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2.xml" ContentType="application/vnd.openxmlformats-officedocument.drawing+xml"/>
  <Override PartName="/xl/pivotTables/pivotTable1.xml" ContentType="application/vnd.openxmlformats-officedocument.spreadsheetml.pivotTable+xml"/>
  <Override PartName="/xl/drawings/drawing1.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5.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4.xml" ContentType="application/vnd.ms-office.activeX+xml"/>
  <Override PartName="/xl/activeX/activeX4.bin" ContentType="application/vnd.ms-office.activeX"/>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5.xml" ContentType="application/vnd.openxmlformats-officedocument.spreadsheetml.comment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6.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omments7.xml" ContentType="application/vnd.openxmlformats-officedocument.spreadsheetml.comment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8.xml" ContentType="application/vnd.openxmlformats-officedocument.spreadsheetml.comments+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9.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comments10.xml" ContentType="application/vnd.openxmlformats-officedocument.spreadsheetml.comments+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omments11.xml" ContentType="application/vnd.openxmlformats-officedocument.spreadsheetml.comments+xml"/>
  <Override PartName="/xl/externalLinks/externalLink17.xml" ContentType="application/vnd.openxmlformats-officedocument.spreadsheetml.externalLink+xml"/>
  <Override PartName="/xl/comments12.xml" ContentType="application/vnd.openxmlformats-officedocument.spreadsheetml.comments+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S:\_Western Region Districts\2000 Western Region Office\WUTC\WUTC-Yakima 2195\General Rate Filings\Yakima Rate Filing 6-15-2022\Confidential\"/>
    </mc:Choice>
  </mc:AlternateContent>
  <xr:revisionPtr revIDLastSave="0" documentId="13_ncr:1_{5ED4261C-D346-4534-8416-8C5F1DE59651}" xr6:coauthVersionLast="47" xr6:coauthVersionMax="47" xr10:uidLastSave="{00000000-0000-0000-0000-000000000000}"/>
  <bookViews>
    <workbookView xWindow="28680" yWindow="-120" windowWidth="29040" windowHeight="15840" tabRatio="883" firstSheet="20" activeTab="30" xr2:uid="{00000000-000D-0000-FFFF-FFFF00000000}"/>
  </bookViews>
  <sheets>
    <sheet name="2195 IS (C)" sheetId="64" r:id="rId1"/>
    <sheet name="Master IS (C)" sheetId="2" r:id="rId2"/>
    <sheet name="Yakima LOB (C)" sheetId="3" r:id="rId3"/>
    <sheet name="Restating Adj (C)" sheetId="5" r:id="rId4"/>
    <sheet name="Pro forma Adj (C)" sheetId="6" r:id="rId5"/>
    <sheet name="Allocators (C)" sheetId="7" r:id="rId6"/>
    <sheet name="Automation Data" sheetId="131" r:id="rId7"/>
    <sheet name="Proposed Rates" sheetId="124" r:id="rId8"/>
    <sheet name="Payroll Summary (C)" sheetId="130" r:id="rId9"/>
    <sheet name="Yakima Regulated Price Out" sheetId="132" r:id="rId10"/>
    <sheet name="Depr Summary (C)" sheetId="94" r:id="rId11"/>
    <sheet name="Disposal 4.21-3-22" sheetId="114" r:id="rId12"/>
    <sheet name="Interject_LastPulledValues" sheetId="91" state="hidden" r:id="rId13"/>
    <sheet name="Recycle Breakout" sheetId="123" r:id="rId14"/>
    <sheet name="2195_BS 03-2021 (C)" sheetId="42" r:id="rId15"/>
    <sheet name="2195_BS 03-2022 (C)" sheetId="44" r:id="rId16"/>
    <sheet name="LG BRG - Total" sheetId="82" r:id="rId17"/>
    <sheet name="LG BRG - MSW" sheetId="83" r:id="rId18"/>
    <sheet name="LG BRG - Recycle" sheetId="84" r:id="rId19"/>
    <sheet name="LG BRG - Yard Waste" sheetId="104" r:id="rId20"/>
    <sheet name="5 Year Insurance (C)" sheetId="126" r:id="rId21"/>
    <sheet name="41201 JE Query" sheetId="115" r:id="rId22"/>
    <sheet name="43001 JE Query" sheetId="116" r:id="rId23"/>
    <sheet name="70195 JE Query (C)" sheetId="127" r:id="rId24"/>
    <sheet name="70255 JE Query (C)" sheetId="128" r:id="rId25"/>
    <sheet name="70235 JE Query (C)" sheetId="129" r:id="rId26"/>
    <sheet name="91010 JE Query" sheetId="121" r:id="rId27"/>
    <sheet name="DVP-DivCon Allocs  (C)" sheetId="117" r:id="rId28"/>
    <sheet name="Region OH (C)" sheetId="118" r:id="rId29"/>
    <sheet name="Corp-OH (C)" sheetId="119" r:id="rId30"/>
    <sheet name="Corp BS &amp; IS" sheetId="12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D" localSheetId="6">#REF!</definedName>
    <definedName name="\D" localSheetId="27">#REF!</definedName>
    <definedName name="\D" localSheetId="17">#REF!</definedName>
    <definedName name="\D" localSheetId="18">#REF!</definedName>
    <definedName name="\D" localSheetId="19">#REF!</definedName>
    <definedName name="\D" localSheetId="7">#REF!</definedName>
    <definedName name="\D">#REF!</definedName>
    <definedName name="\S" localSheetId="6">#REF!</definedName>
    <definedName name="\S" localSheetId="27">#REF!</definedName>
    <definedName name="\S" localSheetId="17">#REF!</definedName>
    <definedName name="\S" localSheetId="18">#REF!</definedName>
    <definedName name="\S" localSheetId="19">#REF!</definedName>
    <definedName name="\S" localSheetId="7">#REF!</definedName>
    <definedName name="\S">#REF!</definedName>
    <definedName name="\Y" localSheetId="6">#REF!</definedName>
    <definedName name="\Y" localSheetId="27">#REF!</definedName>
    <definedName name="\Y" localSheetId="17">#REF!</definedName>
    <definedName name="\Y" localSheetId="18">#REF!</definedName>
    <definedName name="\Y" localSheetId="19">#REF!</definedName>
    <definedName name="\Y" localSheetId="7">#REF!</definedName>
    <definedName name="\Y">#REF!</definedName>
    <definedName name="______________CYA1">[1]Hidden!$N$11</definedName>
    <definedName name="______________CYA10">[1]Hidden!$E$11</definedName>
    <definedName name="______________CYA11">[1]Hidden!$P$11</definedName>
    <definedName name="______________CYA2">[1]Hidden!$M$11</definedName>
    <definedName name="______________CYA3">[1]Hidden!$L$11</definedName>
    <definedName name="______________CYA4">[1]Hidden!$K$11</definedName>
    <definedName name="______________CYA5">[1]Hidden!$J$11</definedName>
    <definedName name="______________CYA6">[1]Hidden!$I$11</definedName>
    <definedName name="______________CYA7">[1]Hidden!$H$11</definedName>
    <definedName name="______________CYA8">[1]Hidden!$G$11</definedName>
    <definedName name="______________CYA9">[1]Hidden!$F$11</definedName>
    <definedName name="______________LYA12">[1]Hidden!$O$11</definedName>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ACT1" localSheetId="0">[2]Hidden!#REF!</definedName>
    <definedName name="__ACT1" localSheetId="6">[2]Hidden!#REF!</definedName>
    <definedName name="__ACT1" localSheetId="17">[2]Hidden!#REF!</definedName>
    <definedName name="__ACT1" localSheetId="18">[2]Hidden!#REF!</definedName>
    <definedName name="__ACT1" localSheetId="19">[2]Hidden!#REF!</definedName>
    <definedName name="__ACT1" localSheetId="7">[2]Hidden!#REF!</definedName>
    <definedName name="__ACT1">[2]Hidden!#REF!</definedName>
    <definedName name="__ACT2" localSheetId="0">[2]Hidden!#REF!</definedName>
    <definedName name="__ACT2" localSheetId="6">[2]Hidden!#REF!</definedName>
    <definedName name="__ACT2" localSheetId="17">[2]Hidden!#REF!</definedName>
    <definedName name="__ACT2" localSheetId="18">[2]Hidden!#REF!</definedName>
    <definedName name="__ACT2" localSheetId="19">[2]Hidden!#REF!</definedName>
    <definedName name="__ACT2" localSheetId="7">[2]Hidden!#REF!</definedName>
    <definedName name="__ACT2">[2]Hidden!#REF!</definedName>
    <definedName name="__ACT3" localSheetId="0">[2]Hidden!#REF!</definedName>
    <definedName name="__ACT3" localSheetId="6">[2]Hidden!#REF!</definedName>
    <definedName name="__ACT3" localSheetId="17">[2]Hidden!#REF!</definedName>
    <definedName name="__ACT3" localSheetId="18">[2]Hidden!#REF!</definedName>
    <definedName name="__ACT3" localSheetId="19">[2]Hidden!#REF!</definedName>
    <definedName name="__ACT3" localSheetId="7">[2]Hidden!#REF!</definedName>
    <definedName name="__ACT3">[2]Hidden!#REF!</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[3]Hidden!$P$11</definedName>
    <definedName name="__LYA10">[3]Hidden!$G$11</definedName>
    <definedName name="__LYA11">[3]Hidden!$F$11</definedName>
    <definedName name="__LYA12">[1]Hidden!$O$11</definedName>
    <definedName name="__LYA2">[3]Hidden!$O$11</definedName>
    <definedName name="__LYA3">[3]Hidden!$N$11</definedName>
    <definedName name="__LYA4">[3]Hidden!$M$11</definedName>
    <definedName name="__LYA5">[3]Hidden!$L$11</definedName>
    <definedName name="__LYA6">[3]Hidden!$K$11</definedName>
    <definedName name="__LYA7">[3]Hidden!$J$11</definedName>
    <definedName name="__LYA8">[3]Hidden!$I$11</definedName>
    <definedName name="__LYA9">[3]Hidden!$H$11</definedName>
    <definedName name="_123Graph_g" hidden="1">'[4]#REF'!$F$9:$F$83</definedName>
    <definedName name="_132" hidden="1">[5]XXXXXX!$B$10:$B$10</definedName>
    <definedName name="_132Graph_h" localSheetId="0" hidden="1">#REF!</definedName>
    <definedName name="_132Graph_h" localSheetId="6" hidden="1">#REF!</definedName>
    <definedName name="_132Graph_h" localSheetId="29" hidden="1">#REF!</definedName>
    <definedName name="_132Graph_h" localSheetId="27" hidden="1">#REF!</definedName>
    <definedName name="_132Graph_h" localSheetId="17" hidden="1">#REF!</definedName>
    <definedName name="_132Graph_h" localSheetId="18" hidden="1">#REF!</definedName>
    <definedName name="_132Graph_h" localSheetId="19" hidden="1">#REF!</definedName>
    <definedName name="_132Graph_h" localSheetId="8" hidden="1">#REF!</definedName>
    <definedName name="_132Graph_h" localSheetId="7" hidden="1">#REF!</definedName>
    <definedName name="_132Graph_h" hidden="1">#REF!</definedName>
    <definedName name="_ACT1" localSheetId="0">[2]Hidden!#REF!</definedName>
    <definedName name="_ACT1" localSheetId="6">[6]Hidden!#REF!</definedName>
    <definedName name="_ACT1" localSheetId="29">[6]Hidden!#REF!</definedName>
    <definedName name="_ACT1" localSheetId="10">[2]Hidden!#REF!</definedName>
    <definedName name="_ACT1" localSheetId="27">[2]Hidden!#REF!</definedName>
    <definedName name="_ACT1" localSheetId="17">[6]Hidden!#REF!</definedName>
    <definedName name="_ACT1" localSheetId="18">[6]Hidden!#REF!</definedName>
    <definedName name="_ACT1" localSheetId="19">[6]Hidden!#REF!</definedName>
    <definedName name="_ACT1" localSheetId="8">[2]Hidden!#REF!</definedName>
    <definedName name="_ACT1" localSheetId="7">[2]Hidden!#REF!</definedName>
    <definedName name="_ACT1" localSheetId="9">[7]Hidden!#REF!</definedName>
    <definedName name="_ACT1">[8]Hidden!#REF!</definedName>
    <definedName name="_ACT2" localSheetId="0">[2]Hidden!#REF!</definedName>
    <definedName name="_ACT2" localSheetId="6">[6]Hidden!#REF!</definedName>
    <definedName name="_ACT2" localSheetId="29">[6]Hidden!#REF!</definedName>
    <definedName name="_ACT2" localSheetId="10">[2]Hidden!#REF!</definedName>
    <definedName name="_ACT2" localSheetId="27">[2]Hidden!#REF!</definedName>
    <definedName name="_ACT2" localSheetId="17">[6]Hidden!#REF!</definedName>
    <definedName name="_ACT2" localSheetId="18">[6]Hidden!#REF!</definedName>
    <definedName name="_ACT2" localSheetId="19">[6]Hidden!#REF!</definedName>
    <definedName name="_ACT2" localSheetId="8">[2]Hidden!#REF!</definedName>
    <definedName name="_ACT2" localSheetId="7">[2]Hidden!#REF!</definedName>
    <definedName name="_ACT2" localSheetId="9">[7]Hidden!#REF!</definedName>
    <definedName name="_ACT2">[8]Hidden!#REF!</definedName>
    <definedName name="_ACT3" localSheetId="0">[2]Hidden!#REF!</definedName>
    <definedName name="_ACT3" localSheetId="6">[6]Hidden!#REF!</definedName>
    <definedName name="_ACT3" localSheetId="29">[6]Hidden!#REF!</definedName>
    <definedName name="_ACT3" localSheetId="10">[2]Hidden!#REF!</definedName>
    <definedName name="_ACT3" localSheetId="27">[2]Hidden!#REF!</definedName>
    <definedName name="_ACT3" localSheetId="17">[6]Hidden!#REF!</definedName>
    <definedName name="_ACT3" localSheetId="18">[6]Hidden!#REF!</definedName>
    <definedName name="_ACT3" localSheetId="19">[6]Hidden!#REF!</definedName>
    <definedName name="_ACT3" localSheetId="8">[2]Hidden!#REF!</definedName>
    <definedName name="_ACT3" localSheetId="7">[2]Hidden!#REF!</definedName>
    <definedName name="_ACT3" localSheetId="9">[7]Hidden!#REF!</definedName>
    <definedName name="_ACT3">[8]Hidden!#REF!</definedName>
    <definedName name="_COS1" localSheetId="0">#REF!</definedName>
    <definedName name="_COS1" localSheetId="6">#REF!</definedName>
    <definedName name="_COS1" localSheetId="27">#REF!</definedName>
    <definedName name="_COS1" localSheetId="17">#REF!</definedName>
    <definedName name="_COS1" localSheetId="18">#REF!</definedName>
    <definedName name="_COS1" localSheetId="19">#REF!</definedName>
    <definedName name="_COS1" localSheetId="8">#REF!</definedName>
    <definedName name="_COS1" localSheetId="7">#REF!</definedName>
    <definedName name="_COS1">#REF!</definedName>
    <definedName name="_COS2" localSheetId="6">#REF!</definedName>
    <definedName name="_COS2" localSheetId="27">#REF!</definedName>
    <definedName name="_COS2" localSheetId="17">#REF!</definedName>
    <definedName name="_COS2" localSheetId="18">#REF!</definedName>
    <definedName name="_COS2" localSheetId="19">#REF!</definedName>
    <definedName name="_COS2" localSheetId="8">#REF!</definedName>
    <definedName name="_COS2" localSheetId="7">#REF!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0" hidden="1">#REF!</definedName>
    <definedName name="_Fill" localSheetId="6" hidden="1">#REF!</definedName>
    <definedName name="_Fill" localSheetId="29" hidden="1">#REF!</definedName>
    <definedName name="_Fill" localSheetId="27" hidden="1">#REF!</definedName>
    <definedName name="_Fill" localSheetId="17" hidden="1">#REF!</definedName>
    <definedName name="_Fill" localSheetId="18" hidden="1">#REF!</definedName>
    <definedName name="_Fill" localSheetId="19" hidden="1">#REF!</definedName>
    <definedName name="_Fill" localSheetId="8" hidden="1">#REF!</definedName>
    <definedName name="_Fill" localSheetId="7" hidden="1">#REF!</definedName>
    <definedName name="_Fill" hidden="1">#REF!</definedName>
    <definedName name="_xlnm._FilterDatabase" localSheetId="21" hidden="1">'41201 JE Query'!$B$19:$AQ$19</definedName>
    <definedName name="_xlnm._FilterDatabase" localSheetId="22" hidden="1">'43001 JE Query'!$B$19:$AQ$19</definedName>
    <definedName name="_xlnm._FilterDatabase" localSheetId="20" hidden="1">'5 Year Insurance (C)'!$B$19:$AQ$19</definedName>
    <definedName name="_xlnm._FilterDatabase" localSheetId="23" hidden="1">'70195 JE Query (C)'!$B$19:$AQ$19</definedName>
    <definedName name="_xlnm._FilterDatabase" localSheetId="25" hidden="1">'70235 JE Query (C)'!$B$19:$AQ$19</definedName>
    <definedName name="_xlnm._FilterDatabase" localSheetId="24" hidden="1">'70255 JE Query (C)'!$B$19:$AQ$19</definedName>
    <definedName name="_xlnm._FilterDatabase" localSheetId="26" hidden="1">'91010 JE Query'!$B$19:$AQ$19</definedName>
    <definedName name="_xlnm._FilterDatabase" localSheetId="1" hidden="1">'Master IS (C)'!$A$22:$P$343</definedName>
    <definedName name="_xlnm._FilterDatabase" localSheetId="8" hidden="1">'Payroll Summary (C)'!$A$13:$T$169</definedName>
    <definedName name="_Key1" localSheetId="0" hidden="1">#REF!</definedName>
    <definedName name="_Key1" localSheetId="6" hidden="1">#REF!</definedName>
    <definedName name="_Key1" localSheetId="29" hidden="1">#REF!</definedName>
    <definedName name="_Key1" localSheetId="27" hidden="1">#REF!</definedName>
    <definedName name="_Key1" localSheetId="17" hidden="1">#REF!</definedName>
    <definedName name="_Key1" localSheetId="18" hidden="1">#REF!</definedName>
    <definedName name="_Key1" localSheetId="19" hidden="1">#REF!</definedName>
    <definedName name="_Key1" localSheetId="8" hidden="1">#REF!</definedName>
    <definedName name="_Key1" localSheetId="7" hidden="1">#REF!</definedName>
    <definedName name="_Key1" hidden="1">#REF!</definedName>
    <definedName name="_Key2" hidden="1">'[4]#REF'!$D$12</definedName>
    <definedName name="_key5" hidden="1">[5]XXXXXX!$H$10</definedName>
    <definedName name="_LYA1">[3]Hidden!$P$11</definedName>
    <definedName name="_LYA10">[3]Hidden!$G$11</definedName>
    <definedName name="_LYA11">[3]Hidden!$F$11</definedName>
    <definedName name="_LYA12">[1]Hidden!$O$11</definedName>
    <definedName name="_LYA2">[3]Hidden!$O$11</definedName>
    <definedName name="_LYA3">[3]Hidden!$N$11</definedName>
    <definedName name="_LYA4">[3]Hidden!$M$11</definedName>
    <definedName name="_LYA5">[3]Hidden!$L$11</definedName>
    <definedName name="_LYA6">[3]Hidden!$K$11</definedName>
    <definedName name="_LYA7">[3]Hidden!$J$11</definedName>
    <definedName name="_LYA8">[3]Hidden!$I$11</definedName>
    <definedName name="_LYA9">[3]Hidden!$H$11</definedName>
    <definedName name="_max" localSheetId="0" hidden="1">#REF!</definedName>
    <definedName name="_max" localSheetId="6" hidden="1">#REF!</definedName>
    <definedName name="_max" localSheetId="29" hidden="1">#REF!</definedName>
    <definedName name="_max" localSheetId="27" hidden="1">#REF!</definedName>
    <definedName name="_max" localSheetId="17" hidden="1">#REF!</definedName>
    <definedName name="_max" localSheetId="18" hidden="1">#REF!</definedName>
    <definedName name="_max" localSheetId="19" hidden="1">#REF!</definedName>
    <definedName name="_max" localSheetId="8" hidden="1">#REF!</definedName>
    <definedName name="_max" localSheetId="7" hidden="1">#REF!</definedName>
    <definedName name="_max" hidden="1">#REF!</definedName>
    <definedName name="_Mon" localSheetId="6" hidden="1">#REF!</definedName>
    <definedName name="_Mon" localSheetId="29" hidden="1">#REF!</definedName>
    <definedName name="_Mon" localSheetId="27" hidden="1">#REF!</definedName>
    <definedName name="_Mon" localSheetId="17" hidden="1">#REF!</definedName>
    <definedName name="_Mon" localSheetId="18" hidden="1">#REF!</definedName>
    <definedName name="_Mon" localSheetId="19" hidden="1">#REF!</definedName>
    <definedName name="_Mon" localSheetId="8" hidden="1">#REF!</definedName>
    <definedName name="_Mon" localSheetId="7" hidden="1">#REF!</definedName>
    <definedName name="_Mon" hidden="1">#REF!</definedName>
    <definedName name="_Order1" hidden="1">255</definedName>
    <definedName name="_Order2" hidden="1">255</definedName>
    <definedName name="_Order3" hidden="1">0</definedName>
    <definedName name="_Sort" localSheetId="6" hidden="1">#REF!</definedName>
    <definedName name="_Sort" localSheetId="29" hidden="1">#REF!</definedName>
    <definedName name="_Sort" localSheetId="27" hidden="1">#REF!</definedName>
    <definedName name="_Sort" localSheetId="17" hidden="1">#REF!</definedName>
    <definedName name="_Sort" localSheetId="18" hidden="1">#REF!</definedName>
    <definedName name="_Sort" localSheetId="19" hidden="1">#REF!</definedName>
    <definedName name="_Sort" localSheetId="8" hidden="1">#REF!</definedName>
    <definedName name="_Sort" localSheetId="7" hidden="1">#REF!</definedName>
    <definedName name="_Sort" hidden="1">#REF!</definedName>
    <definedName name="_Sort1" hidden="1">'[4]#REF'!$A$10:$Z$281</definedName>
    <definedName name="_sort3" hidden="1">[5]XXXXXX!$G$10:$J$11</definedName>
    <definedName name="a" localSheetId="0">#REF!</definedName>
    <definedName name="a" localSheetId="6">#REF!</definedName>
    <definedName name="a" localSheetId="27">#REF!</definedName>
    <definedName name="a" localSheetId="17">#REF!</definedName>
    <definedName name="a" localSheetId="18">#REF!</definedName>
    <definedName name="a" localSheetId="19">#REF!</definedName>
    <definedName name="a" localSheetId="8">#REF!</definedName>
    <definedName name="a" localSheetId="7">#REF!</definedName>
    <definedName name="a">#REF!</definedName>
    <definedName name="Accounts" localSheetId="0">#REF!</definedName>
    <definedName name="Accounts" localSheetId="21">'41201 JE Query'!$M$13</definedName>
    <definedName name="Accounts" localSheetId="20">'5 Year Insurance (C)'!$M$13</definedName>
    <definedName name="Accounts" localSheetId="23">'70195 JE Query (C)'!$M$13</definedName>
    <definedName name="Accounts" localSheetId="25">'70235 JE Query (C)'!$M$13</definedName>
    <definedName name="Accounts" localSheetId="24">'70255 JE Query (C)'!$M$13</definedName>
    <definedName name="Accounts" localSheetId="26">'91010 JE Query'!$M$13</definedName>
    <definedName name="Accounts" localSheetId="27">#REF!</definedName>
    <definedName name="Accounts" localSheetId="17">#REF!</definedName>
    <definedName name="Accounts" localSheetId="18">#REF!</definedName>
    <definedName name="Accounts" localSheetId="19">#REF!</definedName>
    <definedName name="Accounts" localSheetId="8">#REF!</definedName>
    <definedName name="Accounts" localSheetId="9">#REF!</definedName>
    <definedName name="Accounts">#REF!</definedName>
    <definedName name="ACCT" localSheetId="29">[6]Hidden!#REF!</definedName>
    <definedName name="ACCT" localSheetId="10">[2]Hidden!#REF!</definedName>
    <definedName name="ACCT" localSheetId="27">[2]Hidden!#REF!</definedName>
    <definedName name="ACCT" localSheetId="8">[2]Hidden!#REF!</definedName>
    <definedName name="ACCT" localSheetId="7">[2]Hidden!#REF!</definedName>
    <definedName name="ACCT" localSheetId="9">[7]Hidden!#REF!</definedName>
    <definedName name="ACCT">[1]Hidden!$D$11</definedName>
    <definedName name="ACCT.ConsolSum">[1]Hidden!$Q$11</definedName>
    <definedName name="ACT_CUR" localSheetId="0">[2]Hidden!#REF!</definedName>
    <definedName name="ACT_CUR" localSheetId="6">[6]Hidden!#REF!</definedName>
    <definedName name="ACT_CUR" localSheetId="29">[6]Hidden!#REF!</definedName>
    <definedName name="ACT_CUR" localSheetId="10">[2]Hidden!#REF!</definedName>
    <definedName name="ACT_CUR" localSheetId="27">[2]Hidden!#REF!</definedName>
    <definedName name="ACT_CUR" localSheetId="17">[6]Hidden!#REF!</definedName>
    <definedName name="ACT_CUR" localSheetId="18">[6]Hidden!#REF!</definedName>
    <definedName name="ACT_CUR" localSheetId="19">[6]Hidden!#REF!</definedName>
    <definedName name="ACT_CUR" localSheetId="8">[2]Hidden!#REF!</definedName>
    <definedName name="ACT_CUR" localSheetId="7">[2]Hidden!#REF!</definedName>
    <definedName name="ACT_CUR" localSheetId="9">[7]Hidden!#REF!</definedName>
    <definedName name="ACT_CUR">[8]Hidden!#REF!</definedName>
    <definedName name="ACT_YTD" localSheetId="0">[2]Hidden!#REF!</definedName>
    <definedName name="ACT_YTD" localSheetId="6">[6]Hidden!#REF!</definedName>
    <definedName name="ACT_YTD" localSheetId="29">[6]Hidden!#REF!</definedName>
    <definedName name="ACT_YTD" localSheetId="10">[2]Hidden!#REF!</definedName>
    <definedName name="ACT_YTD" localSheetId="27">[2]Hidden!#REF!</definedName>
    <definedName name="ACT_YTD" localSheetId="17">[6]Hidden!#REF!</definedName>
    <definedName name="ACT_YTD" localSheetId="18">[6]Hidden!#REF!</definedName>
    <definedName name="ACT_YTD" localSheetId="19">[6]Hidden!#REF!</definedName>
    <definedName name="ACT_YTD" localSheetId="8">[2]Hidden!#REF!</definedName>
    <definedName name="ACT_YTD" localSheetId="7">[2]Hidden!#REF!</definedName>
    <definedName name="ACT_YTD" localSheetId="9">[7]Hidden!#REF!</definedName>
    <definedName name="ACT_YTD">[8]Hidden!#REF!</definedName>
    <definedName name="afsdfsdfsd" localSheetId="0">#REF!</definedName>
    <definedName name="afsdfsdfsd" localSheetId="6">#REF!</definedName>
    <definedName name="afsdfsdfsd" localSheetId="27">#REF!</definedName>
    <definedName name="afsdfsdfsd" localSheetId="17">#REF!</definedName>
    <definedName name="afsdfsdfsd" localSheetId="18">#REF!</definedName>
    <definedName name="afsdfsdfsd" localSheetId="19">#REF!</definedName>
    <definedName name="afsdfsdfsd" localSheetId="8">#REF!</definedName>
    <definedName name="afsdfsdfsd" localSheetId="7">#REF!</definedName>
    <definedName name="afsdfsdfsd">#REF!</definedName>
    <definedName name="AmountCount" localSheetId="6">#REF!</definedName>
    <definedName name="AmountCount" localSheetId="29">#REF!</definedName>
    <definedName name="AmountCount" localSheetId="27">#REF!</definedName>
    <definedName name="AmountCount" localSheetId="17">#REF!</definedName>
    <definedName name="AmountCount" localSheetId="18">#REF!</definedName>
    <definedName name="AmountCount" localSheetId="19">#REF!</definedName>
    <definedName name="AmountCount" localSheetId="8">#REF!</definedName>
    <definedName name="AmountCount" localSheetId="7">#REF!</definedName>
    <definedName name="AmountCount" localSheetId="9">#REF!</definedName>
    <definedName name="AmountCount">#REF!</definedName>
    <definedName name="AmountCount1" localSheetId="6">#REF!</definedName>
    <definedName name="AmountCount1" localSheetId="27">#REF!</definedName>
    <definedName name="AmountCount1" localSheetId="17">#REF!</definedName>
    <definedName name="AmountCount1" localSheetId="18">#REF!</definedName>
    <definedName name="AmountCount1" localSheetId="19">#REF!</definedName>
    <definedName name="AmountCount1" localSheetId="8">#REF!</definedName>
    <definedName name="AmountCount1">#REF!</definedName>
    <definedName name="AmountFrom" localSheetId="0">#REF!</definedName>
    <definedName name="AmountFrom" localSheetId="21">'41201 JE Query'!$P$13</definedName>
    <definedName name="AmountFrom" localSheetId="20">'5 Year Insurance (C)'!$P$13</definedName>
    <definedName name="AmountFrom" localSheetId="23">'70195 JE Query (C)'!$P$13</definedName>
    <definedName name="AmountFrom" localSheetId="25">'70235 JE Query (C)'!$P$13</definedName>
    <definedName name="AmountFrom" localSheetId="24">'70255 JE Query (C)'!$P$13</definedName>
    <definedName name="AmountFrom" localSheetId="26">'91010 JE Query'!$P$13</definedName>
    <definedName name="AmountFrom" localSheetId="27">#REF!</definedName>
    <definedName name="AmountFrom" localSheetId="17">#REF!</definedName>
    <definedName name="AmountFrom" localSheetId="18">#REF!</definedName>
    <definedName name="AmountFrom" localSheetId="19">#REF!</definedName>
    <definedName name="AmountFrom" localSheetId="8">#REF!</definedName>
    <definedName name="AmountFrom" localSheetId="9">#REF!</definedName>
    <definedName name="AmountFrom">#REF!</definedName>
    <definedName name="AmountTo" localSheetId="0">#REF!</definedName>
    <definedName name="AmountTo" localSheetId="21">'41201 JE Query'!$P$14</definedName>
    <definedName name="AmountTo" localSheetId="20">'5 Year Insurance (C)'!$P$14</definedName>
    <definedName name="AmountTo" localSheetId="23">'70195 JE Query (C)'!$P$14</definedName>
    <definedName name="AmountTo" localSheetId="25">'70235 JE Query (C)'!$P$14</definedName>
    <definedName name="AmountTo" localSheetId="24">'70255 JE Query (C)'!$P$14</definedName>
    <definedName name="AmountTo" localSheetId="26">'91010 JE Query'!$P$14</definedName>
    <definedName name="AmountTo" localSheetId="27">#REF!</definedName>
    <definedName name="AmountTo" localSheetId="17">#REF!</definedName>
    <definedName name="AmountTo" localSheetId="18">#REF!</definedName>
    <definedName name="AmountTo" localSheetId="19">#REF!</definedName>
    <definedName name="AmountTo" localSheetId="8">#REF!</definedName>
    <definedName name="AmountTo" localSheetId="9">#REF!</definedName>
    <definedName name="AmountTo">#REF!</definedName>
    <definedName name="AmountTotal" localSheetId="29">#REF!</definedName>
    <definedName name="AmountTotal" localSheetId="27">#REF!</definedName>
    <definedName name="AmountTotal" localSheetId="17">#REF!</definedName>
    <definedName name="AmountTotal" localSheetId="18">#REF!</definedName>
    <definedName name="AmountTotal" localSheetId="19">#REF!</definedName>
    <definedName name="AmountTotal" localSheetId="8">#REF!</definedName>
    <definedName name="AmountTotal" localSheetId="7">#REF!</definedName>
    <definedName name="AmountTotal" localSheetId="9">#REF!</definedName>
    <definedName name="AmountTotal">#REF!</definedName>
    <definedName name="AmountTotal1" localSheetId="27">#REF!</definedName>
    <definedName name="AmountTotal1" localSheetId="17">#REF!</definedName>
    <definedName name="AmountTotal1" localSheetId="18">#REF!</definedName>
    <definedName name="AmountTotal1" localSheetId="19">#REF!</definedName>
    <definedName name="AmountTotal1" localSheetId="8">#REF!</definedName>
    <definedName name="AmountTotal1">#REF!</definedName>
    <definedName name="BookRev" localSheetId="0">'[9]Pacific Regulated - Price Out'!$F$50</definedName>
    <definedName name="BookRev" localSheetId="6">'[10]Pacific Regulated - Price Out'!$F$50</definedName>
    <definedName name="BookRev" localSheetId="29">'[10]Pacific Regulated - Price Out'!$F$50</definedName>
    <definedName name="BookRev" localSheetId="27">'[11]Pacific Regulated - Price Out'!$F$50</definedName>
    <definedName name="BookRev" localSheetId="8">'[12]Pacific Regulated - Price Out'!$F$50</definedName>
    <definedName name="BookRev" localSheetId="7">'[11]Pacific Regulated - Price Out'!$F$50</definedName>
    <definedName name="BookRev" localSheetId="9">'[11]Pacific Regulated - Price Out'!$F$50</definedName>
    <definedName name="BookRev">'[13]Pacific Regulated - Price Out'!$F$50</definedName>
    <definedName name="BookRev_com" localSheetId="0">'[9]Pacific Regulated - Price Out'!$F$214</definedName>
    <definedName name="BookRev_com" localSheetId="6">'[10]Pacific Regulated - Price Out'!$F$214</definedName>
    <definedName name="BookRev_com" localSheetId="29">'[10]Pacific Regulated - Price Out'!$F$214</definedName>
    <definedName name="BookRev_com" localSheetId="27">'[11]Pacific Regulated - Price Out'!$F$214</definedName>
    <definedName name="BookRev_com" localSheetId="8">'[12]Pacific Regulated - Price Out'!$F$214</definedName>
    <definedName name="BookRev_com" localSheetId="7">'[11]Pacific Regulated - Price Out'!$F$214</definedName>
    <definedName name="BookRev_com" localSheetId="9">'[11]Pacific Regulated - Price Out'!$F$214</definedName>
    <definedName name="BookRev_com">'[13]Pacific Regulated - Price Out'!$F$214</definedName>
    <definedName name="BookRev_mfr" localSheetId="0">'[9]Pacific Regulated - Price Out'!$F$222</definedName>
    <definedName name="BookRev_mfr" localSheetId="6">'[10]Pacific Regulated - Price Out'!$F$222</definedName>
    <definedName name="BookRev_mfr" localSheetId="29">'[10]Pacific Regulated - Price Out'!$F$222</definedName>
    <definedName name="BookRev_mfr" localSheetId="27">'[11]Pacific Regulated - Price Out'!$F$222</definedName>
    <definedName name="BookRev_mfr" localSheetId="8">'[12]Pacific Regulated - Price Out'!$F$222</definedName>
    <definedName name="BookRev_mfr" localSheetId="7">'[11]Pacific Regulated - Price Out'!$F$222</definedName>
    <definedName name="BookRev_mfr" localSheetId="9">'[11]Pacific Regulated - Price Out'!$F$222</definedName>
    <definedName name="BookRev_mfr">'[13]Pacific Regulated - Price Out'!$F$222</definedName>
    <definedName name="BookRev_ro" localSheetId="0">'[9]Pacific Regulated - Price Out'!$F$282</definedName>
    <definedName name="BookRev_ro" localSheetId="6">'[10]Pacific Regulated - Price Out'!$F$282</definedName>
    <definedName name="BookRev_ro" localSheetId="29">'[10]Pacific Regulated - Price Out'!$F$282</definedName>
    <definedName name="BookRev_ro" localSheetId="27">'[11]Pacific Regulated - Price Out'!$F$282</definedName>
    <definedName name="BookRev_ro" localSheetId="8">'[12]Pacific Regulated - Price Out'!$F$282</definedName>
    <definedName name="BookRev_ro" localSheetId="7">'[11]Pacific Regulated - Price Out'!$F$282</definedName>
    <definedName name="BookRev_ro" localSheetId="9">'[11]Pacific Regulated - Price Out'!$F$282</definedName>
    <definedName name="BookRev_ro">'[13]Pacific Regulated - Price Out'!$F$282</definedName>
    <definedName name="BookRev_rr" localSheetId="0">'[9]Pacific Regulated - Price Out'!$F$59</definedName>
    <definedName name="BookRev_rr" localSheetId="6">'[10]Pacific Regulated - Price Out'!$F$59</definedName>
    <definedName name="BookRev_rr" localSheetId="29">'[10]Pacific Regulated - Price Out'!$F$59</definedName>
    <definedName name="BookRev_rr" localSheetId="27">'[11]Pacific Regulated - Price Out'!$F$59</definedName>
    <definedName name="BookRev_rr" localSheetId="8">'[12]Pacific Regulated - Price Out'!$F$59</definedName>
    <definedName name="BookRev_rr" localSheetId="7">'[11]Pacific Regulated - Price Out'!$F$59</definedName>
    <definedName name="BookRev_rr" localSheetId="9">'[11]Pacific Regulated - Price Out'!$F$59</definedName>
    <definedName name="BookRev_rr">'[13]Pacific Regulated - Price Out'!$F$59</definedName>
    <definedName name="BookRev_yw" localSheetId="0">'[9]Pacific Regulated - Price Out'!$F$70</definedName>
    <definedName name="BookRev_yw" localSheetId="6">'[10]Pacific Regulated - Price Out'!$F$70</definedName>
    <definedName name="BookRev_yw" localSheetId="29">'[10]Pacific Regulated - Price Out'!$F$70</definedName>
    <definedName name="BookRev_yw" localSheetId="27">'[11]Pacific Regulated - Price Out'!$F$70</definedName>
    <definedName name="BookRev_yw" localSheetId="8">'[12]Pacific Regulated - Price Out'!$F$70</definedName>
    <definedName name="BookRev_yw" localSheetId="7">'[11]Pacific Regulated - Price Out'!$F$70</definedName>
    <definedName name="BookRev_yw" localSheetId="9">'[11]Pacific Regulated - Price Out'!$F$70</definedName>
    <definedName name="BookRev_yw">'[13]Pacific Regulated - Price Out'!$F$70</definedName>
    <definedName name="BREMAIR_COST_of_SERVICE_STUDY" localSheetId="0">#REF!</definedName>
    <definedName name="BREMAIR_COST_of_SERVICE_STUDY" localSheetId="6">#REF!</definedName>
    <definedName name="BREMAIR_COST_of_SERVICE_STUDY" localSheetId="29">#REF!</definedName>
    <definedName name="BREMAIR_COST_of_SERVICE_STUDY" localSheetId="10">#REF!</definedName>
    <definedName name="BREMAIR_COST_of_SERVICE_STUDY" localSheetId="27">#REF!</definedName>
    <definedName name="BREMAIR_COST_of_SERVICE_STUDY" localSheetId="17">#REF!</definedName>
    <definedName name="BREMAIR_COST_of_SERVICE_STUDY" localSheetId="18">#REF!</definedName>
    <definedName name="BREMAIR_COST_of_SERVICE_STUDY" localSheetId="19">#REF!</definedName>
    <definedName name="BREMAIR_COST_of_SERVICE_STUDY" localSheetId="8">#REF!</definedName>
    <definedName name="BREMAIR_COST_of_SERVICE_STUDY" localSheetId="7">#REF!</definedName>
    <definedName name="BREMAIR_COST_of_SERVICE_STUDY" localSheetId="9">#REF!</definedName>
    <definedName name="BREMAIR_COST_of_SERVICE_STUDY">#REF!</definedName>
    <definedName name="BUD_CUR" localSheetId="0">[2]Hidden!#REF!</definedName>
    <definedName name="BUD_CUR" localSheetId="6">[6]Hidden!#REF!</definedName>
    <definedName name="BUD_CUR" localSheetId="29">[6]Hidden!#REF!</definedName>
    <definedName name="BUD_CUR" localSheetId="10">[2]Hidden!#REF!</definedName>
    <definedName name="BUD_CUR" localSheetId="27">[2]Hidden!#REF!</definedName>
    <definedName name="BUD_CUR" localSheetId="17">[6]Hidden!#REF!</definedName>
    <definedName name="BUD_CUR" localSheetId="18">[6]Hidden!#REF!</definedName>
    <definedName name="BUD_CUR" localSheetId="19">[6]Hidden!#REF!</definedName>
    <definedName name="BUD_CUR" localSheetId="8">[2]Hidden!#REF!</definedName>
    <definedName name="BUD_CUR" localSheetId="7">[2]Hidden!#REF!</definedName>
    <definedName name="BUD_CUR" localSheetId="9">[7]Hidden!#REF!</definedName>
    <definedName name="BUD_CUR">[8]Hidden!#REF!</definedName>
    <definedName name="BUD_YTD" localSheetId="0">[2]Hidden!#REF!</definedName>
    <definedName name="BUD_YTD" localSheetId="6">[6]Hidden!#REF!</definedName>
    <definedName name="BUD_YTD" localSheetId="29">[6]Hidden!#REF!</definedName>
    <definedName name="BUD_YTD" localSheetId="10">[2]Hidden!#REF!</definedName>
    <definedName name="BUD_YTD" localSheetId="27">[2]Hidden!#REF!</definedName>
    <definedName name="BUD_YTD" localSheetId="17">[6]Hidden!#REF!</definedName>
    <definedName name="BUD_YTD" localSheetId="18">[6]Hidden!#REF!</definedName>
    <definedName name="BUD_YTD" localSheetId="19">[6]Hidden!#REF!</definedName>
    <definedName name="BUD_YTD" localSheetId="8">[2]Hidden!#REF!</definedName>
    <definedName name="BUD_YTD" localSheetId="7">[2]Hidden!#REF!</definedName>
    <definedName name="BUD_YTD" localSheetId="9">[7]Hidden!#REF!</definedName>
    <definedName name="BUD_YTD">[8]Hidden!#REF!</definedName>
    <definedName name="CalRecyTons" localSheetId="0">'[14]Recycl Tons, Commodity Value'!$L$23</definedName>
    <definedName name="CalRecyTons" localSheetId="6">'[15]Recycl Tons, Commodity Value'!$L$23</definedName>
    <definedName name="CalRecyTons" localSheetId="29">'[15]Recycl Tons, Commodity Value'!$L$23</definedName>
    <definedName name="CalRecyTons" localSheetId="27">'[16]Recycl Tons, Commodity Value'!$L$23</definedName>
    <definedName name="CalRecyTons" localSheetId="8">'[17]Recycl Tons, Commodity Value'!$L$23</definedName>
    <definedName name="CalRecyTons" localSheetId="7">'[16]Recycl Tons, Commodity Value'!$L$23</definedName>
    <definedName name="CalRecyTons" localSheetId="9">'[16]Recycl Tons, Commodity Value'!$L$23</definedName>
    <definedName name="CalRecyTons">'[18]Recycl Tons, Commodity Value'!$L$23</definedName>
    <definedName name="CanCartTons">[19]CanCartTonsAllocate!$E$3</definedName>
    <definedName name="CheckTotals" localSheetId="0">#REF!</definedName>
    <definedName name="CheckTotals" localSheetId="6">#REF!</definedName>
    <definedName name="CheckTotals" localSheetId="29">#REF!</definedName>
    <definedName name="CheckTotals" localSheetId="10">#REF!</definedName>
    <definedName name="CheckTotals" localSheetId="27">#REF!</definedName>
    <definedName name="CheckTotals" localSheetId="17">#REF!</definedName>
    <definedName name="CheckTotals" localSheetId="18">#REF!</definedName>
    <definedName name="CheckTotals" localSheetId="19">#REF!</definedName>
    <definedName name="CheckTotals" localSheetId="8">#REF!</definedName>
    <definedName name="CheckTotals" localSheetId="7">#REF!</definedName>
    <definedName name="CheckTotals" localSheetId="9">#REF!</definedName>
    <definedName name="CheckTotals">#REF!</definedName>
    <definedName name="CoCanTons">[20]Cust_Count1!$M$28</definedName>
    <definedName name="CoComYd">'[20]Gross Yardage Worksheet'!$L$16</definedName>
    <definedName name="CoCustCnt" localSheetId="0">#REF!</definedName>
    <definedName name="CoCustCnt" localSheetId="6">#REF!</definedName>
    <definedName name="CoCustCnt" localSheetId="17">#REF!</definedName>
    <definedName name="CoCustCnt" localSheetId="18">#REF!</definedName>
    <definedName name="CoCustCnt" localSheetId="19">#REF!</definedName>
    <definedName name="CoCustCnt" localSheetId="7">#REF!</definedName>
    <definedName name="CoCustCnt">#REF!</definedName>
    <definedName name="colgroup">[1]Orientation!$G$6</definedName>
    <definedName name="colsegment">[1]Orientation!$F$6</definedName>
    <definedName name="CommlStaffPriceOut" localSheetId="0">'[21]Price Out-Reg EASTSIDE-Resi'!#REF!</definedName>
    <definedName name="CommlStaffPriceOut" localSheetId="6">'[21]Price Out-Reg EASTSIDE-Resi'!#REF!</definedName>
    <definedName name="CommlStaffPriceOut" localSheetId="27">'[21]Price Out-Reg EASTSIDE-Resi'!#REF!</definedName>
    <definedName name="CommlStaffPriceOut" localSheetId="17">'[21]Price Out-Reg EASTSIDE-Resi'!#REF!</definedName>
    <definedName name="CommlStaffPriceOut" localSheetId="18">'[21]Price Out-Reg EASTSIDE-Resi'!#REF!</definedName>
    <definedName name="CommlStaffPriceOut" localSheetId="19">'[21]Price Out-Reg EASTSIDE-Resi'!#REF!</definedName>
    <definedName name="CommlStaffPriceOut" localSheetId="8">'[21]Price Out-Reg EASTSIDE-Resi'!#REF!</definedName>
    <definedName name="CommlStaffPriceOut" localSheetId="7">'[21]Price Out-Reg EASTSIDE-Resi'!#REF!</definedName>
    <definedName name="CommlStaffPriceOut">'[21]Price Out-Reg EASTSIDE-Resi'!#REF!</definedName>
    <definedName name="CoMultiYd">'[20]Gross Yardage Worksheet'!$L$31</definedName>
    <definedName name="ContainerTons">[19]ContainerTonsAllocation!$E$2</definedName>
    <definedName name="COST_OF_SERVICE_STUDY" localSheetId="0">#REF!</definedName>
    <definedName name="COST_OF_SERVICE_STUDY" localSheetId="6">#REF!</definedName>
    <definedName name="COST_OF_SERVICE_STUDY" localSheetId="17">#REF!</definedName>
    <definedName name="COST_OF_SERVICE_STUDY" localSheetId="18">#REF!</definedName>
    <definedName name="COST_OF_SERVICE_STUDY" localSheetId="19">#REF!</definedName>
    <definedName name="COST_OF_SERVICE_STUDY" localSheetId="7">#REF!</definedName>
    <definedName name="COST_OF_SERVICE_STUDY">#REF!</definedName>
    <definedName name="CoXtraYds" localSheetId="6">#REF!</definedName>
    <definedName name="CoXtraYds" localSheetId="17">#REF!</definedName>
    <definedName name="CoXtraYds" localSheetId="18">#REF!</definedName>
    <definedName name="CoXtraYds" localSheetId="19">#REF!</definedName>
    <definedName name="CoXtraYds" localSheetId="7">#REF!</definedName>
    <definedName name="CoXtraYds">#REF!</definedName>
    <definedName name="CR" localSheetId="6">#REF!</definedName>
    <definedName name="CR" localSheetId="17">#REF!</definedName>
    <definedName name="CR" localSheetId="18">#REF!</definedName>
    <definedName name="CR" localSheetId="19">#REF!</definedName>
    <definedName name="CR" localSheetId="7">#REF!</definedName>
    <definedName name="CR">#REF!</definedName>
    <definedName name="CRCTable" localSheetId="29">#REF!</definedName>
    <definedName name="CRCTable" localSheetId="10">#REF!</definedName>
    <definedName name="CRCTable" localSheetId="27">#REF!</definedName>
    <definedName name="CRCTable" localSheetId="17">#REF!</definedName>
    <definedName name="CRCTable" localSheetId="18">#REF!</definedName>
    <definedName name="CRCTable" localSheetId="19">#REF!</definedName>
    <definedName name="CRCTable" localSheetId="8">#REF!</definedName>
    <definedName name="CRCTable" localSheetId="7">#REF!</definedName>
    <definedName name="CRCTable" localSheetId="9">#REF!</definedName>
    <definedName name="CRCTable">#REF!</definedName>
    <definedName name="CRCTableOLD" localSheetId="29">#REF!</definedName>
    <definedName name="CRCTableOLD" localSheetId="10">#REF!</definedName>
    <definedName name="CRCTableOLD" localSheetId="27">#REF!</definedName>
    <definedName name="CRCTableOLD" localSheetId="17">#REF!</definedName>
    <definedName name="CRCTableOLD" localSheetId="18">#REF!</definedName>
    <definedName name="CRCTableOLD" localSheetId="19">#REF!</definedName>
    <definedName name="CRCTableOLD" localSheetId="8">#REF!</definedName>
    <definedName name="CRCTableOLD" localSheetId="7">#REF!</definedName>
    <definedName name="CRCTableOLD" localSheetId="9">#REF!</definedName>
    <definedName name="CRCTableOLD">#REF!</definedName>
    <definedName name="CriteriaType">[22]ControlPanel!$Z$2:$Z$5</definedName>
    <definedName name="CtyCanTons">[20]Cust_Count1!$N$28</definedName>
    <definedName name="CtyComYd">'[20]Gross Yardage Worksheet'!$L$49</definedName>
    <definedName name="CtyCustCnt" localSheetId="0">#REF!</definedName>
    <definedName name="CtyCustCnt" localSheetId="6">#REF!</definedName>
    <definedName name="CtyCustCnt" localSheetId="17">#REF!</definedName>
    <definedName name="CtyCustCnt" localSheetId="18">#REF!</definedName>
    <definedName name="CtyCustCnt" localSheetId="19">#REF!</definedName>
    <definedName name="CtyCustCnt" localSheetId="7">#REF!</definedName>
    <definedName name="CtyCustCnt">#REF!</definedName>
    <definedName name="CtyMultiYd">'[20]Gross Yardage Worksheet'!$L$64</definedName>
    <definedName name="CtyXtraYds" localSheetId="0">#REF!</definedName>
    <definedName name="CtyXtraYds" localSheetId="6">#REF!</definedName>
    <definedName name="CtyXtraYds" localSheetId="17">#REF!</definedName>
    <definedName name="CtyXtraYds" localSheetId="18">#REF!</definedName>
    <definedName name="CtyXtraYds" localSheetId="19">#REF!</definedName>
    <definedName name="CtyXtraYds" localSheetId="7">#REF!</definedName>
    <definedName name="CtyXtraYds">#REF!</definedName>
    <definedName name="CurrentMonth" localSheetId="0">'[23]38000 Other Rev'!$H$8</definedName>
    <definedName name="CurrentMonth" localSheetId="6">'[24]JE Query'!$J$8</definedName>
    <definedName name="CurrentMonth" localSheetId="27">#REF!</definedName>
    <definedName name="CurrentMonth" localSheetId="17">#REF!</definedName>
    <definedName name="CurrentMonth" localSheetId="18">#REF!</definedName>
    <definedName name="CurrentMonth" localSheetId="19">#REF!</definedName>
    <definedName name="CurrentMonth" localSheetId="8">#REF!</definedName>
    <definedName name="CurrentMonth" localSheetId="9">#REF!</definedName>
    <definedName name="CurrentMonth">'[25]38000 Other Rev'!$H$8</definedName>
    <definedName name="Cutomers" localSheetId="0">#REF!</definedName>
    <definedName name="Cutomers" localSheetId="6">#REF!</definedName>
    <definedName name="Cutomers" localSheetId="29">#REF!</definedName>
    <definedName name="Cutomers" localSheetId="27">#REF!</definedName>
    <definedName name="Cutomers" localSheetId="17">#REF!</definedName>
    <definedName name="Cutomers" localSheetId="18">#REF!</definedName>
    <definedName name="Cutomers" localSheetId="19">#REF!</definedName>
    <definedName name="Cutomers" localSheetId="8">#REF!</definedName>
    <definedName name="Cutomers" localSheetId="7">#REF!</definedName>
    <definedName name="Cutomers" localSheetId="9">#REF!</definedName>
    <definedName name="Cutomers">#REF!</definedName>
    <definedName name="_xlnm.Database" localSheetId="6">#REF!</definedName>
    <definedName name="_xlnm.Database" localSheetId="29">#REF!</definedName>
    <definedName name="_xlnm.Database" localSheetId="10">#REF!</definedName>
    <definedName name="_xlnm.Database" localSheetId="27">#REF!</definedName>
    <definedName name="_xlnm.Database" localSheetId="17">#REF!</definedName>
    <definedName name="_xlnm.Database" localSheetId="18">#REF!</definedName>
    <definedName name="_xlnm.Database" localSheetId="19">#REF!</definedName>
    <definedName name="_xlnm.Database" localSheetId="8">#REF!</definedName>
    <definedName name="_xlnm.Database" localSheetId="7">#REF!</definedName>
    <definedName name="_xlnm.Database" localSheetId="9">#REF!</definedName>
    <definedName name="_xlnm.Database">#REF!</definedName>
    <definedName name="Database1" localSheetId="6">#REF!</definedName>
    <definedName name="Database1" localSheetId="29">#REF!</definedName>
    <definedName name="Database1" localSheetId="10">#REF!</definedName>
    <definedName name="Database1" localSheetId="27">#REF!</definedName>
    <definedName name="Database1" localSheetId="17">#REF!</definedName>
    <definedName name="Database1" localSheetId="18">#REF!</definedName>
    <definedName name="Database1" localSheetId="19">#REF!</definedName>
    <definedName name="Database1" localSheetId="8">#REF!</definedName>
    <definedName name="Database1" localSheetId="7">#REF!</definedName>
    <definedName name="Database1" localSheetId="9">#REF!</definedName>
    <definedName name="Database1">#REF!</definedName>
    <definedName name="DateFrom" localSheetId="0">'[23]38000 Other Rev'!$G$12</definedName>
    <definedName name="DateFrom" localSheetId="21">'41201 JE Query'!$I$12</definedName>
    <definedName name="DateFrom" localSheetId="20">'5 Year Insurance (C)'!$I$12</definedName>
    <definedName name="DateFrom" localSheetId="23">'70195 JE Query (C)'!$I$12</definedName>
    <definedName name="DateFrom" localSheetId="25">'70235 JE Query (C)'!$I$12</definedName>
    <definedName name="DateFrom" localSheetId="24">'70255 JE Query (C)'!$I$12</definedName>
    <definedName name="DateFrom" localSheetId="26">'91010 JE Query'!$I$12</definedName>
    <definedName name="DateFrom" localSheetId="6">'[24]JE Query'!$I$12</definedName>
    <definedName name="DateFrom" localSheetId="27">#REF!</definedName>
    <definedName name="DateFrom" localSheetId="17">#REF!</definedName>
    <definedName name="DateFrom" localSheetId="18">#REF!</definedName>
    <definedName name="DateFrom" localSheetId="19">#REF!</definedName>
    <definedName name="DateFrom" localSheetId="8">#REF!</definedName>
    <definedName name="DateFrom" localSheetId="9">#REF!</definedName>
    <definedName name="DateFrom">'[25]38000 Other Rev'!$G$12</definedName>
    <definedName name="DateTo" localSheetId="0">'[23]38000 Other Rev'!$G$13</definedName>
    <definedName name="DateTo" localSheetId="21">'41201 JE Query'!$I$13</definedName>
    <definedName name="DateTo" localSheetId="20">'5 Year Insurance (C)'!$I$13</definedName>
    <definedName name="DateTo" localSheetId="23">'70195 JE Query (C)'!$I$13</definedName>
    <definedName name="DateTo" localSheetId="25">'70235 JE Query (C)'!$I$13</definedName>
    <definedName name="DateTo" localSheetId="24">'70255 JE Query (C)'!$I$13</definedName>
    <definedName name="DateTo" localSheetId="26">'91010 JE Query'!$I$13</definedName>
    <definedName name="DateTo" localSheetId="6">'[24]JE Query'!$I$13</definedName>
    <definedName name="DateTo" localSheetId="27">#REF!</definedName>
    <definedName name="DateTo" localSheetId="17">#REF!</definedName>
    <definedName name="DateTo" localSheetId="18">#REF!</definedName>
    <definedName name="DateTo" localSheetId="19">#REF!</definedName>
    <definedName name="DateTo" localSheetId="8">#REF!</definedName>
    <definedName name="DateTo" localSheetId="9">#REF!</definedName>
    <definedName name="DateTo">'[25]38000 Other Rev'!$G$13</definedName>
    <definedName name="DBxStaffPriceOut" localSheetId="0">'[21]Price Out-Reg EASTSIDE-Resi'!#REF!</definedName>
    <definedName name="DBxStaffPriceOut" localSheetId="6">'[21]Price Out-Reg EASTSIDE-Resi'!#REF!</definedName>
    <definedName name="DBxStaffPriceOut" localSheetId="27">'[21]Price Out-Reg EASTSIDE-Resi'!#REF!</definedName>
    <definedName name="DBxStaffPriceOut" localSheetId="17">'[21]Price Out-Reg EASTSIDE-Resi'!#REF!</definedName>
    <definedName name="DBxStaffPriceOut" localSheetId="18">'[21]Price Out-Reg EASTSIDE-Resi'!#REF!</definedName>
    <definedName name="DBxStaffPriceOut" localSheetId="19">'[21]Price Out-Reg EASTSIDE-Resi'!#REF!</definedName>
    <definedName name="DBxStaffPriceOut" localSheetId="8">'[21]Price Out-Reg EASTSIDE-Resi'!#REF!</definedName>
    <definedName name="DBxStaffPriceOut" localSheetId="7">'[21]Price Out-Reg EASTSIDE-Resi'!#REF!</definedName>
    <definedName name="DBxStaffPriceOut">'[21]Price Out-Reg EASTSIDE-Resi'!#REF!</definedName>
    <definedName name="Debt_Rate" localSheetId="17">'LG BRG - MSW'!$K$27</definedName>
    <definedName name="Debt_Rate" localSheetId="18">'LG BRG - Recycle'!$K$27</definedName>
    <definedName name="Debt_Rate" localSheetId="16">'LG BRG - Total'!$K$27</definedName>
    <definedName name="Debt_Rate" localSheetId="19">'LG BRG - Yard Waste'!$K$27</definedName>
    <definedName name="debtP" localSheetId="0">#REF!</definedName>
    <definedName name="debtP" localSheetId="6">#REF!</definedName>
    <definedName name="debtP" localSheetId="17">'LG BRG - MSW'!$I$27</definedName>
    <definedName name="debtP" localSheetId="18">'LG BRG - Recycle'!$I$27</definedName>
    <definedName name="debtP" localSheetId="16">'LG BRG - Total'!$I$27</definedName>
    <definedName name="debtP" localSheetId="19">'LG BRG - Yard Waste'!$I$27</definedName>
    <definedName name="debtP" localSheetId="7">#REF!</definedName>
    <definedName name="debtP">#REF!</definedName>
    <definedName name="DEPT" localSheetId="0">[2]Hidden!#REF!</definedName>
    <definedName name="DEPT" localSheetId="6">[6]Hidden!#REF!</definedName>
    <definedName name="DEPT" localSheetId="29">[6]Hidden!#REF!</definedName>
    <definedName name="DEPT" localSheetId="10">[2]Hidden!#REF!</definedName>
    <definedName name="DEPT" localSheetId="27">[2]Hidden!#REF!</definedName>
    <definedName name="DEPT" localSheetId="17">[6]Hidden!#REF!</definedName>
    <definedName name="DEPT" localSheetId="18">[6]Hidden!#REF!</definedName>
    <definedName name="DEPT" localSheetId="19">[6]Hidden!#REF!</definedName>
    <definedName name="DEPT" localSheetId="8">[2]Hidden!#REF!</definedName>
    <definedName name="DEPT" localSheetId="7">[2]Hidden!#REF!</definedName>
    <definedName name="DEPT" localSheetId="9">[7]Hidden!#REF!</definedName>
    <definedName name="DEPT">[8]Hidden!#REF!</definedName>
    <definedName name="DetailBudYear" localSheetId="0">#REF!</definedName>
    <definedName name="DetailBudYear" localSheetId="6">#REF!</definedName>
    <definedName name="DetailBudYear" localSheetId="17">#REF!</definedName>
    <definedName name="DetailBudYear" localSheetId="18">#REF!</definedName>
    <definedName name="DetailBudYear" localSheetId="19">#REF!</definedName>
    <definedName name="DetailBudYear" localSheetId="7">#REF!</definedName>
    <definedName name="DetailBudYear">#REF!</definedName>
    <definedName name="DetailDistrict" localSheetId="0">#REF!</definedName>
    <definedName name="DetailDistrict" localSheetId="6">#REF!</definedName>
    <definedName name="DetailDistrict" localSheetId="17">#REF!</definedName>
    <definedName name="DetailDistrict" localSheetId="18">#REF!</definedName>
    <definedName name="DetailDistrict" localSheetId="19">#REF!</definedName>
    <definedName name="DetailDistrict" localSheetId="7">#REF!</definedName>
    <definedName name="DetailDistrict">#REF!</definedName>
    <definedName name="Dist" localSheetId="0">[26]Data!$E$3</definedName>
    <definedName name="Dist" localSheetId="6">[27]Data!$E$3</definedName>
    <definedName name="Dist" localSheetId="27">[27]Data!$E$3</definedName>
    <definedName name="Dist" localSheetId="8">[28]Data!$E$3</definedName>
    <definedName name="Dist" localSheetId="7">[26]Data!$E$3</definedName>
    <definedName name="Dist" localSheetId="9">[26]Data!$E$3</definedName>
    <definedName name="Dist">[29]Data!$E$3</definedName>
    <definedName name="District" localSheetId="0">'2195 IS (C)'!$N$6</definedName>
    <definedName name="District" localSheetId="14">'2195_BS 03-2021 (C)'!$N$7</definedName>
    <definedName name="District" localSheetId="15">'2195_BS 03-2022 (C)'!$N$7</definedName>
    <definedName name="District" localSheetId="6">'[30]Yakima BS'!#REF!</definedName>
    <definedName name="District" localSheetId="29">'[31]Vashon BS'!#REF!</definedName>
    <definedName name="District" localSheetId="27">'[32]Vashon BS'!#REF!</definedName>
    <definedName name="District" localSheetId="17">#REF!</definedName>
    <definedName name="District" localSheetId="18">#REF!</definedName>
    <definedName name="District" localSheetId="19">#REF!</definedName>
    <definedName name="District" localSheetId="8">'[33]Yakima BS'!#REF!</definedName>
    <definedName name="District" localSheetId="7">'[32]Vashon BS'!#REF!</definedName>
    <definedName name="District" localSheetId="28">'Region OH (C)'!$K$1</definedName>
    <definedName name="District" localSheetId="9">'[32]Vashon BS'!#REF!</definedName>
    <definedName name="District">'[33]Yakima BS'!#REF!</definedName>
    <definedName name="DistrictName" localSheetId="0">'2195 IS (C)'!$N$7</definedName>
    <definedName name="DistrictName" localSheetId="14">'2195_BS 03-2021 (C)'!#REF!</definedName>
    <definedName name="DistrictName" localSheetId="15">'2195_BS 03-2022 (C)'!#REF!</definedName>
    <definedName name="DistrictName" localSheetId="28">'Region OH (C)'!$K$2</definedName>
    <definedName name="DistrictNum" localSheetId="0">#REF!</definedName>
    <definedName name="DistrictNum" localSheetId="5">#REF!</definedName>
    <definedName name="DistrictNum" localSheetId="6">#REF!</definedName>
    <definedName name="DistrictNum" localSheetId="29">#REF!</definedName>
    <definedName name="DistrictNum" localSheetId="10">#REF!</definedName>
    <definedName name="DistrictNum" localSheetId="27">#REF!</definedName>
    <definedName name="DistrictNum" localSheetId="17">#REF!</definedName>
    <definedName name="DistrictNum" localSheetId="18">#REF!</definedName>
    <definedName name="DistrictNum" localSheetId="19">#REF!</definedName>
    <definedName name="DistrictNum" localSheetId="8">#REF!</definedName>
    <definedName name="DistrictNum" localSheetId="7">#REF!</definedName>
    <definedName name="DistrictNum" localSheetId="9">#REF!</definedName>
    <definedName name="DistrictNum">#REF!</definedName>
    <definedName name="Districts" localSheetId="0">#REF!</definedName>
    <definedName name="Districts" localSheetId="21">'41201 JE Query'!$M$12</definedName>
    <definedName name="Districts" localSheetId="20">'5 Year Insurance (C)'!$M$12</definedName>
    <definedName name="Districts" localSheetId="23">'70195 JE Query (C)'!$M$12</definedName>
    <definedName name="Districts" localSheetId="25">'70235 JE Query (C)'!$M$12</definedName>
    <definedName name="Districts" localSheetId="24">'70255 JE Query (C)'!$M$12</definedName>
    <definedName name="Districts" localSheetId="26">'91010 JE Query'!$M$12</definedName>
    <definedName name="Districts" localSheetId="27">#REF!</definedName>
    <definedName name="Districts" localSheetId="17">#REF!</definedName>
    <definedName name="Districts" localSheetId="18">#REF!</definedName>
    <definedName name="Districts" localSheetId="19">#REF!</definedName>
    <definedName name="Districts" localSheetId="8">#REF!</definedName>
    <definedName name="Districts" localSheetId="9">#REF!</definedName>
    <definedName name="Districts">#REF!</definedName>
    <definedName name="dOG" localSheetId="6">#REF!</definedName>
    <definedName name="dOG" localSheetId="27">#REF!</definedName>
    <definedName name="dOG" localSheetId="17">#REF!</definedName>
    <definedName name="dOG" localSheetId="18">#REF!</definedName>
    <definedName name="dOG" localSheetId="19">#REF!</definedName>
    <definedName name="dOG" localSheetId="8">#REF!</definedName>
    <definedName name="dOG" localSheetId="7">#REF!</definedName>
    <definedName name="dOG" localSheetId="9">#REF!</definedName>
    <definedName name="dOG">#REF!</definedName>
    <definedName name="drlFilter">[1]Settings!$D$27</definedName>
    <definedName name="End" localSheetId="0">#REF!</definedName>
    <definedName name="End" localSheetId="5">#REF!</definedName>
    <definedName name="End" localSheetId="6">#REF!</definedName>
    <definedName name="End" localSheetId="29">#REF!</definedName>
    <definedName name="End" localSheetId="10">#REF!</definedName>
    <definedName name="End" localSheetId="27">#REF!</definedName>
    <definedName name="End" localSheetId="17">#REF!</definedName>
    <definedName name="End" localSheetId="18">#REF!</definedName>
    <definedName name="End" localSheetId="19">#REF!</definedName>
    <definedName name="End" localSheetId="8">#REF!</definedName>
    <definedName name="End" localSheetId="7">#REF!</definedName>
    <definedName name="End" localSheetId="9">#REF!</definedName>
    <definedName name="End">#REF!</definedName>
    <definedName name="EntrieShownLimit" localSheetId="0">'[23]38000 Other Rev'!$D$6</definedName>
    <definedName name="EntrieShownLimit" localSheetId="21">'41201 JE Query'!$D$6</definedName>
    <definedName name="EntrieShownLimit" localSheetId="20">'5 Year Insurance (C)'!$D$6</definedName>
    <definedName name="EntrieShownLimit" localSheetId="23">'70195 JE Query (C)'!$D$6</definedName>
    <definedName name="EntrieShownLimit" localSheetId="25">'70235 JE Query (C)'!$D$6</definedName>
    <definedName name="EntrieShownLimit" localSheetId="24">'70255 JE Query (C)'!$D$6</definedName>
    <definedName name="EntrieShownLimit" localSheetId="26">'91010 JE Query'!$D$6</definedName>
    <definedName name="EntrieShownLimit" localSheetId="6">'[24]JE Query'!$D$6</definedName>
    <definedName name="EntrieShownLimit" localSheetId="27">#REF!</definedName>
    <definedName name="EntrieShownLimit" localSheetId="17">#REF!</definedName>
    <definedName name="EntrieShownLimit" localSheetId="18">#REF!</definedName>
    <definedName name="EntrieShownLimit" localSheetId="19">#REF!</definedName>
    <definedName name="EntrieShownLimit" localSheetId="8">#REF!</definedName>
    <definedName name="EntrieShownLimit" localSheetId="9">#REF!</definedName>
    <definedName name="EntrieShownLimit">'[25]38000 Other Rev'!$D$6</definedName>
    <definedName name="Equity_percent" localSheetId="17">'LG BRG - MSW'!$S$57</definedName>
    <definedName name="Equity_percent" localSheetId="18">'LG BRG - Recycle'!$S$57</definedName>
    <definedName name="Equity_percent" localSheetId="16">'LG BRG - Total'!$S$57</definedName>
    <definedName name="Equity_percent" localSheetId="19">'LG BRG - Yard Waste'!$S$57</definedName>
    <definedName name="equityP" localSheetId="17">'LG BRG - MSW'!$I$26</definedName>
    <definedName name="equityP" localSheetId="18">'LG BRG - Recycle'!$I$26</definedName>
    <definedName name="equityP" localSheetId="16">'LG BRG - Total'!$I$26</definedName>
    <definedName name="equityP" localSheetId="19">'LG BRG - Yard Waste'!$I$26</definedName>
    <definedName name="ExcludeIC" localSheetId="0">'2195 IS (C)'!$R$6</definedName>
    <definedName name="ExcludeIC" localSheetId="14">'2195_BS 03-2021 (C)'!$N$8</definedName>
    <definedName name="ExcludeIC" localSheetId="15">'2195_BS 03-2022 (C)'!$N$8</definedName>
    <definedName name="ExcludeIC" localSheetId="6">'[30]Yakima BS'!#REF!</definedName>
    <definedName name="ExcludeIC" localSheetId="29">'[31]Vashon BS'!#REF!</definedName>
    <definedName name="ExcludeIC" localSheetId="27">'[32]Vashon BS'!#REF!</definedName>
    <definedName name="ExcludeIC" localSheetId="17">#REF!</definedName>
    <definedName name="ExcludeIC" localSheetId="18">#REF!</definedName>
    <definedName name="ExcludeIC" localSheetId="19">#REF!</definedName>
    <definedName name="ExcludeIC" localSheetId="8">'[33]Yakima BS'!#REF!</definedName>
    <definedName name="ExcludeIC" localSheetId="7">'[34]2009 BS'!#REF!</definedName>
    <definedName name="ExcludeIC" localSheetId="28">'Region OH (C)'!$O$1</definedName>
    <definedName name="ExcludeIC" localSheetId="9">'[34]2009 BS'!#REF!</definedName>
    <definedName name="ExcludeIC">'[33]Yakima BS'!#REF!</definedName>
    <definedName name="expenses" localSheetId="17">'LG BRG - MSW'!$I$8</definedName>
    <definedName name="expenses" localSheetId="18">'LG BRG - Recycle'!$I$8</definedName>
    <definedName name="expenses" localSheetId="16">'LG BRG - Total'!$I$8</definedName>
    <definedName name="expenses" localSheetId="19">'LG BRG - Yard Waste'!$I$8</definedName>
    <definedName name="ExpensesPF1" localSheetId="0">#REF!</definedName>
    <definedName name="ExpensesPF1" localSheetId="6">'[35]LG County Area'!$K$8</definedName>
    <definedName name="ExpensesPF1" localSheetId="27">#REF!</definedName>
    <definedName name="ExpensesPF1" localSheetId="8">#REF!</definedName>
    <definedName name="ExpensesPF1" localSheetId="7">#REF!</definedName>
    <definedName name="ExpensesPF1">#REF!</definedName>
    <definedName name="EXT" localSheetId="6">#REF!</definedName>
    <definedName name="EXT" localSheetId="27">#REF!</definedName>
    <definedName name="EXT" localSheetId="17">#REF!</definedName>
    <definedName name="EXT" localSheetId="18">#REF!</definedName>
    <definedName name="EXT" localSheetId="19">#REF!</definedName>
    <definedName name="EXT" localSheetId="8">#REF!</definedName>
    <definedName name="EXT" localSheetId="7">#REF!</definedName>
    <definedName name="EXT">#REF!</definedName>
    <definedName name="FBTable" localSheetId="5">#REF!</definedName>
    <definedName name="FBTable" localSheetId="6">#REF!</definedName>
    <definedName name="FBTable" localSheetId="29">#REF!</definedName>
    <definedName name="FBTable" localSheetId="10">#REF!</definedName>
    <definedName name="FBTable" localSheetId="27">#REF!</definedName>
    <definedName name="FBTable" localSheetId="17">#REF!</definedName>
    <definedName name="FBTable" localSheetId="18">#REF!</definedName>
    <definedName name="FBTable" localSheetId="19">#REF!</definedName>
    <definedName name="FBTable" localSheetId="8">#REF!</definedName>
    <definedName name="FBTable" localSheetId="7">#REF!</definedName>
    <definedName name="FBTable" localSheetId="9">#REF!</definedName>
    <definedName name="FBTable">#REF!</definedName>
    <definedName name="FBTableOld" localSheetId="5">#REF!</definedName>
    <definedName name="FBTableOld" localSheetId="6">#REF!</definedName>
    <definedName name="FBTableOld" localSheetId="29">#REF!</definedName>
    <definedName name="FBTableOld" localSheetId="10">#REF!</definedName>
    <definedName name="FBTableOld" localSheetId="27">#REF!</definedName>
    <definedName name="FBTableOld" localSheetId="17">#REF!</definedName>
    <definedName name="FBTableOld" localSheetId="18">#REF!</definedName>
    <definedName name="FBTableOld" localSheetId="19">#REF!</definedName>
    <definedName name="FBTableOld" localSheetId="8">#REF!</definedName>
    <definedName name="FBTableOld" localSheetId="7">#REF!</definedName>
    <definedName name="FBTableOld" localSheetId="9">#REF!</definedName>
    <definedName name="FBTableOld">#REF!</definedName>
    <definedName name="filter">[1]Settings!$B$14:$H$25</definedName>
    <definedName name="FromMonth" localSheetId="0">#REF!</definedName>
    <definedName name="FromMonth" localSheetId="6">#REF!</definedName>
    <definedName name="FromMonth" localSheetId="27">#REF!</definedName>
    <definedName name="FromMonth" localSheetId="17">#REF!</definedName>
    <definedName name="FromMonth" localSheetId="18">#REF!</definedName>
    <definedName name="FromMonth" localSheetId="19">#REF!</definedName>
    <definedName name="FromMonth" localSheetId="8">#REF!</definedName>
    <definedName name="FromMonth" localSheetId="7">#REF!</definedName>
    <definedName name="FromMonth" localSheetId="9">#REF!</definedName>
    <definedName name="FromMonth">#REF!</definedName>
    <definedName name="FundsApprPend" localSheetId="0">[26]Data!#REF!</definedName>
    <definedName name="FundsApprPend" localSheetId="6">[27]Data!#REF!</definedName>
    <definedName name="FundsApprPend" localSheetId="27">[27]Data!#REF!</definedName>
    <definedName name="FundsApprPend" localSheetId="17">[27]Data!#REF!</definedName>
    <definedName name="FundsApprPend" localSheetId="18">[27]Data!#REF!</definedName>
    <definedName name="FundsApprPend" localSheetId="19">[27]Data!#REF!</definedName>
    <definedName name="FundsApprPend" localSheetId="8">[28]Data!#REF!</definedName>
    <definedName name="FundsApprPend" localSheetId="7">[26]Data!#REF!</definedName>
    <definedName name="FundsApprPend" localSheetId="9">[26]Data!#REF!</definedName>
    <definedName name="FundsApprPend">[29]Data!#REF!</definedName>
    <definedName name="FundsBudUnbud" localSheetId="0">[26]Data!#REF!</definedName>
    <definedName name="FundsBudUnbud" localSheetId="6">[27]Data!#REF!</definedName>
    <definedName name="FundsBudUnbud" localSheetId="27">[27]Data!#REF!</definedName>
    <definedName name="FundsBudUnbud" localSheetId="17">[27]Data!#REF!</definedName>
    <definedName name="FundsBudUnbud" localSheetId="18">[27]Data!#REF!</definedName>
    <definedName name="FundsBudUnbud" localSheetId="19">[27]Data!#REF!</definedName>
    <definedName name="FundsBudUnbud" localSheetId="8">[28]Data!#REF!</definedName>
    <definedName name="FundsBudUnbud" localSheetId="7">[26]Data!#REF!</definedName>
    <definedName name="FundsBudUnbud" localSheetId="9">[26]Data!#REF!</definedName>
    <definedName name="FundsBudUnbud">[29]Data!#REF!</definedName>
    <definedName name="GLMappingStart" localSheetId="0">#REF!</definedName>
    <definedName name="GLMappingStart" localSheetId="6">#REF!</definedName>
    <definedName name="GLMappingStart" localSheetId="29">#REF!</definedName>
    <definedName name="GLMappingStart" localSheetId="27">#REF!</definedName>
    <definedName name="GLMappingStart" localSheetId="17">#REF!</definedName>
    <definedName name="GLMappingStart" localSheetId="18">#REF!</definedName>
    <definedName name="GLMappingStart" localSheetId="19">#REF!</definedName>
    <definedName name="GLMappingStart" localSheetId="8">#REF!</definedName>
    <definedName name="GLMappingStart" localSheetId="7">#REF!</definedName>
    <definedName name="GLMappingStart" localSheetId="9">#REF!</definedName>
    <definedName name="GLMappingStart">#REF!</definedName>
    <definedName name="GLMappingStart1" localSheetId="6">#REF!</definedName>
    <definedName name="GLMappingStart1" localSheetId="27">#REF!</definedName>
    <definedName name="GLMappingStart1" localSheetId="17">#REF!</definedName>
    <definedName name="GLMappingStart1" localSheetId="18">#REF!</definedName>
    <definedName name="GLMappingStart1" localSheetId="19">#REF!</definedName>
    <definedName name="GLMappingStart1" localSheetId="8">#REF!</definedName>
    <definedName name="GLMappingStart1" localSheetId="7">#REF!</definedName>
    <definedName name="GLMappingStart1">#REF!</definedName>
    <definedName name="GRETABLE">[36]Gresham!$E$12:$AI$261</definedName>
    <definedName name="Import_Range" localSheetId="0">[26]Data!#REF!</definedName>
    <definedName name="Import_Range" localSheetId="6">[27]Data!#REF!</definedName>
    <definedName name="Import_Range" localSheetId="27">[27]Data!#REF!</definedName>
    <definedName name="Import_Range" localSheetId="17">[27]Data!#REF!</definedName>
    <definedName name="Import_Range" localSheetId="18">[27]Data!#REF!</definedName>
    <definedName name="Import_Range" localSheetId="19">[27]Data!#REF!</definedName>
    <definedName name="Import_Range" localSheetId="8">[28]Data!#REF!</definedName>
    <definedName name="Import_Range" localSheetId="7">[26]Data!#REF!</definedName>
    <definedName name="Import_Range" localSheetId="9">[26]Data!#REF!</definedName>
    <definedName name="Import_Range">[29]Data!#REF!</definedName>
    <definedName name="IncomeStmnt" localSheetId="0">#REF!</definedName>
    <definedName name="IncomeStmnt" localSheetId="6">#REF!</definedName>
    <definedName name="IncomeStmnt" localSheetId="29">#REF!</definedName>
    <definedName name="IncomeStmnt" localSheetId="10">#REF!</definedName>
    <definedName name="IncomeStmnt" localSheetId="27">#REF!</definedName>
    <definedName name="IncomeStmnt" localSheetId="17">#REF!</definedName>
    <definedName name="IncomeStmnt" localSheetId="18">#REF!</definedName>
    <definedName name="IncomeStmnt" localSheetId="19">#REF!</definedName>
    <definedName name="IncomeStmnt" localSheetId="8">#REF!</definedName>
    <definedName name="IncomeStmnt" localSheetId="7">#REF!</definedName>
    <definedName name="IncomeStmnt" localSheetId="9">#REF!</definedName>
    <definedName name="IncomeStmnt">#REF!</definedName>
    <definedName name="INPUT" localSheetId="0">#REF!</definedName>
    <definedName name="INPUT" localSheetId="6">#REF!</definedName>
    <definedName name="INPUT" localSheetId="29">#REF!</definedName>
    <definedName name="INPUT" localSheetId="10">#REF!</definedName>
    <definedName name="INPUT" localSheetId="27">#REF!</definedName>
    <definedName name="INPUT" localSheetId="17">'LG BRG - MSW'!#REF!</definedName>
    <definedName name="INPUT" localSheetId="18">'LG BRG - Recycle'!#REF!</definedName>
    <definedName name="INPUT" localSheetId="16">'LG BRG - Total'!#REF!</definedName>
    <definedName name="INPUT" localSheetId="19">'LG BRG - Yard Waste'!#REF!</definedName>
    <definedName name="INPUT" localSheetId="8">#REF!</definedName>
    <definedName name="INPUT" localSheetId="7">#REF!</definedName>
    <definedName name="INPUT" localSheetId="9">#REF!</definedName>
    <definedName name="INPUT">#REF!</definedName>
    <definedName name="INPUTc" localSheetId="6">#REF!</definedName>
    <definedName name="INPUTc" localSheetId="27">#REF!</definedName>
    <definedName name="INPUTc" localSheetId="17">#REF!</definedName>
    <definedName name="INPUTc" localSheetId="18">#REF!</definedName>
    <definedName name="INPUTc" localSheetId="16">#REF!</definedName>
    <definedName name="INPUTc" localSheetId="19">#REF!</definedName>
    <definedName name="INPUTc" localSheetId="8">#REF!</definedName>
    <definedName name="INPUTc">#REF!</definedName>
    <definedName name="Insurance" localSheetId="29">#REF!</definedName>
    <definedName name="Insurance" localSheetId="10">#REF!</definedName>
    <definedName name="Insurance" localSheetId="27">#REF!</definedName>
    <definedName name="Insurance" localSheetId="17">#REF!</definedName>
    <definedName name="Insurance" localSheetId="18">#REF!</definedName>
    <definedName name="Insurance" localSheetId="19">#REF!</definedName>
    <definedName name="Insurance" localSheetId="8">#REF!</definedName>
    <definedName name="Insurance" localSheetId="7">#REF!</definedName>
    <definedName name="Insurance" localSheetId="9">#REF!</definedName>
    <definedName name="Insurance">#REF!</definedName>
    <definedName name="Interject_LastPulledValues_BalanceRange" localSheetId="0">Interject_LastPulledValues!$A$3:$I$14</definedName>
    <definedName name="Interject_LastPulledValues_BalanceRange" localSheetId="6">#REF!</definedName>
    <definedName name="Interject_LastPulledValues_BalanceRange" localSheetId="27">[37]Interject_LastPulledValues!$A$3:$I$3</definedName>
    <definedName name="Interject_LastPulledValues_BalanceRange" localSheetId="8">#REF!</definedName>
    <definedName name="Interject_LastPulledValues_BalanceRange" localSheetId="7">#REF!</definedName>
    <definedName name="Interject_LastPulledValues_BalanceRange">Interject_LastPulledValues!$A$3:$I$20</definedName>
    <definedName name="Interject_LastPulledValues_DescriptionRange" localSheetId="0">Interject_LastPulledValues!$K$3:$N$3</definedName>
    <definedName name="Interject_LastPulledValues_DescriptionRange" localSheetId="6">#REF!</definedName>
    <definedName name="Interject_LastPulledValues_DescriptionRange" localSheetId="27">[37]Interject_LastPulledValues!$K$3:$N$3</definedName>
    <definedName name="Interject_LastPulledValues_DescriptionRange" localSheetId="8">#REF!</definedName>
    <definedName name="Interject_LastPulledValues_DescriptionRange" localSheetId="7">#REF!</definedName>
    <definedName name="Interject_LastPulledValues_DescriptionRange">Interject_LastPulledValues!$K$3:$N$3</definedName>
    <definedName name="Interject_LastPulledValues_LastChangeGUID" localSheetId="0">#REF!</definedName>
    <definedName name="Interject_LastPulledValues_LastChangeGUID" localSheetId="6">#REF!</definedName>
    <definedName name="Interject_LastPulledValues_LastChangeGUID" localSheetId="27">[37]Interject_LastPulledValues!$Q$1</definedName>
    <definedName name="Interject_LastPulledValues_LastChangeGUID" localSheetId="8">#REF!</definedName>
    <definedName name="Interject_LastPulledValues_LastChangeGUID" localSheetId="7">#REF!</definedName>
    <definedName name="Interject_LastPulledValues_LastChangeGUID">Interject_LastPulledValues!$Q$1</definedName>
    <definedName name="Interject_LastPulledValues_PreviousLastChangeGUID" localSheetId="0">#REF!</definedName>
    <definedName name="Interject_LastPulledValues_PreviousLastChangeGUID" localSheetId="6">#REF!</definedName>
    <definedName name="Interject_LastPulledValues_PreviousLastChangeGUID" localSheetId="27">[37]Interject_LastPulledValues!$Q$2</definedName>
    <definedName name="Interject_LastPulledValues_PreviousLastChangeGUID" localSheetId="8">#REF!</definedName>
    <definedName name="Interject_LastPulledValues_PreviousLastChangeGUID" localSheetId="7">#REF!</definedName>
    <definedName name="Interject_LastPulledValues_PreviousLastChangeGUID">Interject_LastPulledValues!$Q$2</definedName>
    <definedName name="Investment" localSheetId="17">'LG BRG - MSW'!$J$28</definedName>
    <definedName name="Investment" localSheetId="18">'LG BRG - Recycle'!$J$28</definedName>
    <definedName name="Investment" localSheetId="16">'LG BRG - Total'!$J$28</definedName>
    <definedName name="Investment" localSheetId="19">'LG BRG - Yard Waste'!$J$28</definedName>
    <definedName name="Invoice_Start" localSheetId="0">[26]Invoice_Drill!#REF!</definedName>
    <definedName name="Invoice_Start" localSheetId="6">[27]Invoice_Drill!#REF!</definedName>
    <definedName name="Invoice_Start" localSheetId="27">[27]Invoice_Drill!#REF!</definedName>
    <definedName name="Invoice_Start" localSheetId="17">[27]Invoice_Drill!#REF!</definedName>
    <definedName name="Invoice_Start" localSheetId="18">[27]Invoice_Drill!#REF!</definedName>
    <definedName name="Invoice_Start" localSheetId="19">[27]Invoice_Drill!#REF!</definedName>
    <definedName name="Invoice_Start" localSheetId="8">[28]Invoice_Drill!#REF!</definedName>
    <definedName name="Invoice_Start" localSheetId="7">[26]Invoice_Drill!#REF!</definedName>
    <definedName name="Invoice_Start" localSheetId="9">[26]Invoice_Drill!#REF!</definedName>
    <definedName name="Invoice_Start">[29]Invoice_Drill!#REF!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EDetail" localSheetId="6">#REF!</definedName>
    <definedName name="JEDetail" localSheetId="29">#REF!</definedName>
    <definedName name="JEDetail" localSheetId="27">#REF!</definedName>
    <definedName name="JEDetail" localSheetId="17">#REF!</definedName>
    <definedName name="JEDetail" localSheetId="18">#REF!</definedName>
    <definedName name="JEDetail" localSheetId="19">#REF!</definedName>
    <definedName name="JEDetail" localSheetId="8">#REF!</definedName>
    <definedName name="JEDetail" localSheetId="7">#REF!</definedName>
    <definedName name="JEDetail" localSheetId="9">#REF!</definedName>
    <definedName name="JEDetail">#REF!</definedName>
    <definedName name="JEDetail1" localSheetId="27">#REF!</definedName>
    <definedName name="JEDetail1" localSheetId="17">#REF!</definedName>
    <definedName name="JEDetail1" localSheetId="18">#REF!</definedName>
    <definedName name="JEDetail1" localSheetId="19">#REF!</definedName>
    <definedName name="JEDetail1" localSheetId="8">#REF!</definedName>
    <definedName name="JEDetail1">#REF!</definedName>
    <definedName name="JEType" localSheetId="29">#REF!</definedName>
    <definedName name="JEType" localSheetId="27">#REF!</definedName>
    <definedName name="JEType" localSheetId="17">#REF!</definedName>
    <definedName name="JEType" localSheetId="18">#REF!</definedName>
    <definedName name="JEType" localSheetId="19">#REF!</definedName>
    <definedName name="JEType" localSheetId="8">#REF!</definedName>
    <definedName name="JEType" localSheetId="7">#REF!</definedName>
    <definedName name="JEType" localSheetId="9">#REF!</definedName>
    <definedName name="JEType">#REF!</definedName>
    <definedName name="JEType1" localSheetId="27">#REF!</definedName>
    <definedName name="JEType1" localSheetId="17">#REF!</definedName>
    <definedName name="JEType1" localSheetId="18">#REF!</definedName>
    <definedName name="JEType1" localSheetId="19">#REF!</definedName>
    <definedName name="JEType1" localSheetId="8">#REF!</definedName>
    <definedName name="JEType1">#REF!</definedName>
    <definedName name="Juris1CanCount">[19]Cust_Count1!$C$60</definedName>
    <definedName name="Juris1CanTons">[19]Cust_Count1!$C$30</definedName>
    <definedName name="Juris1ComYd">'[19]Gross Yardage Worksheet'!$L$16</definedName>
    <definedName name="Juris1CustCnt">[19]Cust_Count2!$E$39</definedName>
    <definedName name="Juris1MultiYd">'[19]Gross Yardage Worksheet'!$X$16</definedName>
    <definedName name="Juris1SeasonalYds">'[19]Gross Yardage Worksheet'!$R$18</definedName>
    <definedName name="Juris1XtraYds">[19]Cust_Count2!$E$28</definedName>
    <definedName name="Juris2CanCount">[19]Cust_Count1!$D$60</definedName>
    <definedName name="Juris2CanTons">[19]Cust_Count1!$D$30</definedName>
    <definedName name="Juris2ComYd">'[19]Gross Yardage Worksheet'!$L$33</definedName>
    <definedName name="Juris2CustCnt">[19]Cust_Count2!$F$39</definedName>
    <definedName name="Juris2MultiYd">'[19]Gross Yardage Worksheet'!$X$33</definedName>
    <definedName name="Juris2SeasonalYds">'[19]Gross Yardage Worksheet'!$R$35</definedName>
    <definedName name="Juris2XtraYds">[19]Cust_Count2!$F$28</definedName>
    <definedName name="Juris3CanCount">[19]Cust_Count1!$E$60</definedName>
    <definedName name="Juris3CanTons">[19]Cust_Count1!$E$30</definedName>
    <definedName name="Juris3ComYd">'[19]Gross Yardage Worksheet'!$L$51</definedName>
    <definedName name="Juris3CustCnt">[19]Cust_Count2!$G$39</definedName>
    <definedName name="Juris3MultiYd">'[19]Gross Yardage Worksheet'!$X$51</definedName>
    <definedName name="Juris3SeasonalYds">'[19]Gross Yardage Worksheet'!$R$53</definedName>
    <definedName name="Juris3XtraYds">[19]Cust_Count2!$G$28</definedName>
    <definedName name="Juris4CanCount">[19]Cust_Count1!$F$60</definedName>
    <definedName name="Juris4CanTons">[19]Cust_Count1!$F$30</definedName>
    <definedName name="Juris4ComYd">'[19]Gross Yardage Worksheet'!$L$68</definedName>
    <definedName name="Juris4CustCnt">[19]Cust_Count2!$H$39</definedName>
    <definedName name="Juris4MultiYd">'[19]Gross Yardage Worksheet'!$X$68</definedName>
    <definedName name="Juris4SeasonalYds">'[19]Gross Yardage Worksheet'!$R$70</definedName>
    <definedName name="Juris4XtraYds">[19]Cust_Count2!$H$28</definedName>
    <definedName name="Juris5CanCount">[19]Cust_Count1!$G$60</definedName>
    <definedName name="Juris5CanTons">[19]Cust_Count1!$G$30</definedName>
    <definedName name="Juris5ComYD">'[19]Gross Yardage Worksheet'!$L$85</definedName>
    <definedName name="Juris5CustCnt">[19]Cust_Count2!$I$39</definedName>
    <definedName name="Juris5MultiYd">'[19]Gross Yardage Worksheet'!$X$85</definedName>
    <definedName name="Juris5SeasonalYds">'[19]Gross Yardage Worksheet'!$R$87</definedName>
    <definedName name="Juris5XtraYds">[19]Cust_Count2!$I$28</definedName>
    <definedName name="Jurisdiction_1">'[19]Title Inputs'!$C$5</definedName>
    <definedName name="Jurisdiction_2">'[19]Title Inputs'!$C$6</definedName>
    <definedName name="Jurisdiction_3">'[19]Title Inputs'!$C$7</definedName>
    <definedName name="Jurisdiction_4">'[19]Title Inputs'!$C$8</definedName>
    <definedName name="Jurisdiction_5">'[19]Title Inputs'!$C$9</definedName>
    <definedName name="lblBillAreaStatus" localSheetId="0">#REF!</definedName>
    <definedName name="lblBillAreaStatus" localSheetId="6">#REF!</definedName>
    <definedName name="lblBillAreaStatus" localSheetId="29">#REF!</definedName>
    <definedName name="lblBillAreaStatus" localSheetId="27">#REF!</definedName>
    <definedName name="lblBillAreaStatus" localSheetId="17">#REF!</definedName>
    <definedName name="lblBillAreaStatus" localSheetId="18">#REF!</definedName>
    <definedName name="lblBillAreaStatus" localSheetId="19">#REF!</definedName>
    <definedName name="lblBillAreaStatus" localSheetId="8">#REF!</definedName>
    <definedName name="lblBillAreaStatus" localSheetId="7">#REF!</definedName>
    <definedName name="lblBillAreaStatus" localSheetId="9">#REF!</definedName>
    <definedName name="lblBillAreaStatus">#REF!</definedName>
    <definedName name="lblBillCycleStatus" localSheetId="6">#REF!</definedName>
    <definedName name="lblBillCycleStatus" localSheetId="29">#REF!</definedName>
    <definedName name="lblBillCycleStatus" localSheetId="27">#REF!</definedName>
    <definedName name="lblBillCycleStatus" localSheetId="17">#REF!</definedName>
    <definedName name="lblBillCycleStatus" localSheetId="18">#REF!</definedName>
    <definedName name="lblBillCycleStatus" localSheetId="19">#REF!</definedName>
    <definedName name="lblBillCycleStatus" localSheetId="8">#REF!</definedName>
    <definedName name="lblBillCycleStatus" localSheetId="7">#REF!</definedName>
    <definedName name="lblBillCycleStatus" localSheetId="9">#REF!</definedName>
    <definedName name="lblBillCycleStatus">#REF!</definedName>
    <definedName name="lblCategoryStatus" localSheetId="6">#REF!</definedName>
    <definedName name="lblCategoryStatus" localSheetId="29">#REF!</definedName>
    <definedName name="lblCategoryStatus" localSheetId="27">#REF!</definedName>
    <definedName name="lblCategoryStatus" localSheetId="17">#REF!</definedName>
    <definedName name="lblCategoryStatus" localSheetId="18">#REF!</definedName>
    <definedName name="lblCategoryStatus" localSheetId="19">#REF!</definedName>
    <definedName name="lblCategoryStatus" localSheetId="8">#REF!</definedName>
    <definedName name="lblCategoryStatus" localSheetId="7">#REF!</definedName>
    <definedName name="lblCategoryStatus" localSheetId="9">#REF!</definedName>
    <definedName name="lblCategoryStatus">#REF!</definedName>
    <definedName name="lblCompanyStatus" localSheetId="29">#REF!</definedName>
    <definedName name="lblCompanyStatus" localSheetId="27">#REF!</definedName>
    <definedName name="lblCompanyStatus" localSheetId="17">#REF!</definedName>
    <definedName name="lblCompanyStatus" localSheetId="18">#REF!</definedName>
    <definedName name="lblCompanyStatus" localSheetId="19">#REF!</definedName>
    <definedName name="lblCompanyStatus" localSheetId="8">#REF!</definedName>
    <definedName name="lblCompanyStatus" localSheetId="7">#REF!</definedName>
    <definedName name="lblCompanyStatus" localSheetId="9">#REF!</definedName>
    <definedName name="lblCompanyStatus">#REF!</definedName>
    <definedName name="lblDatabaseStatus" localSheetId="29">#REF!</definedName>
    <definedName name="lblDatabaseStatus" localSheetId="27">#REF!</definedName>
    <definedName name="lblDatabaseStatus" localSheetId="17">#REF!</definedName>
    <definedName name="lblDatabaseStatus" localSheetId="18">#REF!</definedName>
    <definedName name="lblDatabaseStatus" localSheetId="19">#REF!</definedName>
    <definedName name="lblDatabaseStatus" localSheetId="8">#REF!</definedName>
    <definedName name="lblDatabaseStatus" localSheetId="7">#REF!</definedName>
    <definedName name="lblDatabaseStatus" localSheetId="9">#REF!</definedName>
    <definedName name="lblDatabaseStatus">#REF!</definedName>
    <definedName name="lblPullStatus" localSheetId="29">#REF!</definedName>
    <definedName name="lblPullStatus" localSheetId="27">#REF!</definedName>
    <definedName name="lblPullStatus" localSheetId="17">#REF!</definedName>
    <definedName name="lblPullStatus" localSheetId="18">#REF!</definedName>
    <definedName name="lblPullStatus" localSheetId="19">#REF!</definedName>
    <definedName name="lblPullStatus" localSheetId="8">#REF!</definedName>
    <definedName name="lblPullStatus" localSheetId="7">#REF!</definedName>
    <definedName name="lblPullStatus" localSheetId="9">#REF!</definedName>
    <definedName name="lblPullStatus">#REF!</definedName>
    <definedName name="lllllllllllllllllllll" localSheetId="29">#REF!</definedName>
    <definedName name="lllllllllllllllllllll" localSheetId="10">#REF!</definedName>
    <definedName name="lllllllllllllllllllll" localSheetId="27">#REF!</definedName>
    <definedName name="lllllllllllllllllllll" localSheetId="17">#REF!</definedName>
    <definedName name="lllllllllllllllllllll" localSheetId="18">#REF!</definedName>
    <definedName name="lllllllllllllllllllll" localSheetId="19">#REF!</definedName>
    <definedName name="lllllllllllllllllllll" localSheetId="8">#REF!</definedName>
    <definedName name="lllllllllllllllllllll" localSheetId="7">#REF!</definedName>
    <definedName name="lllllllllllllllllllll" localSheetId="9">#REF!</definedName>
    <definedName name="lllllllllllllllllllll">#REF!</definedName>
    <definedName name="LOB" localSheetId="27">[38]DropDownRanges!$B$4:$B$37</definedName>
    <definedName name="LOB">[38]DropDownRanges!$B$4:$B$37</definedName>
    <definedName name="LU_Line" localSheetId="0">#REF!</definedName>
    <definedName name="LU_Line" localSheetId="6">#REF!</definedName>
    <definedName name="LU_Line" localSheetId="17">#REF!</definedName>
    <definedName name="LU_Line" localSheetId="18">#REF!</definedName>
    <definedName name="LU_Line" localSheetId="19">#REF!</definedName>
    <definedName name="LU_Line" localSheetId="7">#REF!</definedName>
    <definedName name="LU_Line">#REF!</definedName>
    <definedName name="MainDataEnd" localSheetId="6">#REF!</definedName>
    <definedName name="MainDataEnd" localSheetId="29">#REF!</definedName>
    <definedName name="MainDataEnd" localSheetId="27">#REF!</definedName>
    <definedName name="MainDataEnd" localSheetId="17">#REF!</definedName>
    <definedName name="MainDataEnd" localSheetId="18">#REF!</definedName>
    <definedName name="MainDataEnd" localSheetId="19">#REF!</definedName>
    <definedName name="MainDataEnd" localSheetId="8">#REF!</definedName>
    <definedName name="MainDataEnd" localSheetId="7">#REF!</definedName>
    <definedName name="MainDataEnd" localSheetId="9">#REF!</definedName>
    <definedName name="MainDataEnd">#REF!</definedName>
    <definedName name="MainDataStart" localSheetId="6">#REF!</definedName>
    <definedName name="MainDataStart" localSheetId="29">#REF!</definedName>
    <definedName name="MainDataStart" localSheetId="27">#REF!</definedName>
    <definedName name="MainDataStart" localSheetId="17">#REF!</definedName>
    <definedName name="MainDataStart" localSheetId="18">#REF!</definedName>
    <definedName name="MainDataStart" localSheetId="19">#REF!</definedName>
    <definedName name="MainDataStart" localSheetId="8">#REF!</definedName>
    <definedName name="MainDataStart" localSheetId="7">#REF!</definedName>
    <definedName name="MainDataStart" localSheetId="9">#REF!</definedName>
    <definedName name="MainDataStart">#REF!</definedName>
    <definedName name="MapKeyStart" localSheetId="29">#REF!</definedName>
    <definedName name="MapKeyStart" localSheetId="27">#REF!</definedName>
    <definedName name="MapKeyStart" localSheetId="17">#REF!</definedName>
    <definedName name="MapKeyStart" localSheetId="18">#REF!</definedName>
    <definedName name="MapKeyStart" localSheetId="19">#REF!</definedName>
    <definedName name="MapKeyStart" localSheetId="8">#REF!</definedName>
    <definedName name="MapKeyStart" localSheetId="7">#REF!</definedName>
    <definedName name="MapKeyStart" localSheetId="9">#REF!</definedName>
    <definedName name="MapKeyStart">#REF!</definedName>
    <definedName name="master_def" localSheetId="29">#REF!</definedName>
    <definedName name="master_def" localSheetId="10">#REF!</definedName>
    <definedName name="master_def" localSheetId="27">#REF!</definedName>
    <definedName name="master_def" localSheetId="17">#REF!</definedName>
    <definedName name="master_def" localSheetId="18">#REF!</definedName>
    <definedName name="master_def" localSheetId="19">#REF!</definedName>
    <definedName name="master_def" localSheetId="8">#REF!</definedName>
    <definedName name="master_def" localSheetId="7">#REF!</definedName>
    <definedName name="master_def" localSheetId="9">#REF!</definedName>
    <definedName name="master_def">#REF!</definedName>
    <definedName name="MATRIX" localSheetId="27">#REF!</definedName>
    <definedName name="MATRIX" localSheetId="17">#REF!</definedName>
    <definedName name="MATRIX" localSheetId="18">#REF!</definedName>
    <definedName name="MATRIX" localSheetId="19">#REF!</definedName>
    <definedName name="MATRIX" localSheetId="8">#REF!</definedName>
    <definedName name="MATRIX" localSheetId="7">#REF!</definedName>
    <definedName name="MATRIX">#REF!</definedName>
    <definedName name="MemoAttachment" localSheetId="29">#REF!</definedName>
    <definedName name="MemoAttachment" localSheetId="27">#REF!</definedName>
    <definedName name="MemoAttachment" localSheetId="17">#REF!</definedName>
    <definedName name="MemoAttachment" localSheetId="18">#REF!</definedName>
    <definedName name="MemoAttachment" localSheetId="19">#REF!</definedName>
    <definedName name="MemoAttachment" localSheetId="8">#REF!</definedName>
    <definedName name="MemoAttachment" localSheetId="7">#REF!</definedName>
    <definedName name="MemoAttachment" localSheetId="9">#REF!</definedName>
    <definedName name="MemoAttachment">#REF!</definedName>
    <definedName name="MetaSet">[1]Orientation!$C$22</definedName>
    <definedName name="MFStaffPriceOut" localSheetId="0">'[21]Price Out-Reg EASTSIDE-Resi'!#REF!</definedName>
    <definedName name="MFStaffPriceOut" localSheetId="6">'[21]Price Out-Reg EASTSIDE-Resi'!#REF!</definedName>
    <definedName name="MFStaffPriceOut" localSheetId="27">'[21]Price Out-Reg EASTSIDE-Resi'!#REF!</definedName>
    <definedName name="MFStaffPriceOut" localSheetId="17">'[21]Price Out-Reg EASTSIDE-Resi'!#REF!</definedName>
    <definedName name="MFStaffPriceOut" localSheetId="18">'[21]Price Out-Reg EASTSIDE-Resi'!#REF!</definedName>
    <definedName name="MFStaffPriceOut" localSheetId="19">'[21]Price Out-Reg EASTSIDE-Resi'!#REF!</definedName>
    <definedName name="MFStaffPriceOut" localSheetId="8">'[21]Price Out-Reg EASTSIDE-Resi'!#REF!</definedName>
    <definedName name="MFStaffPriceOut" localSheetId="7">'[21]Price Out-Reg EASTSIDE-Resi'!#REF!</definedName>
    <definedName name="MFStaffPriceOut">'[21]Price Out-Reg EASTSIDE-Resi'!#REF!</definedName>
    <definedName name="MILTON" localSheetId="0">#REF!</definedName>
    <definedName name="MILTON" localSheetId="6">#REF!</definedName>
    <definedName name="MILTON" localSheetId="27">#REF!</definedName>
    <definedName name="MILTON" localSheetId="17">#REF!</definedName>
    <definedName name="MILTON" localSheetId="18">#REF!</definedName>
    <definedName name="MILTON" localSheetId="19">#REF!</definedName>
    <definedName name="MILTON" localSheetId="7">#REF!</definedName>
    <definedName name="MILTON">#REF!</definedName>
    <definedName name="Month" localSheetId="6">#REF!</definedName>
    <definedName name="Month" localSheetId="17">#REF!</definedName>
    <definedName name="Month" localSheetId="18">#REF!</definedName>
    <definedName name="Month" localSheetId="19">#REF!</definedName>
    <definedName name="Month" localSheetId="7">#REF!</definedName>
    <definedName name="Month">#REF!</definedName>
    <definedName name="MonthList" localSheetId="0">'[26]Lookup Tables'!$A$1:$A$13</definedName>
    <definedName name="MonthList" localSheetId="6">'[27]Lookup Tables'!$A$1:$A$13</definedName>
    <definedName name="MonthList" localSheetId="27">'[27]Lookup Tables'!$A$1:$A$13</definedName>
    <definedName name="MonthList" localSheetId="8">'[28]Lookup Tables'!$A$1:$A$13</definedName>
    <definedName name="MonthList" localSheetId="7">'[26]Lookup Tables'!$A$1:$A$13</definedName>
    <definedName name="MonthList" localSheetId="9">'[26]Lookup Tables'!$A$1:$A$13</definedName>
    <definedName name="MonthList">'[29]Lookup Tables'!$A$1:$A$13</definedName>
    <definedName name="NewLob" localSheetId="27">[38]DropDownRanges!$B$4:$B$37</definedName>
    <definedName name="NewLob">[38]DropDownRanges!$B$4:$B$37</definedName>
    <definedName name="NewOnlyOrg">#N/A</definedName>
    <definedName name="NewSource" localSheetId="27">[38]DropDownRanges!$D$4:$D$7</definedName>
    <definedName name="NewSource">[38]DropDownRanges!$D$4:$D$7</definedName>
    <definedName name="nn" localSheetId="0">#REF!</definedName>
    <definedName name="nn" localSheetId="6">#REF!</definedName>
    <definedName name="nn" localSheetId="27">#REF!</definedName>
    <definedName name="nn" localSheetId="17">#REF!</definedName>
    <definedName name="nn" localSheetId="18">#REF!</definedName>
    <definedName name="nn" localSheetId="19">#REF!</definedName>
    <definedName name="nn" localSheetId="8">#REF!</definedName>
    <definedName name="nn" localSheetId="7">#REF!</definedName>
    <definedName name="nn" localSheetId="9">#REF!</definedName>
    <definedName name="nn">#REF!</definedName>
    <definedName name="NOTES" localSheetId="6">#REF!</definedName>
    <definedName name="NOTES" localSheetId="29">#REF!</definedName>
    <definedName name="NOTES" localSheetId="10">#REF!</definedName>
    <definedName name="NOTES" localSheetId="27">#REF!</definedName>
    <definedName name="NOTES" localSheetId="17">#REF!</definedName>
    <definedName name="NOTES" localSheetId="18">#REF!</definedName>
    <definedName name="NOTES" localSheetId="19">#REF!</definedName>
    <definedName name="NOTES" localSheetId="8">#REF!</definedName>
    <definedName name="NOTES" localSheetId="7">#REF!</definedName>
    <definedName name="NOTES" localSheetId="9">#REF!</definedName>
    <definedName name="NOTES">#REF!</definedName>
    <definedName name="NR" localSheetId="6">#REF!</definedName>
    <definedName name="NR" localSheetId="29">#REF!</definedName>
    <definedName name="NR" localSheetId="27">#REF!</definedName>
    <definedName name="NR" localSheetId="17">#REF!</definedName>
    <definedName name="NR" localSheetId="18">#REF!</definedName>
    <definedName name="NR" localSheetId="19">#REF!</definedName>
    <definedName name="NR" localSheetId="8">#REF!</definedName>
    <definedName name="NR" localSheetId="7">#REF!</definedName>
    <definedName name="NR" localSheetId="9">#REF!</definedName>
    <definedName name="NR">#REF!</definedName>
    <definedName name="OfficerSalary">#N/A</definedName>
    <definedName name="OffsetAcctBil">[39]JEexport!$L$10</definedName>
    <definedName name="OffsetAcctPmt">[39]JEexport!$L$9</definedName>
    <definedName name="Org11_13">#N/A</definedName>
    <definedName name="Org7_10">#N/A</definedName>
    <definedName name="OthCanTons">[20]Cust_Count1!$O$28</definedName>
    <definedName name="OthComYd">'[20]Gross Yardage Worksheet'!$L$82</definedName>
    <definedName name="OthCustCnt" localSheetId="0">#REF!</definedName>
    <definedName name="OthCustCnt" localSheetId="6">#REF!</definedName>
    <definedName name="OthCustCnt" localSheetId="17">#REF!</definedName>
    <definedName name="OthCustCnt" localSheetId="18">#REF!</definedName>
    <definedName name="OthCustCnt" localSheetId="19">#REF!</definedName>
    <definedName name="OthCustCnt" localSheetId="7">#REF!</definedName>
    <definedName name="OthCustCnt">#REF!</definedName>
    <definedName name="OthMultiYd">'[20]Gross Yardage Worksheet'!$L$98</definedName>
    <definedName name="OthXtraYds" localSheetId="0">#REF!</definedName>
    <definedName name="OthXtraYds" localSheetId="6">#REF!</definedName>
    <definedName name="OthXtraYds" localSheetId="17">#REF!</definedName>
    <definedName name="OthXtraYds" localSheetId="18">#REF!</definedName>
    <definedName name="OthXtraYds" localSheetId="19">#REF!</definedName>
    <definedName name="OthXtraYds" localSheetId="7">#REF!</definedName>
    <definedName name="OthXtraYds">#REF!</definedName>
    <definedName name="p" localSheetId="6">#REF!</definedName>
    <definedName name="p" localSheetId="29">#REF!</definedName>
    <definedName name="p" localSheetId="27">#REF!</definedName>
    <definedName name="p" localSheetId="17">#REF!</definedName>
    <definedName name="p" localSheetId="18">#REF!</definedName>
    <definedName name="p" localSheetId="19">#REF!</definedName>
    <definedName name="p" localSheetId="8">#REF!</definedName>
    <definedName name="p" localSheetId="7">#REF!</definedName>
    <definedName name="p" localSheetId="9">#REF!</definedName>
    <definedName name="p">#REF!</definedName>
    <definedName name="PAGE_1" localSheetId="6">#REF!</definedName>
    <definedName name="PAGE_1" localSheetId="29">#REF!</definedName>
    <definedName name="PAGE_1" localSheetId="10">#REF!</definedName>
    <definedName name="PAGE_1" localSheetId="27">#REF!</definedName>
    <definedName name="PAGE_1" localSheetId="17">#REF!</definedName>
    <definedName name="PAGE_1" localSheetId="18">#REF!</definedName>
    <definedName name="PAGE_1" localSheetId="19">#REF!</definedName>
    <definedName name="PAGE_1" localSheetId="8">#REF!</definedName>
    <definedName name="PAGE_1" localSheetId="7">#REF!</definedName>
    <definedName name="PAGE_1" localSheetId="9">#REF!</definedName>
    <definedName name="PAGE_1">#REF!</definedName>
    <definedName name="Page10" localSheetId="17">#REF!</definedName>
    <definedName name="Page10" localSheetId="18">#REF!</definedName>
    <definedName name="Page10" localSheetId="19">#REF!</definedName>
    <definedName name="Page10">#REF!</definedName>
    <definedName name="Page10a" localSheetId="17">#REF!</definedName>
    <definedName name="Page10a" localSheetId="18">#REF!</definedName>
    <definedName name="Page10a" localSheetId="19">#REF!</definedName>
    <definedName name="Page10a">#REF!</definedName>
    <definedName name="page11" localSheetId="17">#REF!</definedName>
    <definedName name="page11" localSheetId="18">#REF!</definedName>
    <definedName name="page11" localSheetId="19">#REF!</definedName>
    <definedName name="page11">#REF!</definedName>
    <definedName name="page12" localSheetId="17">#REF!</definedName>
    <definedName name="page12" localSheetId="18">#REF!</definedName>
    <definedName name="page12" localSheetId="19">#REF!</definedName>
    <definedName name="page12">#REF!</definedName>
    <definedName name="Page16" localSheetId="27">#REF!</definedName>
    <definedName name="Page16" localSheetId="17">#REF!</definedName>
    <definedName name="Page16" localSheetId="18">#REF!</definedName>
    <definedName name="Page16" localSheetId="19">#REF!</definedName>
    <definedName name="Page16" localSheetId="8">#REF!</definedName>
    <definedName name="Page16" localSheetId="7">#REF!</definedName>
    <definedName name="Page16" localSheetId="9">#REF!</definedName>
    <definedName name="Page16">#REF!</definedName>
    <definedName name="Page17" localSheetId="27">#REF!</definedName>
    <definedName name="Page17" localSheetId="17">#REF!</definedName>
    <definedName name="Page17" localSheetId="18">#REF!</definedName>
    <definedName name="Page17" localSheetId="19">#REF!</definedName>
    <definedName name="Page17" localSheetId="8">#REF!</definedName>
    <definedName name="Page17" localSheetId="7">#REF!</definedName>
    <definedName name="Page17" localSheetId="9">#REF!</definedName>
    <definedName name="Page17">#REF!</definedName>
    <definedName name="Page18" localSheetId="5">#REF!</definedName>
    <definedName name="Page18" localSheetId="27">#REF!</definedName>
    <definedName name="Page18" localSheetId="17">#REF!</definedName>
    <definedName name="Page18" localSheetId="18">#REF!</definedName>
    <definedName name="Page18" localSheetId="19">#REF!</definedName>
    <definedName name="Page18" localSheetId="8">#REF!</definedName>
    <definedName name="Page18" localSheetId="7">#REF!</definedName>
    <definedName name="Page18" localSheetId="9">#REF!</definedName>
    <definedName name="Page18">#REF!</definedName>
    <definedName name="Page20" localSheetId="17">#REF!</definedName>
    <definedName name="Page20" localSheetId="18">#REF!</definedName>
    <definedName name="Page20" localSheetId="19">#REF!</definedName>
    <definedName name="Page20">#REF!</definedName>
    <definedName name="page7" localSheetId="17">#REF!</definedName>
    <definedName name="page7" localSheetId="18">#REF!</definedName>
    <definedName name="page7" localSheetId="19">#REF!</definedName>
    <definedName name="page7">#REF!</definedName>
    <definedName name="Page7a" localSheetId="27">#REF!</definedName>
    <definedName name="Page7a" localSheetId="17">#REF!</definedName>
    <definedName name="Page7a" localSheetId="18">#REF!</definedName>
    <definedName name="Page7a" localSheetId="19">#REF!</definedName>
    <definedName name="Page7a" localSheetId="8">#REF!</definedName>
    <definedName name="Page7a" localSheetId="7">#REF!</definedName>
    <definedName name="Page7a" localSheetId="9">#REF!</definedName>
    <definedName name="Page7a">#REF!</definedName>
    <definedName name="pBatchID" localSheetId="29">#REF!</definedName>
    <definedName name="pBatchID" localSheetId="27">#REF!</definedName>
    <definedName name="pBatchID" localSheetId="17">#REF!</definedName>
    <definedName name="pBatchID" localSheetId="18">#REF!</definedName>
    <definedName name="pBatchID" localSheetId="19">#REF!</definedName>
    <definedName name="pBatchID" localSheetId="8">#REF!</definedName>
    <definedName name="pBatchID" localSheetId="7">#REF!</definedName>
    <definedName name="pBatchID" localSheetId="9">#REF!</definedName>
    <definedName name="pBatchID">#REF!</definedName>
    <definedName name="pBillArea" localSheetId="29">#REF!</definedName>
    <definedName name="pBillArea" localSheetId="27">#REF!</definedName>
    <definedName name="pBillArea" localSheetId="17">#REF!</definedName>
    <definedName name="pBillArea" localSheetId="18">#REF!</definedName>
    <definedName name="pBillArea" localSheetId="19">#REF!</definedName>
    <definedName name="pBillArea" localSheetId="8">#REF!</definedName>
    <definedName name="pBillArea" localSheetId="7">#REF!</definedName>
    <definedName name="pBillArea" localSheetId="9">#REF!</definedName>
    <definedName name="pBillArea">#REF!</definedName>
    <definedName name="pBillCycle" localSheetId="29">#REF!</definedName>
    <definedName name="pBillCycle" localSheetId="27">#REF!</definedName>
    <definedName name="pBillCycle" localSheetId="17">#REF!</definedName>
    <definedName name="pBillCycle" localSheetId="18">#REF!</definedName>
    <definedName name="pBillCycle" localSheetId="19">#REF!</definedName>
    <definedName name="pBillCycle" localSheetId="8">#REF!</definedName>
    <definedName name="pBillCycle" localSheetId="7">#REF!</definedName>
    <definedName name="pBillCycle" localSheetId="9">#REF!</definedName>
    <definedName name="pBillCycle">#REF!</definedName>
    <definedName name="pCategory" localSheetId="29">#REF!</definedName>
    <definedName name="pCategory" localSheetId="27">#REF!</definedName>
    <definedName name="pCategory" localSheetId="17">#REF!</definedName>
    <definedName name="pCategory" localSheetId="18">#REF!</definedName>
    <definedName name="pCategory" localSheetId="19">#REF!</definedName>
    <definedName name="pCategory" localSheetId="8">#REF!</definedName>
    <definedName name="pCategory" localSheetId="7">#REF!</definedName>
    <definedName name="pCategory" localSheetId="9">#REF!</definedName>
    <definedName name="pCategory">#REF!</definedName>
    <definedName name="pCompany" localSheetId="29">#REF!</definedName>
    <definedName name="pCompany" localSheetId="27">#REF!</definedName>
    <definedName name="pCompany" localSheetId="17">#REF!</definedName>
    <definedName name="pCompany" localSheetId="18">#REF!</definedName>
    <definedName name="pCompany" localSheetId="19">#REF!</definedName>
    <definedName name="pCompany" localSheetId="8">#REF!</definedName>
    <definedName name="pCompany" localSheetId="7">#REF!</definedName>
    <definedName name="pCompany" localSheetId="9">#REF!</definedName>
    <definedName name="pCompany">#REF!</definedName>
    <definedName name="pCustomerNumber" localSheetId="29">#REF!</definedName>
    <definedName name="pCustomerNumber" localSheetId="27">#REF!</definedName>
    <definedName name="pCustomerNumber" localSheetId="17">#REF!</definedName>
    <definedName name="pCustomerNumber" localSheetId="18">#REF!</definedName>
    <definedName name="pCustomerNumber" localSheetId="19">#REF!</definedName>
    <definedName name="pCustomerNumber" localSheetId="8">#REF!</definedName>
    <definedName name="pCustomerNumber" localSheetId="7">#REF!</definedName>
    <definedName name="pCustomerNumber" localSheetId="9">#REF!</definedName>
    <definedName name="pCustomerNumber">#REF!</definedName>
    <definedName name="pDatabase" localSheetId="29">#REF!</definedName>
    <definedName name="pDatabase" localSheetId="27">#REF!</definedName>
    <definedName name="pDatabase" localSheetId="17">#REF!</definedName>
    <definedName name="pDatabase" localSheetId="18">#REF!</definedName>
    <definedName name="pDatabase" localSheetId="19">#REF!</definedName>
    <definedName name="pDatabase" localSheetId="8">#REF!</definedName>
    <definedName name="pDatabase" localSheetId="7">#REF!</definedName>
    <definedName name="pDatabase" localSheetId="9">#REF!</definedName>
    <definedName name="pDatabase">#REF!</definedName>
    <definedName name="pEndPostDate" localSheetId="29">#REF!</definedName>
    <definedName name="pEndPostDate" localSheetId="27">#REF!</definedName>
    <definedName name="pEndPostDate" localSheetId="17">#REF!</definedName>
    <definedName name="pEndPostDate" localSheetId="18">#REF!</definedName>
    <definedName name="pEndPostDate" localSheetId="19">#REF!</definedName>
    <definedName name="pEndPostDate" localSheetId="8">#REF!</definedName>
    <definedName name="pEndPostDate" localSheetId="7">#REF!</definedName>
    <definedName name="pEndPostDate" localSheetId="9">#REF!</definedName>
    <definedName name="pEndPostDate">#REF!</definedName>
    <definedName name="Period" localSheetId="29">#REF!</definedName>
    <definedName name="Period" localSheetId="10">#REF!</definedName>
    <definedName name="Period" localSheetId="27">#REF!</definedName>
    <definedName name="Period" localSheetId="17">#REF!</definedName>
    <definedName name="Period" localSheetId="18">#REF!</definedName>
    <definedName name="Period" localSheetId="19">#REF!</definedName>
    <definedName name="Period" localSheetId="8">#REF!</definedName>
    <definedName name="Period" localSheetId="7">#REF!</definedName>
    <definedName name="Period" localSheetId="9">#REF!</definedName>
    <definedName name="Period">#REF!</definedName>
    <definedName name="Pfd_weighted" localSheetId="17">'LG BRG - MSW'!$U$56</definedName>
    <definedName name="Pfd_weighted" localSheetId="18">'LG BRG - Recycle'!$U$56</definedName>
    <definedName name="Pfd_weighted" localSheetId="16">'LG BRG - Total'!$U$56</definedName>
    <definedName name="Pfd_weighted" localSheetId="19">'LG BRG - Yard Waste'!$U$56</definedName>
    <definedName name="pMonth" localSheetId="0">#REF!</definedName>
    <definedName name="pMonth" localSheetId="29">#REF!</definedName>
    <definedName name="pMonth" localSheetId="27">#REF!</definedName>
    <definedName name="pMonth" localSheetId="17">#REF!</definedName>
    <definedName name="pMonth" localSheetId="18">#REF!</definedName>
    <definedName name="pMonth" localSheetId="19">#REF!</definedName>
    <definedName name="pMonth" localSheetId="8">#REF!</definedName>
    <definedName name="pMonth" localSheetId="7">#REF!</definedName>
    <definedName name="pMonth" localSheetId="9">#REF!</definedName>
    <definedName name="pMonth">#REF!</definedName>
    <definedName name="pOnlyShowLastTranx" localSheetId="29">#REF!</definedName>
    <definedName name="pOnlyShowLastTranx" localSheetId="27">#REF!</definedName>
    <definedName name="pOnlyShowLastTranx" localSheetId="17">#REF!</definedName>
    <definedName name="pOnlyShowLastTranx" localSheetId="18">#REF!</definedName>
    <definedName name="pOnlyShowLastTranx" localSheetId="19">#REF!</definedName>
    <definedName name="pOnlyShowLastTranx" localSheetId="8">#REF!</definedName>
    <definedName name="pOnlyShowLastTranx" localSheetId="7">#REF!</definedName>
    <definedName name="pOnlyShowLastTranx" localSheetId="9">#REF!</definedName>
    <definedName name="pOnlyShowLastTranx">#REF!</definedName>
    <definedName name="Posting" localSheetId="0">#REF!</definedName>
    <definedName name="Posting" localSheetId="21">'41201 JE Query'!$P$15</definedName>
    <definedName name="Posting" localSheetId="20">'5 Year Insurance (C)'!$P$15</definedName>
    <definedName name="Posting" localSheetId="23">'70195 JE Query (C)'!$P$15</definedName>
    <definedName name="Posting" localSheetId="25">'70235 JE Query (C)'!$P$15</definedName>
    <definedName name="Posting" localSheetId="24">'70255 JE Query (C)'!$P$15</definedName>
    <definedName name="Posting" localSheetId="26">'91010 JE Query'!$P$15</definedName>
    <definedName name="Posting" localSheetId="27">#REF!</definedName>
    <definedName name="Posting" localSheetId="17">#REF!</definedName>
    <definedName name="Posting" localSheetId="18">#REF!</definedName>
    <definedName name="Posting" localSheetId="19">#REF!</definedName>
    <definedName name="Posting" localSheetId="8">#REF!</definedName>
    <definedName name="Posting" localSheetId="9">#REF!</definedName>
    <definedName name="Posting">#REF!</definedName>
    <definedName name="primtbl">[1]Orientation!$C$23</definedName>
    <definedName name="_xlnm.Print_Area" localSheetId="0">'2195 IS (C)'!$D$6:$AH$327</definedName>
    <definedName name="_xlnm.Print_Area" localSheetId="14">'2195_BS 03-2021 (C)'!$D$7:$V$235</definedName>
    <definedName name="_xlnm.Print_Area" localSheetId="15">'2195_BS 03-2022 (C)'!$D$7:$V$236</definedName>
    <definedName name="_xlnm.Print_Area" localSheetId="21">'41201 JE Query'!$B$9:$P$71,'41201 JE Query'!$B$74:$E$100</definedName>
    <definedName name="_xlnm.Print_Area" localSheetId="22">'43001 JE Query'!$A:$Q</definedName>
    <definedName name="_xlnm.Print_Area" localSheetId="20">'5 Year Insurance (C)'!$B$9:$Q$216,'5 Year Insurance (C)'!$B$222:$J$242</definedName>
    <definedName name="_xlnm.Print_Area" localSheetId="23">'70195 JE Query (C)'!$A:$Q</definedName>
    <definedName name="_xlnm.Print_Area" localSheetId="25">'70235 JE Query (C)'!$A:$Q</definedName>
    <definedName name="_xlnm.Print_Area" localSheetId="24">'70255 JE Query (C)'!$A:$Q</definedName>
    <definedName name="_xlnm.Print_Area" localSheetId="26">'91010 JE Query'!$A:$Q</definedName>
    <definedName name="_xlnm.Print_Area" localSheetId="5">'Allocators (C)'!$A$1:$H$137</definedName>
    <definedName name="_xlnm.Print_Area" localSheetId="30">'Corp BS &amp; IS'!$A$1:$L$91</definedName>
    <definedName name="_xlnm.Print_Area" localSheetId="29">'Corp-OH (C)'!$A$1:$H$91</definedName>
    <definedName name="_xlnm.Print_Area" localSheetId="10">'Depr Summary (C)'!$A$1:$P$81</definedName>
    <definedName name="_xlnm.Print_Area" localSheetId="11">'Disposal 4.21-3-22'!$A$1:$M$68,'Disposal 4.21-3-22'!$O$4:$Z$24,'Disposal 4.21-3-22'!$AB$4:$AM$24</definedName>
    <definedName name="_xlnm.Print_Area" localSheetId="27">'DVP-DivCon Allocs  (C)'!$A$13:$R$51</definedName>
    <definedName name="_xlnm.Print_Area" localSheetId="17">'LG BRG - MSW'!$F$2:$N$49</definedName>
    <definedName name="_xlnm.Print_Area" localSheetId="18">'LG BRG - Recycle'!$F$2:$N$49</definedName>
    <definedName name="_xlnm.Print_Area" localSheetId="16">'LG BRG - Total'!$F$2:$N$49</definedName>
    <definedName name="_xlnm.Print_Area" localSheetId="19">'LG BRG - Yard Waste'!$F$2:$N$49</definedName>
    <definedName name="_xlnm.Print_Area" localSheetId="1">'Master IS (C)'!$A$1:$O$343</definedName>
    <definedName name="_xlnm.Print_Area" localSheetId="8">'Payroll Summary (C)'!$A$1:$W$174,'Payroll Summary (C)'!$A$177:$U$296</definedName>
    <definedName name="_xlnm.Print_Area" localSheetId="4">'Pro forma Adj (C)'!$A$1:$G$57</definedName>
    <definedName name="_xlnm.Print_Area" localSheetId="7">'Proposed Rates'!$A$1:$K$365</definedName>
    <definedName name="_xlnm.Print_Area" localSheetId="28">'Region OH (C)'!$G$1:$AH$52,'Region OH (C)'!$AJ$3:$AP$124</definedName>
    <definedName name="_xlnm.Print_Area" localSheetId="3">'Restating Adj (C)'!$A$1:$L$22,'Restating Adj (C)'!$A$24:$F$76</definedName>
    <definedName name="_xlnm.Print_Area" localSheetId="2">'Yakima LOB (C)'!$A$1:$I$335</definedName>
    <definedName name="_xlnm.Print_Area" localSheetId="9">'Yakima Regulated Price Out'!$A$1:$BI$196</definedName>
    <definedName name="_xlnm.Print_Area">#REF!</definedName>
    <definedName name="Print_Area_MI" localSheetId="6">#REF!</definedName>
    <definedName name="Print_Area_MI" localSheetId="29">#REF!</definedName>
    <definedName name="Print_Area_MI" localSheetId="10">#REF!</definedName>
    <definedName name="Print_Area_MI" localSheetId="27">#REF!</definedName>
    <definedName name="Print_Area_MI" localSheetId="17">#REF!</definedName>
    <definedName name="Print_Area_MI" localSheetId="18">#REF!</definedName>
    <definedName name="Print_Area_MI" localSheetId="16">#REF!</definedName>
    <definedName name="Print_Area_MI" localSheetId="19">#REF!</definedName>
    <definedName name="Print_Area_MI" localSheetId="8">#REF!</definedName>
    <definedName name="Print_Area_MI" localSheetId="7">#REF!</definedName>
    <definedName name="Print_Area_MI" localSheetId="9">#REF!</definedName>
    <definedName name="Print_Area_MI">#REF!</definedName>
    <definedName name="Print_Area_MIc" localSheetId="6">#REF!</definedName>
    <definedName name="Print_Area_MIc" localSheetId="27">#REF!</definedName>
    <definedName name="Print_Area_MIc" localSheetId="17">#REF!</definedName>
    <definedName name="Print_Area_MIc" localSheetId="18">#REF!</definedName>
    <definedName name="Print_Area_MIc" localSheetId="16">#REF!</definedName>
    <definedName name="Print_Area_MIc" localSheetId="19">#REF!</definedName>
    <definedName name="Print_Area_MIc" localSheetId="8">#REF!</definedName>
    <definedName name="Print_Area_MIc">#REF!</definedName>
    <definedName name="Print_Area1" localSheetId="29">#REF!</definedName>
    <definedName name="Print_Area1" localSheetId="10">#REF!</definedName>
    <definedName name="Print_Area1" localSheetId="27">#REF!</definedName>
    <definedName name="Print_Area1" localSheetId="17">#REF!</definedName>
    <definedName name="Print_Area1" localSheetId="18">#REF!</definedName>
    <definedName name="Print_Area1" localSheetId="19">#REF!</definedName>
    <definedName name="Print_Area1" localSheetId="8">#REF!</definedName>
    <definedName name="Print_Area1" localSheetId="7">#REF!</definedName>
    <definedName name="Print_Area1" localSheetId="9">#REF!</definedName>
    <definedName name="Print_Area1">#REF!</definedName>
    <definedName name="Print_Area2" localSheetId="29">#REF!</definedName>
    <definedName name="Print_Area2" localSheetId="10">#REF!</definedName>
    <definedName name="Print_Area2" localSheetId="27">#REF!</definedName>
    <definedName name="Print_Area2" localSheetId="17">#REF!</definedName>
    <definedName name="Print_Area2" localSheetId="18">#REF!</definedName>
    <definedName name="Print_Area2" localSheetId="19">#REF!</definedName>
    <definedName name="Print_Area2" localSheetId="8">#REF!</definedName>
    <definedName name="Print_Area2" localSheetId="7">#REF!</definedName>
    <definedName name="Print_Area2" localSheetId="9">#REF!</definedName>
    <definedName name="Print_Area2">#REF!</definedName>
    <definedName name="Print_Area3" localSheetId="29">#REF!</definedName>
    <definedName name="Print_Area3" localSheetId="10">#REF!</definedName>
    <definedName name="Print_Area3" localSheetId="27">#REF!</definedName>
    <definedName name="Print_Area3" localSheetId="17">#REF!</definedName>
    <definedName name="Print_Area3" localSheetId="18">#REF!</definedName>
    <definedName name="Print_Area3" localSheetId="19">#REF!</definedName>
    <definedName name="Print_Area3" localSheetId="8">#REF!</definedName>
    <definedName name="Print_Area3" localSheetId="7">#REF!</definedName>
    <definedName name="Print_Area3" localSheetId="9">#REF!</definedName>
    <definedName name="Print_Area3">#REF!</definedName>
    <definedName name="Print_Area5" localSheetId="29">#REF!</definedName>
    <definedName name="Print_Area5" localSheetId="10">#REF!</definedName>
    <definedName name="Print_Area5" localSheetId="27">#REF!</definedName>
    <definedName name="Print_Area5" localSheetId="17">#REF!</definedName>
    <definedName name="Print_Area5" localSheetId="18">#REF!</definedName>
    <definedName name="Print_Area5" localSheetId="19">#REF!</definedName>
    <definedName name="Print_Area5" localSheetId="8">#REF!</definedName>
    <definedName name="Print_Area5" localSheetId="7">#REF!</definedName>
    <definedName name="Print_Area5" localSheetId="9">#REF!</definedName>
    <definedName name="Print_Area5">#REF!</definedName>
    <definedName name="_xlnm.Print_Titles" localSheetId="0">'2195 IS (C)'!$D:$H,'2195 IS (C)'!$6:$13</definedName>
    <definedName name="_xlnm.Print_Titles" localSheetId="14">'2195_BS 03-2021 (C)'!$D:$H,'2195_BS 03-2021 (C)'!$7:$15</definedName>
    <definedName name="_xlnm.Print_Titles" localSheetId="15">'2195_BS 03-2022 (C)'!$D:$H,'2195_BS 03-2022 (C)'!$7:$15</definedName>
    <definedName name="_xlnm.Print_Titles" localSheetId="21">'41201 JE Query'!$B:$B,'41201 JE Query'!$9:$20</definedName>
    <definedName name="_xlnm.Print_Titles" localSheetId="22">'43001 JE Query'!$B:$B,'43001 JE Query'!$9:$20</definedName>
    <definedName name="_xlnm.Print_Titles" localSheetId="20">'5 Year Insurance (C)'!$B:$B,'5 Year Insurance (C)'!$9:$20</definedName>
    <definedName name="_xlnm.Print_Titles" localSheetId="23">'70195 JE Query (C)'!$B:$B,'70195 JE Query (C)'!$9:$20</definedName>
    <definedName name="_xlnm.Print_Titles" localSheetId="25">'70235 JE Query (C)'!$B:$B,'70235 JE Query (C)'!$9:$20</definedName>
    <definedName name="_xlnm.Print_Titles" localSheetId="24">'70255 JE Query (C)'!$B:$B,'70255 JE Query (C)'!$9:$20</definedName>
    <definedName name="_xlnm.Print_Titles" localSheetId="26">'91010 JE Query'!$B:$B,'91010 JE Query'!$9:$20</definedName>
    <definedName name="_xlnm.Print_Titles" localSheetId="29">'Corp-OH (C)'!$7:$10</definedName>
    <definedName name="_xlnm.Print_Titles" localSheetId="1">'Master IS (C)'!$B:$D,'Master IS (C)'!$1:$22</definedName>
    <definedName name="_xlnm.Print_Titles" localSheetId="8">'Payroll Summary (C)'!$A:$C,'Payroll Summary (C)'!$13:$13</definedName>
    <definedName name="_xlnm.Print_Titles" localSheetId="7">'Proposed Rates'!$1:$12</definedName>
    <definedName name="_xlnm.Print_Titles" localSheetId="28">'Region OH (C)'!$A:$E,'Region OH (C)'!$1:$7</definedName>
    <definedName name="_xlnm.Print_Titles" localSheetId="9">'Yakima Regulated Price Out'!$A:$B,'Yakima Regulated Price Out'!$4:$5</definedName>
    <definedName name="Print1" localSheetId="0">#REF!</definedName>
    <definedName name="Print1" localSheetId="29">#REF!</definedName>
    <definedName name="Print1" localSheetId="10">#REF!</definedName>
    <definedName name="Print1" localSheetId="27">#REF!</definedName>
    <definedName name="Print1" localSheetId="17">#REF!</definedName>
    <definedName name="Print1" localSheetId="18">#REF!</definedName>
    <definedName name="Print1" localSheetId="19">#REF!</definedName>
    <definedName name="Print1" localSheetId="8">#REF!</definedName>
    <definedName name="Print1" localSheetId="7">#REF!</definedName>
    <definedName name="Print1" localSheetId="9">#REF!</definedName>
    <definedName name="Print1">#REF!</definedName>
    <definedName name="Print2" localSheetId="29">#REF!</definedName>
    <definedName name="Print2" localSheetId="10">#REF!</definedName>
    <definedName name="Print2" localSheetId="27">#REF!</definedName>
    <definedName name="Print2" localSheetId="17">#REF!</definedName>
    <definedName name="Print2" localSheetId="18">#REF!</definedName>
    <definedName name="Print2" localSheetId="19">#REF!</definedName>
    <definedName name="Print2" localSheetId="8">#REF!</definedName>
    <definedName name="Print2" localSheetId="7">#REF!</definedName>
    <definedName name="Print2" localSheetId="9">#REF!</definedName>
    <definedName name="Print2">#REF!</definedName>
    <definedName name="Print5" localSheetId="29">#REF!</definedName>
    <definedName name="Print5" localSheetId="10">#REF!</definedName>
    <definedName name="Print5" localSheetId="27">#REF!</definedName>
    <definedName name="Print5" localSheetId="17">#REF!</definedName>
    <definedName name="Print5" localSheetId="18">#REF!</definedName>
    <definedName name="Print5" localSheetId="19">#REF!</definedName>
    <definedName name="Print5" localSheetId="8">#REF!</definedName>
    <definedName name="Print5" localSheetId="7">#REF!</definedName>
    <definedName name="Print5" localSheetId="9">#REF!</definedName>
    <definedName name="Print5">#REF!</definedName>
    <definedName name="ProRev" localSheetId="0">'[9]Pacific Regulated - Price Out'!$M$49</definedName>
    <definedName name="ProRev" localSheetId="6">'[10]Pacific Regulated - Price Out'!$M$49</definedName>
    <definedName name="ProRev" localSheetId="29">'[10]Pacific Regulated - Price Out'!$M$49</definedName>
    <definedName name="ProRev" localSheetId="27">'[11]Pacific Regulated - Price Out'!$M$49</definedName>
    <definedName name="ProRev" localSheetId="8">'[12]Pacific Regulated - Price Out'!$M$49</definedName>
    <definedName name="ProRev" localSheetId="7">'[11]Pacific Regulated - Price Out'!$M$49</definedName>
    <definedName name="ProRev" localSheetId="9">'[11]Pacific Regulated - Price Out'!$M$49</definedName>
    <definedName name="ProRev">'[13]Pacific Regulated - Price Out'!$M$49</definedName>
    <definedName name="ProRev_com" localSheetId="0">'[9]Pacific Regulated - Price Out'!$M$213</definedName>
    <definedName name="ProRev_com" localSheetId="6">'[10]Pacific Regulated - Price Out'!$M$213</definedName>
    <definedName name="ProRev_com" localSheetId="29">'[10]Pacific Regulated - Price Out'!$M$213</definedName>
    <definedName name="ProRev_com" localSheetId="27">'[11]Pacific Regulated - Price Out'!$M$213</definedName>
    <definedName name="ProRev_com" localSheetId="8">'[12]Pacific Regulated - Price Out'!$M$213</definedName>
    <definedName name="ProRev_com" localSheetId="7">'[11]Pacific Regulated - Price Out'!$M$213</definedName>
    <definedName name="ProRev_com" localSheetId="9">'[11]Pacific Regulated - Price Out'!$M$213</definedName>
    <definedName name="ProRev_com">'[13]Pacific Regulated - Price Out'!$M$213</definedName>
    <definedName name="ProRev_mfr" localSheetId="0">'[9]Pacific Regulated - Price Out'!$M$221</definedName>
    <definedName name="ProRev_mfr" localSheetId="6">'[10]Pacific Regulated - Price Out'!$M$221</definedName>
    <definedName name="ProRev_mfr" localSheetId="29">'[10]Pacific Regulated - Price Out'!$M$221</definedName>
    <definedName name="ProRev_mfr" localSheetId="27">'[11]Pacific Regulated - Price Out'!$M$221</definedName>
    <definedName name="ProRev_mfr" localSheetId="8">'[12]Pacific Regulated - Price Out'!$M$221</definedName>
    <definedName name="ProRev_mfr" localSheetId="7">'[11]Pacific Regulated - Price Out'!$M$221</definedName>
    <definedName name="ProRev_mfr" localSheetId="9">'[11]Pacific Regulated - Price Out'!$M$221</definedName>
    <definedName name="ProRev_mfr">'[13]Pacific Regulated - Price Out'!$M$221</definedName>
    <definedName name="ProRev_ro" localSheetId="0">'[9]Pacific Regulated - Price Out'!$M$281</definedName>
    <definedName name="ProRev_ro" localSheetId="6">'[10]Pacific Regulated - Price Out'!$M$281</definedName>
    <definedName name="ProRev_ro" localSheetId="29">'[10]Pacific Regulated - Price Out'!$M$281</definedName>
    <definedName name="ProRev_ro" localSheetId="27">'[11]Pacific Regulated - Price Out'!$M$281</definedName>
    <definedName name="ProRev_ro" localSheetId="8">'[12]Pacific Regulated - Price Out'!$M$281</definedName>
    <definedName name="ProRev_ro" localSheetId="7">'[11]Pacific Regulated - Price Out'!$M$281</definedName>
    <definedName name="ProRev_ro" localSheetId="9">'[11]Pacific Regulated - Price Out'!$M$281</definedName>
    <definedName name="ProRev_ro">'[13]Pacific Regulated - Price Out'!$M$281</definedName>
    <definedName name="ProRev_rr" localSheetId="0">'[9]Pacific Regulated - Price Out'!$M$58</definedName>
    <definedName name="ProRev_rr" localSheetId="6">'[10]Pacific Regulated - Price Out'!$M$58</definedName>
    <definedName name="ProRev_rr" localSheetId="29">'[10]Pacific Regulated - Price Out'!$M$58</definedName>
    <definedName name="ProRev_rr" localSheetId="27">'[11]Pacific Regulated - Price Out'!$M$58</definedName>
    <definedName name="ProRev_rr" localSheetId="8">'[12]Pacific Regulated - Price Out'!$M$58</definedName>
    <definedName name="ProRev_rr" localSheetId="7">'[11]Pacific Regulated - Price Out'!$M$58</definedName>
    <definedName name="ProRev_rr" localSheetId="9">'[11]Pacific Regulated - Price Out'!$M$58</definedName>
    <definedName name="ProRev_rr">'[13]Pacific Regulated - Price Out'!$M$58</definedName>
    <definedName name="ProRev_yw" localSheetId="0">'[9]Pacific Regulated - Price Out'!$M$69</definedName>
    <definedName name="ProRev_yw" localSheetId="6">'[10]Pacific Regulated - Price Out'!$M$69</definedName>
    <definedName name="ProRev_yw" localSheetId="29">'[10]Pacific Regulated - Price Out'!$M$69</definedName>
    <definedName name="ProRev_yw" localSheetId="27">'[11]Pacific Regulated - Price Out'!$M$69</definedName>
    <definedName name="ProRev_yw" localSheetId="8">'[12]Pacific Regulated - Price Out'!$M$69</definedName>
    <definedName name="ProRev_yw" localSheetId="7">'[11]Pacific Regulated - Price Out'!$M$69</definedName>
    <definedName name="ProRev_yw" localSheetId="9">'[11]Pacific Regulated - Price Out'!$M$69</definedName>
    <definedName name="ProRev_yw">'[13]Pacific Regulated - Price Out'!$M$69</definedName>
    <definedName name="pServer" localSheetId="0">#REF!</definedName>
    <definedName name="pServer" localSheetId="6">#REF!</definedName>
    <definedName name="pServer" localSheetId="29">#REF!</definedName>
    <definedName name="pServer" localSheetId="27">#REF!</definedName>
    <definedName name="pServer" localSheetId="17">#REF!</definedName>
    <definedName name="pServer" localSheetId="18">#REF!</definedName>
    <definedName name="pServer" localSheetId="19">#REF!</definedName>
    <definedName name="pServer" localSheetId="8">#REF!</definedName>
    <definedName name="pServer" localSheetId="7">#REF!</definedName>
    <definedName name="pServer" localSheetId="9">#REF!</definedName>
    <definedName name="pServer">#REF!</definedName>
    <definedName name="pServiceCode" localSheetId="6">#REF!</definedName>
    <definedName name="pServiceCode" localSheetId="29">#REF!</definedName>
    <definedName name="pServiceCode" localSheetId="27">#REF!</definedName>
    <definedName name="pServiceCode" localSheetId="17">#REF!</definedName>
    <definedName name="pServiceCode" localSheetId="18">#REF!</definedName>
    <definedName name="pServiceCode" localSheetId="19">#REF!</definedName>
    <definedName name="pServiceCode" localSheetId="8">#REF!</definedName>
    <definedName name="pServiceCode" localSheetId="7">#REF!</definedName>
    <definedName name="pServiceCode" localSheetId="9">#REF!</definedName>
    <definedName name="pServiceCode">#REF!</definedName>
    <definedName name="pShowAllUnposted" localSheetId="6">#REF!</definedName>
    <definedName name="pShowAllUnposted" localSheetId="29">#REF!</definedName>
    <definedName name="pShowAllUnposted" localSheetId="27">#REF!</definedName>
    <definedName name="pShowAllUnposted" localSheetId="17">#REF!</definedName>
    <definedName name="pShowAllUnposted" localSheetId="18">#REF!</definedName>
    <definedName name="pShowAllUnposted" localSheetId="19">#REF!</definedName>
    <definedName name="pShowAllUnposted" localSheetId="8">#REF!</definedName>
    <definedName name="pShowAllUnposted" localSheetId="7">#REF!</definedName>
    <definedName name="pShowAllUnposted" localSheetId="9">#REF!</definedName>
    <definedName name="pShowAllUnposted">#REF!</definedName>
    <definedName name="pShowCustomerDetail" localSheetId="29">#REF!</definedName>
    <definedName name="pShowCustomerDetail" localSheetId="27">#REF!</definedName>
    <definedName name="pShowCustomerDetail" localSheetId="17">#REF!</definedName>
    <definedName name="pShowCustomerDetail" localSheetId="18">#REF!</definedName>
    <definedName name="pShowCustomerDetail" localSheetId="19">#REF!</definedName>
    <definedName name="pShowCustomerDetail" localSheetId="8">#REF!</definedName>
    <definedName name="pShowCustomerDetail" localSheetId="7">#REF!</definedName>
    <definedName name="pShowCustomerDetail" localSheetId="9">#REF!</definedName>
    <definedName name="pShowCustomerDetail">#REF!</definedName>
    <definedName name="pSortOption" localSheetId="29">#REF!</definedName>
    <definedName name="pSortOption" localSheetId="27">#REF!</definedName>
    <definedName name="pSortOption" localSheetId="17">#REF!</definedName>
    <definedName name="pSortOption" localSheetId="18">#REF!</definedName>
    <definedName name="pSortOption" localSheetId="19">#REF!</definedName>
    <definedName name="pSortOption" localSheetId="8">#REF!</definedName>
    <definedName name="pSortOption" localSheetId="7">#REF!</definedName>
    <definedName name="pSortOption" localSheetId="9">#REF!</definedName>
    <definedName name="pSortOption">#REF!</definedName>
    <definedName name="pStartPostDate" localSheetId="29">#REF!</definedName>
    <definedName name="pStartPostDate" localSheetId="27">#REF!</definedName>
    <definedName name="pStartPostDate" localSheetId="17">#REF!</definedName>
    <definedName name="pStartPostDate" localSheetId="18">#REF!</definedName>
    <definedName name="pStartPostDate" localSheetId="19">#REF!</definedName>
    <definedName name="pStartPostDate" localSheetId="8">#REF!</definedName>
    <definedName name="pStartPostDate" localSheetId="7">#REF!</definedName>
    <definedName name="pStartPostDate" localSheetId="9">#REF!</definedName>
    <definedName name="pStartPostDate">#REF!</definedName>
    <definedName name="pTransType" localSheetId="29">#REF!</definedName>
    <definedName name="pTransType" localSheetId="27">#REF!</definedName>
    <definedName name="pTransType" localSheetId="17">#REF!</definedName>
    <definedName name="pTransType" localSheetId="18">#REF!</definedName>
    <definedName name="pTransType" localSheetId="19">#REF!</definedName>
    <definedName name="pTransType" localSheetId="8">#REF!</definedName>
    <definedName name="pTransType" localSheetId="7">#REF!</definedName>
    <definedName name="pTransType" localSheetId="9">#REF!</definedName>
    <definedName name="pTransType">#REF!</definedName>
    <definedName name="RCW_81.04.080">#N/A</definedName>
    <definedName name="RecyDisposal">#N/A</definedName>
    <definedName name="Reg_Cust_Billed_Percent" localSheetId="0">'[40]Consolidated IS 2009 2010'!$AK$20</definedName>
    <definedName name="Reg_Cust_Billed_Percent" localSheetId="6">'[41]Consolidated IS 2009 2010'!$AK$20</definedName>
    <definedName name="Reg_Cust_Billed_Percent" localSheetId="27">'[41]Consolidated IS 2009 2010'!$AK$20</definedName>
    <definedName name="Reg_Cust_Billed_Percent" localSheetId="8">'[42]Consolidated IS 2009 2010'!$AK$20</definedName>
    <definedName name="Reg_Cust_Billed_Percent" localSheetId="7">'[40]Consolidated IS 2009 2010'!$AK$20</definedName>
    <definedName name="Reg_Cust_Billed_Percent" localSheetId="9">'[40]Consolidated IS 2009 2010'!$AK$20</definedName>
    <definedName name="Reg_Cust_Billed_Percent">'[43]Consolidated IS 2009 2010'!$AK$20</definedName>
    <definedName name="Reg_Cust_Percent" localSheetId="0">'[40]Consolidated IS 2009 2010'!$AC$20</definedName>
    <definedName name="Reg_Cust_Percent" localSheetId="6">'[41]Consolidated IS 2009 2010'!$AC$20</definedName>
    <definedName name="Reg_Cust_Percent" localSheetId="27">'[41]Consolidated IS 2009 2010'!$AC$20</definedName>
    <definedName name="Reg_Cust_Percent" localSheetId="8">'[42]Consolidated IS 2009 2010'!$AC$20</definedName>
    <definedName name="Reg_Cust_Percent" localSheetId="7">'[40]Consolidated IS 2009 2010'!$AC$20</definedName>
    <definedName name="Reg_Cust_Percent" localSheetId="9">'[40]Consolidated IS 2009 2010'!$AC$20</definedName>
    <definedName name="Reg_Cust_Percent">'[43]Consolidated IS 2009 2010'!$AC$20</definedName>
    <definedName name="Reg_Drive_Percent" localSheetId="0">'[40]Consolidated IS 2009 2010'!$AC$40</definedName>
    <definedName name="Reg_Drive_Percent" localSheetId="6">'[41]Consolidated IS 2009 2010'!$AC$40</definedName>
    <definedName name="Reg_Drive_Percent" localSheetId="27">'[41]Consolidated IS 2009 2010'!$AC$40</definedName>
    <definedName name="Reg_Drive_Percent" localSheetId="8">'[42]Consolidated IS 2009 2010'!$AC$40</definedName>
    <definedName name="Reg_Drive_Percent" localSheetId="7">'[40]Consolidated IS 2009 2010'!$AC$40</definedName>
    <definedName name="Reg_Drive_Percent" localSheetId="9">'[40]Consolidated IS 2009 2010'!$AC$40</definedName>
    <definedName name="Reg_Drive_Percent">'[43]Consolidated IS 2009 2010'!$AC$40</definedName>
    <definedName name="Reg_Haul_Rev_Percent" localSheetId="0">'[40]Consolidated IS 2009 2010'!$Z$18</definedName>
    <definedName name="Reg_Haul_Rev_Percent" localSheetId="6">'[41]Consolidated IS 2009 2010'!$Z$18</definedName>
    <definedName name="Reg_Haul_Rev_Percent" localSheetId="27">'[41]Consolidated IS 2009 2010'!$Z$18</definedName>
    <definedName name="Reg_Haul_Rev_Percent" localSheetId="8">'[42]Consolidated IS 2009 2010'!$Z$18</definedName>
    <definedName name="Reg_Haul_Rev_Percent" localSheetId="7">'[40]Consolidated IS 2009 2010'!$Z$18</definedName>
    <definedName name="Reg_Haul_Rev_Percent" localSheetId="9">'[40]Consolidated IS 2009 2010'!$Z$18</definedName>
    <definedName name="Reg_Haul_Rev_Percent">'[43]Consolidated IS 2009 2010'!$Z$18</definedName>
    <definedName name="Reg_Lab_Percent" localSheetId="0">'[40]Consolidated IS 2009 2010'!$AC$39</definedName>
    <definedName name="Reg_Lab_Percent" localSheetId="6">'[41]Consolidated IS 2009 2010'!$AC$39</definedName>
    <definedName name="Reg_Lab_Percent" localSheetId="27">'[41]Consolidated IS 2009 2010'!$AC$39</definedName>
    <definedName name="Reg_Lab_Percent" localSheetId="8">'[42]Consolidated IS 2009 2010'!$AC$39</definedName>
    <definedName name="Reg_Lab_Percent" localSheetId="7">'[40]Consolidated IS 2009 2010'!$AC$39</definedName>
    <definedName name="Reg_Lab_Percent" localSheetId="9">'[40]Consolidated IS 2009 2010'!$AC$39</definedName>
    <definedName name="Reg_Lab_Percent">'[43]Consolidated IS 2009 2010'!$AC$39</definedName>
    <definedName name="Reg_Steel_Cont_Percent" localSheetId="0">'[40]Consolidated IS 2009 2010'!$AE$120</definedName>
    <definedName name="Reg_Steel_Cont_Percent" localSheetId="6">'[41]Consolidated IS 2009 2010'!$AE$120</definedName>
    <definedName name="Reg_Steel_Cont_Percent" localSheetId="27">'[41]Consolidated IS 2009 2010'!$AE$120</definedName>
    <definedName name="Reg_Steel_Cont_Percent" localSheetId="8">'[42]Consolidated IS 2009 2010'!$AE$120</definedName>
    <definedName name="Reg_Steel_Cont_Percent" localSheetId="7">'[40]Consolidated IS 2009 2010'!$AE$120</definedName>
    <definedName name="Reg_Steel_Cont_Percent" localSheetId="9">'[40]Consolidated IS 2009 2010'!$AE$120</definedName>
    <definedName name="Reg_Steel_Cont_Percent">'[43]Consolidated IS 2009 2010'!$AE$120</definedName>
    <definedName name="regDebt_weighted" localSheetId="17">'LG BRG - MSW'!$U$55</definedName>
    <definedName name="regDebt_weighted" localSheetId="18">'LG BRG - Recycle'!$U$55</definedName>
    <definedName name="regDebt_weighted" localSheetId="16">'LG BRG - Total'!$U$55</definedName>
    <definedName name="regDebt_weighted" localSheetId="19">'LG BRG - Yard Waste'!$U$55</definedName>
    <definedName name="RegulatedIS" localSheetId="0">'[40]2009 IS'!$A$12:$Q$655</definedName>
    <definedName name="RegulatedIS" localSheetId="6">'[41]2009 IS'!$A$12:$Q$655</definedName>
    <definedName name="RegulatedIS" localSheetId="27">'[41]2009 IS'!$A$12:$Q$655</definedName>
    <definedName name="RegulatedIS" localSheetId="8">'[42]2009 IS'!$A$12:$Q$655</definedName>
    <definedName name="RegulatedIS" localSheetId="7">'[40]2009 IS'!$A$12:$Q$655</definedName>
    <definedName name="RegulatedIS" localSheetId="9">'[40]2009 IS'!$A$12:$Q$655</definedName>
    <definedName name="RegulatedIS">'[43]2009 IS'!$A$12:$Q$655</definedName>
    <definedName name="RelatedSalary">#N/A</definedName>
    <definedName name="report_type">[1]Orientation!$C$24</definedName>
    <definedName name="Reporting_Jurisdiction">'[19]Title Inputs'!$C$4</definedName>
    <definedName name="ReportNames" localSheetId="9">[22]ControlPanel!$X$2:$X$8</definedName>
    <definedName name="ReportNames">[44]ControlPanel!$S$2:$S$16</definedName>
    <definedName name="ReportVersion">[1]Settings!$D$5</definedName>
    <definedName name="ReslStaffPriceOut" localSheetId="0">'[21]Price Out-Reg EASTSIDE-Resi'!#REF!</definedName>
    <definedName name="ReslStaffPriceOut" localSheetId="6">'[21]Price Out-Reg EASTSIDE-Resi'!#REF!</definedName>
    <definedName name="ReslStaffPriceOut" localSheetId="27">'[21]Price Out-Reg EASTSIDE-Resi'!#REF!</definedName>
    <definedName name="ReslStaffPriceOut" localSheetId="17">'[21]Price Out-Reg EASTSIDE-Resi'!#REF!</definedName>
    <definedName name="ReslStaffPriceOut" localSheetId="18">'[21]Price Out-Reg EASTSIDE-Resi'!#REF!</definedName>
    <definedName name="ReslStaffPriceOut" localSheetId="19">'[21]Price Out-Reg EASTSIDE-Resi'!#REF!</definedName>
    <definedName name="ReslStaffPriceOut" localSheetId="8">'[21]Price Out-Reg EASTSIDE-Resi'!#REF!</definedName>
    <definedName name="ReslStaffPriceOut" localSheetId="7">'[21]Price Out-Reg EASTSIDE-Resi'!#REF!</definedName>
    <definedName name="ReslStaffPriceOut">'[21]Price Out-Reg EASTSIDE-Resi'!#REF!</definedName>
    <definedName name="RetainedEarnings" localSheetId="0">#REF!</definedName>
    <definedName name="RetainedEarnings" localSheetId="6">#REF!</definedName>
    <definedName name="RetainedEarnings" localSheetId="29">#REF!</definedName>
    <definedName name="RetainedEarnings" localSheetId="10">#REF!</definedName>
    <definedName name="RetainedEarnings" localSheetId="27">#REF!</definedName>
    <definedName name="RetainedEarnings" localSheetId="17">#REF!</definedName>
    <definedName name="RetainedEarnings" localSheetId="18">#REF!</definedName>
    <definedName name="RetainedEarnings" localSheetId="19">#REF!</definedName>
    <definedName name="RetainedEarnings" localSheetId="8">#REF!</definedName>
    <definedName name="RetainedEarnings" localSheetId="7">#REF!</definedName>
    <definedName name="RetainedEarnings" localSheetId="9">#REF!</definedName>
    <definedName name="RetainedEarnings">#REF!</definedName>
    <definedName name="RevCust" localSheetId="0">[45]RevenuesCust!#REF!</definedName>
    <definedName name="RevCust" localSheetId="6">[46]RevenuesCust!#REF!</definedName>
    <definedName name="RevCust" localSheetId="29">[46]RevenuesCust!#REF!</definedName>
    <definedName name="RevCust" localSheetId="10">[45]RevenuesCust!#REF!</definedName>
    <definedName name="RevCust" localSheetId="27">[45]RevenuesCust!#REF!</definedName>
    <definedName name="RevCust" localSheetId="17">'[47]RevenuesCust, pg 8'!#REF!</definedName>
    <definedName name="RevCust" localSheetId="18">'[47]RevenuesCust, pg 8'!#REF!</definedName>
    <definedName name="RevCust" localSheetId="19">'[47]RevenuesCust, pg 8'!#REF!</definedName>
    <definedName name="RevCust" localSheetId="8">'[47]RevenuesCust, pg 8'!#REF!</definedName>
    <definedName name="RevCust" localSheetId="7">[45]RevenuesCust!#REF!</definedName>
    <definedName name="RevCust" localSheetId="9">[48]RevenuesCust!#REF!</definedName>
    <definedName name="RevCust">[49]RevenuesCust!#REF!</definedName>
    <definedName name="RevCustomer" localSheetId="0">#REF!</definedName>
    <definedName name="RevCustomer" localSheetId="6">#REF!</definedName>
    <definedName name="RevCustomer" localSheetId="29">#REF!</definedName>
    <definedName name="RevCustomer" localSheetId="27">#REF!</definedName>
    <definedName name="RevCustomer" localSheetId="17">#REF!</definedName>
    <definedName name="RevCustomer" localSheetId="18">#REF!</definedName>
    <definedName name="RevCustomer" localSheetId="19">#REF!</definedName>
    <definedName name="RevCustomer" localSheetId="8">#REF!</definedName>
    <definedName name="RevCustomer" localSheetId="7">#REF!</definedName>
    <definedName name="RevCustomer" localSheetId="9">#REF!</definedName>
    <definedName name="RevCustomer">#REF!</definedName>
    <definedName name="Revenue" localSheetId="17">'LG BRG - MSW'!$I$7</definedName>
    <definedName name="Revenue" localSheetId="18">'LG BRG - Recycle'!$I$7</definedName>
    <definedName name="Revenue" localSheetId="16">'LG BRG - Total'!$I$7</definedName>
    <definedName name="Revenue" localSheetId="19">'LG BRG - Yard Waste'!$I$7</definedName>
    <definedName name="RevenuePF1" localSheetId="0">#REF!</definedName>
    <definedName name="RevenuePF1" localSheetId="6">'[35]LG County Area'!$K$7</definedName>
    <definedName name="RevenuePF1" localSheetId="27">#REF!</definedName>
    <definedName name="RevenuePF1" localSheetId="8">#REF!</definedName>
    <definedName name="RevenuePF1" localSheetId="7">#REF!</definedName>
    <definedName name="RevenuePF1">#REF!</definedName>
    <definedName name="rngBodyText">[3]Delivery!$B$15</definedName>
    <definedName name="RngBottomRight">[3]Delivery!$B$23</definedName>
    <definedName name="rngColDelChars">[3]Delivery!$B$26</definedName>
    <definedName name="rngColumnDelete">[3]Delivery!$B$26</definedName>
    <definedName name="rngCreateLog">[1]Delivery!$B$12</definedName>
    <definedName name="rngDeleteColumns">[3]Delivery!$A$29:$A$38</definedName>
    <definedName name="rngDeleteRows">[3]Delivery!$B$29:$B$38</definedName>
    <definedName name="rngEmail">[3]Delivery!$B$9</definedName>
    <definedName name="rngFileDir">[3]Delivery!$B$6</definedName>
    <definedName name="rngFileFormat">[3]Delivery!$B$4</definedName>
    <definedName name="rngFileName">[3]Delivery!$B$5</definedName>
    <definedName name="rngFilePassword">[1]Delivery!$B$6</definedName>
    <definedName name="rngPassword">[3]Delivery!$B$21</definedName>
    <definedName name="rngPasswordProtect">[3]Delivery!$B$20</definedName>
    <definedName name="rngPrint">[3]Delivery!$B$11</definedName>
    <definedName name="rngRetainFormulas">[3]Delivery!$B$19</definedName>
    <definedName name="rngSaveFile">[3]Delivery!$B$10</definedName>
    <definedName name="rngSourceTab">[1]Delivery!$E$8</definedName>
    <definedName name="rngSubjectLine">[3]Delivery!$B$14</definedName>
    <definedName name="rngTabName">[3]Delivery!$B$18</definedName>
    <definedName name="rngTopLeft">[3]Delivery!$B$22</definedName>
    <definedName name="rowgroup">[1]Orientation!$C$17</definedName>
    <definedName name="rowsegment">[1]Orientation!$B$17</definedName>
    <definedName name="RptEmailAddress">[3]Delivery!$D$4:$D$1005</definedName>
    <definedName name="seffasfasdfsd" localSheetId="0">[50]Hidden!#REF!</definedName>
    <definedName name="seffasfasdfsd" localSheetId="6">[50]Hidden!#REF!</definedName>
    <definedName name="seffasfasdfsd" localSheetId="27">[50]Hidden!#REF!</definedName>
    <definedName name="seffasfasdfsd" localSheetId="17">[50]Hidden!#REF!</definedName>
    <definedName name="seffasfasdfsd" localSheetId="18">[50]Hidden!#REF!</definedName>
    <definedName name="seffasfasdfsd" localSheetId="19">[50]Hidden!#REF!</definedName>
    <definedName name="seffasfasdfsd" localSheetId="8">[50]Hidden!#REF!</definedName>
    <definedName name="seffasfasdfsd" localSheetId="7">[50]Hidden!#REF!</definedName>
    <definedName name="seffasfasdfsd">[50]Hidden!#REF!</definedName>
    <definedName name="Sequential_Group">[1]Settings!$J$6</definedName>
    <definedName name="Sequential_Segment">[1]Settings!$I$6</definedName>
    <definedName name="Sequential_sort">[1]Settings!$I$10:$J$11</definedName>
    <definedName name="SIC_Table" localSheetId="0">#REF!</definedName>
    <definedName name="SIC_Table" localSheetId="6">#REF!</definedName>
    <definedName name="SIC_Table" localSheetId="17">#REF!</definedName>
    <definedName name="SIC_Table" localSheetId="18">#REF!</definedName>
    <definedName name="SIC_Table" localSheetId="19">#REF!</definedName>
    <definedName name="SIC_Table" localSheetId="7">#REF!</definedName>
    <definedName name="SIC_Table">#REF!</definedName>
    <definedName name="slope" localSheetId="0">'[51]LG Nonpublic 2018 V5.0'!$X$58</definedName>
    <definedName name="slope" localSheetId="6">'[52]LG Nonpublic 2018 V5.0'!$X$58</definedName>
    <definedName name="slope" localSheetId="27">'[52]LG Nonpublic 2018 V5.0'!$X$58</definedName>
    <definedName name="slope" localSheetId="17">'LG BRG - MSW'!$Y$57</definedName>
    <definedName name="slope" localSheetId="18">'LG BRG - Recycle'!$Y$57</definedName>
    <definedName name="slope" localSheetId="16">'LG BRG - Total'!$Y$57</definedName>
    <definedName name="slope" localSheetId="19">'LG BRG - Yard Waste'!$Y$57</definedName>
    <definedName name="slope">'[53]LG Nonpublic 2018 V5.0'!$X$58</definedName>
    <definedName name="sortcol" localSheetId="0">#REF!</definedName>
    <definedName name="sortcol" localSheetId="5">#REF!</definedName>
    <definedName name="sortcol" localSheetId="6">#REF!</definedName>
    <definedName name="sortcol" localSheetId="29">#REF!</definedName>
    <definedName name="sortcol" localSheetId="10">#REF!</definedName>
    <definedName name="sortcol" localSheetId="27">#REF!</definedName>
    <definedName name="sortcol" localSheetId="17">#REF!</definedName>
    <definedName name="sortcol" localSheetId="18">#REF!</definedName>
    <definedName name="sortcol" localSheetId="19">#REF!</definedName>
    <definedName name="sortcol" localSheetId="8">#REF!</definedName>
    <definedName name="sortcol" localSheetId="7">#REF!</definedName>
    <definedName name="sortcol" localSheetId="9">#REF!</definedName>
    <definedName name="sortcol">#REF!</definedName>
    <definedName name="Source" localSheetId="27">[38]DropDownRanges!$D$4:$D$7</definedName>
    <definedName name="Source">[38]DropDownRanges!$D$4:$D$7</definedName>
    <definedName name="SPWS_WBID">"115966228744984"</definedName>
    <definedName name="sSRCDate" localSheetId="0">'[54]Feb''12 FAR Data'!#REF!</definedName>
    <definedName name="sSRCDate" localSheetId="6">'[55]Feb''12 FAR Data'!#REF!</definedName>
    <definedName name="sSRCDate" localSheetId="29">'[55]Feb''12 FAR Data'!#REF!</definedName>
    <definedName name="sSRCDate" localSheetId="27">'[54]Feb''12 FAR Data'!#REF!</definedName>
    <definedName name="sSRCDate" localSheetId="19">'[56]Feb''12 FAR Data'!#REF!</definedName>
    <definedName name="sSRCDate" localSheetId="8">'[54]Feb''12 FAR Data'!#REF!</definedName>
    <definedName name="sSRCDate" localSheetId="7">'[54]Feb''12 FAR Data'!#REF!</definedName>
    <definedName name="sSRCDate" localSheetId="9">'[57]Feb''12 FAR Data'!#REF!</definedName>
    <definedName name="sSRCDate">'[56]Feb''12 FAR Data'!#REF!</definedName>
    <definedName name="SubSystem" localSheetId="0">#REF!</definedName>
    <definedName name="SubSystem" localSheetId="14">'2195_BS 03-2021 (C)'!$V$8</definedName>
    <definedName name="SubSystem" localSheetId="15">'2195_BS 03-2022 (C)'!$V$8</definedName>
    <definedName name="SubSystem" localSheetId="17">#REF!</definedName>
    <definedName name="SubSystem" localSheetId="18">#REF!</definedName>
    <definedName name="SubSystem" localSheetId="19">#REF!</definedName>
    <definedName name="SubSystem" localSheetId="7">#REF!</definedName>
    <definedName name="SubSystem">#REF!</definedName>
    <definedName name="SubSystems" localSheetId="0">#REF!</definedName>
    <definedName name="SubSystems" localSheetId="21">'41201 JE Query'!$M$15</definedName>
    <definedName name="SubSystems" localSheetId="20">'5 Year Insurance (C)'!$M$15</definedName>
    <definedName name="SubSystems" localSheetId="23">'70195 JE Query (C)'!$M$15</definedName>
    <definedName name="SubSystems" localSheetId="25">'70235 JE Query (C)'!$M$15</definedName>
    <definedName name="SubSystems" localSheetId="24">'70255 JE Query (C)'!$M$15</definedName>
    <definedName name="SubSystems" localSheetId="26">'91010 JE Query'!$M$15</definedName>
    <definedName name="SubSystems" localSheetId="27">#REF!</definedName>
    <definedName name="SubSystems" localSheetId="17">#REF!</definedName>
    <definedName name="SubSystems" localSheetId="18">#REF!</definedName>
    <definedName name="SubSystems" localSheetId="19">#REF!</definedName>
    <definedName name="SubSystems" localSheetId="8">#REF!</definedName>
    <definedName name="SubSystems" localSheetId="9">#REF!</definedName>
    <definedName name="SubSystems">#REF!</definedName>
    <definedName name="SubtypeToTruckType" localSheetId="6">[58]TruckCenterReference!$C$52:$D$100</definedName>
    <definedName name="Supplemental_filter">[1]Settings!$C$31</definedName>
    <definedName name="SWDisposal">#N/A</definedName>
    <definedName name="System" localSheetId="0">'2195 IS (C)'!$R$7</definedName>
    <definedName name="System" localSheetId="14">'2195_BS 03-2021 (C)'!$V$7</definedName>
    <definedName name="System" localSheetId="15">'2195_BS 03-2022 (C)'!$V$7</definedName>
    <definedName name="System" localSheetId="6">'[30]Yakima BS'!#REF!</definedName>
    <definedName name="System" localSheetId="27">[59]BS_Close!$V$8</definedName>
    <definedName name="System" localSheetId="17">#REF!</definedName>
    <definedName name="System" localSheetId="18">#REF!</definedName>
    <definedName name="System" localSheetId="19">#REF!</definedName>
    <definedName name="System" localSheetId="7">[59]BS_Close!$V$8</definedName>
    <definedName name="System" localSheetId="28">'Region OH (C)'!$O$2</definedName>
    <definedName name="System">[59]BS_Close!$V$8</definedName>
    <definedName name="Systems" localSheetId="0">#REF!</definedName>
    <definedName name="Systems" localSheetId="21">'41201 JE Query'!$M$14</definedName>
    <definedName name="Systems" localSheetId="20">'5 Year Insurance (C)'!$M$14</definedName>
    <definedName name="Systems" localSheetId="23">'70195 JE Query (C)'!$M$14</definedName>
    <definedName name="Systems" localSheetId="25">'70235 JE Query (C)'!$M$14</definedName>
    <definedName name="Systems" localSheetId="24">'70255 JE Query (C)'!$M$14</definedName>
    <definedName name="Systems" localSheetId="26">'91010 JE Query'!$M$14</definedName>
    <definedName name="Systems" localSheetId="27">#REF!</definedName>
    <definedName name="Systems" localSheetId="17">#REF!</definedName>
    <definedName name="Systems" localSheetId="18">#REF!</definedName>
    <definedName name="Systems" localSheetId="19">#REF!</definedName>
    <definedName name="Systems" localSheetId="8">#REF!</definedName>
    <definedName name="Systems" localSheetId="9">#REF!</definedName>
    <definedName name="Systems">#REF!</definedName>
    <definedName name="Table_SIC" localSheetId="6">#REF!</definedName>
    <definedName name="Table_SIC" localSheetId="17">#REF!</definedName>
    <definedName name="Table_SIC" localSheetId="18">#REF!</definedName>
    <definedName name="Table_SIC" localSheetId="19">#REF!</definedName>
    <definedName name="Table_SIC" localSheetId="7">#REF!</definedName>
    <definedName name="Table_SIC">#REF!</definedName>
    <definedName name="taxrate" localSheetId="17">'LG BRG - MSW'!$J$38</definedName>
    <definedName name="taxrate" localSheetId="18">'LG BRG - Recycle'!$J$38</definedName>
    <definedName name="taxrate" localSheetId="16">'LG BRG - Total'!$J$38</definedName>
    <definedName name="taxrate" localSheetId="19">'LG BRG - Yard Waste'!$J$38</definedName>
    <definedName name="TemplateEnd" localSheetId="0">#REF!</definedName>
    <definedName name="TemplateEnd" localSheetId="6">#REF!</definedName>
    <definedName name="TemplateEnd" localSheetId="29">#REF!</definedName>
    <definedName name="TemplateEnd" localSheetId="27">#REF!</definedName>
    <definedName name="TemplateEnd" localSheetId="17">#REF!</definedName>
    <definedName name="TemplateEnd" localSheetId="18">#REF!</definedName>
    <definedName name="TemplateEnd" localSheetId="19">#REF!</definedName>
    <definedName name="TemplateEnd" localSheetId="8">#REF!</definedName>
    <definedName name="TemplateEnd" localSheetId="7">#REF!</definedName>
    <definedName name="TemplateEnd" localSheetId="9">#REF!</definedName>
    <definedName name="TemplateEnd">#REF!</definedName>
    <definedName name="TemplateStart" localSheetId="6">#REF!</definedName>
    <definedName name="TemplateStart" localSheetId="29">#REF!</definedName>
    <definedName name="TemplateStart" localSheetId="27">#REF!</definedName>
    <definedName name="TemplateStart" localSheetId="17">#REF!</definedName>
    <definedName name="TemplateStart" localSheetId="18">#REF!</definedName>
    <definedName name="TemplateStart" localSheetId="19">#REF!</definedName>
    <definedName name="TemplateStart" localSheetId="8">#REF!</definedName>
    <definedName name="TemplateStart" localSheetId="7">#REF!</definedName>
    <definedName name="TemplateStart" localSheetId="9">#REF!</definedName>
    <definedName name="TemplateStart">#REF!</definedName>
    <definedName name="TheTable" localSheetId="5">#REF!</definedName>
    <definedName name="TheTable" localSheetId="29">#REF!</definedName>
    <definedName name="TheTable" localSheetId="10">#REF!</definedName>
    <definedName name="TheTable" localSheetId="27">#REF!</definedName>
    <definedName name="TheTable" localSheetId="17">#REF!</definedName>
    <definedName name="TheTable" localSheetId="18">#REF!</definedName>
    <definedName name="TheTable" localSheetId="19">#REF!</definedName>
    <definedName name="TheTable" localSheetId="8">#REF!</definedName>
    <definedName name="TheTable" localSheetId="7">#REF!</definedName>
    <definedName name="TheTable" localSheetId="9">#REF!</definedName>
    <definedName name="TheTable">#REF!</definedName>
    <definedName name="TheTableOLD" localSheetId="5">#REF!</definedName>
    <definedName name="TheTableOLD" localSheetId="29">#REF!</definedName>
    <definedName name="TheTableOLD" localSheetId="10">#REF!</definedName>
    <definedName name="TheTableOLD" localSheetId="27">#REF!</definedName>
    <definedName name="TheTableOLD" localSheetId="17">#REF!</definedName>
    <definedName name="TheTableOLD" localSheetId="18">#REF!</definedName>
    <definedName name="TheTableOLD" localSheetId="19">#REF!</definedName>
    <definedName name="TheTableOLD" localSheetId="8">#REF!</definedName>
    <definedName name="TheTableOLD" localSheetId="7">#REF!</definedName>
    <definedName name="TheTableOLD" localSheetId="9">#REF!</definedName>
    <definedName name="TheTableOLD">#REF!</definedName>
    <definedName name="timeseries">[1]Orientation!$B$6:$C$13</definedName>
    <definedName name="ToMonth" localSheetId="0">#REF!</definedName>
    <definedName name="ToMonth" localSheetId="6">#REF!</definedName>
    <definedName name="ToMonth" localSheetId="27">#REF!</definedName>
    <definedName name="ToMonth" localSheetId="17">#REF!</definedName>
    <definedName name="ToMonth" localSheetId="18">#REF!</definedName>
    <definedName name="ToMonth" localSheetId="19">#REF!</definedName>
    <definedName name="ToMonth" localSheetId="8">#REF!</definedName>
    <definedName name="ToMonth" localSheetId="7">#REF!</definedName>
    <definedName name="ToMonth" localSheetId="9">#REF!</definedName>
    <definedName name="ToMonth">#REF!</definedName>
    <definedName name="Tons" localSheetId="6">#REF!</definedName>
    <definedName name="Tons" localSheetId="27">#REF!</definedName>
    <definedName name="Tons" localSheetId="17">#REF!</definedName>
    <definedName name="Tons" localSheetId="18">#REF!</definedName>
    <definedName name="Tons" localSheetId="19">#REF!</definedName>
    <definedName name="Tons" localSheetId="8">#REF!</definedName>
    <definedName name="Tons" localSheetId="7">#REF!</definedName>
    <definedName name="Tons" localSheetId="9">#REF!</definedName>
    <definedName name="Tons">#REF!</definedName>
    <definedName name="Total_Comm" localSheetId="0">'[14]Tariff Rate Sheet'!$L$214</definedName>
    <definedName name="Total_Comm" localSheetId="6">'[15]Tariff Rate Sheet'!$L$214</definedName>
    <definedName name="Total_Comm" localSheetId="29">'[15]Tariff Rate Sheet'!$L$214</definedName>
    <definedName name="Total_Comm" localSheetId="27">'[16]Tariff Rate Sheet'!$L$214</definedName>
    <definedName name="Total_Comm" localSheetId="8">'[17]Tariff Rate Sheet'!$L$214</definedName>
    <definedName name="Total_Comm" localSheetId="7">'[16]Tariff Rate Sheet'!$L$214</definedName>
    <definedName name="Total_Comm" localSheetId="9">'[16]Tariff Rate Sheet'!$L$214</definedName>
    <definedName name="Total_Comm">'[18]Tariff Rate Sheet'!$L$214</definedName>
    <definedName name="Total_DB" localSheetId="0">'[14]Tariff Rate Sheet'!$L$278</definedName>
    <definedName name="Total_DB" localSheetId="6">'[15]Tariff Rate Sheet'!$L$278</definedName>
    <definedName name="Total_DB" localSheetId="29">'[15]Tariff Rate Sheet'!$L$278</definedName>
    <definedName name="Total_DB" localSheetId="27">'[16]Tariff Rate Sheet'!$L$278</definedName>
    <definedName name="Total_DB" localSheetId="8">'[17]Tariff Rate Sheet'!$L$278</definedName>
    <definedName name="Total_DB" localSheetId="7">'[16]Tariff Rate Sheet'!$L$278</definedName>
    <definedName name="Total_DB" localSheetId="9">'[16]Tariff Rate Sheet'!$L$278</definedName>
    <definedName name="Total_DB">'[18]Tariff Rate Sheet'!$L$278</definedName>
    <definedName name="Total_Resi" localSheetId="0">'[14]Tariff Rate Sheet'!$L$107</definedName>
    <definedName name="Total_Resi" localSheetId="6">'[15]Tariff Rate Sheet'!$L$107</definedName>
    <definedName name="Total_Resi" localSheetId="29">'[15]Tariff Rate Sheet'!$L$107</definedName>
    <definedName name="Total_Resi" localSheetId="27">'[16]Tariff Rate Sheet'!$L$107</definedName>
    <definedName name="Total_Resi" localSheetId="8">'[17]Tariff Rate Sheet'!$L$107</definedName>
    <definedName name="Total_Resi" localSheetId="7">'[16]Tariff Rate Sheet'!$L$107</definedName>
    <definedName name="Total_Resi" localSheetId="9">'[16]Tariff Rate Sheet'!$L$107</definedName>
    <definedName name="Total_Resi">'[18]Tariff Rate Sheet'!$L$107</definedName>
    <definedName name="TotalYards">'[20]Gross Yardage Worksheet'!$N$101</definedName>
    <definedName name="TOTCONT">'[36]Sorted Master'!$K$9</definedName>
    <definedName name="TOTCRECCONT">'[36]Sorted Master'!$Z$9</definedName>
    <definedName name="TOTCRECCUST" localSheetId="0">'[60]Master IS (C)'!#REF!</definedName>
    <definedName name="TOTCRECCUST" localSheetId="5">'[61]Sorted Master'!$Y$12</definedName>
    <definedName name="TOTCRECCUST" localSheetId="6">'[62]Sorted Master-2112-2148'!#REF!</definedName>
    <definedName name="TOTCRECCUST" localSheetId="17">'Master IS (C)'!#REF!</definedName>
    <definedName name="TOTCRECCUST" localSheetId="18">'Master IS (C)'!#REF!</definedName>
    <definedName name="TOTCRECCUST" localSheetId="19">'Master IS (C)'!#REF!</definedName>
    <definedName name="TOTCRECCUST" localSheetId="7">'Master IS (C)'!#REF!</definedName>
    <definedName name="TOTCRECCUST">'Master IS (C)'!#REF!</definedName>
    <definedName name="TOTCRECDH" localSheetId="0">'[60]Master IS (C)'!#REF!</definedName>
    <definedName name="TOTCRECDH" localSheetId="5">'[61]Sorted Master'!$Y$6</definedName>
    <definedName name="TOTCRECDH" localSheetId="6">'[62]Sorted Master-2112-2148'!#REF!</definedName>
    <definedName name="TOTCRECDH" localSheetId="17">'Master IS (C)'!#REF!</definedName>
    <definedName name="TOTCRECDH" localSheetId="18">'Master IS (C)'!#REF!</definedName>
    <definedName name="TOTCRECDH" localSheetId="19">'Master IS (C)'!#REF!</definedName>
    <definedName name="TOTCRECDH" localSheetId="7">'Master IS (C)'!#REF!</definedName>
    <definedName name="TOTCRECDH">'Master IS (C)'!#REF!</definedName>
    <definedName name="TOTCRECREV" localSheetId="0">'[60]Master IS (C)'!#REF!</definedName>
    <definedName name="TOTCRECREV" localSheetId="5">'[61]Sorted Master'!$Y$8</definedName>
    <definedName name="TOTCRECREV" localSheetId="6">'[62]Sorted Master-2112-2148'!#REF!</definedName>
    <definedName name="TOTCRECREV" localSheetId="17">'Master IS (C)'!#REF!</definedName>
    <definedName name="TOTCRECREV" localSheetId="18">'Master IS (C)'!#REF!</definedName>
    <definedName name="TOTCRECREV" localSheetId="19">'Master IS (C)'!#REF!</definedName>
    <definedName name="TOTCRECREV" localSheetId="7">'Master IS (C)'!#REF!</definedName>
    <definedName name="TOTCRECREV">'Master IS (C)'!#REF!</definedName>
    <definedName name="TOTCRECTDEP" localSheetId="0">'[60]Master IS (C)'!#REF!</definedName>
    <definedName name="TOTCRECTDEP" localSheetId="5">'[61]Sorted Master'!$Y$11</definedName>
    <definedName name="TOTCRECTDEP" localSheetId="6">'[62]Sorted Master-2112-2148'!#REF!</definedName>
    <definedName name="TOTCRECTDEP" localSheetId="17">'Master IS (C)'!#REF!</definedName>
    <definedName name="TOTCRECTDEP" localSheetId="18">'Master IS (C)'!#REF!</definedName>
    <definedName name="TOTCRECTDEP" localSheetId="19">'Master IS (C)'!#REF!</definedName>
    <definedName name="TOTCRECTDEP" localSheetId="7">'Master IS (C)'!#REF!</definedName>
    <definedName name="TOTCRECTDEP">'Master IS (C)'!#REF!</definedName>
    <definedName name="TOTCRECTH">'[36]Sorted Master'!$Z$8</definedName>
    <definedName name="TOTCRECTV" localSheetId="0">'[60]Master IS (C)'!#REF!</definedName>
    <definedName name="TOTCRECTV" localSheetId="5">'[61]Sorted Master'!$Y$13</definedName>
    <definedName name="TOTCRECTV" localSheetId="6">'[62]Sorted Master-2112-2148'!#REF!</definedName>
    <definedName name="TOTCRECTV" localSheetId="17">'Master IS (C)'!#REF!</definedName>
    <definedName name="TOTCRECTV" localSheetId="18">'Master IS (C)'!#REF!</definedName>
    <definedName name="TOTCRECTV" localSheetId="19">'Master IS (C)'!#REF!</definedName>
    <definedName name="TOTCRECTV" localSheetId="7">'Master IS (C)'!#REF!</definedName>
    <definedName name="TOTCRECTV">'Master IS (C)'!#REF!</definedName>
    <definedName name="TOTCUST" localSheetId="0">'[60]Master IS (C)'!#REF!</definedName>
    <definedName name="TOTCUST" localSheetId="5">'[61]Sorted Master'!$J$12</definedName>
    <definedName name="TOTCUST" localSheetId="6">'[62]Sorted Master-2112-2148'!#REF!</definedName>
    <definedName name="TOTCUST" localSheetId="17">'Master IS (C)'!#REF!</definedName>
    <definedName name="TOTCUST" localSheetId="18">'Master IS (C)'!#REF!</definedName>
    <definedName name="TOTCUST" localSheetId="19">'Master IS (C)'!#REF!</definedName>
    <definedName name="TOTCUST" localSheetId="7">'Master IS (C)'!#REF!</definedName>
    <definedName name="TOTCUST">'Master IS (C)'!#REF!</definedName>
    <definedName name="TOTDBCONT" localSheetId="0">'[60]Master IS (C)'!#REF!</definedName>
    <definedName name="TOTDBCONT" localSheetId="5">'[61]Sorted Master'!$AC$7</definedName>
    <definedName name="TOTDBCONT" localSheetId="6">'[62]Sorted Master-2112-2148'!#REF!</definedName>
    <definedName name="TOTDBCONT" localSheetId="17">'Master IS (C)'!#REF!</definedName>
    <definedName name="TOTDBCONT" localSheetId="18">'Master IS (C)'!#REF!</definedName>
    <definedName name="TOTDBCONT" localSheetId="19">'Master IS (C)'!#REF!</definedName>
    <definedName name="TOTDBCONT" localSheetId="7">'Master IS (C)'!#REF!</definedName>
    <definedName name="TOTDBCONT">'Master IS (C)'!#REF!</definedName>
    <definedName name="TOTDBCUST" localSheetId="0">'[60]Master IS (C)'!#REF!</definedName>
    <definedName name="TOTDBCUST" localSheetId="5">'[61]Sorted Master'!$AC$12</definedName>
    <definedName name="TOTDBCUST" localSheetId="6">'[62]Sorted Master-2112-2148'!#REF!</definedName>
    <definedName name="TOTDBCUST" localSheetId="17">'Master IS (C)'!#REF!</definedName>
    <definedName name="TOTDBCUST" localSheetId="18">'Master IS (C)'!#REF!</definedName>
    <definedName name="TOTDBCUST" localSheetId="19">'Master IS (C)'!#REF!</definedName>
    <definedName name="TOTDBCUST" localSheetId="7">'Master IS (C)'!#REF!</definedName>
    <definedName name="TOTDBCUST">'Master IS (C)'!#REF!</definedName>
    <definedName name="TOTDBDH" localSheetId="0">'[60]Master IS (C)'!#REF!</definedName>
    <definedName name="TOTDBDH" localSheetId="5">'[61]Sorted Master'!$AC$6</definedName>
    <definedName name="TOTDBDH" localSheetId="6">'[62]Sorted Master-2112-2148'!#REF!</definedName>
    <definedName name="TOTDBDH" localSheetId="17">'Master IS (C)'!#REF!</definedName>
    <definedName name="TOTDBDH" localSheetId="18">'Master IS (C)'!#REF!</definedName>
    <definedName name="TOTDBDH" localSheetId="19">'Master IS (C)'!#REF!</definedName>
    <definedName name="TOTDBDH" localSheetId="7">'Master IS (C)'!#REF!</definedName>
    <definedName name="TOTDBDH">'Master IS (C)'!#REF!</definedName>
    <definedName name="TOTDBREV" localSheetId="0">'[60]Master IS (C)'!#REF!</definedName>
    <definedName name="TOTDBREV" localSheetId="5">'[61]Sorted Master'!$AC$8</definedName>
    <definedName name="TOTDBREV" localSheetId="6">'[62]Sorted Master-2112-2148'!#REF!</definedName>
    <definedName name="TOTDBREV" localSheetId="17">'Master IS (C)'!#REF!</definedName>
    <definedName name="TOTDBREV" localSheetId="18">'Master IS (C)'!#REF!</definedName>
    <definedName name="TOTDBREV" localSheetId="19">'Master IS (C)'!#REF!</definedName>
    <definedName name="TOTDBREV" localSheetId="7">'Master IS (C)'!#REF!</definedName>
    <definedName name="TOTDBREV">'Master IS (C)'!#REF!</definedName>
    <definedName name="TOTDBTDEP" localSheetId="0">'[60]Master IS (C)'!#REF!</definedName>
    <definedName name="TOTDBTDEP" localSheetId="5">'[61]Sorted Master'!$AC$11</definedName>
    <definedName name="TOTDBTDEP" localSheetId="6">'[62]Sorted Master-2112-2148'!#REF!</definedName>
    <definedName name="TOTDBTDEP" localSheetId="17">'Master IS (C)'!#REF!</definedName>
    <definedName name="TOTDBTDEP" localSheetId="18">'Master IS (C)'!#REF!</definedName>
    <definedName name="TOTDBTDEP" localSheetId="19">'Master IS (C)'!#REF!</definedName>
    <definedName name="TOTDBTDEP" localSheetId="7">'Master IS (C)'!#REF!</definedName>
    <definedName name="TOTDBTDEP">'Master IS (C)'!#REF!</definedName>
    <definedName name="TOTDBTH" localSheetId="0">'[60]Master IS (C)'!#REF!</definedName>
    <definedName name="TOTDBTH" localSheetId="5">'[61]Sorted Master'!#REF!</definedName>
    <definedName name="TOTDBTH" localSheetId="6">'[62]Sorted Master-2112-2148'!#REF!</definedName>
    <definedName name="TOTDBTH" localSheetId="17">'Master IS (C)'!#REF!</definedName>
    <definedName name="TOTDBTH" localSheetId="18">'Master IS (C)'!#REF!</definedName>
    <definedName name="TOTDBTH" localSheetId="19">'Master IS (C)'!#REF!</definedName>
    <definedName name="TOTDBTH">'Master IS (C)'!#REF!</definedName>
    <definedName name="TOTDBTV" localSheetId="0">'[60]Master IS (C)'!#REF!</definedName>
    <definedName name="TOTDBTV" localSheetId="5">'[61]Sorted Master'!$AC$13</definedName>
    <definedName name="TOTDBTV" localSheetId="6">'[62]Sorted Master-2112-2148'!#REF!</definedName>
    <definedName name="TOTDBTV" localSheetId="17">'Master IS (C)'!#REF!</definedName>
    <definedName name="TOTDBTV" localSheetId="18">'Master IS (C)'!#REF!</definedName>
    <definedName name="TOTDBTV" localSheetId="19">'Master IS (C)'!#REF!</definedName>
    <definedName name="TOTDBTV" localSheetId="7">'Master IS (C)'!#REF!</definedName>
    <definedName name="TOTDBTV">'Master IS (C)'!#REF!</definedName>
    <definedName name="TOTDEBCONT" localSheetId="0">'[60]Master IS (C)'!#REF!</definedName>
    <definedName name="TOTDEBCONT" localSheetId="5">'[61]Sorted Master'!#REF!</definedName>
    <definedName name="TOTDEBCONT" localSheetId="6">'[62]Sorted Master-2112-2148'!#REF!</definedName>
    <definedName name="TOTDEBCONT" localSheetId="17">'Master IS (C)'!#REF!</definedName>
    <definedName name="TOTDEBCONT" localSheetId="18">'Master IS (C)'!#REF!</definedName>
    <definedName name="TOTDEBCONT" localSheetId="19">'Master IS (C)'!#REF!</definedName>
    <definedName name="TOTDEBCONT">'Master IS (C)'!#REF!</definedName>
    <definedName name="TOTDEBCUST" localSheetId="0">'[60]Master IS (C)'!#REF!</definedName>
    <definedName name="TOTDEBCUST" localSheetId="5">'[61]Sorted Master'!#REF!</definedName>
    <definedName name="TOTDEBCUST" localSheetId="6">'[62]Sorted Master-2112-2148'!#REF!</definedName>
    <definedName name="TOTDEBCUST" localSheetId="17">'Master IS (C)'!#REF!</definedName>
    <definedName name="TOTDEBCUST" localSheetId="18">'Master IS (C)'!#REF!</definedName>
    <definedName name="TOTDEBCUST" localSheetId="19">'Master IS (C)'!#REF!</definedName>
    <definedName name="TOTDEBCUST">'Master IS (C)'!#REF!</definedName>
    <definedName name="TOTDEBDH" localSheetId="0">'[60]Master IS (C)'!#REF!</definedName>
    <definedName name="TOTDEBDH" localSheetId="5">'[61]Sorted Master'!#REF!</definedName>
    <definedName name="TOTDEBDH" localSheetId="6">'[62]Sorted Master-2112-2148'!#REF!</definedName>
    <definedName name="TOTDEBDH" localSheetId="17">'Master IS (C)'!#REF!</definedName>
    <definedName name="TOTDEBDH" localSheetId="18">'Master IS (C)'!#REF!</definedName>
    <definedName name="TOTDEBDH" localSheetId="19">'Master IS (C)'!#REF!</definedName>
    <definedName name="TOTDEBDH">'Master IS (C)'!#REF!</definedName>
    <definedName name="TOTDEBREV" localSheetId="0">'[60]Master IS (C)'!#REF!</definedName>
    <definedName name="TOTDEBREV" localSheetId="5">'[61]Sorted Master'!#REF!</definedName>
    <definedName name="TOTDEBREV" localSheetId="6">'[62]Sorted Master-2112-2148'!#REF!</definedName>
    <definedName name="TOTDEBREV" localSheetId="17">'Master IS (C)'!#REF!</definedName>
    <definedName name="TOTDEBREV" localSheetId="18">'Master IS (C)'!#REF!</definedName>
    <definedName name="TOTDEBREV" localSheetId="19">'Master IS (C)'!#REF!</definedName>
    <definedName name="TOTDEBREV">'Master IS (C)'!#REF!</definedName>
    <definedName name="TOTDEBTH">'[36]Sorted Master'!$AD$8</definedName>
    <definedName name="TOTDH" localSheetId="0">'[60]Master IS (C)'!#REF!</definedName>
    <definedName name="TOTDH" localSheetId="5">'[61]Sorted Master'!$J$6</definedName>
    <definedName name="TOTDH" localSheetId="6">'[62]Sorted Master-2112-2148'!#REF!</definedName>
    <definedName name="TOTDH" localSheetId="17">'Master IS (C)'!#REF!</definedName>
    <definedName name="TOTDH" localSheetId="18">'Master IS (C)'!#REF!</definedName>
    <definedName name="TOTDH" localSheetId="19">'Master IS (C)'!#REF!</definedName>
    <definedName name="TOTDH" localSheetId="7">'Master IS (C)'!#REF!</definedName>
    <definedName name="TOTDH">'Master IS (C)'!#REF!</definedName>
    <definedName name="TOTFELCONT" localSheetId="0">'[60]Master IS (C)'!#REF!</definedName>
    <definedName name="TOTFELCONT" localSheetId="5">'[61]Sorted Master'!$Q$7</definedName>
    <definedName name="TOTFELCONT" localSheetId="6">'[62]Sorted Master-2112-2148'!#REF!</definedName>
    <definedName name="TOTFELCONT" localSheetId="17">'Master IS (C)'!#REF!</definedName>
    <definedName name="TOTFELCONT" localSheetId="18">'Master IS (C)'!#REF!</definedName>
    <definedName name="TOTFELCONT" localSheetId="19">'Master IS (C)'!#REF!</definedName>
    <definedName name="TOTFELCONT" localSheetId="7">'Master IS (C)'!#REF!</definedName>
    <definedName name="TOTFELCONT">'Master IS (C)'!#REF!</definedName>
    <definedName name="TOTFELCUST" localSheetId="0">'[60]Master IS (C)'!#REF!</definedName>
    <definedName name="TOTFELCUST" localSheetId="5">'[61]Sorted Master'!$Q$12</definedName>
    <definedName name="TOTFELCUST" localSheetId="6">'[62]Sorted Master-2112-2148'!#REF!</definedName>
    <definedName name="TOTFELCUST" localSheetId="17">'Master IS (C)'!#REF!</definedName>
    <definedName name="TOTFELCUST" localSheetId="18">'Master IS (C)'!#REF!</definedName>
    <definedName name="TOTFELCUST" localSheetId="19">'Master IS (C)'!#REF!</definedName>
    <definedName name="TOTFELCUST" localSheetId="7">'Master IS (C)'!#REF!</definedName>
    <definedName name="TOTFELCUST">'Master IS (C)'!#REF!</definedName>
    <definedName name="TOTFELDH" localSheetId="0">'[60]Master IS (C)'!#REF!</definedName>
    <definedName name="TOTFELDH" localSheetId="5">'[61]Sorted Master'!$Q$6</definedName>
    <definedName name="TOTFELDH" localSheetId="6">'[62]Sorted Master-2112-2148'!#REF!</definedName>
    <definedName name="TOTFELDH" localSheetId="17">'Master IS (C)'!#REF!</definedName>
    <definedName name="TOTFELDH" localSheetId="18">'Master IS (C)'!#REF!</definedName>
    <definedName name="TOTFELDH" localSheetId="19">'Master IS (C)'!#REF!</definedName>
    <definedName name="TOTFELDH" localSheetId="7">'Master IS (C)'!#REF!</definedName>
    <definedName name="TOTFELDH">'Master IS (C)'!#REF!</definedName>
    <definedName name="TOTFELREV" localSheetId="0">'[60]Master IS (C)'!#REF!</definedName>
    <definedName name="TOTFELREV" localSheetId="5">'[61]Sorted Master'!$Q$8</definedName>
    <definedName name="TOTFELREV" localSheetId="6">'[62]Sorted Master-2112-2148'!#REF!</definedName>
    <definedName name="TOTFELREV" localSheetId="17">'Master IS (C)'!#REF!</definedName>
    <definedName name="TOTFELREV" localSheetId="18">'Master IS (C)'!#REF!</definedName>
    <definedName name="TOTFELREV" localSheetId="19">'Master IS (C)'!#REF!</definedName>
    <definedName name="TOTFELREV" localSheetId="7">'Master IS (C)'!#REF!</definedName>
    <definedName name="TOTFELREV">'Master IS (C)'!#REF!</definedName>
    <definedName name="TOTFELTDEP" localSheetId="0">'[60]Master IS (C)'!#REF!</definedName>
    <definedName name="TOTFELTDEP" localSheetId="5">'[61]Sorted Master'!$Q$11</definedName>
    <definedName name="TOTFELTDEP" localSheetId="6">'[62]Sorted Master-2112-2148'!#REF!</definedName>
    <definedName name="TOTFELTDEP" localSheetId="17">'Master IS (C)'!#REF!</definedName>
    <definedName name="TOTFELTDEP" localSheetId="18">'Master IS (C)'!#REF!</definedName>
    <definedName name="TOTFELTDEP" localSheetId="19">'Master IS (C)'!#REF!</definedName>
    <definedName name="TOTFELTDEP" localSheetId="7">'Master IS (C)'!#REF!</definedName>
    <definedName name="TOTFELTDEP">'Master IS (C)'!#REF!</definedName>
    <definedName name="TOTFELTH" localSheetId="0">'[60]Master IS (C)'!#REF!</definedName>
    <definedName name="TOTFELTH" localSheetId="5">'[61]Sorted Master'!#REF!</definedName>
    <definedName name="TOTFELTH" localSheetId="6">'[62]Sorted Master-2112-2148'!#REF!</definedName>
    <definedName name="TOTFELTH" localSheetId="17">'Master IS (C)'!#REF!</definedName>
    <definedName name="TOTFELTH" localSheetId="18">'Master IS (C)'!#REF!</definedName>
    <definedName name="TOTFELTH" localSheetId="19">'Master IS (C)'!#REF!</definedName>
    <definedName name="TOTFELTH">'Master IS (C)'!#REF!</definedName>
    <definedName name="TOTFELTV" localSheetId="0">'[60]Master IS (C)'!#REF!</definedName>
    <definedName name="TOTFELTV" localSheetId="5">'[61]Sorted Master'!$Q$13</definedName>
    <definedName name="TOTFELTV" localSheetId="6">'[62]Sorted Master-2112-2148'!#REF!</definedName>
    <definedName name="TOTFELTV" localSheetId="17">'Master IS (C)'!#REF!</definedName>
    <definedName name="TOTFELTV" localSheetId="18">'Master IS (C)'!#REF!</definedName>
    <definedName name="TOTFELTV" localSheetId="19">'Master IS (C)'!#REF!</definedName>
    <definedName name="TOTFELTV" localSheetId="7">'Master IS (C)'!#REF!</definedName>
    <definedName name="TOTFELTV">'Master IS (C)'!#REF!</definedName>
    <definedName name="TOTRESCONT" localSheetId="0">'[60]Master IS (C)'!#REF!</definedName>
    <definedName name="TOTRESCONT" localSheetId="5">'[61]Sorted Master'!$M$7</definedName>
    <definedName name="TOTRESCONT" localSheetId="6">'[62]Sorted Master-2112-2148'!#REF!</definedName>
    <definedName name="TOTRESCONT" localSheetId="17">'Master IS (C)'!#REF!</definedName>
    <definedName name="TOTRESCONT" localSheetId="18">'Master IS (C)'!#REF!</definedName>
    <definedName name="TOTRESCONT" localSheetId="19">'Master IS (C)'!#REF!</definedName>
    <definedName name="TOTRESCONT" localSheetId="7">'Master IS (C)'!#REF!</definedName>
    <definedName name="TOTRESCONT">'Master IS (C)'!#REF!</definedName>
    <definedName name="TOTRESCUST" localSheetId="0">'[60]Master IS (C)'!#REF!</definedName>
    <definedName name="TOTRESCUST" localSheetId="5">'[61]Sorted Master'!$M$12</definedName>
    <definedName name="TOTRESCUST" localSheetId="6">'[62]Sorted Master-2112-2148'!#REF!</definedName>
    <definedName name="TOTRESCUST" localSheetId="17">'Master IS (C)'!#REF!</definedName>
    <definedName name="TOTRESCUST" localSheetId="18">'Master IS (C)'!#REF!</definedName>
    <definedName name="TOTRESCUST" localSheetId="19">'Master IS (C)'!#REF!</definedName>
    <definedName name="TOTRESCUST" localSheetId="7">'Master IS (C)'!#REF!</definedName>
    <definedName name="TOTRESCUST">'Master IS (C)'!#REF!</definedName>
    <definedName name="TOTRESDH" localSheetId="0">'[60]Master IS (C)'!#REF!</definedName>
    <definedName name="TOTRESDH" localSheetId="5">'[61]Sorted Master'!$M$6</definedName>
    <definedName name="TOTRESDH" localSheetId="6">'[62]Sorted Master-2112-2148'!#REF!</definedName>
    <definedName name="TOTRESDH" localSheetId="17">'Master IS (C)'!#REF!</definedName>
    <definedName name="TOTRESDH" localSheetId="18">'Master IS (C)'!#REF!</definedName>
    <definedName name="TOTRESDH" localSheetId="19">'Master IS (C)'!#REF!</definedName>
    <definedName name="TOTRESDH" localSheetId="7">'Master IS (C)'!#REF!</definedName>
    <definedName name="TOTRESDH">'Master IS (C)'!#REF!</definedName>
    <definedName name="TOTRESRCONT" localSheetId="0">'[60]Master IS (C)'!#REF!</definedName>
    <definedName name="TOTRESRCONT" localSheetId="5">'[61]Sorted Master'!$U$7</definedName>
    <definedName name="TOTRESRCONT" localSheetId="6">'[62]Sorted Master-2112-2148'!#REF!</definedName>
    <definedName name="TOTRESRCONT" localSheetId="17">'Master IS (C)'!#REF!</definedName>
    <definedName name="TOTRESRCONT" localSheetId="18">'Master IS (C)'!#REF!</definedName>
    <definedName name="TOTRESRCONT" localSheetId="19">'Master IS (C)'!#REF!</definedName>
    <definedName name="TOTRESRCONT" localSheetId="7">'Master IS (C)'!#REF!</definedName>
    <definedName name="TOTRESRCONT">'Master IS (C)'!#REF!</definedName>
    <definedName name="TOTRESRCUST" localSheetId="0">'[60]Master IS (C)'!#REF!</definedName>
    <definedName name="TOTRESRCUST" localSheetId="5">'[61]Sorted Master'!$U$12</definedName>
    <definedName name="TOTRESRCUST" localSheetId="6">'[62]Sorted Master-2112-2148'!#REF!</definedName>
    <definedName name="TOTRESRCUST" localSheetId="17">'Master IS (C)'!#REF!</definedName>
    <definedName name="TOTRESRCUST" localSheetId="18">'Master IS (C)'!#REF!</definedName>
    <definedName name="TOTRESRCUST" localSheetId="19">'Master IS (C)'!#REF!</definedName>
    <definedName name="TOTRESRCUST" localSheetId="7">'Master IS (C)'!#REF!</definedName>
    <definedName name="TOTRESRCUST">'Master IS (C)'!#REF!</definedName>
    <definedName name="TOTRESRDH" localSheetId="0">'[60]Master IS (C)'!#REF!</definedName>
    <definedName name="TOTRESRDH" localSheetId="5">'[61]Sorted Master'!$U$6</definedName>
    <definedName name="TOTRESRDH" localSheetId="6">'[62]Sorted Master-2112-2148'!#REF!</definedName>
    <definedName name="TOTRESRDH" localSheetId="17">'Master IS (C)'!#REF!</definedName>
    <definedName name="TOTRESRDH" localSheetId="18">'Master IS (C)'!#REF!</definedName>
    <definedName name="TOTRESRDH" localSheetId="19">'Master IS (C)'!#REF!</definedName>
    <definedName name="TOTRESRDH" localSheetId="7">'Master IS (C)'!#REF!</definedName>
    <definedName name="TOTRESRDH">'Master IS (C)'!#REF!</definedName>
    <definedName name="TOTRESREV" localSheetId="0">'[60]Master IS (C)'!#REF!</definedName>
    <definedName name="TOTRESREV" localSheetId="5">'[61]Sorted Master'!$M$8</definedName>
    <definedName name="TOTRESREV" localSheetId="6">'[62]Sorted Master-2112-2148'!#REF!</definedName>
    <definedName name="TOTRESREV" localSheetId="17">'Master IS (C)'!#REF!</definedName>
    <definedName name="TOTRESREV" localSheetId="18">'Master IS (C)'!#REF!</definedName>
    <definedName name="TOTRESREV" localSheetId="19">'Master IS (C)'!#REF!</definedName>
    <definedName name="TOTRESREV" localSheetId="7">'Master IS (C)'!#REF!</definedName>
    <definedName name="TOTRESREV">'Master IS (C)'!#REF!</definedName>
    <definedName name="TOTRESRREV" localSheetId="0">'[60]Master IS (C)'!#REF!</definedName>
    <definedName name="TOTRESRREV" localSheetId="5">'[61]Sorted Master'!$U$8</definedName>
    <definedName name="TOTRESRREV" localSheetId="6">'[62]Sorted Master-2112-2148'!#REF!</definedName>
    <definedName name="TOTRESRREV" localSheetId="17">'Master IS (C)'!#REF!</definedName>
    <definedName name="TOTRESRREV" localSheetId="18">'Master IS (C)'!#REF!</definedName>
    <definedName name="TOTRESRREV" localSheetId="19">'Master IS (C)'!#REF!</definedName>
    <definedName name="TOTRESRREV" localSheetId="7">'Master IS (C)'!#REF!</definedName>
    <definedName name="TOTRESRREV">'Master IS (C)'!#REF!</definedName>
    <definedName name="TOTRESRTDEP" localSheetId="0">'[60]Master IS (C)'!#REF!</definedName>
    <definedName name="TOTRESRTDEP" localSheetId="5">'[61]Sorted Master'!$U$11</definedName>
    <definedName name="TOTRESRTDEP" localSheetId="6">'[62]Sorted Master-2112-2148'!#REF!</definedName>
    <definedName name="TOTRESRTDEP" localSheetId="17">'Master IS (C)'!#REF!</definedName>
    <definedName name="TOTRESRTDEP" localSheetId="18">'Master IS (C)'!#REF!</definedName>
    <definedName name="TOTRESRTDEP" localSheetId="19">'Master IS (C)'!#REF!</definedName>
    <definedName name="TOTRESRTDEP" localSheetId="7">'Master IS (C)'!#REF!</definedName>
    <definedName name="TOTRESRTDEP">'Master IS (C)'!#REF!</definedName>
    <definedName name="TOTRESRTH" localSheetId="0">'[60]Master IS (C)'!#REF!</definedName>
    <definedName name="TOTRESRTH" localSheetId="5">'[61]Sorted Master'!#REF!</definedName>
    <definedName name="TOTRESRTH" localSheetId="6">'[62]Sorted Master-2112-2148'!#REF!</definedName>
    <definedName name="TOTRESRTH" localSheetId="17">'Master IS (C)'!#REF!</definedName>
    <definedName name="TOTRESRTH" localSheetId="18">'Master IS (C)'!#REF!</definedName>
    <definedName name="TOTRESRTH" localSheetId="19">'Master IS (C)'!#REF!</definedName>
    <definedName name="TOTRESRTH">'Master IS (C)'!#REF!</definedName>
    <definedName name="TOTRESRTV" localSheetId="0">'[60]Master IS (C)'!#REF!</definedName>
    <definedName name="TOTRESRTV" localSheetId="5">'[61]Sorted Master'!$U$13</definedName>
    <definedName name="TOTRESRTV" localSheetId="6">'[62]Sorted Master-2112-2148'!#REF!</definedName>
    <definedName name="TOTRESRTV" localSheetId="17">'Master IS (C)'!#REF!</definedName>
    <definedName name="TOTRESRTV" localSheetId="18">'Master IS (C)'!#REF!</definedName>
    <definedName name="TOTRESRTV" localSheetId="19">'Master IS (C)'!#REF!</definedName>
    <definedName name="TOTRESRTV" localSheetId="7">'Master IS (C)'!#REF!</definedName>
    <definedName name="TOTRESRTV">'Master IS (C)'!#REF!</definedName>
    <definedName name="TOTRESTDEP" localSheetId="0">'[60]Master IS (C)'!#REF!</definedName>
    <definedName name="TOTRESTDEP" localSheetId="5">'[61]Sorted Master'!$M$11</definedName>
    <definedName name="TOTRESTDEP" localSheetId="6">'[62]Sorted Master-2112-2148'!#REF!</definedName>
    <definedName name="TOTRESTDEP" localSheetId="17">'Master IS (C)'!#REF!</definedName>
    <definedName name="TOTRESTDEP" localSheetId="18">'Master IS (C)'!#REF!</definedName>
    <definedName name="TOTRESTDEP" localSheetId="19">'Master IS (C)'!#REF!</definedName>
    <definedName name="TOTRESTDEP" localSheetId="7">'Master IS (C)'!#REF!</definedName>
    <definedName name="TOTRESTDEP">'Master IS (C)'!#REF!</definedName>
    <definedName name="TOTRESTH" localSheetId="0">'[60]Master IS (C)'!#REF!</definedName>
    <definedName name="TOTRESTH" localSheetId="5">'[61]Sorted Master'!#REF!</definedName>
    <definedName name="TOTRESTH" localSheetId="6">'[62]Sorted Master-2112-2148'!#REF!</definedName>
    <definedName name="TOTRESTH" localSheetId="17">'Master IS (C)'!#REF!</definedName>
    <definedName name="TOTRESTH" localSheetId="18">'Master IS (C)'!#REF!</definedName>
    <definedName name="TOTRESTH" localSheetId="19">'Master IS (C)'!#REF!</definedName>
    <definedName name="TOTRESTH">'Master IS (C)'!#REF!</definedName>
    <definedName name="TOTRESTV" localSheetId="0">'[60]Master IS (C)'!#REF!</definedName>
    <definedName name="TOTRESTV" localSheetId="5">'[61]Sorted Master'!$M$13</definedName>
    <definedName name="TOTRESTV" localSheetId="6">'[62]Sorted Master-2112-2148'!#REF!</definedName>
    <definedName name="TOTRESTV" localSheetId="17">'Master IS (C)'!#REF!</definedName>
    <definedName name="TOTRESTV" localSheetId="18">'Master IS (C)'!#REF!</definedName>
    <definedName name="TOTRESTV" localSheetId="19">'Master IS (C)'!#REF!</definedName>
    <definedName name="TOTRESTV" localSheetId="7">'Master IS (C)'!#REF!</definedName>
    <definedName name="TOTRESTV">'Master IS (C)'!#REF!</definedName>
    <definedName name="TOTREV" localSheetId="0">'[60]Master IS (C)'!#REF!</definedName>
    <definedName name="TOTREV" localSheetId="5">'[61]Sorted Master'!$J$8</definedName>
    <definedName name="TOTREV" localSheetId="6">'[62]Sorted Master-2112-2148'!#REF!</definedName>
    <definedName name="TOTREV" localSheetId="17">'Master IS (C)'!#REF!</definedName>
    <definedName name="TOTREV" localSheetId="18">'Master IS (C)'!#REF!</definedName>
    <definedName name="TOTREV" localSheetId="19">'Master IS (C)'!#REF!</definedName>
    <definedName name="TOTREV" localSheetId="7">'Master IS (C)'!#REF!</definedName>
    <definedName name="TOTREV">'Master IS (C)'!#REF!</definedName>
    <definedName name="TOTTABLE">'Master IS (C)'!$D$22:$E$204</definedName>
    <definedName name="TOTTDEP" localSheetId="0">'[60]Master IS (C)'!#REF!</definedName>
    <definedName name="TOTTDEP" localSheetId="5">'[61]Sorted Master'!$J$11</definedName>
    <definedName name="TOTTDEP" localSheetId="6">'[62]Sorted Master-2112-2148'!#REF!</definedName>
    <definedName name="TOTTDEP" localSheetId="17">'Master IS (C)'!#REF!</definedName>
    <definedName name="TOTTDEP" localSheetId="18">'Master IS (C)'!#REF!</definedName>
    <definedName name="TOTTDEP" localSheetId="19">'Master IS (C)'!#REF!</definedName>
    <definedName name="TOTTDEP" localSheetId="7">'Master IS (C)'!#REF!</definedName>
    <definedName name="TOTTDEP">'Master IS (C)'!#REF!</definedName>
    <definedName name="TOTTH" localSheetId="0">'[60]Master IS (C)'!#REF!</definedName>
    <definedName name="TOTTH" localSheetId="5">'[61]Sorted Master'!#REF!</definedName>
    <definedName name="TOTTH" localSheetId="6">'[62]Sorted Master-2112-2148'!#REF!</definedName>
    <definedName name="TOTTH" localSheetId="17">'Master IS (C)'!#REF!</definedName>
    <definedName name="TOTTH" localSheetId="18">'Master IS (C)'!#REF!</definedName>
    <definedName name="TOTTH" localSheetId="19">'Master IS (C)'!#REF!</definedName>
    <definedName name="TOTTH">'Master IS (C)'!#REF!</definedName>
    <definedName name="TOTTV" localSheetId="0">'[60]Master IS (C)'!#REF!</definedName>
    <definedName name="TOTTV" localSheetId="5">'[61]Sorted Master'!$J$13</definedName>
    <definedName name="TOTTV" localSheetId="6">'[62]Sorted Master-2112-2148'!#REF!</definedName>
    <definedName name="TOTTV" localSheetId="17">'Master IS (C)'!#REF!</definedName>
    <definedName name="TOTTV" localSheetId="18">'Master IS (C)'!#REF!</definedName>
    <definedName name="TOTTV" localSheetId="19">'Master IS (C)'!#REF!</definedName>
    <definedName name="TOTTV" localSheetId="7">'Master IS (C)'!#REF!</definedName>
    <definedName name="TOTTV">'Master IS (C)'!#REF!</definedName>
    <definedName name="Transactions" localSheetId="0">#REF!</definedName>
    <definedName name="Transactions" localSheetId="6">#REF!</definedName>
    <definedName name="Transactions" localSheetId="29">#REF!</definedName>
    <definedName name="Transactions" localSheetId="27">#REF!</definedName>
    <definedName name="Transactions" localSheetId="17">#REF!</definedName>
    <definedName name="Transactions" localSheetId="18">#REF!</definedName>
    <definedName name="Transactions" localSheetId="19">#REF!</definedName>
    <definedName name="Transactions" localSheetId="8">#REF!</definedName>
    <definedName name="Transactions" localSheetId="7">#REF!</definedName>
    <definedName name="Transactions" localSheetId="9">#REF!</definedName>
    <definedName name="Transactions">#REF!</definedName>
    <definedName name="UnformattedIS" localSheetId="5">#REF!</definedName>
    <definedName name="UnformattedIS" localSheetId="6">#REF!</definedName>
    <definedName name="UnformattedIS" localSheetId="17">#REF!</definedName>
    <definedName name="UnformattedIS" localSheetId="18">#REF!</definedName>
    <definedName name="UnformattedIS" localSheetId="19">#REF!</definedName>
    <definedName name="UnformattedIS" localSheetId="7">#REF!</definedName>
    <definedName name="UnformattedIS">#REF!</definedName>
    <definedName name="UnregulatedIS" localSheetId="0">'[40]2010 IS'!$A$12:$Q$654</definedName>
    <definedName name="UnregulatedIS" localSheetId="6">'[41]2010 IS'!$A$12:$Q$654</definedName>
    <definedName name="UnregulatedIS" localSheetId="27">'[41]2010 IS'!$A$12:$Q$654</definedName>
    <definedName name="UnregulatedIS" localSheetId="8">'[42]2010 IS'!$A$12:$Q$654</definedName>
    <definedName name="UnregulatedIS" localSheetId="7">'[40]2010 IS'!$A$12:$Q$654</definedName>
    <definedName name="UnregulatedIS" localSheetId="9">'[40]2010 IS'!$A$12:$Q$654</definedName>
    <definedName name="UnregulatedIS">'[43]2010 IS'!$A$12:$Q$654</definedName>
    <definedName name="ValidFormats">[3]Delivery!$AA$4:$AA$10</definedName>
    <definedName name="VendorCode" localSheetId="0">#REF!</definedName>
    <definedName name="VendorCode" localSheetId="21">'41201 JE Query'!$P$12</definedName>
    <definedName name="VendorCode" localSheetId="20">'5 Year Insurance (C)'!$P$12</definedName>
    <definedName name="VendorCode" localSheetId="23">'70195 JE Query (C)'!$P$12</definedName>
    <definedName name="VendorCode" localSheetId="25">'70235 JE Query (C)'!$P$12</definedName>
    <definedName name="VendorCode" localSheetId="24">'70255 JE Query (C)'!$P$12</definedName>
    <definedName name="VendorCode" localSheetId="26">'91010 JE Query'!$P$12</definedName>
    <definedName name="VendorCode" localSheetId="27">#REF!</definedName>
    <definedName name="VendorCode" localSheetId="17">#REF!</definedName>
    <definedName name="VendorCode" localSheetId="18">#REF!</definedName>
    <definedName name="VendorCode" localSheetId="19">#REF!</definedName>
    <definedName name="VendorCode" localSheetId="8">#REF!</definedName>
    <definedName name="VendorCode" localSheetId="9">#REF!</definedName>
    <definedName name="VendorCode">#REF!</definedName>
    <definedName name="Version" localSheetId="0">[26]Data!#REF!</definedName>
    <definedName name="Version" localSheetId="6">[27]Data!#REF!</definedName>
    <definedName name="Version" localSheetId="27">[27]Data!#REF!</definedName>
    <definedName name="Version" localSheetId="17">[27]Data!#REF!</definedName>
    <definedName name="Version" localSheetId="18">[27]Data!#REF!</definedName>
    <definedName name="Version" localSheetId="19">[27]Data!#REF!</definedName>
    <definedName name="Version" localSheetId="8">[28]Data!#REF!</definedName>
    <definedName name="Version" localSheetId="7">[26]Data!#REF!</definedName>
    <definedName name="Version" localSheetId="9">[26]Data!#REF!</definedName>
    <definedName name="Version">[29]Data!#REF!</definedName>
    <definedName name="WksInYr" localSheetId="0">#REF!</definedName>
    <definedName name="WksInYr" localSheetId="6">#REF!</definedName>
    <definedName name="WksInYr" localSheetId="17">#REF!</definedName>
    <definedName name="WksInYr" localSheetId="18">#REF!</definedName>
    <definedName name="WksInYr" localSheetId="19">#REF!</definedName>
    <definedName name="WksInYr" localSheetId="7">#REF!</definedName>
    <definedName name="WksInYr">#REF!</definedName>
    <definedName name="wrn.PrintReview."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2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9"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2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8"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9"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6" hidden="1">{#N/A,#N/A,TRUE,"SUMM";#N/A,#N/A,TRUE,"Rev";#N/A,#N/A,TRUE,"Dir_Costs";#N/A,#N/A,TRUE,"G and A Costs";#N/A,#N/A,TRUE,"Itemize";#N/A,#N/A,TRUE,"Cust_Count1";#N/A,#N/A,TRUE,"Cust_Count2";#N/A,#N/A,TRUE,"Rev_Breakdown";#N/A,#N/A,TRUE,"Truck Hours";#N/A,#N/A,TRUE,"Labor Hours";#N/A,#N/A,TRUE,"Container Breakdown";#N/A,#N/A,TRUE,"Cart Breakdown"}</definedName>
    <definedName name="wrn.PrintReviewPDXAM"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PDXAM"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5"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6"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2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8"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9"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0" hidden="1">{"Page1",#N/A,TRUE,"SUMM";"Page2",#N/A,TRUE,"Rev";"Page3",#N/A,TRUE,"Dir_Costs"}</definedName>
    <definedName name="wrn.test." localSheetId="5" hidden="1">{"Page1",#N/A,TRUE,"SUMM";"Page2",#N/A,TRUE,"Rev";"Page3",#N/A,TRUE,"Dir_Costs"}</definedName>
    <definedName name="wrn.test." localSheetId="6" hidden="1">{"Page1",#N/A,TRUE,"SUMM";"Page2",#N/A,TRUE,"Rev";"Page3",#N/A,TRUE,"Dir_Costs"}</definedName>
    <definedName name="wrn.test." localSheetId="27" hidden="1">{"Page1",#N/A,TRUE,"SUMM";"Page2",#N/A,TRUE,"Rev";"Page3",#N/A,TRUE,"Dir_Costs"}</definedName>
    <definedName name="wrn.test." localSheetId="8" hidden="1">{"Page1",#N/A,TRUE,"SUMM";"Page2",#N/A,TRUE,"Rev";"Page3",#N/A,TRUE,"Dir_Costs"}</definedName>
    <definedName name="wrn.test." localSheetId="7" hidden="1">{"Page1",#N/A,TRUE,"SUMM";"Page2",#N/A,TRUE,"Rev";"Page3",#N/A,TRUE,"Dir_Costs"}</definedName>
    <definedName name="wrn.test." localSheetId="9" hidden="1">{"Page1",#N/A,TRUE,"SUMM";"Page2",#N/A,TRUE,"Rev";"Page3",#N/A,TRUE,"Dir_Costs"}</definedName>
    <definedName name="wrn.test." hidden="1">{"Page1",#N/A,TRUE,"SUMM";"Page2",#N/A,TRUE,"Rev";"Page3",#N/A,TRUE,"Dir_Costs"}</definedName>
    <definedName name="WTable" localSheetId="0">#REF!</definedName>
    <definedName name="WTable" localSheetId="5">#REF!</definedName>
    <definedName name="WTable" localSheetId="6">#REF!</definedName>
    <definedName name="WTable" localSheetId="29">#REF!</definedName>
    <definedName name="WTable" localSheetId="10">#REF!</definedName>
    <definedName name="WTable" localSheetId="27">#REF!</definedName>
    <definedName name="WTable" localSheetId="17">#REF!</definedName>
    <definedName name="WTable" localSheetId="18">#REF!</definedName>
    <definedName name="WTable" localSheetId="19">#REF!</definedName>
    <definedName name="WTable" localSheetId="8">#REF!</definedName>
    <definedName name="WTable" localSheetId="7">#REF!</definedName>
    <definedName name="WTable" localSheetId="9">#REF!</definedName>
    <definedName name="WTable">#REF!</definedName>
    <definedName name="WTableOld" localSheetId="5">#REF!</definedName>
    <definedName name="WTableOld" localSheetId="6">#REF!</definedName>
    <definedName name="WTableOld" localSheetId="29">#REF!</definedName>
    <definedName name="WTableOld" localSheetId="10">#REF!</definedName>
    <definedName name="WTableOld" localSheetId="27">#REF!</definedName>
    <definedName name="WTableOld" localSheetId="17">#REF!</definedName>
    <definedName name="WTableOld" localSheetId="18">#REF!</definedName>
    <definedName name="WTableOld" localSheetId="19">#REF!</definedName>
    <definedName name="WTableOld" localSheetId="8">#REF!</definedName>
    <definedName name="WTableOld" localSheetId="7">#REF!</definedName>
    <definedName name="WTableOld" localSheetId="9">#REF!</definedName>
    <definedName name="WTableOld">#REF!</definedName>
    <definedName name="ww" localSheetId="6">#REF!</definedName>
    <definedName name="ww" localSheetId="29">#REF!</definedName>
    <definedName name="ww" localSheetId="27">#REF!</definedName>
    <definedName name="ww" localSheetId="17">#REF!</definedName>
    <definedName name="ww" localSheetId="18">#REF!</definedName>
    <definedName name="ww" localSheetId="19">#REF!</definedName>
    <definedName name="ww" localSheetId="8">#REF!</definedName>
    <definedName name="ww" localSheetId="7">#REF!</definedName>
    <definedName name="ww" localSheetId="9">#REF!</definedName>
    <definedName name="ww">#REF!</definedName>
    <definedName name="xperiod">[1]Orientation!$G$15</definedName>
    <definedName name="xtabin" localSheetId="0">[2]Hidden!#REF!</definedName>
    <definedName name="xtabin" localSheetId="6">[6]Hidden!#REF!</definedName>
    <definedName name="xtabin" localSheetId="29">[6]Hidden!#REF!</definedName>
    <definedName name="xtabin" localSheetId="10">[2]Hidden!#REF!</definedName>
    <definedName name="xtabin" localSheetId="27">[2]Hidden!#REF!</definedName>
    <definedName name="xtabin" localSheetId="17">[6]Hidden!#REF!</definedName>
    <definedName name="xtabin" localSheetId="18">[6]Hidden!#REF!</definedName>
    <definedName name="xtabin" localSheetId="19">[6]Hidden!#REF!</definedName>
    <definedName name="xtabin" localSheetId="8">[2]Hidden!#REF!</definedName>
    <definedName name="xtabin" localSheetId="7">[2]Hidden!#REF!</definedName>
    <definedName name="xtabin" localSheetId="9">[7]Hidden!#REF!</definedName>
    <definedName name="xtabin">[8]Hidden!#REF!</definedName>
    <definedName name="xx" localSheetId="0">#REF!</definedName>
    <definedName name="xx" localSheetId="6">#REF!</definedName>
    <definedName name="xx" localSheetId="29">#REF!</definedName>
    <definedName name="xx" localSheetId="10">#REF!</definedName>
    <definedName name="xx" localSheetId="27">#REF!</definedName>
    <definedName name="xx" localSheetId="17">#REF!</definedName>
    <definedName name="xx" localSheetId="18">#REF!</definedName>
    <definedName name="xx" localSheetId="19">#REF!</definedName>
    <definedName name="xx" localSheetId="8">#REF!</definedName>
    <definedName name="xx" localSheetId="7">#REF!</definedName>
    <definedName name="xx" localSheetId="9">#REF!</definedName>
    <definedName name="xx">#REF!</definedName>
    <definedName name="xxx" localSheetId="6">#REF!</definedName>
    <definedName name="xxx" localSheetId="29">#REF!</definedName>
    <definedName name="xxx" localSheetId="27">#REF!</definedName>
    <definedName name="xxx" localSheetId="17">#REF!</definedName>
    <definedName name="xxx" localSheetId="18">#REF!</definedName>
    <definedName name="xxx" localSheetId="19">#REF!</definedName>
    <definedName name="xxx" localSheetId="8">#REF!</definedName>
    <definedName name="xxx" localSheetId="7">#REF!</definedName>
    <definedName name="xxx" localSheetId="9">#REF!</definedName>
    <definedName name="xxx">#REF!</definedName>
    <definedName name="xxxx" localSheetId="6">#REF!</definedName>
    <definedName name="xxxx" localSheetId="29">#REF!</definedName>
    <definedName name="xxxx" localSheetId="27">#REF!</definedName>
    <definedName name="xxxx" localSheetId="17">#REF!</definedName>
    <definedName name="xxxx" localSheetId="18">#REF!</definedName>
    <definedName name="xxxx" localSheetId="19">#REF!</definedName>
    <definedName name="xxxx" localSheetId="8">#REF!</definedName>
    <definedName name="xxxx" localSheetId="7">#REF!</definedName>
    <definedName name="xxxx" localSheetId="9">#REF!</definedName>
    <definedName name="xxxx">#REF!</definedName>
    <definedName name="y_inter1" localSheetId="0">'[51]LG Nonpublic 2018 V5.0'!$W$55</definedName>
    <definedName name="y_inter1" localSheetId="6">'[52]LG Nonpublic 2018 V5.0'!$W$55</definedName>
    <definedName name="y_inter1" localSheetId="27">'[52]LG Nonpublic 2018 V5.0'!$W$55</definedName>
    <definedName name="y_inter1" localSheetId="17">'LG BRG - MSW'!$X$54</definedName>
    <definedName name="y_inter1" localSheetId="18">'LG BRG - Recycle'!$X$54</definedName>
    <definedName name="y_inter1" localSheetId="16">'LG BRG - Total'!$X$54</definedName>
    <definedName name="y_inter1" localSheetId="19">'LG BRG - Yard Waste'!$X$54</definedName>
    <definedName name="y_inter1">'[53]LG Nonpublic 2018 V5.0'!$W$55</definedName>
    <definedName name="y_inter2" localSheetId="0">'[51]LG Nonpublic 2018 V5.0'!$W$56</definedName>
    <definedName name="y_inter2" localSheetId="6">'[52]LG Nonpublic 2018 V5.0'!$W$56</definedName>
    <definedName name="y_inter2" localSheetId="27">'[52]LG Nonpublic 2018 V5.0'!$W$56</definedName>
    <definedName name="y_inter2" localSheetId="17">'LG BRG - MSW'!$X$55</definedName>
    <definedName name="y_inter2" localSheetId="18">'LG BRG - Recycle'!$X$55</definedName>
    <definedName name="y_inter2" localSheetId="16">'LG BRG - Total'!$X$55</definedName>
    <definedName name="y_inter2" localSheetId="19">'LG BRG - Yard Waste'!$X$55</definedName>
    <definedName name="y_inter2">'[53]LG Nonpublic 2018 V5.0'!$W$56</definedName>
    <definedName name="y_inter3" localSheetId="0">'[51]LG Nonpublic 2018 V5.0'!$Y$55</definedName>
    <definedName name="y_inter3" localSheetId="6">'[52]LG Nonpublic 2018 V5.0'!$Y$55</definedName>
    <definedName name="y_inter3" localSheetId="27">'[52]LG Nonpublic 2018 V5.0'!$Y$55</definedName>
    <definedName name="y_inter3" localSheetId="17">'LG BRG - MSW'!$Z$54</definedName>
    <definedName name="y_inter3" localSheetId="18">'LG BRG - Recycle'!$Z$54</definedName>
    <definedName name="y_inter3" localSheetId="16">'LG BRG - Total'!$Z$54</definedName>
    <definedName name="y_inter3" localSheetId="19">'LG BRG - Yard Waste'!$Z$54</definedName>
    <definedName name="y_inter3">'[53]LG Nonpublic 2018 V5.0'!$Y$55</definedName>
    <definedName name="y_inter4" localSheetId="0">'[51]LG Nonpublic 2018 V5.0'!$Y$56</definedName>
    <definedName name="y_inter4" localSheetId="6">'[52]LG Nonpublic 2018 V5.0'!$Y$56</definedName>
    <definedName name="y_inter4" localSheetId="27">'[52]LG Nonpublic 2018 V5.0'!$Y$56</definedName>
    <definedName name="y_inter4" localSheetId="17">'LG BRG - MSW'!$Z$55</definedName>
    <definedName name="y_inter4" localSheetId="18">'LG BRG - Recycle'!$Z$55</definedName>
    <definedName name="y_inter4" localSheetId="16">'LG BRG - Total'!$Z$55</definedName>
    <definedName name="y_inter4" localSheetId="19">'LG BRG - Yard Waste'!$Z$55</definedName>
    <definedName name="y_inter4">'[53]LG Nonpublic 2018 V5.0'!$Y$56</definedName>
    <definedName name="Year" localSheetId="6">'[63]Aug Av. Fuel Price'!$E$15</definedName>
    <definedName name="Year">'[64]Aug Av. Fuel Price'!$E$15</definedName>
    <definedName name="Year_of_Review">'[19]Title Inputs'!$C$3</definedName>
    <definedName name="YearMonth" localSheetId="0">'2195 IS (C)'!$D$8</definedName>
    <definedName name="YearMonth" localSheetId="14">'2195_BS 03-2021 (C)'!$D$9</definedName>
    <definedName name="YearMonth" localSheetId="15">'2195_BS 03-2022 (C)'!$D$9</definedName>
    <definedName name="YearMonth" localSheetId="6">'[30]Yakima BS'!#REF!</definedName>
    <definedName name="YearMonth" localSheetId="29">'[31]Vashon BS'!#REF!</definedName>
    <definedName name="YearMonth" localSheetId="27">'[32]Vashon BS'!#REF!</definedName>
    <definedName name="YearMonth" localSheetId="17">#REF!</definedName>
    <definedName name="YearMonth" localSheetId="18">#REF!</definedName>
    <definedName name="YearMonth" localSheetId="19">#REF!</definedName>
    <definedName name="YearMonth" localSheetId="8">'[33]Yakima BS'!#REF!</definedName>
    <definedName name="YearMonth" localSheetId="7">'[32]Vashon BS'!#REF!</definedName>
    <definedName name="YearMonth" localSheetId="28">'Region OH (C)'!$A$3</definedName>
    <definedName name="YearMonth" localSheetId="9">'[32]Vashon BS'!#REF!</definedName>
    <definedName name="YearMonth">'[33]Yakima BS'!#REF!</definedName>
    <definedName name="YWMedWasteDisp">#N/A</definedName>
    <definedName name="yy" localSheetId="0">#REF!</definedName>
    <definedName name="yy" localSheetId="6">#REF!</definedName>
    <definedName name="yy" localSheetId="29">#REF!</definedName>
    <definedName name="yy" localSheetId="27">#REF!</definedName>
    <definedName name="yy" localSheetId="17">#REF!</definedName>
    <definedName name="yy" localSheetId="18">#REF!</definedName>
    <definedName name="yy" localSheetId="19">#REF!</definedName>
    <definedName name="yy" localSheetId="8">#REF!</definedName>
    <definedName name="yy" localSheetId="7">#REF!</definedName>
    <definedName name="yy" localSheetId="9">#REF!</definedName>
    <definedName name="yy">#REF!</definedName>
    <definedName name="Z_057B8D3C_0D4C_429A_8A8C_EC78C4D5B8CE_.wvu.PrintArea" localSheetId="1" hidden="1">'Master IS (C)'!$B$4:$E$204</definedName>
    <definedName name="Z_057B8D3C_0D4C_429A_8A8C_EC78C4D5B8CE_.wvu.PrintTitles" localSheetId="1" hidden="1">'Master IS (C)'!$B:$D,'Master IS (C)'!$4:$22</definedName>
    <definedName name="Z_156AD3D1_5094_4CD1_83C8_30E58A5AFCB6_.wvu.PrintArea" localSheetId="1" hidden="1">'Master IS (C)'!$B$1:$T$209</definedName>
    <definedName name="Z_156AD3D1_5094_4CD1_83C8_30E58A5AFCB6_.wvu.PrintArea" localSheetId="3" hidden="1">'Restating Adj (C)'!$A$23:$E$110</definedName>
    <definedName name="Z_156AD3D1_5094_4CD1_83C8_30E58A5AFCB6_.wvu.PrintTitles" localSheetId="1" hidden="1">'Master IS (C)'!$B:$D,'Master IS (C)'!$1:$22</definedName>
    <definedName name="Z_16802F6F_9643_4B87_9726_6795732A865F_.wvu.PrintArea" localSheetId="1" hidden="1">'Master IS (C)'!$B$4:$E$204</definedName>
    <definedName name="Z_16802F6F_9643_4B87_9726_6795732A865F_.wvu.PrintTitles" localSheetId="1" hidden="1">'Master IS (C)'!$B:$D,'Master IS (C)'!$4:$22</definedName>
    <definedName name="Z_16F8EA47_9864_4C0F_89A1_62B7CCC013F9_.wvu.PrintArea" localSheetId="3" hidden="1">'Restating Adj (C)'!$A$23:$E$110</definedName>
    <definedName name="Z_1C70674C_C0D3_4CB7_8C75_86829B7646FB_.wvu.PrintArea" localSheetId="1" hidden="1">'Master IS (C)'!$B$4:$E$204</definedName>
    <definedName name="Z_1C70674C_C0D3_4CB7_8C75_86829B7646FB_.wvu.PrintTitles" localSheetId="1" hidden="1">'Master IS (C)'!$B:$D,'Master IS (C)'!$4:$22</definedName>
    <definedName name="Z_36838F4A_1FC5_4824_A767_DD09086D5AFE_.wvu.PrintArea" localSheetId="1" hidden="1">'Master IS (C)'!$B$218:$E$270</definedName>
    <definedName name="Z_36838F4A_1FC5_4824_A767_DD09086D5AFE_.wvu.PrintTitles" localSheetId="1" hidden="1">'Master IS (C)'!$218:$229</definedName>
    <definedName name="Z_52E756FC_59CA_45B4_9E62_E0249851E182_.wvu.PrintArea" localSheetId="1" hidden="1">'Master IS (C)'!$B$4:$E$204</definedName>
    <definedName name="Z_52E756FC_59CA_45B4_9E62_E0249851E182_.wvu.PrintTitles" localSheetId="1" hidden="1">'Master IS (C)'!$B:$D,'Master IS (C)'!$4:$22</definedName>
    <definedName name="Z_591FF4D1_4D4D_4220_B124_BC7A16E8B120_.wvu.PrintArea" localSheetId="1" hidden="1">'Master IS (C)'!$B$1:$T$209</definedName>
    <definedName name="Z_591FF4D1_4D4D_4220_B124_BC7A16E8B120_.wvu.PrintArea" localSheetId="3" hidden="1">'Restating Adj (C)'!$A$23:$E$110</definedName>
    <definedName name="Z_591FF4D1_4D4D_4220_B124_BC7A16E8B120_.wvu.PrintTitles" localSheetId="1" hidden="1">'Master IS (C)'!$B:$D,'Master IS (C)'!$1:$22</definedName>
    <definedName name="Z_6F8FA16D_9CE7_4FD8_9B9A_17F898E01CA0_.wvu.PrintArea" localSheetId="1" hidden="1">'Master IS (C)'!$B$1:$T$204</definedName>
    <definedName name="Z_6F8FA16D_9CE7_4FD8_9B9A_17F898E01CA0_.wvu.PrintTitles" localSheetId="1" hidden="1">'Master IS (C)'!$B:$D,'Master IS (C)'!$4:$22</definedName>
    <definedName name="Z_6FADC2CF_EDA6_4AA4_B39A_980411959FFB_.wvu.PrintArea" localSheetId="1" hidden="1">'Master IS (C)'!$B$218:$E$270</definedName>
    <definedName name="Z_6FADC2CF_EDA6_4AA4_B39A_980411959FFB_.wvu.PrintTitles" localSheetId="1" hidden="1">'Master IS (C)'!$B:$D,'Master IS (C)'!$4:$22</definedName>
    <definedName name="Z_76FC386D_C488_46EF_BB9C_D1C49FEBAB90_.wvu.PrintArea" localSheetId="3" hidden="1">'Restating Adj (C)'!$A$23:$E$110</definedName>
    <definedName name="Z_98FDA1BA_1CC9_4BBD_B9BC_8CE498F4DD38_.wvu.PrintArea" localSheetId="1" hidden="1">'Master IS (C)'!$B$4:$E$204</definedName>
    <definedName name="Z_98FDA1BA_1CC9_4BBD_B9BC_8CE498F4DD38_.wvu.PrintTitles" localSheetId="1" hidden="1">'Master IS (C)'!$B:$D,'Master IS (C)'!$4:$22</definedName>
    <definedName name="Z_AA9AE68D_F805_4CD0_A10E_B68EB991992D_.wvu.PrintArea" localSheetId="1" hidden="1">'Master IS (C)'!$B$4:$E$204</definedName>
    <definedName name="Z_AA9AE68D_F805_4CD0_A10E_B68EB991992D_.wvu.PrintTitles" localSheetId="1" hidden="1">'Master IS (C)'!$B:$D,'Master IS (C)'!$4:$22</definedName>
    <definedName name="Z_EAC80C93_2748_4842_AD51_A52278384601_.wvu.PrintArea" localSheetId="1" hidden="1">'Master IS (C)'!$B$4:$E$204</definedName>
    <definedName name="Z_EAC80C93_2748_4842_AD51_A52278384601_.wvu.PrintTitles" localSheetId="1" hidden="1">'Master IS (C)'!$B:$D,'Master IS (C)'!$4:$22</definedName>
  </definedNames>
  <calcPr calcId="191029" iterate="1"/>
  <customWorkbookViews>
    <customWorkbookView name="Heather Garland - Personal View" guid="{156AD3D1-5094-4CD1-83C8-30E58A5AFCB6}" mergeInterval="0" personalView="1" maximized="1" windowWidth="1920" windowHeight="757" tabRatio="885" activeSheetId="9"/>
    <customWorkbookView name="Lesley Gordon - Personal View" guid="{591FF4D1-4D4D-4220-B124-BC7A16E8B120}" mergeInterval="0" personalView="1" maximized="1" windowWidth="1920" windowHeight="855" tabRatio="885" activeSheetId="3"/>
  </customWorkbookViews>
  <pivotCaches>
    <pivotCache cacheId="0" r:id="rId108"/>
    <pivotCache cacheId="1" r:id="rId109"/>
    <pivotCache cacheId="2" r:id="rId110"/>
    <pivotCache cacheId="3" r:id="rId111"/>
    <pivotCache cacheId="4" r:id="rId112"/>
    <pivotCache cacheId="5" r:id="rId113"/>
    <pivotCache cacheId="6" r:id="rId114"/>
    <pivotCache cacheId="7" r:id="rId1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9" i="130" l="1"/>
  <c r="F158" i="130"/>
  <c r="C59" i="7" l="1"/>
  <c r="D59" i="7"/>
  <c r="D58" i="7" l="1"/>
  <c r="C58" i="7"/>
  <c r="A1" i="131" l="1"/>
  <c r="K2" i="132"/>
  <c r="U3" i="132"/>
  <c r="V3" i="132"/>
  <c r="W3" i="132"/>
  <c r="X3" i="132"/>
  <c r="Y3" i="132"/>
  <c r="Z3" i="132"/>
  <c r="AA3" i="132"/>
  <c r="AB3" i="132"/>
  <c r="AC3" i="132"/>
  <c r="AD3" i="132"/>
  <c r="AE3" i="132"/>
  <c r="AF3" i="132"/>
  <c r="U4" i="132"/>
  <c r="V4" i="132"/>
  <c r="W4" i="132"/>
  <c r="X4" i="132"/>
  <c r="Y4" i="132"/>
  <c r="Z4" i="132"/>
  <c r="AA4" i="132"/>
  <c r="AB4" i="132"/>
  <c r="AC4" i="132"/>
  <c r="AD4" i="132"/>
  <c r="AE4" i="132"/>
  <c r="AF4" i="132"/>
  <c r="U12" i="132"/>
  <c r="V12" i="132"/>
  <c r="W12" i="132"/>
  <c r="X12" i="132"/>
  <c r="Y12" i="132"/>
  <c r="Z12" i="132"/>
  <c r="AA12" i="132"/>
  <c r="AB12" i="132"/>
  <c r="AC12" i="132"/>
  <c r="AD12" i="132"/>
  <c r="AE12" i="132"/>
  <c r="AF12" i="132"/>
  <c r="V13" i="132"/>
  <c r="W13" i="132"/>
  <c r="X13" i="132"/>
  <c r="Y13" i="132"/>
  <c r="Z13" i="132"/>
  <c r="AA13" i="132"/>
  <c r="AB13" i="132"/>
  <c r="AC13" i="132"/>
  <c r="AD13" i="132"/>
  <c r="AE13" i="132"/>
  <c r="AF13" i="132"/>
  <c r="U14" i="132"/>
  <c r="W14" i="132"/>
  <c r="X14" i="132"/>
  <c r="Y14" i="132"/>
  <c r="Z14" i="132"/>
  <c r="AA14" i="132"/>
  <c r="AB14" i="132"/>
  <c r="AC14" i="132"/>
  <c r="AE14" i="132"/>
  <c r="AF14" i="132"/>
  <c r="U15" i="132"/>
  <c r="V15" i="132"/>
  <c r="W15" i="132"/>
  <c r="X15" i="132"/>
  <c r="Y15" i="132"/>
  <c r="Z15" i="132"/>
  <c r="AB15" i="132"/>
  <c r="AC15" i="132"/>
  <c r="AD15" i="132"/>
  <c r="AE15" i="132"/>
  <c r="AF15" i="132"/>
  <c r="V16" i="132"/>
  <c r="W16" i="132"/>
  <c r="X16" i="132"/>
  <c r="AA16" i="132"/>
  <c r="AB16" i="132"/>
  <c r="AC16" i="132"/>
  <c r="AD16" i="132"/>
  <c r="AE16" i="132"/>
  <c r="AF16" i="132"/>
  <c r="Y16" i="132"/>
  <c r="Z16" i="132"/>
  <c r="V17" i="132"/>
  <c r="W17" i="132"/>
  <c r="X17" i="132"/>
  <c r="Y17" i="132"/>
  <c r="Z17" i="132"/>
  <c r="AA17" i="132"/>
  <c r="AB17" i="132"/>
  <c r="AC17" i="132"/>
  <c r="AD17" i="132"/>
  <c r="AE17" i="132"/>
  <c r="AF17" i="132"/>
  <c r="U18" i="132"/>
  <c r="V18" i="132"/>
  <c r="W18" i="132"/>
  <c r="X18" i="132"/>
  <c r="Y18" i="132"/>
  <c r="Z18" i="132"/>
  <c r="AA18" i="132"/>
  <c r="AB18" i="132"/>
  <c r="AC18" i="132"/>
  <c r="AD18" i="132"/>
  <c r="AE18" i="132"/>
  <c r="AF18" i="132"/>
  <c r="U19" i="132"/>
  <c r="V19" i="132"/>
  <c r="X19" i="132"/>
  <c r="Y19" i="132"/>
  <c r="Z19" i="132"/>
  <c r="AA19" i="132"/>
  <c r="AB19" i="132"/>
  <c r="AC19" i="132"/>
  <c r="AD19" i="132"/>
  <c r="AE19" i="132"/>
  <c r="AF19" i="132"/>
  <c r="U20" i="132"/>
  <c r="V20" i="132"/>
  <c r="W20" i="132"/>
  <c r="X20" i="132"/>
  <c r="Y20" i="132"/>
  <c r="Z20" i="132"/>
  <c r="AA20" i="132"/>
  <c r="AB20" i="132"/>
  <c r="AC20" i="132"/>
  <c r="AD20" i="132"/>
  <c r="AE20" i="132"/>
  <c r="AF20" i="132"/>
  <c r="V21" i="132"/>
  <c r="W21" i="132"/>
  <c r="X21" i="132"/>
  <c r="Y21" i="132"/>
  <c r="Z21" i="132"/>
  <c r="AA21" i="132"/>
  <c r="AB21" i="132"/>
  <c r="AC21" i="132"/>
  <c r="AD21" i="132"/>
  <c r="AE21" i="132"/>
  <c r="AF21" i="132"/>
  <c r="U22" i="132"/>
  <c r="W22" i="132"/>
  <c r="X22" i="132"/>
  <c r="Y22" i="132"/>
  <c r="Z22" i="132"/>
  <c r="AA22" i="132"/>
  <c r="AB22" i="132"/>
  <c r="AC22" i="132"/>
  <c r="AD22" i="132"/>
  <c r="AE22" i="132"/>
  <c r="AF22" i="132"/>
  <c r="U23" i="132"/>
  <c r="V23" i="132"/>
  <c r="W23" i="132"/>
  <c r="X23" i="132"/>
  <c r="Z23" i="132"/>
  <c r="AA23" i="132"/>
  <c r="AB23" i="132"/>
  <c r="AC23" i="132"/>
  <c r="AD23" i="132"/>
  <c r="AE23" i="132"/>
  <c r="AF23" i="132"/>
  <c r="Y23" i="132"/>
  <c r="U24" i="132"/>
  <c r="V24" i="132"/>
  <c r="W24" i="132"/>
  <c r="X24" i="132"/>
  <c r="Y24" i="132"/>
  <c r="Z24" i="132"/>
  <c r="AA24" i="132"/>
  <c r="AB24" i="132"/>
  <c r="AC24" i="132"/>
  <c r="AD24" i="132"/>
  <c r="AE24" i="132"/>
  <c r="AF24" i="132"/>
  <c r="U25" i="132"/>
  <c r="V25" i="132"/>
  <c r="W25" i="132"/>
  <c r="X25" i="132"/>
  <c r="Y25" i="132"/>
  <c r="Z25" i="132"/>
  <c r="AA25" i="132"/>
  <c r="AB25" i="132"/>
  <c r="AC25" i="132"/>
  <c r="AD25" i="132"/>
  <c r="AE25" i="132"/>
  <c r="AF25" i="132"/>
  <c r="V26" i="132"/>
  <c r="W26" i="132"/>
  <c r="X26" i="132"/>
  <c r="Y26" i="132"/>
  <c r="Z26" i="132"/>
  <c r="AA26" i="132"/>
  <c r="AB26" i="132"/>
  <c r="AC26" i="132"/>
  <c r="AD26" i="132"/>
  <c r="AE26" i="132"/>
  <c r="AF26" i="132"/>
  <c r="V27" i="132"/>
  <c r="W27" i="132"/>
  <c r="X27" i="132"/>
  <c r="AA27" i="132"/>
  <c r="AB27" i="132"/>
  <c r="AC27" i="132"/>
  <c r="AD27" i="132"/>
  <c r="AE27" i="132"/>
  <c r="AF27" i="132"/>
  <c r="Y27" i="132"/>
  <c r="Z27" i="132"/>
  <c r="U28" i="132"/>
  <c r="V28" i="132"/>
  <c r="W28" i="132"/>
  <c r="X28" i="132"/>
  <c r="Y28" i="132"/>
  <c r="Z28" i="132"/>
  <c r="AA28" i="132"/>
  <c r="AB28" i="132"/>
  <c r="AC28" i="132"/>
  <c r="AD28" i="132"/>
  <c r="AE28" i="132"/>
  <c r="AF28" i="132"/>
  <c r="U29" i="132"/>
  <c r="V29" i="132"/>
  <c r="X29" i="132"/>
  <c r="Y29" i="132"/>
  <c r="Z29" i="132"/>
  <c r="AA29" i="132"/>
  <c r="AB29" i="132"/>
  <c r="AC29" i="132"/>
  <c r="AD29" i="132"/>
  <c r="AE29" i="132"/>
  <c r="AF29" i="132"/>
  <c r="V30" i="132"/>
  <c r="W30" i="132"/>
  <c r="X30" i="132"/>
  <c r="Y30" i="132"/>
  <c r="Z30" i="132"/>
  <c r="AA30" i="132"/>
  <c r="AB30" i="132"/>
  <c r="AC30" i="132"/>
  <c r="AD30" i="132"/>
  <c r="AE30" i="132"/>
  <c r="AF30" i="132"/>
  <c r="D31" i="132"/>
  <c r="U31" i="132"/>
  <c r="V31" i="132"/>
  <c r="W31" i="132"/>
  <c r="X31" i="132"/>
  <c r="Y31" i="132"/>
  <c r="AB31" i="132"/>
  <c r="D32" i="132"/>
  <c r="U32" i="132"/>
  <c r="V32" i="132"/>
  <c r="X32" i="132"/>
  <c r="Y32" i="132"/>
  <c r="AB32" i="132"/>
  <c r="AE32" i="132"/>
  <c r="D33" i="132"/>
  <c r="AB33" i="132" s="1"/>
  <c r="U33" i="132"/>
  <c r="W33" i="132"/>
  <c r="X33" i="132"/>
  <c r="Y33" i="132"/>
  <c r="D34" i="132"/>
  <c r="AC34" i="132" s="1"/>
  <c r="V34" i="132"/>
  <c r="W34" i="132"/>
  <c r="X34" i="132"/>
  <c r="Y34" i="132"/>
  <c r="D35" i="132"/>
  <c r="AF35" i="132" s="1"/>
  <c r="U35" i="132"/>
  <c r="W35" i="132"/>
  <c r="X35" i="132"/>
  <c r="Y35" i="132"/>
  <c r="AD35" i="132"/>
  <c r="AE35" i="132"/>
  <c r="D36" i="132"/>
  <c r="U36" i="132"/>
  <c r="V36" i="132"/>
  <c r="W36" i="132"/>
  <c r="X36" i="132"/>
  <c r="Z36" i="132"/>
  <c r="AA36" i="132"/>
  <c r="AB36" i="132"/>
  <c r="AC36" i="132"/>
  <c r="AD36" i="132"/>
  <c r="AE36" i="132"/>
  <c r="AF36" i="132"/>
  <c r="Y36" i="132"/>
  <c r="U37" i="132"/>
  <c r="V37" i="132"/>
  <c r="W37" i="132"/>
  <c r="X37" i="132"/>
  <c r="Y37" i="132"/>
  <c r="Z37" i="132"/>
  <c r="AA37" i="132"/>
  <c r="AB37" i="132"/>
  <c r="AC37" i="132"/>
  <c r="AD37" i="132"/>
  <c r="AE37" i="132"/>
  <c r="AF37" i="132"/>
  <c r="D38" i="132"/>
  <c r="AB38" i="132" s="1"/>
  <c r="U38" i="132"/>
  <c r="W38" i="132"/>
  <c r="X38" i="132"/>
  <c r="Y38" i="132"/>
  <c r="AA38" i="132"/>
  <c r="AF38" i="132"/>
  <c r="C39" i="132"/>
  <c r="D39" i="132"/>
  <c r="AB39" i="132"/>
  <c r="V40" i="132"/>
  <c r="W40" i="132"/>
  <c r="X40" i="132"/>
  <c r="Y40" i="132"/>
  <c r="Z40" i="132"/>
  <c r="AA40" i="132"/>
  <c r="AB40" i="132"/>
  <c r="AC40" i="132"/>
  <c r="AD40" i="132"/>
  <c r="AE40" i="132"/>
  <c r="AF40" i="132"/>
  <c r="U41" i="132"/>
  <c r="V41" i="132"/>
  <c r="W41" i="132"/>
  <c r="X41" i="132"/>
  <c r="Y41" i="132"/>
  <c r="Z41" i="132"/>
  <c r="AA41" i="132"/>
  <c r="AB41" i="132"/>
  <c r="AC41" i="132"/>
  <c r="AD41" i="132"/>
  <c r="AE41" i="132"/>
  <c r="AF41" i="132"/>
  <c r="U42" i="132"/>
  <c r="W42" i="132"/>
  <c r="X42" i="132"/>
  <c r="Y42" i="132"/>
  <c r="Z42" i="132"/>
  <c r="AA42" i="132"/>
  <c r="AB42" i="132"/>
  <c r="AC42" i="132"/>
  <c r="AD42" i="132"/>
  <c r="AE42" i="132"/>
  <c r="AF42" i="132"/>
  <c r="AG43" i="132"/>
  <c r="AH43" i="132"/>
  <c r="BE44" i="132"/>
  <c r="BD46" i="132"/>
  <c r="BF46" i="132"/>
  <c r="BH46" i="132"/>
  <c r="V48" i="132"/>
  <c r="W48" i="132"/>
  <c r="X48" i="132"/>
  <c r="Y48" i="132"/>
  <c r="Z48" i="132"/>
  <c r="AD48" i="132"/>
  <c r="AF48" i="132"/>
  <c r="BE49" i="132"/>
  <c r="BG49" i="132"/>
  <c r="BI49" i="132"/>
  <c r="BD50" i="132"/>
  <c r="BF50" i="132"/>
  <c r="BH50" i="132"/>
  <c r="BE51" i="132"/>
  <c r="BG51" i="132"/>
  <c r="BI51" i="132"/>
  <c r="BE52" i="132"/>
  <c r="BG52" i="132"/>
  <c r="BI52" i="132"/>
  <c r="U53" i="132"/>
  <c r="V53" i="132"/>
  <c r="W53" i="132"/>
  <c r="X53" i="132"/>
  <c r="Y53" i="132"/>
  <c r="Z53" i="132"/>
  <c r="AC53" i="132"/>
  <c r="AF53" i="132"/>
  <c r="BE54" i="132"/>
  <c r="BG54" i="132"/>
  <c r="BI54" i="132"/>
  <c r="BD55" i="132"/>
  <c r="BF55" i="132"/>
  <c r="BH55" i="132"/>
  <c r="BE56" i="132"/>
  <c r="BG56" i="132"/>
  <c r="BI56" i="132"/>
  <c r="BE57" i="132"/>
  <c r="BG57" i="132"/>
  <c r="BI57" i="132"/>
  <c r="BE58" i="132"/>
  <c r="BG58" i="132"/>
  <c r="BI58" i="132"/>
  <c r="BE59" i="132"/>
  <c r="BG59" i="132"/>
  <c r="BI59" i="132"/>
  <c r="U60" i="132"/>
  <c r="V60" i="132"/>
  <c r="W60" i="132"/>
  <c r="X60" i="132"/>
  <c r="Y60" i="132"/>
  <c r="Z60" i="132"/>
  <c r="AA60" i="132"/>
  <c r="AB60" i="132"/>
  <c r="AC60" i="132"/>
  <c r="AD60" i="132"/>
  <c r="AE60" i="132"/>
  <c r="AF60" i="132"/>
  <c r="V61" i="132"/>
  <c r="W61" i="132"/>
  <c r="X61" i="132"/>
  <c r="Y61" i="132"/>
  <c r="Z61" i="132"/>
  <c r="AA61" i="132"/>
  <c r="AB61" i="132"/>
  <c r="AC61" i="132"/>
  <c r="AD61" i="132"/>
  <c r="AE61" i="132"/>
  <c r="AF61" i="132"/>
  <c r="V62" i="132"/>
  <c r="W62" i="132"/>
  <c r="X62" i="132"/>
  <c r="Y62" i="132"/>
  <c r="Z62" i="132"/>
  <c r="AA62" i="132"/>
  <c r="AB62" i="132"/>
  <c r="AC62" i="132"/>
  <c r="AD62" i="132"/>
  <c r="AE62" i="132"/>
  <c r="AF62" i="132"/>
  <c r="V63" i="132"/>
  <c r="W63" i="132"/>
  <c r="X63" i="132"/>
  <c r="Z63" i="132"/>
  <c r="AA63" i="132"/>
  <c r="AB63" i="132"/>
  <c r="AC63" i="132"/>
  <c r="AD63" i="132"/>
  <c r="AE63" i="132"/>
  <c r="AF63" i="132"/>
  <c r="Y63" i="132"/>
  <c r="U64" i="132"/>
  <c r="V64" i="132"/>
  <c r="W64" i="132"/>
  <c r="X64" i="132"/>
  <c r="Y64" i="132"/>
  <c r="Z64" i="132"/>
  <c r="AA64" i="132"/>
  <c r="AB64" i="132"/>
  <c r="AC64" i="132"/>
  <c r="AD64" i="132"/>
  <c r="AE64" i="132"/>
  <c r="AF64" i="132"/>
  <c r="U65" i="132"/>
  <c r="V65" i="132"/>
  <c r="X65" i="132"/>
  <c r="Y65" i="132"/>
  <c r="Z65" i="132"/>
  <c r="AA65" i="132"/>
  <c r="AB65" i="132"/>
  <c r="AC65" i="132"/>
  <c r="AD65" i="132"/>
  <c r="AE65" i="132"/>
  <c r="AF65" i="132"/>
  <c r="V66" i="132"/>
  <c r="W66" i="132"/>
  <c r="X66" i="132"/>
  <c r="Z66" i="132"/>
  <c r="AA66" i="132"/>
  <c r="AB66" i="132"/>
  <c r="AC66" i="132"/>
  <c r="AD66" i="132"/>
  <c r="AE66" i="132"/>
  <c r="AF66" i="132"/>
  <c r="Y66" i="132"/>
  <c r="V67" i="132"/>
  <c r="W67" i="132"/>
  <c r="X67" i="132"/>
  <c r="Y67" i="132"/>
  <c r="Z67" i="132"/>
  <c r="AA67" i="132"/>
  <c r="AB67" i="132"/>
  <c r="AC67" i="132"/>
  <c r="AD67" i="132"/>
  <c r="AE67" i="132"/>
  <c r="AF67" i="132"/>
  <c r="U68" i="132"/>
  <c r="V68" i="132"/>
  <c r="W68" i="132"/>
  <c r="X68" i="132"/>
  <c r="Y68" i="132"/>
  <c r="Z68" i="132"/>
  <c r="AA68" i="132"/>
  <c r="AB68" i="132"/>
  <c r="AC68" i="132"/>
  <c r="AD68" i="132"/>
  <c r="AE68" i="132"/>
  <c r="AF68" i="132"/>
  <c r="U69" i="132"/>
  <c r="W69" i="132"/>
  <c r="X69" i="132"/>
  <c r="Y69" i="132"/>
  <c r="Z69" i="132"/>
  <c r="AA69" i="132"/>
  <c r="AB69" i="132"/>
  <c r="AC69" i="132"/>
  <c r="AD69" i="132"/>
  <c r="AE69" i="132"/>
  <c r="AF69" i="132"/>
  <c r="V70" i="132"/>
  <c r="W70" i="132"/>
  <c r="X70" i="132"/>
  <c r="Y70" i="132"/>
  <c r="Z70" i="132"/>
  <c r="AA70" i="132"/>
  <c r="AB70" i="132"/>
  <c r="AC70" i="132"/>
  <c r="AD70" i="132"/>
  <c r="AE70" i="132"/>
  <c r="AF70" i="132"/>
  <c r="V71" i="132"/>
  <c r="W71" i="132"/>
  <c r="X71" i="132"/>
  <c r="Y71" i="132"/>
  <c r="Z71" i="132"/>
  <c r="AA71" i="132"/>
  <c r="AB71" i="132"/>
  <c r="AC71" i="132"/>
  <c r="AD71" i="132"/>
  <c r="AE71" i="132"/>
  <c r="AF71" i="132"/>
  <c r="V72" i="132"/>
  <c r="W72" i="132"/>
  <c r="X72" i="132"/>
  <c r="Y72" i="132"/>
  <c r="Z72" i="132"/>
  <c r="AA72" i="132"/>
  <c r="AB72" i="132"/>
  <c r="AC72" i="132"/>
  <c r="AD72" i="132"/>
  <c r="AE72" i="132"/>
  <c r="AF72" i="132"/>
  <c r="U73" i="132"/>
  <c r="W73" i="132"/>
  <c r="X73" i="132"/>
  <c r="Y73" i="132"/>
  <c r="Z73" i="132"/>
  <c r="AA73" i="132"/>
  <c r="AB73" i="132"/>
  <c r="AC73" i="132"/>
  <c r="AD73" i="132"/>
  <c r="AE73" i="132"/>
  <c r="AF73" i="132"/>
  <c r="V74" i="132"/>
  <c r="W74" i="132"/>
  <c r="X74" i="132"/>
  <c r="Y74" i="132"/>
  <c r="Z74" i="132"/>
  <c r="AA74" i="132"/>
  <c r="AB74" i="132"/>
  <c r="AC74" i="132"/>
  <c r="AD74" i="132"/>
  <c r="AE74" i="132"/>
  <c r="AF74" i="132"/>
  <c r="U75" i="132"/>
  <c r="V75" i="132"/>
  <c r="W75" i="132"/>
  <c r="X75" i="132"/>
  <c r="Y75" i="132"/>
  <c r="Z75" i="132"/>
  <c r="AA75" i="132"/>
  <c r="AB75" i="132"/>
  <c r="AC75" i="132"/>
  <c r="AD75" i="132"/>
  <c r="AE75" i="132"/>
  <c r="AF75" i="132"/>
  <c r="V76" i="132"/>
  <c r="W76" i="132"/>
  <c r="X76" i="132"/>
  <c r="Y76" i="132"/>
  <c r="Z76" i="132"/>
  <c r="AA76" i="132"/>
  <c r="AB76" i="132"/>
  <c r="AC76" i="132"/>
  <c r="AD76" i="132"/>
  <c r="AE76" i="132"/>
  <c r="AF76" i="132"/>
  <c r="U77" i="132"/>
  <c r="V77" i="132"/>
  <c r="W77" i="132"/>
  <c r="X77" i="132"/>
  <c r="Y77" i="132"/>
  <c r="Z77" i="132"/>
  <c r="AA77" i="132"/>
  <c r="AC77" i="132"/>
  <c r="AD77" i="132"/>
  <c r="AE77" i="132"/>
  <c r="AF77" i="132"/>
  <c r="U78" i="132"/>
  <c r="V78" i="132"/>
  <c r="W78" i="132"/>
  <c r="X78" i="132"/>
  <c r="Y78" i="132"/>
  <c r="Z78" i="132"/>
  <c r="AA78" i="132"/>
  <c r="AB78" i="132"/>
  <c r="AC78" i="132"/>
  <c r="AD78" i="132"/>
  <c r="AE78" i="132"/>
  <c r="AF78" i="132"/>
  <c r="V79" i="132"/>
  <c r="W79" i="132"/>
  <c r="X79" i="132"/>
  <c r="Y79" i="132"/>
  <c r="Z79" i="132"/>
  <c r="AA79" i="132"/>
  <c r="AB79" i="132"/>
  <c r="AC79" i="132"/>
  <c r="AD79" i="132"/>
  <c r="AE79" i="132"/>
  <c r="AF79" i="132"/>
  <c r="V80" i="132"/>
  <c r="W80" i="132"/>
  <c r="X80" i="132"/>
  <c r="Y80" i="132"/>
  <c r="Z80" i="132"/>
  <c r="AA80" i="132"/>
  <c r="AB80" i="132"/>
  <c r="AC80" i="132"/>
  <c r="AD80" i="132"/>
  <c r="AE80" i="132"/>
  <c r="AF80" i="132"/>
  <c r="V81" i="132"/>
  <c r="W81" i="132"/>
  <c r="X81" i="132"/>
  <c r="Y81" i="132"/>
  <c r="Z81" i="132"/>
  <c r="AA81" i="132"/>
  <c r="AB81" i="132"/>
  <c r="AC81" i="132"/>
  <c r="AD81" i="132"/>
  <c r="AE81" i="132"/>
  <c r="AF81" i="132"/>
  <c r="U82" i="132"/>
  <c r="V82" i="132"/>
  <c r="W82" i="132"/>
  <c r="X82" i="132"/>
  <c r="Y82" i="132"/>
  <c r="Z82" i="132"/>
  <c r="AA82" i="132"/>
  <c r="AB82" i="132"/>
  <c r="AC82" i="132"/>
  <c r="AD82" i="132"/>
  <c r="AE82" i="132"/>
  <c r="AF82" i="132"/>
  <c r="U83" i="132"/>
  <c r="V83" i="132"/>
  <c r="W83" i="132"/>
  <c r="X83" i="132"/>
  <c r="Y83" i="132"/>
  <c r="Z83" i="132"/>
  <c r="AA83" i="132"/>
  <c r="AB83" i="132"/>
  <c r="AC83" i="132"/>
  <c r="AD83" i="132"/>
  <c r="AE83" i="132"/>
  <c r="AF83" i="132"/>
  <c r="V84" i="132"/>
  <c r="W84" i="132"/>
  <c r="X84" i="132"/>
  <c r="Y84" i="132"/>
  <c r="Z84" i="132"/>
  <c r="AA84" i="132"/>
  <c r="AB84" i="132"/>
  <c r="AC84" i="132"/>
  <c r="AD84" i="132"/>
  <c r="AE84" i="132"/>
  <c r="AF84" i="132"/>
  <c r="V85" i="132"/>
  <c r="W85" i="132"/>
  <c r="X85" i="132"/>
  <c r="Y85" i="132"/>
  <c r="Z85" i="132"/>
  <c r="AA85" i="132"/>
  <c r="AB85" i="132"/>
  <c r="AC85" i="132"/>
  <c r="AD85" i="132"/>
  <c r="AE85" i="132"/>
  <c r="AF85" i="132"/>
  <c r="U86" i="132"/>
  <c r="V86" i="132"/>
  <c r="W86" i="132"/>
  <c r="X86" i="132"/>
  <c r="Y86" i="132"/>
  <c r="Z86" i="132"/>
  <c r="AA86" i="132"/>
  <c r="AB86" i="132"/>
  <c r="AC86" i="132"/>
  <c r="AD86" i="132"/>
  <c r="AE86" i="132"/>
  <c r="AF86" i="132"/>
  <c r="U87" i="132"/>
  <c r="V87" i="132"/>
  <c r="W87" i="132"/>
  <c r="X87" i="132"/>
  <c r="Y87" i="132"/>
  <c r="Z87" i="132"/>
  <c r="AA87" i="132"/>
  <c r="AB87" i="132"/>
  <c r="AC87" i="132"/>
  <c r="AD87" i="132"/>
  <c r="AE87" i="132"/>
  <c r="AF87" i="132"/>
  <c r="V88" i="132"/>
  <c r="W88" i="132"/>
  <c r="X88" i="132"/>
  <c r="Y88" i="132"/>
  <c r="Z88" i="132"/>
  <c r="AA88" i="132"/>
  <c r="AB88" i="132"/>
  <c r="AC88" i="132"/>
  <c r="AD88" i="132"/>
  <c r="AE88" i="132"/>
  <c r="AF88" i="132"/>
  <c r="V89" i="132"/>
  <c r="W89" i="132"/>
  <c r="X89" i="132"/>
  <c r="Y89" i="132"/>
  <c r="Z89" i="132"/>
  <c r="AA89" i="132"/>
  <c r="AB89" i="132"/>
  <c r="AC89" i="132"/>
  <c r="AD89" i="132"/>
  <c r="AE89" i="132"/>
  <c r="AF89" i="132"/>
  <c r="U90" i="132"/>
  <c r="V90" i="132"/>
  <c r="W90" i="132"/>
  <c r="X90" i="132"/>
  <c r="Y90" i="132"/>
  <c r="Z90" i="132"/>
  <c r="AA90" i="132"/>
  <c r="AB90" i="132"/>
  <c r="AC90" i="132"/>
  <c r="AD90" i="132"/>
  <c r="AE90" i="132"/>
  <c r="AF90" i="132"/>
  <c r="U91" i="132"/>
  <c r="V91" i="132"/>
  <c r="W91" i="132"/>
  <c r="X91" i="132"/>
  <c r="Y91" i="132"/>
  <c r="Z91" i="132"/>
  <c r="AA91" i="132"/>
  <c r="AB91" i="132"/>
  <c r="AC91" i="132"/>
  <c r="AD91" i="132"/>
  <c r="AE91" i="132"/>
  <c r="AF91" i="132"/>
  <c r="V92" i="132"/>
  <c r="W92" i="132"/>
  <c r="X92" i="132"/>
  <c r="Y92" i="132"/>
  <c r="Z92" i="132"/>
  <c r="AA92" i="132"/>
  <c r="AB92" i="132"/>
  <c r="AC92" i="132"/>
  <c r="AD92" i="132"/>
  <c r="AE92" i="132"/>
  <c r="AF92" i="132"/>
  <c r="V93" i="132"/>
  <c r="W93" i="132"/>
  <c r="X93" i="132"/>
  <c r="Y93" i="132"/>
  <c r="Z93" i="132"/>
  <c r="AA93" i="132"/>
  <c r="AB93" i="132"/>
  <c r="AC93" i="132"/>
  <c r="AD93" i="132"/>
  <c r="AE93" i="132"/>
  <c r="AF93" i="132"/>
  <c r="V94" i="132"/>
  <c r="W94" i="132"/>
  <c r="X94" i="132"/>
  <c r="Y94" i="132"/>
  <c r="Z94" i="132"/>
  <c r="AA94" i="132"/>
  <c r="AB94" i="132"/>
  <c r="AC94" i="132"/>
  <c r="AD94" i="132"/>
  <c r="AE94" i="132"/>
  <c r="AF94" i="132"/>
  <c r="U95" i="132"/>
  <c r="W95" i="132"/>
  <c r="X95" i="132"/>
  <c r="Y95" i="132"/>
  <c r="Z95" i="132"/>
  <c r="AA95" i="132"/>
  <c r="AB95" i="132"/>
  <c r="AC95" i="132"/>
  <c r="AD95" i="132"/>
  <c r="AE95" i="132"/>
  <c r="AF95" i="132"/>
  <c r="V96" i="132"/>
  <c r="W96" i="132"/>
  <c r="X96" i="132"/>
  <c r="Y96" i="132"/>
  <c r="Z96" i="132"/>
  <c r="AA96" i="132"/>
  <c r="AB96" i="132"/>
  <c r="AC96" i="132"/>
  <c r="AD96" i="132"/>
  <c r="AE96" i="132"/>
  <c r="AF96" i="132"/>
  <c r="U97" i="132"/>
  <c r="V97" i="132"/>
  <c r="W97" i="132"/>
  <c r="X97" i="132"/>
  <c r="Y97" i="132"/>
  <c r="Z97" i="132"/>
  <c r="AA97" i="132"/>
  <c r="AB97" i="132"/>
  <c r="AC97" i="132"/>
  <c r="AD97" i="132"/>
  <c r="AE97" i="132"/>
  <c r="AF97" i="132"/>
  <c r="U98" i="132"/>
  <c r="V98" i="132"/>
  <c r="W98" i="132"/>
  <c r="X98" i="132"/>
  <c r="Y98" i="132"/>
  <c r="Z98" i="132"/>
  <c r="AA98" i="132"/>
  <c r="AB98" i="132"/>
  <c r="AC98" i="132"/>
  <c r="AD98" i="132"/>
  <c r="AE98" i="132"/>
  <c r="AF98" i="132"/>
  <c r="V99" i="132"/>
  <c r="W99" i="132"/>
  <c r="X99" i="132"/>
  <c r="Y99" i="132"/>
  <c r="Z99" i="132"/>
  <c r="AA99" i="132"/>
  <c r="AB99" i="132"/>
  <c r="AC99" i="132"/>
  <c r="AD99" i="132"/>
  <c r="AE99" i="132"/>
  <c r="AF99" i="132"/>
  <c r="V100" i="132"/>
  <c r="W100" i="132"/>
  <c r="X100" i="132"/>
  <c r="AA100" i="132"/>
  <c r="AB100" i="132"/>
  <c r="AC100" i="132"/>
  <c r="AD100" i="132"/>
  <c r="AE100" i="132"/>
  <c r="AF100" i="132"/>
  <c r="Y100" i="132"/>
  <c r="Z100" i="132"/>
  <c r="U101" i="132"/>
  <c r="V101" i="132"/>
  <c r="W101" i="132"/>
  <c r="X101" i="132"/>
  <c r="Y101" i="132"/>
  <c r="AA101" i="132"/>
  <c r="AB101" i="132"/>
  <c r="AC101" i="132"/>
  <c r="AD101" i="132"/>
  <c r="AE101" i="132"/>
  <c r="AF101" i="132"/>
  <c r="U102" i="132"/>
  <c r="V102" i="132"/>
  <c r="W102" i="132"/>
  <c r="X102" i="132"/>
  <c r="Y102" i="132"/>
  <c r="Z102" i="132"/>
  <c r="AA102" i="132"/>
  <c r="AB102" i="132"/>
  <c r="AC102" i="132"/>
  <c r="AD102" i="132"/>
  <c r="AE102" i="132"/>
  <c r="AF102" i="132"/>
  <c r="V103" i="132"/>
  <c r="W103" i="132"/>
  <c r="X103" i="132"/>
  <c r="Y103" i="132"/>
  <c r="Z103" i="132"/>
  <c r="AA103" i="132"/>
  <c r="AB103" i="132"/>
  <c r="AC103" i="132"/>
  <c r="AD103" i="132"/>
  <c r="AE103" i="132"/>
  <c r="AF103" i="132"/>
  <c r="V104" i="132"/>
  <c r="W104" i="132"/>
  <c r="X104" i="132"/>
  <c r="Y104" i="132"/>
  <c r="Z104" i="132"/>
  <c r="AA104" i="132"/>
  <c r="AB104" i="132"/>
  <c r="AC104" i="132"/>
  <c r="AD104" i="132"/>
  <c r="AE104" i="132"/>
  <c r="AF104" i="132"/>
  <c r="U105" i="132"/>
  <c r="V105" i="132"/>
  <c r="W105" i="132"/>
  <c r="X105" i="132"/>
  <c r="Y105" i="132"/>
  <c r="Z105" i="132"/>
  <c r="AA105" i="132"/>
  <c r="AB105" i="132"/>
  <c r="AC105" i="132"/>
  <c r="AD105" i="132"/>
  <c r="AE105" i="132"/>
  <c r="AF105" i="132"/>
  <c r="U106" i="132"/>
  <c r="V106" i="132"/>
  <c r="W106" i="132"/>
  <c r="X106" i="132"/>
  <c r="Y106" i="132"/>
  <c r="Z106" i="132"/>
  <c r="AA106" i="132"/>
  <c r="AB106" i="132"/>
  <c r="AC106" i="132"/>
  <c r="AD106" i="132"/>
  <c r="AE106" i="132"/>
  <c r="AF106" i="132"/>
  <c r="U107" i="132"/>
  <c r="V107" i="132"/>
  <c r="W107" i="132"/>
  <c r="X107" i="132"/>
  <c r="Y107" i="132"/>
  <c r="Z107" i="132"/>
  <c r="AA107" i="132"/>
  <c r="AB107" i="132"/>
  <c r="AC107" i="132"/>
  <c r="AD107" i="132"/>
  <c r="AE107" i="132"/>
  <c r="AF107" i="132"/>
  <c r="U108" i="132"/>
  <c r="V108" i="132"/>
  <c r="W108" i="132"/>
  <c r="X108" i="132"/>
  <c r="Y108" i="132"/>
  <c r="Z108" i="132"/>
  <c r="AA108" i="132"/>
  <c r="AB108" i="132"/>
  <c r="AC108" i="132"/>
  <c r="AD108" i="132"/>
  <c r="AE108" i="132"/>
  <c r="AF108" i="132"/>
  <c r="V109" i="132"/>
  <c r="W109" i="132"/>
  <c r="X109" i="132"/>
  <c r="Y109" i="132"/>
  <c r="Z109" i="132"/>
  <c r="AA109" i="132"/>
  <c r="AB109" i="132"/>
  <c r="AC109" i="132"/>
  <c r="AD109" i="132"/>
  <c r="AE109" i="132"/>
  <c r="AF109" i="132"/>
  <c r="V110" i="132"/>
  <c r="W110" i="132"/>
  <c r="X110" i="132"/>
  <c r="Y110" i="132"/>
  <c r="Z110" i="132"/>
  <c r="AA110" i="132"/>
  <c r="AB110" i="132"/>
  <c r="AC110" i="132"/>
  <c r="AD110" i="132"/>
  <c r="AE110" i="132"/>
  <c r="AF110" i="132"/>
  <c r="U111" i="132"/>
  <c r="W111" i="132"/>
  <c r="X111" i="132"/>
  <c r="Y111" i="132"/>
  <c r="Z111" i="132"/>
  <c r="AA111" i="132"/>
  <c r="AB111" i="132"/>
  <c r="AC111" i="132"/>
  <c r="AD111" i="132"/>
  <c r="AE111" i="132"/>
  <c r="AF111" i="132"/>
  <c r="U112" i="132"/>
  <c r="V112" i="132"/>
  <c r="W112" i="132"/>
  <c r="X112" i="132"/>
  <c r="Y112" i="132"/>
  <c r="Z112" i="132"/>
  <c r="AA112" i="132"/>
  <c r="AB112" i="132"/>
  <c r="AC112" i="132"/>
  <c r="AD112" i="132"/>
  <c r="AE112" i="132"/>
  <c r="AF112" i="132"/>
  <c r="V113" i="132"/>
  <c r="W113" i="132"/>
  <c r="X113" i="132"/>
  <c r="Y113" i="132"/>
  <c r="Z113" i="132"/>
  <c r="AA113" i="132"/>
  <c r="AB113" i="132"/>
  <c r="AC113" i="132"/>
  <c r="AD113" i="132"/>
  <c r="AE113" i="132"/>
  <c r="AF113" i="132"/>
  <c r="V114" i="132"/>
  <c r="W114" i="132"/>
  <c r="X114" i="132"/>
  <c r="Y114" i="132"/>
  <c r="Z114" i="132"/>
  <c r="AA114" i="132"/>
  <c r="AB114" i="132"/>
  <c r="AC114" i="132"/>
  <c r="AD114" i="132"/>
  <c r="AE114" i="132"/>
  <c r="AF114" i="132"/>
  <c r="U115" i="132"/>
  <c r="V115" i="132"/>
  <c r="W115" i="132"/>
  <c r="X115" i="132"/>
  <c r="Y115" i="132"/>
  <c r="Z115" i="132"/>
  <c r="AA115" i="132"/>
  <c r="AB115" i="132"/>
  <c r="AC115" i="132"/>
  <c r="AD115" i="132"/>
  <c r="AE115" i="132"/>
  <c r="AF115" i="132"/>
  <c r="U116" i="132"/>
  <c r="V116" i="132"/>
  <c r="W116" i="132"/>
  <c r="X116" i="132"/>
  <c r="Y116" i="132"/>
  <c r="Z116" i="132"/>
  <c r="AA116" i="132"/>
  <c r="AB116" i="132"/>
  <c r="AC116" i="132"/>
  <c r="AD116" i="132"/>
  <c r="AE116" i="132"/>
  <c r="AF116" i="132"/>
  <c r="V117" i="132"/>
  <c r="W117" i="132"/>
  <c r="X117" i="132"/>
  <c r="Y117" i="132"/>
  <c r="Z117" i="132"/>
  <c r="AA117" i="132"/>
  <c r="AB117" i="132"/>
  <c r="AC117" i="132"/>
  <c r="AD117" i="132"/>
  <c r="AE117" i="132"/>
  <c r="AF117" i="132"/>
  <c r="C118" i="132"/>
  <c r="D118" i="132"/>
  <c r="Z118" i="132" s="1"/>
  <c r="C119" i="132"/>
  <c r="D119" i="132"/>
  <c r="Z119" i="132" s="1"/>
  <c r="V120" i="132"/>
  <c r="W120" i="132"/>
  <c r="X120" i="132"/>
  <c r="Y120" i="132"/>
  <c r="Z120" i="132"/>
  <c r="AA120" i="132"/>
  <c r="AB120" i="132"/>
  <c r="AC120" i="132"/>
  <c r="AD120" i="132"/>
  <c r="AE120" i="132"/>
  <c r="AF120" i="132"/>
  <c r="D121" i="132"/>
  <c r="AF121" i="132" s="1"/>
  <c r="U121" i="132"/>
  <c r="V121" i="132"/>
  <c r="W121" i="132"/>
  <c r="X121" i="132"/>
  <c r="Y121" i="132"/>
  <c r="AD121" i="132"/>
  <c r="D122" i="132"/>
  <c r="V122" i="132"/>
  <c r="W122" i="132"/>
  <c r="X122" i="132"/>
  <c r="Y122" i="132"/>
  <c r="AB122" i="132"/>
  <c r="V123" i="132"/>
  <c r="W123" i="132"/>
  <c r="X123" i="132"/>
  <c r="Y123" i="132"/>
  <c r="Z123" i="132"/>
  <c r="AA123" i="132"/>
  <c r="AB123" i="132"/>
  <c r="AC123" i="132"/>
  <c r="AD123" i="132"/>
  <c r="AE123" i="132"/>
  <c r="AF123" i="132"/>
  <c r="U124" i="132"/>
  <c r="V124" i="132"/>
  <c r="W124" i="132"/>
  <c r="X124" i="132"/>
  <c r="Y124" i="132"/>
  <c r="Z124" i="132"/>
  <c r="AA124" i="132"/>
  <c r="AB124" i="132"/>
  <c r="AC124" i="132"/>
  <c r="AD124" i="132"/>
  <c r="AE124" i="132"/>
  <c r="AF124" i="132"/>
  <c r="U125" i="132"/>
  <c r="V125" i="132"/>
  <c r="W125" i="132"/>
  <c r="X125" i="132"/>
  <c r="Y125" i="132"/>
  <c r="Z125" i="132"/>
  <c r="AA125" i="132"/>
  <c r="AB125" i="132"/>
  <c r="AC125" i="132"/>
  <c r="AD125" i="132"/>
  <c r="AE125" i="132"/>
  <c r="AF125" i="132"/>
  <c r="V126" i="132"/>
  <c r="W126" i="132"/>
  <c r="X126" i="132"/>
  <c r="Y126" i="132"/>
  <c r="Z126" i="132"/>
  <c r="AA126" i="132"/>
  <c r="AB126" i="132"/>
  <c r="AC126" i="132"/>
  <c r="AD126" i="132"/>
  <c r="AE126" i="132"/>
  <c r="AF126" i="132"/>
  <c r="V127" i="132"/>
  <c r="W127" i="132"/>
  <c r="X127" i="132"/>
  <c r="Y127" i="132"/>
  <c r="Z127" i="132"/>
  <c r="AA127" i="132"/>
  <c r="AB127" i="132"/>
  <c r="AC127" i="132"/>
  <c r="AD127" i="132"/>
  <c r="AE127" i="132"/>
  <c r="AF127" i="132"/>
  <c r="U128" i="132"/>
  <c r="V128" i="132"/>
  <c r="W128" i="132"/>
  <c r="X128" i="132"/>
  <c r="Y128" i="132"/>
  <c r="Z128" i="132"/>
  <c r="AA128" i="132"/>
  <c r="AB128" i="132"/>
  <c r="AC128" i="132"/>
  <c r="AD128" i="132"/>
  <c r="AE128" i="132"/>
  <c r="AF128" i="132"/>
  <c r="U129" i="132"/>
  <c r="V129" i="132"/>
  <c r="W129" i="132"/>
  <c r="X129" i="132"/>
  <c r="Y129" i="132"/>
  <c r="Z129" i="132"/>
  <c r="AA129" i="132"/>
  <c r="AB129" i="132"/>
  <c r="AC129" i="132"/>
  <c r="AD129" i="132"/>
  <c r="AE129" i="132"/>
  <c r="AF129" i="132"/>
  <c r="V130" i="132"/>
  <c r="W130" i="132"/>
  <c r="X130" i="132"/>
  <c r="Y130" i="132"/>
  <c r="Z130" i="132"/>
  <c r="AA130" i="132"/>
  <c r="AB130" i="132"/>
  <c r="AC130" i="132"/>
  <c r="AD130" i="132"/>
  <c r="AE130" i="132"/>
  <c r="AF130" i="132"/>
  <c r="V131" i="132"/>
  <c r="W131" i="132"/>
  <c r="X131" i="132"/>
  <c r="Y131" i="132"/>
  <c r="Z131" i="132"/>
  <c r="AA131" i="132"/>
  <c r="AB131" i="132"/>
  <c r="AC131" i="132"/>
  <c r="AD131" i="132"/>
  <c r="AE131" i="132"/>
  <c r="AF131" i="132"/>
  <c r="U132" i="132"/>
  <c r="V132" i="132"/>
  <c r="W132" i="132"/>
  <c r="X132" i="132"/>
  <c r="Y132" i="132"/>
  <c r="Z132" i="132"/>
  <c r="AA132" i="132"/>
  <c r="AB132" i="132"/>
  <c r="AC132" i="132"/>
  <c r="AD132" i="132"/>
  <c r="AE132" i="132"/>
  <c r="AF132" i="132"/>
  <c r="U133" i="132"/>
  <c r="V133" i="132"/>
  <c r="W133" i="132"/>
  <c r="X133" i="132"/>
  <c r="Y133" i="132"/>
  <c r="Z133" i="132"/>
  <c r="AA133" i="132"/>
  <c r="AB133" i="132"/>
  <c r="AC133" i="132"/>
  <c r="AD133" i="132"/>
  <c r="AE133" i="132"/>
  <c r="AF133" i="132"/>
  <c r="V134" i="132"/>
  <c r="W134" i="132"/>
  <c r="X134" i="132"/>
  <c r="Y134" i="132"/>
  <c r="Z134" i="132"/>
  <c r="AA134" i="132"/>
  <c r="AB134" i="132"/>
  <c r="AC134" i="132"/>
  <c r="AD134" i="132"/>
  <c r="AE134" i="132"/>
  <c r="AF134" i="132"/>
  <c r="U135" i="132"/>
  <c r="V135" i="132"/>
  <c r="W135" i="132"/>
  <c r="X135" i="132"/>
  <c r="Y135" i="132"/>
  <c r="Z135" i="132"/>
  <c r="AA135" i="132"/>
  <c r="AB135" i="132"/>
  <c r="AC135" i="132"/>
  <c r="AD135" i="132"/>
  <c r="AE135" i="132"/>
  <c r="AF135" i="132"/>
  <c r="U136" i="132"/>
  <c r="V136" i="132"/>
  <c r="W136" i="132"/>
  <c r="X136" i="132"/>
  <c r="Y136" i="132"/>
  <c r="Z136" i="132"/>
  <c r="AA136" i="132"/>
  <c r="AB136" i="132"/>
  <c r="AC136" i="132"/>
  <c r="AD136" i="132"/>
  <c r="AE136" i="132"/>
  <c r="AF136" i="132"/>
  <c r="V137" i="132"/>
  <c r="W137" i="132"/>
  <c r="X137" i="132"/>
  <c r="Z137" i="132"/>
  <c r="AA137" i="132"/>
  <c r="AB137" i="132"/>
  <c r="AC137" i="132"/>
  <c r="AD137" i="132"/>
  <c r="AE137" i="132"/>
  <c r="AF137" i="132"/>
  <c r="Y137" i="132"/>
  <c r="U138" i="132"/>
  <c r="V138" i="132"/>
  <c r="W138" i="132"/>
  <c r="Y138" i="132"/>
  <c r="Z138" i="132"/>
  <c r="AA138" i="132"/>
  <c r="AB138" i="132"/>
  <c r="AC138" i="132"/>
  <c r="AD138" i="132"/>
  <c r="AE138" i="132"/>
  <c r="AF138" i="132"/>
  <c r="U139" i="132"/>
  <c r="W139" i="132"/>
  <c r="X139" i="132"/>
  <c r="Y139" i="132"/>
  <c r="Z139" i="132"/>
  <c r="AA139" i="132"/>
  <c r="AB139" i="132"/>
  <c r="AC139" i="132"/>
  <c r="AD139" i="132"/>
  <c r="AE139" i="132"/>
  <c r="AF139" i="132"/>
  <c r="U140" i="132"/>
  <c r="V140" i="132"/>
  <c r="W140" i="132"/>
  <c r="X140" i="132"/>
  <c r="Y140" i="132"/>
  <c r="Z140" i="132"/>
  <c r="AA140" i="132"/>
  <c r="AB140" i="132"/>
  <c r="AC140" i="132"/>
  <c r="AD140" i="132"/>
  <c r="AE140" i="132"/>
  <c r="AF140" i="132"/>
  <c r="U141" i="132"/>
  <c r="V141" i="132"/>
  <c r="W141" i="132"/>
  <c r="X141" i="132"/>
  <c r="Y141" i="132"/>
  <c r="AA141" i="132"/>
  <c r="AB141" i="132"/>
  <c r="AC141" i="132"/>
  <c r="AD141" i="132"/>
  <c r="AE141" i="132"/>
  <c r="AF141" i="132"/>
  <c r="D142" i="132"/>
  <c r="V142" i="132"/>
  <c r="X142" i="132"/>
  <c r="Y142" i="132"/>
  <c r="AB142" i="132"/>
  <c r="V143" i="132"/>
  <c r="W143" i="132"/>
  <c r="X143" i="132"/>
  <c r="Y143" i="132"/>
  <c r="Z143" i="132"/>
  <c r="AA143" i="132"/>
  <c r="AB143" i="132"/>
  <c r="AC143" i="132"/>
  <c r="AD143" i="132"/>
  <c r="AE143" i="132"/>
  <c r="AF143" i="132"/>
  <c r="BE144" i="132"/>
  <c r="BG144" i="132"/>
  <c r="BI144" i="132"/>
  <c r="BD145" i="132"/>
  <c r="BF145" i="132"/>
  <c r="BH145" i="132"/>
  <c r="BE146" i="132"/>
  <c r="BG146" i="132"/>
  <c r="BI146" i="132"/>
  <c r="BE147" i="132"/>
  <c r="BG147" i="132"/>
  <c r="BI147" i="132"/>
  <c r="BE148" i="132"/>
  <c r="BG148" i="132"/>
  <c r="BI148" i="132"/>
  <c r="BE149" i="132"/>
  <c r="BG149" i="132"/>
  <c r="BI149" i="132"/>
  <c r="U150" i="132"/>
  <c r="V150" i="132"/>
  <c r="W150" i="132"/>
  <c r="X150" i="132"/>
  <c r="Y150" i="132"/>
  <c r="Z150" i="132"/>
  <c r="AA150" i="132"/>
  <c r="AB150" i="132"/>
  <c r="AC150" i="132"/>
  <c r="AD150" i="132"/>
  <c r="AE150" i="132"/>
  <c r="AF150" i="132"/>
  <c r="V151" i="132"/>
  <c r="W151" i="132"/>
  <c r="X151" i="132"/>
  <c r="Y151" i="132"/>
  <c r="Z151" i="132"/>
  <c r="AA151" i="132"/>
  <c r="AB151" i="132"/>
  <c r="AC151" i="132"/>
  <c r="AD151" i="132"/>
  <c r="AE151" i="132"/>
  <c r="AF151" i="132"/>
  <c r="U152" i="132"/>
  <c r="V152" i="132"/>
  <c r="W152" i="132"/>
  <c r="X152" i="132"/>
  <c r="Y152" i="132"/>
  <c r="Z152" i="132"/>
  <c r="AA152" i="132"/>
  <c r="AB152" i="132"/>
  <c r="AC152" i="132"/>
  <c r="AD152" i="132"/>
  <c r="AE152" i="132"/>
  <c r="U153" i="132"/>
  <c r="W153" i="132"/>
  <c r="X153" i="132"/>
  <c r="Y153" i="132"/>
  <c r="Z153" i="132"/>
  <c r="AA153" i="132"/>
  <c r="AB153" i="132"/>
  <c r="AC153" i="132"/>
  <c r="AD153" i="132"/>
  <c r="AE153" i="132"/>
  <c r="AF153" i="132"/>
  <c r="U154" i="132"/>
  <c r="V154" i="132"/>
  <c r="W154" i="132"/>
  <c r="X154" i="132"/>
  <c r="Y154" i="132"/>
  <c r="Z154" i="132"/>
  <c r="AA154" i="132"/>
  <c r="AB154" i="132"/>
  <c r="AC154" i="132"/>
  <c r="AD154" i="132"/>
  <c r="AE154" i="132"/>
  <c r="AF154" i="132"/>
  <c r="V155" i="132"/>
  <c r="W155" i="132"/>
  <c r="X155" i="132"/>
  <c r="Y155" i="132"/>
  <c r="Z155" i="132"/>
  <c r="AA155" i="132"/>
  <c r="AB155" i="132"/>
  <c r="AC155" i="132"/>
  <c r="AD155" i="132"/>
  <c r="AE155" i="132"/>
  <c r="AF155" i="132"/>
  <c r="U156" i="132"/>
  <c r="V156" i="132"/>
  <c r="W156" i="132"/>
  <c r="X156" i="132"/>
  <c r="Y156" i="132"/>
  <c r="Z156" i="132"/>
  <c r="AA156" i="132"/>
  <c r="AB156" i="132"/>
  <c r="AC156" i="132"/>
  <c r="AD156" i="132"/>
  <c r="AE156" i="132"/>
  <c r="AF156" i="132"/>
  <c r="U157" i="132"/>
  <c r="W157" i="132"/>
  <c r="X157" i="132"/>
  <c r="Y157" i="132"/>
  <c r="Z157" i="132"/>
  <c r="AA157" i="132"/>
  <c r="AB157" i="132"/>
  <c r="AC157" i="132"/>
  <c r="AD157" i="132"/>
  <c r="AE157" i="132"/>
  <c r="AF157" i="132"/>
  <c r="U158" i="132"/>
  <c r="V158" i="132"/>
  <c r="W158" i="132"/>
  <c r="X158" i="132"/>
  <c r="Y158" i="132"/>
  <c r="Z158" i="132"/>
  <c r="AA158" i="132"/>
  <c r="AB158" i="132"/>
  <c r="AC158" i="132"/>
  <c r="AD158" i="132"/>
  <c r="AE158" i="132"/>
  <c r="AF158" i="132"/>
  <c r="V159" i="132"/>
  <c r="W159" i="132"/>
  <c r="X159" i="132"/>
  <c r="Y159" i="132"/>
  <c r="Z159" i="132"/>
  <c r="AA159" i="132"/>
  <c r="AB159" i="132"/>
  <c r="AC159" i="132"/>
  <c r="AD159" i="132"/>
  <c r="AE159" i="132"/>
  <c r="AF159" i="132"/>
  <c r="U160" i="132"/>
  <c r="V160" i="132"/>
  <c r="W160" i="132"/>
  <c r="X160" i="132"/>
  <c r="Y160" i="132"/>
  <c r="Z160" i="132"/>
  <c r="AA160" i="132"/>
  <c r="AB160" i="132"/>
  <c r="AC160" i="132"/>
  <c r="AD160" i="132"/>
  <c r="AE160" i="132"/>
  <c r="AF160" i="132"/>
  <c r="U161" i="132"/>
  <c r="W161" i="132"/>
  <c r="X161" i="132"/>
  <c r="Y161" i="132"/>
  <c r="Z161" i="132"/>
  <c r="AA161" i="132"/>
  <c r="AB161" i="132"/>
  <c r="AC161" i="132"/>
  <c r="AD161" i="132"/>
  <c r="AE161" i="132"/>
  <c r="AF161" i="132"/>
  <c r="U162" i="132"/>
  <c r="V162" i="132"/>
  <c r="W162" i="132"/>
  <c r="X162" i="132"/>
  <c r="Y162" i="132"/>
  <c r="Z162" i="132"/>
  <c r="AA162" i="132"/>
  <c r="AB162" i="132"/>
  <c r="AC162" i="132"/>
  <c r="AD162" i="132"/>
  <c r="AE162" i="132"/>
  <c r="AF162" i="132"/>
  <c r="V163" i="132"/>
  <c r="W163" i="132"/>
  <c r="X163" i="132"/>
  <c r="Y163" i="132"/>
  <c r="Z163" i="132"/>
  <c r="AA163" i="132"/>
  <c r="AB163" i="132"/>
  <c r="AC163" i="132"/>
  <c r="AD163" i="132"/>
  <c r="AE163" i="132"/>
  <c r="AF163" i="132"/>
  <c r="U164" i="132"/>
  <c r="V164" i="132"/>
  <c r="W164" i="132"/>
  <c r="X164" i="132"/>
  <c r="Y164" i="132"/>
  <c r="Z164" i="132"/>
  <c r="AA164" i="132"/>
  <c r="AB164" i="132"/>
  <c r="AC164" i="132"/>
  <c r="AD164" i="132"/>
  <c r="AE164" i="132"/>
  <c r="AF164" i="132"/>
  <c r="U165" i="132"/>
  <c r="W165" i="132"/>
  <c r="X165" i="132"/>
  <c r="Y165" i="132"/>
  <c r="Z165" i="132"/>
  <c r="AA165" i="132"/>
  <c r="AB165" i="132"/>
  <c r="AC165" i="132"/>
  <c r="AD165" i="132"/>
  <c r="AE165" i="132"/>
  <c r="AF165" i="132"/>
  <c r="U166" i="132"/>
  <c r="V166" i="132"/>
  <c r="W166" i="132"/>
  <c r="X166" i="132"/>
  <c r="Y166" i="132"/>
  <c r="Z166" i="132"/>
  <c r="AA166" i="132"/>
  <c r="AB166" i="132"/>
  <c r="AC166" i="132"/>
  <c r="AD166" i="132"/>
  <c r="AE166" i="132"/>
  <c r="AF166" i="132"/>
  <c r="U167" i="132"/>
  <c r="V167" i="132"/>
  <c r="W167" i="132"/>
  <c r="X167" i="132"/>
  <c r="Y167" i="132"/>
  <c r="Z167" i="132"/>
  <c r="AA167" i="132"/>
  <c r="AB167" i="132"/>
  <c r="AC167" i="132"/>
  <c r="AD167" i="132"/>
  <c r="AE167" i="132"/>
  <c r="AF167" i="132"/>
  <c r="U168" i="132"/>
  <c r="V168" i="132"/>
  <c r="W168" i="132"/>
  <c r="X168" i="132"/>
  <c r="Y168" i="132"/>
  <c r="Z168" i="132"/>
  <c r="AA168" i="132"/>
  <c r="AB168" i="132"/>
  <c r="AC168" i="132"/>
  <c r="AD168" i="132"/>
  <c r="AE168" i="132"/>
  <c r="AF168" i="132"/>
  <c r="U169" i="132"/>
  <c r="V169" i="132"/>
  <c r="W169" i="132"/>
  <c r="X169" i="132"/>
  <c r="Y169" i="132"/>
  <c r="Z169" i="132"/>
  <c r="AA169" i="132"/>
  <c r="AB169" i="132"/>
  <c r="AC169" i="132"/>
  <c r="AD169" i="132"/>
  <c r="AE169" i="132"/>
  <c r="AF169" i="132"/>
  <c r="U170" i="132"/>
  <c r="V170" i="132"/>
  <c r="W170" i="132"/>
  <c r="X170" i="132"/>
  <c r="Y170" i="132"/>
  <c r="Z170" i="132"/>
  <c r="AA170" i="132"/>
  <c r="AB170" i="132"/>
  <c r="AC170" i="132"/>
  <c r="AD170" i="132"/>
  <c r="AE170" i="132"/>
  <c r="AF170" i="132"/>
  <c r="U171" i="132"/>
  <c r="V171" i="132"/>
  <c r="W171" i="132"/>
  <c r="X171" i="132"/>
  <c r="Y171" i="132"/>
  <c r="Z171" i="132"/>
  <c r="AA171" i="132"/>
  <c r="AB171" i="132"/>
  <c r="AC171" i="132"/>
  <c r="AD171" i="132"/>
  <c r="AE171" i="132"/>
  <c r="AF171" i="132"/>
  <c r="U172" i="132"/>
  <c r="V172" i="132"/>
  <c r="W172" i="132"/>
  <c r="X172" i="132"/>
  <c r="Y172" i="132"/>
  <c r="Z172" i="132"/>
  <c r="AA172" i="132"/>
  <c r="AB172" i="132"/>
  <c r="AC172" i="132"/>
  <c r="AD172" i="132"/>
  <c r="AE172" i="132"/>
  <c r="AF172" i="132"/>
  <c r="U173" i="132"/>
  <c r="V173" i="132"/>
  <c r="W173" i="132"/>
  <c r="X173" i="132"/>
  <c r="Y173" i="132"/>
  <c r="Z173" i="132"/>
  <c r="AA173" i="132"/>
  <c r="AB173" i="132"/>
  <c r="AC173" i="132"/>
  <c r="AD173" i="132"/>
  <c r="AE173" i="132"/>
  <c r="AF173" i="132"/>
  <c r="V174" i="132"/>
  <c r="X174" i="132"/>
  <c r="Y174" i="132"/>
  <c r="Z174" i="132"/>
  <c r="AA174" i="132"/>
  <c r="AB174" i="132"/>
  <c r="AC174" i="132"/>
  <c r="AD174" i="132"/>
  <c r="AF174" i="132"/>
  <c r="V175" i="132"/>
  <c r="W175" i="132"/>
  <c r="X175" i="132"/>
  <c r="Y175" i="132"/>
  <c r="Z175" i="132"/>
  <c r="AA175" i="132"/>
  <c r="AB175" i="132"/>
  <c r="AC175" i="132"/>
  <c r="AD175" i="132"/>
  <c r="AE175" i="132"/>
  <c r="AF175" i="132"/>
  <c r="C176" i="132"/>
  <c r="W176" i="132"/>
  <c r="Z176" i="132"/>
  <c r="AA176" i="132"/>
  <c r="AB176" i="132"/>
  <c r="AC176" i="132"/>
  <c r="AD176" i="132"/>
  <c r="AE176" i="132"/>
  <c r="AF176" i="132"/>
  <c r="BE177" i="132"/>
  <c r="BG177" i="132"/>
  <c r="BI177" i="132"/>
  <c r="BD178" i="132"/>
  <c r="BF178" i="132"/>
  <c r="BH178" i="132"/>
  <c r="BE179" i="132"/>
  <c r="BG179" i="132"/>
  <c r="BI179" i="132"/>
  <c r="BE180" i="132"/>
  <c r="BG180" i="132"/>
  <c r="BI180" i="132"/>
  <c r="D181" i="132"/>
  <c r="BE181" i="132"/>
  <c r="BG181" i="132"/>
  <c r="BI181" i="132"/>
  <c r="BE182" i="132"/>
  <c r="BG182" i="132"/>
  <c r="BI182" i="132"/>
  <c r="BE183" i="132"/>
  <c r="BG183" i="132"/>
  <c r="BI183" i="132"/>
  <c r="BE184" i="132"/>
  <c r="BG184" i="132"/>
  <c r="BI184" i="132"/>
  <c r="BE185" i="132"/>
  <c r="BG185" i="132"/>
  <c r="BI185" i="132"/>
  <c r="BE186" i="132"/>
  <c r="BG186" i="132"/>
  <c r="BI186" i="132"/>
  <c r="BE187" i="132"/>
  <c r="BG187" i="132"/>
  <c r="BI187" i="132"/>
  <c r="BE188" i="132"/>
  <c r="BG188" i="132"/>
  <c r="BI188" i="132"/>
  <c r="BE189" i="132"/>
  <c r="BG189" i="132"/>
  <c r="BI189" i="132"/>
  <c r="BE190" i="132"/>
  <c r="BG190" i="132"/>
  <c r="BI190" i="132"/>
  <c r="BE191" i="132"/>
  <c r="BG191" i="132"/>
  <c r="BI191" i="132"/>
  <c r="BE192" i="132"/>
  <c r="BG192" i="132"/>
  <c r="BI192" i="132"/>
  <c r="H7" i="94"/>
  <c r="AB121" i="132" l="1"/>
  <c r="AE33" i="132"/>
  <c r="AB35" i="132"/>
  <c r="AC119" i="132"/>
  <c r="AD118" i="132"/>
  <c r="AA35" i="132"/>
  <c r="AB34" i="132"/>
  <c r="AF118" i="132"/>
  <c r="AB119" i="132"/>
  <c r="AB118" i="132"/>
  <c r="Z35" i="132"/>
  <c r="AC35" i="132"/>
  <c r="AA119" i="132"/>
  <c r="AA118" i="132"/>
  <c r="AD38" i="132"/>
  <c r="Z121" i="132"/>
  <c r="AE118" i="132"/>
  <c r="AA121" i="132"/>
  <c r="U39" i="132"/>
  <c r="AC122" i="132"/>
  <c r="Z38" i="132"/>
  <c r="AF32" i="132"/>
  <c r="AF142" i="132"/>
  <c r="AA122" i="132"/>
  <c r="AD32" i="132"/>
  <c r="AE142" i="132"/>
  <c r="Z122" i="132"/>
  <c r="AE121" i="132"/>
  <c r="Y39" i="132"/>
  <c r="AE38" i="132"/>
  <c r="AF33" i="132"/>
  <c r="AC32" i="132"/>
  <c r="X39" i="132"/>
  <c r="AC142" i="132"/>
  <c r="AF122" i="132"/>
  <c r="W39" i="132"/>
  <c r="AC38" i="132"/>
  <c r="AD33" i="132"/>
  <c r="AA32" i="132"/>
  <c r="V39" i="132"/>
  <c r="AF34" i="132"/>
  <c r="Z32" i="132"/>
  <c r="BE43" i="132"/>
  <c r="BG43" i="132"/>
  <c r="BI43" i="132"/>
  <c r="X118" i="132"/>
  <c r="W118" i="132"/>
  <c r="AF39" i="132"/>
  <c r="AA31" i="132"/>
  <c r="V118" i="132"/>
  <c r="AE39" i="132"/>
  <c r="Z31" i="132"/>
  <c r="Y176" i="132"/>
  <c r="AA142" i="132"/>
  <c r="AE122" i="132"/>
  <c r="AC121" i="132"/>
  <c r="AE119" i="132"/>
  <c r="W119" i="132"/>
  <c r="AC118" i="132"/>
  <c r="AD39" i="132"/>
  <c r="X176" i="132"/>
  <c r="Z142" i="132"/>
  <c r="AD122" i="132"/>
  <c r="AD119" i="132"/>
  <c r="V119" i="132"/>
  <c r="AC39" i="132"/>
  <c r="AF31" i="132"/>
  <c r="BI44" i="132"/>
  <c r="AE31" i="132"/>
  <c r="V176" i="132"/>
  <c r="BG44" i="132"/>
  <c r="AA39" i="132"/>
  <c r="AE34" i="132"/>
  <c r="AD31" i="132"/>
  <c r="Z39" i="132"/>
  <c r="AD34" i="132"/>
  <c r="AC31" i="132"/>
  <c r="AF145" i="132"/>
  <c r="Y145" i="132"/>
  <c r="AF178" i="132"/>
  <c r="U178" i="132"/>
  <c r="X145" i="132"/>
  <c r="AH171" i="132"/>
  <c r="BE171" i="132" s="1"/>
  <c r="X45" i="132"/>
  <c r="AB53" i="132"/>
  <c r="Z34" i="132"/>
  <c r="AA178" i="132"/>
  <c r="AG86" i="132"/>
  <c r="AG83" i="132"/>
  <c r="X178" i="132"/>
  <c r="AC178" i="132"/>
  <c r="AD145" i="132"/>
  <c r="Z145" i="132"/>
  <c r="AE178" i="132"/>
  <c r="AC145" i="132"/>
  <c r="AA145" i="132"/>
  <c r="U62" i="132"/>
  <c r="AG62" i="132" s="1"/>
  <c r="AC48" i="132"/>
  <c r="B11" i="5"/>
  <c r="U48" i="132"/>
  <c r="AB178" i="132"/>
  <c r="AB77" i="132"/>
  <c r="AB145" i="132" s="1"/>
  <c r="AG64" i="132"/>
  <c r="AA48" i="132"/>
  <c r="AE45" i="132"/>
  <c r="AF45" i="132"/>
  <c r="Z178" i="132"/>
  <c r="U155" i="132"/>
  <c r="AG155" i="132" s="1"/>
  <c r="U117" i="132"/>
  <c r="AH117" i="132" s="1"/>
  <c r="U94" i="132"/>
  <c r="AG94" i="132" s="1"/>
  <c r="U72" i="132"/>
  <c r="AG72" i="132" s="1"/>
  <c r="U137" i="132"/>
  <c r="AG137" i="132" s="1"/>
  <c r="U159" i="132"/>
  <c r="AH159" i="132" s="1"/>
  <c r="U163" i="132"/>
  <c r="AG163" i="132" s="1"/>
  <c r="AG91" i="132"/>
  <c r="U71" i="132"/>
  <c r="AH71" i="132" s="1"/>
  <c r="U61" i="132"/>
  <c r="AH61" i="132" s="1"/>
  <c r="B12" i="5"/>
  <c r="AE145" i="132"/>
  <c r="Z45" i="132"/>
  <c r="B18" i="5"/>
  <c r="AD178" i="132"/>
  <c r="U151" i="132"/>
  <c r="AG151" i="132" s="1"/>
  <c r="U109" i="132"/>
  <c r="AH109" i="132" s="1"/>
  <c r="U76" i="132"/>
  <c r="AG76" i="132" s="1"/>
  <c r="AE48" i="132"/>
  <c r="AG115" i="132"/>
  <c r="W178" i="132"/>
  <c r="U93" i="132"/>
  <c r="AG93" i="132" s="1"/>
  <c r="U21" i="132"/>
  <c r="AG21" i="132" s="1"/>
  <c r="V33" i="132"/>
  <c r="U176" i="132"/>
  <c r="V111" i="132"/>
  <c r="AG111" i="132" s="1"/>
  <c r="AD53" i="132"/>
  <c r="AG106" i="132"/>
  <c r="AH128" i="132"/>
  <c r="BE128" i="132" s="1"/>
  <c r="AG133" i="132"/>
  <c r="X138" i="132"/>
  <c r="AH138" i="132" s="1"/>
  <c r="AE53" i="132"/>
  <c r="U34" i="132"/>
  <c r="U119" i="132"/>
  <c r="AA53" i="132"/>
  <c r="AB48" i="132"/>
  <c r="AB45" i="132"/>
  <c r="U113" i="132"/>
  <c r="AG113" i="132" s="1"/>
  <c r="AH36" i="132"/>
  <c r="BI36" i="132" s="1"/>
  <c r="AC45" i="132"/>
  <c r="Y118" i="132"/>
  <c r="AH25" i="132"/>
  <c r="BG25" i="132" s="1"/>
  <c r="BI171" i="132"/>
  <c r="BG171" i="132"/>
  <c r="AG171" i="132"/>
  <c r="Y178" i="132"/>
  <c r="AG168" i="132"/>
  <c r="AG170" i="132"/>
  <c r="AH170" i="132"/>
  <c r="AG173" i="132"/>
  <c r="AH173" i="132"/>
  <c r="AG172" i="132"/>
  <c r="AG169" i="132"/>
  <c r="AG140" i="132"/>
  <c r="AH140" i="132"/>
  <c r="AG150" i="132"/>
  <c r="AH150" i="132"/>
  <c r="AG166" i="132"/>
  <c r="AH166" i="132"/>
  <c r="AG162" i="132"/>
  <c r="AH162" i="132"/>
  <c r="AG158" i="132"/>
  <c r="AH158" i="132"/>
  <c r="AG154" i="132"/>
  <c r="AH154" i="132"/>
  <c r="AG136" i="132"/>
  <c r="AH136" i="132"/>
  <c r="U175" i="132"/>
  <c r="AE174" i="132"/>
  <c r="W174" i="132"/>
  <c r="AG167" i="132"/>
  <c r="AH172" i="132"/>
  <c r="AH168" i="132"/>
  <c r="U174" i="132"/>
  <c r="AH169" i="132"/>
  <c r="AG164" i="132"/>
  <c r="AH164" i="132"/>
  <c r="AG160" i="132"/>
  <c r="AH160" i="132"/>
  <c r="AG156" i="132"/>
  <c r="AH156" i="132"/>
  <c r="AG135" i="132"/>
  <c r="AH167" i="132"/>
  <c r="V165" i="132"/>
  <c r="V161" i="132"/>
  <c r="V157" i="132"/>
  <c r="V153" i="132"/>
  <c r="AF152" i="132"/>
  <c r="AG152" i="132" s="1"/>
  <c r="U143" i="132"/>
  <c r="W142" i="132"/>
  <c r="Z141" i="132"/>
  <c r="AG141" i="132" s="1"/>
  <c r="V139" i="132"/>
  <c r="AH132" i="132"/>
  <c r="U131" i="132"/>
  <c r="AG112" i="132"/>
  <c r="AH112" i="132"/>
  <c r="AD142" i="132"/>
  <c r="AG132" i="132"/>
  <c r="AG116" i="132"/>
  <c r="AH116" i="132"/>
  <c r="U142" i="132"/>
  <c r="AH124" i="132"/>
  <c r="AG125" i="132"/>
  <c r="AH125" i="132"/>
  <c r="AG124" i="132"/>
  <c r="U127" i="132"/>
  <c r="AG129" i="132"/>
  <c r="AH129" i="132"/>
  <c r="AG128" i="132"/>
  <c r="AG107" i="132"/>
  <c r="AH135" i="132"/>
  <c r="AH133" i="132"/>
  <c r="AG108" i="132"/>
  <c r="AH108" i="132"/>
  <c r="AH105" i="132"/>
  <c r="AH87" i="132"/>
  <c r="Y119" i="132"/>
  <c r="U118" i="132"/>
  <c r="AG82" i="132"/>
  <c r="AF119" i="132"/>
  <c r="X119" i="132"/>
  <c r="AG102" i="132"/>
  <c r="AH91" i="132"/>
  <c r="U123" i="132"/>
  <c r="U120" i="132"/>
  <c r="U114" i="132"/>
  <c r="U110" i="132"/>
  <c r="AG97" i="132"/>
  <c r="AH97" i="132"/>
  <c r="AH115" i="132"/>
  <c r="AH107" i="132"/>
  <c r="AH102" i="132"/>
  <c r="AH78" i="132"/>
  <c r="U134" i="132"/>
  <c r="U130" i="132"/>
  <c r="U126" i="132"/>
  <c r="U122" i="132"/>
  <c r="AG98" i="132"/>
  <c r="AG90" i="132"/>
  <c r="AG78" i="132"/>
  <c r="AH106" i="132"/>
  <c r="AG105" i="132"/>
  <c r="AG87" i="132"/>
  <c r="AH83" i="132"/>
  <c r="Z101" i="132"/>
  <c r="AG101" i="132" s="1"/>
  <c r="AH98" i="132"/>
  <c r="AG75" i="132"/>
  <c r="U104" i="132"/>
  <c r="U100" i="132"/>
  <c r="U89" i="132"/>
  <c r="U85" i="132"/>
  <c r="U81" i="132"/>
  <c r="AG41" i="132"/>
  <c r="U96" i="132"/>
  <c r="U92" i="132"/>
  <c r="AH90" i="132"/>
  <c r="AH86" i="132"/>
  <c r="AH82" i="132"/>
  <c r="AH75" i="132"/>
  <c r="AG60" i="132"/>
  <c r="U103" i="132"/>
  <c r="U99" i="132"/>
  <c r="V95" i="132"/>
  <c r="U88" i="132"/>
  <c r="U84" i="132"/>
  <c r="U80" i="132"/>
  <c r="U79" i="132"/>
  <c r="U74" i="132"/>
  <c r="AG68" i="132"/>
  <c r="U17" i="132"/>
  <c r="Z33" i="132"/>
  <c r="AA33" i="132"/>
  <c r="AC33" i="132"/>
  <c r="U26" i="132"/>
  <c r="AG25" i="132"/>
  <c r="U67" i="132"/>
  <c r="V42" i="132"/>
  <c r="AH41" i="132"/>
  <c r="V38" i="132"/>
  <c r="AG37" i="132"/>
  <c r="AH37" i="132"/>
  <c r="AG36" i="132"/>
  <c r="AG23" i="132"/>
  <c r="AH23" i="132"/>
  <c r="AA15" i="132"/>
  <c r="AG15" i="132" s="1"/>
  <c r="AG12" i="132"/>
  <c r="AH12" i="132"/>
  <c r="U70" i="132"/>
  <c r="AH68" i="132"/>
  <c r="U63" i="132"/>
  <c r="U30" i="132"/>
  <c r="AG24" i="132"/>
  <c r="AH24" i="132"/>
  <c r="AG20" i="132"/>
  <c r="AH20" i="132"/>
  <c r="V73" i="132"/>
  <c r="V69" i="132"/>
  <c r="U66" i="132"/>
  <c r="W65" i="132"/>
  <c r="AH64" i="132"/>
  <c r="AH60" i="132"/>
  <c r="V22" i="132"/>
  <c r="AG22" i="132" s="1"/>
  <c r="AD14" i="132"/>
  <c r="AD45" i="132" s="1"/>
  <c r="V14" i="132"/>
  <c r="W32" i="132"/>
  <c r="W19" i="132"/>
  <c r="AG19" i="132" s="1"/>
  <c r="Y45" i="132"/>
  <c r="V35" i="132"/>
  <c r="W29" i="132"/>
  <c r="AH29" i="132" s="1"/>
  <c r="AG28" i="132"/>
  <c r="AH28" i="132"/>
  <c r="AG18" i="132"/>
  <c r="AH18" i="132"/>
  <c r="AA34" i="132"/>
  <c r="U27" i="132"/>
  <c r="U40" i="132"/>
  <c r="U16" i="132"/>
  <c r="U13" i="132"/>
  <c r="AG38" i="132" l="1"/>
  <c r="AH35" i="132"/>
  <c r="AH113" i="132"/>
  <c r="AH53" i="132"/>
  <c r="C15" i="7" s="1"/>
  <c r="AH151" i="132"/>
  <c r="AH77" i="132"/>
  <c r="AH32" i="132"/>
  <c r="BI32" i="132" s="1"/>
  <c r="AG77" i="132"/>
  <c r="AG176" i="132"/>
  <c r="AG39" i="132"/>
  <c r="AH121" i="132"/>
  <c r="BE121" i="132" s="1"/>
  <c r="AH31" i="132"/>
  <c r="BE31" i="132" s="1"/>
  <c r="AG121" i="132"/>
  <c r="AG31" i="132"/>
  <c r="AH39" i="132"/>
  <c r="BG39" i="132" s="1"/>
  <c r="AG35" i="132"/>
  <c r="AH34" i="132"/>
  <c r="BE34" i="132" s="1"/>
  <c r="AG138" i="132"/>
  <c r="AH76" i="132"/>
  <c r="BI76" i="132" s="1"/>
  <c r="AH94" i="132"/>
  <c r="BE94" i="132" s="1"/>
  <c r="AG61" i="132"/>
  <c r="AH21" i="132"/>
  <c r="BE21" i="132" s="1"/>
  <c r="AH155" i="132"/>
  <c r="BG155" i="132" s="1"/>
  <c r="AG159" i="132"/>
  <c r="AH137" i="132"/>
  <c r="BI137" i="132" s="1"/>
  <c r="AG34" i="132"/>
  <c r="AH93" i="132"/>
  <c r="BG93" i="132" s="1"/>
  <c r="AH72" i="132"/>
  <c r="BE72" i="132" s="1"/>
  <c r="BG36" i="132"/>
  <c r="AG109" i="132"/>
  <c r="BE36" i="132"/>
  <c r="AG53" i="132"/>
  <c r="AH163" i="132"/>
  <c r="BE163" i="132" s="1"/>
  <c r="AG48" i="132"/>
  <c r="AH48" i="132"/>
  <c r="C12" i="7" s="1"/>
  <c r="AG33" i="132"/>
  <c r="AH176" i="132"/>
  <c r="BG176" i="132" s="1"/>
  <c r="AG119" i="132"/>
  <c r="AH62" i="132"/>
  <c r="BE62" i="132" s="1"/>
  <c r="AG117" i="132"/>
  <c r="AH33" i="132"/>
  <c r="BG33" i="132" s="1"/>
  <c r="AG71" i="132"/>
  <c r="AA45" i="132"/>
  <c r="AH15" i="132"/>
  <c r="BE15" i="132" s="1"/>
  <c r="AH152" i="132"/>
  <c r="BI152" i="132" s="1"/>
  <c r="AH101" i="132"/>
  <c r="BE101" i="132" s="1"/>
  <c r="AG32" i="132"/>
  <c r="AH38" i="132"/>
  <c r="BE38" i="132" s="1"/>
  <c r="AG29" i="132"/>
  <c r="B20" i="5"/>
  <c r="BI25" i="132"/>
  <c r="BE25" i="132"/>
  <c r="BI128" i="132"/>
  <c r="AH111" i="132"/>
  <c r="BE111" i="132" s="1"/>
  <c r="BG128" i="132"/>
  <c r="BE35" i="132"/>
  <c r="BG35" i="132"/>
  <c r="BI35" i="132"/>
  <c r="AH65" i="132"/>
  <c r="W145" i="132"/>
  <c r="AG30" i="132"/>
  <c r="AH30" i="132"/>
  <c r="BE68" i="132"/>
  <c r="BG68" i="132"/>
  <c r="BI68" i="132"/>
  <c r="BE61" i="132"/>
  <c r="BG61" i="132"/>
  <c r="BI61" i="132"/>
  <c r="AG17" i="132"/>
  <c r="AH17" i="132"/>
  <c r="AG95" i="132"/>
  <c r="AH95" i="132"/>
  <c r="BE90" i="132"/>
  <c r="BG90" i="132"/>
  <c r="BI90" i="132"/>
  <c r="BE83" i="132"/>
  <c r="BG83" i="132"/>
  <c r="BI83" i="132"/>
  <c r="BE107" i="132"/>
  <c r="BG107" i="132"/>
  <c r="BI107" i="132"/>
  <c r="AG114" i="132"/>
  <c r="AH114" i="132"/>
  <c r="BE105" i="132"/>
  <c r="BG105" i="132"/>
  <c r="BI105" i="132"/>
  <c r="BE133" i="132"/>
  <c r="BI133" i="132"/>
  <c r="BG133" i="132"/>
  <c r="BE113" i="132"/>
  <c r="BG113" i="132"/>
  <c r="BI113" i="132"/>
  <c r="BE132" i="132"/>
  <c r="BG132" i="132"/>
  <c r="BI132" i="132"/>
  <c r="BI160" i="132"/>
  <c r="BE160" i="132"/>
  <c r="BG160" i="132"/>
  <c r="BG152" i="132"/>
  <c r="BE168" i="132"/>
  <c r="BG168" i="132"/>
  <c r="BI168" i="132"/>
  <c r="BE158" i="132"/>
  <c r="BG158" i="132"/>
  <c r="BI158" i="132"/>
  <c r="BE150" i="132"/>
  <c r="BG150" i="132"/>
  <c r="BI150" i="132"/>
  <c r="BE20" i="132"/>
  <c r="BG20" i="132"/>
  <c r="BI20" i="132"/>
  <c r="AH92" i="132"/>
  <c r="AG92" i="132"/>
  <c r="AG122" i="132"/>
  <c r="AH122" i="132"/>
  <c r="AG120" i="132"/>
  <c r="AH120" i="132"/>
  <c r="BE108" i="132"/>
  <c r="BG108" i="132"/>
  <c r="BI108" i="132"/>
  <c r="BE135" i="132"/>
  <c r="BG135" i="132"/>
  <c r="BI135" i="132"/>
  <c r="BE117" i="132"/>
  <c r="BG117" i="132"/>
  <c r="BI117" i="132"/>
  <c r="BE124" i="132"/>
  <c r="BG124" i="132"/>
  <c r="BI124" i="132"/>
  <c r="AG143" i="132"/>
  <c r="AH143" i="132"/>
  <c r="AG157" i="132"/>
  <c r="AH157" i="132"/>
  <c r="BE167" i="132"/>
  <c r="BG167" i="132"/>
  <c r="BI167" i="132"/>
  <c r="AG175" i="132"/>
  <c r="AH175" i="132"/>
  <c r="AH103" i="132"/>
  <c r="AG103" i="132"/>
  <c r="AG126" i="132"/>
  <c r="AH126" i="132"/>
  <c r="BE115" i="132"/>
  <c r="BG115" i="132"/>
  <c r="BI115" i="132"/>
  <c r="AG118" i="132"/>
  <c r="AH118" i="132"/>
  <c r="BE172" i="132"/>
  <c r="BG172" i="132"/>
  <c r="BI172" i="132"/>
  <c r="BE162" i="132"/>
  <c r="BG162" i="132"/>
  <c r="BI162" i="132"/>
  <c r="BE173" i="132"/>
  <c r="BG173" i="132"/>
  <c r="BI173" i="132"/>
  <c r="AG13" i="132"/>
  <c r="AH13" i="132"/>
  <c r="U45" i="132"/>
  <c r="AH99" i="132"/>
  <c r="AG99" i="132"/>
  <c r="AG42" i="132"/>
  <c r="AH42" i="132"/>
  <c r="B10" i="5"/>
  <c r="AG85" i="132"/>
  <c r="AH85" i="132"/>
  <c r="BI106" i="132"/>
  <c r="BE106" i="132"/>
  <c r="BG106" i="132"/>
  <c r="AG130" i="132"/>
  <c r="AH130" i="132"/>
  <c r="AG123" i="132"/>
  <c r="AH123" i="132"/>
  <c r="AG127" i="132"/>
  <c r="AH127" i="132"/>
  <c r="BE125" i="132"/>
  <c r="BG125" i="132"/>
  <c r="BI125" i="132"/>
  <c r="AG142" i="132"/>
  <c r="AH142" i="132"/>
  <c r="B16" i="5"/>
  <c r="BE159" i="132"/>
  <c r="BG159" i="132"/>
  <c r="BI159" i="132"/>
  <c r="AG174" i="132"/>
  <c r="AH174" i="132"/>
  <c r="AG67" i="132"/>
  <c r="AH67" i="132"/>
  <c r="AG89" i="132"/>
  <c r="AH89" i="132"/>
  <c r="AG134" i="132"/>
  <c r="AH134" i="132"/>
  <c r="BE97" i="132"/>
  <c r="BG97" i="132"/>
  <c r="BI97" i="132"/>
  <c r="BE91" i="132"/>
  <c r="BG91" i="132"/>
  <c r="BI91" i="132"/>
  <c r="BE112" i="132"/>
  <c r="BG112" i="132"/>
  <c r="BI112" i="132"/>
  <c r="AG139" i="132"/>
  <c r="AH139" i="132"/>
  <c r="BE151" i="132"/>
  <c r="BG151" i="132"/>
  <c r="BI151" i="132"/>
  <c r="AG161" i="132"/>
  <c r="AH161" i="132"/>
  <c r="BG169" i="132"/>
  <c r="BE169" i="132"/>
  <c r="BI169" i="132"/>
  <c r="BE136" i="132"/>
  <c r="BG136" i="132"/>
  <c r="BI136" i="132"/>
  <c r="BE166" i="132"/>
  <c r="BI166" i="132"/>
  <c r="BG166" i="132"/>
  <c r="BI170" i="132"/>
  <c r="BE170" i="132"/>
  <c r="BG170" i="132"/>
  <c r="AG16" i="132"/>
  <c r="AH16" i="132"/>
  <c r="BE41" i="132"/>
  <c r="BG41" i="132"/>
  <c r="BI41" i="132"/>
  <c r="AG40" i="132"/>
  <c r="AH40" i="132"/>
  <c r="AG69" i="132"/>
  <c r="AH69" i="132"/>
  <c r="V145" i="132"/>
  <c r="AH96" i="132"/>
  <c r="AG96" i="132"/>
  <c r="BE39" i="132"/>
  <c r="BE71" i="132"/>
  <c r="BG71" i="132"/>
  <c r="BI71" i="132"/>
  <c r="AG27" i="132"/>
  <c r="AH27" i="132"/>
  <c r="AG80" i="132"/>
  <c r="AH80" i="132"/>
  <c r="BE24" i="132"/>
  <c r="BG24" i="132"/>
  <c r="BI24" i="132"/>
  <c r="AH22" i="132"/>
  <c r="AG84" i="132"/>
  <c r="AH84" i="132"/>
  <c r="BE75" i="132"/>
  <c r="BG75" i="132"/>
  <c r="BI75" i="132"/>
  <c r="BE98" i="132"/>
  <c r="BG98" i="132"/>
  <c r="BI98" i="132"/>
  <c r="BE77" i="132"/>
  <c r="BG77" i="132"/>
  <c r="BI77" i="132"/>
  <c r="BE87" i="132"/>
  <c r="BG87" i="132"/>
  <c r="BI87" i="132"/>
  <c r="AH119" i="132"/>
  <c r="BE140" i="132"/>
  <c r="BG140" i="132"/>
  <c r="BI140" i="132"/>
  <c r="BE28" i="132"/>
  <c r="BG28" i="132"/>
  <c r="BI28" i="132"/>
  <c r="AH66" i="132"/>
  <c r="AG66" i="132"/>
  <c r="AG70" i="132"/>
  <c r="AH70" i="132"/>
  <c r="BE32" i="132"/>
  <c r="BG32" i="132"/>
  <c r="AG79" i="132"/>
  <c r="AH79" i="132"/>
  <c r="BE37" i="132"/>
  <c r="BI37" i="132"/>
  <c r="BG37" i="132"/>
  <c r="W45" i="132"/>
  <c r="AH19" i="132"/>
  <c r="AG88" i="132"/>
  <c r="AH88" i="132"/>
  <c r="BE82" i="132"/>
  <c r="BG82" i="132"/>
  <c r="BI82" i="132"/>
  <c r="AG100" i="132"/>
  <c r="AH100" i="132"/>
  <c r="BE78" i="132"/>
  <c r="BG78" i="132"/>
  <c r="BI78" i="132"/>
  <c r="BE109" i="132"/>
  <c r="BG109" i="132"/>
  <c r="BI109" i="132"/>
  <c r="AG131" i="132"/>
  <c r="AH131" i="132"/>
  <c r="AG153" i="132"/>
  <c r="AH153" i="132"/>
  <c r="BI156" i="132"/>
  <c r="BE156" i="132"/>
  <c r="BG156" i="132"/>
  <c r="BI138" i="132"/>
  <c r="BE138" i="132"/>
  <c r="BG138" i="132"/>
  <c r="BE154" i="132"/>
  <c r="BG154" i="132"/>
  <c r="BI154" i="132"/>
  <c r="AG81" i="132"/>
  <c r="AH81" i="132"/>
  <c r="BE29" i="132"/>
  <c r="BG29" i="132"/>
  <c r="BI29" i="132"/>
  <c r="AH14" i="132"/>
  <c r="AG73" i="132"/>
  <c r="AH73" i="132"/>
  <c r="AG65" i="132"/>
  <c r="BE18" i="132"/>
  <c r="BG18" i="132"/>
  <c r="BI18" i="132"/>
  <c r="AG14" i="132"/>
  <c r="V45" i="132"/>
  <c r="BE64" i="132"/>
  <c r="BG64" i="132"/>
  <c r="BI64" i="132"/>
  <c r="AG63" i="132"/>
  <c r="AH63" i="132"/>
  <c r="U145" i="132"/>
  <c r="BE23" i="132"/>
  <c r="BG23" i="132"/>
  <c r="BI23" i="132"/>
  <c r="AG26" i="132"/>
  <c r="AH26" i="132"/>
  <c r="B13" i="5"/>
  <c r="AG74" i="132"/>
  <c r="AH74" i="132"/>
  <c r="BI93" i="132"/>
  <c r="BE86" i="132"/>
  <c r="BG86" i="132"/>
  <c r="BI86" i="132"/>
  <c r="AG104" i="132"/>
  <c r="AH104" i="132"/>
  <c r="BE102" i="132"/>
  <c r="BG102" i="132"/>
  <c r="BI102" i="132"/>
  <c r="AG110" i="132"/>
  <c r="AH110" i="132"/>
  <c r="BE129" i="132"/>
  <c r="BG129" i="132"/>
  <c r="BI129" i="132"/>
  <c r="BE116" i="132"/>
  <c r="BG116" i="132"/>
  <c r="BI116" i="132"/>
  <c r="AH141" i="132"/>
  <c r="AG165" i="132"/>
  <c r="AG178" i="132" s="1"/>
  <c r="AH165" i="132"/>
  <c r="V178" i="132"/>
  <c r="BI39" i="132" l="1"/>
  <c r="BE53" i="132"/>
  <c r="BE55" i="132" s="1"/>
  <c r="BG121" i="132"/>
  <c r="BI31" i="132"/>
  <c r="BG31" i="132"/>
  <c r="BI33" i="132"/>
  <c r="BI121" i="132"/>
  <c r="BE155" i="132"/>
  <c r="BI34" i="132"/>
  <c r="BG34" i="132"/>
  <c r="BE33" i="132"/>
  <c r="BI94" i="132"/>
  <c r="BG94" i="132"/>
  <c r="BG76" i="132"/>
  <c r="BG137" i="132"/>
  <c r="BE76" i="132"/>
  <c r="AG45" i="132"/>
  <c r="BG21" i="132"/>
  <c r="BI62" i="132"/>
  <c r="BI111" i="132"/>
  <c r="BE176" i="132"/>
  <c r="BI163" i="132"/>
  <c r="BG163" i="132"/>
  <c r="BE137" i="132"/>
  <c r="BI155" i="132"/>
  <c r="BI101" i="132"/>
  <c r="BG101" i="132"/>
  <c r="BI21" i="132"/>
  <c r="BI72" i="132"/>
  <c r="BG72" i="132"/>
  <c r="BE152" i="132"/>
  <c r="BI48" i="132"/>
  <c r="BI50" i="132" s="1"/>
  <c r="BE93" i="132"/>
  <c r="BG62" i="132"/>
  <c r="BI176" i="132"/>
  <c r="BI38" i="132"/>
  <c r="BI15" i="132"/>
  <c r="BG38" i="132"/>
  <c r="BG15" i="132"/>
  <c r="AG145" i="132"/>
  <c r="BG111" i="132"/>
  <c r="BI14" i="132"/>
  <c r="BE14" i="132"/>
  <c r="BG14" i="132"/>
  <c r="BE153" i="132"/>
  <c r="BG153" i="132"/>
  <c r="BI153" i="132"/>
  <c r="BI100" i="132"/>
  <c r="BG100" i="132"/>
  <c r="BE100" i="132"/>
  <c r="BE19" i="132"/>
  <c r="BG19" i="132"/>
  <c r="BI19" i="132"/>
  <c r="BI70" i="132"/>
  <c r="BE70" i="132"/>
  <c r="BG70" i="132"/>
  <c r="BE80" i="132"/>
  <c r="BG80" i="132"/>
  <c r="BI80" i="132"/>
  <c r="BE13" i="132"/>
  <c r="BG13" i="132"/>
  <c r="BI13" i="132"/>
  <c r="BI120" i="132"/>
  <c r="BE120" i="132"/>
  <c r="BG120" i="132"/>
  <c r="BI30" i="132"/>
  <c r="BE30" i="132"/>
  <c r="BG30" i="132"/>
  <c r="BE84" i="132"/>
  <c r="BG84" i="132"/>
  <c r="BI84" i="132"/>
  <c r="BG40" i="132"/>
  <c r="BI40" i="132"/>
  <c r="BE40" i="132"/>
  <c r="BE161" i="132"/>
  <c r="BG161" i="132"/>
  <c r="BI161" i="132"/>
  <c r="BG67" i="132"/>
  <c r="BI67" i="132"/>
  <c r="BE67" i="132"/>
  <c r="BE130" i="132"/>
  <c r="BG130" i="132"/>
  <c r="BI130" i="132"/>
  <c r="BE92" i="132"/>
  <c r="BG92" i="132"/>
  <c r="BI92" i="132"/>
  <c r="AH45" i="132"/>
  <c r="C10" i="7" s="1"/>
  <c r="BE27" i="132"/>
  <c r="BG27" i="132"/>
  <c r="BI27" i="132"/>
  <c r="BE99" i="132"/>
  <c r="BG99" i="132"/>
  <c r="BI99" i="132"/>
  <c r="AH178" i="132"/>
  <c r="C16" i="7" s="1"/>
  <c r="BI26" i="132"/>
  <c r="BE26" i="132"/>
  <c r="BG26" i="132"/>
  <c r="BE165" i="132"/>
  <c r="BG165" i="132"/>
  <c r="BI165" i="132"/>
  <c r="AH145" i="132"/>
  <c r="C11" i="7" s="1"/>
  <c r="BE12" i="132"/>
  <c r="BG12" i="132"/>
  <c r="BI12" i="132"/>
  <c r="BE66" i="132"/>
  <c r="BG66" i="132"/>
  <c r="BI66" i="132"/>
  <c r="BI22" i="132"/>
  <c r="BE22" i="132"/>
  <c r="BG22" i="132"/>
  <c r="BE174" i="132"/>
  <c r="BG174" i="132"/>
  <c r="BI174" i="132"/>
  <c r="BI164" i="132"/>
  <c r="BE164" i="132"/>
  <c r="BG164" i="132"/>
  <c r="BE65" i="132"/>
  <c r="BG65" i="132"/>
  <c r="BI65" i="132"/>
  <c r="BI104" i="132"/>
  <c r="BE104" i="132"/>
  <c r="BG104" i="132"/>
  <c r="BE141" i="132"/>
  <c r="BG141" i="132"/>
  <c r="BI141" i="132"/>
  <c r="BE60" i="132"/>
  <c r="BG60" i="132"/>
  <c r="BI60" i="132"/>
  <c r="BE119" i="132"/>
  <c r="BG119" i="132"/>
  <c r="BI119" i="132"/>
  <c r="BE118" i="132"/>
  <c r="BG118" i="132"/>
  <c r="BI118" i="132"/>
  <c r="BE157" i="132"/>
  <c r="BG157" i="132"/>
  <c r="BI157" i="132"/>
  <c r="BE95" i="132"/>
  <c r="BG95" i="132"/>
  <c r="BI95" i="132"/>
  <c r="BI110" i="132"/>
  <c r="BE110" i="132"/>
  <c r="BG110" i="132"/>
  <c r="BI74" i="132"/>
  <c r="BE74" i="132"/>
  <c r="BG74" i="132"/>
  <c r="BI96" i="132"/>
  <c r="BE96" i="132"/>
  <c r="BG96" i="132"/>
  <c r="BE134" i="132"/>
  <c r="BG134" i="132"/>
  <c r="BI134" i="132"/>
  <c r="BI127" i="132"/>
  <c r="BE127" i="132"/>
  <c r="BG127" i="132"/>
  <c r="BE103" i="132"/>
  <c r="BG103" i="132"/>
  <c r="BI103" i="132"/>
  <c r="BI131" i="132"/>
  <c r="BE131" i="132"/>
  <c r="BG131" i="132"/>
  <c r="BE73" i="132"/>
  <c r="BG73" i="132"/>
  <c r="BI73" i="132"/>
  <c r="BI81" i="132"/>
  <c r="BE81" i="132"/>
  <c r="BG81" i="132"/>
  <c r="BE88" i="132"/>
  <c r="BG88" i="132"/>
  <c r="BI88" i="132"/>
  <c r="BE126" i="132"/>
  <c r="BG126" i="132"/>
  <c r="BI126" i="132"/>
  <c r="BI175" i="132"/>
  <c r="BE175" i="132"/>
  <c r="BG175" i="132"/>
  <c r="BI143" i="132"/>
  <c r="BE143" i="132"/>
  <c r="BG143" i="132"/>
  <c r="BE122" i="132"/>
  <c r="BG122" i="132"/>
  <c r="BI122" i="132"/>
  <c r="BI114" i="132"/>
  <c r="BE114" i="132"/>
  <c r="BG114" i="132"/>
  <c r="BG17" i="132"/>
  <c r="BI17" i="132"/>
  <c r="BE17" i="132"/>
  <c r="BI63" i="132"/>
  <c r="BE63" i="132"/>
  <c r="BG63" i="132"/>
  <c r="BE79" i="132"/>
  <c r="BG79" i="132"/>
  <c r="BI79" i="132"/>
  <c r="BE69" i="132"/>
  <c r="BG69" i="132"/>
  <c r="BI69" i="132"/>
  <c r="BE16" i="132"/>
  <c r="BG16" i="132"/>
  <c r="BI16" i="132"/>
  <c r="BE139" i="132"/>
  <c r="BG139" i="132"/>
  <c r="BI139" i="132"/>
  <c r="BI89" i="132"/>
  <c r="BE89" i="132"/>
  <c r="BG89" i="132"/>
  <c r="BG142" i="132"/>
  <c r="BI142" i="132"/>
  <c r="BE142" i="132"/>
  <c r="BI123" i="132"/>
  <c r="BE123" i="132"/>
  <c r="BG123" i="132"/>
  <c r="BI85" i="132"/>
  <c r="BE85" i="132"/>
  <c r="BG85" i="132"/>
  <c r="BG42" i="132"/>
  <c r="BE42" i="132"/>
  <c r="BI42" i="132"/>
  <c r="E311" i="3"/>
  <c r="E306" i="3"/>
  <c r="E278" i="3"/>
  <c r="E130" i="3"/>
  <c r="E31" i="3"/>
  <c r="E29" i="3"/>
  <c r="E28" i="3"/>
  <c r="I332" i="2"/>
  <c r="I328" i="2"/>
  <c r="I334" i="2" s="1"/>
  <c r="I322" i="2"/>
  <c r="I318" i="2"/>
  <c r="I302" i="2"/>
  <c r="I297" i="2"/>
  <c r="I289" i="2"/>
  <c r="I285" i="2"/>
  <c r="I266" i="2"/>
  <c r="I242" i="2"/>
  <c r="I238" i="2"/>
  <c r="I233" i="2"/>
  <c r="I216" i="2"/>
  <c r="I202" i="2"/>
  <c r="I188" i="2"/>
  <c r="I180" i="2"/>
  <c r="I174" i="2"/>
  <c r="I166" i="2"/>
  <c r="I161" i="2"/>
  <c r="I149" i="2"/>
  <c r="I152" i="2" s="1"/>
  <c r="I142" i="2"/>
  <c r="I145" i="2" s="1"/>
  <c r="I133" i="2"/>
  <c r="I124" i="2"/>
  <c r="I120" i="2"/>
  <c r="I114" i="2"/>
  <c r="I105" i="2"/>
  <c r="I98" i="2"/>
  <c r="I92" i="2"/>
  <c r="I88" i="2"/>
  <c r="I76" i="2"/>
  <c r="I48" i="2"/>
  <c r="I43" i="2"/>
  <c r="I34" i="2"/>
  <c r="B8" i="131"/>
  <c r="I218" i="2" s="1"/>
  <c r="I229" i="2" s="1"/>
  <c r="B6" i="131"/>
  <c r="I57" i="2" s="1"/>
  <c r="BI53" i="132" l="1"/>
  <c r="BI55" i="132" s="1"/>
  <c r="BG53" i="132"/>
  <c r="BG55" i="132" s="1"/>
  <c r="BG178" i="132"/>
  <c r="BE48" i="132"/>
  <c r="BE50" i="132" s="1"/>
  <c r="BG48" i="132"/>
  <c r="BG50" i="132" s="1"/>
  <c r="I71" i="2"/>
  <c r="I100" i="2" s="1"/>
  <c r="J57" i="2"/>
  <c r="BI178" i="132"/>
  <c r="BE178" i="132"/>
  <c r="BI145" i="132"/>
  <c r="BI46" i="132"/>
  <c r="BG145" i="132"/>
  <c r="BG46" i="132"/>
  <c r="BE145" i="132"/>
  <c r="BE46" i="132"/>
  <c r="I50" i="2"/>
  <c r="I135" i="2"/>
  <c r="I291" i="2"/>
  <c r="I176" i="2"/>
  <c r="F11" i="131"/>
  <c r="BI196" i="132" l="1"/>
  <c r="BE196" i="132"/>
  <c r="BG196" i="132"/>
  <c r="H11" i="131"/>
  <c r="B10" i="131" s="1"/>
  <c r="I194" i="2" s="1"/>
  <c r="I198" i="2" s="1"/>
  <c r="I268" i="2" s="1"/>
  <c r="B7" i="131"/>
  <c r="I304" i="2" s="1"/>
  <c r="I310" i="2" s="1"/>
  <c r="I324" i="2" s="1"/>
  <c r="BK196" i="132" l="1"/>
  <c r="F7" i="124"/>
  <c r="F6" i="124"/>
  <c r="F5" i="124"/>
  <c r="N169" i="130" l="1"/>
  <c r="L169" i="130"/>
  <c r="K169" i="130"/>
  <c r="H169" i="130"/>
  <c r="F169" i="130"/>
  <c r="E169" i="130"/>
  <c r="N168" i="130"/>
  <c r="L168" i="130"/>
  <c r="K168" i="130"/>
  <c r="H168" i="130"/>
  <c r="F168" i="130"/>
  <c r="E168" i="130"/>
  <c r="N167" i="130"/>
  <c r="L167" i="130"/>
  <c r="K167" i="130"/>
  <c r="H167" i="130"/>
  <c r="F167" i="130"/>
  <c r="E167" i="130"/>
  <c r="N166" i="130"/>
  <c r="L166" i="130"/>
  <c r="K166" i="130"/>
  <c r="H166" i="130"/>
  <c r="F166" i="130"/>
  <c r="E166" i="130"/>
  <c r="N160" i="130"/>
  <c r="L160" i="130"/>
  <c r="K160" i="130"/>
  <c r="H160" i="130"/>
  <c r="F160" i="130"/>
  <c r="E160" i="130"/>
  <c r="N158" i="130"/>
  <c r="L158" i="130"/>
  <c r="K158" i="130"/>
  <c r="H158" i="130"/>
  <c r="E158" i="130"/>
  <c r="N157" i="130"/>
  <c r="L157" i="130"/>
  <c r="K157" i="130"/>
  <c r="H157" i="130"/>
  <c r="F157" i="130"/>
  <c r="E157" i="130"/>
  <c r="N156" i="130"/>
  <c r="L156" i="130"/>
  <c r="K156" i="130"/>
  <c r="H156" i="130"/>
  <c r="F156" i="130"/>
  <c r="E156" i="130"/>
  <c r="N155" i="130"/>
  <c r="L155" i="130"/>
  <c r="K155" i="130"/>
  <c r="H155" i="130"/>
  <c r="F155" i="130"/>
  <c r="E155" i="130"/>
  <c r="N154" i="130"/>
  <c r="L154" i="130"/>
  <c r="K154" i="130"/>
  <c r="H154" i="130"/>
  <c r="F154" i="130"/>
  <c r="E154" i="130"/>
  <c r="N153" i="130"/>
  <c r="L153" i="130"/>
  <c r="K153" i="130"/>
  <c r="H153" i="130"/>
  <c r="F153" i="130"/>
  <c r="E153" i="130"/>
  <c r="N152" i="130"/>
  <c r="L152" i="130"/>
  <c r="K152" i="130"/>
  <c r="H152" i="130"/>
  <c r="F152" i="130"/>
  <c r="E152" i="130"/>
  <c r="N151" i="130"/>
  <c r="L151" i="130"/>
  <c r="K151" i="130"/>
  <c r="H151" i="130"/>
  <c r="F151" i="130"/>
  <c r="E151" i="130"/>
  <c r="N150" i="130"/>
  <c r="L150" i="130"/>
  <c r="K150" i="130"/>
  <c r="H150" i="130"/>
  <c r="F150" i="130"/>
  <c r="E150" i="130"/>
  <c r="N149" i="130"/>
  <c r="L149" i="130"/>
  <c r="K149" i="130"/>
  <c r="H149" i="130"/>
  <c r="F149" i="130"/>
  <c r="E149" i="130"/>
  <c r="N148" i="130"/>
  <c r="L148" i="130"/>
  <c r="K148" i="130"/>
  <c r="H148" i="130"/>
  <c r="F148" i="130"/>
  <c r="E148" i="130"/>
  <c r="N147" i="130"/>
  <c r="L147" i="130"/>
  <c r="K147" i="130"/>
  <c r="H147" i="130"/>
  <c r="F147" i="130"/>
  <c r="E147" i="130"/>
  <c r="N146" i="130"/>
  <c r="L146" i="130"/>
  <c r="K146" i="130"/>
  <c r="H146" i="130"/>
  <c r="F146" i="130"/>
  <c r="E146" i="130"/>
  <c r="N140" i="130"/>
  <c r="L140" i="130"/>
  <c r="K140" i="130"/>
  <c r="H140" i="130"/>
  <c r="F140" i="130"/>
  <c r="E140" i="130"/>
  <c r="N139" i="130"/>
  <c r="L139" i="130"/>
  <c r="K139" i="130"/>
  <c r="H139" i="130"/>
  <c r="F139" i="130"/>
  <c r="E139" i="130"/>
  <c r="N129" i="130"/>
  <c r="L129" i="130"/>
  <c r="K129" i="130"/>
  <c r="H129" i="130"/>
  <c r="E129" i="130"/>
  <c r="N128" i="130"/>
  <c r="L128" i="130"/>
  <c r="K128" i="130"/>
  <c r="H128" i="130"/>
  <c r="F128" i="130"/>
  <c r="E128" i="130"/>
  <c r="N126" i="130"/>
  <c r="L126" i="130"/>
  <c r="K126" i="130"/>
  <c r="H126" i="130"/>
  <c r="F126" i="130"/>
  <c r="E126" i="130"/>
  <c r="N125" i="130"/>
  <c r="L125" i="130"/>
  <c r="K125" i="130"/>
  <c r="H125" i="130"/>
  <c r="F125" i="130"/>
  <c r="E125" i="130"/>
  <c r="N124" i="130"/>
  <c r="L124" i="130"/>
  <c r="K124" i="130"/>
  <c r="H124" i="130"/>
  <c r="F124" i="130"/>
  <c r="E124" i="130"/>
  <c r="N123" i="130"/>
  <c r="L123" i="130"/>
  <c r="K123" i="130"/>
  <c r="H123" i="130"/>
  <c r="F123" i="130"/>
  <c r="E123" i="130"/>
  <c r="N122" i="130"/>
  <c r="L122" i="130"/>
  <c r="K122" i="130"/>
  <c r="H122" i="130"/>
  <c r="F122" i="130"/>
  <c r="E122" i="130"/>
  <c r="N121" i="130"/>
  <c r="L121" i="130"/>
  <c r="K121" i="130"/>
  <c r="H121" i="130"/>
  <c r="F121" i="130"/>
  <c r="E121" i="130"/>
  <c r="N120" i="130"/>
  <c r="L120" i="130"/>
  <c r="K120" i="130"/>
  <c r="H120" i="130"/>
  <c r="F120" i="130"/>
  <c r="E120" i="130"/>
  <c r="N119" i="130"/>
  <c r="L119" i="130"/>
  <c r="K119" i="130"/>
  <c r="H119" i="130"/>
  <c r="F119" i="130"/>
  <c r="E119" i="130"/>
  <c r="E127" i="130"/>
  <c r="O127" i="130" s="1"/>
  <c r="F127" i="130"/>
  <c r="H127" i="130"/>
  <c r="K127" i="130"/>
  <c r="L127" i="130"/>
  <c r="R127" i="130" s="1"/>
  <c r="N112" i="130"/>
  <c r="N114" i="130" s="1"/>
  <c r="L112" i="130"/>
  <c r="L114" i="130" s="1"/>
  <c r="K112" i="130"/>
  <c r="K114" i="130" s="1"/>
  <c r="H112" i="130"/>
  <c r="H114" i="130" s="1"/>
  <c r="F112" i="130"/>
  <c r="F114" i="130" s="1"/>
  <c r="E112" i="130"/>
  <c r="N107" i="130"/>
  <c r="L107" i="130"/>
  <c r="K107" i="130"/>
  <c r="H107" i="130"/>
  <c r="F107" i="130"/>
  <c r="E107" i="130"/>
  <c r="N106" i="130"/>
  <c r="L106" i="130"/>
  <c r="K106" i="130"/>
  <c r="H106" i="130"/>
  <c r="F106" i="130"/>
  <c r="E106" i="130"/>
  <c r="N53" i="130"/>
  <c r="L53" i="130"/>
  <c r="K53" i="130"/>
  <c r="H53" i="130"/>
  <c r="F53" i="130"/>
  <c r="E53" i="130"/>
  <c r="N99" i="130"/>
  <c r="L99" i="130"/>
  <c r="K99" i="130"/>
  <c r="H99" i="130"/>
  <c r="F99" i="130"/>
  <c r="E99" i="130"/>
  <c r="N98" i="130"/>
  <c r="L98" i="130"/>
  <c r="K98" i="130"/>
  <c r="H98" i="130"/>
  <c r="F98" i="130"/>
  <c r="E98" i="130"/>
  <c r="N97" i="130"/>
  <c r="L97" i="130"/>
  <c r="K97" i="130"/>
  <c r="H97" i="130"/>
  <c r="F97" i="130"/>
  <c r="E97" i="130"/>
  <c r="N96" i="130"/>
  <c r="L96" i="130"/>
  <c r="K96" i="130"/>
  <c r="H96" i="130"/>
  <c r="F96" i="130"/>
  <c r="E96" i="130"/>
  <c r="N95" i="130"/>
  <c r="L95" i="130"/>
  <c r="K95" i="130"/>
  <c r="H95" i="130"/>
  <c r="F95" i="130"/>
  <c r="E95" i="130"/>
  <c r="N52" i="130"/>
  <c r="L52" i="130"/>
  <c r="K52" i="130"/>
  <c r="H52" i="130"/>
  <c r="F52" i="130"/>
  <c r="E52" i="130"/>
  <c r="N94" i="130"/>
  <c r="L94" i="130"/>
  <c r="K94" i="130"/>
  <c r="H94" i="130"/>
  <c r="F94" i="130"/>
  <c r="E94" i="130"/>
  <c r="N89" i="130"/>
  <c r="N91" i="130" s="1"/>
  <c r="L89" i="130"/>
  <c r="K89" i="130"/>
  <c r="K91" i="130" s="1"/>
  <c r="H89" i="130"/>
  <c r="H91" i="130" s="1"/>
  <c r="F89" i="130"/>
  <c r="F91" i="130" s="1"/>
  <c r="E89" i="130"/>
  <c r="N84" i="130"/>
  <c r="N86" i="130" s="1"/>
  <c r="L84" i="130"/>
  <c r="K84" i="130"/>
  <c r="K86" i="130" s="1"/>
  <c r="H84" i="130"/>
  <c r="H86" i="130" s="1"/>
  <c r="F84" i="130"/>
  <c r="F86" i="130" s="1"/>
  <c r="E84" i="130"/>
  <c r="N79" i="130"/>
  <c r="N81" i="130" s="1"/>
  <c r="L79" i="130"/>
  <c r="L81" i="130" s="1"/>
  <c r="K79" i="130"/>
  <c r="H79" i="130"/>
  <c r="F79" i="130"/>
  <c r="E79" i="130"/>
  <c r="N74" i="130"/>
  <c r="L74" i="130"/>
  <c r="K74" i="130"/>
  <c r="H74" i="130"/>
  <c r="F74" i="130"/>
  <c r="E74" i="130"/>
  <c r="N73" i="130"/>
  <c r="L73" i="130"/>
  <c r="K73" i="130"/>
  <c r="H73" i="130"/>
  <c r="F73" i="130"/>
  <c r="E73" i="130"/>
  <c r="N72" i="130"/>
  <c r="L72" i="130"/>
  <c r="K72" i="130"/>
  <c r="H72" i="130"/>
  <c r="F72" i="130"/>
  <c r="E72" i="130"/>
  <c r="N71" i="130"/>
  <c r="L71" i="130"/>
  <c r="K71" i="130"/>
  <c r="H71" i="130"/>
  <c r="F71" i="130"/>
  <c r="E71" i="130"/>
  <c r="N70" i="130"/>
  <c r="L70" i="130"/>
  <c r="K70" i="130"/>
  <c r="H70" i="130"/>
  <c r="F70" i="130"/>
  <c r="E70" i="130"/>
  <c r="N69" i="130"/>
  <c r="L69" i="130"/>
  <c r="K69" i="130"/>
  <c r="H69" i="130"/>
  <c r="F69" i="130"/>
  <c r="E69" i="130"/>
  <c r="N68" i="130"/>
  <c r="L68" i="130"/>
  <c r="K68" i="130"/>
  <c r="H68" i="130"/>
  <c r="F68" i="130"/>
  <c r="E68" i="130"/>
  <c r="N67" i="130"/>
  <c r="L67" i="130"/>
  <c r="K67" i="130"/>
  <c r="H67" i="130"/>
  <c r="F67" i="130"/>
  <c r="E67" i="130"/>
  <c r="N66" i="130"/>
  <c r="L66" i="130"/>
  <c r="K66" i="130"/>
  <c r="H66" i="130"/>
  <c r="F66" i="130"/>
  <c r="E66" i="130"/>
  <c r="N65" i="130"/>
  <c r="L65" i="130"/>
  <c r="K65" i="130"/>
  <c r="H65" i="130"/>
  <c r="F65" i="130"/>
  <c r="E65" i="130"/>
  <c r="N64" i="130"/>
  <c r="L64" i="130"/>
  <c r="K64" i="130"/>
  <c r="H64" i="130"/>
  <c r="F64" i="130"/>
  <c r="E64" i="130"/>
  <c r="N63" i="130"/>
  <c r="L63" i="130"/>
  <c r="K63" i="130"/>
  <c r="H63" i="130"/>
  <c r="F63" i="130"/>
  <c r="E63" i="130"/>
  <c r="N62" i="130"/>
  <c r="L62" i="130"/>
  <c r="K62" i="130"/>
  <c r="H62" i="130"/>
  <c r="F62" i="130"/>
  <c r="E62" i="130"/>
  <c r="N61" i="130"/>
  <c r="L61" i="130"/>
  <c r="K61" i="130"/>
  <c r="H61" i="130"/>
  <c r="F61" i="130"/>
  <c r="E61" i="130"/>
  <c r="N60" i="130"/>
  <c r="L60" i="130"/>
  <c r="K60" i="130"/>
  <c r="H60" i="130"/>
  <c r="F60" i="130"/>
  <c r="E60" i="130"/>
  <c r="N59" i="130"/>
  <c r="L59" i="130"/>
  <c r="K59" i="130"/>
  <c r="H59" i="130"/>
  <c r="F59" i="130"/>
  <c r="E59" i="130"/>
  <c r="N58" i="130"/>
  <c r="L58" i="130"/>
  <c r="K58" i="130"/>
  <c r="H58" i="130"/>
  <c r="F58" i="130"/>
  <c r="E58" i="130"/>
  <c r="E18" i="130"/>
  <c r="F18" i="130"/>
  <c r="H18" i="130"/>
  <c r="K18" i="130"/>
  <c r="L18" i="130"/>
  <c r="N18" i="130"/>
  <c r="E19" i="130"/>
  <c r="F19" i="130"/>
  <c r="H19" i="130"/>
  <c r="K19" i="130"/>
  <c r="L19" i="130"/>
  <c r="N19" i="130"/>
  <c r="E20" i="130"/>
  <c r="F20" i="130"/>
  <c r="H20" i="130"/>
  <c r="K20" i="130"/>
  <c r="L20" i="130"/>
  <c r="N20" i="130"/>
  <c r="E21" i="130"/>
  <c r="F21" i="130"/>
  <c r="H21" i="130"/>
  <c r="K21" i="130"/>
  <c r="L21" i="130"/>
  <c r="N21" i="130"/>
  <c r="E22" i="130"/>
  <c r="F22" i="130"/>
  <c r="H22" i="130"/>
  <c r="K22" i="130"/>
  <c r="L22" i="130"/>
  <c r="N22" i="130"/>
  <c r="E23" i="130"/>
  <c r="F23" i="130"/>
  <c r="H23" i="130"/>
  <c r="K23" i="130"/>
  <c r="L23" i="130"/>
  <c r="N23" i="130"/>
  <c r="E24" i="130"/>
  <c r="F24" i="130"/>
  <c r="H24" i="130"/>
  <c r="K24" i="130"/>
  <c r="L24" i="130"/>
  <c r="N24" i="130"/>
  <c r="E25" i="130"/>
  <c r="F25" i="130"/>
  <c r="H25" i="130"/>
  <c r="K25" i="130"/>
  <c r="L25" i="130"/>
  <c r="N25" i="130"/>
  <c r="E26" i="130"/>
  <c r="F26" i="130"/>
  <c r="H26" i="130"/>
  <c r="K26" i="130"/>
  <c r="L26" i="130"/>
  <c r="N26" i="130"/>
  <c r="E27" i="130"/>
  <c r="F27" i="130"/>
  <c r="H27" i="130"/>
  <c r="K27" i="130"/>
  <c r="L27" i="130"/>
  <c r="N27" i="130"/>
  <c r="E28" i="130"/>
  <c r="F28" i="130"/>
  <c r="H28" i="130"/>
  <c r="K28" i="130"/>
  <c r="L28" i="130"/>
  <c r="N28" i="130"/>
  <c r="E29" i="130"/>
  <c r="F29" i="130"/>
  <c r="H29" i="130"/>
  <c r="K29" i="130"/>
  <c r="L29" i="130"/>
  <c r="N29" i="130"/>
  <c r="E30" i="130"/>
  <c r="F30" i="130"/>
  <c r="H30" i="130"/>
  <c r="K30" i="130"/>
  <c r="L30" i="130"/>
  <c r="N30" i="130"/>
  <c r="E31" i="130"/>
  <c r="F31" i="130"/>
  <c r="H31" i="130"/>
  <c r="K31" i="130"/>
  <c r="L31" i="130"/>
  <c r="N31" i="130"/>
  <c r="E32" i="130"/>
  <c r="F32" i="130"/>
  <c r="H32" i="130"/>
  <c r="K32" i="130"/>
  <c r="L32" i="130"/>
  <c r="N32" i="130"/>
  <c r="E33" i="130"/>
  <c r="F33" i="130"/>
  <c r="H33" i="130"/>
  <c r="K33" i="130"/>
  <c r="L33" i="130"/>
  <c r="N33" i="130"/>
  <c r="E34" i="130"/>
  <c r="F34" i="130"/>
  <c r="H34" i="130"/>
  <c r="K34" i="130"/>
  <c r="L34" i="130"/>
  <c r="N34" i="130"/>
  <c r="E35" i="130"/>
  <c r="F35" i="130"/>
  <c r="H35" i="130"/>
  <c r="K35" i="130"/>
  <c r="L35" i="130"/>
  <c r="N35" i="130"/>
  <c r="E36" i="130"/>
  <c r="F36" i="130"/>
  <c r="H36" i="130"/>
  <c r="K36" i="130"/>
  <c r="L36" i="130"/>
  <c r="N36" i="130"/>
  <c r="E37" i="130"/>
  <c r="F37" i="130"/>
  <c r="H37" i="130"/>
  <c r="K37" i="130"/>
  <c r="L37" i="130"/>
  <c r="N37" i="130"/>
  <c r="E38" i="130"/>
  <c r="F38" i="130"/>
  <c r="H38" i="130"/>
  <c r="K38" i="130"/>
  <c r="L38" i="130"/>
  <c r="N38" i="130"/>
  <c r="E39" i="130"/>
  <c r="F39" i="130"/>
  <c r="H39" i="130"/>
  <c r="I39" i="130" s="1"/>
  <c r="K39" i="130"/>
  <c r="L39" i="130"/>
  <c r="N39" i="130"/>
  <c r="E40" i="130"/>
  <c r="F40" i="130"/>
  <c r="H40" i="130"/>
  <c r="K40" i="130"/>
  <c r="L40" i="130"/>
  <c r="R40" i="130" s="1"/>
  <c r="N40" i="130"/>
  <c r="E41" i="130"/>
  <c r="F41" i="130"/>
  <c r="H41" i="130"/>
  <c r="K41" i="130"/>
  <c r="L41" i="130"/>
  <c r="N41" i="130"/>
  <c r="E42" i="130"/>
  <c r="F42" i="130"/>
  <c r="H42" i="130"/>
  <c r="K42" i="130"/>
  <c r="L42" i="130"/>
  <c r="N42" i="130"/>
  <c r="E43" i="130"/>
  <c r="F43" i="130"/>
  <c r="H43" i="130"/>
  <c r="K43" i="130"/>
  <c r="L43" i="130"/>
  <c r="N43" i="130"/>
  <c r="E44" i="130"/>
  <c r="F44" i="130"/>
  <c r="H44" i="130"/>
  <c r="K44" i="130"/>
  <c r="L44" i="130"/>
  <c r="R44" i="130" s="1"/>
  <c r="N44" i="130"/>
  <c r="E45" i="130"/>
  <c r="F45" i="130"/>
  <c r="H45" i="130"/>
  <c r="K45" i="130"/>
  <c r="L45" i="130"/>
  <c r="N45" i="130"/>
  <c r="E46" i="130"/>
  <c r="F46" i="130"/>
  <c r="H46" i="130"/>
  <c r="K46" i="130"/>
  <c r="L46" i="130"/>
  <c r="N46" i="130"/>
  <c r="E47" i="130"/>
  <c r="F47" i="130"/>
  <c r="H47" i="130"/>
  <c r="K47" i="130"/>
  <c r="L47" i="130"/>
  <c r="N47" i="130"/>
  <c r="E48" i="130"/>
  <c r="F48" i="130"/>
  <c r="H48" i="130"/>
  <c r="K48" i="130"/>
  <c r="L48" i="130"/>
  <c r="N48" i="130"/>
  <c r="E49" i="130"/>
  <c r="F49" i="130"/>
  <c r="H49" i="130"/>
  <c r="K49" i="130"/>
  <c r="L49" i="130"/>
  <c r="N49" i="130"/>
  <c r="E50" i="130"/>
  <c r="F50" i="130"/>
  <c r="H50" i="130"/>
  <c r="K50" i="130"/>
  <c r="L50" i="130"/>
  <c r="N50" i="130"/>
  <c r="E51" i="130"/>
  <c r="F51" i="130"/>
  <c r="H51" i="130"/>
  <c r="K51" i="130"/>
  <c r="L51" i="130"/>
  <c r="N51" i="130"/>
  <c r="R126" i="130" l="1"/>
  <c r="R139" i="130"/>
  <c r="I167" i="130"/>
  <c r="I23" i="130"/>
  <c r="Q127" i="130"/>
  <c r="O128" i="130"/>
  <c r="Q128" i="130" s="1"/>
  <c r="O146" i="130"/>
  <c r="Q146" i="130" s="1"/>
  <c r="I28" i="130"/>
  <c r="I20" i="130"/>
  <c r="I155" i="130"/>
  <c r="R70" i="130"/>
  <c r="R74" i="130"/>
  <c r="G84" i="130"/>
  <c r="G86" i="130" s="1"/>
  <c r="R94" i="130"/>
  <c r="G95" i="130"/>
  <c r="R97" i="130"/>
  <c r="R106" i="130"/>
  <c r="G38" i="130"/>
  <c r="G22" i="130"/>
  <c r="R61" i="130"/>
  <c r="R65" i="130"/>
  <c r="R69" i="130"/>
  <c r="R73" i="130"/>
  <c r="R89" i="130"/>
  <c r="R91" i="130" s="1"/>
  <c r="O52" i="130"/>
  <c r="P52" i="130" s="1"/>
  <c r="R96" i="130"/>
  <c r="G98" i="130"/>
  <c r="R53" i="130"/>
  <c r="R60" i="130"/>
  <c r="R68" i="130"/>
  <c r="R72" i="130"/>
  <c r="R84" i="130"/>
  <c r="R86" i="130" s="1"/>
  <c r="O94" i="130"/>
  <c r="Q94" i="130" s="1"/>
  <c r="O97" i="130"/>
  <c r="P97" i="130" s="1"/>
  <c r="R99" i="130"/>
  <c r="I44" i="130"/>
  <c r="I36" i="130"/>
  <c r="G24" i="130"/>
  <c r="I61" i="130"/>
  <c r="I65" i="130"/>
  <c r="I69" i="130"/>
  <c r="I73" i="130"/>
  <c r="I89" i="130"/>
  <c r="I91" i="130" s="1"/>
  <c r="I50" i="130"/>
  <c r="O122" i="130"/>
  <c r="Q122" i="130" s="1"/>
  <c r="I140" i="130"/>
  <c r="I149" i="130"/>
  <c r="O96" i="130"/>
  <c r="Q96" i="130" s="1"/>
  <c r="O53" i="130"/>
  <c r="Q53" i="130" s="1"/>
  <c r="O126" i="130"/>
  <c r="Q126" i="130" s="1"/>
  <c r="I59" i="130"/>
  <c r="I63" i="130"/>
  <c r="I67" i="130"/>
  <c r="I71" i="130"/>
  <c r="I151" i="130"/>
  <c r="I31" i="130"/>
  <c r="I49" i="130"/>
  <c r="I37" i="130"/>
  <c r="I29" i="130"/>
  <c r="I47" i="130"/>
  <c r="I45" i="130"/>
  <c r="I42" i="130"/>
  <c r="G152" i="130"/>
  <c r="G156" i="130"/>
  <c r="I27" i="130"/>
  <c r="P127" i="130"/>
  <c r="I169" i="130"/>
  <c r="G147" i="130"/>
  <c r="G151" i="130"/>
  <c r="O153" i="130"/>
  <c r="Q153" i="130" s="1"/>
  <c r="G155" i="130"/>
  <c r="F109" i="130"/>
  <c r="I157" i="130"/>
  <c r="I153" i="130"/>
  <c r="K101" i="130"/>
  <c r="K109" i="130"/>
  <c r="K131" i="130"/>
  <c r="N162" i="130"/>
  <c r="F171" i="130"/>
  <c r="I79" i="130"/>
  <c r="I107" i="130"/>
  <c r="O120" i="130"/>
  <c r="Q120" i="130" s="1"/>
  <c r="O124" i="130"/>
  <c r="Q124" i="130" s="1"/>
  <c r="I19" i="130"/>
  <c r="H171" i="130"/>
  <c r="I41" i="130"/>
  <c r="I32" i="130"/>
  <c r="G19" i="130"/>
  <c r="F101" i="130"/>
  <c r="F131" i="130"/>
  <c r="R121" i="130"/>
  <c r="R125" i="130"/>
  <c r="R148" i="130"/>
  <c r="I150" i="130"/>
  <c r="R152" i="130"/>
  <c r="R156" i="130"/>
  <c r="R166" i="130"/>
  <c r="I33" i="130"/>
  <c r="H101" i="130"/>
  <c r="R52" i="130"/>
  <c r="R98" i="130"/>
  <c r="H109" i="130"/>
  <c r="R107" i="130"/>
  <c r="H131" i="130"/>
  <c r="R124" i="130"/>
  <c r="N143" i="130"/>
  <c r="N171" i="130"/>
  <c r="I43" i="130"/>
  <c r="I35" i="130"/>
  <c r="I26" i="130"/>
  <c r="G25" i="130"/>
  <c r="G21" i="130"/>
  <c r="L131" i="130"/>
  <c r="O121" i="130"/>
  <c r="P121" i="130" s="1"/>
  <c r="G149" i="130"/>
  <c r="O151" i="130"/>
  <c r="Q151" i="130" s="1"/>
  <c r="G153" i="130"/>
  <c r="O155" i="130"/>
  <c r="Q155" i="130" s="1"/>
  <c r="G157" i="130"/>
  <c r="K171" i="130"/>
  <c r="H162" i="130"/>
  <c r="G30" i="130"/>
  <c r="I18" i="130"/>
  <c r="N101" i="130"/>
  <c r="N109" i="130"/>
  <c r="R119" i="130"/>
  <c r="R123" i="130"/>
  <c r="R128" i="130"/>
  <c r="R150" i="130"/>
  <c r="R154" i="130"/>
  <c r="R158" i="130"/>
  <c r="R168" i="130"/>
  <c r="R45" i="130"/>
  <c r="R39" i="130"/>
  <c r="G34" i="130"/>
  <c r="G26" i="130"/>
  <c r="I21" i="130"/>
  <c r="G18" i="130"/>
  <c r="G127" i="130"/>
  <c r="R122" i="130"/>
  <c r="I139" i="130"/>
  <c r="R146" i="130"/>
  <c r="I148" i="130"/>
  <c r="I152" i="130"/>
  <c r="I156" i="130"/>
  <c r="I166" i="130"/>
  <c r="L86" i="130"/>
  <c r="N131" i="130"/>
  <c r="L171" i="130"/>
  <c r="I38" i="130"/>
  <c r="I30" i="130"/>
  <c r="I22" i="130"/>
  <c r="I58" i="130"/>
  <c r="I62" i="130"/>
  <c r="R64" i="130"/>
  <c r="I66" i="130"/>
  <c r="I70" i="130"/>
  <c r="I74" i="130"/>
  <c r="R95" i="130"/>
  <c r="I106" i="130"/>
  <c r="R112" i="130"/>
  <c r="R114" i="130" s="1"/>
  <c r="G119" i="130"/>
  <c r="O123" i="130"/>
  <c r="Q123" i="130" s="1"/>
  <c r="G148" i="130"/>
  <c r="O150" i="130"/>
  <c r="Q150" i="130" s="1"/>
  <c r="O154" i="130"/>
  <c r="Q154" i="130" s="1"/>
  <c r="O158" i="130"/>
  <c r="Q158" i="130" s="1"/>
  <c r="G20" i="130"/>
  <c r="O129" i="130"/>
  <c r="Q129" i="130" s="1"/>
  <c r="R140" i="130"/>
  <c r="O147" i="130"/>
  <c r="Q147" i="130" s="1"/>
  <c r="R149" i="130"/>
  <c r="R153" i="130"/>
  <c r="R157" i="130"/>
  <c r="G160" i="130"/>
  <c r="R167" i="130"/>
  <c r="L109" i="130"/>
  <c r="R47" i="130"/>
  <c r="R41" i="130"/>
  <c r="I24" i="130"/>
  <c r="R59" i="130"/>
  <c r="R63" i="130"/>
  <c r="R67" i="130"/>
  <c r="R71" i="130"/>
  <c r="R79" i="130"/>
  <c r="R81" i="130" s="1"/>
  <c r="O149" i="130"/>
  <c r="Q149" i="130" s="1"/>
  <c r="O157" i="130"/>
  <c r="Q157" i="130" s="1"/>
  <c r="I25" i="130"/>
  <c r="R120" i="130"/>
  <c r="I154" i="130"/>
  <c r="I158" i="130"/>
  <c r="I168" i="130"/>
  <c r="L101" i="130"/>
  <c r="R48" i="130"/>
  <c r="I34" i="130"/>
  <c r="G23" i="130"/>
  <c r="R58" i="130"/>
  <c r="I60" i="130"/>
  <c r="R62" i="130"/>
  <c r="I64" i="130"/>
  <c r="R66" i="130"/>
  <c r="I68" i="130"/>
  <c r="I72" i="130"/>
  <c r="I99" i="130"/>
  <c r="I112" i="130"/>
  <c r="I114" i="130" s="1"/>
  <c r="O148" i="130"/>
  <c r="Q148" i="130" s="1"/>
  <c r="G150" i="130"/>
  <c r="O152" i="130"/>
  <c r="Q152" i="130" s="1"/>
  <c r="G154" i="130"/>
  <c r="O156" i="130"/>
  <c r="Q156" i="130" s="1"/>
  <c r="G158" i="130"/>
  <c r="G125" i="130"/>
  <c r="R129" i="130"/>
  <c r="R147" i="130"/>
  <c r="R151" i="130"/>
  <c r="R155" i="130"/>
  <c r="R160" i="130"/>
  <c r="R169" i="130"/>
  <c r="L91" i="130"/>
  <c r="G166" i="130"/>
  <c r="O166" i="130"/>
  <c r="G167" i="130"/>
  <c r="O167" i="130"/>
  <c r="Q167" i="130" s="1"/>
  <c r="G168" i="130"/>
  <c r="O168" i="130"/>
  <c r="W168" i="130" s="1"/>
  <c r="G169" i="130"/>
  <c r="O169" i="130"/>
  <c r="W169" i="130" s="1"/>
  <c r="O160" i="130"/>
  <c r="Q160" i="130" s="1"/>
  <c r="I160" i="130"/>
  <c r="G146" i="130"/>
  <c r="I146" i="130"/>
  <c r="I147" i="130"/>
  <c r="G139" i="130"/>
  <c r="O139" i="130"/>
  <c r="G140" i="130"/>
  <c r="O140" i="130"/>
  <c r="Q140" i="130" s="1"/>
  <c r="G128" i="130"/>
  <c r="G129" i="130"/>
  <c r="I128" i="130"/>
  <c r="I129" i="130"/>
  <c r="P122" i="130"/>
  <c r="G126" i="130"/>
  <c r="I119" i="130"/>
  <c r="I120" i="130"/>
  <c r="I121" i="130"/>
  <c r="I122" i="130"/>
  <c r="I123" i="130"/>
  <c r="I124" i="130"/>
  <c r="I125" i="130"/>
  <c r="I126" i="130"/>
  <c r="O119" i="130"/>
  <c r="G122" i="130"/>
  <c r="O125" i="130"/>
  <c r="G120" i="130"/>
  <c r="G121" i="130"/>
  <c r="G123" i="130"/>
  <c r="G124" i="130"/>
  <c r="I127" i="130"/>
  <c r="G112" i="130"/>
  <c r="O112" i="130"/>
  <c r="G106" i="130"/>
  <c r="O106" i="130"/>
  <c r="G107" i="130"/>
  <c r="O107" i="130"/>
  <c r="Q107" i="130" s="1"/>
  <c r="P96" i="130"/>
  <c r="O95" i="130"/>
  <c r="Q95" i="130" s="1"/>
  <c r="G99" i="130"/>
  <c r="G52" i="130"/>
  <c r="G96" i="130"/>
  <c r="G97" i="130"/>
  <c r="O98" i="130"/>
  <c r="Q98" i="130" s="1"/>
  <c r="O99" i="130"/>
  <c r="Q99" i="130" s="1"/>
  <c r="I94" i="130"/>
  <c r="I52" i="130"/>
  <c r="I95" i="130"/>
  <c r="I96" i="130"/>
  <c r="I97" i="130"/>
  <c r="I98" i="130"/>
  <c r="I53" i="130"/>
  <c r="G94" i="130"/>
  <c r="G53" i="130"/>
  <c r="G89" i="130"/>
  <c r="O89" i="130"/>
  <c r="O84" i="130"/>
  <c r="I84" i="130"/>
  <c r="G79" i="130"/>
  <c r="O79" i="130"/>
  <c r="G58" i="130"/>
  <c r="O58" i="130"/>
  <c r="Q58" i="130" s="1"/>
  <c r="G59" i="130"/>
  <c r="O59" i="130"/>
  <c r="Q59" i="130" s="1"/>
  <c r="G60" i="130"/>
  <c r="O60" i="130"/>
  <c r="Q60" i="130" s="1"/>
  <c r="G61" i="130"/>
  <c r="O61" i="130"/>
  <c r="Q61" i="130" s="1"/>
  <c r="G62" i="130"/>
  <c r="O62" i="130"/>
  <c r="Q62" i="130" s="1"/>
  <c r="G63" i="130"/>
  <c r="O63" i="130"/>
  <c r="Q63" i="130" s="1"/>
  <c r="G64" i="130"/>
  <c r="O64" i="130"/>
  <c r="Q64" i="130" s="1"/>
  <c r="G65" i="130"/>
  <c r="O65" i="130"/>
  <c r="Q65" i="130" s="1"/>
  <c r="G66" i="130"/>
  <c r="O66" i="130"/>
  <c r="Q66" i="130" s="1"/>
  <c r="G67" i="130"/>
  <c r="O67" i="130"/>
  <c r="Q67" i="130" s="1"/>
  <c r="G68" i="130"/>
  <c r="O68" i="130"/>
  <c r="Q68" i="130" s="1"/>
  <c r="G69" i="130"/>
  <c r="O69" i="130"/>
  <c r="Q69" i="130" s="1"/>
  <c r="G70" i="130"/>
  <c r="O70" i="130"/>
  <c r="Q70" i="130" s="1"/>
  <c r="G71" i="130"/>
  <c r="O71" i="130"/>
  <c r="Q71" i="130" s="1"/>
  <c r="G72" i="130"/>
  <c r="O72" i="130"/>
  <c r="Q72" i="130" s="1"/>
  <c r="G73" i="130"/>
  <c r="O73" i="130"/>
  <c r="Q73" i="130" s="1"/>
  <c r="G74" i="130"/>
  <c r="O74" i="130"/>
  <c r="Q74" i="130" s="1"/>
  <c r="G46" i="130"/>
  <c r="O46" i="130"/>
  <c r="Q46" i="130" s="1"/>
  <c r="R23" i="130"/>
  <c r="R21" i="130"/>
  <c r="R20" i="130"/>
  <c r="R19" i="130"/>
  <c r="R18" i="130"/>
  <c r="R22" i="130"/>
  <c r="G48" i="130"/>
  <c r="O48" i="130"/>
  <c r="Q48" i="130" s="1"/>
  <c r="R46" i="130"/>
  <c r="R38" i="130"/>
  <c r="R34" i="130"/>
  <c r="R30" i="130"/>
  <c r="R26" i="130"/>
  <c r="G51" i="130"/>
  <c r="O51" i="130"/>
  <c r="Q51" i="130" s="1"/>
  <c r="R35" i="130"/>
  <c r="R27" i="130"/>
  <c r="G40" i="130"/>
  <c r="O40" i="130"/>
  <c r="Q40" i="130" s="1"/>
  <c r="G37" i="130"/>
  <c r="G33" i="130"/>
  <c r="G29" i="130"/>
  <c r="G45" i="130"/>
  <c r="J45" i="130" s="1"/>
  <c r="M45" i="130" s="1"/>
  <c r="O45" i="130"/>
  <c r="Q45" i="130" s="1"/>
  <c r="R51" i="130"/>
  <c r="G50" i="130"/>
  <c r="O50" i="130"/>
  <c r="Q50" i="130" s="1"/>
  <c r="R43" i="130"/>
  <c r="G42" i="130"/>
  <c r="O42" i="130"/>
  <c r="Q42" i="130" s="1"/>
  <c r="G36" i="130"/>
  <c r="J36" i="130" s="1"/>
  <c r="M36" i="130" s="1"/>
  <c r="G32" i="130"/>
  <c r="G28" i="130"/>
  <c r="J28" i="130" s="1"/>
  <c r="M28" i="130" s="1"/>
  <c r="R37" i="130"/>
  <c r="R25" i="130"/>
  <c r="R33" i="130"/>
  <c r="R29" i="130"/>
  <c r="I51" i="130"/>
  <c r="G44" i="130"/>
  <c r="O44" i="130"/>
  <c r="Q44" i="130" s="1"/>
  <c r="G35" i="130"/>
  <c r="G31" i="130"/>
  <c r="J31" i="130" s="1"/>
  <c r="M31" i="130" s="1"/>
  <c r="G27" i="130"/>
  <c r="G43" i="130"/>
  <c r="O43" i="130"/>
  <c r="Q43" i="130" s="1"/>
  <c r="R31" i="130"/>
  <c r="R49" i="130"/>
  <c r="G47" i="130"/>
  <c r="O47" i="130"/>
  <c r="Q47" i="130" s="1"/>
  <c r="I46" i="130"/>
  <c r="G39" i="130"/>
  <c r="J39" i="130" s="1"/>
  <c r="M39" i="130" s="1"/>
  <c r="O39" i="130"/>
  <c r="Q39" i="130" s="1"/>
  <c r="R50" i="130"/>
  <c r="G49" i="130"/>
  <c r="O49" i="130"/>
  <c r="Q49" i="130" s="1"/>
  <c r="I48" i="130"/>
  <c r="R42" i="130"/>
  <c r="G41" i="130"/>
  <c r="O41" i="130"/>
  <c r="Q41" i="130" s="1"/>
  <c r="I40" i="130"/>
  <c r="R36" i="130"/>
  <c r="R32" i="130"/>
  <c r="R28" i="130"/>
  <c r="R24" i="130"/>
  <c r="O38" i="130"/>
  <c r="Q38" i="130" s="1"/>
  <c r="O37" i="130"/>
  <c r="Q37" i="130" s="1"/>
  <c r="O36" i="130"/>
  <c r="Q36" i="130" s="1"/>
  <c r="O35" i="130"/>
  <c r="Q35" i="130" s="1"/>
  <c r="O34" i="130"/>
  <c r="Q34" i="130" s="1"/>
  <c r="O33" i="130"/>
  <c r="Q33" i="130" s="1"/>
  <c r="O32" i="130"/>
  <c r="Q32" i="130" s="1"/>
  <c r="O31" i="130"/>
  <c r="Q31" i="130" s="1"/>
  <c r="O30" i="130"/>
  <c r="Q30" i="130" s="1"/>
  <c r="O29" i="130"/>
  <c r="Q29" i="130" s="1"/>
  <c r="O28" i="130"/>
  <c r="Q28" i="130" s="1"/>
  <c r="O27" i="130"/>
  <c r="Q27" i="130" s="1"/>
  <c r="O26" i="130"/>
  <c r="Q26" i="130" s="1"/>
  <c r="O25" i="130"/>
  <c r="Q25" i="130" s="1"/>
  <c r="O24" i="130"/>
  <c r="Q24" i="130" s="1"/>
  <c r="O23" i="130"/>
  <c r="Q23" i="130" s="1"/>
  <c r="O22" i="130"/>
  <c r="Q22" i="130" s="1"/>
  <c r="O21" i="130"/>
  <c r="Q21" i="130" s="1"/>
  <c r="O20" i="130"/>
  <c r="Q20" i="130" s="1"/>
  <c r="O19" i="130"/>
  <c r="Q19" i="130" s="1"/>
  <c r="O18" i="130"/>
  <c r="Q18" i="130" s="1"/>
  <c r="J43" i="130" l="1"/>
  <c r="M43" i="130" s="1"/>
  <c r="J38" i="130"/>
  <c r="M38" i="130" s="1"/>
  <c r="J68" i="130"/>
  <c r="M68" i="130" s="1"/>
  <c r="P153" i="130"/>
  <c r="S153" i="130" s="1"/>
  <c r="T153" i="130" s="1"/>
  <c r="J67" i="130"/>
  <c r="M67" i="130" s="1"/>
  <c r="J44" i="130"/>
  <c r="M44" i="130" s="1"/>
  <c r="J63" i="130"/>
  <c r="M63" i="130" s="1"/>
  <c r="S96" i="130"/>
  <c r="T96" i="130" s="1"/>
  <c r="Q97" i="130"/>
  <c r="S97" i="130" s="1"/>
  <c r="T97" i="130" s="1"/>
  <c r="J22" i="130"/>
  <c r="M22" i="130" s="1"/>
  <c r="J33" i="130"/>
  <c r="M33" i="130" s="1"/>
  <c r="J70" i="130"/>
  <c r="M70" i="130" s="1"/>
  <c r="J62" i="130"/>
  <c r="M62" i="130" s="1"/>
  <c r="J58" i="130"/>
  <c r="M58" i="130" s="1"/>
  <c r="P128" i="130"/>
  <c r="S128" i="130" s="1"/>
  <c r="T128" i="130" s="1"/>
  <c r="J167" i="130"/>
  <c r="M167" i="130" s="1"/>
  <c r="J47" i="130"/>
  <c r="M47" i="130" s="1"/>
  <c r="J73" i="130"/>
  <c r="M73" i="130" s="1"/>
  <c r="Q121" i="130"/>
  <c r="S121" i="130" s="1"/>
  <c r="T121" i="130" s="1"/>
  <c r="J23" i="130"/>
  <c r="M23" i="130" s="1"/>
  <c r="J41" i="130"/>
  <c r="M41" i="130" s="1"/>
  <c r="J50" i="130"/>
  <c r="M50" i="130" s="1"/>
  <c r="P146" i="130"/>
  <c r="S146" i="130" s="1"/>
  <c r="T146" i="130" s="1"/>
  <c r="J95" i="130"/>
  <c r="M95" i="130" s="1"/>
  <c r="W171" i="130"/>
  <c r="J66" i="130"/>
  <c r="M66" i="130" s="1"/>
  <c r="S127" i="130"/>
  <c r="T127" i="130" s="1"/>
  <c r="J19" i="130"/>
  <c r="M19" i="130" s="1"/>
  <c r="Q52" i="130"/>
  <c r="S52" i="130" s="1"/>
  <c r="T52" i="130" s="1"/>
  <c r="J20" i="130"/>
  <c r="M20" i="130" s="1"/>
  <c r="P94" i="130"/>
  <c r="S94" i="130" s="1"/>
  <c r="J152" i="130"/>
  <c r="M152" i="130" s="1"/>
  <c r="J155" i="130"/>
  <c r="M155" i="130" s="1"/>
  <c r="P154" i="130"/>
  <c r="S154" i="130" s="1"/>
  <c r="T154" i="130" s="1"/>
  <c r="P124" i="130"/>
  <c r="S124" i="130" s="1"/>
  <c r="T124" i="130" s="1"/>
  <c r="P158" i="130"/>
  <c r="S158" i="130" s="1"/>
  <c r="T158" i="130" s="1"/>
  <c r="J140" i="130"/>
  <c r="M140" i="130" s="1"/>
  <c r="J71" i="130"/>
  <c r="M71" i="130" s="1"/>
  <c r="J42" i="130"/>
  <c r="M42" i="130" s="1"/>
  <c r="J147" i="130"/>
  <c r="M147" i="130" s="1"/>
  <c r="P53" i="130"/>
  <c r="S53" i="130" s="1"/>
  <c r="T53" i="130" s="1"/>
  <c r="P46" i="130"/>
  <c r="S46" i="130" s="1"/>
  <c r="T46" i="130" s="1"/>
  <c r="J69" i="130"/>
  <c r="M69" i="130" s="1"/>
  <c r="J65" i="130"/>
  <c r="M65" i="130" s="1"/>
  <c r="J61" i="130"/>
  <c r="M61" i="130" s="1"/>
  <c r="J98" i="130"/>
  <c r="M98" i="130" s="1"/>
  <c r="J127" i="130"/>
  <c r="M127" i="130" s="1"/>
  <c r="J24" i="130"/>
  <c r="M24" i="130" s="1"/>
  <c r="J30" i="130"/>
  <c r="M30" i="130" s="1"/>
  <c r="J34" i="130"/>
  <c r="M34" i="130" s="1"/>
  <c r="R109" i="130"/>
  <c r="J49" i="130"/>
  <c r="M49" i="130" s="1"/>
  <c r="P149" i="130"/>
  <c r="S149" i="130" s="1"/>
  <c r="T149" i="130" s="1"/>
  <c r="J149" i="130"/>
  <c r="M149" i="130" s="1"/>
  <c r="J27" i="130"/>
  <c r="M27" i="130" s="1"/>
  <c r="J74" i="130"/>
  <c r="M74" i="130" s="1"/>
  <c r="J26" i="130"/>
  <c r="M26" i="130" s="1"/>
  <c r="J148" i="130"/>
  <c r="M148" i="130" s="1"/>
  <c r="J29" i="130"/>
  <c r="M29" i="130" s="1"/>
  <c r="P126" i="130"/>
  <c r="S126" i="130" s="1"/>
  <c r="T126" i="130" s="1"/>
  <c r="P150" i="130"/>
  <c r="S150" i="130" s="1"/>
  <c r="T150" i="130" s="1"/>
  <c r="J169" i="130"/>
  <c r="M169" i="130" s="1"/>
  <c r="J153" i="130"/>
  <c r="M153" i="130" s="1"/>
  <c r="J37" i="130"/>
  <c r="M37" i="130" s="1"/>
  <c r="J99" i="130"/>
  <c r="M99" i="130" s="1"/>
  <c r="J107" i="130"/>
  <c r="M107" i="130" s="1"/>
  <c r="J59" i="130"/>
  <c r="M59" i="130" s="1"/>
  <c r="P123" i="130"/>
  <c r="S123" i="130" s="1"/>
  <c r="T123" i="130" s="1"/>
  <c r="P120" i="130"/>
  <c r="S120" i="130" s="1"/>
  <c r="T120" i="130" s="1"/>
  <c r="J21" i="130"/>
  <c r="M21" i="130" s="1"/>
  <c r="J119" i="130"/>
  <c r="M119" i="130" s="1"/>
  <c r="P129" i="130"/>
  <c r="S129" i="130" s="1"/>
  <c r="T129" i="130" s="1"/>
  <c r="J18" i="130"/>
  <c r="M18" i="130" s="1"/>
  <c r="P48" i="130"/>
  <c r="S48" i="130" s="1"/>
  <c r="T48" i="130" s="1"/>
  <c r="J160" i="130"/>
  <c r="M160" i="130" s="1"/>
  <c r="J151" i="130"/>
  <c r="M151" i="130" s="1"/>
  <c r="P155" i="130"/>
  <c r="S155" i="130" s="1"/>
  <c r="T155" i="130" s="1"/>
  <c r="J25" i="130"/>
  <c r="M25" i="130" s="1"/>
  <c r="J123" i="130"/>
  <c r="M123" i="130" s="1"/>
  <c r="J157" i="130"/>
  <c r="M157" i="130" s="1"/>
  <c r="P156" i="130"/>
  <c r="S156" i="130" s="1"/>
  <c r="T156" i="130" s="1"/>
  <c r="J150" i="130"/>
  <c r="M150" i="130" s="1"/>
  <c r="P151" i="130"/>
  <c r="S151" i="130" s="1"/>
  <c r="T151" i="130" s="1"/>
  <c r="R101" i="130"/>
  <c r="J156" i="130"/>
  <c r="M156" i="130" s="1"/>
  <c r="P20" i="130"/>
  <c r="S20" i="130" s="1"/>
  <c r="T20" i="130" s="1"/>
  <c r="P167" i="130"/>
  <c r="S167" i="130" s="1"/>
  <c r="T167" i="130" s="1"/>
  <c r="J32" i="130"/>
  <c r="M32" i="130" s="1"/>
  <c r="J79" i="130"/>
  <c r="M79" i="130" s="1"/>
  <c r="M81" i="130" s="1"/>
  <c r="P44" i="130"/>
  <c r="S44" i="130" s="1"/>
  <c r="T44" i="130" s="1"/>
  <c r="J64" i="130"/>
  <c r="M64" i="130" s="1"/>
  <c r="R171" i="130"/>
  <c r="P30" i="130"/>
  <c r="S30" i="130" s="1"/>
  <c r="T30" i="130" s="1"/>
  <c r="J35" i="130"/>
  <c r="M35" i="130" s="1"/>
  <c r="P22" i="130"/>
  <c r="S22" i="130" s="1"/>
  <c r="T22" i="130" s="1"/>
  <c r="P47" i="130"/>
  <c r="S47" i="130" s="1"/>
  <c r="T47" i="130" s="1"/>
  <c r="R131" i="130"/>
  <c r="P66" i="130"/>
  <c r="S66" i="130" s="1"/>
  <c r="T66" i="130" s="1"/>
  <c r="P157" i="130"/>
  <c r="S157" i="130" s="1"/>
  <c r="T157" i="130" s="1"/>
  <c r="P27" i="130"/>
  <c r="S27" i="130" s="1"/>
  <c r="T27" i="130" s="1"/>
  <c r="P37" i="130"/>
  <c r="S37" i="130" s="1"/>
  <c r="T37" i="130" s="1"/>
  <c r="P152" i="130"/>
  <c r="S152" i="130" s="1"/>
  <c r="T152" i="130" s="1"/>
  <c r="J158" i="130"/>
  <c r="M158" i="130" s="1"/>
  <c r="I109" i="130"/>
  <c r="P40" i="130"/>
  <c r="S40" i="130" s="1"/>
  <c r="T40" i="130" s="1"/>
  <c r="J124" i="130"/>
  <c r="M124" i="130" s="1"/>
  <c r="O171" i="130"/>
  <c r="J154" i="130"/>
  <c r="M154" i="130" s="1"/>
  <c r="Q89" i="130"/>
  <c r="Q91" i="130" s="1"/>
  <c r="O91" i="130"/>
  <c r="Q112" i="130"/>
  <c r="Q114" i="130" s="1"/>
  <c r="O114" i="130"/>
  <c r="I171" i="130"/>
  <c r="J89" i="130"/>
  <c r="G91" i="130"/>
  <c r="J112" i="130"/>
  <c r="G114" i="130"/>
  <c r="J166" i="130"/>
  <c r="G171" i="130"/>
  <c r="P62" i="130"/>
  <c r="S62" i="130" s="1"/>
  <c r="T62" i="130" s="1"/>
  <c r="I101" i="130"/>
  <c r="J122" i="130"/>
  <c r="M122" i="130" s="1"/>
  <c r="P51" i="130"/>
  <c r="S51" i="130" s="1"/>
  <c r="T51" i="130" s="1"/>
  <c r="P71" i="130"/>
  <c r="S71" i="130" s="1"/>
  <c r="T71" i="130" s="1"/>
  <c r="G101" i="130"/>
  <c r="Q119" i="130"/>
  <c r="O131" i="130"/>
  <c r="I131" i="130"/>
  <c r="P148" i="130"/>
  <c r="S148" i="130" s="1"/>
  <c r="T148" i="130" s="1"/>
  <c r="P34" i="130"/>
  <c r="S34" i="130" s="1"/>
  <c r="T34" i="130" s="1"/>
  <c r="P58" i="130"/>
  <c r="S58" i="130" s="1"/>
  <c r="T58" i="130" s="1"/>
  <c r="Q79" i="130"/>
  <c r="Q81" i="130" s="1"/>
  <c r="O81" i="130"/>
  <c r="P99" i="130"/>
  <c r="S99" i="130" s="1"/>
  <c r="T99" i="130" s="1"/>
  <c r="Q139" i="130"/>
  <c r="P147" i="130"/>
  <c r="S147" i="130" s="1"/>
  <c r="T147" i="130" s="1"/>
  <c r="P39" i="130"/>
  <c r="S39" i="130" s="1"/>
  <c r="T39" i="130" s="1"/>
  <c r="P45" i="130"/>
  <c r="S45" i="130" s="1"/>
  <c r="T45" i="130" s="1"/>
  <c r="P28" i="130"/>
  <c r="S28" i="130" s="1"/>
  <c r="T28" i="130" s="1"/>
  <c r="P43" i="130"/>
  <c r="S43" i="130" s="1"/>
  <c r="T43" i="130" s="1"/>
  <c r="P73" i="130"/>
  <c r="S73" i="130" s="1"/>
  <c r="T73" i="130" s="1"/>
  <c r="P95" i="130"/>
  <c r="S95" i="130" s="1"/>
  <c r="T95" i="130" s="1"/>
  <c r="J125" i="130"/>
  <c r="M125" i="130" s="1"/>
  <c r="J139" i="130"/>
  <c r="J146" i="130"/>
  <c r="J168" i="130"/>
  <c r="M168" i="130" s="1"/>
  <c r="O101" i="130"/>
  <c r="G131" i="130"/>
  <c r="P25" i="130"/>
  <c r="S25" i="130" s="1"/>
  <c r="T25" i="130" s="1"/>
  <c r="P69" i="130"/>
  <c r="S69" i="130" s="1"/>
  <c r="T69" i="130" s="1"/>
  <c r="J84" i="130"/>
  <c r="I86" i="130"/>
  <c r="Q106" i="130"/>
  <c r="Q109" i="130" s="1"/>
  <c r="O109" i="130"/>
  <c r="S122" i="130"/>
  <c r="T122" i="130" s="1"/>
  <c r="P139" i="130"/>
  <c r="P38" i="130"/>
  <c r="S38" i="130" s="1"/>
  <c r="T38" i="130" s="1"/>
  <c r="P19" i="130"/>
  <c r="S19" i="130" s="1"/>
  <c r="T19" i="130" s="1"/>
  <c r="P50" i="130"/>
  <c r="S50" i="130" s="1"/>
  <c r="T50" i="130" s="1"/>
  <c r="J72" i="130"/>
  <c r="M72" i="130" s="1"/>
  <c r="J60" i="130"/>
  <c r="M60" i="130" s="1"/>
  <c r="P65" i="130"/>
  <c r="S65" i="130" s="1"/>
  <c r="T65" i="130" s="1"/>
  <c r="Q84" i="130"/>
  <c r="Q86" i="130" s="1"/>
  <c r="O86" i="130"/>
  <c r="J52" i="130"/>
  <c r="M52" i="130" s="1"/>
  <c r="J106" i="130"/>
  <c r="G109" i="130"/>
  <c r="P119" i="130"/>
  <c r="P166" i="130"/>
  <c r="Q166" i="130"/>
  <c r="P169" i="130"/>
  <c r="Q169" i="130"/>
  <c r="P168" i="130"/>
  <c r="Q168" i="130"/>
  <c r="P160" i="130"/>
  <c r="S160" i="130" s="1"/>
  <c r="T160" i="130" s="1"/>
  <c r="P140" i="130"/>
  <c r="S140" i="130" s="1"/>
  <c r="T140" i="130" s="1"/>
  <c r="J129" i="130"/>
  <c r="M129" i="130" s="1"/>
  <c r="J128" i="130"/>
  <c r="M128" i="130" s="1"/>
  <c r="J126" i="130"/>
  <c r="M126" i="130" s="1"/>
  <c r="P125" i="130"/>
  <c r="Q125" i="130"/>
  <c r="J121" i="130"/>
  <c r="M121" i="130" s="1"/>
  <c r="J120" i="130"/>
  <c r="M120" i="130" s="1"/>
  <c r="P112" i="130"/>
  <c r="P106" i="130"/>
  <c r="P107" i="130"/>
  <c r="S107" i="130" s="1"/>
  <c r="T107" i="130" s="1"/>
  <c r="J97" i="130"/>
  <c r="M97" i="130" s="1"/>
  <c r="J96" i="130"/>
  <c r="M96" i="130" s="1"/>
  <c r="J53" i="130"/>
  <c r="M53" i="130" s="1"/>
  <c r="J94" i="130"/>
  <c r="P98" i="130"/>
  <c r="S98" i="130" s="1"/>
  <c r="T98" i="130" s="1"/>
  <c r="P89" i="130"/>
  <c r="P84" i="130"/>
  <c r="P79" i="130"/>
  <c r="P68" i="130"/>
  <c r="S68" i="130" s="1"/>
  <c r="T68" i="130" s="1"/>
  <c r="P72" i="130"/>
  <c r="S72" i="130" s="1"/>
  <c r="T72" i="130" s="1"/>
  <c r="P74" i="130"/>
  <c r="S74" i="130" s="1"/>
  <c r="T74" i="130" s="1"/>
  <c r="P67" i="130"/>
  <c r="S67" i="130" s="1"/>
  <c r="T67" i="130" s="1"/>
  <c r="P64" i="130"/>
  <c r="S64" i="130" s="1"/>
  <c r="T64" i="130" s="1"/>
  <c r="P70" i="130"/>
  <c r="S70" i="130" s="1"/>
  <c r="T70" i="130" s="1"/>
  <c r="P63" i="130"/>
  <c r="S63" i="130" s="1"/>
  <c r="T63" i="130" s="1"/>
  <c r="P60" i="130"/>
  <c r="S60" i="130" s="1"/>
  <c r="T60" i="130" s="1"/>
  <c r="P61" i="130"/>
  <c r="S61" i="130" s="1"/>
  <c r="T61" i="130" s="1"/>
  <c r="P59" i="130"/>
  <c r="S59" i="130" s="1"/>
  <c r="T59" i="130" s="1"/>
  <c r="P31" i="130"/>
  <c r="S31" i="130" s="1"/>
  <c r="T31" i="130" s="1"/>
  <c r="P24" i="130"/>
  <c r="S24" i="130" s="1"/>
  <c r="T24" i="130" s="1"/>
  <c r="P26" i="130"/>
  <c r="S26" i="130" s="1"/>
  <c r="T26" i="130" s="1"/>
  <c r="P35" i="130"/>
  <c r="S35" i="130" s="1"/>
  <c r="T35" i="130" s="1"/>
  <c r="P21" i="130"/>
  <c r="S21" i="130" s="1"/>
  <c r="T21" i="130" s="1"/>
  <c r="P36" i="130"/>
  <c r="S36" i="130" s="1"/>
  <c r="T36" i="130" s="1"/>
  <c r="J46" i="130"/>
  <c r="M46" i="130" s="1"/>
  <c r="P33" i="130"/>
  <c r="S33" i="130" s="1"/>
  <c r="T33" i="130" s="1"/>
  <c r="P41" i="130"/>
  <c r="S41" i="130" s="1"/>
  <c r="T41" i="130" s="1"/>
  <c r="P42" i="130"/>
  <c r="S42" i="130" s="1"/>
  <c r="T42" i="130" s="1"/>
  <c r="P49" i="130"/>
  <c r="S49" i="130" s="1"/>
  <c r="T49" i="130" s="1"/>
  <c r="P18" i="130"/>
  <c r="S18" i="130" s="1"/>
  <c r="T18" i="130" s="1"/>
  <c r="P29" i="130"/>
  <c r="S29" i="130" s="1"/>
  <c r="T29" i="130" s="1"/>
  <c r="P23" i="130"/>
  <c r="S23" i="130" s="1"/>
  <c r="T23" i="130" s="1"/>
  <c r="J40" i="130"/>
  <c r="M40" i="130" s="1"/>
  <c r="J51" i="130"/>
  <c r="M51" i="130" s="1"/>
  <c r="P32" i="130"/>
  <c r="S32" i="130" s="1"/>
  <c r="T32" i="130" s="1"/>
  <c r="J48" i="130"/>
  <c r="M48" i="130" s="1"/>
  <c r="Q101" i="130" l="1"/>
  <c r="Q131" i="130"/>
  <c r="P101" i="130"/>
  <c r="P171" i="130"/>
  <c r="Q171" i="130"/>
  <c r="M131" i="130"/>
  <c r="M112" i="130"/>
  <c r="M114" i="130" s="1"/>
  <c r="J114" i="130"/>
  <c r="S84" i="130"/>
  <c r="P86" i="130"/>
  <c r="M146" i="130"/>
  <c r="S106" i="130"/>
  <c r="P109" i="130"/>
  <c r="S89" i="130"/>
  <c r="P91" i="130"/>
  <c r="M89" i="130"/>
  <c r="M91" i="130" s="1"/>
  <c r="J91" i="130"/>
  <c r="S112" i="130"/>
  <c r="P114" i="130"/>
  <c r="M94" i="130"/>
  <c r="M101" i="130" s="1"/>
  <c r="J101" i="130"/>
  <c r="T94" i="130"/>
  <c r="S101" i="130"/>
  <c r="S79" i="130"/>
  <c r="P81" i="130"/>
  <c r="S139" i="130"/>
  <c r="S125" i="130"/>
  <c r="T125" i="130" s="1"/>
  <c r="M166" i="130"/>
  <c r="M171" i="130" s="1"/>
  <c r="J171" i="130"/>
  <c r="M139" i="130"/>
  <c r="S119" i="130"/>
  <c r="P131" i="130"/>
  <c r="M106" i="130"/>
  <c r="M109" i="130" s="1"/>
  <c r="J109" i="130"/>
  <c r="M84" i="130"/>
  <c r="M86" i="130" s="1"/>
  <c r="J86" i="130"/>
  <c r="J131" i="130"/>
  <c r="S168" i="130"/>
  <c r="T168" i="130" s="1"/>
  <c r="S169" i="130"/>
  <c r="T169" i="130" s="1"/>
  <c r="S166" i="130"/>
  <c r="T106" i="130" l="1"/>
  <c r="S109" i="130"/>
  <c r="T119" i="130"/>
  <c r="S131" i="130"/>
  <c r="T112" i="130"/>
  <c r="T114" i="130" s="1"/>
  <c r="S114" i="130"/>
  <c r="T166" i="130"/>
  <c r="S171" i="130"/>
  <c r="T139" i="130"/>
  <c r="T79" i="130"/>
  <c r="T81" i="130" s="1"/>
  <c r="S81" i="130"/>
  <c r="T89" i="130"/>
  <c r="S91" i="130"/>
  <c r="T84" i="130"/>
  <c r="T86" i="130" s="1"/>
  <c r="S86" i="130"/>
  <c r="H54" i="94" l="1"/>
  <c r="G54" i="94"/>
  <c r="F54" i="94"/>
  <c r="E54" i="94"/>
  <c r="D54" i="94"/>
  <c r="C54" i="94"/>
  <c r="B54" i="94"/>
  <c r="H52" i="94"/>
  <c r="G52" i="94"/>
  <c r="F52" i="94"/>
  <c r="E52" i="94"/>
  <c r="D52" i="94"/>
  <c r="C52" i="94"/>
  <c r="B52" i="94"/>
  <c r="H50" i="94"/>
  <c r="G50" i="94"/>
  <c r="F50" i="94"/>
  <c r="E50" i="94"/>
  <c r="D50" i="94"/>
  <c r="C50" i="94"/>
  <c r="B50" i="94"/>
  <c r="H48" i="94"/>
  <c r="G48" i="94"/>
  <c r="F48" i="94"/>
  <c r="E48" i="94"/>
  <c r="D48" i="94"/>
  <c r="C48" i="94"/>
  <c r="B48" i="94"/>
  <c r="H46" i="94"/>
  <c r="G46" i="94"/>
  <c r="F46" i="94"/>
  <c r="E46" i="94"/>
  <c r="D46" i="94"/>
  <c r="C46" i="94"/>
  <c r="B46" i="94"/>
  <c r="H44" i="94"/>
  <c r="G44" i="94"/>
  <c r="F44" i="94"/>
  <c r="E44" i="94"/>
  <c r="D44" i="94"/>
  <c r="C44" i="94"/>
  <c r="B44" i="94"/>
  <c r="H42" i="94"/>
  <c r="G42" i="94"/>
  <c r="F42" i="94"/>
  <c r="E42" i="94"/>
  <c r="D42" i="94"/>
  <c r="C42" i="94"/>
  <c r="B42" i="94"/>
  <c r="H40" i="94"/>
  <c r="G40" i="94"/>
  <c r="F40" i="94"/>
  <c r="E40" i="94"/>
  <c r="D40" i="94"/>
  <c r="C40" i="94"/>
  <c r="B40" i="94"/>
  <c r="H38" i="94"/>
  <c r="G38" i="94"/>
  <c r="F38" i="94"/>
  <c r="E38" i="94"/>
  <c r="D38" i="94"/>
  <c r="C38" i="94"/>
  <c r="B38" i="94"/>
  <c r="H34" i="94"/>
  <c r="G34" i="94"/>
  <c r="F34" i="94"/>
  <c r="E34" i="94"/>
  <c r="D34" i="94"/>
  <c r="C34" i="94"/>
  <c r="B34" i="94"/>
  <c r="H32" i="94"/>
  <c r="G32" i="94"/>
  <c r="F32" i="94"/>
  <c r="E32" i="94"/>
  <c r="D32" i="94"/>
  <c r="C32" i="94"/>
  <c r="B32" i="94"/>
  <c r="H30" i="94"/>
  <c r="G30" i="94"/>
  <c r="F30" i="94"/>
  <c r="E30" i="94"/>
  <c r="D30" i="94"/>
  <c r="C30" i="94"/>
  <c r="B30" i="94"/>
  <c r="H28" i="94"/>
  <c r="G28" i="94"/>
  <c r="F28" i="94"/>
  <c r="E28" i="94"/>
  <c r="D28" i="94"/>
  <c r="C28" i="94"/>
  <c r="B28" i="94"/>
  <c r="H26" i="94"/>
  <c r="G26" i="94"/>
  <c r="F26" i="94"/>
  <c r="E26" i="94"/>
  <c r="D26" i="94"/>
  <c r="C26" i="94"/>
  <c r="B26" i="94"/>
  <c r="H24" i="94"/>
  <c r="G24" i="94"/>
  <c r="F24" i="94"/>
  <c r="E24" i="94"/>
  <c r="D24" i="94"/>
  <c r="C24" i="94"/>
  <c r="B24" i="94"/>
  <c r="H22" i="94"/>
  <c r="G22" i="94"/>
  <c r="F22" i="94"/>
  <c r="E22" i="94"/>
  <c r="D22" i="94"/>
  <c r="C22" i="94"/>
  <c r="B22" i="94"/>
  <c r="H17" i="94"/>
  <c r="G17" i="94"/>
  <c r="F17" i="94"/>
  <c r="E17" i="94"/>
  <c r="D17" i="94"/>
  <c r="C17" i="94"/>
  <c r="B17" i="94"/>
  <c r="H15" i="94"/>
  <c r="G15" i="94"/>
  <c r="F15" i="94"/>
  <c r="E15" i="94"/>
  <c r="D15" i="94"/>
  <c r="C15" i="94"/>
  <c r="B15" i="94"/>
  <c r="H13" i="94"/>
  <c r="G13" i="94"/>
  <c r="F13" i="94"/>
  <c r="E13" i="94"/>
  <c r="D13" i="94"/>
  <c r="C13" i="94"/>
  <c r="B13" i="94"/>
  <c r="H11" i="94"/>
  <c r="M11" i="94" s="1"/>
  <c r="G11" i="94"/>
  <c r="F11" i="94"/>
  <c r="E11" i="94"/>
  <c r="J11" i="94" s="1"/>
  <c r="L11" i="94" s="1"/>
  <c r="D11" i="94"/>
  <c r="C11" i="94"/>
  <c r="B11" i="94"/>
  <c r="F14" i="131" s="1"/>
  <c r="F15" i="131" l="1"/>
  <c r="H14" i="131"/>
  <c r="O11" i="94"/>
  <c r="B13" i="131" l="1"/>
  <c r="H15" i="131"/>
  <c r="W136" i="130"/>
  <c r="C17" i="130"/>
  <c r="D17" i="130"/>
  <c r="E17" i="130"/>
  <c r="F17" i="130"/>
  <c r="H17" i="130"/>
  <c r="K17" i="130"/>
  <c r="L17" i="130"/>
  <c r="N17" i="130"/>
  <c r="C18" i="130"/>
  <c r="D18" i="130"/>
  <c r="C19" i="130"/>
  <c r="D19" i="130"/>
  <c r="C20" i="130"/>
  <c r="D20" i="130"/>
  <c r="C21" i="130"/>
  <c r="D21" i="130"/>
  <c r="C22" i="130"/>
  <c r="D22" i="130"/>
  <c r="C23" i="130"/>
  <c r="D23" i="130"/>
  <c r="C24" i="130"/>
  <c r="D24" i="130"/>
  <c r="C25" i="130"/>
  <c r="D25" i="130"/>
  <c r="C26" i="130"/>
  <c r="D26" i="130"/>
  <c r="C27" i="130"/>
  <c r="D27" i="130"/>
  <c r="C28" i="130"/>
  <c r="D28" i="130"/>
  <c r="C29" i="130"/>
  <c r="D29" i="130"/>
  <c r="C30" i="130"/>
  <c r="D30" i="130"/>
  <c r="C31" i="130"/>
  <c r="D31" i="130"/>
  <c r="C32" i="130"/>
  <c r="D32" i="130"/>
  <c r="C33" i="130"/>
  <c r="D33" i="130"/>
  <c r="C34" i="130"/>
  <c r="D34" i="130"/>
  <c r="C35" i="130"/>
  <c r="D35" i="130"/>
  <c r="C36" i="130"/>
  <c r="D36" i="130"/>
  <c r="C37" i="130"/>
  <c r="D37" i="130"/>
  <c r="C38" i="130"/>
  <c r="D38" i="130"/>
  <c r="C39" i="130"/>
  <c r="D39" i="130"/>
  <c r="C40" i="130"/>
  <c r="D40" i="130"/>
  <c r="C41" i="130"/>
  <c r="D41" i="130"/>
  <c r="C42" i="130"/>
  <c r="D42" i="130"/>
  <c r="C43" i="130"/>
  <c r="D43" i="130"/>
  <c r="C44" i="130"/>
  <c r="D44" i="130"/>
  <c r="C45" i="130"/>
  <c r="D45" i="130"/>
  <c r="C46" i="130"/>
  <c r="D46" i="130"/>
  <c r="C47" i="130"/>
  <c r="D47" i="130"/>
  <c r="C48" i="130"/>
  <c r="D48" i="130"/>
  <c r="C49" i="130"/>
  <c r="D49" i="130"/>
  <c r="C50" i="130"/>
  <c r="D50" i="130"/>
  <c r="C51" i="130"/>
  <c r="D51" i="130"/>
  <c r="C55" i="130"/>
  <c r="W55" i="130"/>
  <c r="C58" i="130"/>
  <c r="D58" i="130"/>
  <c r="C59" i="130"/>
  <c r="D59" i="130"/>
  <c r="C60" i="130"/>
  <c r="D60" i="130"/>
  <c r="C61" i="130"/>
  <c r="D61" i="130"/>
  <c r="C62" i="130"/>
  <c r="D62" i="130"/>
  <c r="C63" i="130"/>
  <c r="D63" i="130"/>
  <c r="C64" i="130"/>
  <c r="D64" i="130"/>
  <c r="C65" i="130"/>
  <c r="D65" i="130"/>
  <c r="C66" i="130"/>
  <c r="D66" i="130"/>
  <c r="C67" i="130"/>
  <c r="D67" i="130"/>
  <c r="C68" i="130"/>
  <c r="D68" i="130"/>
  <c r="C69" i="130"/>
  <c r="D69" i="130"/>
  <c r="C70" i="130"/>
  <c r="D70" i="130"/>
  <c r="C71" i="130"/>
  <c r="D71" i="130"/>
  <c r="C72" i="130"/>
  <c r="D72" i="130"/>
  <c r="C73" i="130"/>
  <c r="D73" i="130"/>
  <c r="C74" i="130"/>
  <c r="D74" i="130"/>
  <c r="C76" i="130"/>
  <c r="W76" i="130"/>
  <c r="C79" i="130"/>
  <c r="D79" i="130"/>
  <c r="H81" i="130"/>
  <c r="K81" i="130"/>
  <c r="C81" i="130"/>
  <c r="W81" i="130"/>
  <c r="C84" i="130"/>
  <c r="D84" i="130"/>
  <c r="C86" i="130"/>
  <c r="W86" i="130"/>
  <c r="C89" i="130"/>
  <c r="D89" i="130"/>
  <c r="C91" i="130"/>
  <c r="W91" i="130"/>
  <c r="C94" i="130"/>
  <c r="D94" i="130"/>
  <c r="C52" i="130"/>
  <c r="D52" i="130"/>
  <c r="C95" i="130"/>
  <c r="D95" i="130"/>
  <c r="C96" i="130"/>
  <c r="D96" i="130"/>
  <c r="C97" i="130"/>
  <c r="D97" i="130"/>
  <c r="C98" i="130"/>
  <c r="D98" i="130"/>
  <c r="C99" i="130"/>
  <c r="D99" i="130"/>
  <c r="C53" i="130"/>
  <c r="D53" i="130"/>
  <c r="C101" i="130"/>
  <c r="W101" i="130"/>
  <c r="C106" i="130"/>
  <c r="D106" i="130"/>
  <c r="C107" i="130"/>
  <c r="D107" i="130"/>
  <c r="C109" i="130"/>
  <c r="W109" i="130"/>
  <c r="C112" i="130"/>
  <c r="D112" i="130"/>
  <c r="C114" i="130"/>
  <c r="W114" i="130"/>
  <c r="V118" i="130"/>
  <c r="C119" i="130"/>
  <c r="D119" i="130"/>
  <c r="C120" i="130"/>
  <c r="D120" i="130"/>
  <c r="C121" i="130"/>
  <c r="D121" i="130"/>
  <c r="C122" i="130"/>
  <c r="D122" i="130"/>
  <c r="C123" i="130"/>
  <c r="D123" i="130"/>
  <c r="C124" i="130"/>
  <c r="D124" i="130"/>
  <c r="C125" i="130"/>
  <c r="D125" i="130"/>
  <c r="C126" i="130"/>
  <c r="D126" i="130"/>
  <c r="C128" i="130"/>
  <c r="D128" i="130"/>
  <c r="C129" i="130"/>
  <c r="D129" i="130"/>
  <c r="W131" i="130"/>
  <c r="E136" i="130"/>
  <c r="F136" i="130"/>
  <c r="G136" i="130"/>
  <c r="H136" i="130"/>
  <c r="I136" i="130"/>
  <c r="J136" i="130"/>
  <c r="K136" i="130"/>
  <c r="L136" i="130"/>
  <c r="M136" i="130"/>
  <c r="S136" i="130"/>
  <c r="T136" i="130"/>
  <c r="V136" i="130"/>
  <c r="C139" i="130"/>
  <c r="D139" i="130"/>
  <c r="C140" i="130"/>
  <c r="D140" i="130"/>
  <c r="E141" i="130"/>
  <c r="O141" i="130" s="1"/>
  <c r="O143" i="130" s="1"/>
  <c r="F141" i="130"/>
  <c r="F143" i="130" s="1"/>
  <c r="H141" i="130"/>
  <c r="H143" i="130" s="1"/>
  <c r="K141" i="130"/>
  <c r="K143" i="130" s="1"/>
  <c r="L141" i="130"/>
  <c r="W141" i="130"/>
  <c r="W143" i="130" s="1"/>
  <c r="C146" i="130"/>
  <c r="D146" i="130"/>
  <c r="C147" i="130"/>
  <c r="D147" i="130"/>
  <c r="C148" i="130"/>
  <c r="D148" i="130"/>
  <c r="C149" i="130"/>
  <c r="D149" i="130"/>
  <c r="C150" i="130"/>
  <c r="D150" i="130"/>
  <c r="C151" i="130"/>
  <c r="D151" i="130"/>
  <c r="C152" i="130"/>
  <c r="D152" i="130"/>
  <c r="C153" i="130"/>
  <c r="D153" i="130"/>
  <c r="C154" i="130"/>
  <c r="D154" i="130"/>
  <c r="C155" i="130"/>
  <c r="D155" i="130"/>
  <c r="C156" i="130"/>
  <c r="D156" i="130"/>
  <c r="C157" i="130"/>
  <c r="D157" i="130"/>
  <c r="C158" i="130"/>
  <c r="D158" i="130"/>
  <c r="E159" i="130"/>
  <c r="I159" i="130" s="1"/>
  <c r="I162" i="130" s="1"/>
  <c r="F159" i="130"/>
  <c r="F162" i="130" s="1"/>
  <c r="K159" i="130"/>
  <c r="K162" i="130" s="1"/>
  <c r="L159" i="130"/>
  <c r="C160" i="130"/>
  <c r="D160" i="130"/>
  <c r="W162" i="130"/>
  <c r="V165" i="130"/>
  <c r="C166" i="130"/>
  <c r="D166" i="130"/>
  <c r="C167" i="130"/>
  <c r="D167" i="130"/>
  <c r="C168" i="130"/>
  <c r="D168" i="130"/>
  <c r="C169" i="130"/>
  <c r="D169" i="130"/>
  <c r="V172" i="130"/>
  <c r="T181" i="130"/>
  <c r="T185" i="130"/>
  <c r="T186" i="130"/>
  <c r="T187" i="130"/>
  <c r="T188" i="130"/>
  <c r="T189" i="130"/>
  <c r="T190" i="130"/>
  <c r="T191" i="130"/>
  <c r="T199" i="130"/>
  <c r="T203" i="130"/>
  <c r="T204" i="130"/>
  <c r="T205" i="130"/>
  <c r="T206" i="130"/>
  <c r="T207" i="130"/>
  <c r="T208" i="130"/>
  <c r="T209" i="130"/>
  <c r="T216" i="130"/>
  <c r="T221" i="130"/>
  <c r="T222" i="130"/>
  <c r="T223" i="130"/>
  <c r="T224" i="130"/>
  <c r="T231" i="130"/>
  <c r="T235" i="130"/>
  <c r="T236" i="130"/>
  <c r="T237" i="130"/>
  <c r="T238" i="130"/>
  <c r="T239" i="130"/>
  <c r="T240" i="130"/>
  <c r="T241" i="130"/>
  <c r="T248" i="130"/>
  <c r="T252" i="130"/>
  <c r="T253" i="130"/>
  <c r="T254" i="130"/>
  <c r="T255" i="130"/>
  <c r="T256" i="130"/>
  <c r="T257" i="130"/>
  <c r="T258" i="130"/>
  <c r="T267" i="130"/>
  <c r="T272" i="130"/>
  <c r="T273" i="130"/>
  <c r="T274" i="130"/>
  <c r="T275" i="130"/>
  <c r="T276" i="130"/>
  <c r="T277" i="130"/>
  <c r="W116" i="130" l="1"/>
  <c r="W173" i="130" s="1"/>
  <c r="I270" i="2"/>
  <c r="B15" i="131"/>
  <c r="B22" i="131" s="1"/>
  <c r="R159" i="130"/>
  <c r="R162" i="130" s="1"/>
  <c r="L162" i="130"/>
  <c r="R141" i="130"/>
  <c r="R143" i="130" s="1"/>
  <c r="L143" i="130"/>
  <c r="I81" i="130"/>
  <c r="R17" i="130"/>
  <c r="E86" i="130"/>
  <c r="N76" i="130"/>
  <c r="G17" i="130"/>
  <c r="E114" i="130"/>
  <c r="L76" i="130"/>
  <c r="O159" i="130"/>
  <c r="O162" i="130" s="1"/>
  <c r="Q141" i="130"/>
  <c r="Q143" i="130" s="1"/>
  <c r="O17" i="130"/>
  <c r="Q17" i="130" s="1"/>
  <c r="P141" i="130"/>
  <c r="P143" i="130" s="1"/>
  <c r="T225" i="130"/>
  <c r="T227" i="130" s="1"/>
  <c r="T192" i="130"/>
  <c r="G159" i="130"/>
  <c r="G162" i="130" s="1"/>
  <c r="T259" i="130"/>
  <c r="U252" i="130" s="1"/>
  <c r="I17" i="130"/>
  <c r="T210" i="130"/>
  <c r="U203" i="130" s="1"/>
  <c r="T278" i="130"/>
  <c r="T242" i="130"/>
  <c r="E171" i="130"/>
  <c r="K76" i="130"/>
  <c r="I141" i="130"/>
  <c r="I143" i="130" s="1"/>
  <c r="E162" i="130"/>
  <c r="E55" i="130"/>
  <c r="G141" i="130"/>
  <c r="G143" i="130" s="1"/>
  <c r="E143" i="130"/>
  <c r="E131" i="130"/>
  <c r="E109" i="130"/>
  <c r="E76" i="130"/>
  <c r="F55" i="130"/>
  <c r="E101" i="130"/>
  <c r="F81" i="130"/>
  <c r="F76" i="130"/>
  <c r="E81" i="130"/>
  <c r="L55" i="130"/>
  <c r="H76" i="130"/>
  <c r="N55" i="130"/>
  <c r="E91" i="130"/>
  <c r="H55" i="130"/>
  <c r="K55" i="130"/>
  <c r="H116" i="130" l="1"/>
  <c r="H173" i="130" s="1"/>
  <c r="H270" i="2"/>
  <c r="I279" i="2"/>
  <c r="I281" i="2" s="1"/>
  <c r="I336" i="2" s="1"/>
  <c r="I337" i="2" s="1"/>
  <c r="P17" i="130"/>
  <c r="K116" i="130"/>
  <c r="K173" i="130" s="1"/>
  <c r="K174" i="130" s="1"/>
  <c r="N116" i="130"/>
  <c r="N173" i="130" s="1"/>
  <c r="J159" i="130"/>
  <c r="F116" i="130"/>
  <c r="F173" i="130" s="1"/>
  <c r="L116" i="130"/>
  <c r="L173" i="130" s="1"/>
  <c r="L174" i="130" s="1"/>
  <c r="V148" i="130"/>
  <c r="V25" i="130"/>
  <c r="V122" i="130"/>
  <c r="V71" i="130"/>
  <c r="V73" i="130"/>
  <c r="V68" i="130"/>
  <c r="V49" i="130"/>
  <c r="V154" i="130"/>
  <c r="V153" i="130"/>
  <c r="V146" i="130"/>
  <c r="V64" i="130"/>
  <c r="V33" i="130"/>
  <c r="V169" i="130"/>
  <c r="V36" i="130"/>
  <c r="V62" i="130"/>
  <c r="V129" i="130"/>
  <c r="S141" i="130"/>
  <c r="V72" i="130"/>
  <c r="V41" i="130"/>
  <c r="J17" i="130"/>
  <c r="M17" i="130" s="1"/>
  <c r="V127" i="130"/>
  <c r="I55" i="130"/>
  <c r="R76" i="130"/>
  <c r="H117" i="130"/>
  <c r="V121" i="130"/>
  <c r="G81" i="130"/>
  <c r="V26" i="130"/>
  <c r="P159" i="130"/>
  <c r="P162" i="130" s="1"/>
  <c r="Q159" i="130"/>
  <c r="Q162" i="130" s="1"/>
  <c r="V167" i="130"/>
  <c r="V42" i="130"/>
  <c r="R55" i="130"/>
  <c r="O76" i="130"/>
  <c r="G76" i="130"/>
  <c r="G55" i="130"/>
  <c r="E116" i="130"/>
  <c r="E173" i="130" s="1"/>
  <c r="S17" i="130"/>
  <c r="J141" i="130"/>
  <c r="O55" i="130"/>
  <c r="V74" i="130"/>
  <c r="I76" i="130"/>
  <c r="V157" i="130"/>
  <c r="V123" i="130"/>
  <c r="O116" i="130" l="1"/>
  <c r="O173" i="130" s="1"/>
  <c r="F117" i="130"/>
  <c r="R116" i="130"/>
  <c r="R173" i="130" s="1"/>
  <c r="I116" i="130"/>
  <c r="I173" i="130" s="1"/>
  <c r="M141" i="130"/>
  <c r="M143" i="130" s="1"/>
  <c r="T265" i="130" s="1"/>
  <c r="J143" i="130"/>
  <c r="G116" i="130"/>
  <c r="G173" i="130" s="1"/>
  <c r="T141" i="130"/>
  <c r="S143" i="130"/>
  <c r="M159" i="130"/>
  <c r="M162" i="130" s="1"/>
  <c r="J162" i="130"/>
  <c r="V24" i="130"/>
  <c r="V151" i="130"/>
  <c r="V70" i="130"/>
  <c r="V46" i="130"/>
  <c r="V34" i="130"/>
  <c r="V149" i="130"/>
  <c r="V28" i="130"/>
  <c r="V50" i="130"/>
  <c r="V32" i="130"/>
  <c r="V155" i="130"/>
  <c r="V96" i="130"/>
  <c r="V38" i="130"/>
  <c r="V53" i="130"/>
  <c r="V44" i="130"/>
  <c r="F174" i="130"/>
  <c r="V30" i="130"/>
  <c r="V65" i="130"/>
  <c r="V23" i="130"/>
  <c r="T229" i="130"/>
  <c r="T244" i="130" s="1"/>
  <c r="V166" i="130"/>
  <c r="V107" i="130"/>
  <c r="V59" i="130"/>
  <c r="V18" i="130"/>
  <c r="V40" i="130"/>
  <c r="V67" i="130"/>
  <c r="V45" i="130"/>
  <c r="H174" i="130"/>
  <c r="V20" i="130"/>
  <c r="V128" i="130"/>
  <c r="V160" i="130"/>
  <c r="V66" i="130"/>
  <c r="V60" i="130"/>
  <c r="V98" i="130"/>
  <c r="V29" i="130"/>
  <c r="V21" i="130"/>
  <c r="V97" i="130"/>
  <c r="V140" i="130"/>
  <c r="V63" i="130"/>
  <c r="V19" i="130"/>
  <c r="V39" i="130"/>
  <c r="V125" i="130"/>
  <c r="M55" i="130"/>
  <c r="S159" i="130"/>
  <c r="V69" i="130"/>
  <c r="J81" i="130"/>
  <c r="Q55" i="130"/>
  <c r="V37" i="130"/>
  <c r="T197" i="130"/>
  <c r="T212" i="130" s="1"/>
  <c r="V31" i="130"/>
  <c r="V27" i="130"/>
  <c r="V126" i="130"/>
  <c r="V120" i="130"/>
  <c r="V156" i="130"/>
  <c r="V61" i="130"/>
  <c r="Q76" i="130"/>
  <c r="V124" i="130"/>
  <c r="V22" i="130"/>
  <c r="P55" i="130"/>
  <c r="V152" i="130"/>
  <c r="V48" i="130"/>
  <c r="V99" i="130"/>
  <c r="V51" i="130"/>
  <c r="T17" i="130"/>
  <c r="J55" i="130"/>
  <c r="V94" i="130"/>
  <c r="P76" i="130"/>
  <c r="V35" i="130"/>
  <c r="V150" i="130"/>
  <c r="V43" i="130"/>
  <c r="M76" i="130"/>
  <c r="J76" i="130"/>
  <c r="V158" i="130"/>
  <c r="V95" i="130"/>
  <c r="V47" i="130"/>
  <c r="V141" i="130" l="1"/>
  <c r="M116" i="130"/>
  <c r="M173" i="130" s="1"/>
  <c r="P116" i="130"/>
  <c r="P173" i="130" s="1"/>
  <c r="J116" i="130"/>
  <c r="J173" i="130" s="1"/>
  <c r="Q116" i="130"/>
  <c r="Q173" i="130" s="1"/>
  <c r="T246" i="130"/>
  <c r="T262" i="130" s="1"/>
  <c r="U262" i="130" s="1"/>
  <c r="T159" i="130"/>
  <c r="V159" i="130" s="1"/>
  <c r="S162" i="130"/>
  <c r="U244" i="130"/>
  <c r="U212" i="130"/>
  <c r="V79" i="130"/>
  <c r="V81" i="130" s="1"/>
  <c r="T281" i="130"/>
  <c r="V112" i="130"/>
  <c r="V114" i="130" s="1"/>
  <c r="T179" i="130"/>
  <c r="T194" i="130" s="1"/>
  <c r="V147" i="130"/>
  <c r="T131" i="130"/>
  <c r="V119" i="130"/>
  <c r="V131" i="130" s="1"/>
  <c r="T55" i="130"/>
  <c r="V17" i="130"/>
  <c r="V84" i="130"/>
  <c r="V86" i="130" s="1"/>
  <c r="V168" i="130"/>
  <c r="V171" i="130" s="1"/>
  <c r="B15" i="6" s="1"/>
  <c r="T171" i="130"/>
  <c r="S55" i="130"/>
  <c r="S76" i="130"/>
  <c r="V162" i="130" l="1"/>
  <c r="B13" i="6"/>
  <c r="S116" i="130"/>
  <c r="S173" i="130" s="1"/>
  <c r="T162" i="130"/>
  <c r="U281" i="130"/>
  <c r="U194" i="130"/>
  <c r="T286" i="130"/>
  <c r="V58" i="130"/>
  <c r="V76" i="130" s="1"/>
  <c r="T76" i="130"/>
  <c r="V89" i="130"/>
  <c r="V91" i="130" s="1"/>
  <c r="T91" i="130"/>
  <c r="V106" i="130"/>
  <c r="V109" i="130" s="1"/>
  <c r="T109" i="130"/>
  <c r="V52" i="130"/>
  <c r="V101" i="130" s="1"/>
  <c r="T101" i="130"/>
  <c r="T143" i="130"/>
  <c r="V139" i="130"/>
  <c r="V143" i="130" s="1"/>
  <c r="B16" i="6" s="1"/>
  <c r="B14" i="6" l="1"/>
  <c r="T116" i="130"/>
  <c r="T173" i="130" s="1"/>
  <c r="V55" i="130"/>
  <c r="T287" i="130"/>
  <c r="V116" i="130" l="1"/>
  <c r="B8" i="6" s="1"/>
  <c r="V173" i="130" l="1"/>
  <c r="E84" i="129" l="1"/>
  <c r="F200" i="2" s="1"/>
  <c r="E82" i="129"/>
  <c r="AS64" i="129"/>
  <c r="AQ64" i="129"/>
  <c r="AS63" i="129"/>
  <c r="AQ63" i="129"/>
  <c r="AS62" i="129"/>
  <c r="AQ62" i="129"/>
  <c r="AS61" i="129"/>
  <c r="AQ61" i="129"/>
  <c r="AS60" i="129"/>
  <c r="AQ60" i="129"/>
  <c r="AS59" i="129"/>
  <c r="AQ59" i="129"/>
  <c r="AS58" i="129"/>
  <c r="AQ58" i="129"/>
  <c r="AS57" i="129"/>
  <c r="AQ57" i="129"/>
  <c r="AS56" i="129"/>
  <c r="AQ56" i="129"/>
  <c r="AS55" i="129"/>
  <c r="AQ55" i="129"/>
  <c r="AS54" i="129"/>
  <c r="AQ54" i="129"/>
  <c r="AS53" i="129"/>
  <c r="AQ53" i="129"/>
  <c r="AS52" i="129"/>
  <c r="AQ52" i="129"/>
  <c r="AS51" i="129"/>
  <c r="AQ51" i="129"/>
  <c r="AS50" i="129"/>
  <c r="AQ50" i="129"/>
  <c r="AS49" i="129"/>
  <c r="AQ49" i="129"/>
  <c r="AS48" i="129"/>
  <c r="AQ48" i="129"/>
  <c r="AS47" i="129"/>
  <c r="AQ47" i="129"/>
  <c r="AS46" i="129"/>
  <c r="AQ46" i="129"/>
  <c r="AS45" i="129"/>
  <c r="AQ45" i="129"/>
  <c r="AS44" i="129"/>
  <c r="AQ44" i="129"/>
  <c r="AS43" i="129"/>
  <c r="AQ43" i="129"/>
  <c r="AS42" i="129"/>
  <c r="AQ42" i="129"/>
  <c r="AS41" i="129"/>
  <c r="AQ41" i="129"/>
  <c r="AS40" i="129"/>
  <c r="AQ40" i="129"/>
  <c r="AS39" i="129"/>
  <c r="AQ39" i="129"/>
  <c r="AS38" i="129"/>
  <c r="AQ38" i="129"/>
  <c r="AS37" i="129"/>
  <c r="AQ37" i="129"/>
  <c r="AS36" i="129"/>
  <c r="AQ36" i="129"/>
  <c r="AS35" i="129"/>
  <c r="AQ35" i="129"/>
  <c r="AS34" i="129"/>
  <c r="AQ34" i="129"/>
  <c r="AS33" i="129"/>
  <c r="AQ33" i="129"/>
  <c r="AS32" i="129"/>
  <c r="AQ32" i="129"/>
  <c r="AS31" i="129"/>
  <c r="AQ31" i="129"/>
  <c r="AS30" i="129"/>
  <c r="AQ30" i="129"/>
  <c r="AS29" i="129"/>
  <c r="AQ29" i="129"/>
  <c r="AS28" i="129"/>
  <c r="AQ28" i="129"/>
  <c r="AS27" i="129"/>
  <c r="AQ27" i="129"/>
  <c r="AS26" i="129"/>
  <c r="AQ26" i="129"/>
  <c r="AS25" i="129"/>
  <c r="AQ25" i="129"/>
  <c r="AS24" i="129"/>
  <c r="AQ24" i="129"/>
  <c r="AS23" i="129"/>
  <c r="AQ23" i="129"/>
  <c r="AS22" i="129"/>
  <c r="AQ22" i="129"/>
  <c r="AS21" i="129"/>
  <c r="AQ21" i="129"/>
  <c r="AS20" i="129"/>
  <c r="AQ20" i="129"/>
  <c r="G17" i="129"/>
  <c r="E17" i="129"/>
  <c r="D17" i="129"/>
  <c r="E16" i="129"/>
  <c r="D16" i="129"/>
  <c r="Q5" i="129"/>
  <c r="U4" i="129"/>
  <c r="B5" i="129"/>
  <c r="Q4" i="129"/>
  <c r="E5" i="129" a="1"/>
  <c r="Y4" i="129"/>
  <c r="E83" i="129" l="1"/>
  <c r="E85" i="129" s="1"/>
  <c r="F82" i="129"/>
  <c r="E5" i="129"/>
  <c r="D55" i="7" l="1"/>
  <c r="D53" i="7"/>
  <c r="C53" i="7"/>
  <c r="C54" i="7"/>
  <c r="B12" i="6" l="1"/>
  <c r="B11" i="6" s="1"/>
  <c r="C20" i="5" l="1"/>
  <c r="C19" i="5"/>
  <c r="C18" i="5"/>
  <c r="C17" i="5"/>
  <c r="C16" i="5"/>
  <c r="C15" i="5"/>
  <c r="C13" i="5"/>
  <c r="C12" i="5"/>
  <c r="C10" i="5"/>
  <c r="D17" i="7"/>
  <c r="D16" i="7" s="1"/>
  <c r="D15" i="7"/>
  <c r="D14" i="7"/>
  <c r="D11" i="7"/>
  <c r="D10" i="7"/>
  <c r="C105" i="7" l="1"/>
  <c r="C100" i="7"/>
  <c r="C99" i="7"/>
  <c r="C97" i="7"/>
  <c r="C95" i="7"/>
  <c r="C94" i="7"/>
  <c r="D95" i="7"/>
  <c r="D96" i="7"/>
  <c r="D97" i="7"/>
  <c r="D98" i="7"/>
  <c r="D99" i="7"/>
  <c r="D100" i="7"/>
  <c r="D101" i="7"/>
  <c r="D102" i="7"/>
  <c r="D103" i="7"/>
  <c r="D104" i="7"/>
  <c r="D105" i="7"/>
  <c r="D94" i="7"/>
  <c r="D127" i="128"/>
  <c r="F258" i="2" s="1"/>
  <c r="D16" i="128"/>
  <c r="E16" i="128"/>
  <c r="D17" i="128"/>
  <c r="E17" i="128"/>
  <c r="G17" i="128"/>
  <c r="AQ20" i="128"/>
  <c r="AS20" i="128"/>
  <c r="AQ21" i="128"/>
  <c r="AS21" i="128"/>
  <c r="AQ22" i="128"/>
  <c r="AS22" i="128"/>
  <c r="AQ23" i="128"/>
  <c r="AS23" i="128"/>
  <c r="AQ24" i="128"/>
  <c r="AS24" i="128"/>
  <c r="AQ25" i="128"/>
  <c r="AS25" i="128"/>
  <c r="AQ26" i="128"/>
  <c r="AS26" i="128"/>
  <c r="AQ27" i="128"/>
  <c r="AS27" i="128"/>
  <c r="AQ28" i="128"/>
  <c r="AS28" i="128"/>
  <c r="AQ29" i="128"/>
  <c r="AS29" i="128"/>
  <c r="AQ30" i="128"/>
  <c r="AS30" i="128"/>
  <c r="AQ31" i="128"/>
  <c r="AS31" i="128"/>
  <c r="AQ32" i="128"/>
  <c r="AS32" i="128"/>
  <c r="AQ33" i="128"/>
  <c r="AS33" i="128"/>
  <c r="AQ34" i="128"/>
  <c r="AS34" i="128"/>
  <c r="AQ35" i="128"/>
  <c r="AS35" i="128"/>
  <c r="AQ36" i="128"/>
  <c r="AS36" i="128"/>
  <c r="AQ37" i="128"/>
  <c r="AS37" i="128"/>
  <c r="AQ38" i="128"/>
  <c r="AS38" i="128"/>
  <c r="AQ39" i="128"/>
  <c r="AS39" i="128"/>
  <c r="AQ40" i="128"/>
  <c r="AS40" i="128"/>
  <c r="AQ41" i="128"/>
  <c r="AS41" i="128"/>
  <c r="AQ42" i="128"/>
  <c r="AS42" i="128"/>
  <c r="AQ43" i="128"/>
  <c r="AS43" i="128"/>
  <c r="AQ44" i="128"/>
  <c r="AS44" i="128"/>
  <c r="AQ45" i="128"/>
  <c r="AS45" i="128"/>
  <c r="AQ46" i="128"/>
  <c r="AS46" i="128"/>
  <c r="AQ47" i="128"/>
  <c r="AS47" i="128"/>
  <c r="AQ48" i="128"/>
  <c r="AS48" i="128"/>
  <c r="AQ49" i="128"/>
  <c r="AS49" i="128"/>
  <c r="AQ50" i="128"/>
  <c r="AS50" i="128"/>
  <c r="AQ51" i="128"/>
  <c r="AS51" i="128"/>
  <c r="AQ52" i="128"/>
  <c r="AS52" i="128"/>
  <c r="AQ53" i="128"/>
  <c r="AS53" i="128"/>
  <c r="AQ54" i="128"/>
  <c r="AS54" i="128"/>
  <c r="AQ55" i="128"/>
  <c r="AS55" i="128"/>
  <c r="AQ56" i="128"/>
  <c r="AS56" i="128"/>
  <c r="AQ57" i="128"/>
  <c r="AS57" i="128"/>
  <c r="AQ58" i="128"/>
  <c r="AS58" i="128"/>
  <c r="AQ59" i="128"/>
  <c r="AS59" i="128"/>
  <c r="AQ60" i="128"/>
  <c r="AS60" i="128"/>
  <c r="AQ61" i="128"/>
  <c r="AS61" i="128"/>
  <c r="AQ62" i="128"/>
  <c r="AS62" i="128"/>
  <c r="AQ63" i="128"/>
  <c r="AS63" i="128"/>
  <c r="AQ64" i="128"/>
  <c r="AS64" i="128"/>
  <c r="AQ65" i="128"/>
  <c r="AS65" i="128"/>
  <c r="AQ66" i="128"/>
  <c r="AS66" i="128"/>
  <c r="AQ67" i="128"/>
  <c r="AS67" i="128"/>
  <c r="AQ68" i="128"/>
  <c r="AS68" i="128"/>
  <c r="AQ69" i="128"/>
  <c r="AS69" i="128"/>
  <c r="AQ70" i="128"/>
  <c r="AS70" i="128"/>
  <c r="AQ71" i="128"/>
  <c r="AS71" i="128"/>
  <c r="AQ72" i="128"/>
  <c r="AS72" i="128"/>
  <c r="AQ73" i="128"/>
  <c r="AS73" i="128"/>
  <c r="AQ74" i="128"/>
  <c r="AS74" i="128"/>
  <c r="AQ75" i="128"/>
  <c r="AS75" i="128"/>
  <c r="AQ76" i="128"/>
  <c r="AS76" i="128"/>
  <c r="AQ77" i="128"/>
  <c r="AS77" i="128"/>
  <c r="AQ78" i="128"/>
  <c r="AS78" i="128"/>
  <c r="AQ79" i="128"/>
  <c r="AS79" i="128"/>
  <c r="AQ80" i="128"/>
  <c r="AS80" i="128"/>
  <c r="AQ81" i="128"/>
  <c r="AS81" i="128"/>
  <c r="AQ82" i="128"/>
  <c r="AS82" i="128"/>
  <c r="AQ83" i="128"/>
  <c r="AS83" i="128"/>
  <c r="AQ84" i="128"/>
  <c r="AS84" i="128"/>
  <c r="AQ85" i="128"/>
  <c r="AS85" i="128"/>
  <c r="AQ86" i="128"/>
  <c r="AS86" i="128"/>
  <c r="AQ87" i="128"/>
  <c r="AS87" i="128"/>
  <c r="AQ88" i="128"/>
  <c r="AS88" i="128"/>
  <c r="AQ89" i="128"/>
  <c r="AS89" i="128"/>
  <c r="D16" i="127"/>
  <c r="E16" i="127"/>
  <c r="D17" i="127"/>
  <c r="E17" i="127"/>
  <c r="G17" i="127"/>
  <c r="AQ20" i="127"/>
  <c r="AS20" i="127"/>
  <c r="AQ21" i="127"/>
  <c r="AS21" i="127"/>
  <c r="AQ22" i="127"/>
  <c r="AS22" i="127"/>
  <c r="AQ23" i="127"/>
  <c r="AS23" i="127"/>
  <c r="AQ24" i="127"/>
  <c r="AS24" i="127"/>
  <c r="AQ25" i="127"/>
  <c r="AS25" i="127"/>
  <c r="AQ26" i="127"/>
  <c r="AS26" i="127"/>
  <c r="AQ27" i="127"/>
  <c r="AS27" i="127"/>
  <c r="AQ28" i="127"/>
  <c r="AS28" i="127"/>
  <c r="AQ29" i="127"/>
  <c r="AS29" i="127"/>
  <c r="AQ30" i="127"/>
  <c r="AS30" i="127"/>
  <c r="AQ31" i="127"/>
  <c r="AS31" i="127"/>
  <c r="AQ32" i="127"/>
  <c r="AS32" i="127"/>
  <c r="AQ33" i="127"/>
  <c r="AS33" i="127"/>
  <c r="AQ34" i="127"/>
  <c r="AS34" i="127"/>
  <c r="AQ35" i="127"/>
  <c r="AS35" i="127"/>
  <c r="AQ36" i="127"/>
  <c r="AS36" i="127"/>
  <c r="AQ37" i="127"/>
  <c r="AS37" i="127"/>
  <c r="AQ38" i="127"/>
  <c r="AS38" i="127"/>
  <c r="AQ39" i="127"/>
  <c r="AS39" i="127"/>
  <c r="AQ40" i="127"/>
  <c r="AS40" i="127"/>
  <c r="AQ41" i="127"/>
  <c r="AS41" i="127"/>
  <c r="AQ42" i="127"/>
  <c r="AS42" i="127"/>
  <c r="AQ43" i="127"/>
  <c r="AS43" i="127"/>
  <c r="AQ44" i="127"/>
  <c r="AS44" i="127"/>
  <c r="AQ45" i="127"/>
  <c r="AS45" i="127"/>
  <c r="AQ46" i="127"/>
  <c r="AS46" i="127"/>
  <c r="AQ47" i="127"/>
  <c r="AS47" i="127"/>
  <c r="AQ48" i="127"/>
  <c r="AS48" i="127"/>
  <c r="AQ49" i="127"/>
  <c r="AS49" i="127"/>
  <c r="AQ50" i="127"/>
  <c r="AS50" i="127"/>
  <c r="AQ51" i="127"/>
  <c r="AS51" i="127"/>
  <c r="AQ52" i="127"/>
  <c r="AS52" i="127"/>
  <c r="AQ53" i="127"/>
  <c r="AS53" i="127"/>
  <c r="AQ54" i="127"/>
  <c r="AS54" i="127"/>
  <c r="D78" i="127"/>
  <c r="D79" i="127" s="1"/>
  <c r="D80" i="127"/>
  <c r="U4" i="128"/>
  <c r="Q4" i="128"/>
  <c r="Q5" i="128"/>
  <c r="B5" i="127"/>
  <c r="Q4" i="127"/>
  <c r="U4" i="127"/>
  <c r="Q5" i="127"/>
  <c r="B5" i="128"/>
  <c r="Y4" i="127"/>
  <c r="E5" i="128" a="1"/>
  <c r="Y4" i="128"/>
  <c r="E5" i="127" a="1"/>
  <c r="D81" i="127" l="1"/>
  <c r="F251" i="2" s="1"/>
  <c r="E5" i="128"/>
  <c r="E5" i="127"/>
  <c r="J241" i="126"/>
  <c r="J240" i="126"/>
  <c r="J239" i="126"/>
  <c r="J238" i="126"/>
  <c r="J237" i="126"/>
  <c r="AS215" i="126"/>
  <c r="AQ215" i="126"/>
  <c r="AS214" i="126"/>
  <c r="AQ214" i="126"/>
  <c r="AS213" i="126"/>
  <c r="AQ213" i="126"/>
  <c r="AS212" i="126"/>
  <c r="AQ212" i="126"/>
  <c r="AS211" i="126"/>
  <c r="AQ211" i="126"/>
  <c r="AS210" i="126"/>
  <c r="AQ210" i="126"/>
  <c r="AS209" i="126"/>
  <c r="AQ209" i="126"/>
  <c r="AS208" i="126"/>
  <c r="AQ208" i="126"/>
  <c r="AS207" i="126"/>
  <c r="AQ207" i="126"/>
  <c r="AS206" i="126"/>
  <c r="AQ206" i="126"/>
  <c r="AS205" i="126"/>
  <c r="AQ205" i="126"/>
  <c r="AS204" i="126"/>
  <c r="AQ204" i="126"/>
  <c r="AS203" i="126"/>
  <c r="AQ203" i="126"/>
  <c r="AS202" i="126"/>
  <c r="AQ202" i="126"/>
  <c r="AS201" i="126"/>
  <c r="AQ201" i="126"/>
  <c r="AS200" i="126"/>
  <c r="AQ200" i="126"/>
  <c r="AS199" i="126"/>
  <c r="AQ199" i="126"/>
  <c r="AS198" i="126"/>
  <c r="AQ198" i="126"/>
  <c r="AS197" i="126"/>
  <c r="AQ197" i="126"/>
  <c r="AS196" i="126"/>
  <c r="AQ196" i="126"/>
  <c r="AS195" i="126"/>
  <c r="AQ195" i="126"/>
  <c r="AS194" i="126"/>
  <c r="AQ194" i="126"/>
  <c r="AS193" i="126"/>
  <c r="AQ193" i="126"/>
  <c r="AS192" i="126"/>
  <c r="AQ192" i="126"/>
  <c r="AS191" i="126"/>
  <c r="AQ191" i="126"/>
  <c r="AS190" i="126"/>
  <c r="AQ190" i="126"/>
  <c r="AS189" i="126"/>
  <c r="AQ189" i="126"/>
  <c r="AS188" i="126"/>
  <c r="AQ188" i="126"/>
  <c r="AS187" i="126"/>
  <c r="AQ187" i="126"/>
  <c r="AS186" i="126"/>
  <c r="AQ186" i="126"/>
  <c r="AS185" i="126"/>
  <c r="AQ185" i="126"/>
  <c r="AS184" i="126"/>
  <c r="AQ184" i="126"/>
  <c r="AS183" i="126"/>
  <c r="AQ183" i="126"/>
  <c r="AS182" i="126"/>
  <c r="AQ182" i="126"/>
  <c r="AS181" i="126"/>
  <c r="AQ181" i="126"/>
  <c r="AS180" i="126"/>
  <c r="AQ180" i="126"/>
  <c r="AS179" i="126"/>
  <c r="AQ179" i="126"/>
  <c r="AS178" i="126"/>
  <c r="AQ178" i="126"/>
  <c r="AS177" i="126"/>
  <c r="AQ177" i="126"/>
  <c r="AS176" i="126"/>
  <c r="AQ176" i="126"/>
  <c r="AS175" i="126"/>
  <c r="AQ175" i="126"/>
  <c r="AS174" i="126"/>
  <c r="AQ174" i="126"/>
  <c r="AS173" i="126"/>
  <c r="AQ173" i="126"/>
  <c r="AS172" i="126"/>
  <c r="AQ172" i="126"/>
  <c r="AS171" i="126"/>
  <c r="AQ171" i="126"/>
  <c r="AS170" i="126"/>
  <c r="AQ170" i="126"/>
  <c r="AS169" i="126"/>
  <c r="AQ169" i="126"/>
  <c r="AS168" i="126"/>
  <c r="AQ168" i="126"/>
  <c r="AS167" i="126"/>
  <c r="AQ167" i="126"/>
  <c r="AS166" i="126"/>
  <c r="AQ166" i="126"/>
  <c r="AS165" i="126"/>
  <c r="AQ165" i="126"/>
  <c r="AS164" i="126"/>
  <c r="AQ164" i="126"/>
  <c r="AS163" i="126"/>
  <c r="AQ163" i="126"/>
  <c r="AS162" i="126"/>
  <c r="AQ162" i="126"/>
  <c r="AS161" i="126"/>
  <c r="AQ161" i="126"/>
  <c r="AS160" i="126"/>
  <c r="AQ160" i="126"/>
  <c r="AS159" i="126"/>
  <c r="AQ159" i="126"/>
  <c r="AS158" i="126"/>
  <c r="AQ158" i="126"/>
  <c r="AS157" i="126"/>
  <c r="AQ157" i="126"/>
  <c r="AS156" i="126"/>
  <c r="AQ156" i="126"/>
  <c r="AS155" i="126"/>
  <c r="AQ155" i="126"/>
  <c r="AS154" i="126"/>
  <c r="AQ154" i="126"/>
  <c r="AS153" i="126"/>
  <c r="AQ153" i="126"/>
  <c r="AS152" i="126"/>
  <c r="AQ152" i="126"/>
  <c r="AS151" i="126"/>
  <c r="AQ151" i="126"/>
  <c r="AS150" i="126"/>
  <c r="AQ150" i="126"/>
  <c r="AS149" i="126"/>
  <c r="AQ149" i="126"/>
  <c r="AS148" i="126"/>
  <c r="AQ148" i="126"/>
  <c r="AS147" i="126"/>
  <c r="AQ147" i="126"/>
  <c r="AS146" i="126"/>
  <c r="AQ146" i="126"/>
  <c r="AS145" i="126"/>
  <c r="AQ145" i="126"/>
  <c r="AS144" i="126"/>
  <c r="AQ144" i="126"/>
  <c r="AS143" i="126"/>
  <c r="AQ143" i="126"/>
  <c r="AS142" i="126"/>
  <c r="AQ142" i="126"/>
  <c r="AS141" i="126"/>
  <c r="AQ141" i="126"/>
  <c r="AS140" i="126"/>
  <c r="AQ140" i="126"/>
  <c r="AS139" i="126"/>
  <c r="AQ139" i="126"/>
  <c r="AS138" i="126"/>
  <c r="AQ138" i="126"/>
  <c r="AS137" i="126"/>
  <c r="AQ137" i="126"/>
  <c r="AS136" i="126"/>
  <c r="AQ136" i="126"/>
  <c r="AS135" i="126"/>
  <c r="AQ135" i="126"/>
  <c r="AS134" i="126"/>
  <c r="AQ134" i="126"/>
  <c r="AS133" i="126"/>
  <c r="AQ133" i="126"/>
  <c r="AS132" i="126"/>
  <c r="AQ132" i="126"/>
  <c r="AS131" i="126"/>
  <c r="AQ131" i="126"/>
  <c r="AS130" i="126"/>
  <c r="AQ130" i="126"/>
  <c r="AS129" i="126"/>
  <c r="AQ129" i="126"/>
  <c r="AS128" i="126"/>
  <c r="AQ128" i="126"/>
  <c r="AS127" i="126"/>
  <c r="AQ127" i="126"/>
  <c r="AS126" i="126"/>
  <c r="AQ126" i="126"/>
  <c r="AS125" i="126"/>
  <c r="AQ125" i="126"/>
  <c r="AS124" i="126"/>
  <c r="AQ124" i="126"/>
  <c r="AS123" i="126"/>
  <c r="AQ123" i="126"/>
  <c r="AS122" i="126"/>
  <c r="AQ122" i="126"/>
  <c r="AS121" i="126"/>
  <c r="AQ121" i="126"/>
  <c r="AS120" i="126"/>
  <c r="AQ120" i="126"/>
  <c r="AS119" i="126"/>
  <c r="AQ119" i="126"/>
  <c r="AS118" i="126"/>
  <c r="AQ118" i="126"/>
  <c r="AS117" i="126"/>
  <c r="AQ117" i="126"/>
  <c r="AS116" i="126"/>
  <c r="AQ116" i="126"/>
  <c r="AS115" i="126"/>
  <c r="AQ115" i="126"/>
  <c r="AS114" i="126"/>
  <c r="AQ114" i="126"/>
  <c r="AS113" i="126"/>
  <c r="AQ113" i="126"/>
  <c r="AS112" i="126"/>
  <c r="AQ112" i="126"/>
  <c r="AS111" i="126"/>
  <c r="AQ111" i="126"/>
  <c r="AS110" i="126"/>
  <c r="AQ110" i="126"/>
  <c r="AS109" i="126"/>
  <c r="AQ109" i="126"/>
  <c r="AS108" i="126"/>
  <c r="AQ108" i="126"/>
  <c r="AS107" i="126"/>
  <c r="AQ107" i="126"/>
  <c r="AS106" i="126"/>
  <c r="AQ106" i="126"/>
  <c r="AS105" i="126"/>
  <c r="AQ105" i="126"/>
  <c r="AS104" i="126"/>
  <c r="AQ104" i="126"/>
  <c r="AS103" i="126"/>
  <c r="AQ103" i="126"/>
  <c r="AS102" i="126"/>
  <c r="AQ102" i="126"/>
  <c r="AS101" i="126"/>
  <c r="AQ101" i="126"/>
  <c r="AS100" i="126"/>
  <c r="AQ100" i="126"/>
  <c r="AS99" i="126"/>
  <c r="AQ99" i="126"/>
  <c r="AS98" i="126"/>
  <c r="AQ98" i="126"/>
  <c r="AS97" i="126"/>
  <c r="AQ97" i="126"/>
  <c r="AS96" i="126"/>
  <c r="AQ96" i="126"/>
  <c r="AS95" i="126"/>
  <c r="AQ95" i="126"/>
  <c r="AS94" i="126"/>
  <c r="AQ94" i="126"/>
  <c r="AS93" i="126"/>
  <c r="AQ93" i="126"/>
  <c r="AS92" i="126"/>
  <c r="AQ92" i="126"/>
  <c r="AS91" i="126"/>
  <c r="AQ91" i="126"/>
  <c r="AS90" i="126"/>
  <c r="AQ90" i="126"/>
  <c r="AS89" i="126"/>
  <c r="AQ89" i="126"/>
  <c r="AS88" i="126"/>
  <c r="AQ88" i="126"/>
  <c r="AS87" i="126"/>
  <c r="AQ87" i="126"/>
  <c r="AS86" i="126"/>
  <c r="AQ86" i="126"/>
  <c r="AS85" i="126"/>
  <c r="AQ85" i="126"/>
  <c r="AS84" i="126"/>
  <c r="AQ84" i="126"/>
  <c r="AS83" i="126"/>
  <c r="AQ83" i="126"/>
  <c r="AS82" i="126"/>
  <c r="AQ82" i="126"/>
  <c r="AS81" i="126"/>
  <c r="AQ81" i="126"/>
  <c r="AS80" i="126"/>
  <c r="AQ80" i="126"/>
  <c r="AS79" i="126"/>
  <c r="AQ79" i="126"/>
  <c r="AS78" i="126"/>
  <c r="AQ78" i="126"/>
  <c r="AS77" i="126"/>
  <c r="AQ77" i="126"/>
  <c r="AS76" i="126"/>
  <c r="AQ76" i="126"/>
  <c r="AS75" i="126"/>
  <c r="AQ75" i="126"/>
  <c r="AS74" i="126"/>
  <c r="AQ74" i="126"/>
  <c r="AS73" i="126"/>
  <c r="AQ73" i="126"/>
  <c r="AS72" i="126"/>
  <c r="AQ72" i="126"/>
  <c r="AS71" i="126"/>
  <c r="AQ71" i="126"/>
  <c r="AS70" i="126"/>
  <c r="AQ70" i="126"/>
  <c r="AS69" i="126"/>
  <c r="AQ69" i="126"/>
  <c r="AS68" i="126"/>
  <c r="AQ68" i="126"/>
  <c r="AS67" i="126"/>
  <c r="AQ67" i="126"/>
  <c r="AS66" i="126"/>
  <c r="AQ66" i="126"/>
  <c r="AS65" i="126"/>
  <c r="AQ65" i="126"/>
  <c r="AS64" i="126"/>
  <c r="AQ64" i="126"/>
  <c r="AS63" i="126"/>
  <c r="AQ63" i="126"/>
  <c r="AS62" i="126"/>
  <c r="AQ62" i="126"/>
  <c r="AS61" i="126"/>
  <c r="AQ61" i="126"/>
  <c r="AS60" i="126"/>
  <c r="AQ60" i="126"/>
  <c r="AS59" i="126"/>
  <c r="AQ59" i="126"/>
  <c r="AS58" i="126"/>
  <c r="AQ58" i="126"/>
  <c r="AS57" i="126"/>
  <c r="AQ57" i="126"/>
  <c r="AS56" i="126"/>
  <c r="AQ56" i="126"/>
  <c r="AS55" i="126"/>
  <c r="AQ55" i="126"/>
  <c r="AS54" i="126"/>
  <c r="AQ54" i="126"/>
  <c r="AS53" i="126"/>
  <c r="AQ53" i="126"/>
  <c r="AS52" i="126"/>
  <c r="AQ52" i="126"/>
  <c r="AS51" i="126"/>
  <c r="AQ51" i="126"/>
  <c r="AS50" i="126"/>
  <c r="AQ50" i="126"/>
  <c r="AS49" i="126"/>
  <c r="AQ49" i="126"/>
  <c r="AS48" i="126"/>
  <c r="AQ48" i="126"/>
  <c r="AS47" i="126"/>
  <c r="AQ47" i="126"/>
  <c r="AS46" i="126"/>
  <c r="AQ46" i="126"/>
  <c r="AS45" i="126"/>
  <c r="AQ45" i="126"/>
  <c r="AS44" i="126"/>
  <c r="AQ44" i="126"/>
  <c r="AS43" i="126"/>
  <c r="AQ43" i="126"/>
  <c r="AS42" i="126"/>
  <c r="AQ42" i="126"/>
  <c r="AS41" i="126"/>
  <c r="AQ41" i="126"/>
  <c r="AS40" i="126"/>
  <c r="AQ40" i="126"/>
  <c r="AS39" i="126"/>
  <c r="AQ39" i="126"/>
  <c r="AS38" i="126"/>
  <c r="AQ38" i="126"/>
  <c r="AS37" i="126"/>
  <c r="AQ37" i="126"/>
  <c r="AS36" i="126"/>
  <c r="AQ36" i="126"/>
  <c r="AS35" i="126"/>
  <c r="AQ35" i="126"/>
  <c r="AS34" i="126"/>
  <c r="AQ34" i="126"/>
  <c r="AS33" i="126"/>
  <c r="AQ33" i="126"/>
  <c r="AS32" i="126"/>
  <c r="AQ32" i="126"/>
  <c r="AS31" i="126"/>
  <c r="AQ31" i="126"/>
  <c r="AS30" i="126"/>
  <c r="AQ30" i="126"/>
  <c r="AS29" i="126"/>
  <c r="AQ29" i="126"/>
  <c r="AS28" i="126"/>
  <c r="AQ28" i="126"/>
  <c r="AS27" i="126"/>
  <c r="AQ27" i="126"/>
  <c r="AS26" i="126"/>
  <c r="AQ26" i="126"/>
  <c r="AS25" i="126"/>
  <c r="AQ25" i="126"/>
  <c r="AS24" i="126"/>
  <c r="AQ24" i="126"/>
  <c r="AS23" i="126"/>
  <c r="AQ23" i="126"/>
  <c r="AS22" i="126"/>
  <c r="AQ22" i="126"/>
  <c r="AS21" i="126"/>
  <c r="AQ21" i="126"/>
  <c r="AS20" i="126"/>
  <c r="AQ20" i="126"/>
  <c r="G17" i="126"/>
  <c r="E17" i="126"/>
  <c r="D17" i="126"/>
  <c r="E16" i="126"/>
  <c r="D16" i="126"/>
  <c r="B5" i="126"/>
  <c r="Y4" i="126"/>
  <c r="Q4" i="126"/>
  <c r="E5" i="126" a="1"/>
  <c r="U4" i="126"/>
  <c r="Q5" i="126"/>
  <c r="J242" i="126" l="1"/>
  <c r="E5" i="126"/>
  <c r="H9" i="94" l="1"/>
  <c r="G9" i="94"/>
  <c r="F9" i="94"/>
  <c r="E9" i="94"/>
  <c r="D9" i="94"/>
  <c r="C9" i="94"/>
  <c r="B9" i="94"/>
  <c r="A1" i="124"/>
  <c r="B144" i="124"/>
  <c r="D144" i="124"/>
  <c r="B145" i="124"/>
  <c r="D145" i="124"/>
  <c r="B146" i="124"/>
  <c r="D146" i="124"/>
  <c r="B158" i="124"/>
  <c r="D158" i="124"/>
  <c r="B159" i="124"/>
  <c r="D159" i="124"/>
  <c r="B321" i="124"/>
  <c r="D321" i="124"/>
  <c r="B322" i="124"/>
  <c r="D322" i="124"/>
  <c r="B323" i="124"/>
  <c r="D323" i="124"/>
  <c r="B324" i="124"/>
  <c r="D324" i="124"/>
  <c r="E36" i="94" l="1"/>
  <c r="D132" i="7"/>
  <c r="C132" i="7"/>
  <c r="C6" i="123"/>
  <c r="D3" i="123" s="1"/>
  <c r="F3" i="123" s="1"/>
  <c r="D2" i="123" l="1"/>
  <c r="F2" i="123" s="1"/>
  <c r="F6" i="123" s="1"/>
  <c r="D4" i="123"/>
  <c r="E4" i="123" s="1"/>
  <c r="E6" i="123" s="1"/>
  <c r="D5" i="123"/>
  <c r="F5" i="123" s="1"/>
  <c r="D6" i="123" l="1"/>
  <c r="D52" i="6"/>
  <c r="D51" i="6"/>
  <c r="D50" i="6"/>
  <c r="D49" i="6"/>
  <c r="D48" i="6"/>
  <c r="G51" i="121" l="1"/>
  <c r="D16" i="121"/>
  <c r="E16" i="121"/>
  <c r="D17" i="121"/>
  <c r="E17" i="121"/>
  <c r="G17" i="121"/>
  <c r="AQ20" i="121"/>
  <c r="AS20" i="121"/>
  <c r="AQ21" i="121"/>
  <c r="AS21" i="121"/>
  <c r="AQ22" i="121"/>
  <c r="AS22" i="121"/>
  <c r="AQ23" i="121"/>
  <c r="AS23" i="121"/>
  <c r="AQ24" i="121"/>
  <c r="AS24" i="121"/>
  <c r="AQ25" i="121"/>
  <c r="AS25" i="121"/>
  <c r="AQ26" i="121"/>
  <c r="AS26" i="121"/>
  <c r="AQ27" i="121"/>
  <c r="AS27" i="121"/>
  <c r="AQ28" i="121"/>
  <c r="AS28" i="121"/>
  <c r="AQ29" i="121"/>
  <c r="AS29" i="121"/>
  <c r="AQ30" i="121"/>
  <c r="AS30" i="121"/>
  <c r="AQ31" i="121"/>
  <c r="AS31" i="121"/>
  <c r="AQ32" i="121"/>
  <c r="AS32" i="121"/>
  <c r="AQ33" i="121"/>
  <c r="AS33" i="121"/>
  <c r="AQ34" i="121"/>
  <c r="AS34" i="121"/>
  <c r="AQ35" i="121"/>
  <c r="AS35" i="121"/>
  <c r="AQ36" i="121"/>
  <c r="AS36" i="121"/>
  <c r="AQ37" i="121"/>
  <c r="AS37" i="121"/>
  <c r="AQ38" i="121"/>
  <c r="AS38" i="121"/>
  <c r="AQ39" i="121"/>
  <c r="AS39" i="121"/>
  <c r="AQ40" i="121"/>
  <c r="AS40" i="121"/>
  <c r="AQ41" i="121"/>
  <c r="AS41" i="121"/>
  <c r="AQ42" i="121"/>
  <c r="AS42" i="121"/>
  <c r="Q5" i="121"/>
  <c r="Q4" i="121"/>
  <c r="B5" i="121"/>
  <c r="E5" i="121" a="1"/>
  <c r="U4" i="121"/>
  <c r="Y4" i="121"/>
  <c r="E5" i="121" l="1"/>
  <c r="I66" i="120"/>
  <c r="J11" i="120" s="1"/>
  <c r="I48" i="120"/>
  <c r="J6" i="120" s="1"/>
  <c r="I32" i="120"/>
  <c r="I30" i="120"/>
  <c r="J5" i="120" s="1"/>
  <c r="J12" i="120" s="1"/>
  <c r="D90" i="119"/>
  <c r="C90" i="119"/>
  <c r="D89" i="119"/>
  <c r="C89" i="119"/>
  <c r="D86" i="119"/>
  <c r="C86" i="119"/>
  <c r="D84" i="119"/>
  <c r="C84" i="119"/>
  <c r="D83" i="119"/>
  <c r="C83" i="119"/>
  <c r="D82" i="119"/>
  <c r="C82" i="119"/>
  <c r="D81" i="119"/>
  <c r="C81" i="119"/>
  <c r="D80" i="119"/>
  <c r="C80" i="119"/>
  <c r="D79" i="119"/>
  <c r="C79" i="119"/>
  <c r="D78" i="119"/>
  <c r="C78" i="119"/>
  <c r="D77" i="119"/>
  <c r="C77" i="119"/>
  <c r="D76" i="119"/>
  <c r="C76" i="119"/>
  <c r="D75" i="119"/>
  <c r="C75" i="119"/>
  <c r="D74" i="119"/>
  <c r="C74" i="119"/>
  <c r="D73" i="119"/>
  <c r="C73" i="119"/>
  <c r="D72" i="119"/>
  <c r="C72" i="119"/>
  <c r="D71" i="119"/>
  <c r="C71" i="119"/>
  <c r="D70" i="119"/>
  <c r="C70" i="119"/>
  <c r="D69" i="119"/>
  <c r="C69" i="119"/>
  <c r="D68" i="119"/>
  <c r="C68" i="119"/>
  <c r="D67" i="119"/>
  <c r="C67" i="119"/>
  <c r="D66" i="119"/>
  <c r="C66" i="119"/>
  <c r="D65" i="119"/>
  <c r="C65" i="119"/>
  <c r="D64" i="119"/>
  <c r="C64" i="119"/>
  <c r="D63" i="119"/>
  <c r="C63" i="119"/>
  <c r="D62" i="119"/>
  <c r="C62" i="119"/>
  <c r="D61" i="119"/>
  <c r="C61" i="119"/>
  <c r="D60" i="119"/>
  <c r="C60" i="119"/>
  <c r="D59" i="119"/>
  <c r="C59" i="119"/>
  <c r="D58" i="119"/>
  <c r="C58" i="119"/>
  <c r="D57" i="119"/>
  <c r="C57" i="119"/>
  <c r="D56" i="119"/>
  <c r="C56" i="119"/>
  <c r="D55" i="119"/>
  <c r="C55" i="119"/>
  <c r="D54" i="119"/>
  <c r="C54" i="119"/>
  <c r="D53" i="119"/>
  <c r="C53" i="119"/>
  <c r="D52" i="119"/>
  <c r="C52" i="119"/>
  <c r="D51" i="119"/>
  <c r="C51" i="119"/>
  <c r="D50" i="119"/>
  <c r="C50" i="119"/>
  <c r="D49" i="119"/>
  <c r="C49" i="119"/>
  <c r="D48" i="119"/>
  <c r="C48" i="119"/>
  <c r="D47" i="119"/>
  <c r="C47" i="119"/>
  <c r="D46" i="119"/>
  <c r="C46" i="119"/>
  <c r="D45" i="119"/>
  <c r="C45" i="119"/>
  <c r="D44" i="119"/>
  <c r="C44" i="119"/>
  <c r="D43" i="119"/>
  <c r="C43" i="119"/>
  <c r="D42" i="119"/>
  <c r="C42" i="119"/>
  <c r="D41" i="119"/>
  <c r="C41" i="119"/>
  <c r="D40" i="119"/>
  <c r="C40" i="119"/>
  <c r="D39" i="119"/>
  <c r="C39" i="119"/>
  <c r="D38" i="119"/>
  <c r="C38" i="119"/>
  <c r="D37" i="119"/>
  <c r="C37" i="119"/>
  <c r="D36" i="119"/>
  <c r="C36" i="119"/>
  <c r="D35" i="119"/>
  <c r="C35" i="119"/>
  <c r="D34" i="119"/>
  <c r="C34" i="119"/>
  <c r="D33" i="119"/>
  <c r="C33" i="119"/>
  <c r="D32" i="119"/>
  <c r="C32" i="119"/>
  <c r="D31" i="119"/>
  <c r="C31" i="119"/>
  <c r="D30" i="119"/>
  <c r="C30" i="119"/>
  <c r="D29" i="119"/>
  <c r="C29" i="119"/>
  <c r="D28" i="119"/>
  <c r="C28" i="119"/>
  <c r="D27" i="119"/>
  <c r="C27" i="119"/>
  <c r="D26" i="119"/>
  <c r="C26" i="119"/>
  <c r="D25" i="119"/>
  <c r="C25" i="119"/>
  <c r="D24" i="119"/>
  <c r="C24" i="119"/>
  <c r="D23" i="119"/>
  <c r="C23" i="119"/>
  <c r="D22" i="119"/>
  <c r="C22" i="119"/>
  <c r="D21" i="119"/>
  <c r="C21" i="119"/>
  <c r="D20" i="119"/>
  <c r="C20" i="119"/>
  <c r="D19" i="119"/>
  <c r="C19" i="119"/>
  <c r="D18" i="119"/>
  <c r="C18" i="119"/>
  <c r="D17" i="119"/>
  <c r="C17" i="119"/>
  <c r="D16" i="119"/>
  <c r="C16" i="119"/>
  <c r="D15" i="119"/>
  <c r="C15" i="119"/>
  <c r="D14" i="119"/>
  <c r="C14" i="119"/>
  <c r="D13" i="119"/>
  <c r="C13" i="119"/>
  <c r="D12" i="119"/>
  <c r="C12" i="119"/>
  <c r="D11" i="119"/>
  <c r="C11" i="119"/>
  <c r="AP123" i="118"/>
  <c r="AO123" i="118"/>
  <c r="AN123" i="118"/>
  <c r="AM123" i="118"/>
  <c r="AL123" i="118"/>
  <c r="AK123" i="118"/>
  <c r="AP122" i="118"/>
  <c r="AO122" i="118"/>
  <c r="AN122" i="118"/>
  <c r="AM122" i="118"/>
  <c r="AL122" i="118"/>
  <c r="AK122" i="118"/>
  <c r="AP121" i="118"/>
  <c r="AO121" i="118"/>
  <c r="AN121" i="118"/>
  <c r="AM121" i="118"/>
  <c r="AL121" i="118"/>
  <c r="AK121" i="118"/>
  <c r="AP120" i="118"/>
  <c r="AO120" i="118"/>
  <c r="AN120" i="118"/>
  <c r="AM120" i="118"/>
  <c r="AL120" i="118"/>
  <c r="AK120" i="118"/>
  <c r="AP119" i="118"/>
  <c r="AO119" i="118"/>
  <c r="AN119" i="118"/>
  <c r="AM119" i="118"/>
  <c r="AL119" i="118"/>
  <c r="AK119" i="118"/>
  <c r="AP118" i="118"/>
  <c r="AO118" i="118"/>
  <c r="AN118" i="118"/>
  <c r="AM118" i="118"/>
  <c r="AL118" i="118"/>
  <c r="AK118" i="118"/>
  <c r="AP117" i="118"/>
  <c r="AO117" i="118"/>
  <c r="AN117" i="118"/>
  <c r="AM117" i="118"/>
  <c r="AL117" i="118"/>
  <c r="AK117" i="118"/>
  <c r="AP116" i="118"/>
  <c r="AO116" i="118"/>
  <c r="AN116" i="118"/>
  <c r="AM116" i="118"/>
  <c r="AL116" i="118"/>
  <c r="AK116" i="118"/>
  <c r="AP115" i="118"/>
  <c r="AO115" i="118"/>
  <c r="AN115" i="118"/>
  <c r="AM115" i="118"/>
  <c r="AL115" i="118"/>
  <c r="AK115" i="118"/>
  <c r="AP114" i="118"/>
  <c r="AO114" i="118"/>
  <c r="AN114" i="118"/>
  <c r="AM114" i="118"/>
  <c r="AL114" i="118"/>
  <c r="AK114" i="118"/>
  <c r="AP113" i="118"/>
  <c r="AO113" i="118"/>
  <c r="AN113" i="118"/>
  <c r="AM113" i="118"/>
  <c r="AL113" i="118"/>
  <c r="AK113" i="118"/>
  <c r="AP112" i="118"/>
  <c r="AO112" i="118"/>
  <c r="AN112" i="118"/>
  <c r="AM112" i="118"/>
  <c r="AL112" i="118"/>
  <c r="AK112" i="118"/>
  <c r="AP111" i="118"/>
  <c r="AO111" i="118"/>
  <c r="AN111" i="118"/>
  <c r="AM111" i="118"/>
  <c r="AL111" i="118"/>
  <c r="AK111" i="118"/>
  <c r="AP110" i="118"/>
  <c r="AO110" i="118"/>
  <c r="AN110" i="118"/>
  <c r="AM110" i="118"/>
  <c r="AL110" i="118"/>
  <c r="AK110" i="118"/>
  <c r="AP109" i="118"/>
  <c r="AO109" i="118"/>
  <c r="AN109" i="118"/>
  <c r="AM109" i="118"/>
  <c r="AL109" i="118"/>
  <c r="AK109" i="118"/>
  <c r="AP108" i="118"/>
  <c r="AO108" i="118"/>
  <c r="AN108" i="118"/>
  <c r="AM108" i="118"/>
  <c r="AL108" i="118"/>
  <c r="AK108" i="118"/>
  <c r="AP107" i="118"/>
  <c r="AO107" i="118"/>
  <c r="AN107" i="118"/>
  <c r="AM107" i="118"/>
  <c r="AL107" i="118"/>
  <c r="AK107" i="118"/>
  <c r="AP106" i="118"/>
  <c r="AO106" i="118"/>
  <c r="AN106" i="118"/>
  <c r="AM106" i="118"/>
  <c r="AL106" i="118"/>
  <c r="AK106" i="118"/>
  <c r="AP105" i="118"/>
  <c r="AO105" i="118"/>
  <c r="AN105" i="118"/>
  <c r="AM105" i="118"/>
  <c r="AL105" i="118"/>
  <c r="AK105" i="118"/>
  <c r="AP104" i="118"/>
  <c r="AO104" i="118"/>
  <c r="AN104" i="118"/>
  <c r="AM104" i="118"/>
  <c r="AL104" i="118"/>
  <c r="AK104" i="118"/>
  <c r="AP103" i="118"/>
  <c r="AO103" i="118"/>
  <c r="AN103" i="118"/>
  <c r="AM103" i="118"/>
  <c r="AL103" i="118"/>
  <c r="AK103" i="118"/>
  <c r="AP102" i="118"/>
  <c r="AO102" i="118"/>
  <c r="AN102" i="118"/>
  <c r="AM102" i="118"/>
  <c r="AL102" i="118"/>
  <c r="AK102" i="118"/>
  <c r="AP101" i="118"/>
  <c r="AO101" i="118"/>
  <c r="AN101" i="118"/>
  <c r="AM101" i="118"/>
  <c r="AL101" i="118"/>
  <c r="AK101" i="118"/>
  <c r="AP100" i="118"/>
  <c r="AO100" i="118"/>
  <c r="AN100" i="118"/>
  <c r="AM100" i="118"/>
  <c r="AL100" i="118"/>
  <c r="AK100" i="118"/>
  <c r="AP99" i="118"/>
  <c r="AO99" i="118"/>
  <c r="AN99" i="118"/>
  <c r="AM99" i="118"/>
  <c r="AL99" i="118"/>
  <c r="AK99" i="118"/>
  <c r="AP98" i="118"/>
  <c r="AO98" i="118"/>
  <c r="AN98" i="118"/>
  <c r="AM98" i="118"/>
  <c r="AL98" i="118"/>
  <c r="AK98" i="118"/>
  <c r="AP97" i="118"/>
  <c r="AO97" i="118"/>
  <c r="AN97" i="118"/>
  <c r="AM97" i="118"/>
  <c r="AL97" i="118"/>
  <c r="AK97" i="118"/>
  <c r="AP96" i="118"/>
  <c r="AO96" i="118"/>
  <c r="AN96" i="118"/>
  <c r="AM96" i="118"/>
  <c r="AL96" i="118"/>
  <c r="AK96" i="118"/>
  <c r="AP95" i="118"/>
  <c r="AO95" i="118"/>
  <c r="AN95" i="118"/>
  <c r="AM95" i="118"/>
  <c r="AL95" i="118"/>
  <c r="AK95" i="118"/>
  <c r="AP94" i="118"/>
  <c r="AO94" i="118"/>
  <c r="AN94" i="118"/>
  <c r="AM94" i="118"/>
  <c r="AL94" i="118"/>
  <c r="AK94" i="118"/>
  <c r="AP93" i="118"/>
  <c r="AO93" i="118"/>
  <c r="AN93" i="118"/>
  <c r="AM93" i="118"/>
  <c r="AL93" i="118"/>
  <c r="AK93" i="118"/>
  <c r="AP92" i="118"/>
  <c r="AO92" i="118"/>
  <c r="AN92" i="118"/>
  <c r="AM92" i="118"/>
  <c r="AL92" i="118"/>
  <c r="AK92" i="118"/>
  <c r="AP91" i="118"/>
  <c r="AO91" i="118"/>
  <c r="AN91" i="118"/>
  <c r="AM91" i="118"/>
  <c r="AL91" i="118"/>
  <c r="AK91" i="118"/>
  <c r="AP90" i="118"/>
  <c r="AO90" i="118"/>
  <c r="AN90" i="118"/>
  <c r="AM90" i="118"/>
  <c r="AL90" i="118"/>
  <c r="AK90" i="118"/>
  <c r="AP89" i="118"/>
  <c r="AO89" i="118"/>
  <c r="AN89" i="118"/>
  <c r="AM89" i="118"/>
  <c r="AL89" i="118"/>
  <c r="AK89" i="118"/>
  <c r="AP88" i="118"/>
  <c r="AO88" i="118"/>
  <c r="AN88" i="118"/>
  <c r="AM88" i="118"/>
  <c r="AL88" i="118"/>
  <c r="AK88" i="118"/>
  <c r="AP87" i="118"/>
  <c r="AO87" i="118"/>
  <c r="AN87" i="118"/>
  <c r="AM87" i="118"/>
  <c r="AL87" i="118"/>
  <c r="AK87" i="118"/>
  <c r="AP86" i="118"/>
  <c r="AO86" i="118"/>
  <c r="AN86" i="118"/>
  <c r="AM86" i="118"/>
  <c r="AL86" i="118"/>
  <c r="AK86" i="118"/>
  <c r="AP85" i="118"/>
  <c r="AO85" i="118"/>
  <c r="AN85" i="118"/>
  <c r="AM85" i="118"/>
  <c r="AL85" i="118"/>
  <c r="AK85" i="118"/>
  <c r="AP84" i="118"/>
  <c r="AO84" i="118"/>
  <c r="AN84" i="118"/>
  <c r="AM84" i="118"/>
  <c r="AL84" i="118"/>
  <c r="AK84" i="118"/>
  <c r="AP83" i="118"/>
  <c r="AO83" i="118"/>
  <c r="AN83" i="118"/>
  <c r="AM83" i="118"/>
  <c r="AL83" i="118"/>
  <c r="AK83" i="118"/>
  <c r="AP82" i="118"/>
  <c r="AO82" i="118"/>
  <c r="AN82" i="118"/>
  <c r="AM82" i="118"/>
  <c r="AL82" i="118"/>
  <c r="AK82" i="118"/>
  <c r="AP81" i="118"/>
  <c r="AO81" i="118"/>
  <c r="AN81" i="118"/>
  <c r="AM81" i="118"/>
  <c r="AL81" i="118"/>
  <c r="AK81" i="118"/>
  <c r="AP80" i="118"/>
  <c r="AO80" i="118"/>
  <c r="AN80" i="118"/>
  <c r="AM80" i="118"/>
  <c r="AL80" i="118"/>
  <c r="AK80" i="118"/>
  <c r="AP79" i="118"/>
  <c r="AO79" i="118"/>
  <c r="AN79" i="118"/>
  <c r="AM79" i="118"/>
  <c r="AL79" i="118"/>
  <c r="AK79" i="118"/>
  <c r="AP78" i="118"/>
  <c r="AO78" i="118"/>
  <c r="AN78" i="118"/>
  <c r="AM78" i="118"/>
  <c r="AL78" i="118"/>
  <c r="AK78" i="118"/>
  <c r="AP77" i="118"/>
  <c r="AO77" i="118"/>
  <c r="AN77" i="118"/>
  <c r="AM77" i="118"/>
  <c r="AL77" i="118"/>
  <c r="AK77" i="118"/>
  <c r="AP76" i="118"/>
  <c r="AO76" i="118"/>
  <c r="AN76" i="118"/>
  <c r="AM76" i="118"/>
  <c r="AL76" i="118"/>
  <c r="AK76" i="118"/>
  <c r="AP75" i="118"/>
  <c r="AO75" i="118"/>
  <c r="AN75" i="118"/>
  <c r="AM75" i="118"/>
  <c r="AL75" i="118"/>
  <c r="AK75" i="118"/>
  <c r="AP74" i="118"/>
  <c r="AO74" i="118"/>
  <c r="AN74" i="118"/>
  <c r="AM74" i="118"/>
  <c r="AL74" i="118"/>
  <c r="AK74" i="118"/>
  <c r="AP73" i="118"/>
  <c r="AO73" i="118"/>
  <c r="AN73" i="118"/>
  <c r="AM73" i="118"/>
  <c r="AL73" i="118"/>
  <c r="AK73" i="118"/>
  <c r="AP72" i="118"/>
  <c r="AO72" i="118"/>
  <c r="AN72" i="118"/>
  <c r="AM72" i="118"/>
  <c r="AL72" i="118"/>
  <c r="AK72" i="118"/>
  <c r="AP71" i="118"/>
  <c r="AO71" i="118"/>
  <c r="AN71" i="118"/>
  <c r="AM71" i="118"/>
  <c r="AL71" i="118"/>
  <c r="AK71" i="118"/>
  <c r="AP70" i="118"/>
  <c r="AO70" i="118"/>
  <c r="AN70" i="118"/>
  <c r="AM70" i="118"/>
  <c r="AL70" i="118"/>
  <c r="AK70" i="118"/>
  <c r="AP69" i="118"/>
  <c r="AO69" i="118"/>
  <c r="AN69" i="118"/>
  <c r="AM69" i="118"/>
  <c r="AL69" i="118"/>
  <c r="AK69" i="118"/>
  <c r="AP68" i="118"/>
  <c r="AO68" i="118"/>
  <c r="AN68" i="118"/>
  <c r="AM68" i="118"/>
  <c r="AL68" i="118"/>
  <c r="AK68" i="118"/>
  <c r="AP67" i="118"/>
  <c r="AO67" i="118"/>
  <c r="AN67" i="118"/>
  <c r="AM67" i="118"/>
  <c r="AL67" i="118"/>
  <c r="AK67" i="118"/>
  <c r="AP66" i="118"/>
  <c r="AO66" i="118"/>
  <c r="AN66" i="118"/>
  <c r="AM66" i="118"/>
  <c r="AL66" i="118"/>
  <c r="AK66" i="118"/>
  <c r="AP65" i="118"/>
  <c r="AO65" i="118"/>
  <c r="AN65" i="118"/>
  <c r="AM65" i="118"/>
  <c r="AL65" i="118"/>
  <c r="AK65" i="118"/>
  <c r="AP64" i="118"/>
  <c r="AO64" i="118"/>
  <c r="AN64" i="118"/>
  <c r="AM64" i="118"/>
  <c r="AL64" i="118"/>
  <c r="AK64" i="118"/>
  <c r="AP63" i="118"/>
  <c r="AO63" i="118"/>
  <c r="AN63" i="118"/>
  <c r="AM63" i="118"/>
  <c r="AL63" i="118"/>
  <c r="AK63" i="118"/>
  <c r="AP62" i="118"/>
  <c r="AO62" i="118"/>
  <c r="AN62" i="118"/>
  <c r="AM62" i="118"/>
  <c r="AL62" i="118"/>
  <c r="AK62" i="118"/>
  <c r="AP61" i="118"/>
  <c r="AF1" i="118" s="1"/>
  <c r="AO61" i="118"/>
  <c r="AC5" i="118" s="1"/>
  <c r="AN61" i="118"/>
  <c r="AC4" i="118" s="1"/>
  <c r="AM61" i="118"/>
  <c r="AC3" i="118" s="1"/>
  <c r="AL61" i="118"/>
  <c r="AC2" i="118" s="1"/>
  <c r="AK61" i="118"/>
  <c r="AC1" i="118" s="1"/>
  <c r="AP60" i="118"/>
  <c r="AO60" i="118"/>
  <c r="AN60" i="118"/>
  <c r="AM60" i="118"/>
  <c r="AL60" i="118"/>
  <c r="AK60" i="118"/>
  <c r="AP59" i="118"/>
  <c r="AO59" i="118"/>
  <c r="AN59" i="118"/>
  <c r="AM59" i="118"/>
  <c r="AL59" i="118"/>
  <c r="AK59" i="118"/>
  <c r="AP58" i="118"/>
  <c r="AO58" i="118"/>
  <c r="AN58" i="118"/>
  <c r="AM58" i="118"/>
  <c r="AL58" i="118"/>
  <c r="AK58" i="118"/>
  <c r="AP57" i="118"/>
  <c r="AO57" i="118"/>
  <c r="AN57" i="118"/>
  <c r="AM57" i="118"/>
  <c r="AL57" i="118"/>
  <c r="AK57" i="118"/>
  <c r="AP56" i="118"/>
  <c r="AO56" i="118"/>
  <c r="AN56" i="118"/>
  <c r="AM56" i="118"/>
  <c r="AL56" i="118"/>
  <c r="AK56" i="118"/>
  <c r="AP55" i="118"/>
  <c r="AO55" i="118"/>
  <c r="AN55" i="118"/>
  <c r="AM55" i="118"/>
  <c r="AL55" i="118"/>
  <c r="AK55" i="118"/>
  <c r="AP54" i="118"/>
  <c r="AO54" i="118"/>
  <c r="AN54" i="118"/>
  <c r="AM54" i="118"/>
  <c r="AL54" i="118"/>
  <c r="AK54" i="118"/>
  <c r="AP53" i="118"/>
  <c r="AO53" i="118"/>
  <c r="AN53" i="118"/>
  <c r="AM53" i="118"/>
  <c r="AL53" i="118"/>
  <c r="AK53" i="118"/>
  <c r="AP52" i="118"/>
  <c r="AO52" i="118"/>
  <c r="AN52" i="118"/>
  <c r="AM52" i="118"/>
  <c r="AL52" i="118"/>
  <c r="AK52" i="118"/>
  <c r="AP51" i="118"/>
  <c r="AO51" i="118"/>
  <c r="AN51" i="118"/>
  <c r="AM51" i="118"/>
  <c r="AL51" i="118"/>
  <c r="AK51" i="118"/>
  <c r="AP50" i="118"/>
  <c r="AO50" i="118"/>
  <c r="AN50" i="118"/>
  <c r="AM50" i="118"/>
  <c r="AL50" i="118"/>
  <c r="AK50" i="118"/>
  <c r="AP49" i="118"/>
  <c r="AO49" i="118"/>
  <c r="AN49" i="118"/>
  <c r="AM49" i="118"/>
  <c r="AL49" i="118"/>
  <c r="AK49" i="118"/>
  <c r="AC49" i="118"/>
  <c r="AA49" i="118"/>
  <c r="Y49" i="118"/>
  <c r="W49" i="118"/>
  <c r="U49" i="118"/>
  <c r="S49" i="118"/>
  <c r="Q49" i="118"/>
  <c r="O49" i="118"/>
  <c r="M49" i="118"/>
  <c r="K49" i="118"/>
  <c r="I49" i="118"/>
  <c r="G49" i="118"/>
  <c r="AP48" i="118"/>
  <c r="AO48" i="118"/>
  <c r="AN48" i="118"/>
  <c r="AM48" i="118"/>
  <c r="AL48" i="118"/>
  <c r="AK48" i="118"/>
  <c r="AP47" i="118"/>
  <c r="AO47" i="118"/>
  <c r="AN47" i="118"/>
  <c r="AM47" i="118"/>
  <c r="AL47" i="118"/>
  <c r="AK47" i="118"/>
  <c r="AE47" i="118"/>
  <c r="AP46" i="118"/>
  <c r="AO46" i="118"/>
  <c r="AN46" i="118"/>
  <c r="AM46" i="118"/>
  <c r="AL46" i="118"/>
  <c r="AK46" i="118"/>
  <c r="AE46" i="118"/>
  <c r="AP45" i="118"/>
  <c r="AO45" i="118"/>
  <c r="AN45" i="118"/>
  <c r="AM45" i="118"/>
  <c r="AL45" i="118"/>
  <c r="AK45" i="118"/>
  <c r="AE45" i="118"/>
  <c r="AP44" i="118"/>
  <c r="AO44" i="118"/>
  <c r="AN44" i="118"/>
  <c r="AM44" i="118"/>
  <c r="AL44" i="118"/>
  <c r="AK44" i="118"/>
  <c r="AE44" i="118"/>
  <c r="AP43" i="118"/>
  <c r="AO43" i="118"/>
  <c r="AN43" i="118"/>
  <c r="AM43" i="118"/>
  <c r="AL43" i="118"/>
  <c r="AK43" i="118"/>
  <c r="AE43" i="118"/>
  <c r="AP42" i="118"/>
  <c r="AO42" i="118"/>
  <c r="AN42" i="118"/>
  <c r="AM42" i="118"/>
  <c r="AL42" i="118"/>
  <c r="AK42" i="118"/>
  <c r="AE42" i="118"/>
  <c r="AP41" i="118"/>
  <c r="AO41" i="118"/>
  <c r="AN41" i="118"/>
  <c r="AM41" i="118"/>
  <c r="AL41" i="118"/>
  <c r="AK41" i="118"/>
  <c r="AE41" i="118"/>
  <c r="AP40" i="118"/>
  <c r="AO40" i="118"/>
  <c r="AN40" i="118"/>
  <c r="AM40" i="118"/>
  <c r="AL40" i="118"/>
  <c r="AK40" i="118"/>
  <c r="AE40" i="118"/>
  <c r="AP39" i="118"/>
  <c r="AO39" i="118"/>
  <c r="AN39" i="118"/>
  <c r="AM39" i="118"/>
  <c r="AL39" i="118"/>
  <c r="AK39" i="118"/>
  <c r="AE39" i="118"/>
  <c r="AP38" i="118"/>
  <c r="AO38" i="118"/>
  <c r="AN38" i="118"/>
  <c r="AM38" i="118"/>
  <c r="AL38" i="118"/>
  <c r="AK38" i="118"/>
  <c r="AE38" i="118"/>
  <c r="AP37" i="118"/>
  <c r="AO37" i="118"/>
  <c r="AN37" i="118"/>
  <c r="AM37" i="118"/>
  <c r="AL37" i="118"/>
  <c r="AK37" i="118"/>
  <c r="AE37" i="118"/>
  <c r="AP36" i="118"/>
  <c r="AO36" i="118"/>
  <c r="AN36" i="118"/>
  <c r="AM36" i="118"/>
  <c r="AL36" i="118"/>
  <c r="AK36" i="118"/>
  <c r="AE36" i="118"/>
  <c r="AP35" i="118"/>
  <c r="AO35" i="118"/>
  <c r="AN35" i="118"/>
  <c r="AM35" i="118"/>
  <c r="AL35" i="118"/>
  <c r="AK35" i="118"/>
  <c r="AE35" i="118"/>
  <c r="AP34" i="118"/>
  <c r="AO34" i="118"/>
  <c r="AN34" i="118"/>
  <c r="AM34" i="118"/>
  <c r="AL34" i="118"/>
  <c r="AK34" i="118"/>
  <c r="AE34" i="118"/>
  <c r="AP33" i="118"/>
  <c r="AO33" i="118"/>
  <c r="AN33" i="118"/>
  <c r="AM33" i="118"/>
  <c r="AL33" i="118"/>
  <c r="AK33" i="118"/>
  <c r="AE33" i="118"/>
  <c r="AP32" i="118"/>
  <c r="AO32" i="118"/>
  <c r="AN32" i="118"/>
  <c r="AM32" i="118"/>
  <c r="AL32" i="118"/>
  <c r="AK32" i="118"/>
  <c r="AE32" i="118"/>
  <c r="AP31" i="118"/>
  <c r="AO31" i="118"/>
  <c r="AN31" i="118"/>
  <c r="AM31" i="118"/>
  <c r="AL31" i="118"/>
  <c r="AK31" i="118"/>
  <c r="AE31" i="118"/>
  <c r="AP30" i="118"/>
  <c r="AO30" i="118"/>
  <c r="AN30" i="118"/>
  <c r="AM30" i="118"/>
  <c r="AL30" i="118"/>
  <c r="AK30" i="118"/>
  <c r="AE30" i="118"/>
  <c r="AP29" i="118"/>
  <c r="AO29" i="118"/>
  <c r="AN29" i="118"/>
  <c r="AM29" i="118"/>
  <c r="AL29" i="118"/>
  <c r="AK29" i="118"/>
  <c r="AE29" i="118"/>
  <c r="AP28" i="118"/>
  <c r="AO28" i="118"/>
  <c r="AN28" i="118"/>
  <c r="AM28" i="118"/>
  <c r="AL28" i="118"/>
  <c r="AK28" i="118"/>
  <c r="AE28" i="118"/>
  <c r="AP27" i="118"/>
  <c r="AO27" i="118"/>
  <c r="AN27" i="118"/>
  <c r="AM27" i="118"/>
  <c r="AL27" i="118"/>
  <c r="AK27" i="118"/>
  <c r="AE27" i="118"/>
  <c r="AP26" i="118"/>
  <c r="AO26" i="118"/>
  <c r="AN26" i="118"/>
  <c r="AM26" i="118"/>
  <c r="AL26" i="118"/>
  <c r="AK26" i="118"/>
  <c r="AE26" i="118"/>
  <c r="AP25" i="118"/>
  <c r="AO25" i="118"/>
  <c r="AN25" i="118"/>
  <c r="AM25" i="118"/>
  <c r="AL25" i="118"/>
  <c r="AK25" i="118"/>
  <c r="AE25" i="118"/>
  <c r="AP24" i="118"/>
  <c r="AO24" i="118"/>
  <c r="AN24" i="118"/>
  <c r="AM24" i="118"/>
  <c r="AL24" i="118"/>
  <c r="AK24" i="118"/>
  <c r="AE24" i="118"/>
  <c r="AP23" i="118"/>
  <c r="AO23" i="118"/>
  <c r="AN23" i="118"/>
  <c r="AM23" i="118"/>
  <c r="AL23" i="118"/>
  <c r="AK23" i="118"/>
  <c r="AE23" i="118"/>
  <c r="AP22" i="118"/>
  <c r="AO22" i="118"/>
  <c r="AN22" i="118"/>
  <c r="AM22" i="118"/>
  <c r="AL22" i="118"/>
  <c r="AK22" i="118"/>
  <c r="AE22" i="118"/>
  <c r="AP21" i="118"/>
  <c r="AO21" i="118"/>
  <c r="AN21" i="118"/>
  <c r="AM21" i="118"/>
  <c r="AL21" i="118"/>
  <c r="AK21" i="118"/>
  <c r="AE21" i="118"/>
  <c r="AP20" i="118"/>
  <c r="AO20" i="118"/>
  <c r="AN20" i="118"/>
  <c r="AM20" i="118"/>
  <c r="AL20" i="118"/>
  <c r="AK20" i="118"/>
  <c r="AE20" i="118"/>
  <c r="AP19" i="118"/>
  <c r="AO19" i="118"/>
  <c r="AN19" i="118"/>
  <c r="AM19" i="118"/>
  <c r="AL19" i="118"/>
  <c r="AK19" i="118"/>
  <c r="AE19" i="118"/>
  <c r="AP18" i="118"/>
  <c r="AO18" i="118"/>
  <c r="AN18" i="118"/>
  <c r="AM18" i="118"/>
  <c r="AL18" i="118"/>
  <c r="AK18" i="118"/>
  <c r="AE18" i="118"/>
  <c r="AP17" i="118"/>
  <c r="AO17" i="118"/>
  <c r="AN17" i="118"/>
  <c r="AM17" i="118"/>
  <c r="AL17" i="118"/>
  <c r="AK17" i="118"/>
  <c r="AE17" i="118"/>
  <c r="AP16" i="118"/>
  <c r="AO16" i="118"/>
  <c r="AN16" i="118"/>
  <c r="AM16" i="118"/>
  <c r="AL16" i="118"/>
  <c r="AK16" i="118"/>
  <c r="AE16" i="118"/>
  <c r="AP15" i="118"/>
  <c r="AO15" i="118"/>
  <c r="AN15" i="118"/>
  <c r="AM15" i="118"/>
  <c r="AL15" i="118"/>
  <c r="AK15" i="118"/>
  <c r="AE15" i="118"/>
  <c r="AP14" i="118"/>
  <c r="AO14" i="118"/>
  <c r="AN14" i="118"/>
  <c r="AM14" i="118"/>
  <c r="AL14" i="118"/>
  <c r="AK14" i="118"/>
  <c r="AE14" i="118"/>
  <c r="AP13" i="118"/>
  <c r="AO13" i="118"/>
  <c r="AN13" i="118"/>
  <c r="AM13" i="118"/>
  <c r="AL13" i="118"/>
  <c r="AK13" i="118"/>
  <c r="AE13" i="118"/>
  <c r="AP12" i="118"/>
  <c r="AO12" i="118"/>
  <c r="AN12" i="118"/>
  <c r="AM12" i="118"/>
  <c r="AL12" i="118"/>
  <c r="AK12" i="118"/>
  <c r="AE12" i="118"/>
  <c r="AP11" i="118"/>
  <c r="AO11" i="118"/>
  <c r="AN11" i="118"/>
  <c r="AM11" i="118"/>
  <c r="AL11" i="118"/>
  <c r="AK11" i="118"/>
  <c r="AE11" i="118"/>
  <c r="AP10" i="118"/>
  <c r="AO10" i="118"/>
  <c r="AN10" i="118"/>
  <c r="AM10" i="118"/>
  <c r="AL10" i="118"/>
  <c r="AK10" i="118"/>
  <c r="AE10" i="118"/>
  <c r="AP9" i="118"/>
  <c r="AO9" i="118"/>
  <c r="AN9" i="118"/>
  <c r="AM9" i="118"/>
  <c r="AL9" i="118"/>
  <c r="AK9" i="118"/>
  <c r="AE9" i="118"/>
  <c r="AP8" i="118"/>
  <c r="AO8" i="118"/>
  <c r="AN8" i="118"/>
  <c r="AM8" i="118"/>
  <c r="AL8" i="118"/>
  <c r="AK8" i="118"/>
  <c r="AP7" i="118"/>
  <c r="AO7" i="118"/>
  <c r="AN7" i="118"/>
  <c r="AM7" i="118"/>
  <c r="AL7" i="118"/>
  <c r="AK7" i="118"/>
  <c r="AP6" i="118"/>
  <c r="AO6" i="118"/>
  <c r="AN6" i="118"/>
  <c r="AM6" i="118"/>
  <c r="AL6" i="118"/>
  <c r="AK6" i="118"/>
  <c r="AP5" i="118"/>
  <c r="AO5" i="118"/>
  <c r="AN5" i="118"/>
  <c r="AM5" i="118"/>
  <c r="AL5" i="118"/>
  <c r="AK5" i="118"/>
  <c r="AP4" i="118"/>
  <c r="AO4" i="118"/>
  <c r="AN4" i="118"/>
  <c r="AM4" i="118"/>
  <c r="AL4" i="118"/>
  <c r="AK4" i="118"/>
  <c r="C47" i="117"/>
  <c r="D43" i="117" s="1"/>
  <c r="E43" i="117" s="1"/>
  <c r="M45" i="117"/>
  <c r="M44" i="117"/>
  <c r="M43" i="117"/>
  <c r="M42" i="117"/>
  <c r="M41" i="117"/>
  <c r="M40" i="117"/>
  <c r="M39" i="117"/>
  <c r="M38" i="117"/>
  <c r="M37" i="117"/>
  <c r="M36" i="117"/>
  <c r="N36" i="117" s="1"/>
  <c r="O36" i="117" s="1"/>
  <c r="P36" i="117" s="1"/>
  <c r="M35" i="117"/>
  <c r="M34" i="117"/>
  <c r="M33" i="117"/>
  <c r="M32" i="117"/>
  <c r="M31" i="117"/>
  <c r="M30" i="117"/>
  <c r="M29" i="117"/>
  <c r="M28" i="117"/>
  <c r="M27" i="117"/>
  <c r="M26" i="117"/>
  <c r="M25" i="117"/>
  <c r="M24" i="117"/>
  <c r="D24" i="117"/>
  <c r="E24" i="117" s="1"/>
  <c r="E5" i="116" a="1"/>
  <c r="Y4" i="116"/>
  <c r="Q4" i="116"/>
  <c r="U4" i="116"/>
  <c r="B5" i="116"/>
  <c r="N29" i="117" l="1"/>
  <c r="O29" i="117" s="1"/>
  <c r="P29" i="117" s="1"/>
  <c r="N37" i="117"/>
  <c r="O37" i="117" s="1"/>
  <c r="N26" i="117"/>
  <c r="O26" i="117" s="1"/>
  <c r="P26" i="117" s="1"/>
  <c r="D31" i="117"/>
  <c r="E31" i="117" s="1"/>
  <c r="F31" i="117" s="1"/>
  <c r="N31" i="117"/>
  <c r="O31" i="117" s="1"/>
  <c r="P31" i="117" s="1"/>
  <c r="N39" i="117"/>
  <c r="O39" i="117" s="1"/>
  <c r="P39" i="117" s="1"/>
  <c r="D29" i="117"/>
  <c r="E29" i="117" s="1"/>
  <c r="J14" i="120"/>
  <c r="C9" i="83" s="1"/>
  <c r="N28" i="117"/>
  <c r="O28" i="117" s="1"/>
  <c r="P28" i="117" s="1"/>
  <c r="N34" i="117"/>
  <c r="O34" i="117" s="1"/>
  <c r="P34" i="117" s="1"/>
  <c r="N42" i="117"/>
  <c r="O42" i="117" s="1"/>
  <c r="P42" i="117" s="1"/>
  <c r="N33" i="117"/>
  <c r="O33" i="117" s="1"/>
  <c r="P33" i="117" s="1"/>
  <c r="N38" i="117"/>
  <c r="O38" i="117" s="1"/>
  <c r="P38" i="117" s="1"/>
  <c r="D41" i="117"/>
  <c r="E41" i="117" s="1"/>
  <c r="F41" i="117" s="1"/>
  <c r="N43" i="117"/>
  <c r="O43" i="117" s="1"/>
  <c r="P43" i="117" s="1"/>
  <c r="D34" i="117"/>
  <c r="E34" i="117" s="1"/>
  <c r="F34" i="117" s="1"/>
  <c r="D44" i="117"/>
  <c r="E44" i="117" s="1"/>
  <c r="F44" i="117" s="1"/>
  <c r="D37" i="117"/>
  <c r="E37" i="117" s="1"/>
  <c r="F37" i="117" s="1"/>
  <c r="N41" i="117"/>
  <c r="O41" i="117" s="1"/>
  <c r="P41" i="117" s="1"/>
  <c r="N24" i="117"/>
  <c r="D42" i="117"/>
  <c r="E42" i="117" s="1"/>
  <c r="F42" i="117" s="1"/>
  <c r="N44" i="117"/>
  <c r="O44" i="117" s="1"/>
  <c r="P44" i="117" s="1"/>
  <c r="D25" i="117"/>
  <c r="E25" i="117" s="1"/>
  <c r="F25" i="117" s="1"/>
  <c r="D27" i="117"/>
  <c r="E27" i="117" s="1"/>
  <c r="D32" i="117"/>
  <c r="E32" i="117" s="1"/>
  <c r="F32" i="117" s="1"/>
  <c r="D45" i="117"/>
  <c r="E45" i="117" s="1"/>
  <c r="F45" i="117" s="1"/>
  <c r="H45" i="117" s="1"/>
  <c r="N27" i="117"/>
  <c r="O27" i="117" s="1"/>
  <c r="P27" i="117" s="1"/>
  <c r="D30" i="117"/>
  <c r="E30" i="117" s="1"/>
  <c r="F30" i="117" s="1"/>
  <c r="N32" i="117"/>
  <c r="O32" i="117" s="1"/>
  <c r="P32" i="117" s="1"/>
  <c r="D35" i="117"/>
  <c r="E35" i="117" s="1"/>
  <c r="F35" i="117" s="1"/>
  <c r="N25" i="117"/>
  <c r="O25" i="117" s="1"/>
  <c r="P25" i="117" s="1"/>
  <c r="D28" i="117"/>
  <c r="E28" i="117" s="1"/>
  <c r="F28" i="117" s="1"/>
  <c r="D33" i="117"/>
  <c r="E33" i="117" s="1"/>
  <c r="F33" i="117" s="1"/>
  <c r="N35" i="117"/>
  <c r="O35" i="117" s="1"/>
  <c r="P35" i="117" s="1"/>
  <c r="D38" i="117"/>
  <c r="E38" i="117" s="1"/>
  <c r="F38" i="117" s="1"/>
  <c r="D40" i="117"/>
  <c r="E40" i="117" s="1"/>
  <c r="N45" i="117"/>
  <c r="O45" i="117" s="1"/>
  <c r="AE49" i="118"/>
  <c r="D39" i="117"/>
  <c r="E39" i="117" s="1"/>
  <c r="F39" i="117" s="1"/>
  <c r="D26" i="117"/>
  <c r="E26" i="117" s="1"/>
  <c r="F26" i="117" s="1"/>
  <c r="N30" i="117"/>
  <c r="O30" i="117" s="1"/>
  <c r="P30" i="117" s="1"/>
  <c r="D36" i="117"/>
  <c r="E36" i="117" s="1"/>
  <c r="F36" i="117" s="1"/>
  <c r="N40" i="117"/>
  <c r="O40" i="117" s="1"/>
  <c r="P40" i="117" s="1"/>
  <c r="E16" i="119"/>
  <c r="G16" i="119" s="1"/>
  <c r="E28" i="119"/>
  <c r="G28" i="119" s="1"/>
  <c r="E40" i="119"/>
  <c r="G40" i="119" s="1"/>
  <c r="E48" i="119"/>
  <c r="G48" i="119" s="1"/>
  <c r="E56" i="119"/>
  <c r="G56" i="119" s="1"/>
  <c r="E76" i="119"/>
  <c r="G76" i="119" s="1"/>
  <c r="E35" i="119"/>
  <c r="F35" i="119" s="1"/>
  <c r="G35" i="119" s="1"/>
  <c r="E39" i="119"/>
  <c r="G39" i="119" s="1"/>
  <c r="E47" i="119"/>
  <c r="G47" i="119" s="1"/>
  <c r="E51" i="119"/>
  <c r="G51" i="119" s="1"/>
  <c r="E59" i="119"/>
  <c r="G59" i="119" s="1"/>
  <c r="E63" i="119"/>
  <c r="G63" i="119" s="1"/>
  <c r="E90" i="119"/>
  <c r="E60" i="119"/>
  <c r="G60" i="119" s="1"/>
  <c r="E78" i="119"/>
  <c r="G78" i="119" s="1"/>
  <c r="E89" i="119"/>
  <c r="E71" i="119"/>
  <c r="G71" i="119" s="1"/>
  <c r="E75" i="119"/>
  <c r="G75" i="119" s="1"/>
  <c r="E83" i="119"/>
  <c r="G83" i="119" s="1"/>
  <c r="E42" i="119"/>
  <c r="G42" i="119" s="1"/>
  <c r="E46" i="119"/>
  <c r="G46" i="119" s="1"/>
  <c r="E50" i="119"/>
  <c r="G50" i="119" s="1"/>
  <c r="E54" i="119"/>
  <c r="G54" i="119" s="1"/>
  <c r="E58" i="119"/>
  <c r="G58" i="119" s="1"/>
  <c r="E66" i="119"/>
  <c r="G66" i="119" s="1"/>
  <c r="E29" i="119"/>
  <c r="E37" i="119"/>
  <c r="G37" i="119" s="1"/>
  <c r="E45" i="119"/>
  <c r="G45" i="119" s="1"/>
  <c r="E49" i="119"/>
  <c r="G49" i="119" s="1"/>
  <c r="E53" i="119"/>
  <c r="F53" i="119" s="1"/>
  <c r="E61" i="119"/>
  <c r="G61" i="119" s="1"/>
  <c r="E65" i="119"/>
  <c r="G65" i="119" s="1"/>
  <c r="E73" i="119"/>
  <c r="G73" i="119" s="1"/>
  <c r="E81" i="119"/>
  <c r="G81" i="119" s="1"/>
  <c r="E86" i="119"/>
  <c r="G86" i="119" s="1"/>
  <c r="E15" i="119"/>
  <c r="G15" i="119" s="1"/>
  <c r="E19" i="119"/>
  <c r="G19" i="119" s="1"/>
  <c r="E23" i="119"/>
  <c r="G23" i="119" s="1"/>
  <c r="E62" i="119"/>
  <c r="G62" i="119" s="1"/>
  <c r="E31" i="119"/>
  <c r="G31" i="119" s="1"/>
  <c r="E55" i="119"/>
  <c r="F55" i="119" s="1"/>
  <c r="G55" i="119" s="1"/>
  <c r="E70" i="119"/>
  <c r="F70" i="119" s="1"/>
  <c r="G70" i="119" s="1"/>
  <c r="E74" i="119"/>
  <c r="G74" i="119" s="1"/>
  <c r="E12" i="119"/>
  <c r="G12" i="119" s="1"/>
  <c r="E20" i="119"/>
  <c r="G20" i="119" s="1"/>
  <c r="E24" i="119"/>
  <c r="G24" i="119" s="1"/>
  <c r="E13" i="119"/>
  <c r="G13" i="119" s="1"/>
  <c r="E25" i="119"/>
  <c r="F25" i="119" s="1"/>
  <c r="G25" i="119" s="1"/>
  <c r="E64" i="119"/>
  <c r="G64" i="119" s="1"/>
  <c r="E67" i="119"/>
  <c r="F67" i="119" s="1"/>
  <c r="E18" i="119"/>
  <c r="G18" i="119" s="1"/>
  <c r="E22" i="119"/>
  <c r="G22" i="119" s="1"/>
  <c r="E57" i="119"/>
  <c r="G57" i="119" s="1"/>
  <c r="E68" i="119"/>
  <c r="G68" i="119" s="1"/>
  <c r="E72" i="119"/>
  <c r="G72" i="119" s="1"/>
  <c r="E84" i="119"/>
  <c r="F84" i="119" s="1"/>
  <c r="G84" i="119" s="1"/>
  <c r="E14" i="119"/>
  <c r="F14" i="119" s="1"/>
  <c r="G14" i="119" s="1"/>
  <c r="E30" i="119"/>
  <c r="G30" i="119" s="1"/>
  <c r="E69" i="119"/>
  <c r="G69" i="119" s="1"/>
  <c r="E26" i="119"/>
  <c r="F26" i="119" s="1"/>
  <c r="G26" i="119" s="1"/>
  <c r="E33" i="119"/>
  <c r="G33" i="119" s="1"/>
  <c r="E43" i="119"/>
  <c r="G43" i="119" s="1"/>
  <c r="E21" i="119"/>
  <c r="G21" i="119" s="1"/>
  <c r="E27" i="119"/>
  <c r="F27" i="119" s="1"/>
  <c r="G27" i="119" s="1"/>
  <c r="E34" i="119"/>
  <c r="G34" i="119" s="1"/>
  <c r="E38" i="119"/>
  <c r="F38" i="119" s="1"/>
  <c r="G38" i="119" s="1"/>
  <c r="E41" i="119"/>
  <c r="F41" i="119" s="1"/>
  <c r="G41" i="119" s="1"/>
  <c r="E44" i="119"/>
  <c r="F44" i="119" s="1"/>
  <c r="G44" i="119" s="1"/>
  <c r="E52" i="119"/>
  <c r="G52" i="119" s="1"/>
  <c r="E77" i="119"/>
  <c r="G77" i="119" s="1"/>
  <c r="E80" i="119"/>
  <c r="G80" i="119" s="1"/>
  <c r="AK124" i="118"/>
  <c r="AP124" i="118"/>
  <c r="E17" i="119"/>
  <c r="G17" i="119" s="1"/>
  <c r="E32" i="119"/>
  <c r="G32" i="119" s="1"/>
  <c r="E36" i="119"/>
  <c r="F36" i="119" s="1"/>
  <c r="E82" i="119"/>
  <c r="G82" i="119" s="1"/>
  <c r="P37" i="117"/>
  <c r="AF34" i="118"/>
  <c r="AH34" i="118" s="1"/>
  <c r="O24" i="117"/>
  <c r="D47" i="117"/>
  <c r="M47" i="117"/>
  <c r="E11" i="119"/>
  <c r="C85" i="119"/>
  <c r="AM124" i="118"/>
  <c r="F43" i="117"/>
  <c r="F24" i="117"/>
  <c r="D85" i="119"/>
  <c r="E79" i="119"/>
  <c r="F27" i="117"/>
  <c r="AL124" i="118"/>
  <c r="AF36" i="118"/>
  <c r="AH36" i="118" s="1"/>
  <c r="AN124" i="118"/>
  <c r="F29" i="117"/>
  <c r="AF45" i="118"/>
  <c r="AH45" i="118" s="1"/>
  <c r="AF37" i="118"/>
  <c r="AH37" i="118" s="1"/>
  <c r="AF29" i="118"/>
  <c r="AH29" i="118" s="1"/>
  <c r="AF21" i="118"/>
  <c r="AH21" i="118" s="1"/>
  <c r="AF14" i="118"/>
  <c r="AF42" i="118"/>
  <c r="AH42" i="118" s="1"/>
  <c r="AF44" i="118"/>
  <c r="AH44" i="118" s="1"/>
  <c r="AF28" i="118"/>
  <c r="AH28" i="118" s="1"/>
  <c r="AF20" i="118"/>
  <c r="AH20" i="118" s="1"/>
  <c r="AF13" i="118"/>
  <c r="AH13" i="118" s="1"/>
  <c r="AF43" i="118"/>
  <c r="AH43" i="118" s="1"/>
  <c r="AF35" i="118"/>
  <c r="AH35" i="118" s="1"/>
  <c r="AF27" i="118"/>
  <c r="AH27" i="118" s="1"/>
  <c r="AF19" i="118"/>
  <c r="AH19" i="118" s="1"/>
  <c r="AF39" i="118"/>
  <c r="AH39" i="118" s="1"/>
  <c r="AF31" i="118"/>
  <c r="AH31" i="118" s="1"/>
  <c r="AF23" i="118"/>
  <c r="AH23" i="118" s="1"/>
  <c r="AF15" i="118"/>
  <c r="AH15" i="118" s="1"/>
  <c r="AF9" i="118"/>
  <c r="AF46" i="118"/>
  <c r="AH46" i="118" s="1"/>
  <c r="AF38" i="118"/>
  <c r="AH38" i="118" s="1"/>
  <c r="AF22" i="118"/>
  <c r="AH22" i="118" s="1"/>
  <c r="AF25" i="118"/>
  <c r="AH25" i="118" s="1"/>
  <c r="F40" i="117"/>
  <c r="AF10" i="118"/>
  <c r="AH10" i="118" s="1"/>
  <c r="AF16" i="118"/>
  <c r="AH16" i="118" s="1"/>
  <c r="AF26" i="118"/>
  <c r="AH26" i="118" s="1"/>
  <c r="J7" i="120"/>
  <c r="K6" i="120" s="1"/>
  <c r="AO124" i="118"/>
  <c r="E5" i="116"/>
  <c r="Q5" i="116"/>
  <c r="G45" i="117" l="1"/>
  <c r="G47" i="117" s="1"/>
  <c r="C9" i="84"/>
  <c r="C9" i="104"/>
  <c r="C9" i="82"/>
  <c r="N47" i="117"/>
  <c r="P45" i="117"/>
  <c r="R45" i="117" s="1"/>
  <c r="R47" i="117" s="1"/>
  <c r="Q45" i="117"/>
  <c r="E47" i="117"/>
  <c r="K5" i="120"/>
  <c r="H47" i="117"/>
  <c r="G67" i="119"/>
  <c r="G53" i="119"/>
  <c r="H26" i="119"/>
  <c r="F29" i="119" s="1"/>
  <c r="G29" i="119" s="1"/>
  <c r="G36" i="119"/>
  <c r="AF30" i="118"/>
  <c r="AH30" i="118" s="1"/>
  <c r="AF47" i="118"/>
  <c r="AH47" i="118" s="1"/>
  <c r="F79" i="119"/>
  <c r="G79" i="119" s="1"/>
  <c r="AH9" i="118"/>
  <c r="AG14" i="118"/>
  <c r="AH14" i="118" s="1"/>
  <c r="F47" i="117"/>
  <c r="E85" i="119"/>
  <c r="E87" i="119" s="1"/>
  <c r="G11" i="119"/>
  <c r="Q47" i="117"/>
  <c r="AF18" i="118"/>
  <c r="AH18" i="118" s="1"/>
  <c r="AF32" i="118"/>
  <c r="AH32" i="118" s="1"/>
  <c r="AF40" i="118"/>
  <c r="AH40" i="118" s="1"/>
  <c r="AF41" i="118"/>
  <c r="AH41" i="118" s="1"/>
  <c r="AF17" i="118"/>
  <c r="AH17" i="118" s="1"/>
  <c r="AF11" i="118"/>
  <c r="AH11" i="118" s="1"/>
  <c r="AF12" i="118"/>
  <c r="AF33" i="118"/>
  <c r="AH33" i="118" s="1"/>
  <c r="AF24" i="118"/>
  <c r="AH24" i="118" s="1"/>
  <c r="O47" i="117"/>
  <c r="P24" i="117"/>
  <c r="D16" i="116"/>
  <c r="E16" i="116"/>
  <c r="D17" i="116"/>
  <c r="E17" i="116"/>
  <c r="G17" i="116"/>
  <c r="AQ20" i="116"/>
  <c r="AS20" i="116"/>
  <c r="AQ21" i="116"/>
  <c r="AS21" i="116"/>
  <c r="AQ22" i="116"/>
  <c r="AS22" i="116"/>
  <c r="AQ23" i="116"/>
  <c r="AS23" i="116"/>
  <c r="AQ24" i="116"/>
  <c r="AS24" i="116"/>
  <c r="AQ25" i="116"/>
  <c r="AS25" i="116"/>
  <c r="AQ26" i="116"/>
  <c r="AS26" i="116"/>
  <c r="AQ27" i="116"/>
  <c r="AS27" i="116"/>
  <c r="AQ28" i="116"/>
  <c r="AS28" i="116"/>
  <c r="AQ29" i="116"/>
  <c r="AS29" i="116"/>
  <c r="AQ30" i="116"/>
  <c r="AS30" i="116"/>
  <c r="AQ31" i="116"/>
  <c r="AS31" i="116"/>
  <c r="AQ32" i="116"/>
  <c r="AS32" i="116"/>
  <c r="AQ33" i="116"/>
  <c r="AS33" i="116"/>
  <c r="AQ34" i="116"/>
  <c r="AS34" i="116"/>
  <c r="AQ35" i="116"/>
  <c r="AS35" i="116"/>
  <c r="AQ36" i="116"/>
  <c r="AS36" i="116"/>
  <c r="AQ37" i="116"/>
  <c r="AS37" i="116"/>
  <c r="AQ38" i="116"/>
  <c r="AS38" i="116"/>
  <c r="AQ39" i="116"/>
  <c r="AS39" i="116"/>
  <c r="AQ40" i="116"/>
  <c r="AS40" i="116"/>
  <c r="AQ41" i="116"/>
  <c r="AS41" i="116"/>
  <c r="AQ42" i="116"/>
  <c r="AS42" i="116"/>
  <c r="AQ43" i="116"/>
  <c r="AS43" i="116"/>
  <c r="AQ44" i="116"/>
  <c r="AS44" i="116"/>
  <c r="AQ45" i="116"/>
  <c r="AS45" i="116"/>
  <c r="AQ46" i="116"/>
  <c r="AS46" i="116"/>
  <c r="AQ47" i="116"/>
  <c r="AS47" i="116"/>
  <c r="AQ48" i="116"/>
  <c r="AS48" i="116"/>
  <c r="AQ49" i="116"/>
  <c r="AS49" i="116"/>
  <c r="AQ50" i="116"/>
  <c r="AS50" i="116"/>
  <c r="AQ51" i="116"/>
  <c r="AS51" i="116"/>
  <c r="AQ52" i="116"/>
  <c r="AS52" i="116"/>
  <c r="AQ53" i="116"/>
  <c r="AS53" i="116"/>
  <c r="AQ54" i="116"/>
  <c r="AS54" i="116"/>
  <c r="AQ55" i="116"/>
  <c r="AS55" i="116"/>
  <c r="AQ56" i="116"/>
  <c r="AS56" i="116"/>
  <c r="AQ57" i="116"/>
  <c r="AS57" i="116"/>
  <c r="AQ58" i="116"/>
  <c r="AS58" i="116"/>
  <c r="AQ59" i="116"/>
  <c r="AS59" i="116"/>
  <c r="AQ60" i="116"/>
  <c r="AS60" i="116"/>
  <c r="AQ61" i="116"/>
  <c r="AS61" i="116"/>
  <c r="AQ62" i="116"/>
  <c r="AS62" i="116"/>
  <c r="AQ63" i="116"/>
  <c r="AS63" i="116"/>
  <c r="AQ64" i="116"/>
  <c r="AS64" i="116"/>
  <c r="AQ65" i="116"/>
  <c r="AS65" i="116"/>
  <c r="AQ66" i="116"/>
  <c r="AS66" i="116"/>
  <c r="AQ67" i="116"/>
  <c r="AS67" i="116"/>
  <c r="AQ68" i="116"/>
  <c r="AS68" i="116"/>
  <c r="AQ69" i="116"/>
  <c r="AS69" i="116"/>
  <c r="AQ70" i="116"/>
  <c r="AS70" i="116"/>
  <c r="AQ71" i="116"/>
  <c r="AS71" i="116"/>
  <c r="AQ72" i="116"/>
  <c r="AS72" i="116"/>
  <c r="AQ73" i="116"/>
  <c r="AS73" i="116"/>
  <c r="AQ74" i="116"/>
  <c r="AS74" i="116"/>
  <c r="AQ75" i="116"/>
  <c r="AS75" i="116"/>
  <c r="AQ76" i="116"/>
  <c r="AS76" i="116"/>
  <c r="AQ77" i="116"/>
  <c r="AS77" i="116"/>
  <c r="AQ78" i="116"/>
  <c r="AS78" i="116"/>
  <c r="AQ79" i="116"/>
  <c r="AS79" i="116"/>
  <c r="AQ80" i="116"/>
  <c r="AS80" i="116"/>
  <c r="AQ81" i="116"/>
  <c r="AS81" i="116"/>
  <c r="AQ82" i="116"/>
  <c r="AS82" i="116"/>
  <c r="AQ83" i="116"/>
  <c r="AS83" i="116"/>
  <c r="AQ84" i="116"/>
  <c r="AS84" i="116"/>
  <c r="AQ85" i="116"/>
  <c r="AS85" i="116"/>
  <c r="AQ86" i="116"/>
  <c r="AS86" i="116"/>
  <c r="AQ87" i="116"/>
  <c r="AS87" i="116"/>
  <c r="AQ88" i="116"/>
  <c r="AS88" i="116"/>
  <c r="AQ89" i="116"/>
  <c r="AS89" i="116"/>
  <c r="AQ90" i="116"/>
  <c r="AS90" i="116"/>
  <c r="AQ91" i="116"/>
  <c r="AS91" i="116"/>
  <c r="AQ92" i="116"/>
  <c r="AS92" i="116"/>
  <c r="D128" i="116"/>
  <c r="D129" i="116"/>
  <c r="D130" i="116"/>
  <c r="D131" i="116"/>
  <c r="D132" i="116"/>
  <c r="F315" i="2" s="1"/>
  <c r="D133" i="116"/>
  <c r="D134" i="116"/>
  <c r="B5" i="115"/>
  <c r="Y4" i="115"/>
  <c r="U4" i="115"/>
  <c r="E5" i="115" a="1"/>
  <c r="Q4" i="115"/>
  <c r="G49" i="117" l="1"/>
  <c r="P47" i="117"/>
  <c r="D135" i="116"/>
  <c r="D136" i="116" s="1"/>
  <c r="C8" i="104"/>
  <c r="C8" i="84"/>
  <c r="C8" i="83"/>
  <c r="C8" i="82"/>
  <c r="Q49" i="117"/>
  <c r="F178" i="2" s="1"/>
  <c r="AF49" i="118"/>
  <c r="AG12" i="118"/>
  <c r="AG49" i="118" s="1"/>
  <c r="G85" i="119"/>
  <c r="G87" i="119" s="1"/>
  <c r="B45" i="5" s="1"/>
  <c r="E5" i="115"/>
  <c r="Q5" i="115"/>
  <c r="AH12" i="118" l="1"/>
  <c r="AH49" i="118" s="1"/>
  <c r="B55" i="5" s="1"/>
  <c r="D16" i="115"/>
  <c r="E16" i="115"/>
  <c r="D17" i="115"/>
  <c r="E17" i="115"/>
  <c r="G17" i="115"/>
  <c r="AQ20" i="115"/>
  <c r="AS20" i="115"/>
  <c r="AQ21" i="115"/>
  <c r="AS21" i="115"/>
  <c r="AQ22" i="115"/>
  <c r="AS22" i="115"/>
  <c r="AQ23" i="115"/>
  <c r="AS23" i="115"/>
  <c r="AQ24" i="115"/>
  <c r="AS24" i="115"/>
  <c r="AQ25" i="115"/>
  <c r="AS25" i="115"/>
  <c r="AQ26" i="115"/>
  <c r="AS26" i="115"/>
  <c r="AQ27" i="115"/>
  <c r="AS27" i="115"/>
  <c r="AQ28" i="115"/>
  <c r="AS28" i="115"/>
  <c r="AQ29" i="115"/>
  <c r="AS29" i="115"/>
  <c r="AQ30" i="115"/>
  <c r="AS30" i="115"/>
  <c r="AQ31" i="115"/>
  <c r="AS31" i="115"/>
  <c r="AQ32" i="115"/>
  <c r="AS32" i="115"/>
  <c r="AQ33" i="115"/>
  <c r="AS33" i="115"/>
  <c r="AQ34" i="115"/>
  <c r="AS34" i="115"/>
  <c r="AQ35" i="115"/>
  <c r="AS35" i="115"/>
  <c r="AQ36" i="115"/>
  <c r="AS36" i="115"/>
  <c r="AQ37" i="115"/>
  <c r="AS37" i="115"/>
  <c r="AQ38" i="115"/>
  <c r="AS38" i="115"/>
  <c r="AQ39" i="115"/>
  <c r="AS39" i="115"/>
  <c r="AQ40" i="115"/>
  <c r="AS40" i="115"/>
  <c r="AQ41" i="115"/>
  <c r="AS41" i="115"/>
  <c r="AQ42" i="115"/>
  <c r="AS42" i="115"/>
  <c r="AQ43" i="115"/>
  <c r="AS43" i="115"/>
  <c r="AQ44" i="115"/>
  <c r="AS44" i="115"/>
  <c r="AQ45" i="115"/>
  <c r="AS45" i="115"/>
  <c r="AQ46" i="115"/>
  <c r="AS46" i="115"/>
  <c r="AQ47" i="115"/>
  <c r="AS47" i="115"/>
  <c r="AQ48" i="115"/>
  <c r="AS48" i="115"/>
  <c r="AQ49" i="115"/>
  <c r="AS49" i="115"/>
  <c r="AQ50" i="115"/>
  <c r="AS50" i="115"/>
  <c r="AQ51" i="115"/>
  <c r="AS51" i="115"/>
  <c r="AQ52" i="115"/>
  <c r="AS52" i="115"/>
  <c r="AQ53" i="115"/>
  <c r="AS53" i="115"/>
  <c r="AQ54" i="115"/>
  <c r="AS54" i="115"/>
  <c r="AQ55" i="115"/>
  <c r="AS55" i="115"/>
  <c r="AQ56" i="115"/>
  <c r="AS56" i="115"/>
  <c r="AQ57" i="115"/>
  <c r="AS57" i="115"/>
  <c r="AQ58" i="115"/>
  <c r="AS58" i="115"/>
  <c r="AQ59" i="115"/>
  <c r="AS59" i="115"/>
  <c r="AQ60" i="115"/>
  <c r="AS60" i="115"/>
  <c r="AQ61" i="115"/>
  <c r="AS61" i="115"/>
  <c r="AQ62" i="115"/>
  <c r="AS62" i="115"/>
  <c r="AQ63" i="115"/>
  <c r="AS63" i="115"/>
  <c r="AQ64" i="115"/>
  <c r="AS64" i="115"/>
  <c r="AQ65" i="115"/>
  <c r="AS65" i="115"/>
  <c r="AQ66" i="115"/>
  <c r="AS66" i="115"/>
  <c r="AQ67" i="115"/>
  <c r="AS67" i="115"/>
  <c r="AQ68" i="115"/>
  <c r="AS68" i="115"/>
  <c r="AQ69" i="115"/>
  <c r="AS69" i="115"/>
  <c r="AQ70" i="115"/>
  <c r="AS70" i="115"/>
  <c r="D92" i="115"/>
  <c r="D93" i="115"/>
  <c r="F313" i="2" s="1"/>
  <c r="D94" i="115"/>
  <c r="D95" i="115"/>
  <c r="D96" i="115"/>
  <c r="D97" i="115"/>
  <c r="F314" i="2" s="1"/>
  <c r="D98" i="115"/>
  <c r="P16" i="44"/>
  <c r="T16" i="44" s="1"/>
  <c r="V16" i="44" s="1"/>
  <c r="P17" i="44"/>
  <c r="T17" i="44" s="1"/>
  <c r="V17" i="44" s="1"/>
  <c r="P18" i="44"/>
  <c r="T18" i="44" s="1"/>
  <c r="V18" i="44" s="1"/>
  <c r="P19" i="44"/>
  <c r="T19" i="44" s="1"/>
  <c r="V19" i="44" s="1"/>
  <c r="P20" i="44"/>
  <c r="T20" i="44" s="1"/>
  <c r="V20" i="44" s="1"/>
  <c r="P21" i="44"/>
  <c r="T21" i="44" s="1"/>
  <c r="V21" i="44" s="1"/>
  <c r="P22" i="44"/>
  <c r="T22" i="44" s="1"/>
  <c r="V22" i="44" s="1"/>
  <c r="P23" i="44"/>
  <c r="T23" i="44" s="1"/>
  <c r="V23" i="44" s="1"/>
  <c r="P24" i="44"/>
  <c r="T24" i="44" s="1"/>
  <c r="V24" i="44" s="1"/>
  <c r="P25" i="44"/>
  <c r="T25" i="44" s="1"/>
  <c r="V25" i="44" s="1"/>
  <c r="P26" i="44"/>
  <c r="T26" i="44" s="1"/>
  <c r="V26" i="44" s="1"/>
  <c r="P27" i="44"/>
  <c r="T27" i="44" s="1"/>
  <c r="V27" i="44" s="1"/>
  <c r="P30" i="44"/>
  <c r="T30" i="44" s="1"/>
  <c r="V30" i="44" s="1"/>
  <c r="P31" i="44"/>
  <c r="T31" i="44" s="1"/>
  <c r="V31" i="44" s="1"/>
  <c r="P32" i="44"/>
  <c r="T32" i="44" s="1"/>
  <c r="V32" i="44" s="1"/>
  <c r="P33" i="44"/>
  <c r="T33" i="44" s="1"/>
  <c r="V33" i="44" s="1"/>
  <c r="P34" i="44"/>
  <c r="T34" i="44" s="1"/>
  <c r="V34" i="44" s="1"/>
  <c r="P35" i="44"/>
  <c r="T35" i="44" s="1"/>
  <c r="V35" i="44" s="1"/>
  <c r="P36" i="44"/>
  <c r="T36" i="44" s="1"/>
  <c r="V36" i="44" s="1"/>
  <c r="P37" i="44"/>
  <c r="T37" i="44" s="1"/>
  <c r="V37" i="44" s="1"/>
  <c r="P38" i="44"/>
  <c r="T38" i="44" s="1"/>
  <c r="V38" i="44" s="1"/>
  <c r="P41" i="44"/>
  <c r="T41" i="44" s="1"/>
  <c r="V41" i="44" s="1"/>
  <c r="P42" i="44"/>
  <c r="T42" i="44" s="1"/>
  <c r="V42" i="44" s="1"/>
  <c r="P43" i="44"/>
  <c r="T43" i="44" s="1"/>
  <c r="V43" i="44" s="1"/>
  <c r="P44" i="44"/>
  <c r="T44" i="44" s="1"/>
  <c r="V44" i="44" s="1"/>
  <c r="P45" i="44"/>
  <c r="T45" i="44" s="1"/>
  <c r="V45" i="44" s="1"/>
  <c r="P48" i="44"/>
  <c r="T48" i="44" s="1"/>
  <c r="V48" i="44" s="1"/>
  <c r="P49" i="44"/>
  <c r="T49" i="44" s="1"/>
  <c r="V49" i="44" s="1"/>
  <c r="P50" i="44"/>
  <c r="T50" i="44" s="1"/>
  <c r="V50" i="44" s="1"/>
  <c r="P51" i="44"/>
  <c r="T51" i="44" s="1"/>
  <c r="V51" i="44" s="1"/>
  <c r="P52" i="44"/>
  <c r="P53" i="44"/>
  <c r="T53" i="44" s="1"/>
  <c r="V53" i="44" s="1"/>
  <c r="T52" i="44"/>
  <c r="V52" i="44" s="1"/>
  <c r="P56" i="44"/>
  <c r="T56" i="44" s="1"/>
  <c r="V56" i="44" s="1"/>
  <c r="P63" i="44"/>
  <c r="T63" i="44" s="1"/>
  <c r="V63" i="44" s="1"/>
  <c r="P64" i="44"/>
  <c r="T64" i="44" s="1"/>
  <c r="V64" i="44" s="1"/>
  <c r="P65" i="44"/>
  <c r="T65" i="44" s="1"/>
  <c r="V65" i="44" s="1"/>
  <c r="P66" i="44"/>
  <c r="T66" i="44" s="1"/>
  <c r="V66" i="44" s="1"/>
  <c r="P67" i="44"/>
  <c r="T67" i="44" s="1"/>
  <c r="V67" i="44" s="1"/>
  <c r="P68" i="44"/>
  <c r="T68" i="44" s="1"/>
  <c r="V68" i="44" s="1"/>
  <c r="P69" i="44"/>
  <c r="T69" i="44" s="1"/>
  <c r="V69" i="44" s="1"/>
  <c r="P70" i="44"/>
  <c r="T70" i="44" s="1"/>
  <c r="V70" i="44" s="1"/>
  <c r="P71" i="44"/>
  <c r="T71" i="44" s="1"/>
  <c r="V71" i="44" s="1"/>
  <c r="P72" i="44"/>
  <c r="P73" i="44"/>
  <c r="T73" i="44" s="1"/>
  <c r="V73" i="44" s="1"/>
  <c r="P74" i="44"/>
  <c r="T74" i="44" s="1"/>
  <c r="V74" i="44" s="1"/>
  <c r="P75" i="44"/>
  <c r="T75" i="44" s="1"/>
  <c r="V75" i="44" s="1"/>
  <c r="P76" i="44"/>
  <c r="T76" i="44" s="1"/>
  <c r="V76" i="44" s="1"/>
  <c r="P77" i="44"/>
  <c r="T77" i="44" s="1"/>
  <c r="V77" i="44" s="1"/>
  <c r="P78" i="44"/>
  <c r="T78" i="44" s="1"/>
  <c r="V78" i="44" s="1"/>
  <c r="P79" i="44"/>
  <c r="P80" i="44"/>
  <c r="P81" i="44"/>
  <c r="T81" i="44" s="1"/>
  <c r="V81" i="44" s="1"/>
  <c r="P82" i="44"/>
  <c r="T82" i="44" s="1"/>
  <c r="V82" i="44" s="1"/>
  <c r="P83" i="44"/>
  <c r="T83" i="44" s="1"/>
  <c r="V83" i="44" s="1"/>
  <c r="P84" i="44"/>
  <c r="T84" i="44" s="1"/>
  <c r="V84" i="44" s="1"/>
  <c r="P85" i="44"/>
  <c r="T85" i="44" s="1"/>
  <c r="V85" i="44" s="1"/>
  <c r="P86" i="44"/>
  <c r="T86" i="44" s="1"/>
  <c r="V86" i="44" s="1"/>
  <c r="P87" i="44"/>
  <c r="T87" i="44" s="1"/>
  <c r="V87" i="44" s="1"/>
  <c r="P88" i="44"/>
  <c r="T88" i="44" s="1"/>
  <c r="V88" i="44" s="1"/>
  <c r="P89" i="44"/>
  <c r="T89" i="44" s="1"/>
  <c r="V89" i="44" s="1"/>
  <c r="P90" i="44"/>
  <c r="T90" i="44" s="1"/>
  <c r="V90" i="44" s="1"/>
  <c r="P91" i="44"/>
  <c r="T91" i="44" s="1"/>
  <c r="V91" i="44" s="1"/>
  <c r="P92" i="44"/>
  <c r="T92" i="44" s="1"/>
  <c r="V92" i="44" s="1"/>
  <c r="P93" i="44"/>
  <c r="T93" i="44" s="1"/>
  <c r="V93" i="44" s="1"/>
  <c r="P94" i="44"/>
  <c r="T94" i="44" s="1"/>
  <c r="V94" i="44" s="1"/>
  <c r="P95" i="44"/>
  <c r="T95" i="44" s="1"/>
  <c r="V95" i="44" s="1"/>
  <c r="P96" i="44"/>
  <c r="P97" i="44"/>
  <c r="T97" i="44" s="1"/>
  <c r="V97" i="44" s="1"/>
  <c r="P98" i="44"/>
  <c r="T98" i="44" s="1"/>
  <c r="V98" i="44" s="1"/>
  <c r="P99" i="44"/>
  <c r="T99" i="44" s="1"/>
  <c r="V99" i="44" s="1"/>
  <c r="P100" i="44"/>
  <c r="T100" i="44" s="1"/>
  <c r="V100" i="44" s="1"/>
  <c r="P101" i="44"/>
  <c r="T101" i="44" s="1"/>
  <c r="V101" i="44" s="1"/>
  <c r="T96" i="44"/>
  <c r="V96" i="44" s="1"/>
  <c r="T80" i="44"/>
  <c r="V80" i="44" s="1"/>
  <c r="T79" i="44"/>
  <c r="V79" i="44" s="1"/>
  <c r="T72" i="44"/>
  <c r="V72" i="44" s="1"/>
  <c r="P104" i="44"/>
  <c r="T104" i="44" s="1"/>
  <c r="V104" i="44" s="1"/>
  <c r="P107" i="44"/>
  <c r="T107" i="44" s="1"/>
  <c r="V107" i="44" s="1"/>
  <c r="P110" i="44"/>
  <c r="T110" i="44" s="1"/>
  <c r="V110" i="44" s="1"/>
  <c r="P111" i="44"/>
  <c r="T111" i="44" s="1"/>
  <c r="V111" i="44" s="1"/>
  <c r="P114" i="44"/>
  <c r="T114" i="44" s="1"/>
  <c r="V114" i="44" s="1"/>
  <c r="P115" i="44"/>
  <c r="T115" i="44" s="1"/>
  <c r="V115" i="44" s="1"/>
  <c r="P116" i="44"/>
  <c r="T116" i="44" s="1"/>
  <c r="V116" i="44" s="1"/>
  <c r="P117" i="44"/>
  <c r="T117" i="44" s="1"/>
  <c r="V117" i="44" s="1"/>
  <c r="P118" i="44"/>
  <c r="T118" i="44" s="1"/>
  <c r="V118" i="44" s="1"/>
  <c r="P119" i="44"/>
  <c r="T119" i="44" s="1"/>
  <c r="V119" i="44" s="1"/>
  <c r="P120" i="44"/>
  <c r="T120" i="44" s="1"/>
  <c r="V120" i="44" s="1"/>
  <c r="P123" i="44"/>
  <c r="T123" i="44" s="1"/>
  <c r="V123" i="44" s="1"/>
  <c r="P126" i="44"/>
  <c r="T126" i="44" s="1"/>
  <c r="V126" i="44" s="1"/>
  <c r="P129" i="44"/>
  <c r="T129" i="44" s="1"/>
  <c r="V129" i="44" s="1"/>
  <c r="P132" i="44"/>
  <c r="T132" i="44" s="1"/>
  <c r="V132" i="44" s="1"/>
  <c r="P135" i="44"/>
  <c r="T135" i="44" s="1"/>
  <c r="V135" i="44" s="1"/>
  <c r="P138" i="44"/>
  <c r="T138" i="44" s="1"/>
  <c r="V138" i="44" s="1"/>
  <c r="P139" i="44"/>
  <c r="T139" i="44" s="1"/>
  <c r="V139" i="44" s="1"/>
  <c r="P145" i="44"/>
  <c r="T145" i="44" s="1"/>
  <c r="V145" i="44" s="1"/>
  <c r="P149" i="44"/>
  <c r="T149" i="44" s="1"/>
  <c r="V149" i="44" s="1"/>
  <c r="P152" i="44"/>
  <c r="T152" i="44" s="1"/>
  <c r="V152" i="44" s="1"/>
  <c r="P153" i="44"/>
  <c r="T153" i="44" s="1"/>
  <c r="V153" i="44" s="1"/>
  <c r="P154" i="44"/>
  <c r="T154" i="44" s="1"/>
  <c r="V154" i="44" s="1"/>
  <c r="P155" i="44"/>
  <c r="T155" i="44" s="1"/>
  <c r="V155" i="44" s="1"/>
  <c r="P156" i="44"/>
  <c r="T156" i="44" s="1"/>
  <c r="V156" i="44" s="1"/>
  <c r="P157" i="44"/>
  <c r="T157" i="44" s="1"/>
  <c r="V157" i="44" s="1"/>
  <c r="P158" i="44"/>
  <c r="T158" i="44" s="1"/>
  <c r="V158" i="44" s="1"/>
  <c r="P159" i="44"/>
  <c r="T159" i="44" s="1"/>
  <c r="V159" i="44" s="1"/>
  <c r="P162" i="44"/>
  <c r="T162" i="44" s="1"/>
  <c r="V162" i="44" s="1"/>
  <c r="P165" i="44"/>
  <c r="T165" i="44" s="1"/>
  <c r="V165" i="44" s="1"/>
  <c r="P166" i="44"/>
  <c r="T166" i="44" s="1"/>
  <c r="V166" i="44" s="1"/>
  <c r="P167" i="44"/>
  <c r="T167" i="44" s="1"/>
  <c r="V167" i="44" s="1"/>
  <c r="P168" i="44"/>
  <c r="T168" i="44" s="1"/>
  <c r="V168" i="44" s="1"/>
  <c r="P169" i="44"/>
  <c r="T169" i="44" s="1"/>
  <c r="V169" i="44" s="1"/>
  <c r="P170" i="44"/>
  <c r="T170" i="44" s="1"/>
  <c r="V170" i="44" s="1"/>
  <c r="P177" i="44"/>
  <c r="T177" i="44" s="1"/>
  <c r="V177" i="44" s="1"/>
  <c r="P180" i="44"/>
  <c r="T180" i="44" s="1"/>
  <c r="V180" i="44" s="1"/>
  <c r="P183" i="44"/>
  <c r="T183" i="44" s="1"/>
  <c r="V183" i="44" s="1"/>
  <c r="P186" i="44"/>
  <c r="T186" i="44" s="1"/>
  <c r="V186" i="44" s="1"/>
  <c r="P189" i="44"/>
  <c r="T189" i="44" s="1"/>
  <c r="V189" i="44" s="1"/>
  <c r="P192" i="44"/>
  <c r="T192" i="44" s="1"/>
  <c r="V192" i="44" s="1"/>
  <c r="P195" i="44"/>
  <c r="T195" i="44" s="1"/>
  <c r="V195" i="44" s="1"/>
  <c r="P201" i="44"/>
  <c r="T201" i="44" s="1"/>
  <c r="V201" i="44" s="1"/>
  <c r="P204" i="44"/>
  <c r="T204" i="44" s="1"/>
  <c r="V204" i="44" s="1"/>
  <c r="P207" i="44"/>
  <c r="T207" i="44" s="1"/>
  <c r="V207" i="44" s="1"/>
  <c r="P210" i="44"/>
  <c r="T210" i="44" s="1"/>
  <c r="V210" i="44" s="1"/>
  <c r="P213" i="44"/>
  <c r="T213" i="44" s="1"/>
  <c r="V213" i="44" s="1"/>
  <c r="P216" i="44"/>
  <c r="T216" i="44" s="1"/>
  <c r="V216" i="44" s="1"/>
  <c r="P219" i="44"/>
  <c r="T219" i="44" s="1"/>
  <c r="V219" i="44" s="1"/>
  <c r="P223" i="44"/>
  <c r="T223" i="44" s="1"/>
  <c r="V223" i="44" s="1"/>
  <c r="D99" i="115" l="1"/>
  <c r="D100" i="115" s="1"/>
  <c r="F312" i="2"/>
  <c r="F320" i="2"/>
  <c r="Y6" i="104"/>
  <c r="Y7" i="104"/>
  <c r="Y8" i="104" s="1"/>
  <c r="Y9" i="104" s="1"/>
  <c r="Y11" i="104" s="1"/>
  <c r="Y12" i="104" s="1"/>
  <c r="Y13" i="104" s="1"/>
  <c r="Y14" i="104" s="1"/>
  <c r="Y16" i="104" s="1"/>
  <c r="Y17" i="104" s="1"/>
  <c r="Y18" i="104" s="1"/>
  <c r="Y19" i="104" s="1"/>
  <c r="Y21" i="104" s="1"/>
  <c r="Y22" i="104" s="1"/>
  <c r="Y23" i="104" s="1"/>
  <c r="Y24" i="104" s="1"/>
  <c r="Y26" i="104" s="1"/>
  <c r="Y27" i="104" s="1"/>
  <c r="Y28" i="104" s="1"/>
  <c r="Y29" i="104" s="1"/>
  <c r="Y31" i="104" s="1"/>
  <c r="Y32" i="104" s="1"/>
  <c r="Y33" i="104" s="1"/>
  <c r="Y34" i="104" s="1"/>
  <c r="Y36" i="104" s="1"/>
  <c r="Y37" i="104" s="1"/>
  <c r="Y38" i="104" s="1"/>
  <c r="Y39" i="104" s="1"/>
  <c r="F8" i="104"/>
  <c r="F9" i="104"/>
  <c r="F10" i="104" s="1"/>
  <c r="F11" i="104" s="1"/>
  <c r="F12" i="104" s="1"/>
  <c r="F13" i="104" s="1"/>
  <c r="F14" i="104" s="1"/>
  <c r="F15" i="104" s="1"/>
  <c r="F16" i="104" s="1"/>
  <c r="F17" i="104" s="1"/>
  <c r="F18" i="104" s="1"/>
  <c r="F19" i="104" s="1"/>
  <c r="F20" i="104" s="1"/>
  <c r="F21" i="104" s="1"/>
  <c r="F22" i="104" s="1"/>
  <c r="F23" i="104" s="1"/>
  <c r="F24" i="104" s="1"/>
  <c r="F25" i="104" s="1"/>
  <c r="F26" i="104" s="1"/>
  <c r="F27" i="104" s="1"/>
  <c r="F28" i="104" s="1"/>
  <c r="F29" i="104" s="1"/>
  <c r="F30" i="104" s="1"/>
  <c r="F31" i="104" s="1"/>
  <c r="F32" i="104" s="1"/>
  <c r="F33" i="104" s="1"/>
  <c r="F34" i="104" s="1"/>
  <c r="F35" i="104" s="1"/>
  <c r="F36" i="104" s="1"/>
  <c r="F37" i="104" s="1"/>
  <c r="F38" i="104" s="1"/>
  <c r="F39" i="104" s="1"/>
  <c r="F40" i="104" s="1"/>
  <c r="F41" i="104" s="1"/>
  <c r="F42" i="104" s="1"/>
  <c r="F43" i="104" s="1"/>
  <c r="F44" i="104" s="1"/>
  <c r="F45" i="104" s="1"/>
  <c r="F46" i="104" s="1"/>
  <c r="F47" i="104" s="1"/>
  <c r="F48" i="104" s="1"/>
  <c r="F49" i="104" s="1"/>
  <c r="I27" i="104"/>
  <c r="K27" i="104"/>
  <c r="J38" i="104"/>
  <c r="K38" i="104" s="1"/>
  <c r="Z67" i="104" s="1"/>
  <c r="J43" i="104"/>
  <c r="J44" i="104"/>
  <c r="J45" i="104"/>
  <c r="U55" i="104"/>
  <c r="V32" i="104" s="1"/>
  <c r="U56" i="104"/>
  <c r="S58" i="104"/>
  <c r="Y6" i="84"/>
  <c r="Y7" i="84" s="1"/>
  <c r="Y8" i="84" s="1"/>
  <c r="Y9" i="84" s="1"/>
  <c r="Y11" i="84" s="1"/>
  <c r="Y12" i="84" s="1"/>
  <c r="Y13" i="84" s="1"/>
  <c r="Y14" i="84" s="1"/>
  <c r="Y16" i="84" s="1"/>
  <c r="Y17" i="84" s="1"/>
  <c r="Y18" i="84" s="1"/>
  <c r="Y19" i="84" s="1"/>
  <c r="Y21" i="84" s="1"/>
  <c r="Y22" i="84" s="1"/>
  <c r="Y23" i="84" s="1"/>
  <c r="Y24" i="84" s="1"/>
  <c r="Y26" i="84" s="1"/>
  <c r="Y27" i="84" s="1"/>
  <c r="Y28" i="84" s="1"/>
  <c r="Y29" i="84" s="1"/>
  <c r="Y31" i="84" s="1"/>
  <c r="Y32" i="84" s="1"/>
  <c r="Y33" i="84" s="1"/>
  <c r="Y34" i="84" s="1"/>
  <c r="Y36" i="84" s="1"/>
  <c r="Y37" i="84" s="1"/>
  <c r="Y38" i="84" s="1"/>
  <c r="Y39" i="84" s="1"/>
  <c r="F8" i="84"/>
  <c r="F9" i="84" s="1"/>
  <c r="F10" i="84" s="1"/>
  <c r="F11" i="84" s="1"/>
  <c r="F12" i="84" s="1"/>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I27" i="84"/>
  <c r="K27" i="84"/>
  <c r="J38" i="84"/>
  <c r="Y67" i="84" s="1"/>
  <c r="K38" i="84"/>
  <c r="Z67" i="84" s="1"/>
  <c r="J43" i="84"/>
  <c r="J44" i="84"/>
  <c r="J45" i="84"/>
  <c r="U55" i="84"/>
  <c r="V36" i="84" s="1"/>
  <c r="U56" i="84"/>
  <c r="S58" i="84"/>
  <c r="Y6" i="83"/>
  <c r="Y7" i="83"/>
  <c r="Y8" i="83" s="1"/>
  <c r="Y9" i="83" s="1"/>
  <c r="Y11" i="83" s="1"/>
  <c r="Y12" i="83" s="1"/>
  <c r="Y13" i="83" s="1"/>
  <c r="Y14" i="83" s="1"/>
  <c r="Y16" i="83" s="1"/>
  <c r="Y17" i="83" s="1"/>
  <c r="Y18" i="83" s="1"/>
  <c r="Y19" i="83" s="1"/>
  <c r="Y21" i="83" s="1"/>
  <c r="Y22" i="83" s="1"/>
  <c r="Y23" i="83" s="1"/>
  <c r="Y24" i="83" s="1"/>
  <c r="Y26" i="83" s="1"/>
  <c r="Y27" i="83" s="1"/>
  <c r="Y28" i="83" s="1"/>
  <c r="Y29" i="83" s="1"/>
  <c r="Y31" i="83" s="1"/>
  <c r="Y32" i="83" s="1"/>
  <c r="Y33" i="83" s="1"/>
  <c r="Y34" i="83" s="1"/>
  <c r="Y36" i="83" s="1"/>
  <c r="Y37" i="83" s="1"/>
  <c r="Y38" i="83" s="1"/>
  <c r="Y39" i="83" s="1"/>
  <c r="F8" i="83"/>
  <c r="F9" i="83" s="1"/>
  <c r="F10" i="83" s="1"/>
  <c r="F11" i="83" s="1"/>
  <c r="F12" i="83" s="1"/>
  <c r="F13" i="83" s="1"/>
  <c r="F14" i="83" s="1"/>
  <c r="F15" i="83" s="1"/>
  <c r="F16" i="83" s="1"/>
  <c r="F17" i="83" s="1"/>
  <c r="F18" i="83" s="1"/>
  <c r="F19" i="83" s="1"/>
  <c r="F20" i="83" s="1"/>
  <c r="F21" i="83" s="1"/>
  <c r="F22" i="83" s="1"/>
  <c r="F23" i="83" s="1"/>
  <c r="F24" i="83" s="1"/>
  <c r="F25" i="83" s="1"/>
  <c r="F26" i="83" s="1"/>
  <c r="F27" i="83" s="1"/>
  <c r="F28" i="83" s="1"/>
  <c r="F29" i="83" s="1"/>
  <c r="F30" i="83" s="1"/>
  <c r="F31" i="83" s="1"/>
  <c r="F32" i="83" s="1"/>
  <c r="F33" i="83" s="1"/>
  <c r="F34" i="83" s="1"/>
  <c r="F35" i="83" s="1"/>
  <c r="F36" i="83" s="1"/>
  <c r="F37" i="83" s="1"/>
  <c r="F38" i="83" s="1"/>
  <c r="F39" i="83" s="1"/>
  <c r="F40" i="83" s="1"/>
  <c r="F41" i="83" s="1"/>
  <c r="F42" i="83" s="1"/>
  <c r="F43" i="83" s="1"/>
  <c r="F44" i="83" s="1"/>
  <c r="F45" i="83" s="1"/>
  <c r="F46" i="83" s="1"/>
  <c r="F47" i="83" s="1"/>
  <c r="F48" i="83" s="1"/>
  <c r="F49" i="83" s="1"/>
  <c r="I27" i="83"/>
  <c r="K27" i="83"/>
  <c r="J38" i="83"/>
  <c r="Y67" i="83" s="1"/>
  <c r="J43" i="83"/>
  <c r="J44" i="83"/>
  <c r="J45" i="83"/>
  <c r="U55" i="83"/>
  <c r="V39" i="83" s="1"/>
  <c r="U56" i="83"/>
  <c r="S58" i="83"/>
  <c r="Y6" i="82"/>
  <c r="Y7" i="82" s="1"/>
  <c r="Y8" i="82" s="1"/>
  <c r="Y9" i="82" s="1"/>
  <c r="Y11" i="82" s="1"/>
  <c r="Y12" i="82" s="1"/>
  <c r="Y13" i="82" s="1"/>
  <c r="Y14" i="82" s="1"/>
  <c r="Y16" i="82" s="1"/>
  <c r="Y17" i="82" s="1"/>
  <c r="Y18" i="82" s="1"/>
  <c r="Y19" i="82" s="1"/>
  <c r="Y21" i="82" s="1"/>
  <c r="Y22" i="82" s="1"/>
  <c r="Y23" i="82" s="1"/>
  <c r="Y24" i="82" s="1"/>
  <c r="Y26" i="82" s="1"/>
  <c r="Y27" i="82" s="1"/>
  <c r="Y28" i="82" s="1"/>
  <c r="Y29" i="82" s="1"/>
  <c r="Y31" i="82" s="1"/>
  <c r="Y32" i="82" s="1"/>
  <c r="Y33" i="82" s="1"/>
  <c r="Y34" i="82" s="1"/>
  <c r="Y36" i="82" s="1"/>
  <c r="Y37" i="82" s="1"/>
  <c r="Y38" i="82" s="1"/>
  <c r="Y39" i="82" s="1"/>
  <c r="F8" i="82"/>
  <c r="F9" i="82" s="1"/>
  <c r="F10" i="82" s="1"/>
  <c r="F11" i="82" s="1"/>
  <c r="F12" i="82" s="1"/>
  <c r="F13" i="82" s="1"/>
  <c r="F14" i="82" s="1"/>
  <c r="F15" i="82" s="1"/>
  <c r="F16" i="82" s="1"/>
  <c r="F17" i="82" s="1"/>
  <c r="F18" i="82" s="1"/>
  <c r="F19" i="82" s="1"/>
  <c r="F20" i="82" s="1"/>
  <c r="F21" i="82" s="1"/>
  <c r="F22" i="82" s="1"/>
  <c r="F23" i="82" s="1"/>
  <c r="F24" i="82" s="1"/>
  <c r="F25" i="82" s="1"/>
  <c r="F26" i="82" s="1"/>
  <c r="F27" i="82" s="1"/>
  <c r="F28" i="82" s="1"/>
  <c r="F29" i="82" s="1"/>
  <c r="F30" i="82" s="1"/>
  <c r="F31" i="82" s="1"/>
  <c r="F32" i="82" s="1"/>
  <c r="F33" i="82" s="1"/>
  <c r="F34" i="82" s="1"/>
  <c r="F35" i="82" s="1"/>
  <c r="F36" i="82" s="1"/>
  <c r="F37" i="82" s="1"/>
  <c r="F38" i="82" s="1"/>
  <c r="F39" i="82" s="1"/>
  <c r="F40" i="82" s="1"/>
  <c r="F41" i="82" s="1"/>
  <c r="F42" i="82" s="1"/>
  <c r="F43" i="82" s="1"/>
  <c r="F44" i="82" s="1"/>
  <c r="F45" i="82" s="1"/>
  <c r="F46" i="82" s="1"/>
  <c r="F47" i="82" s="1"/>
  <c r="F48" i="82" s="1"/>
  <c r="F49" i="82" s="1"/>
  <c r="K27" i="82"/>
  <c r="I27" i="82"/>
  <c r="I26" i="82" s="1"/>
  <c r="J38" i="82"/>
  <c r="V38" i="82"/>
  <c r="J43" i="82"/>
  <c r="J44" i="82"/>
  <c r="J45" i="82"/>
  <c r="U55" i="82"/>
  <c r="V8" i="82" s="1"/>
  <c r="U56" i="82"/>
  <c r="S58" i="82"/>
  <c r="P2" i="44"/>
  <c r="T2" i="44" s="1"/>
  <c r="V2" i="44" s="1"/>
  <c r="J3" i="44"/>
  <c r="L3" i="44"/>
  <c r="N3" i="44"/>
  <c r="P3" i="44"/>
  <c r="T3" i="44"/>
  <c r="A4" i="44"/>
  <c r="A6" i="44"/>
  <c r="A5" i="44"/>
  <c r="B4" i="44"/>
  <c r="B5" i="44"/>
  <c r="A7" i="44"/>
  <c r="B6" i="44"/>
  <c r="V11" i="84" l="1"/>
  <c r="V39" i="84"/>
  <c r="V38" i="84"/>
  <c r="V16" i="104"/>
  <c r="V37" i="82"/>
  <c r="V26" i="82"/>
  <c r="V27" i="82"/>
  <c r="V24" i="82"/>
  <c r="V29" i="84"/>
  <c r="Y67" i="104"/>
  <c r="K38" i="83"/>
  <c r="Z67" i="83" s="1"/>
  <c r="V33" i="83"/>
  <c r="AC33" i="84"/>
  <c r="V34" i="82"/>
  <c r="V22" i="82"/>
  <c r="V32" i="82"/>
  <c r="V17" i="82"/>
  <c r="V18" i="83"/>
  <c r="V19" i="104"/>
  <c r="V17" i="104"/>
  <c r="AC29" i="104"/>
  <c r="AC32" i="84"/>
  <c r="AC31" i="84"/>
  <c r="I26" i="84"/>
  <c r="AC24" i="84"/>
  <c r="AC28" i="84"/>
  <c r="AC38" i="84"/>
  <c r="AC33" i="83"/>
  <c r="AC18" i="82"/>
  <c r="AC26" i="104"/>
  <c r="AC33" i="104"/>
  <c r="AC21" i="104"/>
  <c r="AC37" i="104"/>
  <c r="I26" i="104"/>
  <c r="I28" i="104" s="1"/>
  <c r="AC8" i="104"/>
  <c r="AC36" i="104"/>
  <c r="AC39" i="104"/>
  <c r="AC28" i="104"/>
  <c r="AC6" i="104"/>
  <c r="AC38" i="104"/>
  <c r="AC27" i="104"/>
  <c r="AC29" i="84"/>
  <c r="AC18" i="84"/>
  <c r="AC17" i="84"/>
  <c r="AC34" i="84"/>
  <c r="AC27" i="84"/>
  <c r="AC16" i="84"/>
  <c r="AC37" i="84"/>
  <c r="L27" i="84"/>
  <c r="I26" i="83"/>
  <c r="I28" i="83" s="1"/>
  <c r="AC28" i="83"/>
  <c r="AC22" i="83"/>
  <c r="AC31" i="83"/>
  <c r="AC24" i="83"/>
  <c r="AC36" i="83"/>
  <c r="AC27" i="83"/>
  <c r="AC21" i="83"/>
  <c r="AC29" i="83"/>
  <c r="AC34" i="83"/>
  <c r="L27" i="83"/>
  <c r="AC18" i="83"/>
  <c r="AC17" i="83"/>
  <c r="AC38" i="83"/>
  <c r="AC37" i="83"/>
  <c r="AC39" i="83"/>
  <c r="AC11" i="83"/>
  <c r="AC17" i="82"/>
  <c r="AC23" i="82"/>
  <c r="AC26" i="82"/>
  <c r="AC32" i="82"/>
  <c r="AC37" i="82"/>
  <c r="AC14" i="82"/>
  <c r="AC36" i="82"/>
  <c r="L27" i="82"/>
  <c r="AC34" i="82"/>
  <c r="AC39" i="82"/>
  <c r="AC28" i="82"/>
  <c r="I28" i="82"/>
  <c r="K38" i="82"/>
  <c r="Z67" i="82" s="1"/>
  <c r="Y67" i="82"/>
  <c r="AC6" i="82"/>
  <c r="AC8" i="82"/>
  <c r="AC9" i="82"/>
  <c r="AC11" i="82"/>
  <c r="AC12" i="82"/>
  <c r="AC24" i="82"/>
  <c r="V16" i="82"/>
  <c r="V6" i="83"/>
  <c r="V9" i="83"/>
  <c r="V11" i="83"/>
  <c r="V12" i="83"/>
  <c r="V17" i="83"/>
  <c r="V38" i="83"/>
  <c r="V8" i="83"/>
  <c r="V7" i="83"/>
  <c r="V13" i="83"/>
  <c r="V14" i="83"/>
  <c r="V16" i="83"/>
  <c r="V27" i="83"/>
  <c r="V22" i="83"/>
  <c r="V31" i="83"/>
  <c r="V34" i="83"/>
  <c r="V23" i="83"/>
  <c r="V26" i="83"/>
  <c r="V37" i="83"/>
  <c r="V32" i="83"/>
  <c r="V19" i="83"/>
  <c r="V24" i="83"/>
  <c r="V28" i="83"/>
  <c r="V23" i="82"/>
  <c r="V31" i="82"/>
  <c r="V7" i="82"/>
  <c r="AC38" i="82"/>
  <c r="AC31" i="82"/>
  <c r="V19" i="82"/>
  <c r="AC16" i="82"/>
  <c r="V13" i="82"/>
  <c r="V9" i="82"/>
  <c r="V36" i="83"/>
  <c r="V29" i="82"/>
  <c r="AC27" i="82"/>
  <c r="AC22" i="82"/>
  <c r="V21" i="82"/>
  <c r="V12" i="82"/>
  <c r="V11" i="82"/>
  <c r="V33" i="82"/>
  <c r="V28" i="82"/>
  <c r="AC19" i="82"/>
  <c r="AC13" i="82"/>
  <c r="AC7" i="82"/>
  <c r="V6" i="82"/>
  <c r="V29" i="83"/>
  <c r="V39" i="82"/>
  <c r="V36" i="82"/>
  <c r="AC33" i="82"/>
  <c r="AC29" i="82"/>
  <c r="AC21" i="82"/>
  <c r="V18" i="82"/>
  <c r="V14" i="82"/>
  <c r="V21" i="83"/>
  <c r="AC9" i="83"/>
  <c r="AC32" i="83"/>
  <c r="AC7" i="83"/>
  <c r="AC8" i="83"/>
  <c r="AC19" i="83"/>
  <c r="AC26" i="83"/>
  <c r="AC13" i="83"/>
  <c r="AC14" i="83"/>
  <c r="AC6" i="83"/>
  <c r="AC16" i="83"/>
  <c r="AC23" i="83"/>
  <c r="AC12" i="83"/>
  <c r="I28" i="84"/>
  <c r="V6" i="84"/>
  <c r="V9" i="84"/>
  <c r="V23" i="84"/>
  <c r="V31" i="84"/>
  <c r="V34" i="84"/>
  <c r="V14" i="84"/>
  <c r="V12" i="84"/>
  <c r="V17" i="84"/>
  <c r="V8" i="84"/>
  <c r="V22" i="84"/>
  <c r="V13" i="84"/>
  <c r="V19" i="84"/>
  <c r="V33" i="84"/>
  <c r="V28" i="84"/>
  <c r="V26" i="84"/>
  <c r="V21" i="84"/>
  <c r="V16" i="84"/>
  <c r="AC9" i="84"/>
  <c r="V37" i="84"/>
  <c r="V32" i="84"/>
  <c r="V18" i="84"/>
  <c r="V7" i="84"/>
  <c r="AC12" i="84"/>
  <c r="AC26" i="84"/>
  <c r="V27" i="84"/>
  <c r="V24" i="84"/>
  <c r="AC21" i="84"/>
  <c r="V39" i="104"/>
  <c r="V18" i="104"/>
  <c r="V14" i="104"/>
  <c r="AC19" i="84"/>
  <c r="AC11" i="84"/>
  <c r="AC7" i="84"/>
  <c r="V34" i="104"/>
  <c r="V6" i="104"/>
  <c r="AC22" i="84"/>
  <c r="AC13" i="84"/>
  <c r="V36" i="104"/>
  <c r="AC8" i="84"/>
  <c r="V7" i="104"/>
  <c r="V29" i="104"/>
  <c r="V21" i="104"/>
  <c r="V27" i="104"/>
  <c r="V28" i="104"/>
  <c r="V37" i="104"/>
  <c r="V9" i="104"/>
  <c r="V22" i="104"/>
  <c r="V11" i="104"/>
  <c r="V26" i="104"/>
  <c r="V13" i="104"/>
  <c r="V12" i="104"/>
  <c r="V24" i="104"/>
  <c r="AC39" i="84"/>
  <c r="AC36" i="84"/>
  <c r="AC32" i="104"/>
  <c r="AC31" i="104"/>
  <c r="AC34" i="104"/>
  <c r="AC7" i="104"/>
  <c r="L27" i="104"/>
  <c r="AC19" i="104"/>
  <c r="V23" i="104"/>
  <c r="AC6" i="84"/>
  <c r="AC23" i="84"/>
  <c r="AC14" i="84"/>
  <c r="V38" i="104"/>
  <c r="V33" i="104"/>
  <c r="V31" i="104"/>
  <c r="V8" i="104"/>
  <c r="AC23" i="104"/>
  <c r="AC18" i="104"/>
  <c r="AC16" i="104"/>
  <c r="AC14" i="104"/>
  <c r="AC13" i="104"/>
  <c r="AC24" i="104"/>
  <c r="AC22" i="104"/>
  <c r="AC17" i="104"/>
  <c r="AC12" i="104"/>
  <c r="AC11" i="104"/>
  <c r="AC9" i="104"/>
  <c r="B7" i="44"/>
  <c r="A8" i="44"/>
  <c r="R3" i="44" l="1"/>
  <c r="S3" i="44"/>
  <c r="D10" i="44"/>
  <c r="T13" i="44"/>
  <c r="S13" i="44" s="1"/>
  <c r="R13" i="44" s="1"/>
  <c r="J29" i="44"/>
  <c r="L29" i="44"/>
  <c r="N29" i="44"/>
  <c r="R29" i="44"/>
  <c r="S29" i="44"/>
  <c r="J40" i="44"/>
  <c r="L40" i="44"/>
  <c r="N40" i="44"/>
  <c r="R40" i="44"/>
  <c r="S40" i="44"/>
  <c r="J47" i="44"/>
  <c r="L47" i="44"/>
  <c r="N47" i="44"/>
  <c r="R47" i="44"/>
  <c r="S47" i="44"/>
  <c r="J55" i="44"/>
  <c r="L55" i="44"/>
  <c r="N55" i="44"/>
  <c r="R55" i="44"/>
  <c r="S55" i="44"/>
  <c r="J58" i="44"/>
  <c r="L58" i="44"/>
  <c r="N58" i="44"/>
  <c r="R58" i="44"/>
  <c r="S58" i="44"/>
  <c r="T58" i="44"/>
  <c r="V58" i="44"/>
  <c r="J103" i="44"/>
  <c r="L103" i="44"/>
  <c r="N103" i="44"/>
  <c r="R103" i="44"/>
  <c r="S103" i="44"/>
  <c r="V106" i="44"/>
  <c r="J106" i="44"/>
  <c r="L106" i="44"/>
  <c r="N106" i="44"/>
  <c r="R106" i="44"/>
  <c r="S106" i="44"/>
  <c r="J109" i="44"/>
  <c r="L109" i="44"/>
  <c r="N109" i="44"/>
  <c r="R109" i="44"/>
  <c r="S109" i="44"/>
  <c r="T109" i="44"/>
  <c r="V109" i="44"/>
  <c r="J113" i="44"/>
  <c r="L113" i="44"/>
  <c r="N113" i="44"/>
  <c r="R113" i="44"/>
  <c r="S113" i="44"/>
  <c r="J122" i="44"/>
  <c r="L122" i="44"/>
  <c r="N122" i="44"/>
  <c r="R122" i="44"/>
  <c r="S122" i="44"/>
  <c r="J125" i="44"/>
  <c r="L125" i="44"/>
  <c r="N125" i="44"/>
  <c r="R125" i="44"/>
  <c r="S125" i="44"/>
  <c r="J128" i="44"/>
  <c r="L128" i="44"/>
  <c r="N128" i="44"/>
  <c r="R128" i="44"/>
  <c r="S128" i="44"/>
  <c r="T128" i="44"/>
  <c r="V128" i="44"/>
  <c r="V131" i="44"/>
  <c r="J131" i="44"/>
  <c r="L131" i="44"/>
  <c r="N131" i="44"/>
  <c r="R131" i="44"/>
  <c r="S131" i="44"/>
  <c r="T131" i="44"/>
  <c r="J134" i="44"/>
  <c r="L134" i="44"/>
  <c r="N134" i="44"/>
  <c r="R134" i="44"/>
  <c r="S134" i="44"/>
  <c r="T134" i="44"/>
  <c r="V134" i="44"/>
  <c r="V137" i="44"/>
  <c r="J137" i="44"/>
  <c r="L137" i="44"/>
  <c r="N137" i="44"/>
  <c r="R137" i="44"/>
  <c r="S137" i="44"/>
  <c r="T137" i="44"/>
  <c r="V141" i="44"/>
  <c r="J141" i="44"/>
  <c r="L141" i="44"/>
  <c r="N141" i="44"/>
  <c r="R141" i="44"/>
  <c r="S141" i="44"/>
  <c r="J147" i="44"/>
  <c r="L147" i="44"/>
  <c r="N147" i="44"/>
  <c r="R147" i="44"/>
  <c r="S147" i="44"/>
  <c r="T147" i="44"/>
  <c r="V147" i="44"/>
  <c r="J151" i="44"/>
  <c r="P151" i="44" s="1"/>
  <c r="L151" i="44"/>
  <c r="N151" i="44"/>
  <c r="R151" i="44"/>
  <c r="S151" i="44"/>
  <c r="V161" i="44"/>
  <c r="J161" i="44"/>
  <c r="L161" i="44"/>
  <c r="N161" i="44"/>
  <c r="R161" i="44"/>
  <c r="S161" i="44"/>
  <c r="J164" i="44"/>
  <c r="L164" i="44"/>
  <c r="N164" i="44"/>
  <c r="R164" i="44"/>
  <c r="S164" i="44"/>
  <c r="T164" i="44"/>
  <c r="V164" i="44"/>
  <c r="T172" i="44"/>
  <c r="V172" i="44"/>
  <c r="J172" i="44"/>
  <c r="L172" i="44"/>
  <c r="N172" i="44"/>
  <c r="R172" i="44"/>
  <c r="S172" i="44"/>
  <c r="J179" i="44"/>
  <c r="L179" i="44"/>
  <c r="N179" i="44"/>
  <c r="R179" i="44"/>
  <c r="S179" i="44"/>
  <c r="T179" i="44"/>
  <c r="V179" i="44"/>
  <c r="J182" i="44"/>
  <c r="P182" i="44" s="1"/>
  <c r="L182" i="44"/>
  <c r="N182" i="44"/>
  <c r="R182" i="44"/>
  <c r="S182" i="44"/>
  <c r="T182" i="44"/>
  <c r="V182" i="44"/>
  <c r="J185" i="44"/>
  <c r="L185" i="44"/>
  <c r="N185" i="44"/>
  <c r="R185" i="44"/>
  <c r="S185" i="44"/>
  <c r="T185" i="44"/>
  <c r="V185" i="44"/>
  <c r="J188" i="44"/>
  <c r="L188" i="44"/>
  <c r="N188" i="44"/>
  <c r="R188" i="44"/>
  <c r="S188" i="44"/>
  <c r="T188" i="44"/>
  <c r="V188" i="44"/>
  <c r="V191" i="44"/>
  <c r="J191" i="44"/>
  <c r="L191" i="44"/>
  <c r="N191" i="44"/>
  <c r="R191" i="44"/>
  <c r="S191" i="44"/>
  <c r="T191" i="44"/>
  <c r="J194" i="44"/>
  <c r="L194" i="44"/>
  <c r="N194" i="44"/>
  <c r="R194" i="44"/>
  <c r="S194" i="44"/>
  <c r="T194" i="44"/>
  <c r="V194" i="44"/>
  <c r="V197" i="44"/>
  <c r="J197" i="44"/>
  <c r="L197" i="44"/>
  <c r="N197" i="44"/>
  <c r="R197" i="44"/>
  <c r="S197" i="44"/>
  <c r="T197" i="44"/>
  <c r="J203" i="44"/>
  <c r="L203" i="44"/>
  <c r="N203" i="44"/>
  <c r="R203" i="44"/>
  <c r="S203" i="44"/>
  <c r="V206" i="44"/>
  <c r="J206" i="44"/>
  <c r="L206" i="44"/>
  <c r="N206" i="44"/>
  <c r="R206" i="44"/>
  <c r="S206" i="44"/>
  <c r="T206" i="44"/>
  <c r="T209" i="44"/>
  <c r="J209" i="44"/>
  <c r="L209" i="44"/>
  <c r="N209" i="44"/>
  <c r="R209" i="44"/>
  <c r="S209" i="44"/>
  <c r="V209" i="44"/>
  <c r="J212" i="44"/>
  <c r="L212" i="44"/>
  <c r="N212" i="44"/>
  <c r="R212" i="44"/>
  <c r="S212" i="44"/>
  <c r="T215" i="44"/>
  <c r="J215" i="44"/>
  <c r="L215" i="44"/>
  <c r="N215" i="44"/>
  <c r="R215" i="44"/>
  <c r="S215" i="44"/>
  <c r="V215" i="44"/>
  <c r="V218" i="44"/>
  <c r="J218" i="44"/>
  <c r="L218" i="44"/>
  <c r="N218" i="44"/>
  <c r="R218" i="44"/>
  <c r="S218" i="44"/>
  <c r="T218" i="44"/>
  <c r="J221" i="44"/>
  <c r="P221" i="44" s="1"/>
  <c r="L221" i="44"/>
  <c r="N221" i="44"/>
  <c r="R221" i="44"/>
  <c r="S221" i="44"/>
  <c r="T221" i="44"/>
  <c r="V221" i="44"/>
  <c r="T225" i="44"/>
  <c r="V225" i="44"/>
  <c r="J225" i="44"/>
  <c r="L225" i="44"/>
  <c r="N225" i="44"/>
  <c r="R225" i="44"/>
  <c r="S225" i="44"/>
  <c r="J235" i="44"/>
  <c r="L235" i="44"/>
  <c r="N235" i="44"/>
  <c r="P235" i="44"/>
  <c r="R235" i="44"/>
  <c r="S235" i="44"/>
  <c r="T235" i="44"/>
  <c r="V235" i="44"/>
  <c r="P2" i="42"/>
  <c r="T2" i="42" s="1"/>
  <c r="V2" i="42" s="1"/>
  <c r="J3" i="42"/>
  <c r="L3" i="42"/>
  <c r="N3" i="42"/>
  <c r="P3" i="42"/>
  <c r="T3" i="42"/>
  <c r="A5" i="42"/>
  <c r="A6" i="42"/>
  <c r="A4" i="42"/>
  <c r="B6" i="42"/>
  <c r="B4" i="42"/>
  <c r="A7" i="42"/>
  <c r="B5" i="42"/>
  <c r="P134" i="44" l="1"/>
  <c r="L60" i="44"/>
  <c r="L143" i="44" s="1"/>
  <c r="P203" i="44"/>
  <c r="P55" i="44"/>
  <c r="P113" i="44"/>
  <c r="P209" i="44"/>
  <c r="B28" i="5"/>
  <c r="B33" i="5"/>
  <c r="P191" i="44"/>
  <c r="P161" i="44"/>
  <c r="P131" i="44"/>
  <c r="P40" i="44"/>
  <c r="J227" i="44"/>
  <c r="P194" i="44"/>
  <c r="P103" i="44"/>
  <c r="P58" i="44"/>
  <c r="N60" i="44"/>
  <c r="N143" i="44" s="1"/>
  <c r="P212" i="44"/>
  <c r="P185" i="44"/>
  <c r="P218" i="44"/>
  <c r="N227" i="44"/>
  <c r="P172" i="44"/>
  <c r="S174" i="44"/>
  <c r="S199" i="44" s="1"/>
  <c r="S229" i="44" s="1"/>
  <c r="P141" i="44"/>
  <c r="P164" i="44"/>
  <c r="P106" i="44"/>
  <c r="P179" i="44"/>
  <c r="P125" i="44"/>
  <c r="P109" i="44"/>
  <c r="P29" i="44"/>
  <c r="P188" i="44"/>
  <c r="P137" i="44"/>
  <c r="P128" i="44"/>
  <c r="L227" i="44"/>
  <c r="S60" i="44"/>
  <c r="S143" i="44" s="1"/>
  <c r="P197" i="44"/>
  <c r="R174" i="44"/>
  <c r="R199" i="44" s="1"/>
  <c r="P47" i="44"/>
  <c r="R60" i="44"/>
  <c r="R143" i="44" s="1"/>
  <c r="P206" i="44"/>
  <c r="N174" i="44"/>
  <c r="N199" i="44" s="1"/>
  <c r="P147" i="44"/>
  <c r="P122" i="44"/>
  <c r="L174" i="44"/>
  <c r="L199" i="44" s="1"/>
  <c r="S227" i="44"/>
  <c r="P225" i="44"/>
  <c r="P215" i="44"/>
  <c r="R227" i="44"/>
  <c r="T151" i="44"/>
  <c r="V151" i="44"/>
  <c r="V174" i="44" s="1"/>
  <c r="V199" i="44" s="1"/>
  <c r="V47" i="44"/>
  <c r="T47" i="44"/>
  <c r="T40" i="44"/>
  <c r="V40" i="44"/>
  <c r="V103" i="44"/>
  <c r="V113" i="44"/>
  <c r="T55" i="44"/>
  <c r="V55" i="44"/>
  <c r="T103" i="44"/>
  <c r="T212" i="44"/>
  <c r="V212" i="44"/>
  <c r="V29" i="44"/>
  <c r="T29" i="44"/>
  <c r="T203" i="44"/>
  <c r="V203" i="44"/>
  <c r="T125" i="44"/>
  <c r="V125" i="44"/>
  <c r="T113" i="44"/>
  <c r="T122" i="44"/>
  <c r="V122" i="44"/>
  <c r="T161" i="44"/>
  <c r="J60" i="44"/>
  <c r="J143" i="44" s="1"/>
  <c r="J174" i="44"/>
  <c r="J199" i="44" s="1"/>
  <c r="T141" i="44"/>
  <c r="T106" i="44"/>
  <c r="B7" i="42"/>
  <c r="A8" i="42"/>
  <c r="L229" i="44" l="1"/>
  <c r="L231" i="44" s="1"/>
  <c r="P227" i="44"/>
  <c r="R229" i="44"/>
  <c r="R231" i="44" s="1"/>
  <c r="J229" i="44"/>
  <c r="P60" i="44"/>
  <c r="P143" i="44" s="1"/>
  <c r="P174" i="44"/>
  <c r="P199" i="44" s="1"/>
  <c r="P229" i="44" s="1"/>
  <c r="N229" i="44"/>
  <c r="N231" i="44" s="1"/>
  <c r="J231" i="44"/>
  <c r="S231" i="44"/>
  <c r="V227" i="44"/>
  <c r="V229" i="44" s="1"/>
  <c r="T227" i="44"/>
  <c r="S3" i="42"/>
  <c r="R3" i="42"/>
  <c r="V60" i="44"/>
  <c r="V143" i="44" s="1"/>
  <c r="T60" i="44"/>
  <c r="T143" i="44" s="1"/>
  <c r="T174" i="44"/>
  <c r="T199" i="44" s="1"/>
  <c r="D10" i="42"/>
  <c r="T13" i="42"/>
  <c r="S13" i="42" s="1"/>
  <c r="R13" i="42" s="1"/>
  <c r="P16" i="42"/>
  <c r="T16" i="42" s="1"/>
  <c r="P17" i="42"/>
  <c r="T17" i="42" s="1"/>
  <c r="V17" i="42"/>
  <c r="P18" i="42"/>
  <c r="T18" i="42" s="1"/>
  <c r="V18" i="42" s="1"/>
  <c r="P19" i="42"/>
  <c r="T19" i="42" s="1"/>
  <c r="V19" i="42" s="1"/>
  <c r="P20" i="42"/>
  <c r="T20" i="42" s="1"/>
  <c r="V20" i="42" s="1"/>
  <c r="P21" i="42"/>
  <c r="T21" i="42" s="1"/>
  <c r="V21" i="42" s="1"/>
  <c r="P22" i="42"/>
  <c r="T22" i="42"/>
  <c r="V22" i="42" s="1"/>
  <c r="P23" i="42"/>
  <c r="T23" i="42" s="1"/>
  <c r="V23" i="42" s="1"/>
  <c r="P24" i="42"/>
  <c r="T24" i="42" s="1"/>
  <c r="V24" i="42" s="1"/>
  <c r="P25" i="42"/>
  <c r="T25" i="42" s="1"/>
  <c r="V25" i="42"/>
  <c r="P26" i="42"/>
  <c r="T26" i="42" s="1"/>
  <c r="V26" i="42" s="1"/>
  <c r="P27" i="42"/>
  <c r="T27" i="42" s="1"/>
  <c r="V27" i="42" s="1"/>
  <c r="J29" i="42"/>
  <c r="L29" i="42"/>
  <c r="N29" i="42"/>
  <c r="R29" i="42"/>
  <c r="S29" i="42"/>
  <c r="P30" i="42"/>
  <c r="T30" i="42" s="1"/>
  <c r="V30" i="42" s="1"/>
  <c r="P31" i="42"/>
  <c r="T31" i="42" s="1"/>
  <c r="V31" i="42" s="1"/>
  <c r="P32" i="42"/>
  <c r="T32" i="42" s="1"/>
  <c r="V32" i="42" s="1"/>
  <c r="P33" i="42"/>
  <c r="T33" i="42" s="1"/>
  <c r="P34" i="42"/>
  <c r="T34" i="42" s="1"/>
  <c r="V34" i="42" s="1"/>
  <c r="P35" i="42"/>
  <c r="T35" i="42" s="1"/>
  <c r="V35" i="42" s="1"/>
  <c r="P36" i="42"/>
  <c r="T36" i="42" s="1"/>
  <c r="V36" i="42" s="1"/>
  <c r="P37" i="42"/>
  <c r="T37" i="42" s="1"/>
  <c r="V37" i="42" s="1"/>
  <c r="P38" i="42"/>
  <c r="T38" i="42" s="1"/>
  <c r="V38" i="42" s="1"/>
  <c r="J40" i="42"/>
  <c r="L40" i="42"/>
  <c r="N40" i="42"/>
  <c r="R40" i="42"/>
  <c r="S40" i="42"/>
  <c r="P41" i="42"/>
  <c r="T41" i="42"/>
  <c r="P42" i="42"/>
  <c r="T42" i="42" s="1"/>
  <c r="V42" i="42" s="1"/>
  <c r="P43" i="42"/>
  <c r="T43" i="42" s="1"/>
  <c r="V43" i="42" s="1"/>
  <c r="P44" i="42"/>
  <c r="T44" i="42" s="1"/>
  <c r="V44" i="42" s="1"/>
  <c r="P45" i="42"/>
  <c r="T45" i="42" s="1"/>
  <c r="V45" i="42" s="1"/>
  <c r="J47" i="42"/>
  <c r="L47" i="42"/>
  <c r="N47" i="42"/>
  <c r="R47" i="42"/>
  <c r="S47" i="42"/>
  <c r="P48" i="42"/>
  <c r="T48" i="42" s="1"/>
  <c r="P49" i="42"/>
  <c r="T49" i="42" s="1"/>
  <c r="V49" i="42" s="1"/>
  <c r="P50" i="42"/>
  <c r="T50" i="42" s="1"/>
  <c r="V50" i="42" s="1"/>
  <c r="P51" i="42"/>
  <c r="T51" i="42" s="1"/>
  <c r="V51" i="42" s="1"/>
  <c r="P52" i="42"/>
  <c r="T52" i="42" s="1"/>
  <c r="V52" i="42" s="1"/>
  <c r="P53" i="42"/>
  <c r="T53" i="42" s="1"/>
  <c r="V53" i="42" s="1"/>
  <c r="J55" i="42"/>
  <c r="L55" i="42"/>
  <c r="N55" i="42"/>
  <c r="R55" i="42"/>
  <c r="S55" i="42"/>
  <c r="P56" i="42"/>
  <c r="T56" i="42" s="1"/>
  <c r="J58" i="42"/>
  <c r="L58" i="42"/>
  <c r="N58" i="42"/>
  <c r="R58" i="42"/>
  <c r="S58" i="42"/>
  <c r="P63" i="42"/>
  <c r="T63" i="42" s="1"/>
  <c r="V63" i="42" s="1"/>
  <c r="P64" i="42"/>
  <c r="T64" i="42" s="1"/>
  <c r="V64" i="42" s="1"/>
  <c r="P65" i="42"/>
  <c r="T65" i="42" s="1"/>
  <c r="V65" i="42" s="1"/>
  <c r="P66" i="42"/>
  <c r="T66" i="42" s="1"/>
  <c r="V66" i="42" s="1"/>
  <c r="P67" i="42"/>
  <c r="T67" i="42" s="1"/>
  <c r="V67" i="42" s="1"/>
  <c r="P68" i="42"/>
  <c r="T68" i="42" s="1"/>
  <c r="V68" i="42" s="1"/>
  <c r="P69" i="42"/>
  <c r="T69" i="42" s="1"/>
  <c r="V69" i="42" s="1"/>
  <c r="P70" i="42"/>
  <c r="T70" i="42" s="1"/>
  <c r="V70" i="42" s="1"/>
  <c r="P71" i="42"/>
  <c r="T71" i="42" s="1"/>
  <c r="V71" i="42" s="1"/>
  <c r="P72" i="42"/>
  <c r="T72" i="42" s="1"/>
  <c r="V72" i="42" s="1"/>
  <c r="P73" i="42"/>
  <c r="T73" i="42" s="1"/>
  <c r="V73" i="42" s="1"/>
  <c r="P74" i="42"/>
  <c r="T74" i="42" s="1"/>
  <c r="V74" i="42" s="1"/>
  <c r="P75" i="42"/>
  <c r="T75" i="42" s="1"/>
  <c r="V75" i="42" s="1"/>
  <c r="P76" i="42"/>
  <c r="T76" i="42"/>
  <c r="V76" i="42" s="1"/>
  <c r="P77" i="42"/>
  <c r="T77" i="42" s="1"/>
  <c r="V77" i="42" s="1"/>
  <c r="P78" i="42"/>
  <c r="T78" i="42" s="1"/>
  <c r="V78" i="42" s="1"/>
  <c r="P79" i="42"/>
  <c r="T79" i="42" s="1"/>
  <c r="V79" i="42"/>
  <c r="P80" i="42"/>
  <c r="T80" i="42" s="1"/>
  <c r="V80" i="42" s="1"/>
  <c r="P81" i="42"/>
  <c r="T81" i="42" s="1"/>
  <c r="V81" i="42" s="1"/>
  <c r="P82" i="42"/>
  <c r="T82" i="42" s="1"/>
  <c r="V82" i="42" s="1"/>
  <c r="P83" i="42"/>
  <c r="T83" i="42" s="1"/>
  <c r="V83" i="42" s="1"/>
  <c r="P84" i="42"/>
  <c r="T84" i="42" s="1"/>
  <c r="V84" i="42" s="1"/>
  <c r="P85" i="42"/>
  <c r="T85" i="42" s="1"/>
  <c r="V85" i="42" s="1"/>
  <c r="P86" i="42"/>
  <c r="T86" i="42" s="1"/>
  <c r="V86" i="42" s="1"/>
  <c r="P87" i="42"/>
  <c r="T87" i="42" s="1"/>
  <c r="V87" i="42" s="1"/>
  <c r="P88" i="42"/>
  <c r="T88" i="42" s="1"/>
  <c r="V88" i="42" s="1"/>
  <c r="P89" i="42"/>
  <c r="T89" i="42" s="1"/>
  <c r="V89" i="42" s="1"/>
  <c r="P90" i="42"/>
  <c r="T90" i="42" s="1"/>
  <c r="V90" i="42" s="1"/>
  <c r="P91" i="42"/>
  <c r="T91" i="42" s="1"/>
  <c r="V91" i="42" s="1"/>
  <c r="P92" i="42"/>
  <c r="T92" i="42" s="1"/>
  <c r="V92" i="42" s="1"/>
  <c r="P93" i="42"/>
  <c r="T93" i="42" s="1"/>
  <c r="V93" i="42" s="1"/>
  <c r="P94" i="42"/>
  <c r="T94" i="42" s="1"/>
  <c r="V94" i="42" s="1"/>
  <c r="P95" i="42"/>
  <c r="T95" i="42" s="1"/>
  <c r="V95" i="42" s="1"/>
  <c r="P96" i="42"/>
  <c r="T96" i="42" s="1"/>
  <c r="V96" i="42" s="1"/>
  <c r="P97" i="42"/>
  <c r="T97" i="42" s="1"/>
  <c r="V97" i="42" s="1"/>
  <c r="P98" i="42"/>
  <c r="T98" i="42" s="1"/>
  <c r="V98" i="42" s="1"/>
  <c r="P99" i="42"/>
  <c r="T99" i="42" s="1"/>
  <c r="V99" i="42" s="1"/>
  <c r="P100" i="42"/>
  <c r="T100" i="42" s="1"/>
  <c r="V100" i="42" s="1"/>
  <c r="J102" i="42"/>
  <c r="L102" i="42"/>
  <c r="N102" i="42"/>
  <c r="R102" i="42"/>
  <c r="S102" i="42"/>
  <c r="P103" i="42"/>
  <c r="T103" i="42" s="1"/>
  <c r="V103" i="42" s="1"/>
  <c r="V105" i="42" s="1"/>
  <c r="J105" i="42"/>
  <c r="L105" i="42"/>
  <c r="N105" i="42"/>
  <c r="R105" i="42"/>
  <c r="S105" i="42"/>
  <c r="P106" i="42"/>
  <c r="T106" i="42" s="1"/>
  <c r="J108" i="42"/>
  <c r="L108" i="42"/>
  <c r="N108" i="42"/>
  <c r="R108" i="42"/>
  <c r="S108" i="42"/>
  <c r="P109" i="42"/>
  <c r="T109" i="42" s="1"/>
  <c r="P110" i="42"/>
  <c r="T110" i="42" s="1"/>
  <c r="V110" i="42" s="1"/>
  <c r="J112" i="42"/>
  <c r="L112" i="42"/>
  <c r="N112" i="42"/>
  <c r="R112" i="42"/>
  <c r="S112" i="42"/>
  <c r="P113" i="42"/>
  <c r="T113" i="42" s="1"/>
  <c r="P114" i="42"/>
  <c r="T114" i="42" s="1"/>
  <c r="V114" i="42" s="1"/>
  <c r="P115" i="42"/>
  <c r="T115" i="42" s="1"/>
  <c r="V115" i="42" s="1"/>
  <c r="P116" i="42"/>
  <c r="T116" i="42" s="1"/>
  <c r="V116" i="42" s="1"/>
  <c r="P117" i="42"/>
  <c r="T117" i="42" s="1"/>
  <c r="V117" i="42" s="1"/>
  <c r="P118" i="42"/>
  <c r="T118" i="42" s="1"/>
  <c r="V118" i="42" s="1"/>
  <c r="P119" i="42"/>
  <c r="T119" i="42" s="1"/>
  <c r="V119" i="42" s="1"/>
  <c r="J121" i="42"/>
  <c r="L121" i="42"/>
  <c r="N121" i="42"/>
  <c r="R121" i="42"/>
  <c r="S121" i="42"/>
  <c r="P122" i="42"/>
  <c r="T122" i="42" s="1"/>
  <c r="T124" i="42" s="1"/>
  <c r="J124" i="42"/>
  <c r="L124" i="42"/>
  <c r="N124" i="42"/>
  <c r="R124" i="42"/>
  <c r="S124" i="42"/>
  <c r="P125" i="42"/>
  <c r="T125" i="42" s="1"/>
  <c r="J127" i="42"/>
  <c r="L127" i="42"/>
  <c r="N127" i="42"/>
  <c r="R127" i="42"/>
  <c r="S127" i="42"/>
  <c r="P128" i="42"/>
  <c r="T128" i="42" s="1"/>
  <c r="J130" i="42"/>
  <c r="L130" i="42"/>
  <c r="N130" i="42"/>
  <c r="R130" i="42"/>
  <c r="S130" i="42"/>
  <c r="P131" i="42"/>
  <c r="T131" i="42" s="1"/>
  <c r="V131" i="42" s="1"/>
  <c r="V133" i="42" s="1"/>
  <c r="J133" i="42"/>
  <c r="P133" i="42" s="1"/>
  <c r="L133" i="42"/>
  <c r="N133" i="42"/>
  <c r="R133" i="42"/>
  <c r="S133" i="42"/>
  <c r="P134" i="42"/>
  <c r="T134" i="42" s="1"/>
  <c r="J136" i="42"/>
  <c r="L136" i="42"/>
  <c r="N136" i="42"/>
  <c r="R136" i="42"/>
  <c r="S136" i="42"/>
  <c r="P137" i="42"/>
  <c r="T137" i="42" s="1"/>
  <c r="P138" i="42"/>
  <c r="T138" i="42" s="1"/>
  <c r="V138" i="42" s="1"/>
  <c r="J140" i="42"/>
  <c r="L140" i="42"/>
  <c r="N140" i="42"/>
  <c r="P140" i="42" s="1"/>
  <c r="R140" i="42"/>
  <c r="S140" i="42"/>
  <c r="P144" i="42"/>
  <c r="T144" i="42" s="1"/>
  <c r="T146" i="42" s="1"/>
  <c r="J146" i="42"/>
  <c r="L146" i="42"/>
  <c r="N146" i="42"/>
  <c r="R146" i="42"/>
  <c r="S146" i="42"/>
  <c r="P148" i="42"/>
  <c r="T148" i="42" s="1"/>
  <c r="T150" i="42" s="1"/>
  <c r="J150" i="42"/>
  <c r="L150" i="42"/>
  <c r="N150" i="42"/>
  <c r="R150" i="42"/>
  <c r="S150" i="42"/>
  <c r="P151" i="42"/>
  <c r="T151" i="42" s="1"/>
  <c r="P152" i="42"/>
  <c r="T152" i="42" s="1"/>
  <c r="V152" i="42" s="1"/>
  <c r="P153" i="42"/>
  <c r="T153" i="42" s="1"/>
  <c r="V153" i="42" s="1"/>
  <c r="P154" i="42"/>
  <c r="T154" i="42" s="1"/>
  <c r="V154" i="42" s="1"/>
  <c r="P155" i="42"/>
  <c r="T155" i="42" s="1"/>
  <c r="V155" i="42" s="1"/>
  <c r="P156" i="42"/>
  <c r="T156" i="42" s="1"/>
  <c r="V156" i="42" s="1"/>
  <c r="P157" i="42"/>
  <c r="T157" i="42" s="1"/>
  <c r="V157" i="42" s="1"/>
  <c r="P158" i="42"/>
  <c r="T158" i="42" s="1"/>
  <c r="V158" i="42" s="1"/>
  <c r="P159" i="42"/>
  <c r="T159" i="42" s="1"/>
  <c r="V159" i="42" s="1"/>
  <c r="J161" i="42"/>
  <c r="L161" i="42"/>
  <c r="N161" i="42"/>
  <c r="R161" i="42"/>
  <c r="S161" i="42"/>
  <c r="P162" i="42"/>
  <c r="T162" i="42" s="1"/>
  <c r="J164" i="42"/>
  <c r="L164" i="42"/>
  <c r="N164" i="42"/>
  <c r="R164" i="42"/>
  <c r="S164" i="42"/>
  <c r="P165" i="42"/>
  <c r="T165" i="42" s="1"/>
  <c r="P166" i="42"/>
  <c r="T166" i="42" s="1"/>
  <c r="V166" i="42" s="1"/>
  <c r="P167" i="42"/>
  <c r="T167" i="42" s="1"/>
  <c r="V167" i="42" s="1"/>
  <c r="P168" i="42"/>
  <c r="T168" i="42" s="1"/>
  <c r="V168" i="42" s="1"/>
  <c r="P169" i="42"/>
  <c r="T169" i="42" s="1"/>
  <c r="V169" i="42" s="1"/>
  <c r="J171" i="42"/>
  <c r="L171" i="42"/>
  <c r="N171" i="42"/>
  <c r="R171" i="42"/>
  <c r="S171" i="42"/>
  <c r="P176" i="42"/>
  <c r="T176" i="42" s="1"/>
  <c r="T178" i="42" s="1"/>
  <c r="J178" i="42"/>
  <c r="L178" i="42"/>
  <c r="N178" i="42"/>
  <c r="R178" i="42"/>
  <c r="S178" i="42"/>
  <c r="P179" i="42"/>
  <c r="T179" i="42" s="1"/>
  <c r="J181" i="42"/>
  <c r="L181" i="42"/>
  <c r="N181" i="42"/>
  <c r="R181" i="42"/>
  <c r="S181" i="42"/>
  <c r="P182" i="42"/>
  <c r="T182" i="42" s="1"/>
  <c r="T184" i="42" s="1"/>
  <c r="J184" i="42"/>
  <c r="L184" i="42"/>
  <c r="N184" i="42"/>
  <c r="R184" i="42"/>
  <c r="S184" i="42"/>
  <c r="P185" i="42"/>
  <c r="T185" i="42"/>
  <c r="V185" i="42" s="1"/>
  <c r="V187" i="42" s="1"/>
  <c r="J187" i="42"/>
  <c r="L187" i="42"/>
  <c r="N187" i="42"/>
  <c r="R187" i="42"/>
  <c r="S187" i="42"/>
  <c r="P188" i="42"/>
  <c r="T188" i="42" s="1"/>
  <c r="J190" i="42"/>
  <c r="L190" i="42"/>
  <c r="N190" i="42"/>
  <c r="R190" i="42"/>
  <c r="S190" i="42"/>
  <c r="P191" i="42"/>
  <c r="T191" i="42" s="1"/>
  <c r="J193" i="42"/>
  <c r="L193" i="42"/>
  <c r="N193" i="42"/>
  <c r="R193" i="42"/>
  <c r="S193" i="42"/>
  <c r="P194" i="42"/>
  <c r="T194" i="42" s="1"/>
  <c r="J196" i="42"/>
  <c r="L196" i="42"/>
  <c r="N196" i="42"/>
  <c r="R196" i="42"/>
  <c r="S196" i="42"/>
  <c r="P200" i="42"/>
  <c r="T200" i="42" s="1"/>
  <c r="T202" i="42" s="1"/>
  <c r="J202" i="42"/>
  <c r="L202" i="42"/>
  <c r="N202" i="42"/>
  <c r="R202" i="42"/>
  <c r="S202" i="42"/>
  <c r="P203" i="42"/>
  <c r="T203" i="42" s="1"/>
  <c r="T205" i="42" s="1"/>
  <c r="J205" i="42"/>
  <c r="L205" i="42"/>
  <c r="N205" i="42"/>
  <c r="R205" i="42"/>
  <c r="S205" i="42"/>
  <c r="P206" i="42"/>
  <c r="T206" i="42" s="1"/>
  <c r="J208" i="42"/>
  <c r="L208" i="42"/>
  <c r="N208" i="42"/>
  <c r="R208" i="42"/>
  <c r="S208" i="42"/>
  <c r="P209" i="42"/>
  <c r="T209" i="42" s="1"/>
  <c r="J211" i="42"/>
  <c r="L211" i="42"/>
  <c r="N211" i="42"/>
  <c r="R211" i="42"/>
  <c r="S211" i="42"/>
  <c r="P212" i="42"/>
  <c r="T212" i="42" s="1"/>
  <c r="J214" i="42"/>
  <c r="L214" i="42"/>
  <c r="N214" i="42"/>
  <c r="R214" i="42"/>
  <c r="S214" i="42"/>
  <c r="P215" i="42"/>
  <c r="T215" i="42"/>
  <c r="V215" i="42" s="1"/>
  <c r="V217" i="42" s="1"/>
  <c r="J217" i="42"/>
  <c r="L217" i="42"/>
  <c r="N217" i="42"/>
  <c r="R217" i="42"/>
  <c r="S217" i="42"/>
  <c r="P218" i="42"/>
  <c r="T218" i="42" s="1"/>
  <c r="V218" i="42" s="1"/>
  <c r="V220" i="42" s="1"/>
  <c r="J220" i="42"/>
  <c r="L220" i="42"/>
  <c r="N220" i="42"/>
  <c r="R220" i="42"/>
  <c r="S220" i="42"/>
  <c r="P222" i="42"/>
  <c r="T222" i="42" s="1"/>
  <c r="J224" i="42"/>
  <c r="L224" i="42"/>
  <c r="N224" i="42"/>
  <c r="R224" i="42"/>
  <c r="S224" i="42"/>
  <c r="J234" i="42"/>
  <c r="L234" i="42"/>
  <c r="N234" i="42"/>
  <c r="P234" i="42"/>
  <c r="R234" i="42"/>
  <c r="S234" i="42"/>
  <c r="T234" i="42"/>
  <c r="V234" i="42"/>
  <c r="J8" i="114"/>
  <c r="K8" i="114"/>
  <c r="L8" i="114"/>
  <c r="M8" i="114"/>
  <c r="W8" i="114"/>
  <c r="X8" i="114"/>
  <c r="Y8" i="114"/>
  <c r="Z8" i="114"/>
  <c r="AJ8" i="114"/>
  <c r="AK8" i="114"/>
  <c r="AL8" i="114"/>
  <c r="AM8" i="114"/>
  <c r="AR8" i="114"/>
  <c r="AR9" i="114" s="1"/>
  <c r="AR10" i="114" s="1"/>
  <c r="AR11" i="114" s="1"/>
  <c r="AR12" i="114" s="1"/>
  <c r="AR13" i="114" s="1"/>
  <c r="AR14" i="114" s="1"/>
  <c r="AR15" i="114" s="1"/>
  <c r="AR16" i="114" s="1"/>
  <c r="AR17" i="114" s="1"/>
  <c r="AR18" i="114" s="1"/>
  <c r="AR19" i="114" s="1"/>
  <c r="A9" i="114"/>
  <c r="A10" i="114" s="1"/>
  <c r="A11" i="114" s="1"/>
  <c r="J9" i="114"/>
  <c r="K9" i="114"/>
  <c r="L9" i="114"/>
  <c r="M9" i="114"/>
  <c r="W9" i="114"/>
  <c r="X9" i="114"/>
  <c r="Y9" i="114"/>
  <c r="Z9" i="114"/>
  <c r="AJ9" i="114"/>
  <c r="AK9" i="114"/>
  <c r="AL9" i="114"/>
  <c r="AM9" i="114"/>
  <c r="J10" i="114"/>
  <c r="K10" i="114"/>
  <c r="L10" i="114"/>
  <c r="M10" i="114"/>
  <c r="W10" i="114"/>
  <c r="X10" i="114"/>
  <c r="Y10" i="114"/>
  <c r="Z10" i="114"/>
  <c r="AJ10" i="114"/>
  <c r="AK10" i="114"/>
  <c r="AL10" i="114"/>
  <c r="AM10" i="114"/>
  <c r="J11" i="114"/>
  <c r="K11" i="114"/>
  <c r="L11" i="114"/>
  <c r="M11" i="114"/>
  <c r="W11" i="114"/>
  <c r="X11" i="114"/>
  <c r="Y11" i="114"/>
  <c r="Z11" i="114"/>
  <c r="AJ11" i="114"/>
  <c r="AK11" i="114"/>
  <c r="AL11" i="114"/>
  <c r="AM11" i="114"/>
  <c r="J12" i="114"/>
  <c r="K12" i="114"/>
  <c r="L12" i="114"/>
  <c r="M12" i="114"/>
  <c r="W12" i="114"/>
  <c r="X12" i="114"/>
  <c r="Y12" i="114"/>
  <c r="Z12" i="114"/>
  <c r="AJ12" i="114"/>
  <c r="AK12" i="114"/>
  <c r="AL12" i="114"/>
  <c r="AM12" i="114"/>
  <c r="J13" i="114"/>
  <c r="K13" i="114"/>
  <c r="L13" i="114"/>
  <c r="M13" i="114"/>
  <c r="W13" i="114"/>
  <c r="X13" i="114"/>
  <c r="Y13" i="114"/>
  <c r="Z13" i="114"/>
  <c r="AT13" i="114" s="1"/>
  <c r="AV13" i="114" s="1"/>
  <c r="AW13" i="114" s="1"/>
  <c r="AJ13" i="114"/>
  <c r="AK13" i="114"/>
  <c r="AL13" i="114"/>
  <c r="AM13" i="114"/>
  <c r="J14" i="114"/>
  <c r="K14" i="114"/>
  <c r="L14" i="114"/>
  <c r="M14" i="114"/>
  <c r="W14" i="114"/>
  <c r="X14" i="114"/>
  <c r="Y14" i="114"/>
  <c r="Z14" i="114"/>
  <c r="AJ14" i="114"/>
  <c r="AK14" i="114"/>
  <c r="AL14" i="114"/>
  <c r="AM14" i="114"/>
  <c r="J15" i="114"/>
  <c r="K15" i="114"/>
  <c r="L15" i="114"/>
  <c r="M15" i="114"/>
  <c r="W15" i="114"/>
  <c r="X15" i="114"/>
  <c r="Y15" i="114"/>
  <c r="Z15" i="114"/>
  <c r="AJ15" i="114"/>
  <c r="AK15" i="114"/>
  <c r="AL15" i="114"/>
  <c r="AM15" i="114"/>
  <c r="J16" i="114"/>
  <c r="K16" i="114"/>
  <c r="L16" i="114"/>
  <c r="M16" i="114"/>
  <c r="W16" i="114"/>
  <c r="X16" i="114"/>
  <c r="Y16" i="114"/>
  <c r="Z16" i="114"/>
  <c r="AJ16" i="114"/>
  <c r="AK16" i="114"/>
  <c r="AL16" i="114"/>
  <c r="AM16" i="114"/>
  <c r="J17" i="114"/>
  <c r="K17" i="114"/>
  <c r="L17" i="114"/>
  <c r="M17" i="114"/>
  <c r="W17" i="114"/>
  <c r="X17" i="114"/>
  <c r="Y17" i="114"/>
  <c r="Z17" i="114"/>
  <c r="AJ17" i="114"/>
  <c r="AK17" i="114"/>
  <c r="AL17" i="114"/>
  <c r="AM17" i="114"/>
  <c r="J18" i="114"/>
  <c r="K18" i="114"/>
  <c r="L18" i="114"/>
  <c r="M18" i="114"/>
  <c r="W18" i="114"/>
  <c r="X18" i="114"/>
  <c r="Y18" i="114"/>
  <c r="Z18" i="114"/>
  <c r="AJ18" i="114"/>
  <c r="AK18" i="114"/>
  <c r="AL18" i="114"/>
  <c r="AM18" i="114"/>
  <c r="J19" i="114"/>
  <c r="K19" i="114"/>
  <c r="L19" i="114"/>
  <c r="M19" i="114"/>
  <c r="W19" i="114"/>
  <c r="X19" i="114"/>
  <c r="Y19" i="114"/>
  <c r="Z19" i="114"/>
  <c r="AJ19" i="114"/>
  <c r="AK19" i="114"/>
  <c r="AL19" i="114"/>
  <c r="AM19" i="114"/>
  <c r="B21" i="114"/>
  <c r="C21" i="114"/>
  <c r="D21" i="114"/>
  <c r="D23" i="114" s="1"/>
  <c r="E21" i="114"/>
  <c r="F21" i="114"/>
  <c r="G21" i="114"/>
  <c r="H21" i="114"/>
  <c r="I21" i="114"/>
  <c r="I23" i="114" s="1"/>
  <c r="N21" i="114"/>
  <c r="O21" i="114"/>
  <c r="P21" i="114"/>
  <c r="Q21" i="114"/>
  <c r="R21" i="114"/>
  <c r="S21" i="114"/>
  <c r="S23" i="114" s="1"/>
  <c r="T21" i="114"/>
  <c r="T23" i="114" s="1"/>
  <c r="U21" i="114"/>
  <c r="U23" i="114" s="1"/>
  <c r="V21" i="114"/>
  <c r="V23" i="114" s="1"/>
  <c r="AA21" i="114"/>
  <c r="AB21" i="114"/>
  <c r="AC21" i="114"/>
  <c r="AD21" i="114"/>
  <c r="AE21" i="114"/>
  <c r="AE23" i="114" s="1"/>
  <c r="AF21" i="114"/>
  <c r="AF23" i="114" s="1"/>
  <c r="AG21" i="114"/>
  <c r="AH21" i="114"/>
  <c r="AH23" i="114" s="1"/>
  <c r="AI21" i="114"/>
  <c r="AI23" i="114" s="1"/>
  <c r="AP21" i="114"/>
  <c r="AU21" i="114"/>
  <c r="B22" i="114"/>
  <c r="C22" i="114"/>
  <c r="L22" i="114"/>
  <c r="M22" i="114"/>
  <c r="O22" i="114"/>
  <c r="P22" i="114"/>
  <c r="Q22" i="114"/>
  <c r="Q23" i="114" s="1"/>
  <c r="R22" i="114"/>
  <c r="Y22" i="114"/>
  <c r="Z22" i="114"/>
  <c r="AB22" i="114"/>
  <c r="AJ22" i="114" s="1"/>
  <c r="AC22" i="114"/>
  <c r="AK22" i="114"/>
  <c r="AG23" i="114"/>
  <c r="A28" i="114"/>
  <c r="D28" i="114"/>
  <c r="E28" i="114"/>
  <c r="D29" i="114"/>
  <c r="E29" i="114"/>
  <c r="H29" i="114"/>
  <c r="H40" i="114" s="1"/>
  <c r="I29" i="114"/>
  <c r="I40" i="114" s="1"/>
  <c r="C30" i="114"/>
  <c r="C40" i="114" s="1"/>
  <c r="D30" i="114"/>
  <c r="E30" i="114"/>
  <c r="D31" i="114"/>
  <c r="D32" i="114"/>
  <c r="E32" i="114"/>
  <c r="D33" i="114"/>
  <c r="E33" i="114"/>
  <c r="D34" i="114"/>
  <c r="E34" i="114"/>
  <c r="D36" i="114"/>
  <c r="E36" i="114"/>
  <c r="G40" i="114"/>
  <c r="K40" i="114"/>
  <c r="L40" i="114"/>
  <c r="M40" i="114"/>
  <c r="D19" i="94"/>
  <c r="F19" i="94"/>
  <c r="B36" i="94"/>
  <c r="B37" i="94" s="1"/>
  <c r="G36" i="94"/>
  <c r="D57" i="94"/>
  <c r="F57" i="94"/>
  <c r="L52" i="94"/>
  <c r="G57" i="94"/>
  <c r="L54" i="94"/>
  <c r="B57" i="94"/>
  <c r="B58" i="94" s="1"/>
  <c r="E68" i="94"/>
  <c r="G68" i="94" s="1"/>
  <c r="G70" i="94"/>
  <c r="G72" i="94"/>
  <c r="E80" i="94"/>
  <c r="B2" i="7"/>
  <c r="B4" i="7"/>
  <c r="E13" i="7"/>
  <c r="E14" i="7"/>
  <c r="E17" i="7"/>
  <c r="D18" i="7"/>
  <c r="D19" i="7" s="1"/>
  <c r="B25" i="7"/>
  <c r="B26" i="7"/>
  <c r="B27" i="7"/>
  <c r="B28" i="7"/>
  <c r="B29" i="7"/>
  <c r="B30" i="7"/>
  <c r="B31" i="7"/>
  <c r="B39" i="7"/>
  <c r="B40" i="7"/>
  <c r="B41" i="7"/>
  <c r="B42" i="7"/>
  <c r="B43" i="7"/>
  <c r="B44" i="7"/>
  <c r="B45" i="7"/>
  <c r="E57" i="7"/>
  <c r="C93" i="7"/>
  <c r="E96" i="7"/>
  <c r="E98" i="7"/>
  <c r="E101" i="7"/>
  <c r="E102" i="7"/>
  <c r="D117" i="7" s="1"/>
  <c r="E103" i="7"/>
  <c r="E104" i="7"/>
  <c r="D106" i="7"/>
  <c r="D107" i="7" s="1"/>
  <c r="B109" i="7"/>
  <c r="B110" i="7"/>
  <c r="B111" i="7"/>
  <c r="B112" i="7"/>
  <c r="B113" i="7"/>
  <c r="B114" i="7"/>
  <c r="B115" i="7"/>
  <c r="B116" i="7"/>
  <c r="B117" i="7"/>
  <c r="B118" i="7"/>
  <c r="B119" i="7"/>
  <c r="B120" i="7"/>
  <c r="E132" i="7"/>
  <c r="D134" i="7" s="1"/>
  <c r="M16" i="2" s="1"/>
  <c r="A1" i="6"/>
  <c r="A3" i="6"/>
  <c r="B45" i="6"/>
  <c r="B46" i="6" s="1"/>
  <c r="A1" i="5"/>
  <c r="A3" i="5"/>
  <c r="M24" i="2"/>
  <c r="M27" i="2"/>
  <c r="E14" i="5"/>
  <c r="G14" i="5" s="1"/>
  <c r="E15" i="5"/>
  <c r="E17" i="5"/>
  <c r="F29" i="2" s="1"/>
  <c r="G29" i="2" s="1"/>
  <c r="J29" i="2" s="1"/>
  <c r="M30" i="2"/>
  <c r="M138" i="2" s="1"/>
  <c r="M45" i="2"/>
  <c r="A1" i="3"/>
  <c r="I23" i="3"/>
  <c r="I26" i="3"/>
  <c r="H29" i="3"/>
  <c r="H31" i="3"/>
  <c r="I32" i="3"/>
  <c r="I33" i="3"/>
  <c r="F34" i="3"/>
  <c r="G34" i="3"/>
  <c r="I35" i="3"/>
  <c r="I38" i="3"/>
  <c r="I40" i="3"/>
  <c r="I62" i="3"/>
  <c r="I65" i="3"/>
  <c r="I67" i="3"/>
  <c r="I77" i="3"/>
  <c r="I79" i="3"/>
  <c r="I81" i="3"/>
  <c r="I83" i="3"/>
  <c r="I87" i="3"/>
  <c r="I89" i="3"/>
  <c r="I91" i="3"/>
  <c r="I94" i="3"/>
  <c r="I96" i="3"/>
  <c r="I104" i="3"/>
  <c r="I106" i="3"/>
  <c r="I110" i="3"/>
  <c r="I112" i="3"/>
  <c r="I114" i="3"/>
  <c r="G115" i="3"/>
  <c r="I116" i="3"/>
  <c r="I123" i="3"/>
  <c r="F125" i="3"/>
  <c r="H125" i="3"/>
  <c r="I127" i="3"/>
  <c r="F130" i="3"/>
  <c r="I132" i="3"/>
  <c r="I134" i="3"/>
  <c r="I135" i="3"/>
  <c r="I137" i="3"/>
  <c r="I139" i="3"/>
  <c r="I150" i="3"/>
  <c r="I152" i="3"/>
  <c r="F156" i="3"/>
  <c r="H156" i="3"/>
  <c r="I158" i="3"/>
  <c r="I164" i="3"/>
  <c r="I166" i="3"/>
  <c r="I168" i="3"/>
  <c r="I170" i="3"/>
  <c r="I172" i="3"/>
  <c r="I178" i="3"/>
  <c r="I180" i="3"/>
  <c r="I188" i="3"/>
  <c r="I190" i="3"/>
  <c r="I192" i="3"/>
  <c r="I194" i="3"/>
  <c r="I201" i="3"/>
  <c r="I203" i="3"/>
  <c r="I206" i="3"/>
  <c r="I208" i="3"/>
  <c r="I219" i="3"/>
  <c r="I221" i="3"/>
  <c r="I223" i="3"/>
  <c r="I225" i="3"/>
  <c r="I228" i="3"/>
  <c r="I230" i="3"/>
  <c r="I232" i="3"/>
  <c r="I234" i="3"/>
  <c r="I256" i="3"/>
  <c r="F258" i="3"/>
  <c r="H258" i="3"/>
  <c r="I260" i="3"/>
  <c r="F268" i="3"/>
  <c r="G268" i="3"/>
  <c r="I269" i="3"/>
  <c r="I271" i="3"/>
  <c r="I273" i="3"/>
  <c r="I275" i="3"/>
  <c r="I281" i="3"/>
  <c r="I283" i="3"/>
  <c r="I287" i="3"/>
  <c r="I289" i="3"/>
  <c r="I292" i="3"/>
  <c r="I294" i="3"/>
  <c r="I300" i="3"/>
  <c r="I302" i="3"/>
  <c r="G306" i="3"/>
  <c r="I308" i="3"/>
  <c r="I310" i="3"/>
  <c r="I312" i="3"/>
  <c r="I314" i="3"/>
  <c r="I316" i="3"/>
  <c r="I318" i="3"/>
  <c r="I320" i="3"/>
  <c r="I322" i="3"/>
  <c r="I324" i="3"/>
  <c r="L7" i="2"/>
  <c r="M25" i="2"/>
  <c r="L29" i="2"/>
  <c r="L31" i="2"/>
  <c r="E32" i="2"/>
  <c r="K34" i="2"/>
  <c r="E37" i="2"/>
  <c r="G37" i="2" s="1"/>
  <c r="J37" i="2" s="1"/>
  <c r="L37" i="2" s="1"/>
  <c r="E27" i="3" s="1"/>
  <c r="F43" i="2"/>
  <c r="H43" i="2"/>
  <c r="H48" i="2"/>
  <c r="O49" i="2"/>
  <c r="F71" i="2"/>
  <c r="H74" i="2"/>
  <c r="H76" i="2" s="1"/>
  <c r="P75" i="2"/>
  <c r="F76" i="2"/>
  <c r="K76" i="2"/>
  <c r="H88" i="2"/>
  <c r="K88" i="2"/>
  <c r="F92" i="2"/>
  <c r="H92" i="2"/>
  <c r="K92" i="2"/>
  <c r="E96" i="2"/>
  <c r="G96" i="2" s="1"/>
  <c r="J96" i="2" s="1"/>
  <c r="F98" i="2"/>
  <c r="H98" i="2"/>
  <c r="K98" i="2"/>
  <c r="N100" i="2"/>
  <c r="F105" i="2"/>
  <c r="K105" i="2"/>
  <c r="F120" i="2"/>
  <c r="H120" i="2"/>
  <c r="F124" i="2"/>
  <c r="H124" i="2"/>
  <c r="K124" i="2"/>
  <c r="E127" i="2"/>
  <c r="G127" i="2" s="1"/>
  <c r="J127" i="2" s="1"/>
  <c r="H133" i="2"/>
  <c r="E138" i="2"/>
  <c r="F139" i="2"/>
  <c r="O139" i="2"/>
  <c r="K142" i="2"/>
  <c r="F149" i="2"/>
  <c r="F152" i="2" s="1"/>
  <c r="H149" i="2"/>
  <c r="H152" i="2" s="1"/>
  <c r="K149" i="2"/>
  <c r="K152" i="2" s="1"/>
  <c r="H161" i="2"/>
  <c r="K161" i="2"/>
  <c r="K166" i="2" s="1"/>
  <c r="F166" i="2"/>
  <c r="H166" i="2"/>
  <c r="F174" i="2"/>
  <c r="H174" i="2"/>
  <c r="K174" i="2"/>
  <c r="F180" i="2"/>
  <c r="K180" i="2"/>
  <c r="F188" i="2"/>
  <c r="K188" i="2"/>
  <c r="E190" i="2"/>
  <c r="G190" i="2" s="1"/>
  <c r="J190" i="2" s="1"/>
  <c r="E194" i="2"/>
  <c r="G194" i="2" s="1"/>
  <c r="F198" i="2"/>
  <c r="K198" i="2"/>
  <c r="F202" i="2"/>
  <c r="H202" i="2"/>
  <c r="K202" i="2"/>
  <c r="F211" i="2"/>
  <c r="H211" i="2"/>
  <c r="H216" i="2"/>
  <c r="K216" i="2"/>
  <c r="P228" i="2"/>
  <c r="F229" i="2"/>
  <c r="K229" i="2"/>
  <c r="F233" i="2"/>
  <c r="H233" i="2"/>
  <c r="K233" i="2"/>
  <c r="P237" i="2"/>
  <c r="H238" i="2"/>
  <c r="K238" i="2"/>
  <c r="H242" i="2"/>
  <c r="K242" i="2"/>
  <c r="E261" i="2"/>
  <c r="G261" i="2" s="1"/>
  <c r="J261" i="2" s="1"/>
  <c r="H266" i="2"/>
  <c r="K266" i="2"/>
  <c r="P267" i="2"/>
  <c r="P269" i="2"/>
  <c r="E273" i="2"/>
  <c r="F273" i="2"/>
  <c r="E275" i="2"/>
  <c r="F275" i="2"/>
  <c r="E276" i="2"/>
  <c r="F276" i="2"/>
  <c r="E277" i="2"/>
  <c r="F277" i="2"/>
  <c r="H279" i="2"/>
  <c r="H281" i="2" s="1"/>
  <c r="K279" i="2"/>
  <c r="K281" i="2" s="1"/>
  <c r="P280" i="2"/>
  <c r="F285" i="2"/>
  <c r="H285" i="2"/>
  <c r="K285" i="2"/>
  <c r="F289" i="2"/>
  <c r="H289" i="2"/>
  <c r="K289" i="2"/>
  <c r="F297" i="2"/>
  <c r="H297" i="2"/>
  <c r="K297" i="2"/>
  <c r="E300" i="2"/>
  <c r="G300" i="2" s="1"/>
  <c r="J300" i="2" s="1"/>
  <c r="F302" i="2"/>
  <c r="H302" i="2"/>
  <c r="K302" i="2"/>
  <c r="P303" i="2"/>
  <c r="F310" i="2"/>
  <c r="K310" i="2"/>
  <c r="E313" i="2"/>
  <c r="E314" i="2"/>
  <c r="E315" i="2"/>
  <c r="M315" i="2"/>
  <c r="O315" i="2" s="1"/>
  <c r="O317" i="2"/>
  <c r="H318" i="2"/>
  <c r="K318" i="2"/>
  <c r="F322" i="2"/>
  <c r="H322" i="2"/>
  <c r="K322" i="2"/>
  <c r="P325" i="2"/>
  <c r="F328" i="2"/>
  <c r="H328" i="2"/>
  <c r="K328" i="2"/>
  <c r="P329" i="2"/>
  <c r="F332" i="2"/>
  <c r="H332" i="2"/>
  <c r="K332" i="2"/>
  <c r="P333" i="2"/>
  <c r="P337" i="2"/>
  <c r="P339" i="2"/>
  <c r="AH2" i="64"/>
  <c r="J3" i="64"/>
  <c r="L3" i="64"/>
  <c r="N3" i="64"/>
  <c r="P3" i="64"/>
  <c r="R3" i="64"/>
  <c r="T3" i="64"/>
  <c r="V3" i="64"/>
  <c r="X3" i="64"/>
  <c r="Z3" i="64"/>
  <c r="AB3" i="64"/>
  <c r="AD3" i="64"/>
  <c r="AF3" i="64"/>
  <c r="B4" i="64"/>
  <c r="B5" i="64"/>
  <c r="V122" i="42" l="1"/>
  <c r="V124" i="42" s="1"/>
  <c r="P150" i="42"/>
  <c r="P136" i="42"/>
  <c r="R23" i="114"/>
  <c r="P178" i="42"/>
  <c r="P102" i="42"/>
  <c r="X22" i="114"/>
  <c r="O23" i="114"/>
  <c r="P196" i="42"/>
  <c r="P58" i="42"/>
  <c r="D43" i="114"/>
  <c r="AO15" i="114"/>
  <c r="AQ15" i="114" s="1"/>
  <c r="AO14" i="114"/>
  <c r="AQ14" i="114" s="1"/>
  <c r="AO10" i="114"/>
  <c r="AQ10" i="114" s="1"/>
  <c r="P205" i="42"/>
  <c r="P190" i="42"/>
  <c r="I41" i="114"/>
  <c r="D48" i="114"/>
  <c r="P224" i="42"/>
  <c r="P112" i="42"/>
  <c r="C48" i="114"/>
  <c r="AO19" i="114"/>
  <c r="AQ19" i="114" s="1"/>
  <c r="AO17" i="114"/>
  <c r="AQ17" i="114" s="1"/>
  <c r="AT16" i="114"/>
  <c r="AV16" i="114" s="1"/>
  <c r="AW16" i="114" s="1"/>
  <c r="S226" i="42"/>
  <c r="S228" i="42" s="1"/>
  <c r="P124" i="42"/>
  <c r="P214" i="42"/>
  <c r="P187" i="42"/>
  <c r="P217" i="42"/>
  <c r="V212" i="42"/>
  <c r="V214" i="42" s="1"/>
  <c r="T214" i="42"/>
  <c r="V188" i="42"/>
  <c r="V190" i="42" s="1"/>
  <c r="T190" i="42"/>
  <c r="V128" i="42"/>
  <c r="V130" i="42" s="1"/>
  <c r="T130" i="42"/>
  <c r="V162" i="42"/>
  <c r="V164" i="42" s="1"/>
  <c r="T164" i="42"/>
  <c r="V134" i="42"/>
  <c r="V136" i="42" s="1"/>
  <c r="T136" i="42"/>
  <c r="D28" i="7"/>
  <c r="C28" i="7"/>
  <c r="E28" i="7" s="1"/>
  <c r="E40" i="114"/>
  <c r="E44" i="114" s="1"/>
  <c r="S60" i="42"/>
  <c r="R60" i="42"/>
  <c r="R142" i="42" s="1"/>
  <c r="P108" i="42"/>
  <c r="N60" i="42"/>
  <c r="A30" i="114"/>
  <c r="P220" i="42"/>
  <c r="P121" i="42"/>
  <c r="P105" i="42"/>
  <c r="AT15" i="114"/>
  <c r="AV15" i="114" s="1"/>
  <c r="AW15" i="114" s="1"/>
  <c r="N226" i="42"/>
  <c r="N173" i="42"/>
  <c r="N198" i="42" s="1"/>
  <c r="P127" i="42"/>
  <c r="P55" i="42"/>
  <c r="P231" i="44"/>
  <c r="C53" i="114"/>
  <c r="T217" i="42"/>
  <c r="S173" i="42"/>
  <c r="S198" i="42" s="1"/>
  <c r="T105" i="42"/>
  <c r="C23" i="114"/>
  <c r="D49" i="114"/>
  <c r="P164" i="42"/>
  <c r="T112" i="42"/>
  <c r="A29" i="114"/>
  <c r="X21" i="114"/>
  <c r="AO9" i="114"/>
  <c r="AQ9" i="114" s="1"/>
  <c r="AT8" i="114"/>
  <c r="T187" i="42"/>
  <c r="P171" i="42"/>
  <c r="L127" i="2"/>
  <c r="E118" i="3" s="1"/>
  <c r="M127" i="2"/>
  <c r="M96" i="2"/>
  <c r="L96" i="2"/>
  <c r="E86" i="3" s="1"/>
  <c r="K334" i="2"/>
  <c r="L300" i="2"/>
  <c r="E291" i="3" s="1"/>
  <c r="M300" i="2"/>
  <c r="L190" i="2"/>
  <c r="E181" i="3" s="1"/>
  <c r="M190" i="2"/>
  <c r="M261" i="2"/>
  <c r="L261" i="2"/>
  <c r="E250" i="3" s="1"/>
  <c r="E22" i="3"/>
  <c r="H22" i="3" s="1"/>
  <c r="I22" i="3" s="1"/>
  <c r="E76" i="94"/>
  <c r="E78" i="94" s="1"/>
  <c r="E74" i="94"/>
  <c r="G80" i="94" s="1"/>
  <c r="G74" i="94"/>
  <c r="C32" i="7"/>
  <c r="H334" i="2"/>
  <c r="K135" i="2"/>
  <c r="F291" i="2"/>
  <c r="H176" i="2"/>
  <c r="K176" i="2"/>
  <c r="K268" i="2"/>
  <c r="F334" i="2"/>
  <c r="K100" i="2"/>
  <c r="K324" i="2"/>
  <c r="H291" i="2"/>
  <c r="K291" i="2"/>
  <c r="G23" i="114"/>
  <c r="K22" i="114"/>
  <c r="AO16" i="114"/>
  <c r="AQ16" i="114" s="1"/>
  <c r="AO8" i="114"/>
  <c r="AQ8" i="114" s="1"/>
  <c r="AT19" i="114"/>
  <c r="AV19" i="114" s="1"/>
  <c r="AW19" i="114" s="1"/>
  <c r="M41" i="114"/>
  <c r="D40" i="114"/>
  <c r="D42" i="114" s="1"/>
  <c r="D44" i="114" s="1"/>
  <c r="AL21" i="114"/>
  <c r="AL23" i="114" s="1"/>
  <c r="AC23" i="114"/>
  <c r="W22" i="114"/>
  <c r="P23" i="114"/>
  <c r="AT14" i="114"/>
  <c r="AV14" i="114" s="1"/>
  <c r="AW14" i="114" s="1"/>
  <c r="AO13" i="114"/>
  <c r="AQ13" i="114" s="1"/>
  <c r="AB23" i="114"/>
  <c r="AT11" i="114"/>
  <c r="AV11" i="114" s="1"/>
  <c r="AW11" i="114" s="1"/>
  <c r="H23" i="114"/>
  <c r="D53" i="114"/>
  <c r="D57" i="114" s="1"/>
  <c r="AM21" i="114"/>
  <c r="AM23" i="114" s="1"/>
  <c r="D32" i="7"/>
  <c r="E49" i="6"/>
  <c r="E50" i="6"/>
  <c r="D22" i="7"/>
  <c r="C117" i="7"/>
  <c r="E117" i="7" s="1"/>
  <c r="C116" i="7"/>
  <c r="C113" i="7"/>
  <c r="C119" i="7"/>
  <c r="C118" i="7"/>
  <c r="D118" i="7"/>
  <c r="C111" i="7"/>
  <c r="D119" i="7"/>
  <c r="D116" i="7"/>
  <c r="M26" i="2"/>
  <c r="G275" i="2"/>
  <c r="J275" i="2" s="1"/>
  <c r="G276" i="2"/>
  <c r="J276" i="2" s="1"/>
  <c r="G277" i="2"/>
  <c r="J277" i="2" s="1"/>
  <c r="M31" i="2"/>
  <c r="O31" i="2" s="1"/>
  <c r="C19" i="94"/>
  <c r="M29" i="2"/>
  <c r="O29" i="2" s="1"/>
  <c r="C134" i="7"/>
  <c r="L16" i="2" s="1"/>
  <c r="M54" i="94" s="1"/>
  <c r="E55" i="7"/>
  <c r="I258" i="3"/>
  <c r="H34" i="2"/>
  <c r="H50" i="2" s="1"/>
  <c r="H142" i="2"/>
  <c r="H145" i="2" s="1"/>
  <c r="I125" i="3"/>
  <c r="E20" i="3"/>
  <c r="H20" i="3" s="1"/>
  <c r="I20" i="3" s="1"/>
  <c r="G17" i="5"/>
  <c r="G273" i="2"/>
  <c r="J273" i="2" s="1"/>
  <c r="B27" i="5"/>
  <c r="B29" i="5" s="1"/>
  <c r="B32" i="5"/>
  <c r="B34" i="5" s="1"/>
  <c r="G315" i="2"/>
  <c r="G314" i="2"/>
  <c r="J314" i="2" s="1"/>
  <c r="G313" i="2"/>
  <c r="J313" i="2" s="1"/>
  <c r="T229" i="44"/>
  <c r="T231" i="44" s="1"/>
  <c r="H130" i="3"/>
  <c r="H306" i="3"/>
  <c r="F306" i="3"/>
  <c r="I29" i="3"/>
  <c r="E59" i="7"/>
  <c r="F318" i="2"/>
  <c r="F324" i="2" s="1"/>
  <c r="D29" i="7"/>
  <c r="C29" i="7"/>
  <c r="D67" i="7"/>
  <c r="C67" i="7"/>
  <c r="D111" i="7"/>
  <c r="C60" i="7"/>
  <c r="C77" i="7" s="1"/>
  <c r="E53" i="7"/>
  <c r="I31" i="3"/>
  <c r="M28" i="2"/>
  <c r="E19" i="5"/>
  <c r="M32" i="2"/>
  <c r="O32" i="2" s="1"/>
  <c r="E58" i="7"/>
  <c r="D113" i="7"/>
  <c r="C21" i="5"/>
  <c r="D60" i="7"/>
  <c r="D83" i="7" s="1"/>
  <c r="E54" i="7"/>
  <c r="I156" i="3"/>
  <c r="H28" i="3"/>
  <c r="I28" i="3" s="1"/>
  <c r="E56" i="7"/>
  <c r="G130" i="3"/>
  <c r="N228" i="42"/>
  <c r="T211" i="42"/>
  <c r="V209" i="42"/>
  <c r="V211" i="42" s="1"/>
  <c r="H36" i="94"/>
  <c r="E23" i="114"/>
  <c r="D52" i="114"/>
  <c r="V191" i="42"/>
  <c r="V193" i="42" s="1"/>
  <c r="T193" i="42"/>
  <c r="W21" i="114"/>
  <c r="W23" i="114" s="1"/>
  <c r="S142" i="42"/>
  <c r="V48" i="42"/>
  <c r="V55" i="42" s="1"/>
  <c r="T55" i="42"/>
  <c r="D36" i="94"/>
  <c r="D59" i="94" s="1"/>
  <c r="D60" i="94" s="1"/>
  <c r="V137" i="42"/>
  <c r="V140" i="42" s="1"/>
  <c r="T140" i="42"/>
  <c r="V33" i="42"/>
  <c r="V40" i="42" s="1"/>
  <c r="T40" i="42"/>
  <c r="V102" i="42"/>
  <c r="AK21" i="114"/>
  <c r="AK23" i="114" s="1"/>
  <c r="C49" i="114"/>
  <c r="L21" i="114"/>
  <c r="L23" i="114" s="1"/>
  <c r="AV8" i="114"/>
  <c r="AW8" i="114" s="1"/>
  <c r="T208" i="42"/>
  <c r="V206" i="42"/>
  <c r="V208" i="42" s="1"/>
  <c r="P193" i="42"/>
  <c r="R173" i="42"/>
  <c r="R198" i="42" s="1"/>
  <c r="N142" i="42"/>
  <c r="C57" i="94"/>
  <c r="J22" i="114"/>
  <c r="B23" i="114"/>
  <c r="AT9" i="114"/>
  <c r="AV9" i="114" s="1"/>
  <c r="AW9" i="114" s="1"/>
  <c r="V194" i="42"/>
  <c r="V196" i="42" s="1"/>
  <c r="T196" i="42"/>
  <c r="P181" i="42"/>
  <c r="P130" i="42"/>
  <c r="P184" i="42"/>
  <c r="V176" i="42"/>
  <c r="V178" i="42" s="1"/>
  <c r="P146" i="42"/>
  <c r="T133" i="42"/>
  <c r="T127" i="42"/>
  <c r="V125" i="42"/>
  <c r="V127" i="42" s="1"/>
  <c r="V16" i="42"/>
  <c r="V29" i="42" s="1"/>
  <c r="T29" i="42"/>
  <c r="V231" i="44"/>
  <c r="H57" i="94"/>
  <c r="F36" i="94"/>
  <c r="F59" i="94" s="1"/>
  <c r="F60" i="94" s="1"/>
  <c r="M21" i="114"/>
  <c r="M23" i="114" s="1"/>
  <c r="AT17" i="114"/>
  <c r="AV17" i="114" s="1"/>
  <c r="AW17" i="114" s="1"/>
  <c r="AT10" i="114"/>
  <c r="AV10" i="114" s="1"/>
  <c r="AW10" i="114" s="1"/>
  <c r="K21" i="114"/>
  <c r="R226" i="42"/>
  <c r="V182" i="42"/>
  <c r="V184" i="42" s="1"/>
  <c r="T181" i="42"/>
  <c r="V179" i="42"/>
  <c r="V181" i="42" s="1"/>
  <c r="P161" i="42"/>
  <c r="L173" i="42"/>
  <c r="L198" i="42" s="1"/>
  <c r="V148" i="42"/>
  <c r="V150" i="42" s="1"/>
  <c r="V144" i="42"/>
  <c r="V146" i="42" s="1"/>
  <c r="G19" i="94"/>
  <c r="G59" i="94" s="1"/>
  <c r="G60" i="94" s="1"/>
  <c r="T171" i="42"/>
  <c r="V165" i="42"/>
  <c r="V171" i="42" s="1"/>
  <c r="T161" i="42"/>
  <c r="V151" i="42"/>
  <c r="V161" i="42" s="1"/>
  <c r="T102" i="42"/>
  <c r="L60" i="42"/>
  <c r="L142" i="42" s="1"/>
  <c r="P29" i="42"/>
  <c r="H19" i="94"/>
  <c r="AD23" i="114"/>
  <c r="C52" i="114"/>
  <c r="AO18" i="114"/>
  <c r="AQ18" i="114" s="1"/>
  <c r="AT18" i="114"/>
  <c r="AV18" i="114" s="1"/>
  <c r="AW18" i="114" s="1"/>
  <c r="AO11" i="114"/>
  <c r="AQ11" i="114" s="1"/>
  <c r="A12" i="114"/>
  <c r="A31" i="114"/>
  <c r="Z21" i="114"/>
  <c r="Z23" i="114" s="1"/>
  <c r="V222" i="42"/>
  <c r="V224" i="42" s="1"/>
  <c r="T224" i="42"/>
  <c r="L226" i="42"/>
  <c r="P208" i="42"/>
  <c r="J226" i="42"/>
  <c r="P202" i="42"/>
  <c r="V113" i="42"/>
  <c r="V121" i="42" s="1"/>
  <c r="T121" i="42"/>
  <c r="E57" i="94"/>
  <c r="E19" i="94"/>
  <c r="F23" i="114"/>
  <c r="AO12" i="114"/>
  <c r="AQ12" i="114" s="1"/>
  <c r="AT12" i="114"/>
  <c r="AV12" i="114" s="1"/>
  <c r="AW12" i="114" s="1"/>
  <c r="AJ21" i="114"/>
  <c r="AJ23" i="114" s="1"/>
  <c r="J21" i="114"/>
  <c r="Y21" i="114"/>
  <c r="Y23" i="114" s="1"/>
  <c r="T220" i="42"/>
  <c r="P211" i="42"/>
  <c r="V203" i="42"/>
  <c r="V205" i="42" s="1"/>
  <c r="V200" i="42"/>
  <c r="V202" i="42" s="1"/>
  <c r="J173" i="42"/>
  <c r="J198" i="42" s="1"/>
  <c r="V109" i="42"/>
  <c r="V112" i="42" s="1"/>
  <c r="V106" i="42"/>
  <c r="V108" i="42" s="1"/>
  <c r="T108" i="42"/>
  <c r="V56" i="42"/>
  <c r="V58" i="42" s="1"/>
  <c r="T58" i="42"/>
  <c r="J60" i="42"/>
  <c r="J142" i="42" s="1"/>
  <c r="P47" i="42"/>
  <c r="T47" i="42"/>
  <c r="V41" i="42"/>
  <c r="V47" i="42" s="1"/>
  <c r="P40" i="42"/>
  <c r="B19" i="94"/>
  <c r="B20" i="94" s="1"/>
  <c r="J12" i="64"/>
  <c r="L12" i="64"/>
  <c r="N12" i="64"/>
  <c r="P12" i="64"/>
  <c r="R12" i="64"/>
  <c r="T12" i="64"/>
  <c r="V12" i="64"/>
  <c r="X12" i="64"/>
  <c r="Z12" i="64"/>
  <c r="AB12" i="64"/>
  <c r="AD12" i="64"/>
  <c r="AF12" i="64"/>
  <c r="AH13" i="64"/>
  <c r="AH16" i="64"/>
  <c r="AH17" i="64"/>
  <c r="AH18" i="64"/>
  <c r="E30" i="2" s="1"/>
  <c r="AH19" i="64"/>
  <c r="AH20" i="64"/>
  <c r="AH21" i="64"/>
  <c r="AH22" i="64"/>
  <c r="E25" i="2" s="1"/>
  <c r="AH23" i="64"/>
  <c r="E26" i="2" s="1"/>
  <c r="AH24" i="64"/>
  <c r="AH25" i="64"/>
  <c r="AH26" i="64"/>
  <c r="AH27" i="64"/>
  <c r="E31" i="2" s="1"/>
  <c r="J29" i="64"/>
  <c r="L29" i="64"/>
  <c r="N29" i="64"/>
  <c r="P29" i="64"/>
  <c r="R29" i="64"/>
  <c r="T29" i="64"/>
  <c r="V29" i="64"/>
  <c r="X29" i="64"/>
  <c r="Z29" i="64"/>
  <c r="AB29" i="64"/>
  <c r="AD29" i="64"/>
  <c r="AF29" i="64"/>
  <c r="AH31" i="64"/>
  <c r="AH33" i="64" s="1"/>
  <c r="J33" i="64"/>
  <c r="L33" i="64"/>
  <c r="N33" i="64"/>
  <c r="P33" i="64"/>
  <c r="R33" i="64"/>
  <c r="T33" i="64"/>
  <c r="V33" i="64"/>
  <c r="X33" i="64"/>
  <c r="Z33" i="64"/>
  <c r="AB33" i="64"/>
  <c r="AD33" i="64"/>
  <c r="AF33" i="64"/>
  <c r="AH36" i="64"/>
  <c r="E38" i="2" s="1"/>
  <c r="AH37" i="64"/>
  <c r="E39" i="2" s="1"/>
  <c r="G39" i="2" s="1"/>
  <c r="AH38" i="64"/>
  <c r="E40" i="2" s="1"/>
  <c r="G40" i="2" s="1"/>
  <c r="AH39" i="64"/>
  <c r="E41" i="2" s="1"/>
  <c r="G41" i="2" s="1"/>
  <c r="J41" i="64"/>
  <c r="L41" i="64"/>
  <c r="N41" i="64"/>
  <c r="P41" i="64"/>
  <c r="R41" i="64"/>
  <c r="T41" i="64"/>
  <c r="V41" i="64"/>
  <c r="X41" i="64"/>
  <c r="Z41" i="64"/>
  <c r="AB41" i="64"/>
  <c r="AD41" i="64"/>
  <c r="AF41" i="64"/>
  <c r="AH44" i="64"/>
  <c r="AH46" i="64" s="1"/>
  <c r="J46" i="64"/>
  <c r="L46" i="64"/>
  <c r="N46" i="64"/>
  <c r="P46" i="64"/>
  <c r="R46" i="64"/>
  <c r="T46" i="64"/>
  <c r="V46" i="64"/>
  <c r="X46" i="64"/>
  <c r="Z46" i="64"/>
  <c r="AB46" i="64"/>
  <c r="AD46" i="64"/>
  <c r="AF46" i="64"/>
  <c r="AH48" i="64"/>
  <c r="AH50" i="64" s="1"/>
  <c r="J50" i="64"/>
  <c r="L50" i="64"/>
  <c r="N50" i="64"/>
  <c r="P50" i="64"/>
  <c r="R50" i="64"/>
  <c r="T50" i="64"/>
  <c r="V50" i="64"/>
  <c r="X50" i="64"/>
  <c r="Z50" i="64"/>
  <c r="AB50" i="64"/>
  <c r="AD50" i="64"/>
  <c r="AF50" i="64"/>
  <c r="AH53" i="64"/>
  <c r="E45" i="2" s="1"/>
  <c r="AH54" i="64"/>
  <c r="E46" i="2" s="1"/>
  <c r="J56" i="64"/>
  <c r="L56" i="64"/>
  <c r="N56" i="64"/>
  <c r="P56" i="64"/>
  <c r="R56" i="64"/>
  <c r="T56" i="64"/>
  <c r="V56" i="64"/>
  <c r="X56" i="64"/>
  <c r="Z56" i="64"/>
  <c r="AB56" i="64"/>
  <c r="AD56" i="64"/>
  <c r="AF56" i="64"/>
  <c r="AH61" i="64"/>
  <c r="E137" i="2" s="1"/>
  <c r="AH62" i="64"/>
  <c r="E139" i="2" s="1"/>
  <c r="G139" i="2" s="1"/>
  <c r="J64" i="64"/>
  <c r="L64" i="64"/>
  <c r="N64" i="64"/>
  <c r="P64" i="64"/>
  <c r="R64" i="64"/>
  <c r="T64" i="64"/>
  <c r="V64" i="64"/>
  <c r="X64" i="64"/>
  <c r="Z64" i="64"/>
  <c r="AB64" i="64"/>
  <c r="AD64" i="64"/>
  <c r="AF64" i="64"/>
  <c r="AH66" i="64"/>
  <c r="E140" i="2" s="1"/>
  <c r="G140" i="2" s="1"/>
  <c r="J140" i="2" s="1"/>
  <c r="J68" i="64"/>
  <c r="L68" i="64"/>
  <c r="N68" i="64"/>
  <c r="P68" i="64"/>
  <c r="R68" i="64"/>
  <c r="T68" i="64"/>
  <c r="V68" i="64"/>
  <c r="X68" i="64"/>
  <c r="Z68" i="64"/>
  <c r="AB68" i="64"/>
  <c r="AD68" i="64"/>
  <c r="AF68" i="64"/>
  <c r="AH68" i="64"/>
  <c r="AH71" i="64"/>
  <c r="E122" i="2" s="1"/>
  <c r="AH72" i="64"/>
  <c r="E320" i="2" s="1"/>
  <c r="AH73" i="64"/>
  <c r="E312" i="2" s="1"/>
  <c r="AH74" i="64"/>
  <c r="E240" i="2" s="1"/>
  <c r="J76" i="64"/>
  <c r="L76" i="64"/>
  <c r="N76" i="64"/>
  <c r="P76" i="64"/>
  <c r="R76" i="64"/>
  <c r="T76" i="64"/>
  <c r="V76" i="64"/>
  <c r="X76" i="64"/>
  <c r="Z76" i="64"/>
  <c r="AB76" i="64"/>
  <c r="AD76" i="64"/>
  <c r="AF76" i="64"/>
  <c r="AH79" i="64"/>
  <c r="AH81" i="64" s="1"/>
  <c r="J81" i="64"/>
  <c r="L81" i="64"/>
  <c r="N81" i="64"/>
  <c r="P81" i="64"/>
  <c r="R81" i="64"/>
  <c r="T81" i="64"/>
  <c r="V81" i="64"/>
  <c r="X81" i="64"/>
  <c r="Z81" i="64"/>
  <c r="AB81" i="64"/>
  <c r="AD81" i="64"/>
  <c r="AF81" i="64"/>
  <c r="AH83" i="64"/>
  <c r="AH85" i="64" s="1"/>
  <c r="J85" i="64"/>
  <c r="L85" i="64"/>
  <c r="N85" i="64"/>
  <c r="P85" i="64"/>
  <c r="R85" i="64"/>
  <c r="T85" i="64"/>
  <c r="V85" i="64"/>
  <c r="X85" i="64"/>
  <c r="Z85" i="64"/>
  <c r="AB85" i="64"/>
  <c r="AD85" i="64"/>
  <c r="AF85" i="64"/>
  <c r="AH92" i="64"/>
  <c r="E107" i="2" s="1"/>
  <c r="AH93" i="64"/>
  <c r="E108" i="2" s="1"/>
  <c r="AH94" i="64"/>
  <c r="E109" i="2" s="1"/>
  <c r="AH95" i="64"/>
  <c r="E110" i="2" s="1"/>
  <c r="AH96" i="64"/>
  <c r="E304" i="2" s="1"/>
  <c r="AH97" i="64"/>
  <c r="E218" i="2" s="1"/>
  <c r="AH98" i="64"/>
  <c r="E111" i="2" s="1"/>
  <c r="AH99" i="64"/>
  <c r="E112" i="2" s="1"/>
  <c r="AH100" i="64"/>
  <c r="E169" i="2" s="1"/>
  <c r="G169" i="2" s="1"/>
  <c r="J169" i="2" s="1"/>
  <c r="AH101" i="64"/>
  <c r="E129" i="2" s="1"/>
  <c r="G129" i="2" s="1"/>
  <c r="J129" i="2" s="1"/>
  <c r="AH102" i="64"/>
  <c r="E223" i="2" s="1"/>
  <c r="G223" i="2" s="1"/>
  <c r="J223" i="2" s="1"/>
  <c r="J104" i="64"/>
  <c r="L104" i="64"/>
  <c r="N104" i="64"/>
  <c r="P104" i="64"/>
  <c r="R104" i="64"/>
  <c r="T104" i="64"/>
  <c r="V104" i="64"/>
  <c r="X104" i="64"/>
  <c r="Z104" i="64"/>
  <c r="AB104" i="64"/>
  <c r="AD104" i="64"/>
  <c r="AF104" i="64"/>
  <c r="AH106" i="64"/>
  <c r="E293" i="2" s="1"/>
  <c r="J108" i="64"/>
  <c r="L108" i="64"/>
  <c r="N108" i="64"/>
  <c r="P108" i="64"/>
  <c r="R108" i="64"/>
  <c r="T108" i="64"/>
  <c r="V108" i="64"/>
  <c r="X108" i="64"/>
  <c r="Z108" i="64"/>
  <c r="AB108" i="64"/>
  <c r="AD108" i="64"/>
  <c r="AF108" i="64"/>
  <c r="AH111" i="64"/>
  <c r="E55" i="2" s="1"/>
  <c r="AH112" i="64"/>
  <c r="E56" i="2" s="1"/>
  <c r="AH113" i="64"/>
  <c r="E58" i="2" s="1"/>
  <c r="AH114" i="64"/>
  <c r="E59" i="2" s="1"/>
  <c r="AH115" i="64"/>
  <c r="E60" i="2" s="1"/>
  <c r="AH116" i="64"/>
  <c r="E305" i="2" s="1"/>
  <c r="G305" i="2" s="1"/>
  <c r="AH117" i="64"/>
  <c r="E219" i="2" s="1"/>
  <c r="AH118" i="64"/>
  <c r="E61" i="2" s="1"/>
  <c r="AH119" i="64"/>
  <c r="E62" i="2" s="1"/>
  <c r="AH120" i="64"/>
  <c r="E170" i="2" s="1"/>
  <c r="G170" i="2" s="1"/>
  <c r="J170" i="2" s="1"/>
  <c r="AH121" i="64"/>
  <c r="E94" i="2" s="1"/>
  <c r="AH122" i="64"/>
  <c r="E224" i="2" s="1"/>
  <c r="G224" i="2" s="1"/>
  <c r="J224" i="2" s="1"/>
  <c r="AH123" i="64"/>
  <c r="E78" i="2" s="1"/>
  <c r="AH124" i="64"/>
  <c r="E79" i="2" s="1"/>
  <c r="G79" i="2" s="1"/>
  <c r="J79" i="2" s="1"/>
  <c r="AH125" i="64"/>
  <c r="E80" i="2" s="1"/>
  <c r="G80" i="2" s="1"/>
  <c r="J80" i="2" s="1"/>
  <c r="AH126" i="64"/>
  <c r="E90" i="2" s="1"/>
  <c r="AH127" i="64"/>
  <c r="E116" i="2" s="1"/>
  <c r="AH128" i="64"/>
  <c r="E117" i="2" s="1"/>
  <c r="G117" i="2" s="1"/>
  <c r="J117" i="2" s="1"/>
  <c r="AH129" i="64"/>
  <c r="E118" i="2" s="1"/>
  <c r="G118" i="2" s="1"/>
  <c r="J118" i="2" s="1"/>
  <c r="AH130" i="64"/>
  <c r="E84" i="2" s="1"/>
  <c r="G84" i="2" s="1"/>
  <c r="J84" i="2" s="1"/>
  <c r="AH131" i="64"/>
  <c r="E204" i="2" s="1"/>
  <c r="AH132" i="64"/>
  <c r="E81" i="2" s="1"/>
  <c r="G81" i="2" s="1"/>
  <c r="J81" i="2" s="1"/>
  <c r="AH133" i="64"/>
  <c r="E85" i="2" s="1"/>
  <c r="G85" i="2" s="1"/>
  <c r="J85" i="2" s="1"/>
  <c r="AH134" i="64"/>
  <c r="E95" i="2" s="1"/>
  <c r="G95" i="2" s="1"/>
  <c r="J95" i="2" s="1"/>
  <c r="AH135" i="64"/>
  <c r="E244" i="2" s="1"/>
  <c r="AH136" i="64"/>
  <c r="J138" i="64"/>
  <c r="L138" i="64"/>
  <c r="N138" i="64"/>
  <c r="P138" i="64"/>
  <c r="R138" i="64"/>
  <c r="T138" i="64"/>
  <c r="V138" i="64"/>
  <c r="X138" i="64"/>
  <c r="Z138" i="64"/>
  <c r="AB138" i="64"/>
  <c r="AD138" i="64"/>
  <c r="AF138" i="64"/>
  <c r="AH141" i="64"/>
  <c r="E63" i="2" s="1"/>
  <c r="AH142" i="64"/>
  <c r="E64" i="2" s="1"/>
  <c r="AH143" i="64"/>
  <c r="E65" i="2" s="1"/>
  <c r="G65" i="2" s="1"/>
  <c r="J65" i="2" s="1"/>
  <c r="AH144" i="64"/>
  <c r="E66" i="2" s="1"/>
  <c r="AH145" i="64"/>
  <c r="E67" i="2" s="1"/>
  <c r="G67" i="2" s="1"/>
  <c r="J67" i="2" s="1"/>
  <c r="AH146" i="64"/>
  <c r="E306" i="2" s="1"/>
  <c r="G306" i="2" s="1"/>
  <c r="AH147" i="64"/>
  <c r="E220" i="2" s="1"/>
  <c r="AH148" i="64"/>
  <c r="E68" i="2" s="1"/>
  <c r="AH149" i="64"/>
  <c r="E69" i="2" s="1"/>
  <c r="AH150" i="64"/>
  <c r="E225" i="2" s="1"/>
  <c r="G225" i="2" s="1"/>
  <c r="J225" i="2" s="1"/>
  <c r="AH151" i="64"/>
  <c r="E82" i="2" s="1"/>
  <c r="G82" i="2" s="1"/>
  <c r="J82" i="2" s="1"/>
  <c r="AH152" i="64"/>
  <c r="E83" i="2" s="1"/>
  <c r="G83" i="2" s="1"/>
  <c r="J83" i="2" s="1"/>
  <c r="J154" i="64"/>
  <c r="L154" i="64"/>
  <c r="N154" i="64"/>
  <c r="P154" i="64"/>
  <c r="R154" i="64"/>
  <c r="T154" i="64"/>
  <c r="V154" i="64"/>
  <c r="X154" i="64"/>
  <c r="Z154" i="64"/>
  <c r="AB154" i="64"/>
  <c r="AD154" i="64"/>
  <c r="AF154" i="64"/>
  <c r="AH157" i="64"/>
  <c r="E102" i="2" s="1"/>
  <c r="AH158" i="64"/>
  <c r="E103" i="2" s="1"/>
  <c r="AH159" i="64"/>
  <c r="E307" i="2" s="1"/>
  <c r="G307" i="2" s="1"/>
  <c r="AH160" i="64"/>
  <c r="E221" i="2" s="1"/>
  <c r="AH161" i="64"/>
  <c r="E171" i="2" s="1"/>
  <c r="G171" i="2" s="1"/>
  <c r="J171" i="2" s="1"/>
  <c r="AH162" i="64"/>
  <c r="E130" i="2" s="1"/>
  <c r="G130" i="2" s="1"/>
  <c r="J130" i="2" s="1"/>
  <c r="AH163" i="64"/>
  <c r="E226" i="2" s="1"/>
  <c r="G226" i="2" s="1"/>
  <c r="J226" i="2" s="1"/>
  <c r="AH164" i="64"/>
  <c r="E86" i="2" s="1"/>
  <c r="G86" i="2" s="1"/>
  <c r="J86" i="2" s="1"/>
  <c r="AH165" i="64"/>
  <c r="E205" i="2" s="1"/>
  <c r="G205" i="2" s="1"/>
  <c r="J205" i="2" s="1"/>
  <c r="AH166" i="64"/>
  <c r="E245" i="2" s="1"/>
  <c r="G245" i="2" s="1"/>
  <c r="J245" i="2" s="1"/>
  <c r="J168" i="64"/>
  <c r="L168" i="64"/>
  <c r="N168" i="64"/>
  <c r="P168" i="64"/>
  <c r="R168" i="64"/>
  <c r="T168" i="64"/>
  <c r="V168" i="64"/>
  <c r="X168" i="64"/>
  <c r="Z168" i="64"/>
  <c r="AB168" i="64"/>
  <c r="AD168" i="64"/>
  <c r="AF168" i="64"/>
  <c r="AH171" i="64"/>
  <c r="E126" i="2" s="1"/>
  <c r="AH172" i="64"/>
  <c r="E73" i="2" s="1"/>
  <c r="AH173" i="64"/>
  <c r="E206" i="2" s="1"/>
  <c r="G206" i="2" s="1"/>
  <c r="J206" i="2" s="1"/>
  <c r="AH174" i="64"/>
  <c r="E209" i="2" s="1"/>
  <c r="G209" i="2" s="1"/>
  <c r="J209" i="2" s="1"/>
  <c r="AH175" i="64"/>
  <c r="E326" i="2" s="1"/>
  <c r="AH176" i="64"/>
  <c r="E168" i="2" s="1"/>
  <c r="AH177" i="64"/>
  <c r="E299" i="2" s="1"/>
  <c r="AH178" i="64"/>
  <c r="E316" i="2" s="1"/>
  <c r="G316" i="2" s="1"/>
  <c r="J316" i="2" s="1"/>
  <c r="L316" i="2" s="1"/>
  <c r="E307" i="3" s="1"/>
  <c r="AH179" i="64"/>
  <c r="E128" i="2" s="1"/>
  <c r="AH180" i="64"/>
  <c r="E191" i="2" s="1"/>
  <c r="AH181" i="64"/>
  <c r="E294" i="2" s="1"/>
  <c r="G294" i="2" s="1"/>
  <c r="J294" i="2" s="1"/>
  <c r="AH182" i="64"/>
  <c r="E164" i="2" s="1"/>
  <c r="G164" i="2" s="1"/>
  <c r="J164" i="2" s="1"/>
  <c r="J184" i="64"/>
  <c r="L184" i="64"/>
  <c r="N184" i="64"/>
  <c r="P184" i="64"/>
  <c r="R184" i="64"/>
  <c r="T184" i="64"/>
  <c r="V184" i="64"/>
  <c r="X184" i="64"/>
  <c r="Z184" i="64"/>
  <c r="AB184" i="64"/>
  <c r="AD184" i="64"/>
  <c r="AF184" i="64"/>
  <c r="J188" i="64"/>
  <c r="L188" i="64"/>
  <c r="N188" i="64"/>
  <c r="P188" i="64"/>
  <c r="R188" i="64"/>
  <c r="T188" i="64"/>
  <c r="V188" i="64"/>
  <c r="X188" i="64"/>
  <c r="Z188" i="64"/>
  <c r="AB188" i="64"/>
  <c r="AD188" i="64"/>
  <c r="AF188" i="64"/>
  <c r="AH188" i="64"/>
  <c r="AH191" i="64"/>
  <c r="E154" i="2" s="1"/>
  <c r="AH192" i="64"/>
  <c r="E155" i="2" s="1"/>
  <c r="F155" i="2" s="1"/>
  <c r="AH193" i="64"/>
  <c r="E156" i="2" s="1"/>
  <c r="F156" i="2" s="1"/>
  <c r="AH194" i="64"/>
  <c r="E157" i="2" s="1"/>
  <c r="F157" i="2" s="1"/>
  <c r="AH195" i="64"/>
  <c r="E158" i="2" s="1"/>
  <c r="F158" i="2" s="1"/>
  <c r="AH196" i="64"/>
  <c r="E159" i="2" s="1"/>
  <c r="F159" i="2" s="1"/>
  <c r="AH197" i="64"/>
  <c r="E163" i="2" s="1"/>
  <c r="J199" i="64"/>
  <c r="L199" i="64"/>
  <c r="N199" i="64"/>
  <c r="P199" i="64"/>
  <c r="R199" i="64"/>
  <c r="T199" i="64"/>
  <c r="T205" i="64" s="1"/>
  <c r="V199" i="64"/>
  <c r="X199" i="64"/>
  <c r="Z199" i="64"/>
  <c r="AB199" i="64"/>
  <c r="AD199" i="64"/>
  <c r="AF199" i="64"/>
  <c r="AH201" i="64"/>
  <c r="E283" i="2" s="1"/>
  <c r="J203" i="64"/>
  <c r="L203" i="64"/>
  <c r="N203" i="64"/>
  <c r="P203" i="64"/>
  <c r="R203" i="64"/>
  <c r="T203" i="64"/>
  <c r="V203" i="64"/>
  <c r="X203" i="64"/>
  <c r="Z203" i="64"/>
  <c r="AB203" i="64"/>
  <c r="AD203" i="64"/>
  <c r="AF203" i="64"/>
  <c r="AH210" i="64"/>
  <c r="J212" i="64"/>
  <c r="L212" i="64"/>
  <c r="N212" i="64"/>
  <c r="P212" i="64"/>
  <c r="R212" i="64"/>
  <c r="T212" i="64"/>
  <c r="V212" i="64"/>
  <c r="X212" i="64"/>
  <c r="Z212" i="64"/>
  <c r="AB212" i="64"/>
  <c r="AD212" i="64"/>
  <c r="AF212" i="64"/>
  <c r="AH212" i="64"/>
  <c r="AH215" i="64"/>
  <c r="E178" i="2" s="1"/>
  <c r="AH216" i="64"/>
  <c r="E182" i="2" s="1"/>
  <c r="AH217" i="64"/>
  <c r="E183" i="2" s="1"/>
  <c r="AH218" i="64"/>
  <c r="E184" i="2" s="1"/>
  <c r="AH219" i="64"/>
  <c r="E308" i="2" s="1"/>
  <c r="G308" i="2" s="1"/>
  <c r="AH220" i="64"/>
  <c r="E222" i="2" s="1"/>
  <c r="AH221" i="64"/>
  <c r="E185" i="2" s="1"/>
  <c r="AH222" i="64"/>
  <c r="E186" i="2" s="1"/>
  <c r="AH223" i="64"/>
  <c r="E172" i="2" s="1"/>
  <c r="G172" i="2" s="1"/>
  <c r="J172" i="2" s="1"/>
  <c r="AH224" i="64"/>
  <c r="E247" i="2" s="1"/>
  <c r="AH225" i="64"/>
  <c r="E248" i="2" s="1"/>
  <c r="G248" i="2" s="1"/>
  <c r="J248" i="2" s="1"/>
  <c r="AH226" i="64"/>
  <c r="E249" i="2" s="1"/>
  <c r="AH227" i="64"/>
  <c r="E250" i="2" s="1"/>
  <c r="AH228" i="64"/>
  <c r="E227" i="2" s="1"/>
  <c r="G227" i="2" s="1"/>
  <c r="J227" i="2" s="1"/>
  <c r="AH229" i="64"/>
  <c r="E74" i="2" s="1"/>
  <c r="G74" i="2" s="1"/>
  <c r="J74" i="2" s="1"/>
  <c r="AH230" i="64"/>
  <c r="E214" i="2" s="1"/>
  <c r="AH231" i="64"/>
  <c r="E207" i="2" s="1"/>
  <c r="G207" i="2" s="1"/>
  <c r="J207" i="2" s="1"/>
  <c r="AH232" i="64"/>
  <c r="E208" i="2" s="1"/>
  <c r="G208" i="2" s="1"/>
  <c r="J208" i="2" s="1"/>
  <c r="AH233" i="64"/>
  <c r="E330" i="2" s="1"/>
  <c r="AH234" i="64"/>
  <c r="E192" i="2" s="1"/>
  <c r="G192" i="2" s="1"/>
  <c r="J192" i="2" s="1"/>
  <c r="AH235" i="64"/>
  <c r="E251" i="2" s="1"/>
  <c r="G251" i="2" s="1"/>
  <c r="J251" i="2" s="1"/>
  <c r="AH236" i="64"/>
  <c r="E252" i="2" s="1"/>
  <c r="G252" i="2" s="1"/>
  <c r="J252" i="2" s="1"/>
  <c r="AH237" i="64"/>
  <c r="E253" i="2" s="1"/>
  <c r="G253" i="2" s="1"/>
  <c r="J253" i="2" s="1"/>
  <c r="AH238" i="64"/>
  <c r="E254" i="2" s="1"/>
  <c r="G254" i="2" s="1"/>
  <c r="J254" i="2" s="1"/>
  <c r="AH239" i="64"/>
  <c r="E255" i="2" s="1"/>
  <c r="G255" i="2" s="1"/>
  <c r="J255" i="2" s="1"/>
  <c r="AH240" i="64"/>
  <c r="E256" i="2" s="1"/>
  <c r="G256" i="2" s="1"/>
  <c r="J256" i="2" s="1"/>
  <c r="AH241" i="64"/>
  <c r="E193" i="2" s="1"/>
  <c r="G193" i="2" s="1"/>
  <c r="J193" i="2" s="1"/>
  <c r="AH242" i="64"/>
  <c r="E196" i="2" s="1"/>
  <c r="G196" i="2" s="1"/>
  <c r="J196" i="2" s="1"/>
  <c r="AH243" i="64"/>
  <c r="E257" i="2" s="1"/>
  <c r="AH244" i="64"/>
  <c r="E147" i="2" s="1"/>
  <c r="AH245" i="64"/>
  <c r="E262" i="2" s="1"/>
  <c r="G262" i="2" s="1"/>
  <c r="J262" i="2" s="1"/>
  <c r="AH246" i="64"/>
  <c r="E200" i="2" s="1"/>
  <c r="AH247" i="64"/>
  <c r="E258" i="2" s="1"/>
  <c r="G258" i="2" s="1"/>
  <c r="J258" i="2" s="1"/>
  <c r="AH248" i="64"/>
  <c r="E246" i="2" s="1"/>
  <c r="G246" i="2" s="1"/>
  <c r="J246" i="2" s="1"/>
  <c r="AH249" i="64"/>
  <c r="E259" i="2" s="1"/>
  <c r="G259" i="2" s="1"/>
  <c r="J259" i="2" s="1"/>
  <c r="AH250" i="64"/>
  <c r="E195" i="2" s="1"/>
  <c r="G195" i="2" s="1"/>
  <c r="J195" i="2" s="1"/>
  <c r="AH251" i="64"/>
  <c r="E260" i="2" s="1"/>
  <c r="G260" i="2" s="1"/>
  <c r="J260" i="2" s="1"/>
  <c r="AH252" i="64"/>
  <c r="E235" i="2" s="1"/>
  <c r="AH253" i="64"/>
  <c r="E236" i="2" s="1"/>
  <c r="AH254" i="64"/>
  <c r="E231" i="2" s="1"/>
  <c r="AH255" i="64"/>
  <c r="E131" i="2" s="1"/>
  <c r="AH256" i="64"/>
  <c r="E263" i="2" s="1"/>
  <c r="G263" i="2" s="1"/>
  <c r="J263" i="2" s="1"/>
  <c r="AH257" i="64"/>
  <c r="E264" i="2" s="1"/>
  <c r="G264" i="2" s="1"/>
  <c r="J264" i="2" s="1"/>
  <c r="AH258" i="64"/>
  <c r="E295" i="2" s="1"/>
  <c r="G295" i="2" s="1"/>
  <c r="J295" i="2" s="1"/>
  <c r="J260" i="64"/>
  <c r="L260" i="64"/>
  <c r="N260" i="64"/>
  <c r="P260" i="64"/>
  <c r="R260" i="64"/>
  <c r="T260" i="64"/>
  <c r="V260" i="64"/>
  <c r="X260" i="64"/>
  <c r="Z260" i="64"/>
  <c r="AB260" i="64"/>
  <c r="AD260" i="64"/>
  <c r="AF260" i="64"/>
  <c r="AH262" i="64"/>
  <c r="E213" i="2" s="1"/>
  <c r="J264" i="64"/>
  <c r="L264" i="64"/>
  <c r="N264" i="64"/>
  <c r="P264" i="64"/>
  <c r="R264" i="64"/>
  <c r="T264" i="64"/>
  <c r="V264" i="64"/>
  <c r="X264" i="64"/>
  <c r="Z264" i="64"/>
  <c r="AB264" i="64"/>
  <c r="AD264" i="64"/>
  <c r="AF264" i="64"/>
  <c r="AH273" i="64"/>
  <c r="E270" i="2" s="1"/>
  <c r="AH274" i="64"/>
  <c r="E271" i="2" s="1"/>
  <c r="AH275" i="64"/>
  <c r="E272" i="2" s="1"/>
  <c r="AH276" i="64"/>
  <c r="E274" i="2" s="1"/>
  <c r="J278" i="64"/>
  <c r="L278" i="64"/>
  <c r="N278" i="64"/>
  <c r="O278" i="64"/>
  <c r="P278" i="64"/>
  <c r="R278" i="64"/>
  <c r="T278" i="64"/>
  <c r="U278" i="64"/>
  <c r="V278" i="64"/>
  <c r="X278" i="64"/>
  <c r="Z278" i="64"/>
  <c r="AA278" i="64"/>
  <c r="AB278" i="64"/>
  <c r="AD278" i="64"/>
  <c r="AF278" i="64"/>
  <c r="AG278" i="64"/>
  <c r="AH280" i="64"/>
  <c r="J282" i="64"/>
  <c r="L282" i="64"/>
  <c r="N282" i="64"/>
  <c r="O282" i="64"/>
  <c r="P282" i="64"/>
  <c r="R282" i="64"/>
  <c r="T282" i="64"/>
  <c r="U282" i="64"/>
  <c r="V282" i="64"/>
  <c r="X282" i="64"/>
  <c r="Z282" i="64"/>
  <c r="AA282" i="64"/>
  <c r="AB282" i="64"/>
  <c r="AD282" i="64"/>
  <c r="AF282" i="64"/>
  <c r="AG282" i="64"/>
  <c r="AH284" i="64"/>
  <c r="E287" i="2" s="1"/>
  <c r="J286" i="64"/>
  <c r="L286" i="64"/>
  <c r="N286" i="64"/>
  <c r="O286" i="64"/>
  <c r="P286" i="64"/>
  <c r="R286" i="64"/>
  <c r="T286" i="64"/>
  <c r="U286" i="64"/>
  <c r="V286" i="64"/>
  <c r="X286" i="64"/>
  <c r="Z286" i="64"/>
  <c r="AA286" i="64"/>
  <c r="AB286" i="64"/>
  <c r="AD286" i="64"/>
  <c r="AF286" i="64"/>
  <c r="AG286" i="64"/>
  <c r="O288" i="64"/>
  <c r="U288" i="64"/>
  <c r="AA288" i="64"/>
  <c r="AG288" i="64"/>
  <c r="O290" i="64"/>
  <c r="U290" i="64"/>
  <c r="AA290" i="64"/>
  <c r="AG290" i="64"/>
  <c r="AH292" i="64"/>
  <c r="AH294" i="64" s="1"/>
  <c r="J294" i="64"/>
  <c r="L294" i="64"/>
  <c r="N294" i="64"/>
  <c r="O294" i="64"/>
  <c r="P294" i="64"/>
  <c r="R294" i="64"/>
  <c r="T294" i="64"/>
  <c r="U294" i="64"/>
  <c r="V294" i="64"/>
  <c r="X294" i="64"/>
  <c r="Z294" i="64"/>
  <c r="AA294" i="64"/>
  <c r="AB294" i="64"/>
  <c r="AD294" i="64"/>
  <c r="AF294" i="64"/>
  <c r="AG294" i="64"/>
  <c r="AH296" i="64"/>
  <c r="AH298" i="64" s="1"/>
  <c r="J298" i="64"/>
  <c r="L298" i="64"/>
  <c r="N298" i="64"/>
  <c r="O298" i="64"/>
  <c r="P298" i="64"/>
  <c r="R298" i="64"/>
  <c r="T298" i="64"/>
  <c r="U298" i="64"/>
  <c r="V298" i="64"/>
  <c r="X298" i="64"/>
  <c r="Z298" i="64"/>
  <c r="AA298" i="64"/>
  <c r="AB298" i="64"/>
  <c r="AD298" i="64"/>
  <c r="AF298" i="64"/>
  <c r="AG298" i="64"/>
  <c r="AH300" i="64"/>
  <c r="AH302" i="64" s="1"/>
  <c r="J302" i="64"/>
  <c r="L302" i="64"/>
  <c r="N302" i="64"/>
  <c r="O302" i="64"/>
  <c r="P302" i="64"/>
  <c r="R302" i="64"/>
  <c r="T302" i="64"/>
  <c r="U302" i="64"/>
  <c r="V302" i="64"/>
  <c r="X302" i="64"/>
  <c r="Z302" i="64"/>
  <c r="AA302" i="64"/>
  <c r="AB302" i="64"/>
  <c r="AD302" i="64"/>
  <c r="AF302" i="64"/>
  <c r="AG302" i="64"/>
  <c r="O304" i="64"/>
  <c r="U304" i="64"/>
  <c r="AA304" i="64"/>
  <c r="AG304" i="64"/>
  <c r="AH306" i="64"/>
  <c r="AH308" i="64" s="1"/>
  <c r="J308" i="64"/>
  <c r="L308" i="64"/>
  <c r="N308" i="64"/>
  <c r="O308" i="64"/>
  <c r="P308" i="64"/>
  <c r="R308" i="64"/>
  <c r="T308" i="64"/>
  <c r="U308" i="64"/>
  <c r="V308" i="64"/>
  <c r="X308" i="64"/>
  <c r="Z308" i="64"/>
  <c r="AA308" i="64"/>
  <c r="AB308" i="64"/>
  <c r="AD308" i="64"/>
  <c r="AF308" i="64"/>
  <c r="AG308" i="64"/>
  <c r="O310" i="64"/>
  <c r="U310" i="64"/>
  <c r="AA310" i="64"/>
  <c r="AG310" i="64"/>
  <c r="AH312" i="64"/>
  <c r="AH314" i="64" s="1"/>
  <c r="J314" i="64"/>
  <c r="L314" i="64"/>
  <c r="N314" i="64"/>
  <c r="O314" i="64"/>
  <c r="P314" i="64"/>
  <c r="R314" i="64"/>
  <c r="T314" i="64"/>
  <c r="U314" i="64"/>
  <c r="V314" i="64"/>
  <c r="X314" i="64"/>
  <c r="Z314" i="64"/>
  <c r="AA314" i="64"/>
  <c r="AB314" i="64"/>
  <c r="AD314" i="64"/>
  <c r="AF314" i="64"/>
  <c r="AG314" i="64"/>
  <c r="O316" i="64"/>
  <c r="U316" i="64"/>
  <c r="AA316" i="64"/>
  <c r="AG316" i="64"/>
  <c r="AH318" i="64"/>
  <c r="AH320" i="64" s="1"/>
  <c r="J320" i="64"/>
  <c r="L320" i="64"/>
  <c r="N320" i="64"/>
  <c r="O320" i="64"/>
  <c r="P320" i="64"/>
  <c r="R320" i="64"/>
  <c r="T320" i="64"/>
  <c r="U320" i="64"/>
  <c r="V320" i="64"/>
  <c r="X320" i="64"/>
  <c r="Z320" i="64"/>
  <c r="AA320" i="64"/>
  <c r="AB320" i="64"/>
  <c r="AD320" i="64"/>
  <c r="AF320" i="64"/>
  <c r="AG320" i="64"/>
  <c r="O322" i="64"/>
  <c r="U322" i="64"/>
  <c r="AA322" i="64"/>
  <c r="AG322" i="64"/>
  <c r="J326" i="64"/>
  <c r="L326" i="64"/>
  <c r="N326" i="64"/>
  <c r="P326" i="64"/>
  <c r="R326" i="64"/>
  <c r="T326" i="64"/>
  <c r="V326" i="64"/>
  <c r="X326" i="64"/>
  <c r="Z326" i="64"/>
  <c r="AB326" i="64"/>
  <c r="AD326" i="64"/>
  <c r="AF326" i="64"/>
  <c r="AH326" i="64"/>
  <c r="AB205" i="64" l="1"/>
  <c r="L205" i="64"/>
  <c r="AB266" i="64"/>
  <c r="L266" i="64"/>
  <c r="D54" i="114"/>
  <c r="M46" i="94"/>
  <c r="O72" i="94" s="1"/>
  <c r="Q72" i="94" s="1"/>
  <c r="M50" i="94"/>
  <c r="N205" i="64"/>
  <c r="T173" i="42"/>
  <c r="T198" i="42" s="1"/>
  <c r="P173" i="42"/>
  <c r="T226" i="42"/>
  <c r="T87" i="64"/>
  <c r="R87" i="64"/>
  <c r="X23" i="114"/>
  <c r="AD58" i="64"/>
  <c r="AD288" i="64"/>
  <c r="R288" i="64"/>
  <c r="AB288" i="64"/>
  <c r="P288" i="64"/>
  <c r="Z266" i="64"/>
  <c r="J266" i="64"/>
  <c r="T266" i="64"/>
  <c r="X266" i="64"/>
  <c r="H48" i="114"/>
  <c r="K23" i="114"/>
  <c r="N230" i="42"/>
  <c r="AH56" i="64"/>
  <c r="R58" i="64"/>
  <c r="R89" i="64" s="1"/>
  <c r="X58" i="64"/>
  <c r="T58" i="64"/>
  <c r="T89" i="64" s="1"/>
  <c r="T207" i="64" s="1"/>
  <c r="T269" i="64" s="1"/>
  <c r="N58" i="64"/>
  <c r="R228" i="42"/>
  <c r="R230" i="42" s="1"/>
  <c r="J46" i="94"/>
  <c r="L277" i="2" s="1"/>
  <c r="AD205" i="64"/>
  <c r="V58" i="64"/>
  <c r="AF58" i="64"/>
  <c r="P58" i="64"/>
  <c r="J50" i="94"/>
  <c r="F46" i="2"/>
  <c r="F78" i="2" s="1"/>
  <c r="F88" i="2" s="1"/>
  <c r="F100" i="2" s="1"/>
  <c r="R266" i="64"/>
  <c r="AQ21" i="114"/>
  <c r="AF266" i="64"/>
  <c r="P266" i="64"/>
  <c r="Z205" i="64"/>
  <c r="J205" i="64"/>
  <c r="X87" i="64"/>
  <c r="V173" i="42"/>
  <c r="AD266" i="64"/>
  <c r="N266" i="64"/>
  <c r="X205" i="64"/>
  <c r="V87" i="64"/>
  <c r="E24" i="2"/>
  <c r="F10" i="5" s="1"/>
  <c r="L228" i="42"/>
  <c r="V205" i="64"/>
  <c r="AH64" i="64"/>
  <c r="AB58" i="64"/>
  <c r="L58" i="64"/>
  <c r="AH286" i="64"/>
  <c r="AH288" i="64" s="1"/>
  <c r="Z288" i="64"/>
  <c r="N288" i="64"/>
  <c r="AH282" i="64"/>
  <c r="AH278" i="64"/>
  <c r="V288" i="64"/>
  <c r="J288" i="64"/>
  <c r="X288" i="64"/>
  <c r="L288" i="64"/>
  <c r="AF288" i="64"/>
  <c r="T288" i="64"/>
  <c r="V266" i="64"/>
  <c r="AF87" i="64"/>
  <c r="P87" i="64"/>
  <c r="Z58" i="64"/>
  <c r="Z89" i="64" s="1"/>
  <c r="Z207" i="64" s="1"/>
  <c r="Z269" i="64" s="1"/>
  <c r="J58" i="64"/>
  <c r="J89" i="64" s="1"/>
  <c r="S230" i="42"/>
  <c r="AF205" i="64"/>
  <c r="P205" i="64"/>
  <c r="AD87" i="64"/>
  <c r="N87" i="64"/>
  <c r="AB87" i="64"/>
  <c r="L87" i="64"/>
  <c r="E27" i="2"/>
  <c r="F13" i="5" s="1"/>
  <c r="E28" i="2"/>
  <c r="E134" i="7"/>
  <c r="R205" i="64"/>
  <c r="R207" i="64" s="1"/>
  <c r="R269" i="64" s="1"/>
  <c r="Z87" i="64"/>
  <c r="J87" i="64"/>
  <c r="J228" i="42"/>
  <c r="E67" i="7"/>
  <c r="L140" i="2"/>
  <c r="E131" i="3" s="1"/>
  <c r="M140" i="2"/>
  <c r="J41" i="2"/>
  <c r="M41" i="2" s="1"/>
  <c r="O41" i="2" s="1"/>
  <c r="P41" i="2" s="1"/>
  <c r="J40" i="2"/>
  <c r="J39" i="2"/>
  <c r="M39" i="2" s="1"/>
  <c r="O39" i="2" s="1"/>
  <c r="P39" i="2" s="1"/>
  <c r="J315" i="2"/>
  <c r="P315" i="2" s="1"/>
  <c r="J139" i="2"/>
  <c r="P139" i="2" s="1"/>
  <c r="E32" i="7"/>
  <c r="G78" i="94"/>
  <c r="G81" i="94" s="1"/>
  <c r="H250" i="3"/>
  <c r="H181" i="3"/>
  <c r="F86" i="3"/>
  <c r="P29" i="2"/>
  <c r="K336" i="2"/>
  <c r="K340" i="2" s="1"/>
  <c r="E119" i="7"/>
  <c r="D72" i="7"/>
  <c r="C65" i="7"/>
  <c r="C72" i="7"/>
  <c r="AT21" i="114"/>
  <c r="AO21" i="114"/>
  <c r="C56" i="114"/>
  <c r="E29" i="7"/>
  <c r="D69" i="7"/>
  <c r="C66" i="7"/>
  <c r="E111" i="7"/>
  <c r="E113" i="7"/>
  <c r="E116" i="7"/>
  <c r="E118" i="7"/>
  <c r="H55" i="2"/>
  <c r="D65" i="7"/>
  <c r="N15" i="94"/>
  <c r="J15" i="94"/>
  <c r="O127" i="2"/>
  <c r="B54" i="5"/>
  <c r="AF51" i="118"/>
  <c r="O190" i="2"/>
  <c r="O300" i="2"/>
  <c r="F118" i="3"/>
  <c r="B36" i="5"/>
  <c r="B61" i="5" s="1"/>
  <c r="O261" i="2"/>
  <c r="O96" i="2"/>
  <c r="F236" i="2"/>
  <c r="G236" i="2" s="1"/>
  <c r="J236" i="2" s="1"/>
  <c r="F291" i="3"/>
  <c r="I130" i="3"/>
  <c r="I306" i="3"/>
  <c r="N54" i="94"/>
  <c r="O54" i="94" s="1"/>
  <c r="N46" i="94"/>
  <c r="N50" i="94"/>
  <c r="K46" i="94"/>
  <c r="M277" i="2" s="1"/>
  <c r="N16" i="2"/>
  <c r="K50" i="94"/>
  <c r="N89" i="64"/>
  <c r="N207" i="64" s="1"/>
  <c r="L230" i="42"/>
  <c r="B48" i="5"/>
  <c r="E216" i="2"/>
  <c r="F249" i="2"/>
  <c r="G249" i="2" s="1"/>
  <c r="J249" i="2" s="1"/>
  <c r="E114" i="2"/>
  <c r="E59" i="94"/>
  <c r="E60" i="94" s="1"/>
  <c r="F270" i="2"/>
  <c r="G270" i="2" s="1"/>
  <c r="J270" i="2" s="1"/>
  <c r="E279" i="2"/>
  <c r="E281" i="2" s="1"/>
  <c r="F131" i="2"/>
  <c r="G131" i="2" s="1"/>
  <c r="J131" i="2" s="1"/>
  <c r="E302" i="2"/>
  <c r="G299" i="2"/>
  <c r="J299" i="2" s="1"/>
  <c r="V226" i="42"/>
  <c r="P60" i="42"/>
  <c r="P142" i="42" s="1"/>
  <c r="D73" i="7"/>
  <c r="F32" i="2"/>
  <c r="G32" i="2" s="1"/>
  <c r="G19" i="5"/>
  <c r="C83" i="7"/>
  <c r="C81" i="7"/>
  <c r="E60" i="7"/>
  <c r="C70" i="7" s="1"/>
  <c r="C78" i="7"/>
  <c r="C88" i="7"/>
  <c r="C82" i="7"/>
  <c r="G9" i="3" s="1"/>
  <c r="E98" i="2"/>
  <c r="G94" i="2"/>
  <c r="J94" i="2" s="1"/>
  <c r="H219" i="2"/>
  <c r="G219" i="2"/>
  <c r="G58" i="2"/>
  <c r="J58" i="2" s="1"/>
  <c r="E48" i="6"/>
  <c r="E229" i="2"/>
  <c r="G218" i="2"/>
  <c r="G108" i="2"/>
  <c r="J108" i="2" s="1"/>
  <c r="AH76" i="64"/>
  <c r="AH87" i="64" s="1"/>
  <c r="G312" i="2"/>
  <c r="J312" i="2" s="1"/>
  <c r="E318" i="2"/>
  <c r="AH41" i="64"/>
  <c r="F271" i="2"/>
  <c r="G271" i="2" s="1"/>
  <c r="J271" i="2" s="1"/>
  <c r="D56" i="114"/>
  <c r="D50" i="114"/>
  <c r="E105" i="7"/>
  <c r="C87" i="7"/>
  <c r="H9" i="3" s="1"/>
  <c r="G186" i="2"/>
  <c r="J186" i="2" s="1"/>
  <c r="AW21" i="114"/>
  <c r="AV21" i="114"/>
  <c r="G185" i="2"/>
  <c r="J185" i="2" s="1"/>
  <c r="E328" i="2"/>
  <c r="G326" i="2"/>
  <c r="J326" i="2" s="1"/>
  <c r="G63" i="2"/>
  <c r="J230" i="42"/>
  <c r="K15" i="94"/>
  <c r="D64" i="7"/>
  <c r="C73" i="7"/>
  <c r="M37" i="2"/>
  <c r="H59" i="94"/>
  <c r="H60" i="94" s="1"/>
  <c r="C80" i="7"/>
  <c r="D81" i="7"/>
  <c r="D79" i="7"/>
  <c r="D82" i="7"/>
  <c r="D80" i="7"/>
  <c r="D77" i="7"/>
  <c r="D78" i="7"/>
  <c r="C79" i="7"/>
  <c r="D63" i="7"/>
  <c r="D74" i="7"/>
  <c r="M57" i="2" s="1"/>
  <c r="G231" i="2"/>
  <c r="J231" i="2" s="1"/>
  <c r="E233" i="2"/>
  <c r="G73" i="2"/>
  <c r="J73" i="2" s="1"/>
  <c r="E76" i="2"/>
  <c r="F272" i="2"/>
  <c r="G272" i="2" s="1"/>
  <c r="J272" i="2" s="1"/>
  <c r="E332" i="2"/>
  <c r="G330" i="2"/>
  <c r="J330" i="2" s="1"/>
  <c r="G183" i="2"/>
  <c r="J183" i="2" s="1"/>
  <c r="G156" i="2"/>
  <c r="J156" i="2" s="1"/>
  <c r="G56" i="2"/>
  <c r="F247" i="2"/>
  <c r="E52" i="6"/>
  <c r="H222" i="2" s="1"/>
  <c r="G222" i="2"/>
  <c r="G182" i="2"/>
  <c r="E188" i="2"/>
  <c r="AH203" i="64"/>
  <c r="AH199" i="64"/>
  <c r="G159" i="2"/>
  <c r="J159" i="2" s="1"/>
  <c r="G155" i="2"/>
  <c r="J155" i="2" s="1"/>
  <c r="M316" i="2"/>
  <c r="AH168" i="64"/>
  <c r="E105" i="2"/>
  <c r="G102" i="2"/>
  <c r="G68" i="2"/>
  <c r="J68" i="2" s="1"/>
  <c r="G66" i="2"/>
  <c r="J66" i="2" s="1"/>
  <c r="AH138" i="64"/>
  <c r="E266" i="2"/>
  <c r="G244" i="2"/>
  <c r="J244" i="2" s="1"/>
  <c r="G204" i="2"/>
  <c r="J204" i="2" s="1"/>
  <c r="E211" i="2"/>
  <c r="G116" i="2"/>
  <c r="J116" i="2" s="1"/>
  <c r="E120" i="2"/>
  <c r="E88" i="2"/>
  <c r="G62" i="2"/>
  <c r="J62" i="2" s="1"/>
  <c r="G60" i="2"/>
  <c r="J60" i="2" s="1"/>
  <c r="E71" i="2"/>
  <c r="G55" i="2"/>
  <c r="E297" i="2"/>
  <c r="G293" i="2"/>
  <c r="J293" i="2" s="1"/>
  <c r="G112" i="2"/>
  <c r="J112" i="2" s="1"/>
  <c r="G110" i="2"/>
  <c r="J110" i="2" s="1"/>
  <c r="G122" i="2"/>
  <c r="J122" i="2" s="1"/>
  <c r="F113" i="3"/>
  <c r="F115" i="3" s="1"/>
  <c r="E124" i="2"/>
  <c r="G38" i="2"/>
  <c r="J38" i="2" s="1"/>
  <c r="E43" i="2"/>
  <c r="F31" i="2"/>
  <c r="G31" i="2" s="1"/>
  <c r="F15" i="5"/>
  <c r="G15" i="5" s="1"/>
  <c r="F12" i="5"/>
  <c r="J23" i="114"/>
  <c r="P226" i="42"/>
  <c r="A32" i="114"/>
  <c r="A13" i="114"/>
  <c r="V198" i="42"/>
  <c r="C57" i="114"/>
  <c r="G48" i="114"/>
  <c r="G49" i="114" s="1"/>
  <c r="L17" i="2" s="1"/>
  <c r="L313" i="2" s="1"/>
  <c r="E304" i="3" s="1"/>
  <c r="E94" i="7"/>
  <c r="C36" i="94"/>
  <c r="C59" i="94" s="1"/>
  <c r="D68" i="7"/>
  <c r="C86" i="7"/>
  <c r="F274" i="2"/>
  <c r="G274" i="2" s="1"/>
  <c r="J274" i="2" s="1"/>
  <c r="G191" i="2"/>
  <c r="J191" i="2" s="1"/>
  <c r="E198" i="2"/>
  <c r="G64" i="2"/>
  <c r="J64" i="2" s="1"/>
  <c r="B59" i="94"/>
  <c r="B60" i="94" s="1"/>
  <c r="AH260" i="64"/>
  <c r="E285" i="2"/>
  <c r="G283" i="2"/>
  <c r="J283" i="2" s="1"/>
  <c r="F128" i="2"/>
  <c r="G69" i="2"/>
  <c r="J69" i="2" s="1"/>
  <c r="G320" i="2"/>
  <c r="J320" i="2" s="1"/>
  <c r="E322" i="2"/>
  <c r="E238" i="2"/>
  <c r="B38" i="5"/>
  <c r="E149" i="2"/>
  <c r="E152" i="2" s="1"/>
  <c r="G147" i="2"/>
  <c r="J147" i="2" s="1"/>
  <c r="T60" i="42"/>
  <c r="T142" i="42" s="1"/>
  <c r="P198" i="42"/>
  <c r="E99" i="7"/>
  <c r="C63" i="7"/>
  <c r="C68" i="7"/>
  <c r="E289" i="2"/>
  <c r="G287" i="2"/>
  <c r="J287" i="2" s="1"/>
  <c r="G200" i="2"/>
  <c r="J200" i="2" s="1"/>
  <c r="E202" i="2"/>
  <c r="G184" i="2"/>
  <c r="J184" i="2" s="1"/>
  <c r="G157" i="2"/>
  <c r="J157" i="2" s="1"/>
  <c r="E174" i="2"/>
  <c r="G168" i="2"/>
  <c r="J168" i="2" s="1"/>
  <c r="C64" i="7"/>
  <c r="AH264" i="64"/>
  <c r="E166" i="2"/>
  <c r="G163" i="2"/>
  <c r="J163" i="2" s="1"/>
  <c r="G126" i="2"/>
  <c r="J126" i="2" s="1"/>
  <c r="E133" i="2"/>
  <c r="G103" i="2"/>
  <c r="J103" i="2" s="1"/>
  <c r="G304" i="2"/>
  <c r="E310" i="2"/>
  <c r="F16" i="5"/>
  <c r="F257" i="2"/>
  <c r="G257" i="2" s="1"/>
  <c r="J257" i="2" s="1"/>
  <c r="F250" i="2"/>
  <c r="G250" i="2" s="1"/>
  <c r="J250" i="2" s="1"/>
  <c r="E180" i="2"/>
  <c r="G178" i="2"/>
  <c r="G158" i="2"/>
  <c r="J158" i="2" s="1"/>
  <c r="E161" i="2"/>
  <c r="G154" i="2"/>
  <c r="J154" i="2" s="1"/>
  <c r="AH184" i="64"/>
  <c r="E51" i="6"/>
  <c r="H221" i="2" s="1"/>
  <c r="G221" i="2"/>
  <c r="J221" i="2" s="1"/>
  <c r="AH154" i="64"/>
  <c r="H220" i="2"/>
  <c r="G220" i="2"/>
  <c r="G90" i="2"/>
  <c r="J90" i="2" s="1"/>
  <c r="E92" i="2"/>
  <c r="G61" i="2"/>
  <c r="J61" i="2" s="1"/>
  <c r="G59" i="2"/>
  <c r="J59" i="2" s="1"/>
  <c r="AH108" i="64"/>
  <c r="AH104" i="64"/>
  <c r="G111" i="2"/>
  <c r="J111" i="2" s="1"/>
  <c r="G109" i="2"/>
  <c r="J109" i="2" s="1"/>
  <c r="B74" i="5"/>
  <c r="E242" i="2"/>
  <c r="B66" i="114"/>
  <c r="E142" i="2"/>
  <c r="E145" i="2" s="1"/>
  <c r="F20" i="5"/>
  <c r="E48" i="2"/>
  <c r="AH29" i="64"/>
  <c r="F11" i="5"/>
  <c r="B63" i="114"/>
  <c r="B64" i="114" s="1"/>
  <c r="F18" i="5"/>
  <c r="M15" i="94"/>
  <c r="V60" i="42"/>
  <c r="V142" i="42" s="1"/>
  <c r="D66" i="7"/>
  <c r="K72" i="94"/>
  <c r="C74" i="7"/>
  <c r="L57" i="2" s="1"/>
  <c r="M34" i="2"/>
  <c r="C69" i="7"/>
  <c r="P89" i="64" l="1"/>
  <c r="P207" i="64" s="1"/>
  <c r="P269" i="64" s="1"/>
  <c r="P228" i="42"/>
  <c r="T228" i="42"/>
  <c r="L89" i="64"/>
  <c r="L207" i="64" s="1"/>
  <c r="L269" i="64" s="1"/>
  <c r="O50" i="94"/>
  <c r="O46" i="94"/>
  <c r="J207" i="64"/>
  <c r="J269" i="64" s="1"/>
  <c r="J271" i="64" s="1"/>
  <c r="L50" i="94"/>
  <c r="AF89" i="64"/>
  <c r="AF207" i="64" s="1"/>
  <c r="AF269" i="64" s="1"/>
  <c r="AF290" i="64" s="1"/>
  <c r="AF304" i="64" s="1"/>
  <c r="AF310" i="64" s="1"/>
  <c r="AF316" i="64" s="1"/>
  <c r="AF322" i="64" s="1"/>
  <c r="T230" i="42"/>
  <c r="J219" i="2"/>
  <c r="AD89" i="64"/>
  <c r="AD207" i="64" s="1"/>
  <c r="AD269" i="64" s="1"/>
  <c r="X89" i="64"/>
  <c r="X207" i="64" s="1"/>
  <c r="X269" i="64" s="1"/>
  <c r="X271" i="64" s="1"/>
  <c r="AB89" i="64"/>
  <c r="AB207" i="64" s="1"/>
  <c r="AB269" i="64" s="1"/>
  <c r="AB290" i="64" s="1"/>
  <c r="AB304" i="64" s="1"/>
  <c r="AB310" i="64" s="1"/>
  <c r="AB316" i="64" s="1"/>
  <c r="AB322" i="64" s="1"/>
  <c r="N269" i="64"/>
  <c r="N290" i="64" s="1"/>
  <c r="N304" i="64" s="1"/>
  <c r="N310" i="64" s="1"/>
  <c r="N316" i="64" s="1"/>
  <c r="N322" i="64" s="1"/>
  <c r="E34" i="2"/>
  <c r="V89" i="64"/>
  <c r="V207" i="64" s="1"/>
  <c r="V269" i="64" s="1"/>
  <c r="G46" i="2"/>
  <c r="J46" i="2" s="1"/>
  <c r="G78" i="2"/>
  <c r="J78" i="2" s="1"/>
  <c r="AF271" i="64"/>
  <c r="AH58" i="64"/>
  <c r="AI149" i="64" s="1"/>
  <c r="V228" i="42"/>
  <c r="V230" i="42" s="1"/>
  <c r="J220" i="2"/>
  <c r="AH266" i="64"/>
  <c r="J222" i="2"/>
  <c r="AR21" i="114"/>
  <c r="M40" i="2"/>
  <c r="L40" i="2"/>
  <c r="L43" i="2" s="1"/>
  <c r="E268" i="3"/>
  <c r="E98" i="3"/>
  <c r="F98" i="3" s="1"/>
  <c r="O57" i="2"/>
  <c r="P57" i="2" s="1"/>
  <c r="J55" i="2"/>
  <c r="L236" i="2"/>
  <c r="E227" i="3" s="1"/>
  <c r="M236" i="2"/>
  <c r="L122" i="2"/>
  <c r="E113" i="3" s="1"/>
  <c r="M122" i="2"/>
  <c r="L249" i="2"/>
  <c r="E240" i="3" s="1"/>
  <c r="M249" i="2"/>
  <c r="M250" i="2"/>
  <c r="L250" i="2"/>
  <c r="E241" i="3" s="1"/>
  <c r="L257" i="2"/>
  <c r="E248" i="3" s="1"/>
  <c r="M257" i="2"/>
  <c r="J31" i="2"/>
  <c r="P31" i="2" s="1"/>
  <c r="M131" i="2"/>
  <c r="L131" i="2"/>
  <c r="E122" i="3" s="1"/>
  <c r="J32" i="2"/>
  <c r="P32" i="2" s="1"/>
  <c r="G181" i="3"/>
  <c r="G86" i="3"/>
  <c r="H86" i="3"/>
  <c r="F181" i="3"/>
  <c r="F250" i="3"/>
  <c r="G250" i="3"/>
  <c r="F56" i="7"/>
  <c r="K338" i="2"/>
  <c r="P190" i="2"/>
  <c r="F59" i="7"/>
  <c r="P261" i="2"/>
  <c r="P127" i="2"/>
  <c r="E66" i="7"/>
  <c r="P96" i="2"/>
  <c r="P300" i="2"/>
  <c r="E65" i="7"/>
  <c r="E83" i="7"/>
  <c r="E80" i="7"/>
  <c r="E78" i="7"/>
  <c r="E77" i="7"/>
  <c r="C128" i="7"/>
  <c r="J34" i="94" s="1"/>
  <c r="D114" i="7"/>
  <c r="C109" i="7"/>
  <c r="C126" i="7"/>
  <c r="E73" i="7"/>
  <c r="AF52" i="118"/>
  <c r="AH51" i="118"/>
  <c r="F50" i="121"/>
  <c r="E58" i="121" s="1"/>
  <c r="F53" i="7"/>
  <c r="D70" i="7"/>
  <c r="K40" i="94" s="1"/>
  <c r="M272" i="2" s="1"/>
  <c r="F58" i="7"/>
  <c r="F54" i="7"/>
  <c r="E82" i="7"/>
  <c r="L15" i="94"/>
  <c r="L46" i="94"/>
  <c r="C84" i="7"/>
  <c r="E68" i="7"/>
  <c r="E324" i="2"/>
  <c r="G118" i="3"/>
  <c r="B40" i="5"/>
  <c r="F235" i="2" s="1"/>
  <c r="G235" i="2" s="1"/>
  <c r="J235" i="2" s="1"/>
  <c r="H118" i="3"/>
  <c r="F133" i="2"/>
  <c r="G291" i="3"/>
  <c r="H291" i="3"/>
  <c r="E135" i="2"/>
  <c r="G128" i="2"/>
  <c r="F266" i="2"/>
  <c r="E334" i="2"/>
  <c r="O277" i="2"/>
  <c r="G202" i="2"/>
  <c r="J26" i="94"/>
  <c r="G124" i="2"/>
  <c r="E100" i="2"/>
  <c r="G188" i="2"/>
  <c r="G332" i="2"/>
  <c r="G76" i="2"/>
  <c r="G318" i="2"/>
  <c r="L290" i="64"/>
  <c r="L304" i="64" s="1"/>
  <c r="L310" i="64" s="1"/>
  <c r="L316" i="64" s="1"/>
  <c r="L322" i="64" s="1"/>
  <c r="L271" i="64"/>
  <c r="E74" i="7"/>
  <c r="J17" i="94"/>
  <c r="M17" i="94"/>
  <c r="O66" i="94" s="1"/>
  <c r="G285" i="2"/>
  <c r="J285" i="2"/>
  <c r="G297" i="2"/>
  <c r="G247" i="2"/>
  <c r="J247" i="2" s="1"/>
  <c r="M9" i="94"/>
  <c r="E63" i="7"/>
  <c r="J9" i="94"/>
  <c r="E72" i="7"/>
  <c r="M13" i="94"/>
  <c r="J13" i="94"/>
  <c r="A33" i="114"/>
  <c r="A14" i="114"/>
  <c r="AI2" i="64"/>
  <c r="AI16" i="64"/>
  <c r="AI96" i="64"/>
  <c r="AI128" i="64"/>
  <c r="AI171" i="64"/>
  <c r="AI225" i="64"/>
  <c r="AI253" i="64"/>
  <c r="AI264" i="64"/>
  <c r="AI18" i="64"/>
  <c r="AI22" i="64"/>
  <c r="AI26" i="64"/>
  <c r="AI33" i="64"/>
  <c r="AI39" i="64"/>
  <c r="AI44" i="64"/>
  <c r="AI48" i="64"/>
  <c r="AI53" i="64"/>
  <c r="AI56" i="64"/>
  <c r="AI61" i="64"/>
  <c r="AI68" i="64"/>
  <c r="AI74" i="64"/>
  <c r="AI79" i="64"/>
  <c r="AI83" i="64"/>
  <c r="AI94" i="64"/>
  <c r="AI98" i="64"/>
  <c r="AI102" i="64"/>
  <c r="AI108" i="64"/>
  <c r="AI114" i="64"/>
  <c r="AI118" i="64"/>
  <c r="AI122" i="64"/>
  <c r="AI126" i="64"/>
  <c r="AI130" i="64"/>
  <c r="AI134" i="64"/>
  <c r="AI147" i="64"/>
  <c r="AI151" i="64"/>
  <c r="AI154" i="64"/>
  <c r="AI160" i="64"/>
  <c r="AI164" i="64"/>
  <c r="AI173" i="64"/>
  <c r="AI177" i="64"/>
  <c r="AI184" i="64"/>
  <c r="AI191" i="64"/>
  <c r="AI195" i="64"/>
  <c r="AI210" i="64"/>
  <c r="AI215" i="64"/>
  <c r="AI219" i="64"/>
  <c r="AI223" i="64"/>
  <c r="AI231" i="64"/>
  <c r="AI235" i="64"/>
  <c r="AI239" i="64"/>
  <c r="AI243" i="64"/>
  <c r="AI247" i="64"/>
  <c r="AI251" i="64"/>
  <c r="AI255" i="64"/>
  <c r="AI278" i="64"/>
  <c r="AI286" i="64"/>
  <c r="AI294" i="64"/>
  <c r="AI302" i="64"/>
  <c r="AI318" i="64"/>
  <c r="AI145" i="64"/>
  <c r="AI162" i="64"/>
  <c r="AH89" i="64"/>
  <c r="AI24" i="64"/>
  <c r="AI37" i="64"/>
  <c r="AI72" i="64"/>
  <c r="AI87" i="64"/>
  <c r="AI92" i="64"/>
  <c r="AI116" i="64"/>
  <c r="AI179" i="64"/>
  <c r="AI193" i="64"/>
  <c r="AI201" i="64"/>
  <c r="AI217" i="64"/>
  <c r="AI229" i="64"/>
  <c r="AI241" i="64"/>
  <c r="AI245" i="64"/>
  <c r="AI260" i="64"/>
  <c r="AI275" i="64"/>
  <c r="AI282" i="64"/>
  <c r="AI13" i="64"/>
  <c r="AI19" i="64"/>
  <c r="AI23" i="64"/>
  <c r="AI27" i="64"/>
  <c r="AI36" i="64"/>
  <c r="AI54" i="64"/>
  <c r="AI62" i="64"/>
  <c r="AI66" i="64"/>
  <c r="AI71" i="64"/>
  <c r="AI89" i="64"/>
  <c r="AI95" i="64"/>
  <c r="AI106" i="64"/>
  <c r="AI111" i="64"/>
  <c r="AI115" i="64"/>
  <c r="AI119" i="64"/>
  <c r="AI123" i="64"/>
  <c r="AI127" i="64"/>
  <c r="AI131" i="64"/>
  <c r="AI138" i="64"/>
  <c r="AI144" i="64"/>
  <c r="AI148" i="64"/>
  <c r="AI152" i="64"/>
  <c r="AI157" i="64"/>
  <c r="AI161" i="64"/>
  <c r="AI165" i="64"/>
  <c r="AI174" i="64"/>
  <c r="AI178" i="64"/>
  <c r="AI182" i="64"/>
  <c r="AI192" i="64"/>
  <c r="AI196" i="64"/>
  <c r="AI199" i="64"/>
  <c r="AI203" i="64"/>
  <c r="AI220" i="64"/>
  <c r="AI224" i="64"/>
  <c r="AI228" i="64"/>
  <c r="AI232" i="64"/>
  <c r="AI236" i="64"/>
  <c r="AI240" i="64"/>
  <c r="AI244" i="64"/>
  <c r="AI252" i="64"/>
  <c r="AI256" i="64"/>
  <c r="AI266" i="64"/>
  <c r="AI274" i="64"/>
  <c r="AI280" i="64"/>
  <c r="AI288" i="64"/>
  <c r="AI296" i="64"/>
  <c r="AI320" i="64"/>
  <c r="AI124" i="64"/>
  <c r="AI221" i="64"/>
  <c r="AI249" i="64"/>
  <c r="AI298" i="64"/>
  <c r="AI306" i="64"/>
  <c r="AI17" i="64"/>
  <c r="AI25" i="64"/>
  <c r="AI38" i="64"/>
  <c r="AI41" i="64"/>
  <c r="AI46" i="64"/>
  <c r="AI50" i="64"/>
  <c r="AI58" i="64"/>
  <c r="AI73" i="64"/>
  <c r="AI81" i="64"/>
  <c r="AI85" i="64"/>
  <c r="AI93" i="64"/>
  <c r="AI97" i="64"/>
  <c r="AI101" i="64"/>
  <c r="AI113" i="64"/>
  <c r="AI117" i="64"/>
  <c r="AI125" i="64"/>
  <c r="AI129" i="64"/>
  <c r="AI133" i="64"/>
  <c r="AI142" i="64"/>
  <c r="AI146" i="64"/>
  <c r="AI150" i="64"/>
  <c r="AI159" i="64"/>
  <c r="AI172" i="64"/>
  <c r="AI176" i="64"/>
  <c r="AI180" i="64"/>
  <c r="AI188" i="64"/>
  <c r="AI194" i="64"/>
  <c r="AI212" i="64"/>
  <c r="AI218" i="64"/>
  <c r="AI226" i="64"/>
  <c r="AI230" i="64"/>
  <c r="AI234" i="64"/>
  <c r="AI238" i="64"/>
  <c r="AI242" i="64"/>
  <c r="AI246" i="64"/>
  <c r="AI250" i="64"/>
  <c r="AI258" i="64"/>
  <c r="AI262" i="64"/>
  <c r="AI276" i="64"/>
  <c r="AI284" i="64"/>
  <c r="AI292" i="64"/>
  <c r="AI300" i="64"/>
  <c r="AI308" i="64"/>
  <c r="AI100" i="64"/>
  <c r="AI112" i="64"/>
  <c r="AI120" i="64"/>
  <c r="AI132" i="64"/>
  <c r="AI136" i="64"/>
  <c r="AI141" i="64"/>
  <c r="AI166" i="64"/>
  <c r="AI197" i="64"/>
  <c r="AI237" i="64"/>
  <c r="AI314" i="64"/>
  <c r="G161" i="2"/>
  <c r="C89" i="7"/>
  <c r="F9" i="3"/>
  <c r="G71" i="2"/>
  <c r="J48" i="94"/>
  <c r="J38" i="94"/>
  <c r="M48" i="94"/>
  <c r="M38" i="94"/>
  <c r="L10" i="2"/>
  <c r="M40" i="94"/>
  <c r="M52" i="94"/>
  <c r="J40" i="94"/>
  <c r="AH205" i="64"/>
  <c r="E64" i="7"/>
  <c r="G174" i="2"/>
  <c r="J30" i="94"/>
  <c r="G43" i="2"/>
  <c r="G120" i="2"/>
  <c r="D84" i="7"/>
  <c r="F60" i="7"/>
  <c r="E79" i="7"/>
  <c r="F57" i="7"/>
  <c r="E81" i="7"/>
  <c r="F55" i="7"/>
  <c r="T271" i="64"/>
  <c r="T290" i="64"/>
  <c r="T304" i="64" s="1"/>
  <c r="T310" i="64" s="1"/>
  <c r="T316" i="64" s="1"/>
  <c r="T322" i="64" s="1"/>
  <c r="G322" i="2"/>
  <c r="N9" i="94"/>
  <c r="K9" i="94"/>
  <c r="G198" i="2"/>
  <c r="G233" i="2"/>
  <c r="F279" i="2"/>
  <c r="F281" i="2" s="1"/>
  <c r="G310" i="2"/>
  <c r="O37" i="2"/>
  <c r="O15" i="94"/>
  <c r="E49" i="2"/>
  <c r="E50" i="2"/>
  <c r="G92" i="2"/>
  <c r="E176" i="2"/>
  <c r="F161" i="2"/>
  <c r="F176" i="2" s="1"/>
  <c r="G328" i="2"/>
  <c r="P230" i="42"/>
  <c r="R271" i="64"/>
  <c r="R290" i="64"/>
  <c r="R304" i="64" s="1"/>
  <c r="R310" i="64" s="1"/>
  <c r="R316" i="64" s="1"/>
  <c r="R322" i="64" s="1"/>
  <c r="G180" i="2"/>
  <c r="O140" i="2"/>
  <c r="E291" i="2"/>
  <c r="K13" i="94"/>
  <c r="N13" i="94"/>
  <c r="E268" i="2"/>
  <c r="G105" i="2"/>
  <c r="K30" i="94"/>
  <c r="K26" i="94"/>
  <c r="D109" i="7"/>
  <c r="D126" i="7"/>
  <c r="N26" i="94"/>
  <c r="M30" i="94"/>
  <c r="N30" i="94"/>
  <c r="M26" i="94"/>
  <c r="G88" i="2"/>
  <c r="H218" i="2"/>
  <c r="H229" i="2" s="1"/>
  <c r="E53" i="6"/>
  <c r="G166" i="2"/>
  <c r="C114" i="7"/>
  <c r="G149" i="2"/>
  <c r="G152" i="2" s="1"/>
  <c r="O316" i="2"/>
  <c r="P290" i="64"/>
  <c r="P304" i="64" s="1"/>
  <c r="P310" i="64" s="1"/>
  <c r="P316" i="64" s="1"/>
  <c r="P322" i="64" s="1"/>
  <c r="P271" i="64"/>
  <c r="M72" i="94"/>
  <c r="H268" i="3"/>
  <c r="G289" i="2"/>
  <c r="G211" i="2"/>
  <c r="N17" i="94"/>
  <c r="K17" i="94"/>
  <c r="E69" i="7"/>
  <c r="D128" i="7"/>
  <c r="D120" i="7"/>
  <c r="C60" i="114" s="1"/>
  <c r="G229" i="2"/>
  <c r="J279" i="2"/>
  <c r="J281" i="2" s="1"/>
  <c r="G279" i="2"/>
  <c r="F21" i="5"/>
  <c r="F22" i="5" s="1"/>
  <c r="C120" i="7"/>
  <c r="C59" i="114" s="1"/>
  <c r="H49" i="114"/>
  <c r="M17" i="2" s="1"/>
  <c r="M313" i="2" s="1"/>
  <c r="G98" i="2"/>
  <c r="G302" i="2"/>
  <c r="Z271" i="64"/>
  <c r="Z290" i="64"/>
  <c r="Z304" i="64" s="1"/>
  <c r="Z310" i="64" s="1"/>
  <c r="Z316" i="64" s="1"/>
  <c r="Z322" i="64" s="1"/>
  <c r="N271" i="64" l="1"/>
  <c r="AI205" i="64"/>
  <c r="AI175" i="64"/>
  <c r="AI20" i="64"/>
  <c r="AI254" i="64"/>
  <c r="AI222" i="64"/>
  <c r="AI163" i="64"/>
  <c r="AI121" i="64"/>
  <c r="AI76" i="64"/>
  <c r="AI21" i="64"/>
  <c r="AI312" i="64"/>
  <c r="AI248" i="64"/>
  <c r="AI216" i="64"/>
  <c r="AI168" i="64"/>
  <c r="AI135" i="64"/>
  <c r="AI99" i="64"/>
  <c r="AI31" i="64"/>
  <c r="AI257" i="64"/>
  <c r="AI158" i="64"/>
  <c r="AI233" i="64"/>
  <c r="AI273" i="64"/>
  <c r="AI227" i="64"/>
  <c r="AI181" i="64"/>
  <c r="AI143" i="64"/>
  <c r="AI104" i="64"/>
  <c r="AI64" i="64"/>
  <c r="AI29" i="64"/>
  <c r="J290" i="64"/>
  <c r="J304" i="64" s="1"/>
  <c r="J310" i="64" s="1"/>
  <c r="J316" i="64" s="1"/>
  <c r="J322" i="64" s="1"/>
  <c r="AD290" i="64"/>
  <c r="AD304" i="64" s="1"/>
  <c r="AD310" i="64" s="1"/>
  <c r="AD316" i="64" s="1"/>
  <c r="AD322" i="64" s="1"/>
  <c r="AD271" i="64"/>
  <c r="X290" i="64"/>
  <c r="X304" i="64" s="1"/>
  <c r="X310" i="64" s="1"/>
  <c r="X316" i="64" s="1"/>
  <c r="X322" i="64" s="1"/>
  <c r="AB271" i="64"/>
  <c r="V271" i="64"/>
  <c r="V290" i="64"/>
  <c r="V304" i="64" s="1"/>
  <c r="V310" i="64" s="1"/>
  <c r="V316" i="64" s="1"/>
  <c r="V322" i="64" s="1"/>
  <c r="G100" i="2"/>
  <c r="J218" i="2"/>
  <c r="L218" i="2" s="1"/>
  <c r="E209" i="3" s="1"/>
  <c r="J66" i="94"/>
  <c r="E30" i="3"/>
  <c r="E34" i="3" s="1"/>
  <c r="O40" i="2"/>
  <c r="P40" i="2" s="1"/>
  <c r="L204" i="2"/>
  <c r="E195" i="3" s="1"/>
  <c r="L163" i="2"/>
  <c r="E154" i="3" s="1"/>
  <c r="L60" i="2"/>
  <c r="E50" i="3" s="1"/>
  <c r="L293" i="2"/>
  <c r="E284" i="3" s="1"/>
  <c r="L73" i="2"/>
  <c r="E63" i="3" s="1"/>
  <c r="L126" i="2"/>
  <c r="E117" i="3" s="1"/>
  <c r="L90" i="2"/>
  <c r="E80" i="3" s="1"/>
  <c r="L112" i="2"/>
  <c r="E103" i="3" s="1"/>
  <c r="L61" i="2"/>
  <c r="E51" i="3" s="1"/>
  <c r="L191" i="2"/>
  <c r="E182" i="3" s="1"/>
  <c r="L58" i="2"/>
  <c r="E48" i="3" s="1"/>
  <c r="L94" i="2"/>
  <c r="E84" i="3" s="1"/>
  <c r="L155" i="2"/>
  <c r="E146" i="3" s="1"/>
  <c r="L103" i="2"/>
  <c r="E93" i="3" s="1"/>
  <c r="L109" i="2"/>
  <c r="E100" i="3" s="1"/>
  <c r="L111" i="2"/>
  <c r="E102" i="3" s="1"/>
  <c r="L299" i="2"/>
  <c r="E290" i="3" s="1"/>
  <c r="L157" i="2"/>
  <c r="E148" i="3" s="1"/>
  <c r="L62" i="2"/>
  <c r="E52" i="3" s="1"/>
  <c r="L108" i="2"/>
  <c r="E99" i="3" s="1"/>
  <c r="N66" i="94"/>
  <c r="L154" i="2"/>
  <c r="E145" i="3" s="1"/>
  <c r="L158" i="2"/>
  <c r="E153" i="3" s="1"/>
  <c r="L78" i="2"/>
  <c r="E68" i="3" s="1"/>
  <c r="L221" i="2"/>
  <c r="E212" i="3" s="1"/>
  <c r="L168" i="2"/>
  <c r="E159" i="3" s="1"/>
  <c r="L244" i="2"/>
  <c r="E235" i="3" s="1"/>
  <c r="L205" i="2"/>
  <c r="E196" i="3" s="1"/>
  <c r="L95" i="2"/>
  <c r="E85" i="3" s="1"/>
  <c r="L81" i="2"/>
  <c r="E71" i="3" s="1"/>
  <c r="L171" i="2"/>
  <c r="E162" i="3" s="1"/>
  <c r="L223" i="2"/>
  <c r="E214" i="3" s="1"/>
  <c r="L85" i="2"/>
  <c r="E75" i="3" s="1"/>
  <c r="L206" i="2"/>
  <c r="E197" i="3" s="1"/>
  <c r="L170" i="2"/>
  <c r="E161" i="3" s="1"/>
  <c r="L226" i="2"/>
  <c r="E217" i="3" s="1"/>
  <c r="L130" i="2"/>
  <c r="E121" i="3" s="1"/>
  <c r="L80" i="2"/>
  <c r="E70" i="3" s="1"/>
  <c r="L84" i="2"/>
  <c r="E74" i="3" s="1"/>
  <c r="L245" i="2"/>
  <c r="E236" i="3" s="1"/>
  <c r="L118" i="2"/>
  <c r="E109" i="3" s="1"/>
  <c r="L294" i="2"/>
  <c r="E285" i="3" s="1"/>
  <c r="L129" i="2"/>
  <c r="E120" i="3" s="1"/>
  <c r="L164" i="2"/>
  <c r="E155" i="3" s="1"/>
  <c r="L224" i="2"/>
  <c r="E215" i="3" s="1"/>
  <c r="L79" i="2"/>
  <c r="E69" i="3" s="1"/>
  <c r="L117" i="2"/>
  <c r="E108" i="3" s="1"/>
  <c r="L209" i="2"/>
  <c r="E200" i="3" s="1"/>
  <c r="L86" i="2"/>
  <c r="E76" i="3" s="1"/>
  <c r="L169" i="2"/>
  <c r="E160" i="3" s="1"/>
  <c r="L59" i="2"/>
  <c r="E49" i="3" s="1"/>
  <c r="L110" i="2"/>
  <c r="E101" i="3" s="1"/>
  <c r="L116" i="2"/>
  <c r="E107" i="3" s="1"/>
  <c r="L156" i="2"/>
  <c r="E147" i="3" s="1"/>
  <c r="L159" i="2"/>
  <c r="E149" i="3" s="1"/>
  <c r="L219" i="2"/>
  <c r="E210" i="3" s="1"/>
  <c r="L55" i="2"/>
  <c r="E46" i="3" s="1"/>
  <c r="L247" i="2"/>
  <c r="E238" i="3" s="1"/>
  <c r="M247" i="2"/>
  <c r="J128" i="2"/>
  <c r="J133" i="2" s="1"/>
  <c r="I86" i="3"/>
  <c r="E109" i="7"/>
  <c r="I181" i="3"/>
  <c r="I250" i="3"/>
  <c r="K48" i="94"/>
  <c r="M275" i="2" s="1"/>
  <c r="P277" i="2"/>
  <c r="P316" i="2"/>
  <c r="P140" i="2"/>
  <c r="F83" i="129"/>
  <c r="F85" i="129" s="1"/>
  <c r="L200" i="2" s="1"/>
  <c r="E191" i="3" s="1"/>
  <c r="N52" i="94"/>
  <c r="O52" i="94" s="1"/>
  <c r="E114" i="7"/>
  <c r="M34" i="94"/>
  <c r="P67" i="94" s="1"/>
  <c r="N48" i="94"/>
  <c r="O48" i="94" s="1"/>
  <c r="E70" i="7"/>
  <c r="P66" i="94"/>
  <c r="F58" i="121"/>
  <c r="F59" i="121" s="1"/>
  <c r="G274" i="3" s="1"/>
  <c r="G58" i="121"/>
  <c r="G59" i="121" s="1"/>
  <c r="H274" i="3" s="1"/>
  <c r="H276" i="3" s="1"/>
  <c r="E120" i="7"/>
  <c r="E128" i="7"/>
  <c r="E126" i="7"/>
  <c r="N38" i="94"/>
  <c r="O38" i="94" s="1"/>
  <c r="O30" i="94"/>
  <c r="G133" i="2"/>
  <c r="M10" i="2"/>
  <c r="N40" i="94"/>
  <c r="O40" i="94" s="1"/>
  <c r="G50" i="121"/>
  <c r="K38" i="94"/>
  <c r="M273" i="2" s="1"/>
  <c r="F238" i="2"/>
  <c r="E84" i="7"/>
  <c r="L30" i="94"/>
  <c r="O26" i="94"/>
  <c r="I118" i="3"/>
  <c r="G266" i="2"/>
  <c r="I291" i="3"/>
  <c r="E336" i="2"/>
  <c r="E340" i="2" s="1"/>
  <c r="M38" i="2"/>
  <c r="J43" i="2"/>
  <c r="O9" i="94"/>
  <c r="M19" i="94"/>
  <c r="G324" i="2"/>
  <c r="J124" i="2"/>
  <c r="M124" i="2"/>
  <c r="H178" i="2"/>
  <c r="J178" i="2" s="1"/>
  <c r="E51" i="2"/>
  <c r="H27" i="3"/>
  <c r="J322" i="2"/>
  <c r="M320" i="2"/>
  <c r="M322" i="2" s="1"/>
  <c r="J120" i="2"/>
  <c r="N68" i="94"/>
  <c r="O68" i="94"/>
  <c r="P68" i="94"/>
  <c r="I9" i="3"/>
  <c r="J318" i="2"/>
  <c r="J76" i="2"/>
  <c r="I268" i="3"/>
  <c r="J211" i="2"/>
  <c r="A34" i="114"/>
  <c r="A15" i="114"/>
  <c r="G238" i="2"/>
  <c r="J266" i="2"/>
  <c r="F114" i="2"/>
  <c r="F135" i="2" s="1"/>
  <c r="G107" i="2"/>
  <c r="J166" i="2"/>
  <c r="J88" i="2"/>
  <c r="O131" i="2"/>
  <c r="N73" i="94"/>
  <c r="O73" i="94"/>
  <c r="P73" i="94"/>
  <c r="L13" i="94"/>
  <c r="L26" i="94"/>
  <c r="J149" i="2"/>
  <c r="J152" i="2" s="1"/>
  <c r="P37" i="2"/>
  <c r="K19" i="94"/>
  <c r="L68" i="94"/>
  <c r="G264" i="3" s="1"/>
  <c r="K68" i="94"/>
  <c r="H264" i="3" s="1"/>
  <c r="J68" i="94"/>
  <c r="L273" i="2"/>
  <c r="O13" i="94"/>
  <c r="O257" i="2"/>
  <c r="J297" i="2"/>
  <c r="J332" i="2"/>
  <c r="L67" i="94"/>
  <c r="G262" i="3" s="1"/>
  <c r="J174" i="2"/>
  <c r="J92" i="2"/>
  <c r="J98" i="2"/>
  <c r="F307" i="3"/>
  <c r="H307" i="3"/>
  <c r="G307" i="3"/>
  <c r="J328" i="2"/>
  <c r="N19" i="94"/>
  <c r="L40" i="94"/>
  <c r="L69" i="94"/>
  <c r="G263" i="3" s="1"/>
  <c r="K69" i="94"/>
  <c r="H263" i="3" s="1"/>
  <c r="J69" i="94"/>
  <c r="L272" i="2"/>
  <c r="J73" i="94"/>
  <c r="K73" i="94"/>
  <c r="H266" i="3" s="1"/>
  <c r="L73" i="94"/>
  <c r="G266" i="3" s="1"/>
  <c r="L275" i="2"/>
  <c r="J161" i="2"/>
  <c r="G334" i="2"/>
  <c r="O249" i="2"/>
  <c r="J302" i="2"/>
  <c r="G131" i="3"/>
  <c r="F131" i="3"/>
  <c r="H131" i="3"/>
  <c r="N34" i="94"/>
  <c r="K34" i="94"/>
  <c r="L34" i="94" s="1"/>
  <c r="O313" i="2"/>
  <c r="H182" i="2"/>
  <c r="J182" i="2" s="1"/>
  <c r="J233" i="2"/>
  <c r="E95" i="7"/>
  <c r="C106" i="7"/>
  <c r="C107" i="7" s="1"/>
  <c r="O74" i="94"/>
  <c r="P74" i="94"/>
  <c r="N74" i="94"/>
  <c r="L9" i="94"/>
  <c r="J19" i="94"/>
  <c r="G291" i="2"/>
  <c r="J202" i="2"/>
  <c r="O250" i="2"/>
  <c r="L17" i="94"/>
  <c r="K66" i="94"/>
  <c r="L66" i="94"/>
  <c r="G281" i="2"/>
  <c r="G280" i="2"/>
  <c r="N17" i="2"/>
  <c r="M287" i="2"/>
  <c r="M289" i="2" s="1"/>
  <c r="J289" i="2"/>
  <c r="J291" i="2" s="1"/>
  <c r="E97" i="7"/>
  <c r="B26" i="6"/>
  <c r="H306" i="2" s="1"/>
  <c r="J306" i="2" s="1"/>
  <c r="H63" i="2"/>
  <c r="J63" i="2" s="1"/>
  <c r="G176" i="2"/>
  <c r="N69" i="94"/>
  <c r="O69" i="94"/>
  <c r="P69" i="94"/>
  <c r="AH207" i="64"/>
  <c r="O17" i="94"/>
  <c r="E100" i="7"/>
  <c r="M218" i="2" l="1"/>
  <c r="O218" i="2" s="1"/>
  <c r="H30" i="3"/>
  <c r="H34" i="3" s="1"/>
  <c r="I34" i="3" s="1"/>
  <c r="E263" i="3"/>
  <c r="E264" i="3"/>
  <c r="M206" i="2"/>
  <c r="O206" i="2" s="1"/>
  <c r="M169" i="2"/>
  <c r="O169" i="2" s="1"/>
  <c r="M209" i="2"/>
  <c r="O209" i="2" s="1"/>
  <c r="M95" i="2"/>
  <c r="M81" i="2"/>
  <c r="O81" i="2" s="1"/>
  <c r="M226" i="2"/>
  <c r="O226" i="2" s="1"/>
  <c r="M130" i="2"/>
  <c r="O130" i="2" s="1"/>
  <c r="M85" i="2"/>
  <c r="O85" i="2" s="1"/>
  <c r="M245" i="2"/>
  <c r="O245" i="2" s="1"/>
  <c r="M79" i="2"/>
  <c r="O79" i="2" s="1"/>
  <c r="M86" i="2"/>
  <c r="O86" i="2" s="1"/>
  <c r="M170" i="2"/>
  <c r="O170" i="2" s="1"/>
  <c r="M129" i="2"/>
  <c r="O129" i="2" s="1"/>
  <c r="M171" i="2"/>
  <c r="O171" i="2" s="1"/>
  <c r="M80" i="2"/>
  <c r="O80" i="2" s="1"/>
  <c r="M164" i="2"/>
  <c r="M84" i="2"/>
  <c r="O84" i="2" s="1"/>
  <c r="M117" i="2"/>
  <c r="M118" i="2"/>
  <c r="O118" i="2" s="1"/>
  <c r="M294" i="2"/>
  <c r="O294" i="2" s="1"/>
  <c r="M224" i="2"/>
  <c r="O224" i="2" s="1"/>
  <c r="M223" i="2"/>
  <c r="O223" i="2" s="1"/>
  <c r="M205" i="2"/>
  <c r="O205" i="2" s="1"/>
  <c r="M204" i="2"/>
  <c r="O204" i="2" s="1"/>
  <c r="M244" i="2"/>
  <c r="O244" i="2" s="1"/>
  <c r="M168" i="2"/>
  <c r="O168" i="2" s="1"/>
  <c r="M110" i="2"/>
  <c r="O110" i="2" s="1"/>
  <c r="M103" i="2"/>
  <c r="O103" i="2" s="1"/>
  <c r="M158" i="2"/>
  <c r="O158" i="2" s="1"/>
  <c r="M154" i="2"/>
  <c r="O154" i="2" s="1"/>
  <c r="M55" i="2"/>
  <c r="O55" i="2" s="1"/>
  <c r="M299" i="2"/>
  <c r="M302" i="2" s="1"/>
  <c r="M111" i="2"/>
  <c r="O111" i="2" s="1"/>
  <c r="M159" i="2"/>
  <c r="O159" i="2" s="1"/>
  <c r="M156" i="2"/>
  <c r="O156" i="2" s="1"/>
  <c r="M108" i="2"/>
  <c r="O108" i="2" s="1"/>
  <c r="M221" i="2"/>
  <c r="O221" i="2" s="1"/>
  <c r="M78" i="2"/>
  <c r="O78" i="2" s="1"/>
  <c r="M62" i="2"/>
  <c r="O62" i="2" s="1"/>
  <c r="M157" i="2"/>
  <c r="M191" i="2"/>
  <c r="O191" i="2" s="1"/>
  <c r="M61" i="2"/>
  <c r="O61" i="2" s="1"/>
  <c r="M90" i="2"/>
  <c r="M92" i="2" s="1"/>
  <c r="M126" i="2"/>
  <c r="M155" i="2"/>
  <c r="O155" i="2" s="1"/>
  <c r="M94" i="2"/>
  <c r="O94" i="2" s="1"/>
  <c r="M116" i="2"/>
  <c r="O116" i="2" s="1"/>
  <c r="M59" i="2"/>
  <c r="O59" i="2" s="1"/>
  <c r="M219" i="2"/>
  <c r="O219" i="2" s="1"/>
  <c r="M58" i="2"/>
  <c r="O58" i="2" s="1"/>
  <c r="P58" i="2" s="1"/>
  <c r="M60" i="2"/>
  <c r="O60" i="2" s="1"/>
  <c r="M163" i="2"/>
  <c r="O163" i="2" s="1"/>
  <c r="M109" i="2"/>
  <c r="O109" i="2" s="1"/>
  <c r="M73" i="2"/>
  <c r="O73" i="2" s="1"/>
  <c r="M112" i="2"/>
  <c r="O112" i="2" s="1"/>
  <c r="M293" i="2"/>
  <c r="O293" i="2" s="1"/>
  <c r="E266" i="3"/>
  <c r="L128" i="2"/>
  <c r="L133" i="2" s="1"/>
  <c r="M128" i="2"/>
  <c r="L48" i="94"/>
  <c r="O34" i="94"/>
  <c r="G100" i="3"/>
  <c r="H146" i="3"/>
  <c r="G49" i="3"/>
  <c r="F153" i="3"/>
  <c r="G149" i="3"/>
  <c r="H147" i="3"/>
  <c r="H99" i="3"/>
  <c r="F148" i="3"/>
  <c r="M200" i="2"/>
  <c r="M202" i="2" s="1"/>
  <c r="P131" i="2"/>
  <c r="P313" i="2"/>
  <c r="P250" i="2"/>
  <c r="P249" i="2"/>
  <c r="P257" i="2"/>
  <c r="N10" i="2"/>
  <c r="C123" i="7"/>
  <c r="F48" i="121" s="1"/>
  <c r="E56" i="121" s="1"/>
  <c r="C125" i="7"/>
  <c r="C115" i="7"/>
  <c r="M22" i="94" s="1"/>
  <c r="C124" i="7"/>
  <c r="F49" i="121" s="1"/>
  <c r="E57" i="121" s="1"/>
  <c r="M28" i="94"/>
  <c r="J24" i="94"/>
  <c r="C129" i="7"/>
  <c r="L15" i="2" s="1"/>
  <c r="C127" i="7"/>
  <c r="L38" i="94"/>
  <c r="E338" i="2"/>
  <c r="Q73" i="94"/>
  <c r="Q74" i="94"/>
  <c r="J229" i="2"/>
  <c r="I131" i="3"/>
  <c r="I307" i="3"/>
  <c r="O273" i="2"/>
  <c r="M270" i="2"/>
  <c r="H56" i="2"/>
  <c r="J56" i="2" s="1"/>
  <c r="L56" i="2" s="1"/>
  <c r="E47" i="3" s="1"/>
  <c r="B23" i="6"/>
  <c r="H305" i="2" s="1"/>
  <c r="J305" i="2" s="1"/>
  <c r="L305" i="2" s="1"/>
  <c r="E296" i="3" s="1"/>
  <c r="L166" i="2"/>
  <c r="O122" i="2"/>
  <c r="L124" i="2"/>
  <c r="O19" i="94"/>
  <c r="Q69" i="94"/>
  <c r="M24" i="94"/>
  <c r="O287" i="2"/>
  <c r="L289" i="2"/>
  <c r="H261" i="3"/>
  <c r="C110" i="7"/>
  <c r="O275" i="2"/>
  <c r="L92" i="2"/>
  <c r="M68" i="94"/>
  <c r="F264" i="3"/>
  <c r="Q68" i="94"/>
  <c r="I27" i="3"/>
  <c r="G240" i="3"/>
  <c r="F240" i="3"/>
  <c r="H240" i="3"/>
  <c r="L19" i="94"/>
  <c r="L270" i="2"/>
  <c r="C112" i="7"/>
  <c r="J32" i="94"/>
  <c r="M73" i="94"/>
  <c r="F266" i="3"/>
  <c r="F122" i="3"/>
  <c r="H122" i="3"/>
  <c r="G122" i="3"/>
  <c r="L120" i="2"/>
  <c r="H180" i="2"/>
  <c r="G261" i="3"/>
  <c r="M66" i="94"/>
  <c r="F261" i="3"/>
  <c r="L202" i="2"/>
  <c r="O247" i="2"/>
  <c r="O38" i="2"/>
  <c r="M43" i="2"/>
  <c r="H95" i="7"/>
  <c r="D115" i="7"/>
  <c r="H96" i="7"/>
  <c r="D125" i="7"/>
  <c r="D123" i="7"/>
  <c r="AH269" i="64"/>
  <c r="AI207" i="64"/>
  <c r="B17" i="6"/>
  <c r="G114" i="2"/>
  <c r="G135" i="2" s="1"/>
  <c r="A16" i="114"/>
  <c r="A35" i="114"/>
  <c r="B24" i="6"/>
  <c r="H308" i="2" s="1"/>
  <c r="J308" i="2" s="1"/>
  <c r="M32" i="94"/>
  <c r="N24" i="94"/>
  <c r="D124" i="7"/>
  <c r="D129" i="7"/>
  <c r="M15" i="2" s="1"/>
  <c r="D112" i="7"/>
  <c r="K24" i="94"/>
  <c r="F304" i="3"/>
  <c r="H304" i="3"/>
  <c r="G304" i="3"/>
  <c r="O272" i="2"/>
  <c r="G248" i="3"/>
  <c r="H248" i="3"/>
  <c r="F248" i="3"/>
  <c r="L322" i="2"/>
  <c r="O320" i="2"/>
  <c r="N32" i="94"/>
  <c r="K32" i="94"/>
  <c r="D110" i="7"/>
  <c r="D127" i="7"/>
  <c r="N28" i="94"/>
  <c r="K28" i="94"/>
  <c r="E106" i="7"/>
  <c r="D122" i="7" s="1"/>
  <c r="H188" i="2"/>
  <c r="L98" i="2"/>
  <c r="J334" i="2"/>
  <c r="G241" i="3"/>
  <c r="F241" i="3"/>
  <c r="H241" i="3"/>
  <c r="J28" i="94"/>
  <c r="L302" i="2"/>
  <c r="L161" i="2"/>
  <c r="M69" i="94"/>
  <c r="F263" i="3"/>
  <c r="J176" i="2"/>
  <c r="J238" i="2"/>
  <c r="Q66" i="94"/>
  <c r="O28" i="94" l="1"/>
  <c r="I30" i="3"/>
  <c r="M56" i="2"/>
  <c r="J22" i="94"/>
  <c r="J67" i="94" s="1"/>
  <c r="M305" i="2"/>
  <c r="E261" i="3"/>
  <c r="M82" i="2"/>
  <c r="M83" i="2"/>
  <c r="M65" i="2"/>
  <c r="M67" i="2"/>
  <c r="M306" i="2"/>
  <c r="M225" i="2"/>
  <c r="M63" i="2"/>
  <c r="M69" i="2"/>
  <c r="M66" i="2"/>
  <c r="M64" i="2"/>
  <c r="M220" i="2"/>
  <c r="M68" i="2"/>
  <c r="L82" i="2"/>
  <c r="E72" i="3" s="1"/>
  <c r="L83" i="2"/>
  <c r="E73" i="3" s="1"/>
  <c r="L225" i="2"/>
  <c r="E216" i="3" s="1"/>
  <c r="L65" i="2"/>
  <c r="E55" i="3" s="1"/>
  <c r="L306" i="2"/>
  <c r="E297" i="3" s="1"/>
  <c r="L67" i="2"/>
  <c r="E57" i="3" s="1"/>
  <c r="L68" i="2"/>
  <c r="E58" i="3" s="1"/>
  <c r="L63" i="2"/>
  <c r="E53" i="3" s="1"/>
  <c r="L69" i="2"/>
  <c r="E59" i="3" s="1"/>
  <c r="L64" i="2"/>
  <c r="E54" i="3" s="1"/>
  <c r="L66" i="2"/>
  <c r="E56" i="3" s="1"/>
  <c r="L220" i="2"/>
  <c r="E211" i="3" s="1"/>
  <c r="E119" i="3"/>
  <c r="E124" i="3" s="1"/>
  <c r="O128" i="2"/>
  <c r="P128" i="2" s="1"/>
  <c r="F99" i="3"/>
  <c r="H100" i="3"/>
  <c r="O200" i="2"/>
  <c r="P200" i="2" s="1"/>
  <c r="G148" i="3"/>
  <c r="H49" i="3"/>
  <c r="G147" i="3"/>
  <c r="F146" i="3"/>
  <c r="E125" i="7"/>
  <c r="F49" i="3"/>
  <c r="H148" i="3"/>
  <c r="F147" i="3"/>
  <c r="G99" i="3"/>
  <c r="M166" i="2"/>
  <c r="F100" i="3"/>
  <c r="F149" i="3"/>
  <c r="H149" i="3"/>
  <c r="H153" i="3"/>
  <c r="G153" i="3"/>
  <c r="G146" i="3"/>
  <c r="M98" i="2"/>
  <c r="P118" i="2"/>
  <c r="P221" i="2"/>
  <c r="P226" i="2"/>
  <c r="P171" i="2"/>
  <c r="P247" i="2"/>
  <c r="P85" i="2"/>
  <c r="P158" i="2"/>
  <c r="P109" i="2"/>
  <c r="P86" i="2"/>
  <c r="P206" i="2"/>
  <c r="P79" i="2"/>
  <c r="P159" i="2"/>
  <c r="P61" i="2"/>
  <c r="P219" i="2"/>
  <c r="P130" i="2"/>
  <c r="P112" i="2"/>
  <c r="P245" i="2"/>
  <c r="P84" i="2"/>
  <c r="P272" i="2"/>
  <c r="P129" i="2"/>
  <c r="P169" i="2"/>
  <c r="P275" i="2"/>
  <c r="P108" i="2"/>
  <c r="P110" i="2"/>
  <c r="P62" i="2"/>
  <c r="P111" i="2"/>
  <c r="P224" i="2"/>
  <c r="P81" i="2"/>
  <c r="P209" i="2"/>
  <c r="P294" i="2"/>
  <c r="P273" i="2"/>
  <c r="P155" i="2"/>
  <c r="P80" i="2"/>
  <c r="P103" i="2"/>
  <c r="P223" i="2"/>
  <c r="P170" i="2"/>
  <c r="P205" i="2"/>
  <c r="P156" i="2"/>
  <c r="P60" i="2"/>
  <c r="P59" i="2"/>
  <c r="O90" i="2"/>
  <c r="M120" i="2"/>
  <c r="O117" i="2"/>
  <c r="O95" i="2"/>
  <c r="O98" i="2" s="1"/>
  <c r="P98" i="2" s="1"/>
  <c r="O299" i="2"/>
  <c r="L14" i="2"/>
  <c r="O164" i="2"/>
  <c r="F52" i="121"/>
  <c r="L283" i="2" s="1"/>
  <c r="E59" i="121"/>
  <c r="F274" i="3" s="1"/>
  <c r="F276" i="3" s="1"/>
  <c r="M133" i="2"/>
  <c r="E127" i="7"/>
  <c r="E124" i="7"/>
  <c r="G49" i="121"/>
  <c r="M161" i="2"/>
  <c r="L24" i="94"/>
  <c r="O126" i="2"/>
  <c r="E129" i="7"/>
  <c r="M14" i="2"/>
  <c r="G48" i="121"/>
  <c r="O157" i="2"/>
  <c r="L28" i="94"/>
  <c r="I266" i="3"/>
  <c r="I264" i="3"/>
  <c r="B9" i="6"/>
  <c r="C17" i="6" s="1"/>
  <c r="I248" i="3"/>
  <c r="I122" i="3"/>
  <c r="I241" i="3"/>
  <c r="I240" i="3"/>
  <c r="I304" i="3"/>
  <c r="F75" i="3"/>
  <c r="H75" i="3"/>
  <c r="G75" i="3"/>
  <c r="H200" i="3"/>
  <c r="G200" i="3"/>
  <c r="F200" i="3"/>
  <c r="P55" i="2"/>
  <c r="H85" i="3"/>
  <c r="F85" i="3"/>
  <c r="G85" i="3"/>
  <c r="G235" i="3"/>
  <c r="F235" i="3"/>
  <c r="H235" i="3"/>
  <c r="F71" i="3"/>
  <c r="H71" i="3"/>
  <c r="G71" i="3"/>
  <c r="G217" i="3"/>
  <c r="H217" i="3"/>
  <c r="F217" i="3"/>
  <c r="I263" i="3"/>
  <c r="H120" i="3"/>
  <c r="F120" i="3"/>
  <c r="G120" i="3"/>
  <c r="G101" i="3"/>
  <c r="F101" i="3"/>
  <c r="H101" i="3"/>
  <c r="G102" i="3"/>
  <c r="F102" i="3"/>
  <c r="H102" i="3"/>
  <c r="P204" i="2"/>
  <c r="J180" i="2"/>
  <c r="H50" i="3"/>
  <c r="G50" i="3"/>
  <c r="F50" i="3"/>
  <c r="H284" i="3"/>
  <c r="F284" i="3"/>
  <c r="G284" i="3"/>
  <c r="F48" i="3"/>
  <c r="G48" i="3"/>
  <c r="H48" i="3"/>
  <c r="O270" i="2"/>
  <c r="G76" i="3"/>
  <c r="F76" i="3"/>
  <c r="H76" i="3"/>
  <c r="E110" i="7"/>
  <c r="O24" i="94"/>
  <c r="H215" i="3"/>
  <c r="F215" i="3"/>
  <c r="G215" i="3"/>
  <c r="G311" i="3"/>
  <c r="G313" i="3" s="1"/>
  <c r="E313" i="3"/>
  <c r="F311" i="3"/>
  <c r="F313" i="3" s="1"/>
  <c r="H311" i="3"/>
  <c r="H313" i="3" s="1"/>
  <c r="G278" i="3"/>
  <c r="G280" i="3" s="1"/>
  <c r="H278" i="3"/>
  <c r="H280" i="3" s="1"/>
  <c r="H282" i="3" s="1"/>
  <c r="F278" i="3"/>
  <c r="F280" i="3" s="1"/>
  <c r="E280" i="3"/>
  <c r="G46" i="3"/>
  <c r="F46" i="3"/>
  <c r="H46" i="3"/>
  <c r="K22" i="94"/>
  <c r="K36" i="94" s="1"/>
  <c r="N22" i="94"/>
  <c r="N36" i="94" s="1"/>
  <c r="H107" i="3"/>
  <c r="F107" i="3"/>
  <c r="E111" i="3"/>
  <c r="G107" i="3"/>
  <c r="P293" i="2"/>
  <c r="H160" i="3"/>
  <c r="G160" i="3"/>
  <c r="F160" i="3"/>
  <c r="P154" i="2"/>
  <c r="G121" i="3"/>
  <c r="H121" i="3"/>
  <c r="F121" i="3"/>
  <c r="A17" i="114"/>
  <c r="A36" i="114"/>
  <c r="B25" i="6"/>
  <c r="H307" i="2" s="1"/>
  <c r="J307" i="2" s="1"/>
  <c r="H102" i="2"/>
  <c r="J102" i="2" s="1"/>
  <c r="P73" i="2"/>
  <c r="E115" i="3"/>
  <c r="H113" i="3"/>
  <c r="H115" i="3" s="1"/>
  <c r="H71" i="2"/>
  <c r="H100" i="2" s="1"/>
  <c r="P191" i="2"/>
  <c r="O32" i="94"/>
  <c r="O67" i="94"/>
  <c r="F108" i="3"/>
  <c r="H108" i="3"/>
  <c r="G108" i="3"/>
  <c r="P38" i="2"/>
  <c r="O43" i="2"/>
  <c r="P43" i="2" s="1"/>
  <c r="F195" i="3"/>
  <c r="H195" i="3"/>
  <c r="G195" i="3"/>
  <c r="H63" i="3"/>
  <c r="G63" i="3"/>
  <c r="F63" i="3"/>
  <c r="G103" i="3"/>
  <c r="H103" i="3"/>
  <c r="F103" i="3"/>
  <c r="F212" i="3"/>
  <c r="G212" i="3"/>
  <c r="H212" i="3"/>
  <c r="E123" i="7"/>
  <c r="G238" i="3"/>
  <c r="H238" i="3"/>
  <c r="F238" i="3"/>
  <c r="P116" i="2"/>
  <c r="G162" i="3"/>
  <c r="F162" i="3"/>
  <c r="H162" i="3"/>
  <c r="P218" i="2"/>
  <c r="P163" i="2"/>
  <c r="H191" i="3"/>
  <c r="H193" i="3" s="1"/>
  <c r="E193" i="3"/>
  <c r="F191" i="3"/>
  <c r="F193" i="3" s="1"/>
  <c r="G191" i="3"/>
  <c r="G193" i="3" s="1"/>
  <c r="F209" i="3"/>
  <c r="G209" i="3"/>
  <c r="H209" i="3"/>
  <c r="O124" i="2"/>
  <c r="P124" i="2" s="1"/>
  <c r="P122" i="2"/>
  <c r="F52" i="3"/>
  <c r="G52" i="3"/>
  <c r="H52" i="3"/>
  <c r="F74" i="3"/>
  <c r="G74" i="3"/>
  <c r="H74" i="3"/>
  <c r="H196" i="3"/>
  <c r="G196" i="3"/>
  <c r="F196" i="3"/>
  <c r="G285" i="3"/>
  <c r="H285" i="3"/>
  <c r="F285" i="3"/>
  <c r="K67" i="94"/>
  <c r="L32" i="94"/>
  <c r="O289" i="2"/>
  <c r="P287" i="2"/>
  <c r="F145" i="3"/>
  <c r="G145" i="3"/>
  <c r="H145" i="3"/>
  <c r="E151" i="3"/>
  <c r="E88" i="3"/>
  <c r="F84" i="3"/>
  <c r="G84" i="3"/>
  <c r="H84" i="3"/>
  <c r="F161" i="3"/>
  <c r="G161" i="3"/>
  <c r="H161" i="3"/>
  <c r="P78" i="2"/>
  <c r="E115" i="7"/>
  <c r="P94" i="2"/>
  <c r="F182" i="3"/>
  <c r="G182" i="3"/>
  <c r="H182" i="3"/>
  <c r="N15" i="2"/>
  <c r="C122" i="7"/>
  <c r="E122" i="7" s="1"/>
  <c r="AH271" i="64"/>
  <c r="AI271" i="64" s="1"/>
  <c r="AH290" i="64"/>
  <c r="AI269" i="64"/>
  <c r="E112" i="7"/>
  <c r="F68" i="3"/>
  <c r="G68" i="3"/>
  <c r="H68" i="3"/>
  <c r="M36" i="94"/>
  <c r="N67" i="94"/>
  <c r="J188" i="2"/>
  <c r="P320" i="2"/>
  <c r="O322" i="2"/>
  <c r="H70" i="3"/>
  <c r="F70" i="3"/>
  <c r="G70" i="3"/>
  <c r="P168" i="2"/>
  <c r="G69" i="3"/>
  <c r="H69" i="3"/>
  <c r="F69" i="3"/>
  <c r="H109" i="3"/>
  <c r="F109" i="3"/>
  <c r="G109" i="3"/>
  <c r="H80" i="3"/>
  <c r="H82" i="3" s="1"/>
  <c r="F80" i="3"/>
  <c r="F82" i="3" s="1"/>
  <c r="E82" i="3"/>
  <c r="G80" i="3"/>
  <c r="G82" i="3" s="1"/>
  <c r="G154" i="3"/>
  <c r="F154" i="3"/>
  <c r="H154" i="3"/>
  <c r="E157" i="3"/>
  <c r="G117" i="3"/>
  <c r="H117" i="3"/>
  <c r="F117" i="3"/>
  <c r="G214" i="3"/>
  <c r="H214" i="3"/>
  <c r="F214" i="3"/>
  <c r="G210" i="3"/>
  <c r="H210" i="3"/>
  <c r="F210" i="3"/>
  <c r="E293" i="3"/>
  <c r="F290" i="3"/>
  <c r="F293" i="3" s="1"/>
  <c r="H290" i="3"/>
  <c r="H293" i="3" s="1"/>
  <c r="G290" i="3"/>
  <c r="G293" i="3" s="1"/>
  <c r="G236" i="3"/>
  <c r="F236" i="3"/>
  <c r="H236" i="3"/>
  <c r="F159" i="3"/>
  <c r="H159" i="3"/>
  <c r="G159" i="3"/>
  <c r="F93" i="3"/>
  <c r="G93" i="3"/>
  <c r="H93" i="3"/>
  <c r="F51" i="3"/>
  <c r="H51" i="3"/>
  <c r="G51" i="3"/>
  <c r="F155" i="3"/>
  <c r="G155" i="3"/>
  <c r="H155" i="3"/>
  <c r="P244" i="2"/>
  <c r="G197" i="3"/>
  <c r="H197" i="3"/>
  <c r="F197" i="3"/>
  <c r="J36" i="94" l="1"/>
  <c r="O202" i="2"/>
  <c r="P202" i="2" s="1"/>
  <c r="L307" i="2"/>
  <c r="E298" i="3" s="1"/>
  <c r="M307" i="2"/>
  <c r="L102" i="2"/>
  <c r="E92" i="3" s="1"/>
  <c r="M102" i="2"/>
  <c r="E274" i="3"/>
  <c r="F119" i="3"/>
  <c r="F124" i="3" s="1"/>
  <c r="G119" i="3"/>
  <c r="G124" i="3" s="1"/>
  <c r="H119" i="3"/>
  <c r="H124" i="3" s="1"/>
  <c r="I99" i="3"/>
  <c r="I148" i="3"/>
  <c r="I147" i="3"/>
  <c r="I100" i="3"/>
  <c r="I49" i="3"/>
  <c r="I146" i="3"/>
  <c r="I149" i="3"/>
  <c r="I153" i="3"/>
  <c r="H107" i="2"/>
  <c r="H151" i="3"/>
  <c r="G151" i="3"/>
  <c r="F151" i="3"/>
  <c r="P117" i="2"/>
  <c r="O302" i="2"/>
  <c r="P302" i="2" s="1"/>
  <c r="P95" i="2"/>
  <c r="O133" i="2"/>
  <c r="P133" i="2" s="1"/>
  <c r="P157" i="2"/>
  <c r="P90" i="2"/>
  <c r="P164" i="2"/>
  <c r="O92" i="2"/>
  <c r="P92" i="2" s="1"/>
  <c r="O120" i="2"/>
  <c r="P120" i="2" s="1"/>
  <c r="C9" i="6"/>
  <c r="P299" i="2"/>
  <c r="B19" i="6"/>
  <c r="O166" i="2"/>
  <c r="P166" i="2" s="1"/>
  <c r="P126" i="2"/>
  <c r="G52" i="121"/>
  <c r="M283" i="2" s="1"/>
  <c r="M285" i="2" s="1"/>
  <c r="M291" i="2" s="1"/>
  <c r="N14" i="2"/>
  <c r="O225" i="2"/>
  <c r="O161" i="2"/>
  <c r="P161" i="2" s="1"/>
  <c r="L22" i="94"/>
  <c r="B22" i="6"/>
  <c r="B27" i="6" s="1"/>
  <c r="G88" i="3"/>
  <c r="M88" i="2"/>
  <c r="I200" i="3"/>
  <c r="I159" i="3"/>
  <c r="I235" i="3"/>
  <c r="I69" i="3"/>
  <c r="I285" i="3"/>
  <c r="I155" i="3"/>
  <c r="I197" i="3"/>
  <c r="I74" i="3"/>
  <c r="I182" i="3"/>
  <c r="I52" i="3"/>
  <c r="F157" i="3"/>
  <c r="I48" i="3"/>
  <c r="H88" i="3"/>
  <c r="I107" i="3"/>
  <c r="I108" i="3"/>
  <c r="I284" i="3"/>
  <c r="I82" i="3"/>
  <c r="I84" i="3"/>
  <c r="I212" i="3"/>
  <c r="I160" i="3"/>
  <c r="I71" i="3"/>
  <c r="I161" i="3"/>
  <c r="I50" i="3"/>
  <c r="I75" i="3"/>
  <c r="I103" i="3"/>
  <c r="I93" i="3"/>
  <c r="I210" i="3"/>
  <c r="I311" i="3"/>
  <c r="I162" i="3"/>
  <c r="I280" i="3"/>
  <c r="I236" i="3"/>
  <c r="I70" i="3"/>
  <c r="I217" i="3"/>
  <c r="I85" i="3"/>
  <c r="I51" i="3"/>
  <c r="I214" i="3"/>
  <c r="I109" i="3"/>
  <c r="I196" i="3"/>
  <c r="I102" i="3"/>
  <c r="I238" i="3"/>
  <c r="I121" i="3"/>
  <c r="I76" i="3"/>
  <c r="I120" i="3"/>
  <c r="I215" i="3"/>
  <c r="I101" i="3"/>
  <c r="O36" i="94"/>
  <c r="O82" i="2"/>
  <c r="L88" i="2"/>
  <c r="F88" i="3"/>
  <c r="I145" i="3"/>
  <c r="I195" i="3"/>
  <c r="J71" i="2"/>
  <c r="J100" i="2" s="1"/>
  <c r="L285" i="2"/>
  <c r="L291" i="2" s="1"/>
  <c r="I293" i="3"/>
  <c r="I154" i="3"/>
  <c r="I80" i="3"/>
  <c r="P322" i="2"/>
  <c r="O83" i="2"/>
  <c r="I193" i="3"/>
  <c r="F111" i="3"/>
  <c r="F282" i="3"/>
  <c r="M242" i="2"/>
  <c r="Q67" i="94"/>
  <c r="I63" i="3"/>
  <c r="H105" i="2"/>
  <c r="I290" i="3"/>
  <c r="H157" i="3"/>
  <c r="I68" i="3"/>
  <c r="L36" i="94"/>
  <c r="L271" i="2"/>
  <c r="I191" i="3"/>
  <c r="I113" i="3"/>
  <c r="A18" i="114"/>
  <c r="A37" i="114"/>
  <c r="H111" i="3"/>
  <c r="AH304" i="64"/>
  <c r="AI290" i="64"/>
  <c r="I117" i="3"/>
  <c r="G157" i="3"/>
  <c r="I115" i="3"/>
  <c r="M271" i="2"/>
  <c r="I278" i="3"/>
  <c r="P270" i="2"/>
  <c r="O305" i="2"/>
  <c r="M67" i="94"/>
  <c r="F262" i="3"/>
  <c r="I261" i="3"/>
  <c r="O22" i="94"/>
  <c r="H262" i="3"/>
  <c r="I209" i="3"/>
  <c r="G111" i="3"/>
  <c r="I46" i="3"/>
  <c r="I313" i="3"/>
  <c r="H114" i="2" l="1"/>
  <c r="H135" i="2" s="1"/>
  <c r="J107" i="2"/>
  <c r="E262" i="3"/>
  <c r="I119" i="3"/>
  <c r="I151" i="3"/>
  <c r="H57" i="3"/>
  <c r="H53" i="3"/>
  <c r="F297" i="3"/>
  <c r="H56" i="3"/>
  <c r="H54" i="3"/>
  <c r="G59" i="3"/>
  <c r="G211" i="3"/>
  <c r="O65" i="2"/>
  <c r="P83" i="2"/>
  <c r="P225" i="2"/>
  <c r="P305" i="2"/>
  <c r="O220" i="2"/>
  <c r="P220" i="2" s="1"/>
  <c r="O68" i="2"/>
  <c r="F58" i="3"/>
  <c r="O64" i="2"/>
  <c r="F55" i="3"/>
  <c r="O67" i="2"/>
  <c r="H52" i="121"/>
  <c r="O283" i="2"/>
  <c r="H304" i="2"/>
  <c r="O66" i="2"/>
  <c r="O306" i="2"/>
  <c r="O63" i="2"/>
  <c r="O69" i="2"/>
  <c r="M71" i="2"/>
  <c r="I88" i="3"/>
  <c r="I111" i="3"/>
  <c r="I157" i="3"/>
  <c r="AH310" i="64"/>
  <c r="AI304" i="64"/>
  <c r="A38" i="114"/>
  <c r="A19" i="114"/>
  <c r="A39" i="114" s="1"/>
  <c r="G73" i="3"/>
  <c r="H73" i="3"/>
  <c r="F73" i="3"/>
  <c r="F216" i="3"/>
  <c r="G216" i="3"/>
  <c r="H216" i="3"/>
  <c r="O307" i="2"/>
  <c r="I124" i="3"/>
  <c r="F296" i="3"/>
  <c r="G296" i="3"/>
  <c r="H296" i="3"/>
  <c r="O56" i="2"/>
  <c r="L71" i="2"/>
  <c r="E276" i="3"/>
  <c r="G276" i="3"/>
  <c r="G282" i="3" s="1"/>
  <c r="P82" i="2"/>
  <c r="O88" i="2"/>
  <c r="P88" i="2" s="1"/>
  <c r="O271" i="2"/>
  <c r="M105" i="2"/>
  <c r="J105" i="2"/>
  <c r="F72" i="3"/>
  <c r="G72" i="3"/>
  <c r="H72" i="3"/>
  <c r="E78" i="3"/>
  <c r="H310" i="2" l="1"/>
  <c r="H311" i="2" s="1"/>
  <c r="J304" i="2"/>
  <c r="L107" i="2"/>
  <c r="E97" i="3" s="1"/>
  <c r="M107" i="2"/>
  <c r="M114" i="2" s="1"/>
  <c r="M135" i="2" s="1"/>
  <c r="G57" i="3"/>
  <c r="F56" i="3"/>
  <c r="G56" i="3"/>
  <c r="F57" i="3"/>
  <c r="H59" i="3"/>
  <c r="F59" i="3"/>
  <c r="F211" i="3"/>
  <c r="H211" i="3"/>
  <c r="H297" i="3"/>
  <c r="F54" i="3"/>
  <c r="G53" i="3"/>
  <c r="F53" i="3"/>
  <c r="G54" i="3"/>
  <c r="G297" i="3"/>
  <c r="P65" i="2"/>
  <c r="J114" i="2"/>
  <c r="J135" i="2" s="1"/>
  <c r="G55" i="3"/>
  <c r="H55" i="3"/>
  <c r="P63" i="2"/>
  <c r="P67" i="2"/>
  <c r="P283" i="2"/>
  <c r="P306" i="2"/>
  <c r="P64" i="2"/>
  <c r="P69" i="2"/>
  <c r="P307" i="2"/>
  <c r="P66" i="2"/>
  <c r="P68" i="2"/>
  <c r="G58" i="3"/>
  <c r="H58" i="3"/>
  <c r="O285" i="2"/>
  <c r="P285" i="2" s="1"/>
  <c r="F78" i="3"/>
  <c r="G78" i="3"/>
  <c r="H78" i="3"/>
  <c r="I274" i="3"/>
  <c r="I296" i="3"/>
  <c r="I216" i="3"/>
  <c r="I73" i="3"/>
  <c r="P271" i="2"/>
  <c r="F47" i="3"/>
  <c r="G47" i="3"/>
  <c r="H47" i="3"/>
  <c r="E61" i="3"/>
  <c r="P56" i="2"/>
  <c r="O71" i="2"/>
  <c r="G298" i="3"/>
  <c r="F298" i="3"/>
  <c r="H298" i="3"/>
  <c r="I262" i="3"/>
  <c r="E282" i="3"/>
  <c r="I282" i="3" s="1"/>
  <c r="I276" i="3"/>
  <c r="I72" i="3"/>
  <c r="O102" i="2"/>
  <c r="L105" i="2"/>
  <c r="AH316" i="64"/>
  <c r="AI310" i="64"/>
  <c r="H324" i="2" l="1"/>
  <c r="J310" i="2"/>
  <c r="J324" i="2" s="1"/>
  <c r="L304" i="2"/>
  <c r="E295" i="3" s="1"/>
  <c r="M304" i="2"/>
  <c r="I56" i="3"/>
  <c r="I59" i="3"/>
  <c r="I57" i="3"/>
  <c r="L114" i="2"/>
  <c r="L135" i="2" s="1"/>
  <c r="I297" i="3"/>
  <c r="O107" i="2"/>
  <c r="P107" i="2" s="1"/>
  <c r="I53" i="3"/>
  <c r="E105" i="3"/>
  <c r="I211" i="3"/>
  <c r="I54" i="3"/>
  <c r="F61" i="3"/>
  <c r="I55" i="3"/>
  <c r="I58" i="3"/>
  <c r="G61" i="3"/>
  <c r="H61" i="3"/>
  <c r="O291" i="2"/>
  <c r="P291" i="2" s="1"/>
  <c r="I78" i="3"/>
  <c r="I47" i="3"/>
  <c r="I298" i="3"/>
  <c r="AH322" i="64"/>
  <c r="AI316" i="64"/>
  <c r="E342" i="2"/>
  <c r="O105" i="2"/>
  <c r="P105" i="2" s="1"/>
  <c r="P102" i="2"/>
  <c r="F92" i="3"/>
  <c r="F95" i="3" s="1"/>
  <c r="E95" i="3"/>
  <c r="G92" i="3"/>
  <c r="G95" i="3" s="1"/>
  <c r="H92" i="3"/>
  <c r="H95" i="3" s="1"/>
  <c r="P71" i="2"/>
  <c r="O114" i="2" l="1"/>
  <c r="P114" i="2" s="1"/>
  <c r="H97" i="3"/>
  <c r="H105" i="3" s="1"/>
  <c r="H126" i="3" s="1"/>
  <c r="G97" i="3"/>
  <c r="G105" i="3" s="1"/>
  <c r="G126" i="3" s="1"/>
  <c r="F97" i="3"/>
  <c r="F105" i="3" s="1"/>
  <c r="I61" i="3"/>
  <c r="H295" i="3"/>
  <c r="O304" i="2"/>
  <c r="I95" i="3"/>
  <c r="O236" i="2"/>
  <c r="E126" i="3"/>
  <c r="AI322" i="64"/>
  <c r="AH330" i="64"/>
  <c r="AH329" i="64"/>
  <c r="I92" i="3"/>
  <c r="O135" i="2" l="1"/>
  <c r="P135" i="2" s="1"/>
  <c r="I105" i="3"/>
  <c r="F126" i="3"/>
  <c r="I126" i="3" s="1"/>
  <c r="I97" i="3"/>
  <c r="G295" i="3"/>
  <c r="F295" i="3"/>
  <c r="P304" i="2"/>
  <c r="P236" i="2"/>
  <c r="G227" i="3"/>
  <c r="F227" i="3"/>
  <c r="H227" i="3"/>
  <c r="I295" i="3" l="1"/>
  <c r="I227" i="3"/>
  <c r="AH52" i="118" l="1"/>
  <c r="B56" i="5"/>
  <c r="F214" i="2" s="1"/>
  <c r="G214" i="2" l="1"/>
  <c r="J214" i="2" s="1"/>
  <c r="E11" i="7" l="1"/>
  <c r="C26" i="7" s="1"/>
  <c r="B33" i="6"/>
  <c r="D33" i="6" s="1"/>
  <c r="D26" i="7" l="1"/>
  <c r="E26" i="7" s="1"/>
  <c r="E20" i="5" l="1"/>
  <c r="G20" i="5" s="1"/>
  <c r="F45" i="2" s="1"/>
  <c r="L45" i="2"/>
  <c r="E11" i="5"/>
  <c r="L25" i="2"/>
  <c r="L26" i="2"/>
  <c r="E12" i="5"/>
  <c r="E18" i="5"/>
  <c r="L30" i="2"/>
  <c r="E21" i="3" l="1"/>
  <c r="F21" i="3" s="1"/>
  <c r="I21" i="3" s="1"/>
  <c r="O30" i="2"/>
  <c r="L138" i="2"/>
  <c r="F26" i="2"/>
  <c r="G26" i="2" s="1"/>
  <c r="J26" i="2" s="1"/>
  <c r="G12" i="5"/>
  <c r="F25" i="2"/>
  <c r="G25" i="2" s="1"/>
  <c r="J25" i="2" s="1"/>
  <c r="G11" i="5"/>
  <c r="E36" i="3"/>
  <c r="O45" i="2"/>
  <c r="G18" i="5"/>
  <c r="F30" i="2"/>
  <c r="G30" i="2" s="1"/>
  <c r="E17" i="3"/>
  <c r="O26" i="2"/>
  <c r="O25" i="2"/>
  <c r="E16" i="3"/>
  <c r="L27" i="2"/>
  <c r="E13" i="5"/>
  <c r="E10" i="5"/>
  <c r="L24" i="2"/>
  <c r="F48" i="2"/>
  <c r="G45" i="2"/>
  <c r="P25" i="2" l="1"/>
  <c r="P26" i="2"/>
  <c r="G17" i="3"/>
  <c r="G24" i="3" s="1"/>
  <c r="G13" i="5"/>
  <c r="F27" i="2"/>
  <c r="G27" i="2" s="1"/>
  <c r="J27" i="2" s="1"/>
  <c r="E12" i="7"/>
  <c r="C27" i="7" s="1"/>
  <c r="C36" i="7"/>
  <c r="E15" i="3"/>
  <c r="O24" i="2"/>
  <c r="F24" i="2"/>
  <c r="G10" i="5"/>
  <c r="J30" i="2"/>
  <c r="P30" i="2" s="1"/>
  <c r="F138" i="2"/>
  <c r="E18" i="3"/>
  <c r="F18" i="3" s="1"/>
  <c r="I18" i="3" s="1"/>
  <c r="O27" i="2"/>
  <c r="H16" i="3"/>
  <c r="H24" i="3" s="1"/>
  <c r="O138" i="2"/>
  <c r="E129" i="3"/>
  <c r="J45" i="2"/>
  <c r="J48" i="2" s="1"/>
  <c r="G48" i="2"/>
  <c r="I16" i="3" l="1"/>
  <c r="I17" i="3"/>
  <c r="P45" i="2"/>
  <c r="F129" i="3"/>
  <c r="H129" i="3"/>
  <c r="G129" i="3"/>
  <c r="G24" i="2"/>
  <c r="P27" i="2"/>
  <c r="F15" i="3"/>
  <c r="I15" i="3" s="1"/>
  <c r="D27" i="7"/>
  <c r="E27" i="7" s="1"/>
  <c r="D36" i="7"/>
  <c r="E36" i="7" s="1"/>
  <c r="F137" i="2"/>
  <c r="G138" i="2"/>
  <c r="J138" i="2" s="1"/>
  <c r="P138" i="2" s="1"/>
  <c r="E15" i="7"/>
  <c r="I129" i="3" l="1"/>
  <c r="E10" i="7"/>
  <c r="C25" i="7" s="1"/>
  <c r="B32" i="6"/>
  <c r="C18" i="7"/>
  <c r="C39" i="7" s="1"/>
  <c r="D30" i="7"/>
  <c r="J24" i="2"/>
  <c r="F142" i="2"/>
  <c r="F145" i="2" s="1"/>
  <c r="G137" i="2"/>
  <c r="C30" i="7"/>
  <c r="E30" i="7" l="1"/>
  <c r="C43" i="7"/>
  <c r="C42" i="7"/>
  <c r="C22" i="7"/>
  <c r="C46" i="7"/>
  <c r="C40" i="7"/>
  <c r="C41" i="7"/>
  <c r="C44" i="7"/>
  <c r="G11" i="3" s="1"/>
  <c r="J137" i="2"/>
  <c r="G142" i="2"/>
  <c r="G145" i="2" s="1"/>
  <c r="D32" i="6"/>
  <c r="D25" i="7"/>
  <c r="E25" i="7" s="1"/>
  <c r="E16" i="7"/>
  <c r="C31" i="7" s="1"/>
  <c r="B34" i="6"/>
  <c r="D34" i="6" s="1"/>
  <c r="C45" i="7"/>
  <c r="P24" i="2"/>
  <c r="B35" i="6" l="1"/>
  <c r="D35" i="6"/>
  <c r="D37" i="6" s="1"/>
  <c r="H194" i="2" s="1"/>
  <c r="H198" i="2" s="1"/>
  <c r="H268" i="2" s="1"/>
  <c r="H336" i="2" s="1"/>
  <c r="C48" i="7"/>
  <c r="E22" i="7"/>
  <c r="D34" i="7" s="1"/>
  <c r="M13" i="2" s="1"/>
  <c r="C37" i="7"/>
  <c r="D31" i="7"/>
  <c r="E31" i="7" s="1"/>
  <c r="J142" i="2"/>
  <c r="J145" i="2" s="1"/>
  <c r="E18" i="7"/>
  <c r="F11" i="3"/>
  <c r="H11" i="3"/>
  <c r="J194" i="2" l="1"/>
  <c r="C34" i="7"/>
  <c r="E34" i="7" s="1"/>
  <c r="L28" i="2"/>
  <c r="E16" i="5"/>
  <c r="B21" i="5"/>
  <c r="I11" i="3"/>
  <c r="C33" i="7"/>
  <c r="D33" i="7"/>
  <c r="M308" i="2"/>
  <c r="M310" i="2" s="1"/>
  <c r="M207" i="2"/>
  <c r="M183" i="2"/>
  <c r="M246" i="2"/>
  <c r="M184" i="2"/>
  <c r="M195" i="2"/>
  <c r="M185" i="2"/>
  <c r="M196" i="2"/>
  <c r="M182" i="2"/>
  <c r="M192" i="2"/>
  <c r="M147" i="2"/>
  <c r="M149" i="2" s="1"/>
  <c r="M152" i="2" s="1"/>
  <c r="M74" i="2"/>
  <c r="M76" i="2" s="1"/>
  <c r="M100" i="2" s="1"/>
  <c r="M186" i="2"/>
  <c r="M193" i="2"/>
  <c r="M222" i="2"/>
  <c r="M227" i="2"/>
  <c r="M231" i="2"/>
  <c r="M233" i="2" s="1"/>
  <c r="J198" i="2"/>
  <c r="L194" i="2"/>
  <c r="L13" i="2" l="1"/>
  <c r="L185" i="2" s="1"/>
  <c r="M229" i="2"/>
  <c r="E33" i="7"/>
  <c r="N42" i="94"/>
  <c r="M12" i="2"/>
  <c r="K42" i="94"/>
  <c r="N44" i="94"/>
  <c r="K44" i="94"/>
  <c r="M276" i="2" s="1"/>
  <c r="M44" i="94"/>
  <c r="J42" i="94"/>
  <c r="L12" i="2"/>
  <c r="J44" i="94"/>
  <c r="M42" i="94"/>
  <c r="B70" i="5"/>
  <c r="B72" i="5" s="1"/>
  <c r="B75" i="5" s="1"/>
  <c r="F240" i="2" s="1"/>
  <c r="F28" i="2"/>
  <c r="G16" i="5"/>
  <c r="G21" i="5" s="1"/>
  <c r="G22" i="5" s="1"/>
  <c r="E21" i="5"/>
  <c r="M198" i="2"/>
  <c r="E19" i="3"/>
  <c r="O28" i="2"/>
  <c r="O34" i="2" s="1"/>
  <c r="L34" i="2"/>
  <c r="E185" i="3"/>
  <c r="O194" i="2"/>
  <c r="P194" i="2" s="1"/>
  <c r="M188" i="2"/>
  <c r="L196" i="2"/>
  <c r="L227" i="2"/>
  <c r="L183" i="2"/>
  <c r="L222" i="2"/>
  <c r="L195" i="2"/>
  <c r="L231" i="2"/>
  <c r="L184" i="2"/>
  <c r="L192" i="2"/>
  <c r="L182" i="2"/>
  <c r="L246" i="2" l="1"/>
  <c r="L207" i="2"/>
  <c r="E198" i="3" s="1"/>
  <c r="L186" i="2"/>
  <c r="L188" i="2" s="1"/>
  <c r="L74" i="2"/>
  <c r="L147" i="2"/>
  <c r="L149" i="2" s="1"/>
  <c r="L152" i="2" s="1"/>
  <c r="L193" i="2"/>
  <c r="E184" i="3" s="1"/>
  <c r="L308" i="2"/>
  <c r="O308" i="2" s="1"/>
  <c r="N13" i="2"/>
  <c r="F185" i="3"/>
  <c r="G185" i="3"/>
  <c r="H185" i="3"/>
  <c r="K70" i="94"/>
  <c r="J70" i="94"/>
  <c r="L274" i="2"/>
  <c r="L70" i="94"/>
  <c r="J57" i="94"/>
  <c r="G28" i="2"/>
  <c r="F34" i="2"/>
  <c r="F51" i="2" s="1"/>
  <c r="O71" i="94"/>
  <c r="P71" i="94"/>
  <c r="N71" i="94"/>
  <c r="F242" i="2"/>
  <c r="G240" i="2"/>
  <c r="F19" i="3"/>
  <c r="E24" i="3"/>
  <c r="O44" i="94"/>
  <c r="E174" i="3"/>
  <c r="O183" i="2"/>
  <c r="P183" i="2" s="1"/>
  <c r="L42" i="94"/>
  <c r="M274" i="2"/>
  <c r="M279" i="2" s="1"/>
  <c r="M281" i="2" s="1"/>
  <c r="K57" i="94"/>
  <c r="K59" i="94" s="1"/>
  <c r="K62" i="94" s="1"/>
  <c r="E173" i="3"/>
  <c r="O182" i="2"/>
  <c r="E183" i="3"/>
  <c r="O192" i="2"/>
  <c r="E175" i="3"/>
  <c r="O184" i="2"/>
  <c r="P184" i="2" s="1"/>
  <c r="E218" i="3"/>
  <c r="O227" i="2"/>
  <c r="P227" i="2" s="1"/>
  <c r="O70" i="94"/>
  <c r="M57" i="94"/>
  <c r="N70" i="94"/>
  <c r="P70" i="94"/>
  <c r="M260" i="2"/>
  <c r="M263" i="2"/>
  <c r="M264" i="2"/>
  <c r="M262" i="2"/>
  <c r="M255" i="2"/>
  <c r="M253" i="2"/>
  <c r="M252" i="2"/>
  <c r="M248" i="2"/>
  <c r="M326" i="2"/>
  <c r="M328" i="2" s="1"/>
  <c r="M208" i="2"/>
  <c r="M211" i="2" s="1"/>
  <c r="M251" i="2"/>
  <c r="M330" i="2"/>
  <c r="M332" i="2" s="1"/>
  <c r="M254" i="2"/>
  <c r="M259" i="2"/>
  <c r="M178" i="2"/>
  <c r="M180" i="2" s="1"/>
  <c r="M256" i="2"/>
  <c r="M295" i="2"/>
  <c r="M297" i="2" s="1"/>
  <c r="M258" i="2"/>
  <c r="M172" i="2"/>
  <c r="M174" i="2" s="1"/>
  <c r="M176" i="2" s="1"/>
  <c r="M214" i="2"/>
  <c r="E213" i="3"/>
  <c r="O222" i="2"/>
  <c r="L229" i="2"/>
  <c r="E176" i="3"/>
  <c r="O185" i="2"/>
  <c r="P185" i="2" s="1"/>
  <c r="E237" i="3"/>
  <c r="O246" i="2"/>
  <c r="E177" i="3"/>
  <c r="L71" i="94"/>
  <c r="G267" i="3" s="1"/>
  <c r="J71" i="94"/>
  <c r="L276" i="2"/>
  <c r="K71" i="94"/>
  <c r="H267" i="3" s="1"/>
  <c r="L44" i="94"/>
  <c r="O42" i="94"/>
  <c r="N57" i="94"/>
  <c r="N59" i="94" s="1"/>
  <c r="N62" i="94" s="1"/>
  <c r="E186" i="3"/>
  <c r="O195" i="2"/>
  <c r="P195" i="2" s="1"/>
  <c r="E187" i="3"/>
  <c r="O196" i="2"/>
  <c r="P196" i="2" s="1"/>
  <c r="E222" i="3"/>
  <c r="L233" i="2"/>
  <c r="O231" i="2"/>
  <c r="E64" i="3"/>
  <c r="O74" i="2"/>
  <c r="L76" i="2"/>
  <c r="L100" i="2" s="1"/>
  <c r="L259" i="2"/>
  <c r="L256" i="2"/>
  <c r="L253" i="2"/>
  <c r="L172" i="2"/>
  <c r="L326" i="2"/>
  <c r="L260" i="2"/>
  <c r="L248" i="2"/>
  <c r="L330" i="2"/>
  <c r="L254" i="2"/>
  <c r="L295" i="2"/>
  <c r="L178" i="2"/>
  <c r="L264" i="2"/>
  <c r="L263" i="2"/>
  <c r="L255" i="2"/>
  <c r="L262" i="2"/>
  <c r="L258" i="2"/>
  <c r="L252" i="2"/>
  <c r="L251" i="2"/>
  <c r="L208" i="2"/>
  <c r="L211" i="2" s="1"/>
  <c r="N12" i="2"/>
  <c r="L214" i="2"/>
  <c r="O193" i="2" l="1"/>
  <c r="P193" i="2" s="1"/>
  <c r="O147" i="2"/>
  <c r="L198" i="2"/>
  <c r="O186" i="2"/>
  <c r="P186" i="2" s="1"/>
  <c r="E138" i="3"/>
  <c r="E299" i="3"/>
  <c r="F299" i="3" s="1"/>
  <c r="F301" i="3" s="1"/>
  <c r="O207" i="2"/>
  <c r="P207" i="2" s="1"/>
  <c r="L310" i="2"/>
  <c r="P75" i="94"/>
  <c r="G334" i="3" s="1"/>
  <c r="C7" i="104" s="1"/>
  <c r="J28" i="104" s="1"/>
  <c r="J26" i="104" s="1"/>
  <c r="O75" i="94"/>
  <c r="H334" i="3" s="1"/>
  <c r="C7" i="84" s="1"/>
  <c r="J28" i="84" s="1"/>
  <c r="J27" i="84" s="1"/>
  <c r="M27" i="84" s="1"/>
  <c r="K11" i="84" s="1"/>
  <c r="I185" i="3"/>
  <c r="M334" i="2"/>
  <c r="E242" i="3"/>
  <c r="E286" i="3"/>
  <c r="L297" i="2"/>
  <c r="O295" i="2"/>
  <c r="E247" i="3"/>
  <c r="P231" i="2"/>
  <c r="O233" i="2"/>
  <c r="P233" i="2" s="1"/>
  <c r="P222" i="2"/>
  <c r="O229" i="2"/>
  <c r="P229" i="2" s="1"/>
  <c r="O252" i="2"/>
  <c r="P252" i="2" s="1"/>
  <c r="N75" i="94"/>
  <c r="Q70" i="94"/>
  <c r="H175" i="3"/>
  <c r="F175" i="3"/>
  <c r="G175" i="3"/>
  <c r="F173" i="3"/>
  <c r="G173" i="3"/>
  <c r="E179" i="3"/>
  <c r="H173" i="3"/>
  <c r="E253" i="3"/>
  <c r="F186" i="3"/>
  <c r="G186" i="3"/>
  <c r="H186" i="3"/>
  <c r="O259" i="2"/>
  <c r="P259" i="2" s="1"/>
  <c r="M59" i="94"/>
  <c r="O57" i="94"/>
  <c r="H25" i="3"/>
  <c r="H10" i="3" s="1"/>
  <c r="H36" i="3" s="1"/>
  <c r="G25" i="3"/>
  <c r="G10" i="3" s="1"/>
  <c r="G36" i="3" s="1"/>
  <c r="F50" i="2"/>
  <c r="H176" i="3"/>
  <c r="F176" i="3"/>
  <c r="G176" i="3"/>
  <c r="E220" i="3"/>
  <c r="F213" i="3"/>
  <c r="H213" i="3"/>
  <c r="G213" i="3"/>
  <c r="O254" i="2"/>
  <c r="P254" i="2" s="1"/>
  <c r="P192" i="2"/>
  <c r="O198" i="2"/>
  <c r="P198" i="2" s="1"/>
  <c r="I19" i="3"/>
  <c r="F24" i="3"/>
  <c r="F25" i="3" s="1"/>
  <c r="F10" i="3" s="1"/>
  <c r="J28" i="2"/>
  <c r="G34" i="2"/>
  <c r="E245" i="3"/>
  <c r="G177" i="3"/>
  <c r="H177" i="3"/>
  <c r="F177" i="3"/>
  <c r="J59" i="94"/>
  <c r="L57" i="94"/>
  <c r="E249" i="3"/>
  <c r="O251" i="2"/>
  <c r="P251" i="2" s="1"/>
  <c r="G183" i="3"/>
  <c r="F183" i="3"/>
  <c r="H183" i="3"/>
  <c r="E189" i="3"/>
  <c r="H198" i="3"/>
  <c r="G198" i="3"/>
  <c r="F198" i="3"/>
  <c r="J240" i="2"/>
  <c r="J242" i="2" s="1"/>
  <c r="L240" i="2"/>
  <c r="G242" i="2"/>
  <c r="G265" i="3"/>
  <c r="G270" i="3" s="1"/>
  <c r="G272" i="3" s="1"/>
  <c r="L75" i="94"/>
  <c r="E243" i="3"/>
  <c r="E251" i="3"/>
  <c r="O262" i="2"/>
  <c r="P262" i="2" s="1"/>
  <c r="E254" i="3"/>
  <c r="O260" i="2"/>
  <c r="P260" i="2" s="1"/>
  <c r="E205" i="3"/>
  <c r="O214" i="2"/>
  <c r="P214" i="2" s="1"/>
  <c r="E317" i="3"/>
  <c r="L328" i="2"/>
  <c r="O326" i="2"/>
  <c r="P74" i="2"/>
  <c r="O76" i="2"/>
  <c r="O258" i="2"/>
  <c r="P258" i="2" s="1"/>
  <c r="F218" i="3"/>
  <c r="G218" i="3"/>
  <c r="H218" i="3"/>
  <c r="L279" i="2"/>
  <c r="L281" i="2" s="1"/>
  <c r="E265" i="3"/>
  <c r="O274" i="2"/>
  <c r="H222" i="3"/>
  <c r="H224" i="3" s="1"/>
  <c r="E224" i="3"/>
  <c r="G222" i="3"/>
  <c r="G224" i="3" s="1"/>
  <c r="F222" i="3"/>
  <c r="F224" i="3" s="1"/>
  <c r="E239" i="3"/>
  <c r="E246" i="3"/>
  <c r="O255" i="2"/>
  <c r="P255" i="2" s="1"/>
  <c r="P308" i="2"/>
  <c r="O310" i="2"/>
  <c r="P310" i="2" s="1"/>
  <c r="E252" i="3"/>
  <c r="O263" i="2"/>
  <c r="P263" i="2" s="1"/>
  <c r="F187" i="3"/>
  <c r="H187" i="3"/>
  <c r="G187" i="3"/>
  <c r="P246" i="2"/>
  <c r="E255" i="3"/>
  <c r="O264" i="2"/>
  <c r="P264" i="2" s="1"/>
  <c r="E163" i="3"/>
  <c r="L174" i="2"/>
  <c r="L176" i="2" s="1"/>
  <c r="O172" i="2"/>
  <c r="G64" i="3"/>
  <c r="G66" i="3" s="1"/>
  <c r="G90" i="3" s="1"/>
  <c r="H64" i="3"/>
  <c r="H66" i="3" s="1"/>
  <c r="H90" i="3" s="1"/>
  <c r="E66" i="3"/>
  <c r="F64" i="3"/>
  <c r="F66" i="3" s="1"/>
  <c r="F90" i="3" s="1"/>
  <c r="O276" i="2"/>
  <c r="P276" i="2" s="1"/>
  <c r="E267" i="3"/>
  <c r="L266" i="2"/>
  <c r="H299" i="3"/>
  <c r="H301" i="3" s="1"/>
  <c r="E301" i="3"/>
  <c r="P182" i="2"/>
  <c r="Q71" i="94"/>
  <c r="M70" i="94"/>
  <c r="J75" i="94"/>
  <c r="F265" i="3"/>
  <c r="P147" i="2"/>
  <c r="O149" i="2"/>
  <c r="E321" i="3"/>
  <c r="L332" i="2"/>
  <c r="O330" i="2"/>
  <c r="E199" i="3"/>
  <c r="O208" i="2"/>
  <c r="P208" i="2" s="1"/>
  <c r="E169" i="3"/>
  <c r="L180" i="2"/>
  <c r="O178" i="2"/>
  <c r="E244" i="3"/>
  <c r="O253" i="2"/>
  <c r="P253" i="2" s="1"/>
  <c r="M71" i="94"/>
  <c r="F267" i="3"/>
  <c r="H237" i="3"/>
  <c r="G237" i="3"/>
  <c r="F237" i="3"/>
  <c r="O256" i="2"/>
  <c r="P256" i="2" s="1"/>
  <c r="O248" i="2"/>
  <c r="P248" i="2" s="1"/>
  <c r="M266" i="2"/>
  <c r="J27" i="104"/>
  <c r="M27" i="104" s="1"/>
  <c r="K11" i="104" s="1"/>
  <c r="G184" i="3"/>
  <c r="F184" i="3"/>
  <c r="H184" i="3"/>
  <c r="H174" i="3"/>
  <c r="G174" i="3"/>
  <c r="F174" i="3"/>
  <c r="H265" i="3"/>
  <c r="H270" i="3" s="1"/>
  <c r="H272" i="3" s="1"/>
  <c r="K75" i="94"/>
  <c r="H138" i="3"/>
  <c r="H140" i="3" s="1"/>
  <c r="H143" i="3" s="1"/>
  <c r="E140" i="3"/>
  <c r="G138" i="3"/>
  <c r="G140" i="3" s="1"/>
  <c r="G143" i="3" s="1"/>
  <c r="F138" i="3"/>
  <c r="F140" i="3" s="1"/>
  <c r="F143" i="3" s="1"/>
  <c r="G299" i="3" l="1"/>
  <c r="G301" i="3" s="1"/>
  <c r="I301" i="3" s="1"/>
  <c r="O188" i="2"/>
  <c r="P188" i="2" s="1"/>
  <c r="J26" i="84"/>
  <c r="F270" i="3"/>
  <c r="F272" i="3" s="1"/>
  <c r="I174" i="3"/>
  <c r="I173" i="3"/>
  <c r="I183" i="3"/>
  <c r="I218" i="3"/>
  <c r="I198" i="3"/>
  <c r="I176" i="3"/>
  <c r="I224" i="3"/>
  <c r="I184" i="3"/>
  <c r="I187" i="3"/>
  <c r="I177" i="3"/>
  <c r="I186" i="3"/>
  <c r="I175" i="3"/>
  <c r="H321" i="3"/>
  <c r="H323" i="3" s="1"/>
  <c r="E323" i="3"/>
  <c r="G321" i="3"/>
  <c r="G323" i="3" s="1"/>
  <c r="F321" i="3"/>
  <c r="F323" i="3" s="1"/>
  <c r="P326" i="2"/>
  <c r="O328" i="2"/>
  <c r="P328" i="2" s="1"/>
  <c r="F249" i="3"/>
  <c r="G249" i="3"/>
  <c r="H249" i="3"/>
  <c r="H220" i="3"/>
  <c r="F169" i="3"/>
  <c r="F171" i="3" s="1"/>
  <c r="E171" i="3"/>
  <c r="G169" i="3"/>
  <c r="G171" i="3" s="1"/>
  <c r="H169" i="3"/>
  <c r="H171" i="3" s="1"/>
  <c r="F254" i="3"/>
  <c r="G254" i="3"/>
  <c r="H254" i="3"/>
  <c r="F220" i="3"/>
  <c r="H179" i="3"/>
  <c r="G247" i="3"/>
  <c r="F247" i="3"/>
  <c r="H247" i="3"/>
  <c r="I11" i="104"/>
  <c r="M11" i="104"/>
  <c r="I140" i="3"/>
  <c r="E143" i="3"/>
  <c r="I143" i="3" s="1"/>
  <c r="P149" i="2"/>
  <c r="O152" i="2"/>
  <c r="I299" i="3"/>
  <c r="I64" i="3"/>
  <c r="E165" i="3"/>
  <c r="H163" i="3"/>
  <c r="H165" i="3" s="1"/>
  <c r="H167" i="3" s="1"/>
  <c r="F163" i="3"/>
  <c r="F165" i="3" s="1"/>
  <c r="F167" i="3" s="1"/>
  <c r="G163" i="3"/>
  <c r="G165" i="3" s="1"/>
  <c r="G167" i="3" s="1"/>
  <c r="L242" i="2"/>
  <c r="E231" i="3"/>
  <c r="O240" i="2"/>
  <c r="J62" i="94"/>
  <c r="L59" i="94"/>
  <c r="O59" i="94"/>
  <c r="G245" i="3"/>
  <c r="H245" i="3"/>
  <c r="F245" i="3"/>
  <c r="F334" i="3"/>
  <c r="C7" i="83" s="1"/>
  <c r="J28" i="83" s="1"/>
  <c r="Q75" i="94"/>
  <c r="P295" i="2"/>
  <c r="O297" i="2"/>
  <c r="P297" i="2" s="1"/>
  <c r="H246" i="3"/>
  <c r="F246" i="3"/>
  <c r="G246" i="3"/>
  <c r="O279" i="2"/>
  <c r="P274" i="2"/>
  <c r="H317" i="3"/>
  <c r="H319" i="3" s="1"/>
  <c r="F317" i="3"/>
  <c r="F319" i="3" s="1"/>
  <c r="G317" i="3"/>
  <c r="G319" i="3" s="1"/>
  <c r="E319" i="3"/>
  <c r="H189" i="3"/>
  <c r="G35" i="2"/>
  <c r="G50" i="2"/>
  <c r="I11" i="84"/>
  <c r="M11" i="84"/>
  <c r="I24" i="3"/>
  <c r="G179" i="3"/>
  <c r="H199" i="3"/>
  <c r="H202" i="3" s="1"/>
  <c r="G199" i="3"/>
  <c r="G202" i="3" s="1"/>
  <c r="F199" i="3"/>
  <c r="M74" i="94"/>
  <c r="I66" i="3"/>
  <c r="E90" i="3"/>
  <c r="I90" i="3" s="1"/>
  <c r="G251" i="3"/>
  <c r="H251" i="3"/>
  <c r="F251" i="3"/>
  <c r="F189" i="3"/>
  <c r="P28" i="2"/>
  <c r="J34" i="2"/>
  <c r="F179" i="3"/>
  <c r="G255" i="3"/>
  <c r="F255" i="3"/>
  <c r="H255" i="3"/>
  <c r="E270" i="3"/>
  <c r="I265" i="3"/>
  <c r="G189" i="3"/>
  <c r="F36" i="3"/>
  <c r="I36" i="3" s="1"/>
  <c r="I10" i="3"/>
  <c r="E334" i="3"/>
  <c r="E335" i="3" s="1"/>
  <c r="M62" i="94"/>
  <c r="G286" i="3"/>
  <c r="G288" i="3" s="1"/>
  <c r="F286" i="3"/>
  <c r="F288" i="3" s="1"/>
  <c r="H286" i="3"/>
  <c r="H288" i="3" s="1"/>
  <c r="E288" i="3"/>
  <c r="I237" i="3"/>
  <c r="H244" i="3"/>
  <c r="F244" i="3"/>
  <c r="G244" i="3"/>
  <c r="O332" i="2"/>
  <c r="P330" i="2"/>
  <c r="H239" i="3"/>
  <c r="G239" i="3"/>
  <c r="F239" i="3"/>
  <c r="I138" i="3"/>
  <c r="P178" i="2"/>
  <c r="O180" i="2"/>
  <c r="P180" i="2" s="1"/>
  <c r="L334" i="2"/>
  <c r="O266" i="2"/>
  <c r="G252" i="3"/>
  <c r="F252" i="3"/>
  <c r="H252" i="3"/>
  <c r="I222" i="3"/>
  <c r="O100" i="2"/>
  <c r="P100" i="2" s="1"/>
  <c r="P76" i="2"/>
  <c r="G205" i="3"/>
  <c r="F205" i="3"/>
  <c r="H205" i="3"/>
  <c r="G243" i="3"/>
  <c r="F243" i="3"/>
  <c r="H243" i="3"/>
  <c r="I213" i="3"/>
  <c r="E257" i="3"/>
  <c r="I267" i="3"/>
  <c r="P172" i="2"/>
  <c r="O174" i="2"/>
  <c r="E202" i="3"/>
  <c r="O211" i="2"/>
  <c r="P211" i="2" s="1"/>
  <c r="G220" i="3"/>
  <c r="H253" i="3"/>
  <c r="F253" i="3"/>
  <c r="G253" i="3"/>
  <c r="F242" i="3"/>
  <c r="G242" i="3"/>
  <c r="H242" i="3"/>
  <c r="I251" i="3" l="1"/>
  <c r="I239" i="3"/>
  <c r="I249" i="3"/>
  <c r="I189" i="3"/>
  <c r="I255" i="3"/>
  <c r="I253" i="3"/>
  <c r="I252" i="3"/>
  <c r="I244" i="3"/>
  <c r="I199" i="3"/>
  <c r="I205" i="3"/>
  <c r="I254" i="3"/>
  <c r="I247" i="3"/>
  <c r="I220" i="3"/>
  <c r="I319" i="3"/>
  <c r="I243" i="3"/>
  <c r="F257" i="3"/>
  <c r="I179" i="3"/>
  <c r="I246" i="3"/>
  <c r="I245" i="3"/>
  <c r="F325" i="3"/>
  <c r="G257" i="3"/>
  <c r="I242" i="3"/>
  <c r="H257" i="3"/>
  <c r="I317" i="3"/>
  <c r="F202" i="3"/>
  <c r="I202" i="3" s="1"/>
  <c r="I163" i="3"/>
  <c r="M35" i="2"/>
  <c r="M11" i="2" s="1"/>
  <c r="J50" i="2"/>
  <c r="B44" i="5" s="1"/>
  <c r="P34" i="2"/>
  <c r="L35" i="2"/>
  <c r="O281" i="2"/>
  <c r="P281" i="2" s="1"/>
  <c r="P279" i="2"/>
  <c r="J26" i="83"/>
  <c r="J27" i="83"/>
  <c r="M27" i="83" s="1"/>
  <c r="K11" i="83" s="1"/>
  <c r="E272" i="3"/>
  <c r="I272" i="3" s="1"/>
  <c r="I270" i="3"/>
  <c r="I321" i="3"/>
  <c r="P240" i="2"/>
  <c r="O242" i="2"/>
  <c r="P242" i="2" s="1"/>
  <c r="I165" i="3"/>
  <c r="E167" i="3"/>
  <c r="I167" i="3" s="1"/>
  <c r="I169" i="3"/>
  <c r="G325" i="3"/>
  <c r="H231" i="3"/>
  <c r="H233" i="3" s="1"/>
  <c r="F231" i="3"/>
  <c r="F233" i="3" s="1"/>
  <c r="G231" i="3"/>
  <c r="G233" i="3" s="1"/>
  <c r="E233" i="3"/>
  <c r="E325" i="3"/>
  <c r="I323" i="3"/>
  <c r="P266" i="2"/>
  <c r="P174" i="2"/>
  <c r="O176" i="2"/>
  <c r="P176" i="2" s="1"/>
  <c r="I288" i="3"/>
  <c r="H325" i="3"/>
  <c r="I334" i="3"/>
  <c r="C7" i="82"/>
  <c r="I286" i="3"/>
  <c r="O334" i="2"/>
  <c r="P332" i="2"/>
  <c r="I171" i="3"/>
  <c r="J28" i="82" l="1"/>
  <c r="J26" i="82" s="1"/>
  <c r="D7" i="82"/>
  <c r="I257" i="3"/>
  <c r="P334" i="2"/>
  <c r="M235" i="2"/>
  <c r="M238" i="2" s="1"/>
  <c r="M314" i="2"/>
  <c r="M46" i="2"/>
  <c r="M48" i="2" s="1"/>
  <c r="M50" i="2" s="1"/>
  <c r="M312" i="2"/>
  <c r="I231" i="3"/>
  <c r="B46" i="5"/>
  <c r="B50" i="5" s="1"/>
  <c r="F213" i="2" s="1"/>
  <c r="B63" i="5"/>
  <c r="B65" i="5" s="1"/>
  <c r="I11" i="83"/>
  <c r="M11" i="83"/>
  <c r="I325" i="3"/>
  <c r="I233" i="3"/>
  <c r="O35" i="2"/>
  <c r="L11" i="2"/>
  <c r="J27" i="82" l="1"/>
  <c r="M27" i="82" s="1"/>
  <c r="K11" i="82" s="1"/>
  <c r="M11" i="82" s="1"/>
  <c r="C14" i="104"/>
  <c r="J46" i="104" s="1"/>
  <c r="J47" i="104" s="1"/>
  <c r="C14" i="82"/>
  <c r="J46" i="82" s="1"/>
  <c r="J47" i="82" s="1"/>
  <c r="C14" i="83"/>
  <c r="J46" i="83" s="1"/>
  <c r="J47" i="83" s="1"/>
  <c r="C14" i="84"/>
  <c r="J46" i="84" s="1"/>
  <c r="J47" i="84" s="1"/>
  <c r="G213" i="2"/>
  <c r="F216" i="2"/>
  <c r="F268" i="2" s="1"/>
  <c r="F336" i="2" s="1"/>
  <c r="P35" i="2"/>
  <c r="M318" i="2"/>
  <c r="M324" i="2" s="1"/>
  <c r="L46" i="2"/>
  <c r="N11" i="2"/>
  <c r="L312" i="2"/>
  <c r="L235" i="2"/>
  <c r="L314" i="2"/>
  <c r="I11" i="82" l="1"/>
  <c r="O235" i="2"/>
  <c r="L238" i="2"/>
  <c r="E226" i="3"/>
  <c r="J213" i="2"/>
  <c r="G216" i="2"/>
  <c r="G268" i="2" s="1"/>
  <c r="G336" i="2" s="1"/>
  <c r="E303" i="3"/>
  <c r="O312" i="2"/>
  <c r="L318" i="2"/>
  <c r="L324" i="2" s="1"/>
  <c r="O314" i="2"/>
  <c r="E305" i="3"/>
  <c r="E37" i="3"/>
  <c r="O46" i="2"/>
  <c r="L48" i="2"/>
  <c r="L50" i="2" s="1"/>
  <c r="L51" i="2" s="1"/>
  <c r="G37" i="3" l="1"/>
  <c r="G39" i="3" s="1"/>
  <c r="G41" i="3" s="1"/>
  <c r="F37" i="3"/>
  <c r="F39" i="3" s="1"/>
  <c r="F41" i="3" s="1"/>
  <c r="H37" i="3"/>
  <c r="H39" i="3" s="1"/>
  <c r="H41" i="3" s="1"/>
  <c r="E39" i="3"/>
  <c r="G303" i="3"/>
  <c r="F303" i="3"/>
  <c r="H303" i="3"/>
  <c r="E309" i="3"/>
  <c r="H305" i="3"/>
  <c r="G305" i="3"/>
  <c r="F305" i="3"/>
  <c r="L213" i="2"/>
  <c r="M213" i="2"/>
  <c r="M216" i="2" s="1"/>
  <c r="M268" i="2" s="1"/>
  <c r="J216" i="2"/>
  <c r="J268" i="2" s="1"/>
  <c r="J336" i="2" s="1"/>
  <c r="J338" i="2" s="1"/>
  <c r="F226" i="3"/>
  <c r="F229" i="3" s="1"/>
  <c r="H226" i="3"/>
  <c r="H229" i="3" s="1"/>
  <c r="G226" i="3"/>
  <c r="G229" i="3" s="1"/>
  <c r="E229" i="3"/>
  <c r="P46" i="2"/>
  <c r="O48" i="2"/>
  <c r="O318" i="2"/>
  <c r="P312" i="2"/>
  <c r="P235" i="2"/>
  <c r="O238" i="2"/>
  <c r="F309" i="3" l="1"/>
  <c r="F315" i="3" s="1"/>
  <c r="G309" i="3"/>
  <c r="G315" i="3" s="1"/>
  <c r="H309" i="3"/>
  <c r="H315" i="3" s="1"/>
  <c r="I305" i="3"/>
  <c r="I37" i="3"/>
  <c r="P238" i="2"/>
  <c r="E204" i="3"/>
  <c r="O213" i="2"/>
  <c r="L216" i="2"/>
  <c r="L268" i="2" s="1"/>
  <c r="I229" i="3"/>
  <c r="C5" i="84"/>
  <c r="I7" i="84" s="1"/>
  <c r="I226" i="3"/>
  <c r="P318" i="2"/>
  <c r="O324" i="2"/>
  <c r="I39" i="3"/>
  <c r="E41" i="3"/>
  <c r="I303" i="3"/>
  <c r="C5" i="83"/>
  <c r="I7" i="83" s="1"/>
  <c r="P48" i="2"/>
  <c r="O50" i="2"/>
  <c r="E315" i="3"/>
  <c r="C5" i="104"/>
  <c r="I7" i="104" s="1"/>
  <c r="I315" i="3" l="1"/>
  <c r="I309" i="3"/>
  <c r="P213" i="2"/>
  <c r="O216" i="2"/>
  <c r="C5" i="82"/>
  <c r="I41" i="3"/>
  <c r="E42" i="3"/>
  <c r="G204" i="3"/>
  <c r="G207" i="3" s="1"/>
  <c r="G259" i="3" s="1"/>
  <c r="H204" i="3"/>
  <c r="H207" i="3" s="1"/>
  <c r="H259" i="3" s="1"/>
  <c r="F204" i="3"/>
  <c r="F207" i="3" s="1"/>
  <c r="F259" i="3" s="1"/>
  <c r="E207" i="3"/>
  <c r="S9" i="84"/>
  <c r="T9" i="84" s="1"/>
  <c r="U9" i="84" s="1"/>
  <c r="W9" i="84" s="1"/>
  <c r="X9" i="84" s="1"/>
  <c r="Z9" i="84" s="1"/>
  <c r="AA9" i="84" s="1"/>
  <c r="AB9" i="84" s="1"/>
  <c r="AD9" i="84" s="1"/>
  <c r="AE9" i="84" s="1"/>
  <c r="AF9" i="84" s="1"/>
  <c r="S6" i="84"/>
  <c r="T6" i="84" s="1"/>
  <c r="U6" i="84" s="1"/>
  <c r="W6" i="84" s="1"/>
  <c r="X6" i="84" s="1"/>
  <c r="Z6" i="84" s="1"/>
  <c r="AA6" i="84" s="1"/>
  <c r="AB6" i="84" s="1"/>
  <c r="AD6" i="84" s="1"/>
  <c r="AE6" i="84" s="1"/>
  <c r="AF6" i="84" s="1"/>
  <c r="J19" i="84"/>
  <c r="S7" i="84"/>
  <c r="T7" i="84" s="1"/>
  <c r="U7" i="84" s="1"/>
  <c r="W7" i="84" s="1"/>
  <c r="X7" i="84" s="1"/>
  <c r="Z7" i="84" s="1"/>
  <c r="AA7" i="84" s="1"/>
  <c r="AB7" i="84" s="1"/>
  <c r="AD7" i="84" s="1"/>
  <c r="AE7" i="84" s="1"/>
  <c r="AF7" i="84" s="1"/>
  <c r="S8" i="84"/>
  <c r="T8" i="84" s="1"/>
  <c r="U8" i="84" s="1"/>
  <c r="W8" i="84" s="1"/>
  <c r="X8" i="84" s="1"/>
  <c r="Z8" i="84" s="1"/>
  <c r="AA8" i="84" s="1"/>
  <c r="AB8" i="84" s="1"/>
  <c r="AD8" i="84" s="1"/>
  <c r="AE8" i="84" s="1"/>
  <c r="AF8" i="84" s="1"/>
  <c r="S7" i="104"/>
  <c r="T7" i="104" s="1"/>
  <c r="U7" i="104" s="1"/>
  <c r="W7" i="104" s="1"/>
  <c r="X7" i="104" s="1"/>
  <c r="Z7" i="104" s="1"/>
  <c r="AA7" i="104" s="1"/>
  <c r="AB7" i="104" s="1"/>
  <c r="AD7" i="104" s="1"/>
  <c r="AE7" i="104" s="1"/>
  <c r="AF7" i="104" s="1"/>
  <c r="S8" i="104"/>
  <c r="T8" i="104" s="1"/>
  <c r="U8" i="104" s="1"/>
  <c r="W8" i="104" s="1"/>
  <c r="X8" i="104" s="1"/>
  <c r="Z8" i="104" s="1"/>
  <c r="AA8" i="104" s="1"/>
  <c r="AB8" i="104" s="1"/>
  <c r="AD8" i="104" s="1"/>
  <c r="AE8" i="104" s="1"/>
  <c r="AF8" i="104" s="1"/>
  <c r="S6" i="104"/>
  <c r="T6" i="104" s="1"/>
  <c r="U6" i="104" s="1"/>
  <c r="W6" i="104" s="1"/>
  <c r="X6" i="104" s="1"/>
  <c r="Z6" i="104" s="1"/>
  <c r="AA6" i="104" s="1"/>
  <c r="AB6" i="104" s="1"/>
  <c r="AD6" i="104" s="1"/>
  <c r="AE6" i="104" s="1"/>
  <c r="AF6" i="104" s="1"/>
  <c r="J19" i="104"/>
  <c r="S9" i="104"/>
  <c r="T9" i="104" s="1"/>
  <c r="U9" i="104" s="1"/>
  <c r="W9" i="104" s="1"/>
  <c r="X9" i="104" s="1"/>
  <c r="Z9" i="104" s="1"/>
  <c r="AA9" i="104" s="1"/>
  <c r="AB9" i="104" s="1"/>
  <c r="AD9" i="104" s="1"/>
  <c r="AE9" i="104" s="1"/>
  <c r="AF9" i="104" s="1"/>
  <c r="J19" i="83"/>
  <c r="S7" i="83"/>
  <c r="T7" i="83" s="1"/>
  <c r="U7" i="83" s="1"/>
  <c r="W7" i="83" s="1"/>
  <c r="X7" i="83" s="1"/>
  <c r="Z7" i="83" s="1"/>
  <c r="AA7" i="83" s="1"/>
  <c r="AB7" i="83" s="1"/>
  <c r="AD7" i="83" s="1"/>
  <c r="AE7" i="83" s="1"/>
  <c r="AF7" i="83" s="1"/>
  <c r="S6" i="83"/>
  <c r="T6" i="83" s="1"/>
  <c r="U6" i="83" s="1"/>
  <c r="W6" i="83" s="1"/>
  <c r="X6" i="83" s="1"/>
  <c r="Z6" i="83" s="1"/>
  <c r="AA6" i="83" s="1"/>
  <c r="AB6" i="83" s="1"/>
  <c r="AD6" i="83" s="1"/>
  <c r="AE6" i="83" s="1"/>
  <c r="AF6" i="83" s="1"/>
  <c r="S8" i="83"/>
  <c r="T8" i="83" s="1"/>
  <c r="U8" i="83" s="1"/>
  <c r="W8" i="83" s="1"/>
  <c r="X8" i="83" s="1"/>
  <c r="Z8" i="83" s="1"/>
  <c r="AA8" i="83" s="1"/>
  <c r="AB8" i="83" s="1"/>
  <c r="AD8" i="83" s="1"/>
  <c r="AE8" i="83" s="1"/>
  <c r="AF8" i="83" s="1"/>
  <c r="S9" i="83"/>
  <c r="T9" i="83" s="1"/>
  <c r="U9" i="83" s="1"/>
  <c r="W9" i="83" s="1"/>
  <c r="X9" i="83" s="1"/>
  <c r="Z9" i="83" s="1"/>
  <c r="AA9" i="83" s="1"/>
  <c r="AB9" i="83" s="1"/>
  <c r="AD9" i="83" s="1"/>
  <c r="AE9" i="83" s="1"/>
  <c r="AF9" i="83" s="1"/>
  <c r="P324" i="2"/>
  <c r="I7" i="82" l="1"/>
  <c r="S8" i="82" s="1"/>
  <c r="T8" i="82" s="1"/>
  <c r="U8" i="82" s="1"/>
  <c r="W8" i="82" s="1"/>
  <c r="X8" i="82" s="1"/>
  <c r="Z8" i="82" s="1"/>
  <c r="AA8" i="82" s="1"/>
  <c r="AB8" i="82" s="1"/>
  <c r="AD8" i="82" s="1"/>
  <c r="AE8" i="82" s="1"/>
  <c r="AF8" i="82" s="1"/>
  <c r="D5" i="82"/>
  <c r="I204" i="3"/>
  <c r="I207" i="3"/>
  <c r="E259" i="3"/>
  <c r="P216" i="2"/>
  <c r="O268" i="2"/>
  <c r="S6" i="82" l="1"/>
  <c r="T6" i="82" s="1"/>
  <c r="U6" i="82" s="1"/>
  <c r="W6" i="82" s="1"/>
  <c r="X6" i="82" s="1"/>
  <c r="Z6" i="82" s="1"/>
  <c r="AA6" i="82" s="1"/>
  <c r="AB6" i="82" s="1"/>
  <c r="AD6" i="82" s="1"/>
  <c r="AE6" i="82" s="1"/>
  <c r="AF6" i="82" s="1"/>
  <c r="S9" i="82"/>
  <c r="T9" i="82" s="1"/>
  <c r="U9" i="82" s="1"/>
  <c r="W9" i="82" s="1"/>
  <c r="X9" i="82" s="1"/>
  <c r="Z9" i="82" s="1"/>
  <c r="AA9" i="82" s="1"/>
  <c r="AB9" i="82" s="1"/>
  <c r="AD9" i="82" s="1"/>
  <c r="AE9" i="82" s="1"/>
  <c r="AF9" i="82" s="1"/>
  <c r="S7" i="82"/>
  <c r="T7" i="82" s="1"/>
  <c r="U7" i="82" s="1"/>
  <c r="W7" i="82" s="1"/>
  <c r="X7" i="82" s="1"/>
  <c r="Z7" i="82" s="1"/>
  <c r="AA7" i="82" s="1"/>
  <c r="AB7" i="82" s="1"/>
  <c r="AD7" i="82" s="1"/>
  <c r="AE7" i="82" s="1"/>
  <c r="AF7" i="82" s="1"/>
  <c r="J19" i="82"/>
  <c r="P268" i="2"/>
  <c r="I259" i="3"/>
  <c r="B22" i="5" l="1"/>
  <c r="C19" i="7" l="1"/>
  <c r="D60" i="114" l="1"/>
  <c r="D59" i="114"/>
  <c r="G128" i="3" s="1"/>
  <c r="L137" i="2" l="1"/>
  <c r="B67" i="114"/>
  <c r="B68" i="114" s="1"/>
  <c r="E22" i="5"/>
  <c r="E128" i="3" l="1"/>
  <c r="F128" i="3" s="1"/>
  <c r="L142" i="2"/>
  <c r="L145" i="2" s="1"/>
  <c r="L336" i="2" s="1"/>
  <c r="M137" i="2"/>
  <c r="M142" i="2" s="1"/>
  <c r="M145" i="2" s="1"/>
  <c r="M336" i="2" s="1"/>
  <c r="M340" i="2" l="1"/>
  <c r="M338" i="2"/>
  <c r="O137" i="2"/>
  <c r="L340" i="2"/>
  <c r="L338" i="2"/>
  <c r="F133" i="3"/>
  <c r="F136" i="3" s="1"/>
  <c r="F327" i="3" s="1"/>
  <c r="H128" i="3"/>
  <c r="H133" i="3" s="1"/>
  <c r="H136" i="3" s="1"/>
  <c r="H327" i="3" s="1"/>
  <c r="G133" i="3"/>
  <c r="G136" i="3" s="1"/>
  <c r="G327" i="3" s="1"/>
  <c r="E133" i="3"/>
  <c r="F331" i="3" l="1"/>
  <c r="C6" i="83"/>
  <c r="I8" i="83" s="1"/>
  <c r="F329" i="3"/>
  <c r="E136" i="3"/>
  <c r="I133" i="3"/>
  <c r="O142" i="2"/>
  <c r="P137" i="2"/>
  <c r="I128" i="3"/>
  <c r="C6" i="84"/>
  <c r="I8" i="84" s="1"/>
  <c r="H331" i="3"/>
  <c r="H329" i="3"/>
  <c r="G331" i="3"/>
  <c r="C6" i="104"/>
  <c r="I8" i="104" s="1"/>
  <c r="G329" i="3"/>
  <c r="P142" i="2" l="1"/>
  <c r="O145" i="2"/>
  <c r="AG9" i="83"/>
  <c r="AH9" i="83" s="1"/>
  <c r="I16" i="83"/>
  <c r="K8" i="83"/>
  <c r="AG6" i="83"/>
  <c r="AH6" i="83" s="1"/>
  <c r="AG7" i="83"/>
  <c r="AH7" i="83" s="1"/>
  <c r="AG8" i="83"/>
  <c r="AH8" i="83" s="1"/>
  <c r="I9" i="83"/>
  <c r="I16" i="104"/>
  <c r="AG6" i="104"/>
  <c r="AH6" i="104" s="1"/>
  <c r="K8" i="104"/>
  <c r="AG8" i="104"/>
  <c r="AH8" i="104" s="1"/>
  <c r="AG7" i="104"/>
  <c r="AH7" i="104" s="1"/>
  <c r="AG9" i="104"/>
  <c r="AH9" i="104" s="1"/>
  <c r="I9" i="104"/>
  <c r="I136" i="3"/>
  <c r="E327" i="3"/>
  <c r="AG6" i="84"/>
  <c r="AH6" i="84" s="1"/>
  <c r="I16" i="84"/>
  <c r="K8" i="84"/>
  <c r="AG8" i="84"/>
  <c r="AH8" i="84" s="1"/>
  <c r="AG7" i="84"/>
  <c r="AH7" i="84" s="1"/>
  <c r="AG9" i="84"/>
  <c r="AH9" i="84" s="1"/>
  <c r="I9" i="84"/>
  <c r="E328" i="3" l="1"/>
  <c r="C6" i="82"/>
  <c r="E329" i="3"/>
  <c r="P145" i="2"/>
  <c r="O336" i="2"/>
  <c r="I8" i="82" l="1"/>
  <c r="AG7" i="82" s="1"/>
  <c r="AH7" i="82" s="1"/>
  <c r="D6" i="82"/>
  <c r="I329" i="3"/>
  <c r="E330" i="3"/>
  <c r="P336" i="2"/>
  <c r="O340" i="2"/>
  <c r="P340" i="2" s="1"/>
  <c r="O338" i="2"/>
  <c r="P338" i="2" s="1"/>
  <c r="L342" i="2"/>
  <c r="I16" i="82" l="1"/>
  <c r="AG8" i="82"/>
  <c r="AH8" i="82" s="1"/>
  <c r="I9" i="82"/>
  <c r="K8" i="82"/>
  <c r="AG9" i="82"/>
  <c r="AH9" i="82" s="1"/>
  <c r="AG6" i="82"/>
  <c r="AH6" i="82" s="1"/>
  <c r="H192" i="124"/>
  <c r="J192" i="124"/>
  <c r="H193" i="124"/>
  <c r="J193" i="124"/>
  <c r="H194" i="124"/>
  <c r="J194" i="124"/>
  <c r="AI6" i="83"/>
  <c r="AJ6" i="83"/>
  <c r="AK6" i="83"/>
  <c r="J7" i="83"/>
  <c r="K7" i="83"/>
  <c r="L7" i="83"/>
  <c r="M7" i="83"/>
  <c r="AI7" i="83"/>
  <c r="AJ7" i="83"/>
  <c r="AK7" i="83"/>
  <c r="L8" i="83"/>
  <c r="M8" i="83"/>
  <c r="AI8" i="83"/>
  <c r="AJ8" i="83"/>
  <c r="AK8" i="83"/>
  <c r="K9" i="83"/>
  <c r="M9" i="83"/>
  <c r="AI9" i="83"/>
  <c r="AJ9" i="83"/>
  <c r="AK9" i="83"/>
  <c r="S11" i="83"/>
  <c r="T11" i="83"/>
  <c r="U11" i="83"/>
  <c r="W11" i="83"/>
  <c r="X11" i="83"/>
  <c r="Z11" i="83"/>
  <c r="AA11" i="83"/>
  <c r="AB11" i="83"/>
  <c r="AD11" i="83"/>
  <c r="AE11" i="83"/>
  <c r="AF11" i="83"/>
  <c r="AG11" i="83"/>
  <c r="AH11" i="83"/>
  <c r="AI11" i="83"/>
  <c r="AJ11" i="83"/>
  <c r="AK11" i="83"/>
  <c r="I12" i="83"/>
  <c r="J12" i="83"/>
  <c r="K12" i="83"/>
  <c r="M12" i="83"/>
  <c r="S12" i="83"/>
  <c r="T12" i="83"/>
  <c r="U12" i="83"/>
  <c r="W12" i="83"/>
  <c r="X12" i="83"/>
  <c r="Z12" i="83"/>
  <c r="AA12" i="83"/>
  <c r="AB12" i="83"/>
  <c r="AD12" i="83"/>
  <c r="AE12" i="83"/>
  <c r="AF12" i="83"/>
  <c r="AG12" i="83"/>
  <c r="AH12" i="83"/>
  <c r="AI12" i="83"/>
  <c r="AJ12" i="83"/>
  <c r="AK12" i="83"/>
  <c r="S13" i="83"/>
  <c r="T13" i="83"/>
  <c r="U13" i="83"/>
  <c r="W13" i="83"/>
  <c r="X13" i="83"/>
  <c r="Z13" i="83"/>
  <c r="AA13" i="83"/>
  <c r="AB13" i="83"/>
  <c r="AD13" i="83"/>
  <c r="AE13" i="83"/>
  <c r="AF13" i="83"/>
  <c r="AG13" i="83"/>
  <c r="AH13" i="83"/>
  <c r="AI13" i="83"/>
  <c r="AJ13" i="83"/>
  <c r="AK13" i="83"/>
  <c r="I14" i="83"/>
  <c r="K14" i="83"/>
  <c r="M14" i="83"/>
  <c r="S14" i="83"/>
  <c r="T14" i="83"/>
  <c r="U14" i="83"/>
  <c r="W14" i="83"/>
  <c r="X14" i="83"/>
  <c r="Z14" i="83"/>
  <c r="AA14" i="83"/>
  <c r="AB14" i="83"/>
  <c r="AD14" i="83"/>
  <c r="AE14" i="83"/>
  <c r="AF14" i="83"/>
  <c r="AG14" i="83"/>
  <c r="AH14" i="83"/>
  <c r="AI14" i="83"/>
  <c r="AJ14" i="83"/>
  <c r="AK14" i="83"/>
  <c r="K16" i="83"/>
  <c r="M16" i="83"/>
  <c r="S16" i="83"/>
  <c r="T16" i="83"/>
  <c r="U16" i="83"/>
  <c r="W16" i="83"/>
  <c r="X16" i="83"/>
  <c r="Z16" i="83"/>
  <c r="AA16" i="83"/>
  <c r="AB16" i="83"/>
  <c r="AD16" i="83"/>
  <c r="AE16" i="83"/>
  <c r="AF16" i="83"/>
  <c r="AG16" i="83"/>
  <c r="AH16" i="83"/>
  <c r="AI16" i="83"/>
  <c r="AJ16" i="83"/>
  <c r="AK16" i="83"/>
  <c r="S17" i="83"/>
  <c r="T17" i="83"/>
  <c r="U17" i="83"/>
  <c r="W17" i="83"/>
  <c r="X17" i="83"/>
  <c r="Z17" i="83"/>
  <c r="AA17" i="83"/>
  <c r="AB17" i="83"/>
  <c r="AD17" i="83"/>
  <c r="AE17" i="83"/>
  <c r="AF17" i="83"/>
  <c r="AG17" i="83"/>
  <c r="AH17" i="83"/>
  <c r="AI17" i="83"/>
  <c r="AJ17" i="83"/>
  <c r="AK17" i="83"/>
  <c r="S18" i="83"/>
  <c r="T18" i="83"/>
  <c r="U18" i="83"/>
  <c r="W18" i="83"/>
  <c r="X18" i="83"/>
  <c r="Z18" i="83"/>
  <c r="AA18" i="83"/>
  <c r="AB18" i="83"/>
  <c r="AD18" i="83"/>
  <c r="AE18" i="83"/>
  <c r="AF18" i="83"/>
  <c r="AG18" i="83"/>
  <c r="AH18" i="83"/>
  <c r="AI18" i="83"/>
  <c r="AJ18" i="83"/>
  <c r="AK18" i="83"/>
  <c r="M19" i="83"/>
  <c r="S19" i="83"/>
  <c r="T19" i="83"/>
  <c r="U19" i="83"/>
  <c r="W19" i="83"/>
  <c r="X19" i="83"/>
  <c r="Z19" i="83"/>
  <c r="AA19" i="83"/>
  <c r="AB19" i="83"/>
  <c r="AD19" i="83"/>
  <c r="AE19" i="83"/>
  <c r="AF19" i="83"/>
  <c r="AG19" i="83"/>
  <c r="AH19" i="83"/>
  <c r="AI19" i="83"/>
  <c r="AJ19" i="83"/>
  <c r="AK19" i="83"/>
  <c r="J20" i="83"/>
  <c r="M20" i="83"/>
  <c r="J21" i="83"/>
  <c r="M21" i="83"/>
  <c r="S21" i="83"/>
  <c r="T21" i="83"/>
  <c r="U21" i="83"/>
  <c r="W21" i="83"/>
  <c r="X21" i="83"/>
  <c r="Z21" i="83"/>
  <c r="AA21" i="83"/>
  <c r="AB21" i="83"/>
  <c r="AD21" i="83"/>
  <c r="AE21" i="83"/>
  <c r="AF21" i="83"/>
  <c r="AG21" i="83"/>
  <c r="AH21" i="83"/>
  <c r="AI21" i="83"/>
  <c r="AJ21" i="83"/>
  <c r="AK21" i="83"/>
  <c r="K22" i="83"/>
  <c r="S22" i="83"/>
  <c r="T22" i="83"/>
  <c r="U22" i="83"/>
  <c r="W22" i="83"/>
  <c r="X22" i="83"/>
  <c r="Z22" i="83"/>
  <c r="AA22" i="83"/>
  <c r="AB22" i="83"/>
  <c r="AD22" i="83"/>
  <c r="AE22" i="83"/>
  <c r="AF22" i="83"/>
  <c r="AG22" i="83"/>
  <c r="AH22" i="83"/>
  <c r="AI22" i="83"/>
  <c r="AJ22" i="83"/>
  <c r="AK22" i="83"/>
  <c r="S23" i="83"/>
  <c r="T23" i="83"/>
  <c r="U23" i="83"/>
  <c r="W23" i="83"/>
  <c r="X23" i="83"/>
  <c r="Z23" i="83"/>
  <c r="AA23" i="83"/>
  <c r="AB23" i="83"/>
  <c r="AD23" i="83"/>
  <c r="AE23" i="83"/>
  <c r="AF23" i="83"/>
  <c r="AG23" i="83"/>
  <c r="AH23" i="83"/>
  <c r="AI23" i="83"/>
  <c r="AJ23" i="83"/>
  <c r="AK23" i="83"/>
  <c r="S24" i="83"/>
  <c r="T24" i="83"/>
  <c r="U24" i="83"/>
  <c r="W24" i="83"/>
  <c r="X24" i="83"/>
  <c r="Z24" i="83"/>
  <c r="AA24" i="83"/>
  <c r="AB24" i="83"/>
  <c r="AD24" i="83"/>
  <c r="AE24" i="83"/>
  <c r="AF24" i="83"/>
  <c r="AG24" i="83"/>
  <c r="AH24" i="83"/>
  <c r="AI24" i="83"/>
  <c r="AJ24" i="83"/>
  <c r="AK24" i="83"/>
  <c r="K26" i="83"/>
  <c r="L26" i="83"/>
  <c r="M26" i="83"/>
  <c r="S26" i="83"/>
  <c r="T26" i="83"/>
  <c r="U26" i="83"/>
  <c r="W26" i="83"/>
  <c r="X26" i="83"/>
  <c r="Z26" i="83"/>
  <c r="AA26" i="83"/>
  <c r="AB26" i="83"/>
  <c r="AD26" i="83"/>
  <c r="AE26" i="83"/>
  <c r="AF26" i="83"/>
  <c r="AG26" i="83"/>
  <c r="AH26" i="83"/>
  <c r="AI26" i="83"/>
  <c r="AJ26" i="83"/>
  <c r="AK26" i="83"/>
  <c r="S27" i="83"/>
  <c r="T27" i="83"/>
  <c r="U27" i="83"/>
  <c r="W27" i="83"/>
  <c r="X27" i="83"/>
  <c r="Z27" i="83"/>
  <c r="AA27" i="83"/>
  <c r="AB27" i="83"/>
  <c r="AD27" i="83"/>
  <c r="AE27" i="83"/>
  <c r="AF27" i="83"/>
  <c r="AG27" i="83"/>
  <c r="AH27" i="83"/>
  <c r="AI27" i="83"/>
  <c r="AJ27" i="83"/>
  <c r="AK27" i="83"/>
  <c r="L28" i="83"/>
  <c r="M28" i="83"/>
  <c r="S28" i="83"/>
  <c r="T28" i="83"/>
  <c r="U28" i="83"/>
  <c r="W28" i="83"/>
  <c r="X28" i="83"/>
  <c r="Z28" i="83"/>
  <c r="AA28" i="83"/>
  <c r="AB28" i="83"/>
  <c r="AD28" i="83"/>
  <c r="AE28" i="83"/>
  <c r="AF28" i="83"/>
  <c r="AG28" i="83"/>
  <c r="AH28" i="83"/>
  <c r="AI28" i="83"/>
  <c r="AJ28" i="83"/>
  <c r="AK28" i="83"/>
  <c r="S29" i="83"/>
  <c r="T29" i="83"/>
  <c r="U29" i="83"/>
  <c r="W29" i="83"/>
  <c r="X29" i="83"/>
  <c r="Z29" i="83"/>
  <c r="AA29" i="83"/>
  <c r="AB29" i="83"/>
  <c r="AD29" i="83"/>
  <c r="AE29" i="83"/>
  <c r="AF29" i="83"/>
  <c r="AG29" i="83"/>
  <c r="AH29" i="83"/>
  <c r="AI29" i="83"/>
  <c r="AJ29" i="83"/>
  <c r="AK29" i="83"/>
  <c r="S31" i="83"/>
  <c r="T31" i="83"/>
  <c r="U31" i="83"/>
  <c r="W31" i="83"/>
  <c r="X31" i="83"/>
  <c r="Z31" i="83"/>
  <c r="AA31" i="83"/>
  <c r="AB31" i="83"/>
  <c r="AD31" i="83"/>
  <c r="AE31" i="83"/>
  <c r="AF31" i="83"/>
  <c r="AG31" i="83"/>
  <c r="AH31" i="83"/>
  <c r="AI31" i="83"/>
  <c r="AJ31" i="83"/>
  <c r="AK31" i="83"/>
  <c r="S32" i="83"/>
  <c r="T32" i="83"/>
  <c r="U32" i="83"/>
  <c r="W32" i="83"/>
  <c r="X32" i="83"/>
  <c r="Z32" i="83"/>
  <c r="AA32" i="83"/>
  <c r="AB32" i="83"/>
  <c r="AD32" i="83"/>
  <c r="AE32" i="83"/>
  <c r="AF32" i="83"/>
  <c r="AG32" i="83"/>
  <c r="AH32" i="83"/>
  <c r="AI32" i="83"/>
  <c r="AJ32" i="83"/>
  <c r="AK32" i="83"/>
  <c r="J33" i="83"/>
  <c r="K33" i="83"/>
  <c r="S33" i="83"/>
  <c r="T33" i="83"/>
  <c r="U33" i="83"/>
  <c r="W33" i="83"/>
  <c r="X33" i="83"/>
  <c r="Z33" i="83"/>
  <c r="AA33" i="83"/>
  <c r="AB33" i="83"/>
  <c r="AD33" i="83"/>
  <c r="AE33" i="83"/>
  <c r="AF33" i="83"/>
  <c r="AG33" i="83"/>
  <c r="AH33" i="83"/>
  <c r="AI33" i="83"/>
  <c r="AJ33" i="83"/>
  <c r="AK33" i="83"/>
  <c r="J34" i="83"/>
  <c r="K34" i="83"/>
  <c r="S34" i="83"/>
  <c r="T34" i="83"/>
  <c r="U34" i="83"/>
  <c r="W34" i="83"/>
  <c r="X34" i="83"/>
  <c r="Z34" i="83"/>
  <c r="AA34" i="83"/>
  <c r="AB34" i="83"/>
  <c r="AD34" i="83"/>
  <c r="AE34" i="83"/>
  <c r="AF34" i="83"/>
  <c r="AG34" i="83"/>
  <c r="AH34" i="83"/>
  <c r="AI34" i="83"/>
  <c r="AJ34" i="83"/>
  <c r="AK34" i="83"/>
  <c r="J35" i="83"/>
  <c r="K35" i="83"/>
  <c r="J36" i="83"/>
  <c r="K36" i="83"/>
  <c r="S36" i="83"/>
  <c r="T36" i="83"/>
  <c r="U36" i="83"/>
  <c r="W36" i="83"/>
  <c r="X36" i="83"/>
  <c r="Z36" i="83"/>
  <c r="AA36" i="83"/>
  <c r="AB36" i="83"/>
  <c r="AD36" i="83"/>
  <c r="AE36" i="83"/>
  <c r="AF36" i="83"/>
  <c r="AG36" i="83"/>
  <c r="AH36" i="83"/>
  <c r="AI36" i="83"/>
  <c r="AJ36" i="83"/>
  <c r="AK36" i="83"/>
  <c r="J37" i="83"/>
  <c r="K37" i="83"/>
  <c r="S37" i="83"/>
  <c r="T37" i="83"/>
  <c r="U37" i="83"/>
  <c r="W37" i="83"/>
  <c r="X37" i="83"/>
  <c r="Z37" i="83"/>
  <c r="AA37" i="83"/>
  <c r="AB37" i="83"/>
  <c r="AD37" i="83"/>
  <c r="AE37" i="83"/>
  <c r="AF37" i="83"/>
  <c r="AG37" i="83"/>
  <c r="AH37" i="83"/>
  <c r="AI37" i="83"/>
  <c r="AJ37" i="83"/>
  <c r="AK37" i="83"/>
  <c r="S38" i="83"/>
  <c r="T38" i="83"/>
  <c r="U38" i="83"/>
  <c r="W38" i="83"/>
  <c r="X38" i="83"/>
  <c r="Z38" i="83"/>
  <c r="AA38" i="83"/>
  <c r="AB38" i="83"/>
  <c r="AD38" i="83"/>
  <c r="AE38" i="83"/>
  <c r="AF38" i="83"/>
  <c r="AG38" i="83"/>
  <c r="AH38" i="83"/>
  <c r="AI38" i="83"/>
  <c r="AJ38" i="83"/>
  <c r="AK38" i="83"/>
  <c r="S39" i="83"/>
  <c r="T39" i="83"/>
  <c r="U39" i="83"/>
  <c r="W39" i="83"/>
  <c r="X39" i="83"/>
  <c r="Z39" i="83"/>
  <c r="AA39" i="83"/>
  <c r="AB39" i="83"/>
  <c r="AD39" i="83"/>
  <c r="AE39" i="83"/>
  <c r="AF39" i="83"/>
  <c r="AG39" i="83"/>
  <c r="AH39" i="83"/>
  <c r="AI39" i="83"/>
  <c r="AJ39" i="83"/>
  <c r="AK39" i="83"/>
  <c r="K43" i="83"/>
  <c r="V43" i="83"/>
  <c r="K44" i="83"/>
  <c r="V44" i="83"/>
  <c r="K45" i="83"/>
  <c r="V45" i="83"/>
  <c r="K46" i="83"/>
  <c r="K47" i="83"/>
  <c r="R47" i="83"/>
  <c r="R48" i="83"/>
  <c r="J49" i="83"/>
  <c r="R50" i="83"/>
  <c r="Y62" i="83"/>
  <c r="Z62" i="83"/>
  <c r="Y63" i="83"/>
  <c r="Z63" i="83"/>
  <c r="Y64" i="83"/>
  <c r="Z64" i="83"/>
  <c r="Y65" i="83"/>
  <c r="Z65" i="83"/>
  <c r="Y66" i="83"/>
  <c r="Z66" i="83"/>
  <c r="AI6" i="84"/>
  <c r="AJ6" i="84"/>
  <c r="AK6" i="84"/>
  <c r="J7" i="84"/>
  <c r="K7" i="84"/>
  <c r="L7" i="84"/>
  <c r="M7" i="84"/>
  <c r="AI7" i="84"/>
  <c r="AJ7" i="84"/>
  <c r="AK7" i="84"/>
  <c r="L8" i="84"/>
  <c r="M8" i="84"/>
  <c r="AI8" i="84"/>
  <c r="AJ8" i="84"/>
  <c r="AK8" i="84"/>
  <c r="K9" i="84"/>
  <c r="M9" i="84"/>
  <c r="AI9" i="84"/>
  <c r="AJ9" i="84"/>
  <c r="AK9" i="84"/>
  <c r="S11" i="84"/>
  <c r="T11" i="84"/>
  <c r="U11" i="84"/>
  <c r="W11" i="84"/>
  <c r="X11" i="84"/>
  <c r="Z11" i="84"/>
  <c r="AA11" i="84"/>
  <c r="AB11" i="84"/>
  <c r="AD11" i="84"/>
  <c r="AE11" i="84"/>
  <c r="AF11" i="84"/>
  <c r="AG11" i="84"/>
  <c r="AH11" i="84"/>
  <c r="AI11" i="84"/>
  <c r="AJ11" i="84"/>
  <c r="AK11" i="84"/>
  <c r="I12" i="84"/>
  <c r="J12" i="84"/>
  <c r="K12" i="84"/>
  <c r="M12" i="84"/>
  <c r="S12" i="84"/>
  <c r="T12" i="84"/>
  <c r="U12" i="84"/>
  <c r="W12" i="84"/>
  <c r="X12" i="84"/>
  <c r="Z12" i="84"/>
  <c r="AA12" i="84"/>
  <c r="AB12" i="84"/>
  <c r="AD12" i="84"/>
  <c r="AE12" i="84"/>
  <c r="AF12" i="84"/>
  <c r="AG12" i="84"/>
  <c r="AH12" i="84"/>
  <c r="AI12" i="84"/>
  <c r="AJ12" i="84"/>
  <c r="AK12" i="84"/>
  <c r="S13" i="84"/>
  <c r="T13" i="84"/>
  <c r="U13" i="84"/>
  <c r="W13" i="84"/>
  <c r="X13" i="84"/>
  <c r="Z13" i="84"/>
  <c r="AA13" i="84"/>
  <c r="AB13" i="84"/>
  <c r="AD13" i="84"/>
  <c r="AE13" i="84"/>
  <c r="AF13" i="84"/>
  <c r="AG13" i="84"/>
  <c r="AH13" i="84"/>
  <c r="AI13" i="84"/>
  <c r="AJ13" i="84"/>
  <c r="AK13" i="84"/>
  <c r="I14" i="84"/>
  <c r="K14" i="84"/>
  <c r="M14" i="84"/>
  <c r="S14" i="84"/>
  <c r="T14" i="84"/>
  <c r="U14" i="84"/>
  <c r="W14" i="84"/>
  <c r="X14" i="84"/>
  <c r="Z14" i="84"/>
  <c r="AA14" i="84"/>
  <c r="AB14" i="84"/>
  <c r="AD14" i="84"/>
  <c r="AE14" i="84"/>
  <c r="AF14" i="84"/>
  <c r="AG14" i="84"/>
  <c r="AH14" i="84"/>
  <c r="AI14" i="84"/>
  <c r="AJ14" i="84"/>
  <c r="AK14" i="84"/>
  <c r="K16" i="84"/>
  <c r="M16" i="84"/>
  <c r="S16" i="84"/>
  <c r="T16" i="84"/>
  <c r="U16" i="84"/>
  <c r="W16" i="84"/>
  <c r="X16" i="84"/>
  <c r="Z16" i="84"/>
  <c r="AA16" i="84"/>
  <c r="AB16" i="84"/>
  <c r="AD16" i="84"/>
  <c r="AE16" i="84"/>
  <c r="AF16" i="84"/>
  <c r="AG16" i="84"/>
  <c r="AH16" i="84"/>
  <c r="AI16" i="84"/>
  <c r="AJ16" i="84"/>
  <c r="AK16" i="84"/>
  <c r="S17" i="84"/>
  <c r="T17" i="84"/>
  <c r="U17" i="84"/>
  <c r="W17" i="84"/>
  <c r="X17" i="84"/>
  <c r="Z17" i="84"/>
  <c r="AA17" i="84"/>
  <c r="AB17" i="84"/>
  <c r="AD17" i="84"/>
  <c r="AE17" i="84"/>
  <c r="AF17" i="84"/>
  <c r="AG17" i="84"/>
  <c r="AH17" i="84"/>
  <c r="AI17" i="84"/>
  <c r="AJ17" i="84"/>
  <c r="AK17" i="84"/>
  <c r="S18" i="84"/>
  <c r="T18" i="84"/>
  <c r="U18" i="84"/>
  <c r="W18" i="84"/>
  <c r="X18" i="84"/>
  <c r="Z18" i="84"/>
  <c r="AA18" i="84"/>
  <c r="AB18" i="84"/>
  <c r="AD18" i="84"/>
  <c r="AE18" i="84"/>
  <c r="AF18" i="84"/>
  <c r="AG18" i="84"/>
  <c r="AH18" i="84"/>
  <c r="AI18" i="84"/>
  <c r="AJ18" i="84"/>
  <c r="AK18" i="84"/>
  <c r="M19" i="84"/>
  <c r="S19" i="84"/>
  <c r="T19" i="84"/>
  <c r="U19" i="84"/>
  <c r="W19" i="84"/>
  <c r="X19" i="84"/>
  <c r="Z19" i="84"/>
  <c r="AA19" i="84"/>
  <c r="AB19" i="84"/>
  <c r="AD19" i="84"/>
  <c r="AE19" i="84"/>
  <c r="AF19" i="84"/>
  <c r="AG19" i="84"/>
  <c r="AH19" i="84"/>
  <c r="AI19" i="84"/>
  <c r="AJ19" i="84"/>
  <c r="AK19" i="84"/>
  <c r="J20" i="84"/>
  <c r="M20" i="84"/>
  <c r="J21" i="84"/>
  <c r="M21" i="84"/>
  <c r="S21" i="84"/>
  <c r="T21" i="84"/>
  <c r="U21" i="84"/>
  <c r="W21" i="84"/>
  <c r="X21" i="84"/>
  <c r="Z21" i="84"/>
  <c r="AA21" i="84"/>
  <c r="AB21" i="84"/>
  <c r="AD21" i="84"/>
  <c r="AE21" i="84"/>
  <c r="AF21" i="84"/>
  <c r="AG21" i="84"/>
  <c r="AH21" i="84"/>
  <c r="AI21" i="84"/>
  <c r="AJ21" i="84"/>
  <c r="AK21" i="84"/>
  <c r="K22" i="84"/>
  <c r="S22" i="84"/>
  <c r="T22" i="84"/>
  <c r="U22" i="84"/>
  <c r="W22" i="84"/>
  <c r="X22" i="84"/>
  <c r="Z22" i="84"/>
  <c r="AA22" i="84"/>
  <c r="AB22" i="84"/>
  <c r="AD22" i="84"/>
  <c r="AE22" i="84"/>
  <c r="AF22" i="84"/>
  <c r="AG22" i="84"/>
  <c r="AH22" i="84"/>
  <c r="AI22" i="84"/>
  <c r="AJ22" i="84"/>
  <c r="AK22" i="84"/>
  <c r="S23" i="84"/>
  <c r="T23" i="84"/>
  <c r="U23" i="84"/>
  <c r="W23" i="84"/>
  <c r="X23" i="84"/>
  <c r="Z23" i="84"/>
  <c r="AA23" i="84"/>
  <c r="AB23" i="84"/>
  <c r="AD23" i="84"/>
  <c r="AE23" i="84"/>
  <c r="AF23" i="84"/>
  <c r="AG23" i="84"/>
  <c r="AH23" i="84"/>
  <c r="AI23" i="84"/>
  <c r="AJ23" i="84"/>
  <c r="AK23" i="84"/>
  <c r="S24" i="84"/>
  <c r="T24" i="84"/>
  <c r="U24" i="84"/>
  <c r="W24" i="84"/>
  <c r="X24" i="84"/>
  <c r="Z24" i="84"/>
  <c r="AA24" i="84"/>
  <c r="AB24" i="84"/>
  <c r="AD24" i="84"/>
  <c r="AE24" i="84"/>
  <c r="AF24" i="84"/>
  <c r="AG24" i="84"/>
  <c r="AH24" i="84"/>
  <c r="AI24" i="84"/>
  <c r="AJ24" i="84"/>
  <c r="AK24" i="84"/>
  <c r="K26" i="84"/>
  <c r="L26" i="84"/>
  <c r="M26" i="84"/>
  <c r="S26" i="84"/>
  <c r="T26" i="84"/>
  <c r="U26" i="84"/>
  <c r="W26" i="84"/>
  <c r="X26" i="84"/>
  <c r="Z26" i="84"/>
  <c r="AA26" i="84"/>
  <c r="AB26" i="84"/>
  <c r="AD26" i="84"/>
  <c r="AE26" i="84"/>
  <c r="AF26" i="84"/>
  <c r="AG26" i="84"/>
  <c r="AH26" i="84"/>
  <c r="AI26" i="84"/>
  <c r="AJ26" i="84"/>
  <c r="AK26" i="84"/>
  <c r="S27" i="84"/>
  <c r="T27" i="84"/>
  <c r="U27" i="84"/>
  <c r="W27" i="84"/>
  <c r="X27" i="84"/>
  <c r="Z27" i="84"/>
  <c r="AA27" i="84"/>
  <c r="AB27" i="84"/>
  <c r="AD27" i="84"/>
  <c r="AE27" i="84"/>
  <c r="AF27" i="84"/>
  <c r="AG27" i="84"/>
  <c r="AH27" i="84"/>
  <c r="AI27" i="84"/>
  <c r="AJ27" i="84"/>
  <c r="AK27" i="84"/>
  <c r="L28" i="84"/>
  <c r="M28" i="84"/>
  <c r="S28" i="84"/>
  <c r="T28" i="84"/>
  <c r="U28" i="84"/>
  <c r="W28" i="84"/>
  <c r="X28" i="84"/>
  <c r="Z28" i="84"/>
  <c r="AA28" i="84"/>
  <c r="AB28" i="84"/>
  <c r="AD28" i="84"/>
  <c r="AE28" i="84"/>
  <c r="AF28" i="84"/>
  <c r="AG28" i="84"/>
  <c r="AH28" i="84"/>
  <c r="AI28" i="84"/>
  <c r="AJ28" i="84"/>
  <c r="AK28" i="84"/>
  <c r="S29" i="84"/>
  <c r="T29" i="84"/>
  <c r="U29" i="84"/>
  <c r="W29" i="84"/>
  <c r="X29" i="84"/>
  <c r="Z29" i="84"/>
  <c r="AA29" i="84"/>
  <c r="AB29" i="84"/>
  <c r="AD29" i="84"/>
  <c r="AE29" i="84"/>
  <c r="AF29" i="84"/>
  <c r="AG29" i="84"/>
  <c r="AH29" i="84"/>
  <c r="AI29" i="84"/>
  <c r="AJ29" i="84"/>
  <c r="AK29" i="84"/>
  <c r="S31" i="84"/>
  <c r="T31" i="84"/>
  <c r="U31" i="84"/>
  <c r="W31" i="84"/>
  <c r="X31" i="84"/>
  <c r="Z31" i="84"/>
  <c r="AA31" i="84"/>
  <c r="AB31" i="84"/>
  <c r="AD31" i="84"/>
  <c r="AE31" i="84"/>
  <c r="AF31" i="84"/>
  <c r="AG31" i="84"/>
  <c r="AH31" i="84"/>
  <c r="AI31" i="84"/>
  <c r="AJ31" i="84"/>
  <c r="AK31" i="84"/>
  <c r="S32" i="84"/>
  <c r="T32" i="84"/>
  <c r="U32" i="84"/>
  <c r="W32" i="84"/>
  <c r="X32" i="84"/>
  <c r="Z32" i="84"/>
  <c r="AA32" i="84"/>
  <c r="AB32" i="84"/>
  <c r="AD32" i="84"/>
  <c r="AE32" i="84"/>
  <c r="AF32" i="84"/>
  <c r="AG32" i="84"/>
  <c r="AH32" i="84"/>
  <c r="AI32" i="84"/>
  <c r="AJ32" i="84"/>
  <c r="AK32" i="84"/>
  <c r="J33" i="84"/>
  <c r="K33" i="84"/>
  <c r="S33" i="84"/>
  <c r="T33" i="84"/>
  <c r="U33" i="84"/>
  <c r="W33" i="84"/>
  <c r="X33" i="84"/>
  <c r="Z33" i="84"/>
  <c r="AA33" i="84"/>
  <c r="AB33" i="84"/>
  <c r="AD33" i="84"/>
  <c r="AE33" i="84"/>
  <c r="AF33" i="84"/>
  <c r="AG33" i="84"/>
  <c r="AH33" i="84"/>
  <c r="AI33" i="84"/>
  <c r="AJ33" i="84"/>
  <c r="AK33" i="84"/>
  <c r="J34" i="84"/>
  <c r="K34" i="84"/>
  <c r="S34" i="84"/>
  <c r="T34" i="84"/>
  <c r="U34" i="84"/>
  <c r="W34" i="84"/>
  <c r="X34" i="84"/>
  <c r="Z34" i="84"/>
  <c r="AA34" i="84"/>
  <c r="AB34" i="84"/>
  <c r="AD34" i="84"/>
  <c r="AE34" i="84"/>
  <c r="AF34" i="84"/>
  <c r="AG34" i="84"/>
  <c r="AH34" i="84"/>
  <c r="AI34" i="84"/>
  <c r="AJ34" i="84"/>
  <c r="AK34" i="84"/>
  <c r="J35" i="84"/>
  <c r="K35" i="84"/>
  <c r="J36" i="84"/>
  <c r="K36" i="84"/>
  <c r="S36" i="84"/>
  <c r="T36" i="84"/>
  <c r="U36" i="84"/>
  <c r="W36" i="84"/>
  <c r="X36" i="84"/>
  <c r="Z36" i="84"/>
  <c r="AA36" i="84"/>
  <c r="AB36" i="84"/>
  <c r="AD36" i="84"/>
  <c r="AE36" i="84"/>
  <c r="AF36" i="84"/>
  <c r="AG36" i="84"/>
  <c r="AH36" i="84"/>
  <c r="AI36" i="84"/>
  <c r="AJ36" i="84"/>
  <c r="AK36" i="84"/>
  <c r="J37" i="84"/>
  <c r="K37" i="84"/>
  <c r="S37" i="84"/>
  <c r="T37" i="84"/>
  <c r="U37" i="84"/>
  <c r="W37" i="84"/>
  <c r="X37" i="84"/>
  <c r="Z37" i="84"/>
  <c r="AA37" i="84"/>
  <c r="AB37" i="84"/>
  <c r="AD37" i="84"/>
  <c r="AE37" i="84"/>
  <c r="AF37" i="84"/>
  <c r="AG37" i="84"/>
  <c r="AH37" i="84"/>
  <c r="AI37" i="84"/>
  <c r="AJ37" i="84"/>
  <c r="AK37" i="84"/>
  <c r="S38" i="84"/>
  <c r="T38" i="84"/>
  <c r="U38" i="84"/>
  <c r="W38" i="84"/>
  <c r="X38" i="84"/>
  <c r="Z38" i="84"/>
  <c r="AA38" i="84"/>
  <c r="AB38" i="84"/>
  <c r="AD38" i="84"/>
  <c r="AE38" i="84"/>
  <c r="AF38" i="84"/>
  <c r="AG38" i="84"/>
  <c r="AH38" i="84"/>
  <c r="AI38" i="84"/>
  <c r="AJ38" i="84"/>
  <c r="AK38" i="84"/>
  <c r="S39" i="84"/>
  <c r="T39" i="84"/>
  <c r="U39" i="84"/>
  <c r="W39" i="84"/>
  <c r="X39" i="84"/>
  <c r="Z39" i="84"/>
  <c r="AA39" i="84"/>
  <c r="AB39" i="84"/>
  <c r="AD39" i="84"/>
  <c r="AE39" i="84"/>
  <c r="AF39" i="84"/>
  <c r="AG39" i="84"/>
  <c r="AH39" i="84"/>
  <c r="AI39" i="84"/>
  <c r="AJ39" i="84"/>
  <c r="AK39" i="84"/>
  <c r="K43" i="84"/>
  <c r="V43" i="84"/>
  <c r="K44" i="84"/>
  <c r="V44" i="84"/>
  <c r="K45" i="84"/>
  <c r="V45" i="84"/>
  <c r="K46" i="84"/>
  <c r="K47" i="84"/>
  <c r="R47" i="84"/>
  <c r="R48" i="84"/>
  <c r="J49" i="84"/>
  <c r="R50" i="84"/>
  <c r="Y62" i="84"/>
  <c r="Z62" i="84"/>
  <c r="Y63" i="84"/>
  <c r="Z63" i="84"/>
  <c r="Y64" i="84"/>
  <c r="Z64" i="84"/>
  <c r="Y65" i="84"/>
  <c r="Z65" i="84"/>
  <c r="Y66" i="84"/>
  <c r="Z66" i="84"/>
  <c r="AI6" i="82"/>
  <c r="AJ6" i="82"/>
  <c r="AK6" i="82"/>
  <c r="J7" i="82"/>
  <c r="K7" i="82"/>
  <c r="L7" i="82"/>
  <c r="M7" i="82"/>
  <c r="AI7" i="82"/>
  <c r="AJ7" i="82"/>
  <c r="AK7" i="82"/>
  <c r="L8" i="82"/>
  <c r="M8" i="82"/>
  <c r="AI8" i="82"/>
  <c r="AJ8" i="82"/>
  <c r="AK8" i="82"/>
  <c r="K9" i="82"/>
  <c r="M9" i="82"/>
  <c r="AI9" i="82"/>
  <c r="AJ9" i="82"/>
  <c r="AK9" i="82"/>
  <c r="S11" i="82"/>
  <c r="T11" i="82"/>
  <c r="U11" i="82"/>
  <c r="W11" i="82"/>
  <c r="X11" i="82"/>
  <c r="Z11" i="82"/>
  <c r="AA11" i="82"/>
  <c r="AB11" i="82"/>
  <c r="AD11" i="82"/>
  <c r="AE11" i="82"/>
  <c r="AF11" i="82"/>
  <c r="AG11" i="82"/>
  <c r="AH11" i="82"/>
  <c r="AI11" i="82"/>
  <c r="AJ11" i="82"/>
  <c r="AK11" i="82"/>
  <c r="I12" i="82"/>
  <c r="J12" i="82"/>
  <c r="K12" i="82"/>
  <c r="M12" i="82"/>
  <c r="S12" i="82"/>
  <c r="T12" i="82"/>
  <c r="U12" i="82"/>
  <c r="W12" i="82"/>
  <c r="X12" i="82"/>
  <c r="Z12" i="82"/>
  <c r="AA12" i="82"/>
  <c r="AB12" i="82"/>
  <c r="AD12" i="82"/>
  <c r="AE12" i="82"/>
  <c r="AF12" i="82"/>
  <c r="AG12" i="82"/>
  <c r="AH12" i="82"/>
  <c r="AI12" i="82"/>
  <c r="AJ12" i="82"/>
  <c r="AK12" i="82"/>
  <c r="S13" i="82"/>
  <c r="T13" i="82"/>
  <c r="U13" i="82"/>
  <c r="W13" i="82"/>
  <c r="X13" i="82"/>
  <c r="Z13" i="82"/>
  <c r="AA13" i="82"/>
  <c r="AB13" i="82"/>
  <c r="AD13" i="82"/>
  <c r="AE13" i="82"/>
  <c r="AF13" i="82"/>
  <c r="AG13" i="82"/>
  <c r="AH13" i="82"/>
  <c r="AI13" i="82"/>
  <c r="AJ13" i="82"/>
  <c r="AK13" i="82"/>
  <c r="I14" i="82"/>
  <c r="K14" i="82"/>
  <c r="M14" i="82"/>
  <c r="S14" i="82"/>
  <c r="T14" i="82"/>
  <c r="U14" i="82"/>
  <c r="W14" i="82"/>
  <c r="X14" i="82"/>
  <c r="Z14" i="82"/>
  <c r="AA14" i="82"/>
  <c r="AB14" i="82"/>
  <c r="AD14" i="82"/>
  <c r="AE14" i="82"/>
  <c r="AF14" i="82"/>
  <c r="AG14" i="82"/>
  <c r="AH14" i="82"/>
  <c r="AI14" i="82"/>
  <c r="AJ14" i="82"/>
  <c r="AK14" i="82"/>
  <c r="K16" i="82"/>
  <c r="M16" i="82"/>
  <c r="S16" i="82"/>
  <c r="T16" i="82"/>
  <c r="U16" i="82"/>
  <c r="W16" i="82"/>
  <c r="X16" i="82"/>
  <c r="Z16" i="82"/>
  <c r="AA16" i="82"/>
  <c r="AB16" i="82"/>
  <c r="AD16" i="82"/>
  <c r="AE16" i="82"/>
  <c r="AF16" i="82"/>
  <c r="AG16" i="82"/>
  <c r="AH16" i="82"/>
  <c r="AI16" i="82"/>
  <c r="AJ16" i="82"/>
  <c r="AK16" i="82"/>
  <c r="S17" i="82"/>
  <c r="T17" i="82"/>
  <c r="U17" i="82"/>
  <c r="W17" i="82"/>
  <c r="X17" i="82"/>
  <c r="Z17" i="82"/>
  <c r="AA17" i="82"/>
  <c r="AB17" i="82"/>
  <c r="AD17" i="82"/>
  <c r="AE17" i="82"/>
  <c r="AF17" i="82"/>
  <c r="AG17" i="82"/>
  <c r="AH17" i="82"/>
  <c r="AI17" i="82"/>
  <c r="AJ17" i="82"/>
  <c r="AK17" i="82"/>
  <c r="S18" i="82"/>
  <c r="T18" i="82"/>
  <c r="U18" i="82"/>
  <c r="W18" i="82"/>
  <c r="X18" i="82"/>
  <c r="Z18" i="82"/>
  <c r="AA18" i="82"/>
  <c r="AB18" i="82"/>
  <c r="AD18" i="82"/>
  <c r="AE18" i="82"/>
  <c r="AF18" i="82"/>
  <c r="AG18" i="82"/>
  <c r="AH18" i="82"/>
  <c r="AI18" i="82"/>
  <c r="AJ18" i="82"/>
  <c r="AK18" i="82"/>
  <c r="M19" i="82"/>
  <c r="S19" i="82"/>
  <c r="T19" i="82"/>
  <c r="U19" i="82"/>
  <c r="W19" i="82"/>
  <c r="X19" i="82"/>
  <c r="Z19" i="82"/>
  <c r="AA19" i="82"/>
  <c r="AB19" i="82"/>
  <c r="AD19" i="82"/>
  <c r="AE19" i="82"/>
  <c r="AF19" i="82"/>
  <c r="AG19" i="82"/>
  <c r="AH19" i="82"/>
  <c r="AI19" i="82"/>
  <c r="AJ19" i="82"/>
  <c r="AK19" i="82"/>
  <c r="J20" i="82"/>
  <c r="M20" i="82"/>
  <c r="J21" i="82"/>
  <c r="M21" i="82"/>
  <c r="S21" i="82"/>
  <c r="T21" i="82"/>
  <c r="U21" i="82"/>
  <c r="W21" i="82"/>
  <c r="X21" i="82"/>
  <c r="Z21" i="82"/>
  <c r="AA21" i="82"/>
  <c r="AB21" i="82"/>
  <c r="AD21" i="82"/>
  <c r="AE21" i="82"/>
  <c r="AF21" i="82"/>
  <c r="AG21" i="82"/>
  <c r="AH21" i="82"/>
  <c r="AI21" i="82"/>
  <c r="AJ21" i="82"/>
  <c r="AK21" i="82"/>
  <c r="K22" i="82"/>
  <c r="S22" i="82"/>
  <c r="T22" i="82"/>
  <c r="U22" i="82"/>
  <c r="W22" i="82"/>
  <c r="X22" i="82"/>
  <c r="Z22" i="82"/>
  <c r="AA22" i="82"/>
  <c r="AB22" i="82"/>
  <c r="AD22" i="82"/>
  <c r="AE22" i="82"/>
  <c r="AF22" i="82"/>
  <c r="AG22" i="82"/>
  <c r="AH22" i="82"/>
  <c r="AI22" i="82"/>
  <c r="AJ22" i="82"/>
  <c r="AK22" i="82"/>
  <c r="S23" i="82"/>
  <c r="T23" i="82"/>
  <c r="U23" i="82"/>
  <c r="W23" i="82"/>
  <c r="X23" i="82"/>
  <c r="Z23" i="82"/>
  <c r="AA23" i="82"/>
  <c r="AB23" i="82"/>
  <c r="AD23" i="82"/>
  <c r="AE23" i="82"/>
  <c r="AF23" i="82"/>
  <c r="AG23" i="82"/>
  <c r="AH23" i="82"/>
  <c r="AI23" i="82"/>
  <c r="AJ23" i="82"/>
  <c r="AK23" i="82"/>
  <c r="S24" i="82"/>
  <c r="T24" i="82"/>
  <c r="U24" i="82"/>
  <c r="W24" i="82"/>
  <c r="X24" i="82"/>
  <c r="Z24" i="82"/>
  <c r="AA24" i="82"/>
  <c r="AB24" i="82"/>
  <c r="AD24" i="82"/>
  <c r="AE24" i="82"/>
  <c r="AF24" i="82"/>
  <c r="AG24" i="82"/>
  <c r="AH24" i="82"/>
  <c r="AI24" i="82"/>
  <c r="AJ24" i="82"/>
  <c r="AK24" i="82"/>
  <c r="K26" i="82"/>
  <c r="L26" i="82"/>
  <c r="M26" i="82"/>
  <c r="S26" i="82"/>
  <c r="T26" i="82"/>
  <c r="U26" i="82"/>
  <c r="W26" i="82"/>
  <c r="X26" i="82"/>
  <c r="Z26" i="82"/>
  <c r="AA26" i="82"/>
  <c r="AB26" i="82"/>
  <c r="AD26" i="82"/>
  <c r="AE26" i="82"/>
  <c r="AF26" i="82"/>
  <c r="AG26" i="82"/>
  <c r="AH26" i="82"/>
  <c r="AI26" i="82"/>
  <c r="AJ26" i="82"/>
  <c r="AK26" i="82"/>
  <c r="S27" i="82"/>
  <c r="T27" i="82"/>
  <c r="U27" i="82"/>
  <c r="W27" i="82"/>
  <c r="X27" i="82"/>
  <c r="Z27" i="82"/>
  <c r="AA27" i="82"/>
  <c r="AB27" i="82"/>
  <c r="AD27" i="82"/>
  <c r="AE27" i="82"/>
  <c r="AF27" i="82"/>
  <c r="AG27" i="82"/>
  <c r="AH27" i="82"/>
  <c r="AI27" i="82"/>
  <c r="AJ27" i="82"/>
  <c r="AK27" i="82"/>
  <c r="L28" i="82"/>
  <c r="M28" i="82"/>
  <c r="S28" i="82"/>
  <c r="T28" i="82"/>
  <c r="U28" i="82"/>
  <c r="W28" i="82"/>
  <c r="X28" i="82"/>
  <c r="Z28" i="82"/>
  <c r="AA28" i="82"/>
  <c r="AB28" i="82"/>
  <c r="AD28" i="82"/>
  <c r="AE28" i="82"/>
  <c r="AF28" i="82"/>
  <c r="AG28" i="82"/>
  <c r="AH28" i="82"/>
  <c r="AI28" i="82"/>
  <c r="AJ28" i="82"/>
  <c r="AK28" i="82"/>
  <c r="S29" i="82"/>
  <c r="T29" i="82"/>
  <c r="U29" i="82"/>
  <c r="W29" i="82"/>
  <c r="X29" i="82"/>
  <c r="Z29" i="82"/>
  <c r="AA29" i="82"/>
  <c r="AB29" i="82"/>
  <c r="AD29" i="82"/>
  <c r="AE29" i="82"/>
  <c r="AF29" i="82"/>
  <c r="AG29" i="82"/>
  <c r="AH29" i="82"/>
  <c r="AI29" i="82"/>
  <c r="AJ29" i="82"/>
  <c r="AK29" i="82"/>
  <c r="S31" i="82"/>
  <c r="T31" i="82"/>
  <c r="U31" i="82"/>
  <c r="W31" i="82"/>
  <c r="X31" i="82"/>
  <c r="Z31" i="82"/>
  <c r="AA31" i="82"/>
  <c r="AB31" i="82"/>
  <c r="AD31" i="82"/>
  <c r="AE31" i="82"/>
  <c r="AF31" i="82"/>
  <c r="AG31" i="82"/>
  <c r="AH31" i="82"/>
  <c r="AI31" i="82"/>
  <c r="AJ31" i="82"/>
  <c r="AK31" i="82"/>
  <c r="S32" i="82"/>
  <c r="T32" i="82"/>
  <c r="U32" i="82"/>
  <c r="W32" i="82"/>
  <c r="X32" i="82"/>
  <c r="Z32" i="82"/>
  <c r="AA32" i="82"/>
  <c r="AB32" i="82"/>
  <c r="AD32" i="82"/>
  <c r="AE32" i="82"/>
  <c r="AF32" i="82"/>
  <c r="AG32" i="82"/>
  <c r="AH32" i="82"/>
  <c r="AI32" i="82"/>
  <c r="AJ32" i="82"/>
  <c r="AK32" i="82"/>
  <c r="J33" i="82"/>
  <c r="K33" i="82"/>
  <c r="S33" i="82"/>
  <c r="T33" i="82"/>
  <c r="U33" i="82"/>
  <c r="W33" i="82"/>
  <c r="X33" i="82"/>
  <c r="Z33" i="82"/>
  <c r="AA33" i="82"/>
  <c r="AB33" i="82"/>
  <c r="AD33" i="82"/>
  <c r="AE33" i="82"/>
  <c r="AF33" i="82"/>
  <c r="AG33" i="82"/>
  <c r="AH33" i="82"/>
  <c r="AI33" i="82"/>
  <c r="AJ33" i="82"/>
  <c r="AK33" i="82"/>
  <c r="J34" i="82"/>
  <c r="K34" i="82"/>
  <c r="S34" i="82"/>
  <c r="T34" i="82"/>
  <c r="U34" i="82"/>
  <c r="W34" i="82"/>
  <c r="X34" i="82"/>
  <c r="Z34" i="82"/>
  <c r="AA34" i="82"/>
  <c r="AB34" i="82"/>
  <c r="AD34" i="82"/>
  <c r="AE34" i="82"/>
  <c r="AF34" i="82"/>
  <c r="AG34" i="82"/>
  <c r="AH34" i="82"/>
  <c r="AI34" i="82"/>
  <c r="AJ34" i="82"/>
  <c r="AK34" i="82"/>
  <c r="J35" i="82"/>
  <c r="K35" i="82"/>
  <c r="J36" i="82"/>
  <c r="K36" i="82"/>
  <c r="S36" i="82"/>
  <c r="T36" i="82"/>
  <c r="U36" i="82"/>
  <c r="W36" i="82"/>
  <c r="X36" i="82"/>
  <c r="Z36" i="82"/>
  <c r="AA36" i="82"/>
  <c r="AB36" i="82"/>
  <c r="AD36" i="82"/>
  <c r="AE36" i="82"/>
  <c r="AF36" i="82"/>
  <c r="AG36" i="82"/>
  <c r="AH36" i="82"/>
  <c r="AI36" i="82"/>
  <c r="AJ36" i="82"/>
  <c r="AK36" i="82"/>
  <c r="J37" i="82"/>
  <c r="K37" i="82"/>
  <c r="S37" i="82"/>
  <c r="T37" i="82"/>
  <c r="U37" i="82"/>
  <c r="W37" i="82"/>
  <c r="X37" i="82"/>
  <c r="Z37" i="82"/>
  <c r="AA37" i="82"/>
  <c r="AB37" i="82"/>
  <c r="AD37" i="82"/>
  <c r="AE37" i="82"/>
  <c r="AF37" i="82"/>
  <c r="AG37" i="82"/>
  <c r="AH37" i="82"/>
  <c r="AI37" i="82"/>
  <c r="AJ37" i="82"/>
  <c r="AK37" i="82"/>
  <c r="S38" i="82"/>
  <c r="T38" i="82"/>
  <c r="U38" i="82"/>
  <c r="W38" i="82"/>
  <c r="X38" i="82"/>
  <c r="Z38" i="82"/>
  <c r="AA38" i="82"/>
  <c r="AB38" i="82"/>
  <c r="AD38" i="82"/>
  <c r="AE38" i="82"/>
  <c r="AF38" i="82"/>
  <c r="AG38" i="82"/>
  <c r="AH38" i="82"/>
  <c r="AI38" i="82"/>
  <c r="AJ38" i="82"/>
  <c r="AK38" i="82"/>
  <c r="S39" i="82"/>
  <c r="T39" i="82"/>
  <c r="U39" i="82"/>
  <c r="W39" i="82"/>
  <c r="X39" i="82"/>
  <c r="Z39" i="82"/>
  <c r="AA39" i="82"/>
  <c r="AB39" i="82"/>
  <c r="AD39" i="82"/>
  <c r="AE39" i="82"/>
  <c r="AF39" i="82"/>
  <c r="AG39" i="82"/>
  <c r="AH39" i="82"/>
  <c r="AI39" i="82"/>
  <c r="AJ39" i="82"/>
  <c r="AK39" i="82"/>
  <c r="K43" i="82"/>
  <c r="V43" i="82"/>
  <c r="K44" i="82"/>
  <c r="V44" i="82"/>
  <c r="K45" i="82"/>
  <c r="V45" i="82"/>
  <c r="K46" i="82"/>
  <c r="K47" i="82"/>
  <c r="R47" i="82"/>
  <c r="R48" i="82"/>
  <c r="J49" i="82"/>
  <c r="R50" i="82"/>
  <c r="Y62" i="82"/>
  <c r="Z62" i="82"/>
  <c r="Y63" i="82"/>
  <c r="Z63" i="82"/>
  <c r="Y64" i="82"/>
  <c r="Z64" i="82"/>
  <c r="Y65" i="82"/>
  <c r="Z65" i="82"/>
  <c r="Y66" i="82"/>
  <c r="Z66" i="82"/>
  <c r="AI6" i="104"/>
  <c r="AJ6" i="104"/>
  <c r="AK6" i="104"/>
  <c r="J7" i="104"/>
  <c r="K7" i="104"/>
  <c r="L7" i="104"/>
  <c r="M7" i="104"/>
  <c r="AI7" i="104"/>
  <c r="AJ7" i="104"/>
  <c r="AK7" i="104"/>
  <c r="L8" i="104"/>
  <c r="M8" i="104"/>
  <c r="AI8" i="104"/>
  <c r="AJ8" i="104"/>
  <c r="AK8" i="104"/>
  <c r="K9" i="104"/>
  <c r="M9" i="104"/>
  <c r="AI9" i="104"/>
  <c r="AJ9" i="104"/>
  <c r="AK9" i="104"/>
  <c r="S11" i="104"/>
  <c r="T11" i="104"/>
  <c r="U11" i="104"/>
  <c r="W11" i="104"/>
  <c r="X11" i="104"/>
  <c r="Z11" i="104"/>
  <c r="AA11" i="104"/>
  <c r="AB11" i="104"/>
  <c r="AD11" i="104"/>
  <c r="AE11" i="104"/>
  <c r="AF11" i="104"/>
  <c r="AG11" i="104"/>
  <c r="AH11" i="104"/>
  <c r="AI11" i="104"/>
  <c r="AJ11" i="104"/>
  <c r="AK11" i="104"/>
  <c r="I12" i="104"/>
  <c r="J12" i="104"/>
  <c r="K12" i="104"/>
  <c r="M12" i="104"/>
  <c r="S12" i="104"/>
  <c r="T12" i="104"/>
  <c r="U12" i="104"/>
  <c r="W12" i="104"/>
  <c r="X12" i="104"/>
  <c r="Z12" i="104"/>
  <c r="AA12" i="104"/>
  <c r="AB12" i="104"/>
  <c r="AD12" i="104"/>
  <c r="AE12" i="104"/>
  <c r="AF12" i="104"/>
  <c r="AG12" i="104"/>
  <c r="AH12" i="104"/>
  <c r="AI12" i="104"/>
  <c r="AJ12" i="104"/>
  <c r="AK12" i="104"/>
  <c r="S13" i="104"/>
  <c r="T13" i="104"/>
  <c r="U13" i="104"/>
  <c r="W13" i="104"/>
  <c r="X13" i="104"/>
  <c r="Z13" i="104"/>
  <c r="AA13" i="104"/>
  <c r="AB13" i="104"/>
  <c r="AD13" i="104"/>
  <c r="AE13" i="104"/>
  <c r="AF13" i="104"/>
  <c r="AG13" i="104"/>
  <c r="AH13" i="104"/>
  <c r="AI13" i="104"/>
  <c r="AJ13" i="104"/>
  <c r="AK13" i="104"/>
  <c r="I14" i="104"/>
  <c r="K14" i="104"/>
  <c r="M14" i="104"/>
  <c r="S14" i="104"/>
  <c r="T14" i="104"/>
  <c r="U14" i="104"/>
  <c r="W14" i="104"/>
  <c r="X14" i="104"/>
  <c r="Z14" i="104"/>
  <c r="AA14" i="104"/>
  <c r="AB14" i="104"/>
  <c r="AD14" i="104"/>
  <c r="AE14" i="104"/>
  <c r="AF14" i="104"/>
  <c r="AG14" i="104"/>
  <c r="AH14" i="104"/>
  <c r="AI14" i="104"/>
  <c r="AJ14" i="104"/>
  <c r="AK14" i="104"/>
  <c r="K16" i="104"/>
  <c r="M16" i="104"/>
  <c r="S16" i="104"/>
  <c r="T16" i="104"/>
  <c r="U16" i="104"/>
  <c r="W16" i="104"/>
  <c r="X16" i="104"/>
  <c r="Z16" i="104"/>
  <c r="AA16" i="104"/>
  <c r="AB16" i="104"/>
  <c r="AD16" i="104"/>
  <c r="AE16" i="104"/>
  <c r="AF16" i="104"/>
  <c r="AG16" i="104"/>
  <c r="AH16" i="104"/>
  <c r="AI16" i="104"/>
  <c r="AJ16" i="104"/>
  <c r="AK16" i="104"/>
  <c r="S17" i="104"/>
  <c r="T17" i="104"/>
  <c r="U17" i="104"/>
  <c r="W17" i="104"/>
  <c r="X17" i="104"/>
  <c r="Z17" i="104"/>
  <c r="AA17" i="104"/>
  <c r="AB17" i="104"/>
  <c r="AD17" i="104"/>
  <c r="AE17" i="104"/>
  <c r="AF17" i="104"/>
  <c r="AG17" i="104"/>
  <c r="AH17" i="104"/>
  <c r="AI17" i="104"/>
  <c r="AJ17" i="104"/>
  <c r="AK17" i="104"/>
  <c r="S18" i="104"/>
  <c r="T18" i="104"/>
  <c r="U18" i="104"/>
  <c r="W18" i="104"/>
  <c r="X18" i="104"/>
  <c r="Z18" i="104"/>
  <c r="AA18" i="104"/>
  <c r="AB18" i="104"/>
  <c r="AD18" i="104"/>
  <c r="AE18" i="104"/>
  <c r="AF18" i="104"/>
  <c r="AG18" i="104"/>
  <c r="AH18" i="104"/>
  <c r="AI18" i="104"/>
  <c r="AJ18" i="104"/>
  <c r="AK18" i="104"/>
  <c r="M19" i="104"/>
  <c r="S19" i="104"/>
  <c r="T19" i="104"/>
  <c r="U19" i="104"/>
  <c r="W19" i="104"/>
  <c r="X19" i="104"/>
  <c r="Z19" i="104"/>
  <c r="AA19" i="104"/>
  <c r="AB19" i="104"/>
  <c r="AD19" i="104"/>
  <c r="AE19" i="104"/>
  <c r="AF19" i="104"/>
  <c r="AG19" i="104"/>
  <c r="AH19" i="104"/>
  <c r="AI19" i="104"/>
  <c r="AJ19" i="104"/>
  <c r="AK19" i="104"/>
  <c r="J20" i="104"/>
  <c r="M20" i="104"/>
  <c r="J21" i="104"/>
  <c r="M21" i="104"/>
  <c r="S21" i="104"/>
  <c r="T21" i="104"/>
  <c r="U21" i="104"/>
  <c r="W21" i="104"/>
  <c r="X21" i="104"/>
  <c r="Z21" i="104"/>
  <c r="AA21" i="104"/>
  <c r="AB21" i="104"/>
  <c r="AD21" i="104"/>
  <c r="AE21" i="104"/>
  <c r="AF21" i="104"/>
  <c r="AG21" i="104"/>
  <c r="AH21" i="104"/>
  <c r="AI21" i="104"/>
  <c r="AJ21" i="104"/>
  <c r="AK21" i="104"/>
  <c r="K22" i="104"/>
  <c r="S22" i="104"/>
  <c r="T22" i="104"/>
  <c r="U22" i="104"/>
  <c r="W22" i="104"/>
  <c r="X22" i="104"/>
  <c r="Z22" i="104"/>
  <c r="AA22" i="104"/>
  <c r="AB22" i="104"/>
  <c r="AD22" i="104"/>
  <c r="AE22" i="104"/>
  <c r="AF22" i="104"/>
  <c r="AG22" i="104"/>
  <c r="AH22" i="104"/>
  <c r="AI22" i="104"/>
  <c r="AJ22" i="104"/>
  <c r="AK22" i="104"/>
  <c r="S23" i="104"/>
  <c r="T23" i="104"/>
  <c r="U23" i="104"/>
  <c r="W23" i="104"/>
  <c r="X23" i="104"/>
  <c r="Z23" i="104"/>
  <c r="AA23" i="104"/>
  <c r="AB23" i="104"/>
  <c r="AD23" i="104"/>
  <c r="AE23" i="104"/>
  <c r="AF23" i="104"/>
  <c r="AG23" i="104"/>
  <c r="AH23" i="104"/>
  <c r="AI23" i="104"/>
  <c r="AJ23" i="104"/>
  <c r="AK23" i="104"/>
  <c r="S24" i="104"/>
  <c r="T24" i="104"/>
  <c r="U24" i="104"/>
  <c r="W24" i="104"/>
  <c r="X24" i="104"/>
  <c r="Z24" i="104"/>
  <c r="AA24" i="104"/>
  <c r="AB24" i="104"/>
  <c r="AD24" i="104"/>
  <c r="AE24" i="104"/>
  <c r="AF24" i="104"/>
  <c r="AG24" i="104"/>
  <c r="AH24" i="104"/>
  <c r="AI24" i="104"/>
  <c r="AJ24" i="104"/>
  <c r="AK24" i="104"/>
  <c r="K26" i="104"/>
  <c r="L26" i="104"/>
  <c r="M26" i="104"/>
  <c r="S26" i="104"/>
  <c r="T26" i="104"/>
  <c r="U26" i="104"/>
  <c r="W26" i="104"/>
  <c r="X26" i="104"/>
  <c r="Z26" i="104"/>
  <c r="AA26" i="104"/>
  <c r="AB26" i="104"/>
  <c r="AD26" i="104"/>
  <c r="AE26" i="104"/>
  <c r="AF26" i="104"/>
  <c r="AG26" i="104"/>
  <c r="AH26" i="104"/>
  <c r="AI26" i="104"/>
  <c r="AJ26" i="104"/>
  <c r="AK26" i="104"/>
  <c r="S27" i="104"/>
  <c r="T27" i="104"/>
  <c r="U27" i="104"/>
  <c r="W27" i="104"/>
  <c r="X27" i="104"/>
  <c r="Z27" i="104"/>
  <c r="AA27" i="104"/>
  <c r="AB27" i="104"/>
  <c r="AD27" i="104"/>
  <c r="AE27" i="104"/>
  <c r="AF27" i="104"/>
  <c r="AG27" i="104"/>
  <c r="AH27" i="104"/>
  <c r="AI27" i="104"/>
  <c r="AJ27" i="104"/>
  <c r="AK27" i="104"/>
  <c r="L28" i="104"/>
  <c r="M28" i="104"/>
  <c r="S28" i="104"/>
  <c r="T28" i="104"/>
  <c r="U28" i="104"/>
  <c r="W28" i="104"/>
  <c r="X28" i="104"/>
  <c r="Z28" i="104"/>
  <c r="AA28" i="104"/>
  <c r="AB28" i="104"/>
  <c r="AD28" i="104"/>
  <c r="AE28" i="104"/>
  <c r="AF28" i="104"/>
  <c r="AG28" i="104"/>
  <c r="AH28" i="104"/>
  <c r="AI28" i="104"/>
  <c r="AJ28" i="104"/>
  <c r="AK28" i="104"/>
  <c r="S29" i="104"/>
  <c r="T29" i="104"/>
  <c r="U29" i="104"/>
  <c r="W29" i="104"/>
  <c r="X29" i="104"/>
  <c r="Z29" i="104"/>
  <c r="AA29" i="104"/>
  <c r="AB29" i="104"/>
  <c r="AD29" i="104"/>
  <c r="AE29" i="104"/>
  <c r="AF29" i="104"/>
  <c r="AG29" i="104"/>
  <c r="AH29" i="104"/>
  <c r="AI29" i="104"/>
  <c r="AJ29" i="104"/>
  <c r="AK29" i="104"/>
  <c r="S31" i="104"/>
  <c r="T31" i="104"/>
  <c r="U31" i="104"/>
  <c r="W31" i="104"/>
  <c r="X31" i="104"/>
  <c r="Z31" i="104"/>
  <c r="AA31" i="104"/>
  <c r="AB31" i="104"/>
  <c r="AD31" i="104"/>
  <c r="AE31" i="104"/>
  <c r="AF31" i="104"/>
  <c r="AG31" i="104"/>
  <c r="AH31" i="104"/>
  <c r="AI31" i="104"/>
  <c r="AJ31" i="104"/>
  <c r="AK31" i="104"/>
  <c r="S32" i="104"/>
  <c r="T32" i="104"/>
  <c r="U32" i="104"/>
  <c r="W32" i="104"/>
  <c r="X32" i="104"/>
  <c r="Z32" i="104"/>
  <c r="AA32" i="104"/>
  <c r="AB32" i="104"/>
  <c r="AD32" i="104"/>
  <c r="AE32" i="104"/>
  <c r="AF32" i="104"/>
  <c r="AG32" i="104"/>
  <c r="AH32" i="104"/>
  <c r="AI32" i="104"/>
  <c r="AJ32" i="104"/>
  <c r="AK32" i="104"/>
  <c r="J33" i="104"/>
  <c r="K33" i="104"/>
  <c r="S33" i="104"/>
  <c r="T33" i="104"/>
  <c r="U33" i="104"/>
  <c r="W33" i="104"/>
  <c r="X33" i="104"/>
  <c r="Z33" i="104"/>
  <c r="AA33" i="104"/>
  <c r="AB33" i="104"/>
  <c r="AD33" i="104"/>
  <c r="AE33" i="104"/>
  <c r="AF33" i="104"/>
  <c r="AG33" i="104"/>
  <c r="AH33" i="104"/>
  <c r="AI33" i="104"/>
  <c r="AJ33" i="104"/>
  <c r="AK33" i="104"/>
  <c r="J34" i="104"/>
  <c r="K34" i="104"/>
  <c r="S34" i="104"/>
  <c r="T34" i="104"/>
  <c r="U34" i="104"/>
  <c r="W34" i="104"/>
  <c r="X34" i="104"/>
  <c r="Z34" i="104"/>
  <c r="AA34" i="104"/>
  <c r="AB34" i="104"/>
  <c r="AD34" i="104"/>
  <c r="AE34" i="104"/>
  <c r="AF34" i="104"/>
  <c r="AG34" i="104"/>
  <c r="AH34" i="104"/>
  <c r="AI34" i="104"/>
  <c r="AJ34" i="104"/>
  <c r="AK34" i="104"/>
  <c r="J35" i="104"/>
  <c r="K35" i="104"/>
  <c r="J36" i="104"/>
  <c r="K36" i="104"/>
  <c r="S36" i="104"/>
  <c r="T36" i="104"/>
  <c r="U36" i="104"/>
  <c r="W36" i="104"/>
  <c r="X36" i="104"/>
  <c r="Z36" i="104"/>
  <c r="AA36" i="104"/>
  <c r="AB36" i="104"/>
  <c r="AD36" i="104"/>
  <c r="AE36" i="104"/>
  <c r="AF36" i="104"/>
  <c r="AG36" i="104"/>
  <c r="AH36" i="104"/>
  <c r="AI36" i="104"/>
  <c r="AJ36" i="104"/>
  <c r="AK36" i="104"/>
  <c r="J37" i="104"/>
  <c r="K37" i="104"/>
  <c r="S37" i="104"/>
  <c r="T37" i="104"/>
  <c r="U37" i="104"/>
  <c r="W37" i="104"/>
  <c r="X37" i="104"/>
  <c r="Z37" i="104"/>
  <c r="AA37" i="104"/>
  <c r="AB37" i="104"/>
  <c r="AD37" i="104"/>
  <c r="AE37" i="104"/>
  <c r="AF37" i="104"/>
  <c r="AG37" i="104"/>
  <c r="AH37" i="104"/>
  <c r="AI37" i="104"/>
  <c r="AJ37" i="104"/>
  <c r="AK37" i="104"/>
  <c r="S38" i="104"/>
  <c r="T38" i="104"/>
  <c r="U38" i="104"/>
  <c r="W38" i="104"/>
  <c r="X38" i="104"/>
  <c r="Z38" i="104"/>
  <c r="AA38" i="104"/>
  <c r="AB38" i="104"/>
  <c r="AD38" i="104"/>
  <c r="AE38" i="104"/>
  <c r="AF38" i="104"/>
  <c r="AG38" i="104"/>
  <c r="AH38" i="104"/>
  <c r="AI38" i="104"/>
  <c r="AJ38" i="104"/>
  <c r="AK38" i="104"/>
  <c r="S39" i="104"/>
  <c r="T39" i="104"/>
  <c r="U39" i="104"/>
  <c r="W39" i="104"/>
  <c r="X39" i="104"/>
  <c r="Z39" i="104"/>
  <c r="AA39" i="104"/>
  <c r="AB39" i="104"/>
  <c r="AD39" i="104"/>
  <c r="AE39" i="104"/>
  <c r="AF39" i="104"/>
  <c r="AG39" i="104"/>
  <c r="AH39" i="104"/>
  <c r="AI39" i="104"/>
  <c r="AJ39" i="104"/>
  <c r="AK39" i="104"/>
  <c r="K43" i="104"/>
  <c r="V43" i="104"/>
  <c r="K44" i="104"/>
  <c r="V44" i="104"/>
  <c r="K45" i="104"/>
  <c r="V45" i="104"/>
  <c r="K46" i="104"/>
  <c r="K47" i="104"/>
  <c r="R47" i="104"/>
  <c r="R48" i="104"/>
  <c r="J49" i="104"/>
  <c r="R50" i="104"/>
  <c r="Y62" i="104"/>
  <c r="Z62" i="104"/>
  <c r="Y63" i="104"/>
  <c r="Z63" i="104"/>
  <c r="Y64" i="104"/>
  <c r="Z64" i="104"/>
  <c r="Y65" i="104"/>
  <c r="Z65" i="104"/>
  <c r="Y66" i="104"/>
  <c r="Z66" i="104"/>
  <c r="B5" i="124"/>
  <c r="J5" i="124"/>
  <c r="B6" i="124"/>
  <c r="J6" i="124"/>
  <c r="B7" i="124"/>
  <c r="J7" i="124"/>
  <c r="F14" i="124"/>
  <c r="H14" i="124"/>
  <c r="J14" i="124"/>
  <c r="F17" i="124"/>
  <c r="H17" i="124"/>
  <c r="J17" i="124"/>
  <c r="F20" i="124"/>
  <c r="H20" i="124"/>
  <c r="J20" i="124"/>
  <c r="F23" i="124"/>
  <c r="H23" i="124"/>
  <c r="J23" i="124"/>
  <c r="F26" i="124"/>
  <c r="H26" i="124"/>
  <c r="J26" i="124"/>
  <c r="F27" i="124"/>
  <c r="H27" i="124"/>
  <c r="J27" i="124"/>
  <c r="F31" i="124"/>
  <c r="H31" i="124"/>
  <c r="J31" i="124"/>
  <c r="F32" i="124"/>
  <c r="H32" i="124"/>
  <c r="J32" i="124"/>
  <c r="F33" i="124"/>
  <c r="H33" i="124"/>
  <c r="J33" i="124"/>
  <c r="F34" i="124"/>
  <c r="H34" i="124"/>
  <c r="J34" i="124"/>
  <c r="F35" i="124"/>
  <c r="H35" i="124"/>
  <c r="J35" i="124"/>
  <c r="F36" i="124"/>
  <c r="H36" i="124"/>
  <c r="J36" i="124"/>
  <c r="F37" i="124"/>
  <c r="H37" i="124"/>
  <c r="J37" i="124"/>
  <c r="F38" i="124"/>
  <c r="H38" i="124"/>
  <c r="J38" i="124"/>
  <c r="F43" i="124"/>
  <c r="H43" i="124"/>
  <c r="J43" i="124"/>
  <c r="F44" i="124"/>
  <c r="H44" i="124"/>
  <c r="J44" i="124"/>
  <c r="F47" i="124"/>
  <c r="H47" i="124"/>
  <c r="J47" i="124"/>
  <c r="F48" i="124"/>
  <c r="H48" i="124"/>
  <c r="J48" i="124"/>
  <c r="F51" i="124"/>
  <c r="H51" i="124"/>
  <c r="J51" i="124"/>
  <c r="F54" i="124"/>
  <c r="H54" i="124"/>
  <c r="J54" i="124"/>
  <c r="F57" i="124"/>
  <c r="H57" i="124"/>
  <c r="J57" i="124"/>
  <c r="F58" i="124"/>
  <c r="H58" i="124"/>
  <c r="J58" i="124"/>
  <c r="F59" i="124"/>
  <c r="H59" i="124"/>
  <c r="J59" i="124"/>
  <c r="F62" i="124"/>
  <c r="H62" i="124"/>
  <c r="J62" i="124"/>
  <c r="F63" i="124"/>
  <c r="H63" i="124"/>
  <c r="J63" i="124"/>
  <c r="F64" i="124"/>
  <c r="H64" i="124"/>
  <c r="J64" i="124"/>
  <c r="F65" i="124"/>
  <c r="H65" i="124"/>
  <c r="J65" i="124"/>
  <c r="F66" i="124"/>
  <c r="H66" i="124"/>
  <c r="J66" i="124"/>
  <c r="F67" i="124"/>
  <c r="H67" i="124"/>
  <c r="J67" i="124"/>
  <c r="F68" i="124"/>
  <c r="H68" i="124"/>
  <c r="J68" i="124"/>
  <c r="F69" i="124"/>
  <c r="H69" i="124"/>
  <c r="J69" i="124"/>
  <c r="F72" i="124"/>
  <c r="H72" i="124"/>
  <c r="J72" i="124"/>
  <c r="F75" i="124"/>
  <c r="H75" i="124"/>
  <c r="J75" i="124"/>
  <c r="F78" i="124"/>
  <c r="H78" i="124"/>
  <c r="J78" i="124"/>
  <c r="F79" i="124"/>
  <c r="H79" i="124"/>
  <c r="J79" i="124"/>
  <c r="F80" i="124"/>
  <c r="H80" i="124"/>
  <c r="J80" i="124"/>
  <c r="F83" i="124"/>
  <c r="H83" i="124"/>
  <c r="J83" i="124"/>
  <c r="F84" i="124"/>
  <c r="H84" i="124"/>
  <c r="J84" i="124"/>
  <c r="F85" i="124"/>
  <c r="H85" i="124"/>
  <c r="J85" i="124"/>
  <c r="F86" i="124"/>
  <c r="H86" i="124"/>
  <c r="J86" i="124"/>
  <c r="F87" i="124"/>
  <c r="H87" i="124"/>
  <c r="J87" i="124"/>
  <c r="F88" i="124"/>
  <c r="H88" i="124"/>
  <c r="J88" i="124"/>
  <c r="F89" i="124"/>
  <c r="H89" i="124"/>
  <c r="J89" i="124"/>
  <c r="F91" i="124"/>
  <c r="H91" i="124"/>
  <c r="J91" i="124"/>
  <c r="F94" i="124"/>
  <c r="H94" i="124"/>
  <c r="J94" i="124"/>
  <c r="F95" i="124"/>
  <c r="H95" i="124"/>
  <c r="J95" i="124"/>
  <c r="F96" i="124"/>
  <c r="H96" i="124"/>
  <c r="J96" i="124"/>
  <c r="F97" i="124"/>
  <c r="H97" i="124"/>
  <c r="J97" i="124"/>
  <c r="F98" i="124"/>
  <c r="H98" i="124"/>
  <c r="J98" i="124"/>
  <c r="F99" i="124"/>
  <c r="H99" i="124"/>
  <c r="J99" i="124"/>
  <c r="F100" i="124"/>
  <c r="H100" i="124"/>
  <c r="J100" i="124"/>
  <c r="F101" i="124"/>
  <c r="H101" i="124"/>
  <c r="J101" i="124"/>
  <c r="F104" i="124"/>
  <c r="H104" i="124"/>
  <c r="J104" i="124"/>
  <c r="F105" i="124"/>
  <c r="H105" i="124"/>
  <c r="J105" i="124"/>
  <c r="F106" i="124"/>
  <c r="H106" i="124"/>
  <c r="J106" i="124"/>
  <c r="F107" i="124"/>
  <c r="H107" i="124"/>
  <c r="J107" i="124"/>
  <c r="F110" i="124"/>
  <c r="H110" i="124"/>
  <c r="J110" i="124"/>
  <c r="F111" i="124"/>
  <c r="H111" i="124"/>
  <c r="J111" i="124"/>
  <c r="F112" i="124"/>
  <c r="H112" i="124"/>
  <c r="J112" i="124"/>
  <c r="F113" i="124"/>
  <c r="H113" i="124"/>
  <c r="J113" i="124"/>
  <c r="F116" i="124"/>
  <c r="H116" i="124"/>
  <c r="J116" i="124"/>
  <c r="F117" i="124"/>
  <c r="H117" i="124"/>
  <c r="J117" i="124"/>
  <c r="F119" i="124"/>
  <c r="H119" i="124"/>
  <c r="J119" i="124"/>
  <c r="F122" i="124"/>
  <c r="H122" i="124"/>
  <c r="J122" i="124"/>
  <c r="F123" i="124"/>
  <c r="H123" i="124"/>
  <c r="J123" i="124"/>
  <c r="F126" i="124"/>
  <c r="H126" i="124"/>
  <c r="J126" i="124"/>
  <c r="F127" i="124"/>
  <c r="H127" i="124"/>
  <c r="J127" i="124"/>
  <c r="F128" i="124"/>
  <c r="H128" i="124"/>
  <c r="J128" i="124"/>
  <c r="F129" i="124"/>
  <c r="H129" i="124"/>
  <c r="J129" i="124"/>
  <c r="F134" i="124"/>
  <c r="H134" i="124"/>
  <c r="J134" i="124"/>
  <c r="F135" i="124"/>
  <c r="H135" i="124"/>
  <c r="J135" i="124"/>
  <c r="F136" i="124"/>
  <c r="H136" i="124"/>
  <c r="J136" i="124"/>
  <c r="F139" i="124"/>
  <c r="H139" i="124"/>
  <c r="J139" i="124"/>
  <c r="F140" i="124"/>
  <c r="H140" i="124"/>
  <c r="J140" i="124"/>
  <c r="F141" i="124"/>
  <c r="H141" i="124"/>
  <c r="J141" i="124"/>
  <c r="F144" i="124"/>
  <c r="H144" i="124"/>
  <c r="J144" i="124"/>
  <c r="F145" i="124"/>
  <c r="H145" i="124"/>
  <c r="J145" i="124"/>
  <c r="F146" i="124"/>
  <c r="H146" i="124"/>
  <c r="J146" i="124"/>
  <c r="F150" i="124"/>
  <c r="H150" i="124"/>
  <c r="J150" i="124"/>
  <c r="F151" i="124"/>
  <c r="H151" i="124"/>
  <c r="J151" i="124"/>
  <c r="F154" i="124"/>
  <c r="H154" i="124"/>
  <c r="J154" i="124"/>
  <c r="F155" i="124"/>
  <c r="H155" i="124"/>
  <c r="J155" i="124"/>
  <c r="F158" i="124"/>
  <c r="H158" i="124"/>
  <c r="J158" i="124"/>
  <c r="F159" i="124"/>
  <c r="H159" i="124"/>
  <c r="J159" i="124"/>
  <c r="F163" i="124"/>
  <c r="H163" i="124"/>
  <c r="J163" i="124"/>
  <c r="F164" i="124"/>
  <c r="H164" i="124"/>
  <c r="J164" i="124"/>
  <c r="F165" i="124"/>
  <c r="H165" i="124"/>
  <c r="J165" i="124"/>
  <c r="F169" i="124"/>
  <c r="H169" i="124"/>
  <c r="J169" i="124"/>
  <c r="F170" i="124"/>
  <c r="H170" i="124"/>
  <c r="J170" i="124"/>
  <c r="F171" i="124"/>
  <c r="H171" i="124"/>
  <c r="J171" i="124"/>
  <c r="F172" i="124"/>
  <c r="H172" i="124"/>
  <c r="J172" i="124"/>
  <c r="F173" i="124"/>
  <c r="H173" i="124"/>
  <c r="J173" i="124"/>
  <c r="F174" i="124"/>
  <c r="H174" i="124"/>
  <c r="J174" i="124"/>
  <c r="F176" i="124"/>
  <c r="H176" i="124"/>
  <c r="J176" i="124"/>
  <c r="F177" i="124"/>
  <c r="H177" i="124"/>
  <c r="J177" i="124"/>
  <c r="F178" i="124"/>
  <c r="H178" i="124"/>
  <c r="J178" i="124"/>
  <c r="F182" i="124"/>
  <c r="H182" i="124"/>
  <c r="J182" i="124"/>
  <c r="F183" i="124"/>
  <c r="H183" i="124"/>
  <c r="J183" i="124"/>
  <c r="F184" i="124"/>
  <c r="H184" i="124"/>
  <c r="J184" i="124"/>
  <c r="F187" i="124"/>
  <c r="H187" i="124"/>
  <c r="J187" i="124"/>
  <c r="F188" i="124"/>
  <c r="H188" i="124"/>
  <c r="J188" i="124"/>
  <c r="F198" i="124"/>
  <c r="H198" i="124"/>
  <c r="J198" i="124"/>
  <c r="F199" i="124"/>
  <c r="H199" i="124"/>
  <c r="J199" i="124"/>
  <c r="F200" i="124"/>
  <c r="H200" i="124"/>
  <c r="J200" i="124"/>
  <c r="F201" i="124"/>
  <c r="H201" i="124"/>
  <c r="J201" i="124"/>
  <c r="F202" i="124"/>
  <c r="H202" i="124"/>
  <c r="J202" i="124"/>
  <c r="F203" i="124"/>
  <c r="H203" i="124"/>
  <c r="J203" i="124"/>
  <c r="F206" i="124"/>
  <c r="H206" i="124"/>
  <c r="J206" i="124"/>
  <c r="F207" i="124"/>
  <c r="H207" i="124"/>
  <c r="J207" i="124"/>
  <c r="F208" i="124"/>
  <c r="H208" i="124"/>
  <c r="J208" i="124"/>
  <c r="F209" i="124"/>
  <c r="H209" i="124"/>
  <c r="J209" i="124"/>
  <c r="F210" i="124"/>
  <c r="H210" i="124"/>
  <c r="J210" i="124"/>
  <c r="F211" i="124"/>
  <c r="H211" i="124"/>
  <c r="J211" i="124"/>
  <c r="F214" i="124"/>
  <c r="H214" i="124"/>
  <c r="J214" i="124"/>
  <c r="F215" i="124"/>
  <c r="H215" i="124"/>
  <c r="J215" i="124"/>
  <c r="F216" i="124"/>
  <c r="H216" i="124"/>
  <c r="J216" i="124"/>
  <c r="F217" i="124"/>
  <c r="H217" i="124"/>
  <c r="J217" i="124"/>
  <c r="F218" i="124"/>
  <c r="H218" i="124"/>
  <c r="J218" i="124"/>
  <c r="F219" i="124"/>
  <c r="H219" i="124"/>
  <c r="J219" i="124"/>
  <c r="F223" i="124"/>
  <c r="H223" i="124"/>
  <c r="J223" i="124"/>
  <c r="F224" i="124"/>
  <c r="H224" i="124"/>
  <c r="J224" i="124"/>
  <c r="F225" i="124"/>
  <c r="H225" i="124"/>
  <c r="J225" i="124"/>
  <c r="F226" i="124"/>
  <c r="H226" i="124"/>
  <c r="J226" i="124"/>
  <c r="F227" i="124"/>
  <c r="H227" i="124"/>
  <c r="J227" i="124"/>
  <c r="F230" i="124"/>
  <c r="H230" i="124"/>
  <c r="J230" i="124"/>
  <c r="F231" i="124"/>
  <c r="H231" i="124"/>
  <c r="J231" i="124"/>
  <c r="F232" i="124"/>
  <c r="H232" i="124"/>
  <c r="J232" i="124"/>
  <c r="F233" i="124"/>
  <c r="H233" i="124"/>
  <c r="J233" i="124"/>
  <c r="F234" i="124"/>
  <c r="H234" i="124"/>
  <c r="J234" i="124"/>
  <c r="F237" i="124"/>
  <c r="H237" i="124"/>
  <c r="J237" i="124"/>
  <c r="F238" i="124"/>
  <c r="H238" i="124"/>
  <c r="J238" i="124"/>
  <c r="F239" i="124"/>
  <c r="H239" i="124"/>
  <c r="J239" i="124"/>
  <c r="F240" i="124"/>
  <c r="H240" i="124"/>
  <c r="J240" i="124"/>
  <c r="F241" i="124"/>
  <c r="H241" i="124"/>
  <c r="J241" i="124"/>
  <c r="F244" i="124"/>
  <c r="H244" i="124"/>
  <c r="J244" i="124"/>
  <c r="F247" i="124"/>
  <c r="H247" i="124"/>
  <c r="J247" i="124"/>
  <c r="F251" i="124"/>
  <c r="H251" i="124"/>
  <c r="J251" i="124"/>
  <c r="F252" i="124"/>
  <c r="H252" i="124"/>
  <c r="J252" i="124"/>
  <c r="F253" i="124"/>
  <c r="H253" i="124"/>
  <c r="J253" i="124"/>
  <c r="F256" i="124"/>
  <c r="H256" i="124"/>
  <c r="J256" i="124"/>
  <c r="F257" i="124"/>
  <c r="H257" i="124"/>
  <c r="J257" i="124"/>
  <c r="F258" i="124"/>
  <c r="H258" i="124"/>
  <c r="J258" i="124"/>
  <c r="F260" i="124"/>
  <c r="H260" i="124"/>
  <c r="J260" i="124"/>
  <c r="F262" i="124"/>
  <c r="H262" i="124"/>
  <c r="J262" i="124"/>
  <c r="F265" i="124"/>
  <c r="H265" i="124"/>
  <c r="J265" i="124"/>
  <c r="F266" i="124"/>
  <c r="H266" i="124"/>
  <c r="J266" i="124"/>
  <c r="F267" i="124"/>
  <c r="H267" i="124"/>
  <c r="J267" i="124"/>
  <c r="F268" i="124"/>
  <c r="H268" i="124"/>
  <c r="J268" i="124"/>
  <c r="F269" i="124"/>
  <c r="H269" i="124"/>
  <c r="J269" i="124"/>
  <c r="F270" i="124"/>
  <c r="H270" i="124"/>
  <c r="J270" i="124"/>
  <c r="F273" i="124"/>
  <c r="H273" i="124"/>
  <c r="J273" i="124"/>
  <c r="F274" i="124"/>
  <c r="H274" i="124"/>
  <c r="J274" i="124"/>
  <c r="F275" i="124"/>
  <c r="H275" i="124"/>
  <c r="J275" i="124"/>
  <c r="F276" i="124"/>
  <c r="H276" i="124"/>
  <c r="J276" i="124"/>
  <c r="F277" i="124"/>
  <c r="H277" i="124"/>
  <c r="J277" i="124"/>
  <c r="F278" i="124"/>
  <c r="H278" i="124"/>
  <c r="J278" i="124"/>
  <c r="F280" i="124"/>
  <c r="H280" i="124"/>
  <c r="J280" i="124"/>
  <c r="F281" i="124"/>
  <c r="H281" i="124"/>
  <c r="J281" i="124"/>
  <c r="F282" i="124"/>
  <c r="H282" i="124"/>
  <c r="J282" i="124"/>
  <c r="F283" i="124"/>
  <c r="H283" i="124"/>
  <c r="J283" i="124"/>
  <c r="F284" i="124"/>
  <c r="H284" i="124"/>
  <c r="J284" i="124"/>
  <c r="F285" i="124"/>
  <c r="H285" i="124"/>
  <c r="J285" i="124"/>
  <c r="F289" i="124"/>
  <c r="H289" i="124"/>
  <c r="J289" i="124"/>
  <c r="F290" i="124"/>
  <c r="H290" i="124"/>
  <c r="J290" i="124"/>
  <c r="F293" i="124"/>
  <c r="H293" i="124"/>
  <c r="J293" i="124"/>
  <c r="F294" i="124"/>
  <c r="H294" i="124"/>
  <c r="J294" i="124"/>
  <c r="F296" i="124"/>
  <c r="H296" i="124"/>
  <c r="J296" i="124"/>
  <c r="F297" i="124"/>
  <c r="H297" i="124"/>
  <c r="J297" i="124"/>
  <c r="F301" i="124"/>
  <c r="H301" i="124"/>
  <c r="J301" i="124"/>
  <c r="F302" i="124"/>
  <c r="H302" i="124"/>
  <c r="J302" i="124"/>
  <c r="F303" i="124"/>
  <c r="H303" i="124"/>
  <c r="J303" i="124"/>
  <c r="F304" i="124"/>
  <c r="H304" i="124"/>
  <c r="J304" i="124"/>
  <c r="F308" i="124"/>
  <c r="H308" i="124"/>
  <c r="J308" i="124"/>
  <c r="F309" i="124"/>
  <c r="H309" i="124"/>
  <c r="J309" i="124"/>
  <c r="F310" i="124"/>
  <c r="H310" i="124"/>
  <c r="J310" i="124"/>
  <c r="F311" i="124"/>
  <c r="H311" i="124"/>
  <c r="J311" i="124"/>
  <c r="F314" i="124"/>
  <c r="H314" i="124"/>
  <c r="J314" i="124"/>
  <c r="F315" i="124"/>
  <c r="H315" i="124"/>
  <c r="J315" i="124"/>
  <c r="F316" i="124"/>
  <c r="H316" i="124"/>
  <c r="J316" i="124"/>
  <c r="F317" i="124"/>
  <c r="H317" i="124"/>
  <c r="J317" i="124"/>
  <c r="F321" i="124"/>
  <c r="H321" i="124"/>
  <c r="J321" i="124"/>
  <c r="F322" i="124"/>
  <c r="H322" i="124"/>
  <c r="J322" i="124"/>
  <c r="F323" i="124"/>
  <c r="H323" i="124"/>
  <c r="J323" i="124"/>
  <c r="F324" i="124"/>
  <c r="H324" i="124"/>
  <c r="J324" i="124"/>
  <c r="F327" i="124"/>
  <c r="H327" i="124"/>
  <c r="J327" i="124"/>
  <c r="F328" i="124"/>
  <c r="H328" i="124"/>
  <c r="J328" i="124"/>
  <c r="F329" i="124"/>
  <c r="H329" i="124"/>
  <c r="J329" i="124"/>
  <c r="F330" i="124"/>
  <c r="H330" i="124"/>
  <c r="J330" i="124"/>
  <c r="F332" i="124"/>
  <c r="H332" i="124"/>
  <c r="J332" i="124"/>
  <c r="F333" i="124"/>
  <c r="H333" i="124"/>
  <c r="J333" i="124"/>
  <c r="F337" i="124"/>
  <c r="H337" i="124"/>
  <c r="J337" i="124"/>
  <c r="F338" i="124"/>
  <c r="H338" i="124"/>
  <c r="J338" i="124"/>
  <c r="F339" i="124"/>
  <c r="H339" i="124"/>
  <c r="J339" i="124"/>
  <c r="F340" i="124"/>
  <c r="H340" i="124"/>
  <c r="J340" i="124"/>
  <c r="F341" i="124"/>
  <c r="H341" i="124"/>
  <c r="J341" i="124"/>
  <c r="F342" i="124"/>
  <c r="H342" i="124"/>
  <c r="J342" i="124"/>
  <c r="F343" i="124"/>
  <c r="H343" i="124"/>
  <c r="J343" i="124"/>
  <c r="F345" i="124"/>
  <c r="H345" i="124"/>
  <c r="J345" i="124"/>
  <c r="F346" i="124"/>
  <c r="H346" i="124"/>
  <c r="J346" i="124"/>
  <c r="AY2" i="132"/>
  <c r="BA2" i="132"/>
  <c r="BB2" i="132"/>
  <c r="AY3" i="132"/>
  <c r="BA3" i="132"/>
  <c r="BB3" i="132"/>
  <c r="AY4" i="132"/>
  <c r="BA4" i="132"/>
  <c r="BB4" i="132"/>
  <c r="AS12" i="132"/>
  <c r="AT12" i="132"/>
  <c r="AV12" i="132"/>
  <c r="AS13" i="132"/>
  <c r="AT13" i="132"/>
  <c r="AV13" i="132"/>
  <c r="AS14" i="132"/>
  <c r="AT14" i="132"/>
  <c r="AV14" i="132"/>
  <c r="AS15" i="132"/>
  <c r="AT15" i="132"/>
  <c r="AV15" i="132"/>
  <c r="AS16" i="132"/>
  <c r="AT16" i="132"/>
  <c r="AV16" i="132"/>
  <c r="AS17" i="132"/>
  <c r="AT17" i="132"/>
  <c r="AV17" i="132"/>
  <c r="AS18" i="132"/>
  <c r="AT18" i="132"/>
  <c r="AV18" i="132"/>
  <c r="AS19" i="132"/>
  <c r="AT19" i="132"/>
  <c r="AV19" i="132"/>
  <c r="AS20" i="132"/>
  <c r="AT20" i="132"/>
  <c r="AV20" i="132"/>
  <c r="AS21" i="132"/>
  <c r="AT21" i="132"/>
  <c r="AV21" i="132"/>
  <c r="AS22" i="132"/>
  <c r="AT22" i="132"/>
  <c r="AV22" i="132"/>
  <c r="AS23" i="132"/>
  <c r="AT23" i="132"/>
  <c r="AV23" i="132"/>
  <c r="AS24" i="132"/>
  <c r="AT24" i="132"/>
  <c r="AV24" i="132"/>
  <c r="AS25" i="132"/>
  <c r="AT25" i="132"/>
  <c r="AV25" i="132"/>
  <c r="AS26" i="132"/>
  <c r="AT26" i="132"/>
  <c r="AV26" i="132"/>
  <c r="AS27" i="132"/>
  <c r="AT27" i="132"/>
  <c r="AV27" i="132"/>
  <c r="AS28" i="132"/>
  <c r="AT28" i="132"/>
  <c r="AV28" i="132"/>
  <c r="AS29" i="132"/>
  <c r="AT29" i="132"/>
  <c r="AV29" i="132"/>
  <c r="AS30" i="132"/>
  <c r="AT30" i="132"/>
  <c r="AV30" i="132"/>
  <c r="AS31" i="132"/>
  <c r="AT31" i="132"/>
  <c r="AV31" i="132"/>
  <c r="AS32" i="132"/>
  <c r="AT32" i="132"/>
  <c r="AV32" i="132"/>
  <c r="AS33" i="132"/>
  <c r="AT33" i="132"/>
  <c r="AV33" i="132"/>
  <c r="AS34" i="132"/>
  <c r="AT34" i="132"/>
  <c r="AV34" i="132"/>
  <c r="AS35" i="132"/>
  <c r="AT35" i="132"/>
  <c r="AV35" i="132"/>
  <c r="AS36" i="132"/>
  <c r="AT36" i="132"/>
  <c r="AV36" i="132"/>
  <c r="AS37" i="132"/>
  <c r="AT37" i="132"/>
  <c r="AV37" i="132"/>
  <c r="AS38" i="132"/>
  <c r="AT38" i="132"/>
  <c r="AV38" i="132"/>
  <c r="AS39" i="132"/>
  <c r="AT39" i="132"/>
  <c r="AV39" i="132"/>
  <c r="AS40" i="132"/>
  <c r="AT40" i="132"/>
  <c r="AV40" i="132"/>
  <c r="AS41" i="132"/>
  <c r="AT41" i="132"/>
  <c r="AV41" i="132"/>
  <c r="AS42" i="132"/>
  <c r="AT42" i="132"/>
  <c r="AV42" i="132"/>
  <c r="AS43" i="132"/>
  <c r="AT43" i="132"/>
  <c r="AV43" i="132"/>
  <c r="AS44" i="132"/>
  <c r="AT44" i="132"/>
  <c r="AV44" i="132"/>
  <c r="AT46" i="132"/>
  <c r="AV46" i="132"/>
  <c r="AS48" i="132"/>
  <c r="AT48" i="132"/>
  <c r="AV48" i="132"/>
  <c r="AT50" i="132"/>
  <c r="AV50" i="132"/>
  <c r="AS53" i="132"/>
  <c r="AT53" i="132"/>
  <c r="AV53" i="132"/>
  <c r="AT55" i="132"/>
  <c r="AV55" i="132"/>
  <c r="AS60" i="132"/>
  <c r="AT60" i="132"/>
  <c r="AV60" i="132"/>
  <c r="AS61" i="132"/>
  <c r="AT61" i="132"/>
  <c r="AV61" i="132"/>
  <c r="AS62" i="132"/>
  <c r="AT62" i="132"/>
  <c r="AV62" i="132"/>
  <c r="AS63" i="132"/>
  <c r="AT63" i="132"/>
  <c r="AV63" i="132"/>
  <c r="AS64" i="132"/>
  <c r="AT64" i="132"/>
  <c r="AV64" i="132"/>
  <c r="AS65" i="132"/>
  <c r="AT65" i="132"/>
  <c r="AV65" i="132"/>
  <c r="AS66" i="132"/>
  <c r="AT66" i="132"/>
  <c r="AV66" i="132"/>
  <c r="AS67" i="132"/>
  <c r="AT67" i="132"/>
  <c r="AV67" i="132"/>
  <c r="AS68" i="132"/>
  <c r="AT68" i="132"/>
  <c r="AV68" i="132"/>
  <c r="AS69" i="132"/>
  <c r="AT69" i="132"/>
  <c r="AV69" i="132"/>
  <c r="AS70" i="132"/>
  <c r="AT70" i="132"/>
  <c r="AV70" i="132"/>
  <c r="AS71" i="132"/>
  <c r="AT71" i="132"/>
  <c r="AV71" i="132"/>
  <c r="AS72" i="132"/>
  <c r="AT72" i="132"/>
  <c r="AV72" i="132"/>
  <c r="AS73" i="132"/>
  <c r="AT73" i="132"/>
  <c r="AV73" i="132"/>
  <c r="AS74" i="132"/>
  <c r="AT74" i="132"/>
  <c r="AV74" i="132"/>
  <c r="AS75" i="132"/>
  <c r="AT75" i="132"/>
  <c r="AV75" i="132"/>
  <c r="AS76" i="132"/>
  <c r="AT76" i="132"/>
  <c r="AV76" i="132"/>
  <c r="AS77" i="132"/>
  <c r="AT77" i="132"/>
  <c r="AV77" i="132"/>
  <c r="AS78" i="132"/>
  <c r="AT78" i="132"/>
  <c r="AV78" i="132"/>
  <c r="AS79" i="132"/>
  <c r="AT79" i="132"/>
  <c r="AV79" i="132"/>
  <c r="AS80" i="132"/>
  <c r="AT80" i="132"/>
  <c r="AV80" i="132"/>
  <c r="AS81" i="132"/>
  <c r="AT81" i="132"/>
  <c r="AV81" i="132"/>
  <c r="AS82" i="132"/>
  <c r="AT82" i="132"/>
  <c r="AV82" i="132"/>
  <c r="AS83" i="132"/>
  <c r="AT83" i="132"/>
  <c r="AV83" i="132"/>
  <c r="AS84" i="132"/>
  <c r="AT84" i="132"/>
  <c r="AV84" i="132"/>
  <c r="AS85" i="132"/>
  <c r="AT85" i="132"/>
  <c r="AV85" i="132"/>
  <c r="AS86" i="132"/>
  <c r="AT86" i="132"/>
  <c r="AV86" i="132"/>
  <c r="AS87" i="132"/>
  <c r="AT87" i="132"/>
  <c r="AV87" i="132"/>
  <c r="AS88" i="132"/>
  <c r="AT88" i="132"/>
  <c r="AV88" i="132"/>
  <c r="AS89" i="132"/>
  <c r="AT89" i="132"/>
  <c r="AV89" i="132"/>
  <c r="AS90" i="132"/>
  <c r="AT90" i="132"/>
  <c r="AV90" i="132"/>
  <c r="AS91" i="132"/>
  <c r="AT91" i="132"/>
  <c r="AV91" i="132"/>
  <c r="AS92" i="132"/>
  <c r="AT92" i="132"/>
  <c r="AV92" i="132"/>
  <c r="AS93" i="132"/>
  <c r="AT93" i="132"/>
  <c r="AV93" i="132"/>
  <c r="AS94" i="132"/>
  <c r="AT94" i="132"/>
  <c r="AV94" i="132"/>
  <c r="AS95" i="132"/>
  <c r="AT95" i="132"/>
  <c r="AV95" i="132"/>
  <c r="AS96" i="132"/>
  <c r="AT96" i="132"/>
  <c r="AV96" i="132"/>
  <c r="AS97" i="132"/>
  <c r="AT97" i="132"/>
  <c r="AV97" i="132"/>
  <c r="AS98" i="132"/>
  <c r="AT98" i="132"/>
  <c r="AV98" i="132"/>
  <c r="AS99" i="132"/>
  <c r="AT99" i="132"/>
  <c r="AV99" i="132"/>
  <c r="AS100" i="132"/>
  <c r="AT100" i="132"/>
  <c r="AV100" i="132"/>
  <c r="AS101" i="132"/>
  <c r="AT101" i="132"/>
  <c r="AV101" i="132"/>
  <c r="AS102" i="132"/>
  <c r="AT102" i="132"/>
  <c r="AV102" i="132"/>
  <c r="AS103" i="132"/>
  <c r="AT103" i="132"/>
  <c r="AV103" i="132"/>
  <c r="AS104" i="132"/>
  <c r="AT104" i="132"/>
  <c r="AV104" i="132"/>
  <c r="AS105" i="132"/>
  <c r="AT105" i="132"/>
  <c r="AV105" i="132"/>
  <c r="AS106" i="132"/>
  <c r="AT106" i="132"/>
  <c r="AV106" i="132"/>
  <c r="AS107" i="132"/>
  <c r="AT107" i="132"/>
  <c r="AV107" i="132"/>
  <c r="AS108" i="132"/>
  <c r="AT108" i="132"/>
  <c r="AV108" i="132"/>
  <c r="AS109" i="132"/>
  <c r="AT109" i="132"/>
  <c r="AV109" i="132"/>
  <c r="AS110" i="132"/>
  <c r="AT110" i="132"/>
  <c r="AV110" i="132"/>
  <c r="AS111" i="132"/>
  <c r="AT111" i="132"/>
  <c r="AV111" i="132"/>
  <c r="AS112" i="132"/>
  <c r="AT112" i="132"/>
  <c r="AV112" i="132"/>
  <c r="AS113" i="132"/>
  <c r="AT113" i="132"/>
  <c r="AV113" i="132"/>
  <c r="AS114" i="132"/>
  <c r="AT114" i="132"/>
  <c r="AV114" i="132"/>
  <c r="AS115" i="132"/>
  <c r="AT115" i="132"/>
  <c r="AV115" i="132"/>
  <c r="AS116" i="132"/>
  <c r="AT116" i="132"/>
  <c r="AV116" i="132"/>
  <c r="AS117" i="132"/>
  <c r="AT117" i="132"/>
  <c r="AV117" i="132"/>
  <c r="AS118" i="132"/>
  <c r="AT118" i="132"/>
  <c r="AV118" i="132"/>
  <c r="AS119" i="132"/>
  <c r="AT119" i="132"/>
  <c r="AV119" i="132"/>
  <c r="AS120" i="132"/>
  <c r="AT120" i="132"/>
  <c r="AV120" i="132"/>
  <c r="AS121" i="132"/>
  <c r="AT121" i="132"/>
  <c r="AV121" i="132"/>
  <c r="AS122" i="132"/>
  <c r="AT122" i="132"/>
  <c r="AV122" i="132"/>
  <c r="AS123" i="132"/>
  <c r="AT123" i="132"/>
  <c r="AV123" i="132"/>
  <c r="AS124" i="132"/>
  <c r="AT124" i="132"/>
  <c r="AV124" i="132"/>
  <c r="AS125" i="132"/>
  <c r="AT125" i="132"/>
  <c r="AV125" i="132"/>
  <c r="AS126" i="132"/>
  <c r="AT126" i="132"/>
  <c r="AV126" i="132"/>
  <c r="AS127" i="132"/>
  <c r="AT127" i="132"/>
  <c r="AV127" i="132"/>
  <c r="AS128" i="132"/>
  <c r="AT128" i="132"/>
  <c r="AV128" i="132"/>
  <c r="AS129" i="132"/>
  <c r="AT129" i="132"/>
  <c r="AV129" i="132"/>
  <c r="AS130" i="132"/>
  <c r="AT130" i="132"/>
  <c r="AV130" i="132"/>
  <c r="AS131" i="132"/>
  <c r="AT131" i="132"/>
  <c r="AV131" i="132"/>
  <c r="AS132" i="132"/>
  <c r="AT132" i="132"/>
  <c r="AV132" i="132"/>
  <c r="AS133" i="132"/>
  <c r="AT133" i="132"/>
  <c r="AV133" i="132"/>
  <c r="AS134" i="132"/>
  <c r="AT134" i="132"/>
  <c r="AV134" i="132"/>
  <c r="AS135" i="132"/>
  <c r="AT135" i="132"/>
  <c r="AV135" i="132"/>
  <c r="AS136" i="132"/>
  <c r="AT136" i="132"/>
  <c r="AV136" i="132"/>
  <c r="AS137" i="132"/>
  <c r="AT137" i="132"/>
  <c r="AV137" i="132"/>
  <c r="AS138" i="132"/>
  <c r="AT138" i="132"/>
  <c r="AV138" i="132"/>
  <c r="AS139" i="132"/>
  <c r="AT139" i="132"/>
  <c r="AV139" i="132"/>
  <c r="AS140" i="132"/>
  <c r="AT140" i="132"/>
  <c r="AV140" i="132"/>
  <c r="AS141" i="132"/>
  <c r="AT141" i="132"/>
  <c r="AV141" i="132"/>
  <c r="AS142" i="132"/>
  <c r="AT142" i="132"/>
  <c r="AV142" i="132"/>
  <c r="AT145" i="132"/>
  <c r="AV145" i="132"/>
  <c r="AS150" i="132"/>
  <c r="AT150" i="132"/>
  <c r="AV150" i="132"/>
  <c r="AS151" i="132"/>
  <c r="AT151" i="132"/>
  <c r="AV151" i="132"/>
  <c r="AS152" i="132"/>
  <c r="AT152" i="132"/>
  <c r="AV152" i="132"/>
  <c r="AS153" i="132"/>
  <c r="AT153" i="132"/>
  <c r="AV153" i="132"/>
  <c r="AS154" i="132"/>
  <c r="AT154" i="132"/>
  <c r="AV154" i="132"/>
  <c r="AS155" i="132"/>
  <c r="AT155" i="132"/>
  <c r="AV155" i="132"/>
  <c r="AS156" i="132"/>
  <c r="AT156" i="132"/>
  <c r="AV156" i="132"/>
  <c r="AS157" i="132"/>
  <c r="AT157" i="132"/>
  <c r="AV157" i="132"/>
  <c r="AS158" i="132"/>
  <c r="AT158" i="132"/>
  <c r="AV158" i="132"/>
  <c r="AS159" i="132"/>
  <c r="AT159" i="132"/>
  <c r="AV159" i="132"/>
  <c r="AS160" i="132"/>
  <c r="AT160" i="132"/>
  <c r="AV160" i="132"/>
  <c r="AS161" i="132"/>
  <c r="AT161" i="132"/>
  <c r="AV161" i="132"/>
  <c r="AS162" i="132"/>
  <c r="AT162" i="132"/>
  <c r="AV162" i="132"/>
  <c r="AS163" i="132"/>
  <c r="AT163" i="132"/>
  <c r="AV163" i="132"/>
  <c r="AS164" i="132"/>
  <c r="AT164" i="132"/>
  <c r="AV164" i="132"/>
  <c r="AS165" i="132"/>
  <c r="AT165" i="132"/>
  <c r="AV165" i="132"/>
  <c r="AS166" i="132"/>
  <c r="AT166" i="132"/>
  <c r="AV166" i="132"/>
  <c r="AS167" i="132"/>
  <c r="AT167" i="132"/>
  <c r="AV167" i="132"/>
  <c r="AS168" i="132"/>
  <c r="AT168" i="132"/>
  <c r="AV168" i="132"/>
  <c r="AS169" i="132"/>
  <c r="AT169" i="132"/>
  <c r="AV169" i="132"/>
  <c r="AS170" i="132"/>
  <c r="AT170" i="132"/>
  <c r="AV170" i="132"/>
  <c r="AS171" i="132"/>
  <c r="AT171" i="132"/>
  <c r="AV171" i="132"/>
  <c r="AS172" i="132"/>
  <c r="AT172" i="132"/>
  <c r="AV172" i="132"/>
  <c r="AS173" i="132"/>
  <c r="AT173" i="132"/>
  <c r="AV173" i="132"/>
  <c r="AS174" i="132"/>
  <c r="AT174" i="132"/>
  <c r="AV174" i="132"/>
  <c r="AS175" i="132"/>
  <c r="AT175" i="132"/>
  <c r="AV175" i="132"/>
  <c r="AS176" i="132"/>
  <c r="AT176" i="132"/>
  <c r="AV176" i="132"/>
  <c r="AT178" i="132"/>
  <c r="AV178" i="132"/>
  <c r="AT196" i="132"/>
  <c r="AV196"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Heather Garland</author>
    <author>Lindsay Waldram</author>
  </authors>
  <commentList>
    <comment ref="C40" authorId="0" shapeId="0" xr:uid="{00000000-0006-0000-0100-000001000000}">
      <text>
        <r>
          <rPr>
            <b/>
            <sz val="9"/>
            <color indexed="81"/>
            <rFont val="Tahoma"/>
            <family val="2"/>
          </rPr>
          <t>Heather Garland:</t>
        </r>
        <r>
          <rPr>
            <sz val="9"/>
            <color indexed="81"/>
            <rFont val="Tahoma"/>
            <family val="2"/>
          </rPr>
          <t xml:space="preserve">
Yakima Waste uses third party brokerage to deliver recyclables to Columbia Resource Company, an affiliated of Yakima Waste.  Proceeds are paid to Yakima Waste at the monthly market rate for each commodity.</t>
        </r>
      </text>
    </comment>
    <comment ref="F46" authorId="0" shapeId="0" xr:uid="{00000000-0006-0000-0100-000002000000}">
      <text>
        <r>
          <rPr>
            <b/>
            <sz val="9"/>
            <color indexed="81"/>
            <rFont val="Tahoma"/>
            <family val="2"/>
          </rPr>
          <t>Heather Garland:</t>
        </r>
        <r>
          <rPr>
            <sz val="9"/>
            <color indexed="81"/>
            <rFont val="Tahoma"/>
            <family val="2"/>
          </rPr>
          <t xml:space="preserve">
Move p-card rebates to reduce expense as they are not regulated tariff revenue.</t>
        </r>
      </text>
    </comment>
    <comment ref="H63" authorId="1" shapeId="0" xr:uid="{00000000-0006-0000-0100-000003000000}">
      <text>
        <r>
          <rPr>
            <b/>
            <sz val="9"/>
            <color indexed="81"/>
            <rFont val="Tahoma"/>
            <family val="2"/>
          </rPr>
          <t>WCNX:</t>
        </r>
        <r>
          <rPr>
            <sz val="9"/>
            <color indexed="81"/>
            <rFont val="Tahoma"/>
            <family val="2"/>
          </rPr>
          <t xml:space="preserve">
Includes welder HC add</t>
        </r>
      </text>
    </comment>
    <comment ref="A85" authorId="1" shapeId="0" xr:uid="{00000000-0006-0000-0100-000004000000}">
      <text>
        <r>
          <rPr>
            <b/>
            <sz val="9"/>
            <color indexed="81"/>
            <rFont val="Tahoma"/>
            <family val="2"/>
          </rPr>
          <t>Lindsay Waldram:</t>
        </r>
        <r>
          <rPr>
            <sz val="9"/>
            <color indexed="81"/>
            <rFont val="Tahoma"/>
            <family val="2"/>
          </rPr>
          <t xml:space="preserve">
Not specifically called out in Uniform System of Accounts.  Assumed it was related to parts</t>
        </r>
      </text>
    </comment>
    <comment ref="A86" authorId="1" shapeId="0" xr:uid="{00000000-0006-0000-0100-000005000000}">
      <text>
        <r>
          <rPr>
            <b/>
            <sz val="9"/>
            <color indexed="81"/>
            <rFont val="Tahoma"/>
            <family val="2"/>
          </rPr>
          <t>Lindsay Waldram:</t>
        </r>
        <r>
          <rPr>
            <sz val="9"/>
            <color indexed="81"/>
            <rFont val="Tahoma"/>
            <family val="2"/>
          </rPr>
          <t xml:space="preserve">
Not specifically called out in Uniform System of Accounts.  Assumed it was related to parts</t>
        </r>
      </text>
    </comment>
    <comment ref="C122" authorId="0" shapeId="0" xr:uid="{00000000-0006-0000-0100-000006000000}">
      <text>
        <r>
          <rPr>
            <b/>
            <sz val="9"/>
            <color indexed="81"/>
            <rFont val="Tahoma"/>
            <family val="2"/>
          </rPr>
          <t>Heather Garland:</t>
        </r>
        <r>
          <rPr>
            <sz val="9"/>
            <color indexed="81"/>
            <rFont val="Tahoma"/>
            <family val="2"/>
          </rPr>
          <t xml:space="preserve">
Hauling of recycling to processing facility.</t>
        </r>
      </text>
    </comment>
    <comment ref="F236" authorId="1" shapeId="0" xr:uid="{00000000-0006-0000-0100-000007000000}">
      <text>
        <r>
          <rPr>
            <b/>
            <sz val="9"/>
            <color indexed="81"/>
            <rFont val="Tahoma"/>
            <family val="2"/>
          </rPr>
          <t>WCNX:</t>
        </r>
        <r>
          <rPr>
            <sz val="9"/>
            <color indexed="81"/>
            <rFont val="Tahoma"/>
            <family val="2"/>
          </rPr>
          <t xml:space="preserve">
Adjusted to actual in account 70310</t>
        </r>
      </text>
    </comment>
    <comment ref="F247" authorId="0" shapeId="0" xr:uid="{00000000-0006-0000-0100-000008000000}">
      <text>
        <r>
          <rPr>
            <b/>
            <sz val="9"/>
            <color indexed="81"/>
            <rFont val="Tahoma"/>
            <family val="2"/>
          </rPr>
          <t>Heather Garland:</t>
        </r>
        <r>
          <rPr>
            <sz val="9"/>
            <color indexed="81"/>
            <rFont val="Tahoma"/>
            <family val="2"/>
          </rPr>
          <t xml:space="preserve">
Unallowable
</t>
        </r>
      </text>
    </comment>
    <comment ref="F249" authorId="0" shapeId="0" xr:uid="{00000000-0006-0000-0100-000009000000}">
      <text>
        <r>
          <rPr>
            <b/>
            <sz val="9"/>
            <color indexed="81"/>
            <rFont val="Tahoma"/>
            <family val="2"/>
          </rPr>
          <t>Heather Garland:</t>
        </r>
        <r>
          <rPr>
            <sz val="9"/>
            <color indexed="81"/>
            <rFont val="Tahoma"/>
            <family val="2"/>
          </rPr>
          <t xml:space="preserve">
Unallowable
</t>
        </r>
      </text>
    </comment>
    <comment ref="F250" authorId="0" shapeId="0" xr:uid="{00000000-0006-0000-0100-00000A000000}">
      <text>
        <r>
          <rPr>
            <b/>
            <sz val="9"/>
            <color indexed="81"/>
            <rFont val="Tahoma"/>
            <family val="2"/>
          </rPr>
          <t>Heather Garland:</t>
        </r>
        <r>
          <rPr>
            <sz val="9"/>
            <color indexed="81"/>
            <rFont val="Tahoma"/>
            <family val="2"/>
          </rPr>
          <t xml:space="preserve">
Unallowable
</t>
        </r>
      </text>
    </comment>
    <comment ref="F257" authorId="0" shapeId="0" xr:uid="{00000000-0006-0000-0100-00000B000000}">
      <text>
        <r>
          <rPr>
            <b/>
            <sz val="9"/>
            <color indexed="81"/>
            <rFont val="Tahoma"/>
            <family val="2"/>
          </rPr>
          <t>Heather Garland:</t>
        </r>
        <r>
          <rPr>
            <sz val="9"/>
            <color indexed="81"/>
            <rFont val="Tahoma"/>
            <family val="2"/>
          </rPr>
          <t xml:space="preserve">
Unallowable
</t>
        </r>
      </text>
    </comment>
    <comment ref="F258" authorId="0" shapeId="0" xr:uid="{00000000-0006-0000-0100-00000C000000}">
      <text>
        <r>
          <rPr>
            <b/>
            <sz val="9"/>
            <color indexed="81"/>
            <rFont val="Tahoma"/>
            <family val="2"/>
          </rPr>
          <t>Heather Garland:</t>
        </r>
        <r>
          <rPr>
            <sz val="9"/>
            <color indexed="81"/>
            <rFont val="Tahoma"/>
            <family val="2"/>
          </rPr>
          <t xml:space="preserve">
Remove Unallowable</t>
        </r>
      </text>
    </comment>
    <comment ref="C312" authorId="1" shapeId="0" xr:uid="{00000000-0006-0000-0100-00000D000000}">
      <text>
        <r>
          <rPr>
            <b/>
            <sz val="9"/>
            <color indexed="81"/>
            <rFont val="Tahoma"/>
            <family val="2"/>
          </rPr>
          <t>Lindsay Waldram:</t>
        </r>
        <r>
          <rPr>
            <sz val="9"/>
            <color indexed="81"/>
            <rFont val="Tahoma"/>
            <family val="2"/>
          </rPr>
          <t xml:space="preserve">
Includes B&amp;O and Sales Tax</t>
        </r>
      </text>
    </comment>
    <comment ref="C316" authorId="1" shapeId="0" xr:uid="{00000000-0006-0000-0100-00000E000000}">
      <text>
        <r>
          <rPr>
            <b/>
            <sz val="9"/>
            <color indexed="81"/>
            <rFont val="Tahoma"/>
            <family val="2"/>
          </rPr>
          <t>WCNX:</t>
        </r>
        <r>
          <rPr>
            <sz val="9"/>
            <color indexed="81"/>
            <rFont val="Tahoma"/>
            <family val="2"/>
          </rPr>
          <t xml:space="preserve">
Per district: This is Tero Payroll Tax for the sites drivers that are native american or non native american (Non Reg). We pay this to the YIN and these drivers on route for the YIN contract. </t>
        </r>
      </text>
    </comment>
    <comment ref="C320" authorId="1" shapeId="0" xr:uid="{00000000-0006-0000-0100-00000F000000}">
      <text>
        <r>
          <rPr>
            <b/>
            <sz val="9"/>
            <color indexed="81"/>
            <rFont val="Tahoma"/>
            <family val="2"/>
          </rPr>
          <t>WCNX:</t>
        </r>
        <r>
          <rPr>
            <sz val="9"/>
            <color indexed="81"/>
            <rFont val="Tahoma"/>
            <family val="2"/>
          </rPr>
          <t xml:space="preserve">
Related to YIN.  Franchise Fee</t>
        </r>
      </text>
    </comment>
    <comment ref="F320" authorId="1" shapeId="0" xr:uid="{00000000-0006-0000-0100-000010000000}">
      <text>
        <r>
          <rPr>
            <b/>
            <sz val="9"/>
            <color indexed="81"/>
            <rFont val="Tahoma"/>
            <family val="2"/>
          </rPr>
          <t>WCNX:</t>
        </r>
        <r>
          <rPr>
            <sz val="9"/>
            <color indexed="81"/>
            <rFont val="Tahoma"/>
            <family val="2"/>
          </rPr>
          <t xml:space="preserve">
Reclass to Taxes Pass Thru Fees</t>
        </r>
      </text>
    </comment>
    <comment ref="C330" authorId="1" shapeId="0" xr:uid="{00000000-0006-0000-0100-000011000000}">
      <text>
        <r>
          <rPr>
            <b/>
            <sz val="9"/>
            <color indexed="81"/>
            <rFont val="Tahoma"/>
            <family val="2"/>
          </rPr>
          <t>Lindsay Waldram:</t>
        </r>
        <r>
          <rPr>
            <sz val="9"/>
            <color indexed="81"/>
            <rFont val="Tahoma"/>
            <family val="2"/>
          </rPr>
          <t xml:space="preserve">
Per JE Query this is for copiers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900-000001000000}">
      <text>
        <r>
          <rPr>
            <b/>
            <sz val="9"/>
            <color indexed="81"/>
            <rFont val="Tahoma"/>
            <family val="2"/>
          </rPr>
          <t>(1-10000),
&gt;10000 admins only, default: 10000</t>
        </r>
      </text>
    </comment>
    <comment ref="H12" authorId="0" shapeId="0" xr:uid="{00000000-0006-0000-1900-000002000000}">
      <text>
        <r>
          <rPr>
            <b/>
            <sz val="8"/>
            <color indexed="81"/>
            <rFont val="Tahoma"/>
            <family val="2"/>
          </rPr>
          <t>If blank: If both dates are blankdefaults to current month</t>
        </r>
      </text>
    </comment>
    <comment ref="L12" authorId="1" shapeId="0" xr:uid="{00000000-0006-0000-1900-000003000000}">
      <text>
        <r>
          <rPr>
            <b/>
            <sz val="9"/>
            <color indexed="81"/>
            <rFont val="Tahoma"/>
            <family val="2"/>
          </rPr>
          <t>If Distict is blank, selects all districts. Can use F9 Groupings.</t>
        </r>
      </text>
    </comment>
    <comment ref="O12" authorId="1" shapeId="0" xr:uid="{00000000-0006-0000-1900-000004000000}">
      <text>
        <r>
          <rPr>
            <b/>
            <sz val="9"/>
            <color indexed="81"/>
            <rFont val="Tahoma"/>
            <family val="2"/>
          </rPr>
          <t>Leave blank to search all</t>
        </r>
      </text>
    </comment>
    <comment ref="H13" authorId="0" shapeId="0" xr:uid="{00000000-0006-0000-1900-000005000000}">
      <text>
        <r>
          <rPr>
            <b/>
            <sz val="8"/>
            <color indexed="81"/>
            <rFont val="Tahoma"/>
            <family val="2"/>
          </rPr>
          <t>If blank: If both dates are blankdefaults to current month</t>
        </r>
      </text>
    </comment>
    <comment ref="L13" authorId="1" shapeId="0" xr:uid="{00000000-0006-0000-1900-000006000000}">
      <text>
        <r>
          <rPr>
            <b/>
            <sz val="9"/>
            <color indexed="81"/>
            <rFont val="Tahoma"/>
            <family val="2"/>
          </rPr>
          <t>If Accounts is blank, selects all accounts. Can use F9 Groupings.</t>
        </r>
      </text>
    </comment>
    <comment ref="O13" authorId="1" shapeId="0" xr:uid="{00000000-0006-0000-1900-000007000000}">
      <text>
        <r>
          <rPr>
            <b/>
            <sz val="9"/>
            <color indexed="81"/>
            <rFont val="Tahoma"/>
            <family val="2"/>
          </rPr>
          <t>Will search absolute values.</t>
        </r>
      </text>
    </comment>
    <comment ref="L14" authorId="1" shapeId="0" xr:uid="{00000000-0006-0000-1900-000008000000}">
      <text>
        <r>
          <rPr>
            <b/>
            <sz val="9"/>
            <color indexed="81"/>
            <rFont val="Tahoma"/>
            <family val="2"/>
          </rPr>
          <t>If System is blank, selects all systems. Can use F9 Groupings.</t>
        </r>
      </text>
    </comment>
    <comment ref="O14" authorId="1" shapeId="0" xr:uid="{00000000-0006-0000-1900-000009000000}">
      <text>
        <r>
          <rPr>
            <b/>
            <sz val="9"/>
            <color indexed="81"/>
            <rFont val="Tahoma"/>
            <family val="2"/>
          </rPr>
          <t>Will search absolute values</t>
        </r>
      </text>
    </comment>
    <comment ref="L15" authorId="1" shapeId="0" xr:uid="{00000000-0006-0000-1900-00000A000000}">
      <text>
        <r>
          <rPr>
            <b/>
            <sz val="9"/>
            <color indexed="81"/>
            <rFont val="Tahoma"/>
            <family val="2"/>
          </rPr>
          <t>If Subsystem is blank, selects all subsystems. Can use F9 Groupings.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A00-000001000000}">
      <text>
        <r>
          <rPr>
            <b/>
            <sz val="9"/>
            <color indexed="81"/>
            <rFont val="Tahoma"/>
            <family val="2"/>
          </rPr>
          <t>(1-10000),
&gt;10000 admins only, default: 10000</t>
        </r>
      </text>
    </comment>
    <comment ref="H12" authorId="0" shapeId="0" xr:uid="{00000000-0006-0000-1A00-000002000000}">
      <text>
        <r>
          <rPr>
            <b/>
            <sz val="8"/>
            <color indexed="81"/>
            <rFont val="Tahoma"/>
            <family val="2"/>
          </rPr>
          <t>If blank: If both dates are blankdefaults to current month</t>
        </r>
      </text>
    </comment>
    <comment ref="L12" authorId="1" shapeId="0" xr:uid="{00000000-0006-0000-1A00-000003000000}">
      <text>
        <r>
          <rPr>
            <b/>
            <sz val="9"/>
            <color indexed="81"/>
            <rFont val="Tahoma"/>
            <family val="2"/>
          </rPr>
          <t>If Distict is blank, selects all districts. Can use F9 Groupings.</t>
        </r>
      </text>
    </comment>
    <comment ref="O12" authorId="1" shapeId="0" xr:uid="{00000000-0006-0000-1A00-000004000000}">
      <text>
        <r>
          <rPr>
            <b/>
            <sz val="9"/>
            <color indexed="81"/>
            <rFont val="Tahoma"/>
            <family val="2"/>
          </rPr>
          <t>Leave blank to search all</t>
        </r>
      </text>
    </comment>
    <comment ref="H13" authorId="0" shapeId="0" xr:uid="{00000000-0006-0000-1A00-000005000000}">
      <text>
        <r>
          <rPr>
            <b/>
            <sz val="8"/>
            <color indexed="81"/>
            <rFont val="Tahoma"/>
            <family val="2"/>
          </rPr>
          <t>If blank: If both dates are blankdefaults to current month</t>
        </r>
      </text>
    </comment>
    <comment ref="L13" authorId="1" shapeId="0" xr:uid="{00000000-0006-0000-1A00-000006000000}">
      <text>
        <r>
          <rPr>
            <b/>
            <sz val="9"/>
            <color indexed="81"/>
            <rFont val="Tahoma"/>
            <family val="2"/>
          </rPr>
          <t>If Accounts is blank, selects all accounts. Can use F9 Groupings.</t>
        </r>
      </text>
    </comment>
    <comment ref="O13" authorId="1" shapeId="0" xr:uid="{00000000-0006-0000-1A00-000007000000}">
      <text>
        <r>
          <rPr>
            <b/>
            <sz val="9"/>
            <color indexed="81"/>
            <rFont val="Tahoma"/>
            <family val="2"/>
          </rPr>
          <t>Will search absolute values.</t>
        </r>
      </text>
    </comment>
    <comment ref="L14" authorId="1" shapeId="0" xr:uid="{00000000-0006-0000-1A00-000008000000}">
      <text>
        <r>
          <rPr>
            <b/>
            <sz val="9"/>
            <color indexed="81"/>
            <rFont val="Tahoma"/>
            <family val="2"/>
          </rPr>
          <t>If System is blank, selects all systems. Can use F9 Groupings.</t>
        </r>
      </text>
    </comment>
    <comment ref="O14" authorId="1" shapeId="0" xr:uid="{00000000-0006-0000-1A00-000009000000}">
      <text>
        <r>
          <rPr>
            <b/>
            <sz val="9"/>
            <color indexed="81"/>
            <rFont val="Tahoma"/>
            <family val="2"/>
          </rPr>
          <t>Will search absolute values</t>
        </r>
      </text>
    </comment>
    <comment ref="L15" authorId="1" shapeId="0" xr:uid="{00000000-0006-0000-1A00-00000A000000}">
      <text>
        <r>
          <rPr>
            <b/>
            <sz val="9"/>
            <color indexed="81"/>
            <rFont val="Tahoma"/>
            <family val="2"/>
          </rPr>
          <t>If Subsystem is blank, selects all subsystems. Can use F9 Groupings.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Akasha Leffler</author>
  </authors>
  <commentList>
    <comment ref="AF9" authorId="0" shapeId="0" xr:uid="{00000000-0006-0000-1C00-000001000000}">
      <text>
        <r>
          <rPr>
            <b/>
            <sz val="9"/>
            <color indexed="81"/>
            <rFont val="Tahoma"/>
            <family val="2"/>
          </rPr>
          <t>Akasha Leffler:</t>
        </r>
        <r>
          <rPr>
            <sz val="9"/>
            <color indexed="81"/>
            <rFont val="Tahoma"/>
            <family val="2"/>
          </rPr>
          <t xml:space="preserve">
Unique formula. Not including the Jan 2022 amount of bonues pushed to corporate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Heather Garland</author>
  </authors>
  <commentList>
    <comment ref="G11" authorId="0" shapeId="0" xr:uid="{00000000-0006-0000-0600-000001000000}">
      <text>
        <r>
          <rPr>
            <b/>
            <sz val="9"/>
            <color indexed="81"/>
            <rFont val="Tahoma"/>
            <family val="2"/>
          </rPr>
          <t>Heather Garland:</t>
        </r>
        <r>
          <rPr>
            <sz val="9"/>
            <color indexed="81"/>
            <rFont val="Tahoma"/>
            <family val="2"/>
          </rPr>
          <t xml:space="preserve">
We will send out an informational letter along with standard UTC letter.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Bergheim</author>
  </authors>
  <commentList>
    <comment ref="T184" authorId="0" shapeId="0" xr:uid="{00000000-0006-0000-0800-000001000000}">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WCNX</author>
  </authors>
  <commentList>
    <comment ref="B1" authorId="0" shapeId="0" xr:uid="{00000000-0006-0000-0900-000001000000}">
      <text>
        <r>
          <rPr>
            <b/>
            <sz val="8"/>
            <color indexed="81"/>
            <rFont val="Tahoma"/>
            <family val="2"/>
          </rPr>
          <t>WCNX:</t>
        </r>
        <r>
          <rPr>
            <sz val="8"/>
            <color indexed="81"/>
            <rFont val="Tahoma"/>
            <family val="2"/>
          </rPr>
          <t xml:space="preserve">
Includes the Bill Areas: Yakima County, Grand View, Granger, Moxee, Selah, Toppenish, Union Gap, Yakima City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400-000001000000}">
      <text>
        <r>
          <rPr>
            <b/>
            <sz val="9"/>
            <color indexed="81"/>
            <rFont val="Tahoma"/>
            <family val="2"/>
          </rPr>
          <t>(1-10000),
&gt;10000 admins only, default: 10000</t>
        </r>
      </text>
    </comment>
    <comment ref="H12" authorId="0" shapeId="0" xr:uid="{00000000-0006-0000-1400-000002000000}">
      <text>
        <r>
          <rPr>
            <b/>
            <sz val="8"/>
            <color indexed="81"/>
            <rFont val="Tahoma"/>
            <family val="2"/>
          </rPr>
          <t>If blank: If both dates are blankdefaults to current month</t>
        </r>
      </text>
    </comment>
    <comment ref="L12" authorId="1" shapeId="0" xr:uid="{00000000-0006-0000-1400-000003000000}">
      <text>
        <r>
          <rPr>
            <b/>
            <sz val="9"/>
            <color indexed="81"/>
            <rFont val="Tahoma"/>
            <family val="2"/>
          </rPr>
          <t>If Distict is blank, selects all districts. Can use F9 Groupings.</t>
        </r>
      </text>
    </comment>
    <comment ref="O12" authorId="1" shapeId="0" xr:uid="{00000000-0006-0000-1400-000004000000}">
      <text>
        <r>
          <rPr>
            <b/>
            <sz val="9"/>
            <color indexed="81"/>
            <rFont val="Tahoma"/>
            <family val="2"/>
          </rPr>
          <t>Leave blank to search all</t>
        </r>
      </text>
    </comment>
    <comment ref="H13" authorId="0" shapeId="0" xr:uid="{00000000-0006-0000-1400-000005000000}">
      <text>
        <r>
          <rPr>
            <b/>
            <sz val="8"/>
            <color indexed="81"/>
            <rFont val="Tahoma"/>
            <family val="2"/>
          </rPr>
          <t>If blank: If both dates are blankdefaults to current month</t>
        </r>
      </text>
    </comment>
    <comment ref="L13" authorId="1" shapeId="0" xr:uid="{00000000-0006-0000-1400-000006000000}">
      <text>
        <r>
          <rPr>
            <b/>
            <sz val="9"/>
            <color indexed="81"/>
            <rFont val="Tahoma"/>
            <family val="2"/>
          </rPr>
          <t>If Accounts is blank, selects all accounts. Can use F9 Groupings.</t>
        </r>
      </text>
    </comment>
    <comment ref="O13" authorId="1" shapeId="0" xr:uid="{00000000-0006-0000-1400-000007000000}">
      <text>
        <r>
          <rPr>
            <b/>
            <sz val="9"/>
            <color indexed="81"/>
            <rFont val="Tahoma"/>
            <family val="2"/>
          </rPr>
          <t>Will search absolute values.</t>
        </r>
      </text>
    </comment>
    <comment ref="L14" authorId="1" shapeId="0" xr:uid="{00000000-0006-0000-1400-000008000000}">
      <text>
        <r>
          <rPr>
            <b/>
            <sz val="9"/>
            <color indexed="81"/>
            <rFont val="Tahoma"/>
            <family val="2"/>
          </rPr>
          <t>If System is blank, selects all systems. Can use F9 Groupings.</t>
        </r>
      </text>
    </comment>
    <comment ref="O14" authorId="1" shapeId="0" xr:uid="{00000000-0006-0000-1400-000009000000}">
      <text>
        <r>
          <rPr>
            <b/>
            <sz val="9"/>
            <color indexed="81"/>
            <rFont val="Tahoma"/>
            <family val="2"/>
          </rPr>
          <t>Will search absolute values</t>
        </r>
      </text>
    </comment>
    <comment ref="L15" authorId="1" shapeId="0" xr:uid="{00000000-0006-0000-1400-00000A000000}">
      <text>
        <r>
          <rPr>
            <b/>
            <sz val="9"/>
            <color indexed="81"/>
            <rFont val="Tahoma"/>
            <family val="2"/>
          </rPr>
          <t>If Subsystem is blank, selects all subsystems. Can use F9 Groupings.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500-000001000000}">
      <text>
        <r>
          <rPr>
            <b/>
            <sz val="9"/>
            <color indexed="81"/>
            <rFont val="Tahoma"/>
            <family val="2"/>
          </rPr>
          <t>(1-10000),
&gt;10000 admins only, default: 10000</t>
        </r>
      </text>
    </comment>
    <comment ref="H12" authorId="0" shapeId="0" xr:uid="{00000000-0006-0000-1500-000002000000}">
      <text>
        <r>
          <rPr>
            <b/>
            <sz val="8"/>
            <color indexed="81"/>
            <rFont val="Tahoma"/>
            <family val="2"/>
          </rPr>
          <t>If blank: If both dates are blankdefaults to current month</t>
        </r>
      </text>
    </comment>
    <comment ref="L12" authorId="1" shapeId="0" xr:uid="{00000000-0006-0000-1500-000003000000}">
      <text>
        <r>
          <rPr>
            <b/>
            <sz val="9"/>
            <color indexed="81"/>
            <rFont val="Tahoma"/>
            <family val="2"/>
          </rPr>
          <t>If Distict is blank, selects all districts. Can use F9 Groupings.</t>
        </r>
      </text>
    </comment>
    <comment ref="O12" authorId="1" shapeId="0" xr:uid="{00000000-0006-0000-1500-000004000000}">
      <text>
        <r>
          <rPr>
            <b/>
            <sz val="9"/>
            <color indexed="81"/>
            <rFont val="Tahoma"/>
            <family val="2"/>
          </rPr>
          <t>Leave blank to search all</t>
        </r>
      </text>
    </comment>
    <comment ref="H13" authorId="0" shapeId="0" xr:uid="{00000000-0006-0000-1500-000005000000}">
      <text>
        <r>
          <rPr>
            <b/>
            <sz val="8"/>
            <color indexed="81"/>
            <rFont val="Tahoma"/>
            <family val="2"/>
          </rPr>
          <t>If blank: If both dates are blankdefaults to current month</t>
        </r>
      </text>
    </comment>
    <comment ref="L13" authorId="1" shapeId="0" xr:uid="{00000000-0006-0000-1500-000006000000}">
      <text>
        <r>
          <rPr>
            <b/>
            <sz val="9"/>
            <color indexed="81"/>
            <rFont val="Tahoma"/>
            <family val="2"/>
          </rPr>
          <t>If Accounts is blank, selects all accounts. Can use F9 Groupings.</t>
        </r>
      </text>
    </comment>
    <comment ref="O13" authorId="1" shapeId="0" xr:uid="{00000000-0006-0000-1500-000007000000}">
      <text>
        <r>
          <rPr>
            <b/>
            <sz val="9"/>
            <color indexed="81"/>
            <rFont val="Tahoma"/>
            <family val="2"/>
          </rPr>
          <t>Will search absolute values.</t>
        </r>
      </text>
    </comment>
    <comment ref="L14" authorId="1" shapeId="0" xr:uid="{00000000-0006-0000-1500-000008000000}">
      <text>
        <r>
          <rPr>
            <b/>
            <sz val="9"/>
            <color indexed="81"/>
            <rFont val="Tahoma"/>
            <family val="2"/>
          </rPr>
          <t>If System is blank, selects all systems. Can use F9 Groupings.</t>
        </r>
      </text>
    </comment>
    <comment ref="O14" authorId="1" shapeId="0" xr:uid="{00000000-0006-0000-1500-000009000000}">
      <text>
        <r>
          <rPr>
            <b/>
            <sz val="9"/>
            <color indexed="81"/>
            <rFont val="Tahoma"/>
            <family val="2"/>
          </rPr>
          <t>Will search absolute values</t>
        </r>
      </text>
    </comment>
    <comment ref="L15" authorId="1" shapeId="0" xr:uid="{00000000-0006-0000-1500-00000A000000}">
      <text>
        <r>
          <rPr>
            <b/>
            <sz val="9"/>
            <color indexed="81"/>
            <rFont val="Tahoma"/>
            <family val="2"/>
          </rPr>
          <t>If Subsystem is blank, selects all subsystems. Can use F9 Groupings.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600-000001000000}">
      <text>
        <r>
          <rPr>
            <b/>
            <sz val="9"/>
            <color indexed="81"/>
            <rFont val="Tahoma"/>
            <family val="2"/>
          </rPr>
          <t>(1-10000),
&gt;10000 admins only, default: 10000</t>
        </r>
      </text>
    </comment>
    <comment ref="H12" authorId="0" shapeId="0" xr:uid="{00000000-0006-0000-1600-000002000000}">
      <text>
        <r>
          <rPr>
            <b/>
            <sz val="8"/>
            <color indexed="81"/>
            <rFont val="Tahoma"/>
            <family val="2"/>
          </rPr>
          <t>If blank: If both dates are blankdefaults to current month</t>
        </r>
      </text>
    </comment>
    <comment ref="L12" authorId="1" shapeId="0" xr:uid="{00000000-0006-0000-1600-000003000000}">
      <text>
        <r>
          <rPr>
            <b/>
            <sz val="9"/>
            <color indexed="81"/>
            <rFont val="Tahoma"/>
            <family val="2"/>
          </rPr>
          <t>If Distict is blank, selects all districts. Can use F9 Groupings.</t>
        </r>
      </text>
    </comment>
    <comment ref="O12" authorId="1" shapeId="0" xr:uid="{00000000-0006-0000-1600-000004000000}">
      <text>
        <r>
          <rPr>
            <b/>
            <sz val="9"/>
            <color indexed="81"/>
            <rFont val="Tahoma"/>
            <family val="2"/>
          </rPr>
          <t>Leave blank to search all</t>
        </r>
      </text>
    </comment>
    <comment ref="H13" authorId="0" shapeId="0" xr:uid="{00000000-0006-0000-1600-000005000000}">
      <text>
        <r>
          <rPr>
            <b/>
            <sz val="8"/>
            <color indexed="81"/>
            <rFont val="Tahoma"/>
            <family val="2"/>
          </rPr>
          <t>If blank: If both dates are blankdefaults to current month</t>
        </r>
      </text>
    </comment>
    <comment ref="L13" authorId="1" shapeId="0" xr:uid="{00000000-0006-0000-1600-000006000000}">
      <text>
        <r>
          <rPr>
            <b/>
            <sz val="9"/>
            <color indexed="81"/>
            <rFont val="Tahoma"/>
            <family val="2"/>
          </rPr>
          <t>If Accounts is blank, selects all accounts. Can use F9 Groupings.</t>
        </r>
      </text>
    </comment>
    <comment ref="O13" authorId="1" shapeId="0" xr:uid="{00000000-0006-0000-1600-000007000000}">
      <text>
        <r>
          <rPr>
            <b/>
            <sz val="9"/>
            <color indexed="81"/>
            <rFont val="Tahoma"/>
            <family val="2"/>
          </rPr>
          <t>Will search absolute values.</t>
        </r>
      </text>
    </comment>
    <comment ref="L14" authorId="1" shapeId="0" xr:uid="{00000000-0006-0000-1600-000008000000}">
      <text>
        <r>
          <rPr>
            <b/>
            <sz val="9"/>
            <color indexed="81"/>
            <rFont val="Tahoma"/>
            <family val="2"/>
          </rPr>
          <t>If System is blank, selects all systems. Can use F9 Groupings.</t>
        </r>
      </text>
    </comment>
    <comment ref="O14" authorId="1" shapeId="0" xr:uid="{00000000-0006-0000-1600-000009000000}">
      <text>
        <r>
          <rPr>
            <b/>
            <sz val="9"/>
            <color indexed="81"/>
            <rFont val="Tahoma"/>
            <family val="2"/>
          </rPr>
          <t>Will search absolute values</t>
        </r>
      </text>
    </comment>
    <comment ref="L15" authorId="1" shapeId="0" xr:uid="{00000000-0006-0000-1600-00000A000000}">
      <text>
        <r>
          <rPr>
            <b/>
            <sz val="9"/>
            <color indexed="81"/>
            <rFont val="Tahoma"/>
            <family val="2"/>
          </rPr>
          <t>If Subsystem is blank, selects all subsystems. Can use F9 Groupings.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700-000001000000}">
      <text>
        <r>
          <rPr>
            <b/>
            <sz val="9"/>
            <color indexed="81"/>
            <rFont val="Tahoma"/>
            <family val="2"/>
          </rPr>
          <t>(1-10000),
&gt;10000 admins only, default: 10000</t>
        </r>
      </text>
    </comment>
    <comment ref="H12" authorId="0" shapeId="0" xr:uid="{00000000-0006-0000-1700-000002000000}">
      <text>
        <r>
          <rPr>
            <b/>
            <sz val="8"/>
            <color indexed="81"/>
            <rFont val="Tahoma"/>
            <family val="2"/>
          </rPr>
          <t>If blank: If both dates are blankdefaults to current month</t>
        </r>
      </text>
    </comment>
    <comment ref="L12" authorId="1" shapeId="0" xr:uid="{00000000-0006-0000-1700-000003000000}">
      <text>
        <r>
          <rPr>
            <b/>
            <sz val="9"/>
            <color indexed="81"/>
            <rFont val="Tahoma"/>
            <family val="2"/>
          </rPr>
          <t>If Distict is blank, selects all districts. Can use F9 Groupings.</t>
        </r>
      </text>
    </comment>
    <comment ref="O12" authorId="1" shapeId="0" xr:uid="{00000000-0006-0000-1700-000004000000}">
      <text>
        <r>
          <rPr>
            <b/>
            <sz val="9"/>
            <color indexed="81"/>
            <rFont val="Tahoma"/>
            <family val="2"/>
          </rPr>
          <t>Leave blank to search all</t>
        </r>
      </text>
    </comment>
    <comment ref="H13" authorId="0" shapeId="0" xr:uid="{00000000-0006-0000-1700-000005000000}">
      <text>
        <r>
          <rPr>
            <b/>
            <sz val="8"/>
            <color indexed="81"/>
            <rFont val="Tahoma"/>
            <family val="2"/>
          </rPr>
          <t>If blank: If both dates are blankdefaults to current month</t>
        </r>
      </text>
    </comment>
    <comment ref="L13" authorId="1" shapeId="0" xr:uid="{00000000-0006-0000-1700-000006000000}">
      <text>
        <r>
          <rPr>
            <b/>
            <sz val="9"/>
            <color indexed="81"/>
            <rFont val="Tahoma"/>
            <family val="2"/>
          </rPr>
          <t>If Accounts is blank, selects all accounts. Can use F9 Groupings.</t>
        </r>
      </text>
    </comment>
    <comment ref="O13" authorId="1" shapeId="0" xr:uid="{00000000-0006-0000-1700-000007000000}">
      <text>
        <r>
          <rPr>
            <b/>
            <sz val="9"/>
            <color indexed="81"/>
            <rFont val="Tahoma"/>
            <family val="2"/>
          </rPr>
          <t>Will search absolute values.</t>
        </r>
      </text>
    </comment>
    <comment ref="L14" authorId="1" shapeId="0" xr:uid="{00000000-0006-0000-1700-000008000000}">
      <text>
        <r>
          <rPr>
            <b/>
            <sz val="9"/>
            <color indexed="81"/>
            <rFont val="Tahoma"/>
            <family val="2"/>
          </rPr>
          <t>If System is blank, selects all systems. Can use F9 Groupings.</t>
        </r>
      </text>
    </comment>
    <comment ref="O14" authorId="1" shapeId="0" xr:uid="{00000000-0006-0000-1700-000009000000}">
      <text>
        <r>
          <rPr>
            <b/>
            <sz val="9"/>
            <color indexed="81"/>
            <rFont val="Tahoma"/>
            <family val="2"/>
          </rPr>
          <t>Will search absolute values</t>
        </r>
      </text>
    </comment>
    <comment ref="L15" authorId="1" shapeId="0" xr:uid="{00000000-0006-0000-1700-00000A000000}">
      <text>
        <r>
          <rPr>
            <b/>
            <sz val="9"/>
            <color indexed="81"/>
            <rFont val="Tahoma"/>
            <family val="2"/>
          </rPr>
          <t>If Subsystem is blank, selects all subsystems. Can use F9 Groupings.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igort</author>
    <author>Interject</author>
  </authors>
  <commentList>
    <comment ref="C6" authorId="0" shapeId="0" xr:uid="{00000000-0006-0000-1800-000001000000}">
      <text>
        <r>
          <rPr>
            <b/>
            <sz val="9"/>
            <color indexed="81"/>
            <rFont val="Tahoma"/>
            <family val="2"/>
          </rPr>
          <t>(1-10000),
&gt;10000 admins only, default: 10000</t>
        </r>
      </text>
    </comment>
    <comment ref="H12" authorId="0" shapeId="0" xr:uid="{00000000-0006-0000-1800-000002000000}">
      <text>
        <r>
          <rPr>
            <b/>
            <sz val="8"/>
            <color indexed="81"/>
            <rFont val="Tahoma"/>
            <family val="2"/>
          </rPr>
          <t>If blank: If both dates are blankdefaults to current month</t>
        </r>
      </text>
    </comment>
    <comment ref="L12" authorId="1" shapeId="0" xr:uid="{00000000-0006-0000-1800-000003000000}">
      <text>
        <r>
          <rPr>
            <b/>
            <sz val="9"/>
            <color indexed="81"/>
            <rFont val="Tahoma"/>
            <family val="2"/>
          </rPr>
          <t>If Distict is blank, selects all districts. Can use F9 Groupings.</t>
        </r>
      </text>
    </comment>
    <comment ref="O12" authorId="1" shapeId="0" xr:uid="{00000000-0006-0000-1800-000004000000}">
      <text>
        <r>
          <rPr>
            <b/>
            <sz val="9"/>
            <color indexed="81"/>
            <rFont val="Tahoma"/>
            <family val="2"/>
          </rPr>
          <t>Leave blank to search all</t>
        </r>
      </text>
    </comment>
    <comment ref="H13" authorId="0" shapeId="0" xr:uid="{00000000-0006-0000-1800-000005000000}">
      <text>
        <r>
          <rPr>
            <b/>
            <sz val="8"/>
            <color indexed="81"/>
            <rFont val="Tahoma"/>
            <family val="2"/>
          </rPr>
          <t>If blank: If both dates are blankdefaults to current month</t>
        </r>
      </text>
    </comment>
    <comment ref="L13" authorId="1" shapeId="0" xr:uid="{00000000-0006-0000-1800-000006000000}">
      <text>
        <r>
          <rPr>
            <b/>
            <sz val="9"/>
            <color indexed="81"/>
            <rFont val="Tahoma"/>
            <family val="2"/>
          </rPr>
          <t>If Accounts is blank, selects all accounts. Can use F9 Groupings.</t>
        </r>
      </text>
    </comment>
    <comment ref="O13" authorId="1" shapeId="0" xr:uid="{00000000-0006-0000-1800-000007000000}">
      <text>
        <r>
          <rPr>
            <b/>
            <sz val="9"/>
            <color indexed="81"/>
            <rFont val="Tahoma"/>
            <family val="2"/>
          </rPr>
          <t>Will search absolute values.</t>
        </r>
      </text>
    </comment>
    <comment ref="L14" authorId="1" shapeId="0" xr:uid="{00000000-0006-0000-1800-000008000000}">
      <text>
        <r>
          <rPr>
            <b/>
            <sz val="9"/>
            <color indexed="81"/>
            <rFont val="Tahoma"/>
            <family val="2"/>
          </rPr>
          <t>If System is blank, selects all systems. Can use F9 Groupings.</t>
        </r>
      </text>
    </comment>
    <comment ref="O14" authorId="1" shapeId="0" xr:uid="{00000000-0006-0000-1800-000009000000}">
      <text>
        <r>
          <rPr>
            <b/>
            <sz val="9"/>
            <color indexed="81"/>
            <rFont val="Tahoma"/>
            <family val="2"/>
          </rPr>
          <t>Will search absolute values</t>
        </r>
      </text>
    </comment>
    <comment ref="L15" authorId="1" shapeId="0" xr:uid="{00000000-0006-0000-1800-00000A000000}">
      <text>
        <r>
          <rPr>
            <b/>
            <sz val="9"/>
            <color indexed="81"/>
            <rFont val="Tahoma"/>
            <family val="2"/>
          </rPr>
          <t>If Subsystem is blank, selects all subsystems. Can use F9 Groupings.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<sst xmlns="http://schemas.openxmlformats.org/spreadsheetml/2006/main" count="11369" uniqueCount="3029">
  <si>
    <t>Acct</t>
  </si>
  <si>
    <t>AcctName</t>
  </si>
  <si>
    <t>Act(-11)</t>
  </si>
  <si>
    <t>Act(-10)</t>
  </si>
  <si>
    <t>Act(-9)</t>
  </si>
  <si>
    <t>Act(-8)</t>
  </si>
  <si>
    <t>Act(-7)</t>
  </si>
  <si>
    <t>Act(-6)</t>
  </si>
  <si>
    <t>Act(-5)</t>
  </si>
  <si>
    <t>Act(-4)</t>
  </si>
  <si>
    <t>Act(-3)</t>
  </si>
  <si>
    <t>Act(-2)</t>
  </si>
  <si>
    <t>Act(-1)</t>
  </si>
  <si>
    <t>Act</t>
  </si>
  <si>
    <t>Waste Connections, Inc.</t>
  </si>
  <si>
    <t>Districts/Grouping:</t>
  </si>
  <si>
    <t>Exclude IC:</t>
  </si>
  <si>
    <t/>
  </si>
  <si>
    <t>System:</t>
  </si>
  <si>
    <t>Category</t>
  </si>
  <si>
    <t>Total</t>
  </si>
  <si>
    <t>[Fixed][Acct]='98501'</t>
  </si>
  <si>
    <t>IS Hauling</t>
  </si>
  <si>
    <t>Hauling Revenue - Roll Off Permanent</t>
  </si>
  <si>
    <t>[!DetailRow]</t>
  </si>
  <si>
    <t>Hauling Revenue - Roll Off Rental</t>
  </si>
  <si>
    <t>Hauling Revenue - Roll Off Extras</t>
  </si>
  <si>
    <t>Hauling Revenue - Residential MSW</t>
  </si>
  <si>
    <t>Hauling Revenue - Residential MSW Extras</t>
  </si>
  <si>
    <t>Hauling Revenue - Residential Recycling</t>
  </si>
  <si>
    <t>Hauling Revenue - Residential Composting</t>
  </si>
  <si>
    <t>Hauling Revenue - Commercial FEL</t>
  </si>
  <si>
    <t>Hauling Revenue</t>
  </si>
  <si>
    <t>IS Transfer</t>
  </si>
  <si>
    <t>Transfer and MRF</t>
  </si>
  <si>
    <t>IS MRF</t>
  </si>
  <si>
    <t>Proceeds - OCC</t>
  </si>
  <si>
    <t>Recycling Proceeds</t>
  </si>
  <si>
    <t>IS Landfill</t>
  </si>
  <si>
    <t>Landfill Revenue</t>
  </si>
  <si>
    <t>IS Intermodal</t>
  </si>
  <si>
    <t>Intermodal</t>
  </si>
  <si>
    <t>IS Other Revenue</t>
  </si>
  <si>
    <t>Other Revenue</t>
  </si>
  <si>
    <t>P-Card Rebate Revenue</t>
  </si>
  <si>
    <t>Revenue</t>
  </si>
  <si>
    <t>IS Disposal</t>
  </si>
  <si>
    <t>Disposal Landfill</t>
  </si>
  <si>
    <t>Disposal</t>
  </si>
  <si>
    <t>IS MRF Processing</t>
  </si>
  <si>
    <t>MRF Processing</t>
  </si>
  <si>
    <t>IS BRT</t>
  </si>
  <si>
    <t>Brokerage Cost</t>
  </si>
  <si>
    <t>WUTC Taxes</t>
  </si>
  <si>
    <t>Brok. and Taxes</t>
  </si>
  <si>
    <t>IS Recycling Mat</t>
  </si>
  <si>
    <t>Cost of Materials</t>
  </si>
  <si>
    <t>IS Other Expense</t>
  </si>
  <si>
    <t>Other Expense</t>
  </si>
  <si>
    <t>Rev Reductions</t>
  </si>
  <si>
    <t>Net Revenue</t>
  </si>
  <si>
    <t>IS Labor</t>
  </si>
  <si>
    <t>Salaries</t>
  </si>
  <si>
    <t>Wages Regular</t>
  </si>
  <si>
    <t>Wages O.T.</t>
  </si>
  <si>
    <t>Safety Bonuses</t>
  </si>
  <si>
    <t>Other Bonus/Commission - Non-Safety</t>
  </si>
  <si>
    <t>Contract Labor</t>
  </si>
  <si>
    <t>Payroll Taxes</t>
  </si>
  <si>
    <t>Group Insurance</t>
  </si>
  <si>
    <t>Vacation Pay</t>
  </si>
  <si>
    <t>Sick Pay</t>
  </si>
  <si>
    <t>Safety and Training</t>
  </si>
  <si>
    <t>Uniforms</t>
  </si>
  <si>
    <t>Pension and Profit Sharing</t>
  </si>
  <si>
    <t>Labor</t>
  </si>
  <si>
    <t>IS Fixed Equipment</t>
  </si>
  <si>
    <t>Licenses</t>
  </si>
  <si>
    <t>Truck Fixed</t>
  </si>
  <si>
    <t>IS Truck Variable</t>
  </si>
  <si>
    <t>Parts and Materials</t>
  </si>
  <si>
    <t>Operating Supplies</t>
  </si>
  <si>
    <t>Tires</t>
  </si>
  <si>
    <t>Fuel Expense</t>
  </si>
  <si>
    <t>Urea Additive Expense</t>
  </si>
  <si>
    <t>Oil and Grease</t>
  </si>
  <si>
    <t>Outside Repairs</t>
  </si>
  <si>
    <t>Allocated Exp In - District</t>
  </si>
  <si>
    <t>Utilities</t>
  </si>
  <si>
    <t>Communications</t>
  </si>
  <si>
    <t>Equip/Vehicle Rental</t>
  </si>
  <si>
    <t>Towing Expense</t>
  </si>
  <si>
    <t>Travel</t>
  </si>
  <si>
    <t>Costs Awaiting Capitalization</t>
  </si>
  <si>
    <t>Truck Variable</t>
  </si>
  <si>
    <t>IS Container</t>
  </si>
  <si>
    <t>Property Taxes</t>
  </si>
  <si>
    <t>Container Exp</t>
  </si>
  <si>
    <t>IS Supervisor</t>
  </si>
  <si>
    <t>Empl &amp; Commun Activ</t>
  </si>
  <si>
    <t>Employee Relocation</t>
  </si>
  <si>
    <t>Superv. Ex</t>
  </si>
  <si>
    <t>IS OtherOpExp</t>
  </si>
  <si>
    <t>Bldg &amp; Property</t>
  </si>
  <si>
    <t>Postage</t>
  </si>
  <si>
    <t>Drive Cam &amp; Routing SW Fees</t>
  </si>
  <si>
    <t>Penalties and Violations</t>
  </si>
  <si>
    <t>Permits</t>
  </si>
  <si>
    <t>Bonds Expense</t>
  </si>
  <si>
    <t>Other Operating</t>
  </si>
  <si>
    <t>Closure Exp</t>
  </si>
  <si>
    <t>IS Insurance</t>
  </si>
  <si>
    <t>Self Insurance Premium</t>
  </si>
  <si>
    <t>WC - Prior Year Claims</t>
  </si>
  <si>
    <t>Damages paid by District</t>
  </si>
  <si>
    <t>Workers Comp Prem</t>
  </si>
  <si>
    <t>Insurance Exp</t>
  </si>
  <si>
    <t>IS OpDisposal</t>
  </si>
  <si>
    <t>Gain/Loss on Sale of Asset</t>
  </si>
  <si>
    <t>G/L on Ops</t>
  </si>
  <si>
    <t>Cost of Ops</t>
  </si>
  <si>
    <t>Gross Profit</t>
  </si>
  <si>
    <t>IS Sales</t>
  </si>
  <si>
    <t>Advertising and Promotions</t>
  </si>
  <si>
    <t>Sales Exp</t>
  </si>
  <si>
    <t>IS G&amp;A</t>
  </si>
  <si>
    <t>Contributions</t>
  </si>
  <si>
    <t>Political Contributions</t>
  </si>
  <si>
    <t>Bldg &amp; Property Maint</t>
  </si>
  <si>
    <t>Cellular Telephone</t>
  </si>
  <si>
    <t>Dues and Subscriptions</t>
  </si>
  <si>
    <t>Entertainment</t>
  </si>
  <si>
    <t>Excursions Meetings</t>
  </si>
  <si>
    <t>Lodging</t>
  </si>
  <si>
    <t>Travel - Auto</t>
  </si>
  <si>
    <t>Meals</t>
  </si>
  <si>
    <t>Office Supplies and Equip</t>
  </si>
  <si>
    <t>Credit Card Fees</t>
  </si>
  <si>
    <t>Bank Charges</t>
  </si>
  <si>
    <t>Legal</t>
  </si>
  <si>
    <t>Other Prof Fees</t>
  </si>
  <si>
    <t>Data Processing</t>
  </si>
  <si>
    <t>Computer Supplies</t>
  </si>
  <si>
    <t>Bad Debt Provision</t>
  </si>
  <si>
    <t>Credit and Collection</t>
  </si>
  <si>
    <t>Security Services</t>
  </si>
  <si>
    <t>G&amp;A</t>
  </si>
  <si>
    <t>IS Overhead</t>
  </si>
  <si>
    <t>Corporate Overhead Allocation In</t>
  </si>
  <si>
    <t>Corp Overhead</t>
  </si>
  <si>
    <t>Total SG&amp;A</t>
  </si>
  <si>
    <t>EBITDA</t>
  </si>
  <si>
    <t>Watch list EBITDA</t>
  </si>
  <si>
    <t>IS Depreciation</t>
  </si>
  <si>
    <t>Depreciation</t>
  </si>
  <si>
    <t>IS Depletion</t>
  </si>
  <si>
    <t>Airspace Amort</t>
  </si>
  <si>
    <t>IS Amort</t>
  </si>
  <si>
    <t>Intangible Amort</t>
  </si>
  <si>
    <t>Total DDA</t>
  </si>
  <si>
    <t>EBIT From Ops</t>
  </si>
  <si>
    <t>IS Interest</t>
  </si>
  <si>
    <t>Interest Exp</t>
  </si>
  <si>
    <t>IS Interest Income</t>
  </si>
  <si>
    <t>Interest Income</t>
  </si>
  <si>
    <t>IS OtherIncExp</t>
  </si>
  <si>
    <t>Other Inc/Exp</t>
  </si>
  <si>
    <t>NI b/ Taxes &amp; Extra</t>
  </si>
  <si>
    <t>IS Extraordinary</t>
  </si>
  <si>
    <t>Extra. Items</t>
  </si>
  <si>
    <t>NI b/ Taxes</t>
  </si>
  <si>
    <t>IS Taxes</t>
  </si>
  <si>
    <t>Taxes</t>
  </si>
  <si>
    <t>Net Income</t>
  </si>
  <si>
    <t>IS NoncontrollingExp</t>
  </si>
  <si>
    <t>Non Controlling Int</t>
  </si>
  <si>
    <t>Net Income Attrib</t>
  </si>
  <si>
    <t>[Leftovers]</t>
  </si>
  <si>
    <t>Data Not Included</t>
  </si>
  <si>
    <t>Check</t>
  </si>
  <si>
    <t>Period:</t>
  </si>
  <si>
    <t>YTD 12</t>
  </si>
  <si>
    <t>Year:</t>
  </si>
  <si>
    <t>Driver Hours</t>
  </si>
  <si>
    <t>GL Code</t>
  </si>
  <si>
    <t>Description</t>
  </si>
  <si>
    <t>ACT</t>
  </si>
  <si>
    <t>DH</t>
  </si>
  <si>
    <t>Container Depreciation</t>
  </si>
  <si>
    <t>Total Allocated</t>
  </si>
  <si>
    <t>Commercial Recycle</t>
  </si>
  <si>
    <t>Customer Counts</t>
  </si>
  <si>
    <t xml:space="preserve">  Grand Total</t>
  </si>
  <si>
    <t>Difference</t>
  </si>
  <si>
    <t>Residential Recycle</t>
  </si>
  <si>
    <t>Abbreviations</t>
  </si>
  <si>
    <t>Number of Customers</t>
  </si>
  <si>
    <t>Line of Business</t>
  </si>
  <si>
    <t>Residential MSW</t>
  </si>
  <si>
    <t>Driver Hour Percentages by Line of Service</t>
  </si>
  <si>
    <t>Driver Hour Percentages by Bill Area</t>
  </si>
  <si>
    <t>YW Customers</t>
  </si>
  <si>
    <t>Company Provided Containers By Bill Area</t>
  </si>
  <si>
    <t>Total Other Revenue</t>
  </si>
  <si>
    <t>Interest Expense</t>
  </si>
  <si>
    <t>Actual</t>
  </si>
  <si>
    <t>Yard Waste</t>
  </si>
  <si>
    <t>Resi MSW</t>
  </si>
  <si>
    <t>RTONS</t>
  </si>
  <si>
    <t>WCN Training</t>
  </si>
  <si>
    <t>ROE</t>
  </si>
  <si>
    <t>Revenue Requirement</t>
  </si>
  <si>
    <t>@EXP(5.72260-(.68367*@LN(T)))</t>
  </si>
  <si>
    <t>@EXP(5.70827-(.68367*@LN(T)))</t>
  </si>
  <si>
    <t>@EXP(5.69850-(.68367*@LN(T)))</t>
  </si>
  <si>
    <t>@EXP(5.69220-(.68367*@LN(T)))</t>
  </si>
  <si>
    <t xml:space="preserve"> B &amp; O Tax</t>
  </si>
  <si>
    <t xml:space="preserve"> WUTC Fee</t>
  </si>
  <si>
    <t>Tax Rate</t>
  </si>
  <si>
    <t xml:space="preserve"> Bad Debts</t>
  </si>
  <si>
    <t>Revenue Sensitive</t>
  </si>
  <si>
    <t>Conversion Factor</t>
  </si>
  <si>
    <t>Resi Recycle</t>
  </si>
  <si>
    <t>YW</t>
  </si>
  <si>
    <t>Comm MSW</t>
  </si>
  <si>
    <t>Commercial Recycling</t>
  </si>
  <si>
    <t>Roll Off MSW</t>
  </si>
  <si>
    <t>Roll Off Recycling</t>
  </si>
  <si>
    <t>Pass-Through</t>
  </si>
  <si>
    <t>Service Charges</t>
  </si>
  <si>
    <t>Non-Regulated</t>
  </si>
  <si>
    <t>Non-Reg</t>
  </si>
  <si>
    <t>Adjusted</t>
  </si>
  <si>
    <t>Residential</t>
  </si>
  <si>
    <t>Pass Thru</t>
  </si>
  <si>
    <t>Wages-Regular</t>
  </si>
  <si>
    <t>Wages-OT</t>
  </si>
  <si>
    <t>Safety Bonus</t>
  </si>
  <si>
    <t>Parts &amp; Materials</t>
  </si>
  <si>
    <t>Equipment &amp; Maint Rep</t>
  </si>
  <si>
    <t>Outside Repair</t>
  </si>
  <si>
    <t>Tires &amp; Tubes</t>
  </si>
  <si>
    <t>Safety &amp; Training</t>
  </si>
  <si>
    <t>Drive Cam Fees</t>
  </si>
  <si>
    <t>Salaries-Supervisor</t>
  </si>
  <si>
    <t>Wages-Supervisor</t>
  </si>
  <si>
    <t>Wages OT</t>
  </si>
  <si>
    <t>Performance Bonus</t>
  </si>
  <si>
    <t>Total Driver Wages</t>
  </si>
  <si>
    <t>Total Fuel and Oil</t>
  </si>
  <si>
    <t>UTC Fee</t>
  </si>
  <si>
    <t>WUTC Fee</t>
  </si>
  <si>
    <t>Prior Year Claims</t>
  </si>
  <si>
    <t>Public Liability</t>
  </si>
  <si>
    <t>WC Prior Year Claims</t>
  </si>
  <si>
    <t>WC Premium</t>
  </si>
  <si>
    <t>Bond Exp-WC</t>
  </si>
  <si>
    <t>Workmen's Comp</t>
  </si>
  <si>
    <t>Bonuses</t>
  </si>
  <si>
    <t>Vacation</t>
  </si>
  <si>
    <t>Sick Leave</t>
  </si>
  <si>
    <t>Corp OH Allocation</t>
  </si>
  <si>
    <t>Communication</t>
  </si>
  <si>
    <t>Cellular Phone</t>
  </si>
  <si>
    <t>Pension</t>
  </si>
  <si>
    <t>Bad Debts</t>
  </si>
  <si>
    <t>Employee Comm Activity</t>
  </si>
  <si>
    <t>Alloc Exp In Distr</t>
  </si>
  <si>
    <t>Equip Rental (Copier)</t>
  </si>
  <si>
    <t>Dues &amp; Subscriptions</t>
  </si>
  <si>
    <t>Travel Auto</t>
  </si>
  <si>
    <t>Travel Meals</t>
  </si>
  <si>
    <t>Computer Software</t>
  </si>
  <si>
    <t>Depreciation Trks</t>
  </si>
  <si>
    <t>Depreciation Cont, DB</t>
  </si>
  <si>
    <t>Depreciation Service</t>
  </si>
  <si>
    <t>Depreciation Shop</t>
  </si>
  <si>
    <t>Depreciation Office</t>
  </si>
  <si>
    <t>Sale of Asset</t>
  </si>
  <si>
    <t>Rebate &amp; Rev Sharing</t>
  </si>
  <si>
    <t>Taxes &amp; Pass Thru Fees</t>
  </si>
  <si>
    <t>Property Tax</t>
  </si>
  <si>
    <t>Operating Ratio</t>
  </si>
  <si>
    <t>Containers</t>
  </si>
  <si>
    <t>Service Equipment</t>
  </si>
  <si>
    <t>Shop Equipment</t>
  </si>
  <si>
    <t>Office Equipment</t>
  </si>
  <si>
    <t>Cost</t>
  </si>
  <si>
    <t>Ending</t>
  </si>
  <si>
    <t>Average</t>
  </si>
  <si>
    <t>Salvage</t>
  </si>
  <si>
    <t>Depr</t>
  </si>
  <si>
    <t>Investment</t>
  </si>
  <si>
    <t>Garbage</t>
  </si>
  <si>
    <t>Roll-off</t>
  </si>
  <si>
    <t>Total Trucks</t>
  </si>
  <si>
    <t>Days - Weekdays</t>
  </si>
  <si>
    <t>Public Companies</t>
  </si>
  <si>
    <t>Public Co</t>
  </si>
  <si>
    <t>CALCULATION TABLES</t>
  </si>
  <si>
    <t>(d) + (e)</t>
  </si>
  <si>
    <t>Regession</t>
  </si>
  <si>
    <t>Hauler</t>
  </si>
  <si>
    <t>Revenue Req</t>
  </si>
  <si>
    <t>INPUTS - Test Year</t>
  </si>
  <si>
    <t>(a)</t>
  </si>
  <si>
    <t>(b)</t>
  </si>
  <si>
    <t>(c)</t>
  </si>
  <si>
    <t>(d)</t>
  </si>
  <si>
    <t>(e)</t>
  </si>
  <si>
    <t>(f)</t>
  </si>
  <si>
    <t>Before Tax</t>
  </si>
  <si>
    <t>Less</t>
  </si>
  <si>
    <t>After Tax</t>
  </si>
  <si>
    <t>Flotation Costs</t>
  </si>
  <si>
    <t>Weighted Cost</t>
  </si>
  <si>
    <t>Before RevS</t>
  </si>
  <si>
    <t xml:space="preserve">RevS </t>
  </si>
  <si>
    <t>Operating Revenue</t>
  </si>
  <si>
    <t>Line</t>
  </si>
  <si>
    <t>Historical</t>
  </si>
  <si>
    <t xml:space="preserve">Add: Revenue </t>
  </si>
  <si>
    <t>Profit Ratio</t>
  </si>
  <si>
    <t>BTROI</t>
  </si>
  <si>
    <t>WCDebt</t>
  </si>
  <si>
    <t>BTROE</t>
  </si>
  <si>
    <t>Basis Points</t>
  </si>
  <si>
    <t>Equity</t>
  </si>
  <si>
    <t>Equity BFT</t>
  </si>
  <si>
    <t>Debt</t>
  </si>
  <si>
    <t>BTROR</t>
  </si>
  <si>
    <t>Operating Expenses</t>
  </si>
  <si>
    <t>No.</t>
  </si>
  <si>
    <t>Change</t>
  </si>
  <si>
    <t>Sensitive Taxes</t>
  </si>
  <si>
    <t>Requirement</t>
  </si>
  <si>
    <t>Capital Structure-Debt %</t>
  </si>
  <si>
    <t>Capital Structure-Debt Rate</t>
  </si>
  <si>
    <t>Operating Income</t>
  </si>
  <si>
    <t>2nd Iteration</t>
  </si>
  <si>
    <t>B&amp;O Tax Rate</t>
  </si>
  <si>
    <t>Income Tax Expense</t>
  </si>
  <si>
    <t>City Tax</t>
  </si>
  <si>
    <t>3rd Iteration</t>
  </si>
  <si>
    <t xml:space="preserve">Operating Ratio </t>
  </si>
  <si>
    <t>Basis Points - Flotation</t>
  </si>
  <si>
    <t>Historical Revenue</t>
  </si>
  <si>
    <t>Rate Increase</t>
  </si>
  <si>
    <t>4th Iteration</t>
  </si>
  <si>
    <t>● Allows Income Tax Rate Changes,</t>
  </si>
  <si>
    <t>Captial Structure Financing Investment</t>
  </si>
  <si>
    <t>Financing Cost</t>
  </si>
  <si>
    <t>● Minimizes impact of changes in test-year revenue from</t>
  </si>
  <si>
    <t>Type</t>
  </si>
  <si>
    <t>Percent</t>
  </si>
  <si>
    <t>Amount</t>
  </si>
  <si>
    <t>Cost of Capital</t>
  </si>
  <si>
    <t>Weighted</t>
  </si>
  <si>
    <t>5th Iteration</t>
  </si>
  <si>
    <t>● Corrects interest rate transposition in LG.</t>
  </si>
  <si>
    <t>Before</t>
  </si>
  <si>
    <t>After</t>
  </si>
  <si>
    <t>6th Iteration</t>
  </si>
  <si>
    <t>Operating Statistics</t>
  </si>
  <si>
    <t>Income Tax</t>
  </si>
  <si>
    <t>Return on Investment</t>
  </si>
  <si>
    <t>Return on Equity</t>
  </si>
  <si>
    <t>7th Iteration</t>
  </si>
  <si>
    <t>Profit Margin</t>
  </si>
  <si>
    <t>Final turnover</t>
  </si>
  <si>
    <t>Revenue Sensitive Taxes Charges</t>
  </si>
  <si>
    <t>Curve</t>
  </si>
  <si>
    <t>Rate</t>
  </si>
  <si>
    <t>Lookup Table</t>
  </si>
  <si>
    <t>RevS Taxes</t>
  </si>
  <si>
    <t xml:space="preserve"> City Tax</t>
  </si>
  <si>
    <t>Percent Chg</t>
  </si>
  <si>
    <t>Curve turnover</t>
  </si>
  <si>
    <t>Curve No. Used</t>
  </si>
  <si>
    <t>Base Utility from LG Sample Study</t>
  </si>
  <si>
    <t>Regression Results</t>
  </si>
  <si>
    <t>Y intercept (1)</t>
  </si>
  <si>
    <t>Y intercept (3)</t>
  </si>
  <si>
    <t>Y intercept (2)</t>
  </si>
  <si>
    <t>Y intercept (4)</t>
  </si>
  <si>
    <t>Pfd.</t>
  </si>
  <si>
    <t>Slope</t>
  </si>
  <si>
    <t>Pre-tax</t>
  </si>
  <si>
    <t>TOTAL</t>
  </si>
  <si>
    <t>Interject_LastPulledValues_BalanceRange</t>
  </si>
  <si>
    <t>KeyValue</t>
  </si>
  <si>
    <t>FullAccount</t>
  </si>
  <si>
    <t>Period</t>
  </si>
  <si>
    <t>Year</t>
  </si>
  <si>
    <t>Source</t>
  </si>
  <si>
    <t>Company</t>
  </si>
  <si>
    <t>Currency</t>
  </si>
  <si>
    <t>Version</t>
  </si>
  <si>
    <t>Balance</t>
  </si>
  <si>
    <t>Interject_LastPulledValues_DescriptionRange</t>
  </si>
  <si>
    <t>SegmentValue</t>
  </si>
  <si>
    <t>SegmentNumber</t>
  </si>
  <si>
    <t>Interject_LastPulledValues_LastChangeGUID</t>
  </si>
  <si>
    <t>Interject_LastPulledValues_PreviousLastChangeGUID</t>
  </si>
  <si>
    <t>IS</t>
  </si>
  <si>
    <r>
      <t xml:space="preserve">LURITO - GALLAGHER FORMULA  MODEL 2018  </t>
    </r>
    <r>
      <rPr>
        <sz val="8"/>
        <color indexed="9"/>
        <rFont val="Calibri"/>
        <family val="2"/>
      </rPr>
      <t>V5.2c</t>
    </r>
  </si>
  <si>
    <t>Revenue Senstive Taxes (RevS)</t>
  </si>
  <si>
    <t>(b) + (c)</t>
  </si>
  <si>
    <t xml:space="preserve">Revenue </t>
  </si>
  <si>
    <t xml:space="preserve"> Increase Before</t>
  </si>
  <si>
    <t>Increase After</t>
  </si>
  <si>
    <t xml:space="preserve">Total </t>
  </si>
  <si>
    <t>Proforma</t>
  </si>
  <si>
    <t>Federal Income Tax Rate</t>
  </si>
  <si>
    <t>Yes</t>
  </si>
  <si>
    <t>Check when input is complete</t>
  </si>
  <si>
    <t>No</t>
  </si>
  <si>
    <t>For Intial input: Uncheck Checkbox Until Completed</t>
  </si>
  <si>
    <t>Revenue Increase before taxes</t>
  </si>
  <si>
    <t>Rev Sensitive Taxes</t>
  </si>
  <si>
    <t>Percent Increase</t>
  </si>
  <si>
    <t>2018 Version Update Changes</t>
  </si>
  <si>
    <t xml:space="preserve">   resulting revenue requirment,</t>
  </si>
  <si>
    <t>Non-Qualifying Operating Lease Expense</t>
  </si>
  <si>
    <t>Coffee Bar</t>
  </si>
  <si>
    <t>Visual Lease Clearing Account</t>
  </si>
  <si>
    <t>Qualifying Operating Lease Expense</t>
  </si>
  <si>
    <t>Hauling Revenue - Roll Off Disposal Chg</t>
  </si>
  <si>
    <t>Recruitment Travel Expenses</t>
  </si>
  <si>
    <t>Restating Adjustments</t>
  </si>
  <si>
    <t>Adjusted OH %</t>
  </si>
  <si>
    <t>Write-off</t>
  </si>
  <si>
    <t>Beginning test period</t>
  </si>
  <si>
    <t>Ending test period</t>
  </si>
  <si>
    <t>Income Statement</t>
  </si>
  <si>
    <t>Roll-Off</t>
  </si>
  <si>
    <t>Allocator</t>
  </si>
  <si>
    <t>External Recruiter Fees</t>
  </si>
  <si>
    <t>Software License Fees</t>
  </si>
  <si>
    <t>Pro forma Adjustments</t>
  </si>
  <si>
    <t>Notifications</t>
  </si>
  <si>
    <t>USOA #</t>
  </si>
  <si>
    <t>Total - Building/Shop Repairs</t>
  </si>
  <si>
    <t>Total - Wages Mechanics</t>
  </si>
  <si>
    <t>Office Supplies</t>
  </si>
  <si>
    <t>Customers</t>
  </si>
  <si>
    <t>TOTAL REVENUE</t>
  </si>
  <si>
    <t>Reconcile Revenue to Detailed Billing Records and Determine Regulated vs. Non-Regulated Breakout</t>
  </si>
  <si>
    <t>Bad Debt Calculation</t>
  </si>
  <si>
    <t>Net recovery</t>
  </si>
  <si>
    <t>Actual write off expense</t>
  </si>
  <si>
    <t>Corporate OH Adjustment:</t>
  </si>
  <si>
    <t>Adjusted OH Expense</t>
  </si>
  <si>
    <t>Bad Debt Expense</t>
  </si>
  <si>
    <t>Bad Debt Percent</t>
  </si>
  <si>
    <t>For LG Input</t>
  </si>
  <si>
    <t>Roll Off Driver</t>
  </si>
  <si>
    <t>Commercial Garbage</t>
  </si>
  <si>
    <t>Adjustment     50020</t>
  </si>
  <si>
    <t>Mechanics    52020</t>
  </si>
  <si>
    <t>Office Salaried 70010</t>
  </si>
  <si>
    <t>Office Hourly 70020</t>
  </si>
  <si>
    <t>Wage Increases Adjust</t>
  </si>
  <si>
    <t>Reclass PR Tax:</t>
  </si>
  <si>
    <t>Office Salaried/Hourly   70010/70020</t>
  </si>
  <si>
    <t>Adjust PR Tax</t>
  </si>
  <si>
    <t>Customer Notification:</t>
  </si>
  <si>
    <t>Commercial</t>
  </si>
  <si>
    <t>PER GL</t>
  </si>
  <si>
    <t>Total Proceeds</t>
  </si>
  <si>
    <t>EXPENSES</t>
  </si>
  <si>
    <t>Resi MSW Serviced Customers</t>
  </si>
  <si>
    <t>Commercial MSW Serviced Customers</t>
  </si>
  <si>
    <t>Resi Recycle Serviced Customers</t>
  </si>
  <si>
    <t>YW Serviced Customers</t>
  </si>
  <si>
    <t>Roll off Serviced Customers</t>
  </si>
  <si>
    <t>Total Customer Count</t>
  </si>
  <si>
    <t>Regulated Line of Service Allocation</t>
  </si>
  <si>
    <t>Non-Reg Cities</t>
  </si>
  <si>
    <t>Allocation of Customers</t>
  </si>
  <si>
    <t>Less City Billed Customers</t>
  </si>
  <si>
    <t>Customers Billed</t>
  </si>
  <si>
    <t>Serviced %</t>
  </si>
  <si>
    <t>Billed %</t>
  </si>
  <si>
    <t>Resi/Commercial MSW</t>
  </si>
  <si>
    <t>REV</t>
  </si>
  <si>
    <t>CUST</t>
  </si>
  <si>
    <t>COMM CUST</t>
  </si>
  <si>
    <t>Total Expenses</t>
  </si>
  <si>
    <t>Total - Repairs to Collection Equip</t>
  </si>
  <si>
    <t>Damages Paid by District</t>
  </si>
  <si>
    <t>Total - Tires &amp; Tubes</t>
  </si>
  <si>
    <t xml:space="preserve">Total - Other Maint </t>
  </si>
  <si>
    <t>Total - Other Ins &amp; Safety</t>
  </si>
  <si>
    <t>Total - 4500 Series</t>
  </si>
  <si>
    <t>Total Purchased Transportation</t>
  </si>
  <si>
    <t>Total Other Collection Exp</t>
  </si>
  <si>
    <t>Total Processing Fees</t>
  </si>
  <si>
    <t>Total - Salaries of Gen Officers</t>
  </si>
  <si>
    <t>Total - Other Office</t>
  </si>
  <si>
    <t>Total - Legal &amp; Accounting</t>
  </si>
  <si>
    <t>Total - Communication &amp; Utilities</t>
  </si>
  <si>
    <t>Total - Mgmt OH Fees</t>
  </si>
  <si>
    <t>Total - Employee Welfare</t>
  </si>
  <si>
    <t>Total - Bad Debt Collection Exp</t>
  </si>
  <si>
    <t>Total - Uncollectible Revenue</t>
  </si>
  <si>
    <t>Total - Regulatory Exp</t>
  </si>
  <si>
    <t>Total - Dump Fee and Charges</t>
  </si>
  <si>
    <t>Total - Salaries Office</t>
  </si>
  <si>
    <t>Total - Other General Expenses</t>
  </si>
  <si>
    <t>Total - Depreciation Expense</t>
  </si>
  <si>
    <t>Total - G/L On Sale of Assets</t>
  </si>
  <si>
    <t>Total - Vehicle Licenses</t>
  </si>
  <si>
    <t>Total - State Revenue Taxes</t>
  </si>
  <si>
    <t>Total - Franchise Fee</t>
  </si>
  <si>
    <t>Total - Property Tax</t>
  </si>
  <si>
    <t>Total - Unemployment Tax</t>
  </si>
  <si>
    <t>Total Rent-Land/Structures</t>
  </si>
  <si>
    <t>Total - Rent-Office Equip</t>
  </si>
  <si>
    <t xml:space="preserve">Total - 4300 </t>
  </si>
  <si>
    <t xml:space="preserve">Total - 4400 </t>
  </si>
  <si>
    <t xml:space="preserve">Total - 4200 </t>
  </si>
  <si>
    <t xml:space="preserve">Total - 4100 </t>
  </si>
  <si>
    <t xml:space="preserve">Total - 4600 </t>
  </si>
  <si>
    <t xml:space="preserve">Total - 5000 </t>
  </si>
  <si>
    <t xml:space="preserve">Total - 5100 </t>
  </si>
  <si>
    <t xml:space="preserve">Total - 5200 </t>
  </si>
  <si>
    <t xml:space="preserve">Total - 5300 </t>
  </si>
  <si>
    <t>Total Containers</t>
  </si>
  <si>
    <t>Garbage Containers</t>
  </si>
  <si>
    <t>Garbage Carts</t>
  </si>
  <si>
    <t xml:space="preserve"> Total Hauling Revenue </t>
  </si>
  <si>
    <t>Check to IS</t>
  </si>
  <si>
    <t>Multi Family Recycling Serviced Customers</t>
  </si>
  <si>
    <t>Roll-Off Recycle</t>
  </si>
  <si>
    <t>Commercial - Carts</t>
  </si>
  <si>
    <t>Commercial - Containers</t>
  </si>
  <si>
    <t>Commercial Recycling - Carts</t>
  </si>
  <si>
    <t>Commercial Recycling - Containers</t>
  </si>
  <si>
    <t>Multi-Family Recycling - Carts</t>
  </si>
  <si>
    <t>Multi-Family Recycling - Containers</t>
  </si>
  <si>
    <t>Allocation of Container Depreciation</t>
  </si>
  <si>
    <t>Recycling Bins</t>
  </si>
  <si>
    <t>Recycling Carts</t>
  </si>
  <si>
    <t>RO</t>
  </si>
  <si>
    <t>Depreciation Leasehold</t>
  </si>
  <si>
    <t>Delivery Drivers</t>
  </si>
  <si>
    <t>District</t>
  </si>
  <si>
    <t>Allocation Percentage</t>
  </si>
  <si>
    <t>Unallowable</t>
  </si>
  <si>
    <t>Termination Pay</t>
  </si>
  <si>
    <t>Registration Fees</t>
  </si>
  <si>
    <t>Recruitment Advertising &amp; Expenses</t>
  </si>
  <si>
    <t>check</t>
  </si>
  <si>
    <t>Supervisors   56010</t>
  </si>
  <si>
    <t>101*</t>
  </si>
  <si>
    <t>*</t>
  </si>
  <si>
    <t>Corp</t>
  </si>
  <si>
    <t>Corporate P&amp;L Detail</t>
  </si>
  <si>
    <t>Adjustments</t>
  </si>
  <si>
    <t>Adjusted Total</t>
  </si>
  <si>
    <t>Property and Liability Insurance</t>
  </si>
  <si>
    <t>RM Fixed Costs</t>
  </si>
  <si>
    <t>Deferred Comp Earnings</t>
  </si>
  <si>
    <t>Corp Allocated Bonus</t>
  </si>
  <si>
    <t>Corporate Office Relocation</t>
  </si>
  <si>
    <t>Plane Parts &amp; Materials</t>
  </si>
  <si>
    <t>Aircraft Lubricants &amp; Consumables</t>
  </si>
  <si>
    <t>Real Estate Rentals</t>
  </si>
  <si>
    <t>Club Dues</t>
  </si>
  <si>
    <t>Outside Storages</t>
  </si>
  <si>
    <t>Accounting Professional Fees</t>
  </si>
  <si>
    <t>Payroll Processing Fees</t>
  </si>
  <si>
    <t>Acquisition Cost Write Off</t>
  </si>
  <si>
    <t>Directors and Officers Insurance</t>
  </si>
  <si>
    <t>Board of Directors Fees</t>
  </si>
  <si>
    <t>Board of Directors Expense Report</t>
  </si>
  <si>
    <t>Trade Shows</t>
  </si>
  <si>
    <t xml:space="preserve">     Total expenses</t>
  </si>
  <si>
    <t>3*,!3*9</t>
  </si>
  <si>
    <t xml:space="preserve">     Total eliminated revenues</t>
  </si>
  <si>
    <t>3*</t>
  </si>
  <si>
    <t>Gross Revenue before eliminations</t>
  </si>
  <si>
    <t xml:space="preserve">     Total eligible allocation rate</t>
  </si>
  <si>
    <t>Adjustment Acct 4645</t>
  </si>
  <si>
    <t>Debt to Equity Ratio</t>
  </si>
  <si>
    <t>Allowable In LG</t>
  </si>
  <si>
    <t>Total Debt &amp; Equity</t>
  </si>
  <si>
    <t>Interest as a % of Debt</t>
  </si>
  <si>
    <t>Adjustment Acct 4670</t>
  </si>
  <si>
    <t>Division Vice President Allocation IN/Division Controller Allocation IN</t>
  </si>
  <si>
    <t xml:space="preserve">Other Comp Allocation </t>
  </si>
  <si>
    <t>Other Comp Allocation</t>
  </si>
  <si>
    <t>Tax Allocation</t>
  </si>
  <si>
    <t xml:space="preserve">MSW </t>
  </si>
  <si>
    <t>Recycling</t>
  </si>
  <si>
    <t>Expenses</t>
  </si>
  <si>
    <t>Recycle Ton</t>
  </si>
  <si>
    <t>MSW</t>
  </si>
  <si>
    <t>Average Investment</t>
  </si>
  <si>
    <t>Per IS As Booked</t>
  </si>
  <si>
    <t>A&amp;L - Current Year Claims</t>
  </si>
  <si>
    <t>Proceeds - Other Recyclables</t>
  </si>
  <si>
    <t>Long Term Contract Amort</t>
  </si>
  <si>
    <t>WC - Current Year Claims</t>
  </si>
  <si>
    <t>Monitoring and Maint</t>
  </si>
  <si>
    <t>Freight</t>
  </si>
  <si>
    <t>Processing Fees MRF</t>
  </si>
  <si>
    <t>WC- Current Year Claims</t>
  </si>
  <si>
    <t>A&amp;L Current Year Claims</t>
  </si>
  <si>
    <t>Total - Amortization</t>
  </si>
  <si>
    <t>Non- Regulated</t>
  </si>
  <si>
    <t>MF Recycling</t>
  </si>
  <si>
    <t>RO Recycling</t>
  </si>
  <si>
    <t>imm</t>
  </si>
  <si>
    <t>Residential Recycling</t>
  </si>
  <si>
    <t>Residential Yard Waste</t>
  </si>
  <si>
    <t>Drop Box</t>
  </si>
  <si>
    <t>Drop Box Recycling</t>
  </si>
  <si>
    <t>Roll off Recycling Serviced Customers</t>
  </si>
  <si>
    <t>Final Total</t>
  </si>
  <si>
    <t>Recycling Cart</t>
  </si>
  <si>
    <t>Recycling Customers</t>
  </si>
  <si>
    <t>Recycling Tons</t>
  </si>
  <si>
    <t>Commingle Tonnage</t>
  </si>
  <si>
    <t>Allocation by Area</t>
  </si>
  <si>
    <t>FullAcct</t>
  </si>
  <si>
    <t>date_applied</t>
  </si>
  <si>
    <t>balance_usd</t>
  </si>
  <si>
    <t>balance_cad</t>
  </si>
  <si>
    <t>currencycode</t>
  </si>
  <si>
    <t>Journal</t>
  </si>
  <si>
    <t>pstd</t>
  </si>
  <si>
    <t>journal_description</t>
  </si>
  <si>
    <t>User</t>
  </si>
  <si>
    <t>TypeCode</t>
  </si>
  <si>
    <t>vendor_code</t>
  </si>
  <si>
    <t>OneTime</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</si>
  <si>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</si>
  <si>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</si>
  <si>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</si>
  <si>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</si>
  <si>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</si>
  <si>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</si>
  <si>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</si>
  <si>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</si>
  <si>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</si>
  <si>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</si>
  <si>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</si>
  <si>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</si>
  <si>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</si>
  <si>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</si>
  <si>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</si>
  <si>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</si>
  <si>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</si>
  <si>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</si>
  <si>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</si>
  <si>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</si>
  <si>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</si>
  <si>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</si>
  <si>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</si>
  <si>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</si>
  <si>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</si>
  <si>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</si>
  <si>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</si>
  <si>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</si>
  <si>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</si>
  <si>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</si>
  <si>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</si>
  <si>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Journal Entry Query Tool</t>
  </si>
  <si>
    <t>NOTE: Ctrl+Shift+J to pull data</t>
  </si>
  <si>
    <t>v.4.6</t>
  </si>
  <si>
    <t>Date Range:</t>
  </si>
  <si>
    <t>Other Criteria</t>
  </si>
  <si>
    <t>From:</t>
  </si>
  <si>
    <t>Districts:</t>
  </si>
  <si>
    <t>Vendor Code:</t>
  </si>
  <si>
    <t>To:</t>
  </si>
  <si>
    <t>Accts:</t>
  </si>
  <si>
    <t>Amount From:</t>
  </si>
  <si>
    <t>Amount To:</t>
  </si>
  <si>
    <t>Subsystem:</t>
  </si>
  <si>
    <t>Posting:</t>
  </si>
  <si>
    <t>All</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</si>
  <si>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</si>
  <si>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</si>
  <si>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</si>
  <si>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</si>
  <si>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</si>
  <si>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</si>
  <si>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</si>
  <si>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</si>
  <si>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</si>
  <si>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</si>
  <si>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</si>
  <si>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</si>
  <si>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</si>
  <si>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</si>
  <si>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</si>
  <si>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</si>
  <si>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</si>
  <si>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</si>
  <si>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</si>
  <si>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</si>
  <si>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</si>
  <si>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</si>
  <si>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</si>
  <si>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</si>
  <si>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</si>
  <si>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</si>
  <si>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</si>
  <si>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</si>
  <si>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</si>
  <si>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</si>
  <si>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</si>
  <si>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</si>
  <si>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</si>
  <si>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</si>
  <si>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</si>
  <si>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</si>
  <si>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</si>
  <si>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</si>
  <si>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</si>
  <si>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</si>
  <si>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</si>
  <si>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</si>
  <si>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</si>
  <si>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</si>
  <si>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</si>
  <si>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USD</t>
  </si>
  <si>
    <t>P</t>
  </si>
  <si>
    <t>HelenaK</t>
  </si>
  <si>
    <t>0/JE IC</t>
  </si>
  <si>
    <t>wci_wa</t>
  </si>
  <si>
    <t>HeatherWe</t>
  </si>
  <si>
    <t>LaurenTi</t>
  </si>
  <si>
    <t>HeatherH</t>
  </si>
  <si>
    <t>JacobMas</t>
  </si>
  <si>
    <t>End of List</t>
  </si>
  <si>
    <t>Row Labels</t>
  </si>
  <si>
    <t>Sum of Amount USD</t>
  </si>
  <si>
    <t>x</t>
  </si>
  <si>
    <t>Grand Total</t>
  </si>
  <si>
    <t>Act_Unposted</t>
  </si>
  <si>
    <t>Staged</t>
  </si>
  <si>
    <t>Posted</t>
  </si>
  <si>
    <t>Unposted</t>
  </si>
  <si>
    <t>SubSystem:</t>
  </si>
  <si>
    <t>(drill)</t>
  </si>
  <si>
    <t>From Epicor - Current Mth Actual BS</t>
  </si>
  <si>
    <t>Three Month BS Trend (from Epicor)</t>
  </si>
  <si>
    <t>Current Mth</t>
  </si>
  <si>
    <t>Change from</t>
  </si>
  <si>
    <t>Prior Period</t>
  </si>
  <si>
    <t>BS Cash</t>
  </si>
  <si>
    <t>Local Petty Cash Account</t>
  </si>
  <si>
    <t>Proceeds from Sale of Assets</t>
  </si>
  <si>
    <t>Contra Proceeds from Sale of Assets</t>
  </si>
  <si>
    <t>Pay Lockbox Clearing</t>
  </si>
  <si>
    <t>Pay</t>
  </si>
  <si>
    <t>Pay IC - KUBRA Payments</t>
  </si>
  <si>
    <t>Pay ICT Inter District Receipts</t>
  </si>
  <si>
    <t>EFT Pymt Clearing</t>
  </si>
  <si>
    <t>Credit Card Pymt Clearing</t>
  </si>
  <si>
    <t>Check &amp; Cash Pymt Clearing</t>
  </si>
  <si>
    <t>Cash</t>
  </si>
  <si>
    <t>BS AR</t>
  </si>
  <si>
    <t>Trade A/R Desert Micro</t>
  </si>
  <si>
    <t>Trade A/R Desert Micro Receipts</t>
  </si>
  <si>
    <t>Other A/R</t>
  </si>
  <si>
    <t>Provision for Bad Debts</t>
  </si>
  <si>
    <t>Bad Debt Write Offs</t>
  </si>
  <si>
    <t>Bad Debt Collected</t>
  </si>
  <si>
    <t>A/R</t>
  </si>
  <si>
    <t>BS Inventory</t>
  </si>
  <si>
    <t>Inventory Parts</t>
  </si>
  <si>
    <t>Inventory Oil and Lube</t>
  </si>
  <si>
    <t>Inventory Container</t>
  </si>
  <si>
    <t>Inventory Tires</t>
  </si>
  <si>
    <t>Inventory</t>
  </si>
  <si>
    <t>BS Prepaid</t>
  </si>
  <si>
    <t>Prepaid Licenses and Permits</t>
  </si>
  <si>
    <t>Prepaid Vehicle Use Tax</t>
  </si>
  <si>
    <t>Prepaid Property Tax</t>
  </si>
  <si>
    <t>Prepaid Other</t>
  </si>
  <si>
    <t>Prepaids</t>
  </si>
  <si>
    <t>BS Current Def Asset</t>
  </si>
  <si>
    <t>Curr Deferred</t>
  </si>
  <si>
    <t>Current Assets</t>
  </si>
  <si>
    <t>BS Fixed Asset</t>
  </si>
  <si>
    <t>Cap Ex Land Improvement</t>
  </si>
  <si>
    <t>Depre Expense Land Improv</t>
  </si>
  <si>
    <t>Cap Ex Heavy Equipment</t>
  </si>
  <si>
    <t>Depre Exp Heavy Equipment</t>
  </si>
  <si>
    <t>Cap Ex Trucks</t>
  </si>
  <si>
    <t>Transfer/Reclass Trucks</t>
  </si>
  <si>
    <t>Sale/Disposition Trucks</t>
  </si>
  <si>
    <t>Depre Exp Trucks</t>
  </si>
  <si>
    <t>Cap Ex Container</t>
  </si>
  <si>
    <t>Transfer/Reclass Container</t>
  </si>
  <si>
    <t>Sale/Disposition Container</t>
  </si>
  <si>
    <t>Depre Exp Container</t>
  </si>
  <si>
    <t>Transfer/Reclass AD Container</t>
  </si>
  <si>
    <t>Sale/Disposition AD Container</t>
  </si>
  <si>
    <t>Cap Ex Shop Equipment</t>
  </si>
  <si>
    <t>Transfer/Reclass Shop Equipment</t>
  </si>
  <si>
    <t>Sale/Disposition Shop Equipment</t>
  </si>
  <si>
    <t>Depre Exp Shop Equipment</t>
  </si>
  <si>
    <t>Transfer/Reclass AD Shop Equipment</t>
  </si>
  <si>
    <t>Sale/Disposition AD Shop Equipment</t>
  </si>
  <si>
    <t>Cap Ex Building</t>
  </si>
  <si>
    <t>Depre Exp Building</t>
  </si>
  <si>
    <t>Cap Ex Office Equipment</t>
  </si>
  <si>
    <t>Depre Exp Office Equipment</t>
  </si>
  <si>
    <t>Cap Ex Computer Equipment</t>
  </si>
  <si>
    <t>Transfer/Reclass Computer Equipment</t>
  </si>
  <si>
    <t>Depre Exp Computer Equipment</t>
  </si>
  <si>
    <t>Transfer/Reclass AD Computer Equipment</t>
  </si>
  <si>
    <t>Cap Ex Construction in Process</t>
  </si>
  <si>
    <t>Fixed Assets</t>
  </si>
  <si>
    <t>BS Notes</t>
  </si>
  <si>
    <t>Notes Rec.</t>
  </si>
  <si>
    <t>BS Lease Assets</t>
  </si>
  <si>
    <t>Lease Assets</t>
  </si>
  <si>
    <t>BS Goodwill</t>
  </si>
  <si>
    <t>Acquisition Goodwill</t>
  </si>
  <si>
    <t>Transfer/Reclass Goodwill</t>
  </si>
  <si>
    <t>Goodwill</t>
  </si>
  <si>
    <t>BS Intangible</t>
  </si>
  <si>
    <t>Amort Expense Long Term Contracts</t>
  </si>
  <si>
    <t>Acquisition Indefinite Lived Intangibles</t>
  </si>
  <si>
    <t>Intangibles</t>
  </si>
  <si>
    <t>BS Deposits</t>
  </si>
  <si>
    <t>Deposits</t>
  </si>
  <si>
    <t>BS Restricted Cash</t>
  </si>
  <si>
    <t>Restricted Cash</t>
  </si>
  <si>
    <t>BS Restricted Investments</t>
  </si>
  <si>
    <t>Restricted Investments</t>
  </si>
  <si>
    <t>BS Other Assets</t>
  </si>
  <si>
    <t>Other Assets</t>
  </si>
  <si>
    <t>BS LOC Loan Fees</t>
  </si>
  <si>
    <t>LOC Loan Fees</t>
  </si>
  <si>
    <t>BS Intercompany</t>
  </si>
  <si>
    <t>Intercompany Corporate</t>
  </si>
  <si>
    <t>Investment Corporate</t>
  </si>
  <si>
    <t>Intercompany</t>
  </si>
  <si>
    <t>Total Assets</t>
  </si>
  <si>
    <t>BS ST Contengent Considerations</t>
  </si>
  <si>
    <t>ST Contingent</t>
  </si>
  <si>
    <t>BS Current LTD</t>
  </si>
  <si>
    <t>Curr Portion LTD</t>
  </si>
  <si>
    <t>BS AP</t>
  </si>
  <si>
    <t>AP - Accrued</t>
  </si>
  <si>
    <t>AP - Accrued Procurement Card</t>
  </si>
  <si>
    <t>AP - Sales Tax</t>
  </si>
  <si>
    <t>AP - Other</t>
  </si>
  <si>
    <t>Pass Thru Taxes</t>
  </si>
  <si>
    <t>WUTC Tax Payable</t>
  </si>
  <si>
    <t>AP - Other Taxes</t>
  </si>
  <si>
    <t>A/P</t>
  </si>
  <si>
    <t>BS Unearned Revenue</t>
  </si>
  <si>
    <t>Unearned Revenue</t>
  </si>
  <si>
    <t>Unearned Rev</t>
  </si>
  <si>
    <t>BS Accrued Liabilities</t>
  </si>
  <si>
    <t>Accrued Liabilities Wages Commissions</t>
  </si>
  <si>
    <t>Vacation Accrual</t>
  </si>
  <si>
    <t>Accrued Liabilities Safety Bonus</t>
  </si>
  <si>
    <t>Accrued Liabilities Ins. - Workers Comp</t>
  </si>
  <si>
    <t>Accrued Liabilities - Property Tax</t>
  </si>
  <si>
    <t>Accrued Liabilities - UP Tracker</t>
  </si>
  <si>
    <t>Accrued Liab</t>
  </si>
  <si>
    <t>Current Liab</t>
  </si>
  <si>
    <t>BS LTD</t>
  </si>
  <si>
    <t>LTD</t>
  </si>
  <si>
    <t>BS Overdraft</t>
  </si>
  <si>
    <t>Overdraft</t>
  </si>
  <si>
    <t>BS Other LTD</t>
  </si>
  <si>
    <t>Other LTD</t>
  </si>
  <si>
    <t>BS LT Contengent Considerations</t>
  </si>
  <si>
    <t>LT Contingent</t>
  </si>
  <si>
    <t>BS Deferred Taxes</t>
  </si>
  <si>
    <t>Deferred Taxes</t>
  </si>
  <si>
    <t>BS NonControlling</t>
  </si>
  <si>
    <t>Minority Int</t>
  </si>
  <si>
    <t>BS Loan Fees</t>
  </si>
  <si>
    <t>Loan Fees</t>
  </si>
  <si>
    <t>Total Liabilities</t>
  </si>
  <si>
    <t>BS Common Stock</t>
  </si>
  <si>
    <t>Common Stock</t>
  </si>
  <si>
    <t>BS Other Equity</t>
  </si>
  <si>
    <t>Other Equity</t>
  </si>
  <si>
    <t>BS Deferred Comp</t>
  </si>
  <si>
    <t>Deferred Comp</t>
  </si>
  <si>
    <t>BS Unrealized Swap Value</t>
  </si>
  <si>
    <t>Unrealized Swap Val</t>
  </si>
  <si>
    <t>BS APIC</t>
  </si>
  <si>
    <t>APIC</t>
  </si>
  <si>
    <t>BS Treasury</t>
  </si>
  <si>
    <t>Treasury</t>
  </si>
  <si>
    <t>BS CTA</t>
  </si>
  <si>
    <t>Cumulative translation adjustment</t>
  </si>
  <si>
    <t>BS RE</t>
  </si>
  <si>
    <t>Retained Earnings</t>
  </si>
  <si>
    <t>Total Liab &amp; Equity</t>
  </si>
  <si>
    <t>BS Balance</t>
  </si>
  <si>
    <t>Employee A/R</t>
  </si>
  <si>
    <t>Container</t>
  </si>
  <si>
    <t>43001</t>
  </si>
  <si>
    <t>WRO B&amp;O Tax Reclass</t>
  </si>
  <si>
    <t>JoshuaV</t>
  </si>
  <si>
    <t>B</t>
  </si>
  <si>
    <t>B&amp;O</t>
  </si>
  <si>
    <t>Adjust WUTC Fee to Actual</t>
  </si>
  <si>
    <t>Regulated Revenue</t>
  </si>
  <si>
    <t>Per IS</t>
  </si>
  <si>
    <t>R</t>
  </si>
  <si>
    <t>Regulated</t>
  </si>
  <si>
    <t>Commercial Containers</t>
  </si>
  <si>
    <t>On Call</t>
  </si>
  <si>
    <t>Mileage</t>
  </si>
  <si>
    <t>Regulated Customers</t>
  </si>
  <si>
    <t>Recycling Hours</t>
  </si>
  <si>
    <t>Income Statement, Restate Adj's, Pro form Adj's, and Allocations</t>
  </si>
  <si>
    <t>Repair-Shop, Bldg.</t>
  </si>
  <si>
    <t>Commercial Recycling Serviced Customers</t>
  </si>
  <si>
    <t>Roll off</t>
  </si>
  <si>
    <t>Maintenance Manager 52010</t>
  </si>
  <si>
    <t>Dist.:</t>
  </si>
  <si>
    <t>Dist.</t>
  </si>
  <si>
    <t>Total Roll Off Hours</t>
  </si>
  <si>
    <t>Proforma Adjustments</t>
  </si>
  <si>
    <t>Allocators for Regulated, Non-Regulated and by Line of Business</t>
  </si>
  <si>
    <t>Forward Looking Wage Increases:</t>
  </si>
  <si>
    <t>GL</t>
  </si>
  <si>
    <t>Hauling Revenue - Commercial REL Extras</t>
  </si>
  <si>
    <t>Office Supply &amp; Equip</t>
  </si>
  <si>
    <t>AP - Accrued CAPEX</t>
  </si>
  <si>
    <t>Cap Ex Accruals</t>
  </si>
  <si>
    <t>2000</t>
  </si>
  <si>
    <t>(A)</t>
  </si>
  <si>
    <t xml:space="preserve"> </t>
  </si>
  <si>
    <t>Containers:</t>
  </si>
  <si>
    <t>Total Other</t>
  </si>
  <si>
    <t>Total Equipment</t>
  </si>
  <si>
    <t>Increases per LG:</t>
  </si>
  <si>
    <t>Proposed</t>
  </si>
  <si>
    <t>Tariff</t>
  </si>
  <si>
    <t>Rates</t>
  </si>
  <si>
    <t>Increase</t>
  </si>
  <si>
    <t>Returned check charge:</t>
  </si>
  <si>
    <t xml:space="preserve">  Restart fees</t>
  </si>
  <si>
    <t xml:space="preserve"> Oversized can</t>
  </si>
  <si>
    <t>Overtime charge per hr:</t>
  </si>
  <si>
    <t>Minimum</t>
  </si>
  <si>
    <t>Return Trip:</t>
  </si>
  <si>
    <t>Cans</t>
  </si>
  <si>
    <t>Drum</t>
  </si>
  <si>
    <t>Bale</t>
  </si>
  <si>
    <t>Carry-Out:</t>
  </si>
  <si>
    <t>Residential:</t>
  </si>
  <si>
    <t>5-25 feet</t>
  </si>
  <si>
    <t>25- plus add</t>
  </si>
  <si>
    <t>Commercial:</t>
  </si>
  <si>
    <t>Drive-in:</t>
  </si>
  <si>
    <t>Stairs - each step</t>
  </si>
  <si>
    <t>Overhead Obstruction</t>
  </si>
  <si>
    <t>Sunken</t>
  </si>
  <si>
    <t xml:space="preserve"> Mini</t>
  </si>
  <si>
    <t>Bag</t>
  </si>
  <si>
    <t>Loose and Bulky</t>
  </si>
  <si>
    <t>Additional</t>
  </si>
  <si>
    <t>Carry Chrg</t>
  </si>
  <si>
    <t>Item 160, pg 29</t>
  </si>
  <si>
    <t>Single Rear Drive Axle:</t>
  </si>
  <si>
    <t>Truck and Driver:</t>
  </si>
  <si>
    <t>Non-packer</t>
  </si>
  <si>
    <t>Packer</t>
  </si>
  <si>
    <t>Each Extra Person:</t>
  </si>
  <si>
    <t>Minimum Charge:</t>
  </si>
  <si>
    <t>Tandem Rear Drive Axle:</t>
  </si>
  <si>
    <t>Item 205, pg 31</t>
  </si>
  <si>
    <t>Roll-Out:</t>
  </si>
  <si>
    <t>Excess Weight:</t>
  </si>
  <si>
    <t>Item 210, pg 33</t>
  </si>
  <si>
    <t>Washing:</t>
  </si>
  <si>
    <t>Per yard</t>
  </si>
  <si>
    <t>Item 230, pg 34</t>
  </si>
  <si>
    <t>Disposal Fees:</t>
  </si>
  <si>
    <t>Permanent Container Rent:</t>
  </si>
  <si>
    <t xml:space="preserve"> 1.5 yard</t>
  </si>
  <si>
    <t>Pickups:</t>
  </si>
  <si>
    <t xml:space="preserve">Special Pickups: </t>
  </si>
  <si>
    <t>Temporary:</t>
  </si>
  <si>
    <t>Container Delivery:</t>
  </si>
  <si>
    <t>Rent per Day:</t>
  </si>
  <si>
    <t>Unlocking/Unlatching:</t>
  </si>
  <si>
    <t>Per pickup</t>
  </si>
  <si>
    <t>Special Pickups</t>
  </si>
  <si>
    <t xml:space="preserve"> 32-gal</t>
  </si>
  <si>
    <t>Minimum charge;</t>
  </si>
  <si>
    <t>Each additional unit</t>
  </si>
  <si>
    <t>Latching, Unlocking</t>
  </si>
  <si>
    <t>Item 260, pg 39</t>
  </si>
  <si>
    <t>Permanent Rent;</t>
  </si>
  <si>
    <t>20 yard</t>
  </si>
  <si>
    <t>30 yard</t>
  </si>
  <si>
    <t>40 yard</t>
  </si>
  <si>
    <t>Hauls:</t>
  </si>
  <si>
    <t>First, Additional, Special</t>
  </si>
  <si>
    <t>Temporary Delivery Fee:</t>
  </si>
  <si>
    <t>Perm/Temp Drop Box</t>
  </si>
  <si>
    <t>Customer owned comp</t>
  </si>
  <si>
    <t>25 yard</t>
  </si>
  <si>
    <t>35 yard</t>
  </si>
  <si>
    <t>Mason County Line of Business Allocation</t>
  </si>
  <si>
    <t>December 1, 2019 - November 30, 2020</t>
  </si>
  <si>
    <t>GL Account:</t>
  </si>
  <si>
    <t>Type:</t>
  </si>
  <si>
    <t>Company:</t>
  </si>
  <si>
    <t>31000..38001</t>
  </si>
  <si>
    <t>YTD</t>
  </si>
  <si>
    <t>MSW Tons</t>
  </si>
  <si>
    <t>TONS</t>
  </si>
  <si>
    <t>Refuse Tax</t>
  </si>
  <si>
    <t>Specific taxes and pass thru fees</t>
  </si>
  <si>
    <t>Refuse</t>
  </si>
  <si>
    <t>S</t>
  </si>
  <si>
    <t>CONT CUST</t>
  </si>
  <si>
    <t>Comm &amp; RO Containers</t>
  </si>
  <si>
    <t>Equip Rental</t>
  </si>
  <si>
    <t>Column Labels</t>
  </si>
  <si>
    <t>Dec</t>
  </si>
  <si>
    <t>2020</t>
  </si>
  <si>
    <t>Jan</t>
  </si>
  <si>
    <t>Feb</t>
  </si>
  <si>
    <t>Mar</t>
  </si>
  <si>
    <t>Apr</t>
  </si>
  <si>
    <t>May</t>
  </si>
  <si>
    <t>JudyA</t>
  </si>
  <si>
    <t>From Voucher Posting.</t>
  </si>
  <si>
    <t>JeffS</t>
  </si>
  <si>
    <t>MariaJ</t>
  </si>
  <si>
    <t>asnell</t>
  </si>
  <si>
    <t>Unallowable due to Lobbying (per WRRA)</t>
  </si>
  <si>
    <t>WRRA</t>
  </si>
  <si>
    <t>WASHINGTON REFUSE &amp; RECYCLING ASSOC</t>
  </si>
  <si>
    <t>Nov WRRA Regular Dues</t>
  </si>
  <si>
    <t>VUS000014985</t>
  </si>
  <si>
    <t>WRRA Regular Dues</t>
  </si>
  <si>
    <t>70195</t>
  </si>
  <si>
    <t>FAS Proceeds</t>
  </si>
  <si>
    <t>Trucks</t>
  </si>
  <si>
    <t>Remove airplance deprec, approved in TG-200682</t>
  </si>
  <si>
    <t>Payroll Tax %</t>
  </si>
  <si>
    <t>Notification Cost Amortized over 24-months</t>
  </si>
  <si>
    <t>Write-offs</t>
  </si>
  <si>
    <t>Recoveries</t>
  </si>
  <si>
    <t>Leasehold Improvements</t>
  </si>
  <si>
    <t>Other Taxes</t>
  </si>
  <si>
    <t>Tons</t>
  </si>
  <si>
    <t>$</t>
  </si>
  <si>
    <t>Disposal Schedule</t>
  </si>
  <si>
    <t>Regulated Tons</t>
  </si>
  <si>
    <t>Payroll Schedule</t>
  </si>
  <si>
    <t>Note:  Data below is from payroll registers.  Links have been broken to the source file to maintain data integrity.   Source documents are available upon request.</t>
  </si>
  <si>
    <t>District #</t>
  </si>
  <si>
    <t>EE #</t>
  </si>
  <si>
    <t>Name</t>
  </si>
  <si>
    <t>Job</t>
  </si>
  <si>
    <t>Test Period Hours (Includes Vacation, PTO &amp; Holiday)</t>
  </si>
  <si>
    <t>Regular Pay During Test Period</t>
  </si>
  <si>
    <t>Overtime Hours</t>
  </si>
  <si>
    <t>Regular Overtime Pay</t>
  </si>
  <si>
    <t>Total Hourly/Salary Pay</t>
  </si>
  <si>
    <t>Bonuses &amp; Commissions</t>
  </si>
  <si>
    <t>Personal Time &amp; Payouts</t>
  </si>
  <si>
    <t>Total Test Period Pay</t>
  </si>
  <si>
    <t>Total Rate Period Pay (adjusted)</t>
  </si>
  <si>
    <t>Total Proforma Pay</t>
  </si>
  <si>
    <t>Pro-Forma Raise Adjust</t>
  </si>
  <si>
    <t>Normalizing Wage Ajdustments</t>
  </si>
  <si>
    <t>Drivers (50020)</t>
  </si>
  <si>
    <t>Residenital Recycling</t>
  </si>
  <si>
    <t>TOTAL DRIVERS</t>
  </si>
  <si>
    <t>Mechanics Hourly/Salary (52010/52020)</t>
  </si>
  <si>
    <t>TOTAL MECHANICS</t>
  </si>
  <si>
    <t>Sales (Salary 60010)</t>
  </si>
  <si>
    <t>TOTAL SALES</t>
  </si>
  <si>
    <t>Container (Hourly 55020)</t>
  </si>
  <si>
    <t>TOTAL CONTAINER</t>
  </si>
  <si>
    <t>G&amp;A (Salary 70010 - Hourly 70020 )</t>
  </si>
  <si>
    <t>TOTAL G&amp;A</t>
  </si>
  <si>
    <t>Supervisor -  Salaried/Hourly 56010/56020</t>
  </si>
  <si>
    <t>TOTAL SUPERVISOR</t>
  </si>
  <si>
    <t>GRAND TOTALS</t>
  </si>
  <si>
    <t>Reconciliation of Payroll Register to General Ledger</t>
  </si>
  <si>
    <t>DRIVER WAGES PER PR REGISTER</t>
  </si>
  <si>
    <t>Accruals, Manual Adjustments/Reclasses</t>
  </si>
  <si>
    <t>Other Bonuses</t>
  </si>
  <si>
    <t>MECHANICS -  HOURLY &amp; SALARY PER PR REGISTER</t>
  </si>
  <si>
    <t xml:space="preserve">   (See Detailed Schedule)</t>
  </si>
  <si>
    <t>SALES - SALARY WAGES PER PR REGISTER</t>
  </si>
  <si>
    <t>SUPERVISOR - SALARY &amp; HOURLY WAGES PER PR REGISTER</t>
  </si>
  <si>
    <t xml:space="preserve">   (See Supervisor GL Detail tab for Details)</t>
  </si>
  <si>
    <t>Other Bonus</t>
  </si>
  <si>
    <t>G&amp;A - SALARY &amp; HOURLY WAGES PER PR REGISTER</t>
  </si>
  <si>
    <t>Accruals, Division Payroll Alloc., Region OH Alloc., Other Comp Adjust In</t>
  </si>
  <si>
    <t xml:space="preserve">   (See G&amp;A GL Detail tab for Details)</t>
  </si>
  <si>
    <t>Tooty Bonuses</t>
  </si>
  <si>
    <t>CONTAINER HOURLY WAGES PER PR REGISTER</t>
  </si>
  <si>
    <t>Mason County Garbage, Inc.</t>
  </si>
  <si>
    <t>Balance Sheet</t>
  </si>
  <si>
    <t>2195</t>
  </si>
  <si>
    <t>Sponsorships</t>
  </si>
  <si>
    <t>A&amp;L - Prior Year Claims</t>
  </si>
  <si>
    <t>Equipment and Maint Repair</t>
  </si>
  <si>
    <t>Proceeds - Commingled</t>
  </si>
  <si>
    <t>Proceeds - Ferrous Metal</t>
  </si>
  <si>
    <t>Hauling Revenue - Commercial FEL Extras</t>
  </si>
  <si>
    <t>Hauling Revenue - Commercial Recycling F</t>
  </si>
  <si>
    <t>Pension &amp; Profit Sharing</t>
  </si>
  <si>
    <t>Yakima Waste Systems, Inc. G-98</t>
  </si>
  <si>
    <t>IS 210 - PL Review</t>
  </si>
  <si>
    <t>Customer Deposits</t>
  </si>
  <si>
    <t>Transfer/Reclass Customer List</t>
  </si>
  <si>
    <t>Amort Expense Customer List</t>
  </si>
  <si>
    <t>Transfer/Reclass Amort Customer List</t>
  </si>
  <si>
    <t>Transfer/Reclass Long Term Contracts</t>
  </si>
  <si>
    <t>Transfer/Reclass Amort Long Term Contrac</t>
  </si>
  <si>
    <t>Acquisition Land</t>
  </si>
  <si>
    <t>Sale/Disposition Land</t>
  </si>
  <si>
    <t>Acquisitions Trucks</t>
  </si>
  <si>
    <t>Acquisition Container</t>
  </si>
  <si>
    <t>Acquisition Shop Equipment</t>
  </si>
  <si>
    <t>Acquisition Building</t>
  </si>
  <si>
    <t>Prepaid Insurance</t>
  </si>
  <si>
    <t>Prepaid Advertising</t>
  </si>
  <si>
    <t>Inventory Diesel</t>
  </si>
  <si>
    <t>Refunds - Customer</t>
  </si>
  <si>
    <t>Other Trade A/R</t>
  </si>
  <si>
    <t>Item 50, pg 16</t>
  </si>
  <si>
    <t>Item 51, pg 17</t>
  </si>
  <si>
    <t>Item 52, pg 17</t>
  </si>
  <si>
    <t>Redelivery, toter, carts:</t>
  </si>
  <si>
    <t>Item 55, pg 18</t>
  </si>
  <si>
    <t>Item 60, pg 18</t>
  </si>
  <si>
    <t>Item 70, pg 19</t>
  </si>
  <si>
    <t>Litter receptacle</t>
  </si>
  <si>
    <t>Recycling container</t>
  </si>
  <si>
    <t>Item 80, pg 21</t>
  </si>
  <si>
    <t>125-250 feet</t>
  </si>
  <si>
    <t>Item 90, pg 22</t>
  </si>
  <si>
    <t>Item 100, pg 23</t>
  </si>
  <si>
    <t xml:space="preserve"> 1 can</t>
  </si>
  <si>
    <t xml:space="preserve"> 2 can</t>
  </si>
  <si>
    <t xml:space="preserve"> 3 can</t>
  </si>
  <si>
    <t xml:space="preserve"> 4 can</t>
  </si>
  <si>
    <t xml:space="preserve"> 5 can</t>
  </si>
  <si>
    <t xml:space="preserve"> 6 can</t>
  </si>
  <si>
    <t>1 can per month</t>
  </si>
  <si>
    <t>Recycling:</t>
  </si>
  <si>
    <t>EOWR</t>
  </si>
  <si>
    <t>Yard Waste:</t>
  </si>
  <si>
    <t>EOWY</t>
  </si>
  <si>
    <t>Automated:</t>
  </si>
  <si>
    <t xml:space="preserve"> 48-gal</t>
  </si>
  <si>
    <t xml:space="preserve"> 64-gal</t>
  </si>
  <si>
    <t xml:space="preserve"> 96-gal</t>
  </si>
  <si>
    <t>Item 100, pg 24</t>
  </si>
  <si>
    <t>Roll Out</t>
  </si>
  <si>
    <t xml:space="preserve"> Occasional Extra</t>
  </si>
  <si>
    <t xml:space="preserve"> 48-gal additional unit</t>
  </si>
  <si>
    <t xml:space="preserve"> 64-gal additional unit</t>
  </si>
  <si>
    <t xml:space="preserve"> 96-gal additional unit</t>
  </si>
  <si>
    <t>Item 105, pg 27</t>
  </si>
  <si>
    <t xml:space="preserve"> 32-gal additional</t>
  </si>
  <si>
    <t>Special Pickup Charge:</t>
  </si>
  <si>
    <t>1 can</t>
  </si>
  <si>
    <t>Additional Unit</t>
  </si>
  <si>
    <t>Item 130, pg 28</t>
  </si>
  <si>
    <t>litter Receptacle</t>
  </si>
  <si>
    <t>Minimum Monthly Charge</t>
  </si>
  <si>
    <t>Item 150, pg 28</t>
  </si>
  <si>
    <t>Over 25 fee</t>
  </si>
  <si>
    <t xml:space="preserve">Cart, Total </t>
  </si>
  <si>
    <t>Item 207, pg 32</t>
  </si>
  <si>
    <t xml:space="preserve"> 1.25 yard</t>
  </si>
  <si>
    <t xml:space="preserve"> 3 yard </t>
  </si>
  <si>
    <t xml:space="preserve"> 4 yard </t>
  </si>
  <si>
    <t xml:space="preserve"> 6 yard </t>
  </si>
  <si>
    <t xml:space="preserve"> 8 yard </t>
  </si>
  <si>
    <t>Minimum, 6 yard</t>
  </si>
  <si>
    <t>Carts/toter</t>
  </si>
  <si>
    <t>Redelivery:</t>
  </si>
  <si>
    <t>Up to 8 yard</t>
  </si>
  <si>
    <t>Over 8 yard</t>
  </si>
  <si>
    <t>Mixed</t>
  </si>
  <si>
    <t>Item 240, pg 35</t>
  </si>
  <si>
    <t xml:space="preserve"> 1.50 yard</t>
  </si>
  <si>
    <t>Item 240, pg 36</t>
  </si>
  <si>
    <t>Per pickup:</t>
  </si>
  <si>
    <t>Special pickups:</t>
  </si>
  <si>
    <t>Item 245, pg 37</t>
  </si>
  <si>
    <t>Special pickup, 1st unit</t>
  </si>
  <si>
    <t>Extra Unit</t>
  </si>
  <si>
    <t>Drive-in</t>
  </si>
  <si>
    <t>Item 255, pg 38</t>
  </si>
  <si>
    <t>Each Pickup</t>
  </si>
  <si>
    <t xml:space="preserve"> 3 yard comp 4:1 com</t>
  </si>
  <si>
    <t xml:space="preserve"> 4 yard comp 4:1 com</t>
  </si>
  <si>
    <t>Special Pickup:</t>
  </si>
  <si>
    <t>50 yard</t>
  </si>
  <si>
    <t>Temporary DB (rent)</t>
  </si>
  <si>
    <t>Unlatch, Unlock</t>
  </si>
  <si>
    <t>Item 275, pg 40</t>
  </si>
  <si>
    <t>10 yard - 18 yard</t>
  </si>
  <si>
    <t>36 yard</t>
  </si>
  <si>
    <t>40 yard - 50 yard</t>
  </si>
  <si>
    <t>Toter - 48 Gal</t>
  </si>
  <si>
    <t>Toter - 64 Gal</t>
  </si>
  <si>
    <t>Toter - 96 Gal</t>
  </si>
  <si>
    <t>Toter Replacement</t>
  </si>
  <si>
    <t>Replacement Toter</t>
  </si>
  <si>
    <t>Yakima Waste</t>
  </si>
  <si>
    <t>Depreciation &amp; Average Investment Summary</t>
  </si>
  <si>
    <t>Beginning</t>
  </si>
  <si>
    <t>Test Year</t>
  </si>
  <si>
    <t>Accum Depr</t>
  </si>
  <si>
    <t>Recycling/Yard Waste</t>
  </si>
  <si>
    <t>Drop Boxes</t>
  </si>
  <si>
    <t>Automated Toter Garbage</t>
  </si>
  <si>
    <t>Universal Carts  - Recycle/Garbage</t>
  </si>
  <si>
    <t>Automated Carts Recycl</t>
  </si>
  <si>
    <t>Automated Carts YW</t>
  </si>
  <si>
    <t>Total Cont, Carts,Totes</t>
  </si>
  <si>
    <t>Structure-Hauling Only</t>
  </si>
  <si>
    <t>Structure MFR</t>
  </si>
  <si>
    <t>MRF Equipment</t>
  </si>
  <si>
    <t>Land - Hauling</t>
  </si>
  <si>
    <t>Land MFR</t>
  </si>
  <si>
    <t>Breakout of MRF Property Parcel</t>
  </si>
  <si>
    <t>sq. ft.</t>
  </si>
  <si>
    <t>acres</t>
  </si>
  <si>
    <t>Container storage area for garbage containers</t>
  </si>
  <si>
    <t>Garbage truck parking area</t>
  </si>
  <si>
    <t>MRF operations</t>
  </si>
  <si>
    <t>Total Hauling</t>
  </si>
  <si>
    <t>corp</t>
  </si>
  <si>
    <t xml:space="preserve">SOURCE: </t>
  </si>
  <si>
    <t>Monthly disposal logs - available upon request.  Data is not linked within Pro forma workbook to avoid external file linking errors.</t>
  </si>
  <si>
    <t>Terrace Heights</t>
  </si>
  <si>
    <t>Cheyne</t>
  </si>
  <si>
    <t>Lower Valley</t>
  </si>
  <si>
    <t>Regulated $</t>
  </si>
  <si>
    <t>Non Reg Tons</t>
  </si>
  <si>
    <t>RO Reg Tons</t>
  </si>
  <si>
    <t>RO Non Reg Tons</t>
  </si>
  <si>
    <t>RO Non Reg $</t>
  </si>
  <si>
    <t>Total Packer</t>
  </si>
  <si>
    <t>Total Pass Thru</t>
  </si>
  <si>
    <t>Yard waste</t>
  </si>
  <si>
    <t>Total Reg MSW</t>
  </si>
  <si>
    <t>Total Reg RO MSW</t>
  </si>
  <si>
    <t>Total Non Reg MSW</t>
  </si>
  <si>
    <t>Total Non Reg RO MSW</t>
  </si>
  <si>
    <t>Total MSW Packer</t>
  </si>
  <si>
    <t>Total RO MSW</t>
  </si>
  <si>
    <t>Total Reg YW</t>
  </si>
  <si>
    <t>Total Non Reg YW</t>
  </si>
  <si>
    <t>Pass Through per GL</t>
  </si>
  <si>
    <t>Total Disposal per GL</t>
  </si>
  <si>
    <t>RO CUST</t>
  </si>
  <si>
    <t>RO DH</t>
  </si>
  <si>
    <t>Reg</t>
  </si>
  <si>
    <t>91010-2195-000-00</t>
  </si>
  <si>
    <t>91010</t>
  </si>
  <si>
    <t>Tax Adjustments</t>
  </si>
  <si>
    <t>O</t>
  </si>
  <si>
    <t>Sales Tax</t>
  </si>
  <si>
    <t>Tax True Up</t>
  </si>
  <si>
    <t>E</t>
  </si>
  <si>
    <t>B&amp;O Tax Accrual</t>
  </si>
  <si>
    <t>43001-2195-000-99</t>
  </si>
  <si>
    <t>MISC3-BS Recons and PL Reclass</t>
  </si>
  <si>
    <t>43001-2195-000-00</t>
  </si>
  <si>
    <t>ahuynh</t>
  </si>
  <si>
    <t>OPEX14 - AP ACCRUAL</t>
  </si>
  <si>
    <t>FX2195</t>
  </si>
  <si>
    <t>Excise Tax</t>
  </si>
  <si>
    <t>DepreciationStructure-Hauling Only</t>
  </si>
  <si>
    <t>59341,59342,59343,59344,59400</t>
  </si>
  <si>
    <t>59342-2195-000-00</t>
  </si>
  <si>
    <t>JRNLWA00403692</t>
  </si>
  <si>
    <t>Jan 13th Insurance Entry</t>
  </si>
  <si>
    <t>Auto NI claim 55564959532611</t>
  </si>
  <si>
    <t>JRNL00961045</t>
  </si>
  <si>
    <t>JRNLWA00405156</t>
  </si>
  <si>
    <t>Feb 7th Insurance Entry</t>
  </si>
  <si>
    <t>Auto NI claim 55565174710651</t>
  </si>
  <si>
    <t>JRNL00964652</t>
  </si>
  <si>
    <t>59343-2195-000-00</t>
  </si>
  <si>
    <t>JRNLWA00406561</t>
  </si>
  <si>
    <t>Mar 6th Insurance Entry</t>
  </si>
  <si>
    <t>WC NI claim 6D361661489642</t>
  </si>
  <si>
    <t>JRNL00968082</t>
  </si>
  <si>
    <t>JRNLWA00406602</t>
  </si>
  <si>
    <t>Mar 31st Insurance Entry</t>
  </si>
  <si>
    <t>JRNL00968233</t>
  </si>
  <si>
    <t>WC NI claim 6D367805009917</t>
  </si>
  <si>
    <t>JRNLWA00408277</t>
  </si>
  <si>
    <t>Apr 30th Insurance Entry</t>
  </si>
  <si>
    <t>JRNL00972068</t>
  </si>
  <si>
    <t>59400-2195-000-00</t>
  </si>
  <si>
    <t>JRNLWA00409176</t>
  </si>
  <si>
    <t>Damage claim - Betker 4-2-2020</t>
  </si>
  <si>
    <t>JRNL00973952</t>
  </si>
  <si>
    <t>JRNLWA00409241</t>
  </si>
  <si>
    <t>VUS000033767</t>
  </si>
  <si>
    <t>TG SOLUTIONS LLC</t>
  </si>
  <si>
    <t>PO-2195-20-00932</t>
  </si>
  <si>
    <t>VO05401701</t>
  </si>
  <si>
    <t>JRNL00973999</t>
  </si>
  <si>
    <t>JRNLWA00409264</t>
  </si>
  <si>
    <t>JRNL00973967</t>
  </si>
  <si>
    <t>59341-2195-000-00</t>
  </si>
  <si>
    <t>JRNLWA00409726</t>
  </si>
  <si>
    <t>May 29th Insurance Entry</t>
  </si>
  <si>
    <t>Auto NI claim 55561671960486</t>
  </si>
  <si>
    <t>JRNL00975307</t>
  </si>
  <si>
    <t>JRNLWA00412762</t>
  </si>
  <si>
    <t>July 31st Insurance Entry</t>
  </si>
  <si>
    <t>WC NI claim 6D361662262876</t>
  </si>
  <si>
    <t>JRNL00981862</t>
  </si>
  <si>
    <t>59344-2195-000-00</t>
  </si>
  <si>
    <t>WC NI claim 6D368775803039</t>
  </si>
  <si>
    <t>JRNLWA00413435</t>
  </si>
  <si>
    <t>PO 01732: PACIFIC POWER AND LIGHT: CHECK</t>
  </si>
  <si>
    <t>JRNL00983287</t>
  </si>
  <si>
    <t>Damage claim-Victor Ponce</t>
  </si>
  <si>
    <t>JRNLWA00413996</t>
  </si>
  <si>
    <t>VUS000014288</t>
  </si>
  <si>
    <t>PACIFIC POWER AND LIGHT</t>
  </si>
  <si>
    <t>PO-2195-20-01732</t>
  </si>
  <si>
    <t>VO05511545</t>
  </si>
  <si>
    <t>JRNL00984508</t>
  </si>
  <si>
    <t>JRNLWA00413597</t>
  </si>
  <si>
    <t>JRNL00983305</t>
  </si>
  <si>
    <t>JRNLWA00414222</t>
  </si>
  <si>
    <t>August 31st Self Insurance Ent</t>
  </si>
  <si>
    <t>JRNL00985189</t>
  </si>
  <si>
    <t>Auto NI claim 55564954604094</t>
  </si>
  <si>
    <t>WC NI claim 6D368775836864</t>
  </si>
  <si>
    <t>JRNLWA00415606</t>
  </si>
  <si>
    <t>Sept 30th Self Insurance Entry</t>
  </si>
  <si>
    <t>WC NI claim 6D361662565970</t>
  </si>
  <si>
    <t>JRNL00988154</t>
  </si>
  <si>
    <t>JRNLWA00416448</t>
  </si>
  <si>
    <t>Damage claim-Josh Moore</t>
  </si>
  <si>
    <t>JRNL00989685</t>
  </si>
  <si>
    <t>JRNLWA00417009</t>
  </si>
  <si>
    <t>VUS000035223</t>
  </si>
  <si>
    <t>RON VALICOFF</t>
  </si>
  <si>
    <t>Damage-4040</t>
  </si>
  <si>
    <t>PO-2195-20-02209</t>
  </si>
  <si>
    <t>VO05562465</t>
  </si>
  <si>
    <t>JRNL00990987</t>
  </si>
  <si>
    <t>JRNLWA00416488</t>
  </si>
  <si>
    <t>JRNL00989786</t>
  </si>
  <si>
    <t>JRNLWA00417303</t>
  </si>
  <si>
    <t>Oct 30th Self Insurance Entry</t>
  </si>
  <si>
    <t>JRNL00991952</t>
  </si>
  <si>
    <t>JRNLWA00418756</t>
  </si>
  <si>
    <t>Nov 30th Self Insurance Entry</t>
  </si>
  <si>
    <t>Auto NI claim 55561672873068</t>
  </si>
  <si>
    <t>JRNL00995123</t>
  </si>
  <si>
    <t>JRNLWA00419617</t>
  </si>
  <si>
    <t>PO 02710: Keith Tahkeal: PCard: Damage c</t>
  </si>
  <si>
    <t>JRNL00996623</t>
  </si>
  <si>
    <t>JRNLWA00420158</t>
  </si>
  <si>
    <t>VUS000039938</t>
  </si>
  <si>
    <t>KEITH TAHKEAL</t>
  </si>
  <si>
    <t>Damage claim</t>
  </si>
  <si>
    <t>Damage-Tahkeal</t>
  </si>
  <si>
    <t>PO-2195-20-02710</t>
  </si>
  <si>
    <t>VO05629847</t>
  </si>
  <si>
    <t>JRNL00997922</t>
  </si>
  <si>
    <t>JRNLWA00419658</t>
  </si>
  <si>
    <t>JRNL00996653</t>
  </si>
  <si>
    <t>JRNLWA00420515</t>
  </si>
  <si>
    <t>Dec 31st Self Insurance Entry</t>
  </si>
  <si>
    <t>JRNL00998949</t>
  </si>
  <si>
    <t>Auto NI claim 5556167299518X</t>
  </si>
  <si>
    <t>General</t>
  </si>
  <si>
    <t>70195-2195-000-00</t>
  </si>
  <si>
    <t>VUS000015415</t>
  </si>
  <si>
    <t>CITY OF SELAH</t>
  </si>
  <si>
    <t>VUS000015429</t>
  </si>
  <si>
    <t>YAKIMA CHAMBER OF COMMERCE</t>
  </si>
  <si>
    <t>Membership dues</t>
  </si>
  <si>
    <t>Other Unallowable</t>
  </si>
  <si>
    <t>70235</t>
  </si>
  <si>
    <t>70235-2195-000-00</t>
  </si>
  <si>
    <t>VUS000013974</t>
  </si>
  <si>
    <t>STOEL RIVES ATTORNEYS AT LAW, LLP</t>
  </si>
  <si>
    <t>Accrue Qtr End Serengeti - Q4</t>
  </si>
  <si>
    <t>Legal Accrual</t>
  </si>
  <si>
    <t>Accrue Qtr End Serengeti - Q1</t>
  </si>
  <si>
    <t>Accrue Qtr End Serengeti - Q2</t>
  </si>
  <si>
    <t>Accrue Qtr End Serengeti - Q3</t>
  </si>
  <si>
    <t>VUS000014064</t>
  </si>
  <si>
    <t>WILLIAMS KASTNER AND GIBBS PLLC</t>
  </si>
  <si>
    <t>Sum of Tons</t>
  </si>
  <si>
    <t>Pasted Values</t>
  </si>
  <si>
    <t>Commercial (non-regulated)</t>
  </si>
  <si>
    <t>Other (non-regulated)- BDI Tons</t>
  </si>
  <si>
    <t>Residential (regulated)</t>
  </si>
  <si>
    <t>Storage</t>
  </si>
  <si>
    <t>Total Yakima Regulated</t>
  </si>
  <si>
    <t>Depreciation Expense</t>
  </si>
  <si>
    <t>YW/REC DH</t>
  </si>
  <si>
    <t>Garbage Container</t>
  </si>
  <si>
    <t>RESI CUST (YW)</t>
  </si>
  <si>
    <t>Depr by LOB</t>
  </si>
  <si>
    <t>Avg. Inv by LOB</t>
  </si>
  <si>
    <t>Service Equip</t>
  </si>
  <si>
    <t>Shop Equip</t>
  </si>
  <si>
    <t>Office Equip</t>
  </si>
  <si>
    <t>LH Improvement</t>
  </si>
  <si>
    <t>Structure - Hauling</t>
  </si>
  <si>
    <t>Structure MRF</t>
  </si>
  <si>
    <t>Land</t>
  </si>
  <si>
    <t>BILLED CUST</t>
  </si>
  <si>
    <t>Total Advertising &amp; Promotions</t>
  </si>
  <si>
    <t>Delivery Trucks</t>
  </si>
  <si>
    <t>DH except RO</t>
  </si>
  <si>
    <t>ASLs</t>
  </si>
  <si>
    <t>Residential Drivers</t>
  </si>
  <si>
    <t>318284</t>
  </si>
  <si>
    <t>155733</t>
  </si>
  <si>
    <t>Container 55020</t>
  </si>
  <si>
    <t>Yakima Waste Systems, Inc. G-89</t>
  </si>
  <si>
    <t xml:space="preserve">BILL AREAS:  </t>
  </si>
  <si>
    <t>Grandview, Granger, Moxee, Selah, Toppenish, Yakima City and Yakima County</t>
  </si>
  <si>
    <t>Regulated Price Out</t>
  </si>
  <si>
    <t>Tariff Rate</t>
  </si>
  <si>
    <t>Jun</t>
  </si>
  <si>
    <t>Jul</t>
  </si>
  <si>
    <t>Aug</t>
  </si>
  <si>
    <t>Sep</t>
  </si>
  <si>
    <t>Oct</t>
  </si>
  <si>
    <t>Nov</t>
  </si>
  <si>
    <t>Service Code</t>
  </si>
  <si>
    <t>Service Code Description</t>
  </si>
  <si>
    <t>Total Revenue</t>
  </si>
  <si>
    <t>Average Customers</t>
  </si>
  <si>
    <t>Cart Size</t>
  </si>
  <si>
    <t>Can Size</t>
  </si>
  <si>
    <t>Container Size</t>
  </si>
  <si>
    <t>Quantity</t>
  </si>
  <si>
    <t>Count</t>
  </si>
  <si>
    <t>RESIDENTIAL SERVICES</t>
  </si>
  <si>
    <t>RESIDENTIAL GARBAGE</t>
  </si>
  <si>
    <t>RL020.0G1W001</t>
  </si>
  <si>
    <t>20 GL 1X WK 1</t>
  </si>
  <si>
    <t>RL032.0G1M001</t>
  </si>
  <si>
    <t>RL 32 GL 1X MO 1</t>
  </si>
  <si>
    <t>RL032.0G1W001</t>
  </si>
  <si>
    <t>RL 32 GL 1X WK 1</t>
  </si>
  <si>
    <t>RL032.0G1W002</t>
  </si>
  <si>
    <t>RL 32 GL 1X WK 2</t>
  </si>
  <si>
    <t>RL032.0G1W003</t>
  </si>
  <si>
    <t>RL 32 GL 1X WK 3</t>
  </si>
  <si>
    <t>RL032.0G1W004</t>
  </si>
  <si>
    <t>RL 32 GL 1X WK 4</t>
  </si>
  <si>
    <t>RL032.0G1W005</t>
  </si>
  <si>
    <t>RL 32 GL 1X WK 5</t>
  </si>
  <si>
    <t>RL032.0G1W006</t>
  </si>
  <si>
    <t>RL 32 GL 1X WK 6</t>
  </si>
  <si>
    <t>RL048.0G1W001</t>
  </si>
  <si>
    <t>RL 48 GL 1X WK 1</t>
  </si>
  <si>
    <t>RL064.0G1W001</t>
  </si>
  <si>
    <t>RL 64 GL 1X WK 1</t>
  </si>
  <si>
    <t>RL096.0G1W001</t>
  </si>
  <si>
    <t>RL 96 GL 1X WK 1</t>
  </si>
  <si>
    <t>RL32R-OC</t>
  </si>
  <si>
    <t>1 RL 32 GL ON CALL-RES</t>
  </si>
  <si>
    <t>EXTRA-RES</t>
  </si>
  <si>
    <t>EXTRA CAN, BAG, BOX - RES</t>
  </si>
  <si>
    <t>EXTRARES-REC</t>
  </si>
  <si>
    <t xml:space="preserve">EXTRA RESI REC BAG, BOX, </t>
  </si>
  <si>
    <t>OS-RES</t>
  </si>
  <si>
    <t>OVERSIZE CAN - RES</t>
  </si>
  <si>
    <t>SUNKENCAN-RES</t>
  </si>
  <si>
    <t>SUNKEN CAN FEE - RES</t>
  </si>
  <si>
    <t>WI1-RES</t>
  </si>
  <si>
    <t>WALK IN 6-25' - RES</t>
  </si>
  <si>
    <t>WI2-RES</t>
  </si>
  <si>
    <t>WALK IN 26-50' - RES</t>
  </si>
  <si>
    <t>WI3-RES</t>
  </si>
  <si>
    <t>WALK IN 51-75' - RES</t>
  </si>
  <si>
    <t>WI4-RES</t>
  </si>
  <si>
    <t>WALK IN 76-100' - RES</t>
  </si>
  <si>
    <t>WI5-RES</t>
  </si>
  <si>
    <t>WALK IN 101-125' - RES</t>
  </si>
  <si>
    <t>DRIVEIN1-RES</t>
  </si>
  <si>
    <t xml:space="preserve">DRIVE IN 125-250' - RES </t>
  </si>
  <si>
    <t>DRIVE-IN1 RES MTHLY</t>
  </si>
  <si>
    <t>DRIVE IN 125-250' - RES MONTHLY</t>
  </si>
  <si>
    <t>DRIVEINEOW1-RES</t>
  </si>
  <si>
    <t>DRIVE IN 125-250' - RES EOW</t>
  </si>
  <si>
    <t>DRIVEIN1EOW-RES</t>
  </si>
  <si>
    <t>DRIVE IN &gt; 250' RES EOW</t>
  </si>
  <si>
    <t>REDEL-RES</t>
  </si>
  <si>
    <t>REDELIVER FEE - RES</t>
  </si>
  <si>
    <t>REINSTATE-RES</t>
  </si>
  <si>
    <t>REINSTATE FEE - RES</t>
  </si>
  <si>
    <t>TRIP-RES</t>
  </si>
  <si>
    <t>TRIP FEE - RES</t>
  </si>
  <si>
    <t>ADJ-RES</t>
  </si>
  <si>
    <t>ADJUSTMENT RESIDENTIAL</t>
  </si>
  <si>
    <t>Cart</t>
  </si>
  <si>
    <t>TOTAL RESIDENTIAL GARBAGE</t>
  </si>
  <si>
    <t>RESIDENTIAL RECYCLING</t>
  </si>
  <si>
    <t>SL064.0GEO001REC</t>
  </si>
  <si>
    <t>SL 64 GL EOW RECYCLE 1</t>
  </si>
  <si>
    <t>TOTAL RESIDENTIAL RECYCLING</t>
  </si>
  <si>
    <t>RESIDENTIAL YARD WASTE</t>
  </si>
  <si>
    <t>SL096.0GEO001GW</t>
  </si>
  <si>
    <t>SL 96 GL EOW GREENWASTE 1</t>
  </si>
  <si>
    <t>TOTAL RESIDENTIAL YARD WASTE</t>
  </si>
  <si>
    <t>COMMERCIAL SERVICES</t>
  </si>
  <si>
    <t>COMMERCIAL GARBAGE</t>
  </si>
  <si>
    <t>FL001.5Y1W001</t>
  </si>
  <si>
    <t>1.5 YD 1X WK 1</t>
  </si>
  <si>
    <t>FL001.5Y2W001</t>
  </si>
  <si>
    <t>1.5 YD 2X WK 1</t>
  </si>
  <si>
    <t>FL001.5Y3W001</t>
  </si>
  <si>
    <t>1.5 YD 3X WK 1</t>
  </si>
  <si>
    <t>FL001.5Y5W001</t>
  </si>
  <si>
    <t>FL 1.5 YD 5X WK 1</t>
  </si>
  <si>
    <t>RL001.5Y1W001</t>
  </si>
  <si>
    <t>RL 1.5 YD 1X WK 1</t>
  </si>
  <si>
    <t>RL001.5Y2W001</t>
  </si>
  <si>
    <t>RL 1.5 YD 2X WK 1</t>
  </si>
  <si>
    <t>RL001.5Y3W001</t>
  </si>
  <si>
    <t>RL 1.5 YD 3X WK 1</t>
  </si>
  <si>
    <t>RL001.5Y5W001</t>
  </si>
  <si>
    <t>RL 1.5 YD 5X WK 1</t>
  </si>
  <si>
    <t>RL001.5YEO001</t>
  </si>
  <si>
    <t>RL 1.5 YD EOW 1</t>
  </si>
  <si>
    <t>FL003.0Y1W001</t>
  </si>
  <si>
    <t>3 YD 1X WK 1</t>
  </si>
  <si>
    <t>FL003.0Y2W001</t>
  </si>
  <si>
    <t>3 YD 2X WK 1</t>
  </si>
  <si>
    <t>FL003.0Y3W001</t>
  </si>
  <si>
    <t>3 YD 3X WK 1</t>
  </si>
  <si>
    <t>FL003.0Y5W001</t>
  </si>
  <si>
    <t>3 YD 5X WK 1</t>
  </si>
  <si>
    <t>FL004.0Y1W001</t>
  </si>
  <si>
    <t>4 YD 1X WK 1</t>
  </si>
  <si>
    <t>FL004.0Y2W001</t>
  </si>
  <si>
    <t>4 YD 2X WK 1</t>
  </si>
  <si>
    <t>FL004.0Y3W001</t>
  </si>
  <si>
    <t>4 YD 3X WK 1</t>
  </si>
  <si>
    <t>FL004.0Y5W001</t>
  </si>
  <si>
    <t>FL 4 YD 5X WK 1</t>
  </si>
  <si>
    <t>FL006.0Y1W001</t>
  </si>
  <si>
    <t>6 YD 1X WK 1</t>
  </si>
  <si>
    <t>FL006.0Y2W001</t>
  </si>
  <si>
    <t>6 YD 2X WK 1</t>
  </si>
  <si>
    <t>FL006.0Y3W001</t>
  </si>
  <si>
    <t>6 YD 3X WK 1</t>
  </si>
  <si>
    <t>FL006.0Y4W001</t>
  </si>
  <si>
    <t>6 YD 4X WK 1</t>
  </si>
  <si>
    <t>FL006.0Y5W001</t>
  </si>
  <si>
    <t>6 YD 5X WK 1</t>
  </si>
  <si>
    <t>FL008.0Y1W001</t>
  </si>
  <si>
    <t>FL 8 YD 1X WK 1</t>
  </si>
  <si>
    <t>FL008.0Y2W001</t>
  </si>
  <si>
    <t>FL 8 YD 2X WK 1</t>
  </si>
  <si>
    <t>FL008.0Y3W001</t>
  </si>
  <si>
    <t>FL 8 YD 3X WK 1</t>
  </si>
  <si>
    <t>FL004.0Y1W001CMP</t>
  </si>
  <si>
    <t>4 YD 1X WK COMP 1</t>
  </si>
  <si>
    <t>FL1.5TC-COMM</t>
  </si>
  <si>
    <t>FL 1.5 YD TEMP - COMM</t>
  </si>
  <si>
    <t>RL1.5TC-COMM</t>
  </si>
  <si>
    <t>RL TEMPORARY 1.5 YD-COMM</t>
  </si>
  <si>
    <t>FL3TC-COMM</t>
  </si>
  <si>
    <t>FL 3 YD TEMP - COMM</t>
  </si>
  <si>
    <t>FL4TC-COMM</t>
  </si>
  <si>
    <t>FL 4 YD TEMP - COMM</t>
  </si>
  <si>
    <t>FL6TC-COMM</t>
  </si>
  <si>
    <t>FL 6 YD TEMP - COMM</t>
  </si>
  <si>
    <t>RL032.0G1W001COMM</t>
  </si>
  <si>
    <t>RL 32 GL 1X WK COMM 1</t>
  </si>
  <si>
    <t>RL032.0G1W002COMM</t>
  </si>
  <si>
    <t>RL 32 GL 1X WK COMM 2</t>
  </si>
  <si>
    <t>RL032.0G1W003COMM</t>
  </si>
  <si>
    <t>RL 32 GL 1X WK COMM 3</t>
  </si>
  <si>
    <t>RL032.0G1W004COMM</t>
  </si>
  <si>
    <t>RL 32 GL 1X WK COMM 4</t>
  </si>
  <si>
    <t>RL032.0G1W005COMM</t>
  </si>
  <si>
    <t>32 GL 1X WK COMM 5</t>
  </si>
  <si>
    <t>RL048.0G1W001COMM</t>
  </si>
  <si>
    <t>RL 48 GL 1X WK COMM 1</t>
  </si>
  <si>
    <t>RL064.0G1W001COMM</t>
  </si>
  <si>
    <t>RL 64 GL 1X WK COMM 1</t>
  </si>
  <si>
    <t>RL096.0G1W001COMM</t>
  </si>
  <si>
    <t>RL 96 GL 1X WK COMM 1</t>
  </si>
  <si>
    <t>EP1.5-COMM</t>
  </si>
  <si>
    <t>EXTRA PICK UP 1.5 YD - CO</t>
  </si>
  <si>
    <t>EP3-COMM</t>
  </si>
  <si>
    <t>EXTRA PICK UP 3 YD - COMM</t>
  </si>
  <si>
    <t>EP4-COMM</t>
  </si>
  <si>
    <t>EXTRA PICK UP 4 YD - COMM</t>
  </si>
  <si>
    <t>EP6-COMM</t>
  </si>
  <si>
    <t>EXTRA PICK UP 6 YD - COMM</t>
  </si>
  <si>
    <t>EXTRA1TO4YD-COMM</t>
  </si>
  <si>
    <t>EXTRA PU 1 TO 4YD - COMM</t>
  </si>
  <si>
    <t>EXTRA5OVERYD-COMM</t>
  </si>
  <si>
    <t>EXTRA PU 5YD OVER - COMM</t>
  </si>
  <si>
    <t>EXTRA-COMM</t>
  </si>
  <si>
    <t>EXTRA CAN, BAG, BOX - COM</t>
  </si>
  <si>
    <t>OS-COMM</t>
  </si>
  <si>
    <t>OVERSIZE CAN - COMM</t>
  </si>
  <si>
    <t>RENT1.5-COMM</t>
  </si>
  <si>
    <t>RENTAL FEE 1.5 YD COMM</t>
  </si>
  <si>
    <t>RENT3-COMM</t>
  </si>
  <si>
    <t>RENTAL FEE 3 YD COMM</t>
  </si>
  <si>
    <t>RENT4-COMM</t>
  </si>
  <si>
    <t>RENTAL FEE 4 YD COMM</t>
  </si>
  <si>
    <t>RENT6-COMM</t>
  </si>
  <si>
    <t>RENTAL FEE 6 YD COMM</t>
  </si>
  <si>
    <t>RENT8-COMM</t>
  </si>
  <si>
    <t>RENTAL FEE 8 YD COMM</t>
  </si>
  <si>
    <t>RENT1.5TEMP-COMM</t>
  </si>
  <si>
    <t xml:space="preserve">RENTAL FEE 1.5 YD TEMP - </t>
  </si>
  <si>
    <t>RENT3TEMP-COMM</t>
  </si>
  <si>
    <t>RENTAL FEE 3 YD TEMP - CO</t>
  </si>
  <si>
    <t>RENT4TEMP-COMM</t>
  </si>
  <si>
    <t>RENTAL FEE 4YD TEMP - COM</t>
  </si>
  <si>
    <t>RENT6TEMP-COMM</t>
  </si>
  <si>
    <t>RENTAL FEE 6 YD TEMP - CO</t>
  </si>
  <si>
    <t xml:space="preserve">DRIVEIN1-COMM </t>
  </si>
  <si>
    <t>DRIVE IN 125-250' - COMM</t>
  </si>
  <si>
    <t>DRIVEIN1-COM</t>
  </si>
  <si>
    <t>DRIVE IN COMMERCIAL</t>
  </si>
  <si>
    <t>DRIVEINEOW-COM</t>
  </si>
  <si>
    <t>DRIVE IN EOW COMM</t>
  </si>
  <si>
    <t>ROLL-COMM</t>
  </si>
  <si>
    <t>ROLL OUT CHARGE - COMM</t>
  </si>
  <si>
    <t>WI1-COMM</t>
  </si>
  <si>
    <t>WALK IN 6-25' - COMM</t>
  </si>
  <si>
    <t>WI4-COMM</t>
  </si>
  <si>
    <t>WALK IN 76-100' - COMM</t>
  </si>
  <si>
    <t>SUNKENCAN-COMM</t>
  </si>
  <si>
    <t>SUNKEN CAN FEE - COMM</t>
  </si>
  <si>
    <t>CLEAN-COMM</t>
  </si>
  <si>
    <t>CONTAINER CLEANING FEE -</t>
  </si>
  <si>
    <t>CLEANPU8OVER-COMM</t>
  </si>
  <si>
    <t>CLEAN PICKUP 8YD OVER-COM</t>
  </si>
  <si>
    <t>DELTEMP-COMM</t>
  </si>
  <si>
    <t>DELIVERY FEE TEMP-COMM</t>
  </si>
  <si>
    <t>DISP-COMM</t>
  </si>
  <si>
    <t>DISPOSAL FEE - COMM</t>
  </si>
  <si>
    <t>DEL1.5-COMM</t>
  </si>
  <si>
    <t>DELIVERY FEE 1.5YD - COMM</t>
  </si>
  <si>
    <t>DEL3-COMM</t>
  </si>
  <si>
    <t>DELIVERY FEE 3YD - COMM</t>
  </si>
  <si>
    <t>DEL4-COMM</t>
  </si>
  <si>
    <t>DELIVERY FEE 4YD - COMM</t>
  </si>
  <si>
    <t>DEL6-COMM</t>
  </si>
  <si>
    <t>DELIVERY FEE 6YD - COMM</t>
  </si>
  <si>
    <t>REINSTATE-COMM</t>
  </si>
  <si>
    <t>REINSTATE FEE - COMM</t>
  </si>
  <si>
    <t>TIME-COMM</t>
  </si>
  <si>
    <t>TIME FEE 1 - COMM</t>
  </si>
  <si>
    <t>UNLATCH-COMM</t>
  </si>
  <si>
    <t>UNLATCHING FEE-COMM</t>
  </si>
  <si>
    <t>LCKC</t>
  </si>
  <si>
    <t>LOCK &amp; KEY FEE - COMM</t>
  </si>
  <si>
    <t>UNLCKC</t>
  </si>
  <si>
    <t>UNLOCKING FEE - COMM</t>
  </si>
  <si>
    <t>REDEL1.5-COMM</t>
  </si>
  <si>
    <t>REDELIVERY FEE 1.5 YD - COMM</t>
  </si>
  <si>
    <t>REDEL3-COMM</t>
  </si>
  <si>
    <t>REDELIVERY FEE 3 YD - COMM</t>
  </si>
  <si>
    <t>REDEL4-COMM</t>
  </si>
  <si>
    <t>REDELIVERY FEE 4 YD - COMM</t>
  </si>
  <si>
    <t>REDEL-COMM</t>
  </si>
  <si>
    <t>REDELIVER FEE LVL 1 - COM</t>
  </si>
  <si>
    <t>CARTREPL-COM</t>
  </si>
  <si>
    <t>CART REPLACEMENT - COMM</t>
  </si>
  <si>
    <t>C19-ADJCOM</t>
  </si>
  <si>
    <t>COMMERCIAL ADJUSTMENT</t>
  </si>
  <si>
    <t>ADJ-COM</t>
  </si>
  <si>
    <t>ADJUSTMENT COMMERCIAL</t>
  </si>
  <si>
    <t>TOTAL COMMERCIAL GARBAGE</t>
  </si>
  <si>
    <t>DROP BOX SERVICES</t>
  </si>
  <si>
    <t>DROP BOX HAULS/RENTAL</t>
  </si>
  <si>
    <t>HAUL20-RO</t>
  </si>
  <si>
    <t>HAUL 20 YD - RO</t>
  </si>
  <si>
    <t>HAUL30-RO</t>
  </si>
  <si>
    <t>HAUL 30 YD - RO</t>
  </si>
  <si>
    <t>HAUL40-RO</t>
  </si>
  <si>
    <t>HAUL 40 YD - RO</t>
  </si>
  <si>
    <t>HAUL50-RO</t>
  </si>
  <si>
    <t>HAUL 50 YD - RO</t>
  </si>
  <si>
    <t>HAUL10-CP</t>
  </si>
  <si>
    <t>HAUL 10-18YD COMP - RO</t>
  </si>
  <si>
    <t>HAUL20-CP</t>
  </si>
  <si>
    <t>COMPACTOR HAUL 20 YD - RO</t>
  </si>
  <si>
    <t>HAUL25-CP</t>
  </si>
  <si>
    <t>COMPACTOR HAUL 25 YD - RO</t>
  </si>
  <si>
    <t>HAUL30-CP</t>
  </si>
  <si>
    <t>COMPACTOR HAUL 30 YD</t>
  </si>
  <si>
    <t>HAUL35-CP</t>
  </si>
  <si>
    <t>COMPACTOR HAUL 35 YD - RO</t>
  </si>
  <si>
    <t>HAUL40-CP</t>
  </si>
  <si>
    <t>COMPACTOR HAUL 40 YD</t>
  </si>
  <si>
    <t>HAUL20TEMP-RO</t>
  </si>
  <si>
    <t>HAUL 20 YD TEMP - RO</t>
  </si>
  <si>
    <t>HAUL30TEMP-RO</t>
  </si>
  <si>
    <t>HAUL 30 YD TEMP - RO</t>
  </si>
  <si>
    <t>HAUL40TEMP-RO</t>
  </si>
  <si>
    <t>HAUL 40 YD TEMP - RO</t>
  </si>
  <si>
    <t>DEL-RO</t>
  </si>
  <si>
    <t>DELIVERY FEE - RO</t>
  </si>
  <si>
    <t>RENT20MO-RO</t>
  </si>
  <si>
    <t>RENTAL FEE 20 YD MONTHLY</t>
  </si>
  <si>
    <t>RENT30MO-RO</t>
  </si>
  <si>
    <t>RENTAL FEE 30 YD MONTHLY</t>
  </si>
  <si>
    <t>RENT40MO-RO</t>
  </si>
  <si>
    <t>RENTAL FEE 40 YD MONTHLY</t>
  </si>
  <si>
    <t>RENT20DAY-RO</t>
  </si>
  <si>
    <t>RENTAL FEE 20 YD DAILY</t>
  </si>
  <si>
    <t>RENT30DAY-RO</t>
  </si>
  <si>
    <t>RENTAL FEE 30 YD DAILY</t>
  </si>
  <si>
    <t>RENT40DAY-RO</t>
  </si>
  <si>
    <t>RENTAL FEE 40 YD DAILY</t>
  </si>
  <si>
    <t>CLEAN-RO</t>
  </si>
  <si>
    <t>CONT CLEANING FEE - RO</t>
  </si>
  <si>
    <t>CLEAN20-RO</t>
  </si>
  <si>
    <t>CLEANING FEE 20 YD - RO</t>
  </si>
  <si>
    <t>CLEAN40-RO</t>
  </si>
  <si>
    <t>MILE-RO</t>
  </si>
  <si>
    <t>MILEAGE FEE - RO</t>
  </si>
  <si>
    <t>TIME-RO</t>
  </si>
  <si>
    <t>TIME FEE - RO</t>
  </si>
  <si>
    <t>TOTAL DROP BOX HAULS/RENTAL</t>
  </si>
  <si>
    <t>PASSTHROUGH DISPOSAL</t>
  </si>
  <si>
    <t>DISP-RO</t>
  </si>
  <si>
    <t>DISPOSAL CHARGE - RO</t>
  </si>
  <si>
    <t>TOTAL PASSTHROUGH DISPOSAL</t>
  </si>
  <si>
    <t>ADJ-FIN</t>
  </si>
  <si>
    <t>ADJUSTMENT FINANCE CHARGE</t>
  </si>
  <si>
    <t>C19-ADJFIN</t>
  </si>
  <si>
    <t>FINANCE CHARGE ADJUSTMENT</t>
  </si>
  <si>
    <t>FINCHG</t>
  </si>
  <si>
    <t>FINANCE CHARGE</t>
  </si>
  <si>
    <t>RETCK</t>
  </si>
  <si>
    <t>RETURN CHECK</t>
  </si>
  <si>
    <t>RETCKC</t>
  </si>
  <si>
    <t>RETURN CHECK CHARGE</t>
  </si>
  <si>
    <t>TOTAL SERVICE CHARGES</t>
  </si>
  <si>
    <t>Increase per LG</t>
  </si>
  <si>
    <t>Recycle</t>
  </si>
  <si>
    <t>Diff</t>
  </si>
  <si>
    <r>
      <rPr>
        <b/>
        <sz val="11"/>
        <rFont val="Calibri"/>
        <family val="2"/>
        <scheme val="minor"/>
      </rPr>
      <t>Note:</t>
    </r>
    <r>
      <rPr>
        <sz val="11"/>
        <rFont val="Calibri"/>
        <family val="2"/>
        <scheme val="minor"/>
      </rPr>
      <t xml:space="preserve"> The Division Vice President's home district for payroll purposes is 2010.  During the year his regular compensation is coded to district 2010 and then allocated out to each of his districts of responsibility via Journal Entry.  His other compensation is not allocated into each of his districts during the year therefore that must be done manually for this rate filing.</t>
    </r>
  </si>
  <si>
    <r>
      <rPr>
        <b/>
        <sz val="11"/>
        <rFont val="Calibri"/>
        <family val="2"/>
        <scheme val="minor"/>
      </rPr>
      <t>Note:</t>
    </r>
    <r>
      <rPr>
        <sz val="11"/>
        <rFont val="Calibri"/>
        <family val="2"/>
        <scheme val="minor"/>
      </rPr>
      <t xml:space="preserve"> The Division Controller's home district for payroll purposes is 2010.  During the year his regular compensation is coded to district 2010 and then allocated out to each of his districts of responsibility via Journal Entry.  His other compensation is not allocated into each of his districts during the year therefore that must be done manually for this rate filing.</t>
    </r>
  </si>
  <si>
    <t>Averge Investment</t>
  </si>
  <si>
    <t>MSW DH</t>
  </si>
  <si>
    <t>Total Route Hours (except RO)</t>
  </si>
  <si>
    <t>CART CUST (MSW)</t>
  </si>
  <si>
    <t>CART CUST (REC/MSW)</t>
  </si>
  <si>
    <t>CART CUST (REC)</t>
  </si>
  <si>
    <t>CART CUST (YW/MSW)</t>
  </si>
  <si>
    <t>WC NI claim 69674983547203</t>
  </si>
  <si>
    <t>Jan 31st Insurance Entry</t>
  </si>
  <si>
    <t>Auto NI claim 55564953989447</t>
  </si>
  <si>
    <t>WC NI claim 69674983593161</t>
  </si>
  <si>
    <t>Feb 28th Insurance Entry</t>
  </si>
  <si>
    <t>OPEX14- AP and Exp Report Accr</t>
  </si>
  <si>
    <t>RosemaryS</t>
  </si>
  <si>
    <t>1TIME</t>
  </si>
  <si>
    <t>ONE TIME VENDOR</t>
  </si>
  <si>
    <t>JRNLWA00353225</t>
  </si>
  <si>
    <t>April 20th Insurance Entry</t>
  </si>
  <si>
    <t>JRNL00840818</t>
  </si>
  <si>
    <t>JRNLWA00353598</t>
  </si>
  <si>
    <t>PCard Activity April - Western</t>
  </si>
  <si>
    <t>LP BODY SHOP INC~CHRISTIE HERBST</t>
  </si>
  <si>
    <t>JRNL00841892</t>
  </si>
  <si>
    <t>JRNLWA00354924</t>
  </si>
  <si>
    <t>May 31st Insurance Entry</t>
  </si>
  <si>
    <t>WC NI claim 69677804079482</t>
  </si>
  <si>
    <t>JRNL00845295</t>
  </si>
  <si>
    <t>JRNLWA00356241</t>
  </si>
  <si>
    <t>Doug Hammerstrom</t>
  </si>
  <si>
    <t>Damage-Mike Leiferman (driver)</t>
  </si>
  <si>
    <t>Leiferman-damage</t>
  </si>
  <si>
    <t>PO-2195-17-01278</t>
  </si>
  <si>
    <t>VO04323173</t>
  </si>
  <si>
    <t>JRNL00848158</t>
  </si>
  <si>
    <t>JRNLWA00356464</t>
  </si>
  <si>
    <t>June 30th Insurance Entry</t>
  </si>
  <si>
    <t>JRNL00849319</t>
  </si>
  <si>
    <t>WC NI claim 69677804080010</t>
  </si>
  <si>
    <t>JRNLWA00358141</t>
  </si>
  <si>
    <t>JRNL00853160</t>
  </si>
  <si>
    <t>JRNLWA00361180</t>
  </si>
  <si>
    <t>Sept 29th Insurance Entry</t>
  </si>
  <si>
    <t>JRNL00860467</t>
  </si>
  <si>
    <t>WC NI claim 6D368775575900</t>
  </si>
  <si>
    <t>WC NI claim 6D368775802115</t>
  </si>
  <si>
    <t>JRNLWA00361268</t>
  </si>
  <si>
    <t>PCard Activity - Sep - Western</t>
  </si>
  <si>
    <t>AUTOCRAFT PAINT &amp; BODY WO~CHRISTIE HERBS</t>
  </si>
  <si>
    <t>JRNL00860630</t>
  </si>
  <si>
    <t>ENTERPRISE RENT-A-CAR~CHRISTIE HERBST</t>
  </si>
  <si>
    <t>JRNLWA00362687</t>
  </si>
  <si>
    <t>Oct 16th Insurance Entry</t>
  </si>
  <si>
    <t>JRNL00863931</t>
  </si>
  <si>
    <t>JRNLWA00362828</t>
  </si>
  <si>
    <t>Oct 31st Insurance Entry</t>
  </si>
  <si>
    <t>JRNL00864202</t>
  </si>
  <si>
    <t>JRNLWA00364338</t>
  </si>
  <si>
    <t>Nov 30th Insurance Entry</t>
  </si>
  <si>
    <t>MimiS</t>
  </si>
  <si>
    <t>JRNL00867740</t>
  </si>
  <si>
    <t>JRNLWA00365866</t>
  </si>
  <si>
    <t>Dec 31st Insurance Entry</t>
  </si>
  <si>
    <t>AlexandraP</t>
  </si>
  <si>
    <t>JRNL00871213</t>
  </si>
  <si>
    <t>WC NI claim 6D368776096948</t>
  </si>
  <si>
    <t>JRNLWA00365881</t>
  </si>
  <si>
    <t>Atkins Landscaping Inc</t>
  </si>
  <si>
    <t>Replacement of trees for customer proper</t>
  </si>
  <si>
    <t>PO-2195-17-02793</t>
  </si>
  <si>
    <t>VO04523129</t>
  </si>
  <si>
    <t>JRNL00871278</t>
  </si>
  <si>
    <t>JRNLWA00365961</t>
  </si>
  <si>
    <t>Wester PCard Activity - Dec</t>
  </si>
  <si>
    <t>JRNL00871495</t>
  </si>
  <si>
    <t>JRNLWA00366735</t>
  </si>
  <si>
    <t>1TIME : Latisha Garcia-Scott Betker 12/2</t>
  </si>
  <si>
    <t>JRNL00872871</t>
  </si>
  <si>
    <t>JRNLWA00367291</t>
  </si>
  <si>
    <t>Latisha Garcia</t>
  </si>
  <si>
    <t>Latisha Garcia-Scott Betker 12/29/17</t>
  </si>
  <si>
    <t>Betker 12-29</t>
  </si>
  <si>
    <t>PO-2195-18-00032</t>
  </si>
  <si>
    <t>VO04534512</t>
  </si>
  <si>
    <t>JRNL00874134</t>
  </si>
  <si>
    <t>JRNLWA00366790</t>
  </si>
  <si>
    <t>JRNL00872965</t>
  </si>
  <si>
    <t>JRNLWA00367705</t>
  </si>
  <si>
    <t>JRNL00875559</t>
  </si>
  <si>
    <t>JRNLWA00369055</t>
  </si>
  <si>
    <t>VUS000022323</t>
  </si>
  <si>
    <t>CENTRAL WASHINGTON RAILROAD</t>
  </si>
  <si>
    <t>Damage claim-Isidro Ramirez</t>
  </si>
  <si>
    <t>Damage-Ramirez</t>
  </si>
  <si>
    <t>PO-2195-18-00317</t>
  </si>
  <si>
    <t>VO04578266</t>
  </si>
  <si>
    <t>JRNL00878705</t>
  </si>
  <si>
    <t>JRNLWA00369335</t>
  </si>
  <si>
    <t>JRNL00879352</t>
  </si>
  <si>
    <t>JRNLWA00370723</t>
  </si>
  <si>
    <t>Mar 30th Insurance Entry</t>
  </si>
  <si>
    <t>JRNL00882748</t>
  </si>
  <si>
    <t>WC NI claim 6D368777001467</t>
  </si>
  <si>
    <t>JRNLWA00372126</t>
  </si>
  <si>
    <t>VUS000023913</t>
  </si>
  <si>
    <t>HANNAH GIMLIN</t>
  </si>
  <si>
    <t>Sean Cole Incident- Hannah Gimlin 4/11/1</t>
  </si>
  <si>
    <t>Damage-Cole</t>
  </si>
  <si>
    <t>PO-2195-18-00932</t>
  </si>
  <si>
    <t>VO04634833</t>
  </si>
  <si>
    <t>JRNL00886112</t>
  </si>
  <si>
    <t>JRNLWA00372575</t>
  </si>
  <si>
    <t>JRNL00887266</t>
  </si>
  <si>
    <t>JRNLWA00374560</t>
  </si>
  <si>
    <t>VUS000024399: PO 01260: DALE MATTIELIGH:</t>
  </si>
  <si>
    <t>JRNL00891918</t>
  </si>
  <si>
    <t>JRNLWA00375176</t>
  </si>
  <si>
    <t>VUS000024399</t>
  </si>
  <si>
    <t>DALE MATTIELIGH</t>
  </si>
  <si>
    <t>Damage claim-Sean Cole 5-9-18</t>
  </si>
  <si>
    <t>Damage-Mattieligh</t>
  </si>
  <si>
    <t>PO-2195-18-01260</t>
  </si>
  <si>
    <t>VO04691530</t>
  </si>
  <si>
    <t>JRNL00893568</t>
  </si>
  <si>
    <t>JRNLWA00374568</t>
  </si>
  <si>
    <t>JRNL00891956</t>
  </si>
  <si>
    <t>JRNLWA00375434</t>
  </si>
  <si>
    <t>June PCard Activity - Western</t>
  </si>
  <si>
    <t>PRO CLEAN AUTO DETAIL SYS~CHRISTIE HERBS</t>
  </si>
  <si>
    <t>JRNL00894442</t>
  </si>
  <si>
    <t>JRNLWA00376862</t>
  </si>
  <si>
    <t>July 11th Insurance Entry</t>
  </si>
  <si>
    <t>WC NI claim 6D368777553645</t>
  </si>
  <si>
    <t>JRNL00897891</t>
  </si>
  <si>
    <t>JRNLWA00378363</t>
  </si>
  <si>
    <t>Aug 10th Insurance Entry</t>
  </si>
  <si>
    <t>Auto NI claim 55564957819537</t>
  </si>
  <si>
    <t>JRNL00901823</t>
  </si>
  <si>
    <t>JRNLWA00378512</t>
  </si>
  <si>
    <t>Aug Pcard Activity - Western</t>
  </si>
  <si>
    <t>VALLEY FORD NISSAN KIA~CHRISTIE HERBST</t>
  </si>
  <si>
    <t>JRNL00902204</t>
  </si>
  <si>
    <t>DOT AFS VENDOR PAYMENTS~CHRISTIE HERBST</t>
  </si>
  <si>
    <t>JRNLWA00379827</t>
  </si>
  <si>
    <t>Sept 10th Insurance Entry</t>
  </si>
  <si>
    <t>JRNL00905376</t>
  </si>
  <si>
    <t>WC NI claim 6D368778086122</t>
  </si>
  <si>
    <t>WC NI claim 6D368778136425</t>
  </si>
  <si>
    <t>WC NI claim 69678771570118</t>
  </si>
  <si>
    <t>JRNLWA00381452</t>
  </si>
  <si>
    <t>Oct 10th Insurance Entry</t>
  </si>
  <si>
    <t>JRNL00909401</t>
  </si>
  <si>
    <t>JRNLWA00381684</t>
  </si>
  <si>
    <t>Western PCard Activity - Octob</t>
  </si>
  <si>
    <t>SQ  SICK CUSTOM BOD~CHRISTIE HERBST</t>
  </si>
  <si>
    <t>JRNL00909891</t>
  </si>
  <si>
    <t>JRNLWA00382985</t>
  </si>
  <si>
    <t>Nov 9th Insurance Entry</t>
  </si>
  <si>
    <t>JRNL00913403</t>
  </si>
  <si>
    <t>WC NI claim 6D368778310203</t>
  </si>
  <si>
    <t>JRNLWA00384009</t>
  </si>
  <si>
    <t>VUS000014288: PO 02529: PACIFIC POWER AN</t>
  </si>
  <si>
    <t>JRNL00915525</t>
  </si>
  <si>
    <t>JRNLWA00384333</t>
  </si>
  <si>
    <t>Damage claim-James Bone</t>
  </si>
  <si>
    <t>PO-2195-18-02529</t>
  </si>
  <si>
    <t>VO04870933</t>
  </si>
  <si>
    <t>JRNL00916692</t>
  </si>
  <si>
    <t>JRNLWA00384334</t>
  </si>
  <si>
    <t>Damage Claim-Javier Garcia 4/20/18</t>
  </si>
  <si>
    <t>PO-2195-18-02651</t>
  </si>
  <si>
    <t>VO04871197</t>
  </si>
  <si>
    <t>JRNL00916693</t>
  </si>
  <si>
    <t>JRNLWA00384046</t>
  </si>
  <si>
    <t>JRNL00915605</t>
  </si>
  <si>
    <t>JRNLWA00384427</t>
  </si>
  <si>
    <t>Dec 10th Insurance Entry</t>
  </si>
  <si>
    <t>JRNL00916900</t>
  </si>
  <si>
    <t>WC NI claim 6D368778028339</t>
  </si>
  <si>
    <t>JRNLWA00385975</t>
  </si>
  <si>
    <t>VUS000028306</t>
  </si>
  <si>
    <t>KAILAN DUNN</t>
  </si>
  <si>
    <t>Damages-Eddie Flores</t>
  </si>
  <si>
    <t>PO-2195-19-00116</t>
  </si>
  <si>
    <t>VO04902564</t>
  </si>
  <si>
    <t>JRNL00920600</t>
  </si>
  <si>
    <t>JRNLWA00386078</t>
  </si>
  <si>
    <t>Jan 10th Insurance Entry</t>
  </si>
  <si>
    <t>JRNL00921047</t>
  </si>
  <si>
    <t>JRNLWA00388208</t>
  </si>
  <si>
    <t>Feb Ins Claim Entry</t>
  </si>
  <si>
    <t>JRNL00926349</t>
  </si>
  <si>
    <t>WC NI claim 6D368778834925</t>
  </si>
  <si>
    <t>JRNLWA00389185</t>
  </si>
  <si>
    <t>March Ins Claim Entry</t>
  </si>
  <si>
    <t>WC NI claim 6D368778936708</t>
  </si>
  <si>
    <t>JRNL00928308</t>
  </si>
  <si>
    <t>WC NI claim 6D368779144267</t>
  </si>
  <si>
    <t>JRNLWA00390585</t>
  </si>
  <si>
    <t>Apirl 8th Insurance Entry</t>
  </si>
  <si>
    <t>JRNL00931368</t>
  </si>
  <si>
    <t>JRNLWA00392028</t>
  </si>
  <si>
    <t>May 7th Insurance Entry</t>
  </si>
  <si>
    <t>JRNL00934591</t>
  </si>
  <si>
    <t>WC NI claim 6D368779499347</t>
  </si>
  <si>
    <t>JRNLWA00393387</t>
  </si>
  <si>
    <t>June 7th Insurance Entry</t>
  </si>
  <si>
    <t>JRNL00937763</t>
  </si>
  <si>
    <t>Auto NI claim 55564959809063</t>
  </si>
  <si>
    <t>JRNLWA00393495</t>
  </si>
  <si>
    <t>Western Pcard Activity - Jun</t>
  </si>
  <si>
    <t>SQ  CENTRAL WASHING~JOSH NATHANSON</t>
  </si>
  <si>
    <t>JRNL00938011</t>
  </si>
  <si>
    <t>JRNLWA00394870</t>
  </si>
  <si>
    <t>July 9th Insurance Entry</t>
  </si>
  <si>
    <t>JRNL00941115</t>
  </si>
  <si>
    <t>JRNLWA00396360</t>
  </si>
  <si>
    <t>Aug 7th Insurance Entry</t>
  </si>
  <si>
    <t>JRNL00944410</t>
  </si>
  <si>
    <t>JRNLWA00400664</t>
  </si>
  <si>
    <t>Nov 7th Insurance Entry</t>
  </si>
  <si>
    <t>JRNL00954190</t>
  </si>
  <si>
    <t>JRNLWA00401554</t>
  </si>
  <si>
    <t>VUS000014288: PO 02840: PACIFIC POWER AN</t>
  </si>
  <si>
    <t>JRNL00955855</t>
  </si>
  <si>
    <t>JRNLWA00401816</t>
  </si>
  <si>
    <t>Damage claim-Wilson Collazo</t>
  </si>
  <si>
    <t>PO-2195-19-02840</t>
  </si>
  <si>
    <t>VO05239434</t>
  </si>
  <si>
    <t>JRNL00956529</t>
  </si>
  <si>
    <t>JRNLWA00401595</t>
  </si>
  <si>
    <t>JRNL00955977</t>
  </si>
  <si>
    <t>JRNLWA00402091</t>
  </si>
  <si>
    <t>Dec 6th Insurance Entry</t>
  </si>
  <si>
    <t>JRNL00957356</t>
  </si>
  <si>
    <t>2017</t>
  </si>
  <si>
    <t>2018</t>
  </si>
  <si>
    <t>2019</t>
  </si>
  <si>
    <t>Universal Carts  - YW/Garbage</t>
  </si>
  <si>
    <t>2022-03</t>
  </si>
  <si>
    <t>Bad Debt Recoveries</t>
  </si>
  <si>
    <t>Miscellaneous</t>
  </si>
  <si>
    <t>Meals and Entertainment</t>
  </si>
  <si>
    <t>Taxes and Fees</t>
  </si>
  <si>
    <t>LF Taxes and Fees</t>
  </si>
  <si>
    <t>Disposal Transfer Station Intercompany</t>
  </si>
  <si>
    <t>Proceeds - Intercompany Material Sales</t>
  </si>
  <si>
    <t>Transfer Station - Third Party</t>
  </si>
  <si>
    <t>2F5B7757-E4CC-4EBA-9EB0-8346D791991C</t>
  </si>
  <si>
    <t>40101|2195|*|*|||1|2020|Actual|corp||</t>
  </si>
  <si>
    <t>40101|2195|*|*||</t>
  </si>
  <si>
    <t>40101|2195|*|*|||2|2020|Actual|corp||</t>
  </si>
  <si>
    <t>40101|2195|*|*|||3|2020|Actual|corp||</t>
  </si>
  <si>
    <t>40101|2195|*|*|||4|2020|Actual|corp||</t>
  </si>
  <si>
    <t>40101|2195|*|*|||5|2020|Actual|corp||</t>
  </si>
  <si>
    <t>40101|2195|*|*|||6|2020|Actual|corp||</t>
  </si>
  <si>
    <t>40101|2195|*|*|||7|2020|Actual|corp||</t>
  </si>
  <si>
    <t>40101|2195|*|*|||8|2020|Actual|corp||</t>
  </si>
  <si>
    <t>40101|2195|*|*|||9|2020|Actual|corp||</t>
  </si>
  <si>
    <t>40101|2195|*|*|||10|2020|Actual|corp||</t>
  </si>
  <si>
    <t>40101|2195|*|*|||11|2020|Actual|corp||</t>
  </si>
  <si>
    <t>40101|2195|*|*|||12|2020|Actual|corp||</t>
  </si>
  <si>
    <t>G/L</t>
  </si>
  <si>
    <t>Total Disposal</t>
  </si>
  <si>
    <t>YW Total Tons</t>
  </si>
  <si>
    <t>RO Tons</t>
  </si>
  <si>
    <t>Packer Tons</t>
  </si>
  <si>
    <t># RO</t>
  </si>
  <si>
    <t>MSW/RO Total</t>
  </si>
  <si>
    <r>
      <t xml:space="preserve">YD </t>
    </r>
    <r>
      <rPr>
        <b/>
        <sz val="9"/>
        <color theme="1"/>
        <rFont val="Calibri"/>
        <family val="2"/>
        <scheme val="minor"/>
      </rPr>
      <t>(Included in Totals)</t>
    </r>
  </si>
  <si>
    <t>Totals</t>
  </si>
  <si>
    <t>G/L Rev</t>
  </si>
  <si>
    <t>RO Reg %</t>
  </si>
  <si>
    <t>Non-Reg $</t>
  </si>
  <si>
    <t>Tip Fee 1/1-12/31/21</t>
  </si>
  <si>
    <t>Yakima Waste Systems, Inc G-89</t>
  </si>
  <si>
    <t>2021-03</t>
  </si>
  <si>
    <t>Unbilled Trade A/R</t>
  </si>
  <si>
    <t>US Bank Depository Account</t>
  </si>
  <si>
    <t>Transfer/Reclass Heavy Equipment</t>
  </si>
  <si>
    <t>Trade A/R</t>
  </si>
  <si>
    <t>2021-04</t>
  </si>
  <si>
    <t>JRNLWA00426507</t>
  </si>
  <si>
    <t>2021-03 WRO B&amp;O Tax Accrual</t>
  </si>
  <si>
    <t>JRNL01011432</t>
  </si>
  <si>
    <t>JRNL01011475</t>
  </si>
  <si>
    <t>JRNLWA00427678</t>
  </si>
  <si>
    <t>2021-04 WRO B&amp;O Tax Reclass</t>
  </si>
  <si>
    <t>JRNL01014254</t>
  </si>
  <si>
    <t>JRNLWA00427997</t>
  </si>
  <si>
    <t>TAX1-Accr. B&amp;O Tax</t>
  </si>
  <si>
    <t>JRNL01014858</t>
  </si>
  <si>
    <t>JRNLWA00428053</t>
  </si>
  <si>
    <t>MISC2-BS Recons and PL Reclass</t>
  </si>
  <si>
    <t>B&amp;O True Up</t>
  </si>
  <si>
    <t>JRNL01014934</t>
  </si>
  <si>
    <t>Refuse True Up</t>
  </si>
  <si>
    <t>JRNLWA00428224</t>
  </si>
  <si>
    <t>MISC3-Exp Reclass</t>
  </si>
  <si>
    <t>Sales Tax True Up</t>
  </si>
  <si>
    <t>JRNL01015438</t>
  </si>
  <si>
    <t>B&amp;O Tax True Up</t>
  </si>
  <si>
    <t>Utility Tax True Up</t>
  </si>
  <si>
    <t>JRNLWA00428309</t>
  </si>
  <si>
    <t>2021-04 WRO B&amp;O Tax Accrual</t>
  </si>
  <si>
    <t>JRNL01015532</t>
  </si>
  <si>
    <t>JRNLWA00428311</t>
  </si>
  <si>
    <t>JRNL01015535</t>
  </si>
  <si>
    <t>JRNLWA00429192</t>
  </si>
  <si>
    <t>2021-05 WRO B&amp;O Tax Reclass</t>
  </si>
  <si>
    <t>JRNL01017641</t>
  </si>
  <si>
    <t>JRNLWA00429201</t>
  </si>
  <si>
    <t>JRNL01017660</t>
  </si>
  <si>
    <t>JRNLWA00429584</t>
  </si>
  <si>
    <t>Tax True up</t>
  </si>
  <si>
    <t>JRNL01018289</t>
  </si>
  <si>
    <t>Refuse Tax True Up</t>
  </si>
  <si>
    <t>JRNLWA00429860</t>
  </si>
  <si>
    <t>2021-05 WRO B&amp;O Tax Accrual</t>
  </si>
  <si>
    <t>JRNL01018960</t>
  </si>
  <si>
    <t>JRNLWA00429882</t>
  </si>
  <si>
    <t>JRNL01019026</t>
  </si>
  <si>
    <t>JRNLWA00430357</t>
  </si>
  <si>
    <t>2021-06 WRO B&amp;O Tax Reclass</t>
  </si>
  <si>
    <t>JRNL01020501</t>
  </si>
  <si>
    <t>JRNLWA00431292</t>
  </si>
  <si>
    <t>JRNL01022248</t>
  </si>
  <si>
    <t>JRNLWA00431439</t>
  </si>
  <si>
    <t>2021-06 WRO B&amp;O Tax Accrual</t>
  </si>
  <si>
    <t>JRNL01022767</t>
  </si>
  <si>
    <t>JRNLWA00431448</t>
  </si>
  <si>
    <t>JRNL01022789</t>
  </si>
  <si>
    <t>JRNLWA00431452</t>
  </si>
  <si>
    <t>JRNL01022782</t>
  </si>
  <si>
    <t>JRNLWA00432812</t>
  </si>
  <si>
    <t>2021-07 WRO B&amp;O Tax Reclass</t>
  </si>
  <si>
    <t>pabbott</t>
  </si>
  <si>
    <t>JRNL01025967</t>
  </si>
  <si>
    <t>JRNLWA00432933</t>
  </si>
  <si>
    <t>2021-07 WRO B&amp;O Tax Accrual</t>
  </si>
  <si>
    <t>JRNL01026207</t>
  </si>
  <si>
    <t>JRNLWA00432975</t>
  </si>
  <si>
    <t>JRNL01026271</t>
  </si>
  <si>
    <t>JRNLWA00432986</t>
  </si>
  <si>
    <t>JRNL01026280</t>
  </si>
  <si>
    <t>JRNLWA00433997</t>
  </si>
  <si>
    <t>JRNL01028560</t>
  </si>
  <si>
    <t>JRNLWA00434063</t>
  </si>
  <si>
    <t>2021-08 WRO B&amp;O Tax Reclass</t>
  </si>
  <si>
    <t>JRNL01028866</t>
  </si>
  <si>
    <t>JRNLWA00434544</t>
  </si>
  <si>
    <t>2021-08 WRO B&amp;O Tax Accrual</t>
  </si>
  <si>
    <t>JRNL01029722</t>
  </si>
  <si>
    <t>JRNLWA00434654</t>
  </si>
  <si>
    <t>Sales &amp; Use Tax True Up</t>
  </si>
  <si>
    <t>JRNL01029927</t>
  </si>
  <si>
    <t>Unearned Rev true up</t>
  </si>
  <si>
    <t>JRNLWA00434595</t>
  </si>
  <si>
    <t>JRNL01029775</t>
  </si>
  <si>
    <t>JRNLWA00435674</t>
  </si>
  <si>
    <t>JRNL01032503</t>
  </si>
  <si>
    <t>JRNLWA00435689</t>
  </si>
  <si>
    <t>2021-09 WRO B&amp;O Tax Reclass</t>
  </si>
  <si>
    <t>JRNL01032603</t>
  </si>
  <si>
    <t>JRNLWA00435702</t>
  </si>
  <si>
    <t>SKACKO</t>
  </si>
  <si>
    <t>JRNL01032649</t>
  </si>
  <si>
    <t>JRNLWA00436299</t>
  </si>
  <si>
    <t>2021-09 WRO B&amp;O Tax Accrual</t>
  </si>
  <si>
    <t>JRNL01033712</t>
  </si>
  <si>
    <t>JRNLWA00436309</t>
  </si>
  <si>
    <t>JRNL01033714</t>
  </si>
  <si>
    <t>JRNLWA00437687</t>
  </si>
  <si>
    <t>JRNL01036790</t>
  </si>
  <si>
    <t>JRNLWA00437688</t>
  </si>
  <si>
    <t>Refuse tax true up</t>
  </si>
  <si>
    <t>JRNL01036791</t>
  </si>
  <si>
    <t>B&amp;O tax true up</t>
  </si>
  <si>
    <t>Accrued Sales &amp; Use Tax True Up</t>
  </si>
  <si>
    <t>True up pass thru taxes</t>
  </si>
  <si>
    <t>JRNLWA00437776</t>
  </si>
  <si>
    <t>2021-10 WRO B&amp;O Tax Reclass</t>
  </si>
  <si>
    <t>JRNL01037262</t>
  </si>
  <si>
    <t>JRNLWA00437995</t>
  </si>
  <si>
    <t>2021-10 WRO B&amp;O Tax Accrual</t>
  </si>
  <si>
    <t>JRNL01037531</t>
  </si>
  <si>
    <t>JRNLWA00437996</t>
  </si>
  <si>
    <t>JRNL01037557</t>
  </si>
  <si>
    <t>JRNLWA00438838</t>
  </si>
  <si>
    <t>MISC1-Cash Account Reclasses</t>
  </si>
  <si>
    <t>True up CC fees</t>
  </si>
  <si>
    <t>JRNL01039745</t>
  </si>
  <si>
    <t>True up RET checks</t>
  </si>
  <si>
    <t>JRNLWA00438911</t>
  </si>
  <si>
    <t>JRNL01039894</t>
  </si>
  <si>
    <t>JRNLWA00439028</t>
  </si>
  <si>
    <t>2021-11 WRO B&amp;O Tax Reclass</t>
  </si>
  <si>
    <t>JRNL01040432</t>
  </si>
  <si>
    <t>JRNLWA00439536</t>
  </si>
  <si>
    <t>2021-11 WRO B&amp;O Tax Accrual</t>
  </si>
  <si>
    <t>JRNL01041311</t>
  </si>
  <si>
    <t>JRNLWA00439537</t>
  </si>
  <si>
    <t>MISC4-BS Recons and PL Reclass</t>
  </si>
  <si>
    <t>JRNL01041313</t>
  </si>
  <si>
    <t>JRNLWA00439554</t>
  </si>
  <si>
    <t>JRNL01041318</t>
  </si>
  <si>
    <t>JRNLWA00440113</t>
  </si>
  <si>
    <t>2021-12 WRO B&amp;O Tax Reclass</t>
  </si>
  <si>
    <t>JRNL01043140</t>
  </si>
  <si>
    <t>JRNLWA00441134</t>
  </si>
  <si>
    <t>JRNL01045077</t>
  </si>
  <si>
    <t>JRNLWA00441180</t>
  </si>
  <si>
    <t>JRNL01045222</t>
  </si>
  <si>
    <t>JRNLWA00441352</t>
  </si>
  <si>
    <t>2021-12 WRO B&amp;O Tax Accrual</t>
  </si>
  <si>
    <t>JRNL01045553</t>
  </si>
  <si>
    <t>JRNLWA00441401</t>
  </si>
  <si>
    <t>JRNL01045628</t>
  </si>
  <si>
    <t>JRNLWA00442482</t>
  </si>
  <si>
    <t>JRNL01048271</t>
  </si>
  <si>
    <t>JRNLWA00442494</t>
  </si>
  <si>
    <t>2022-01 WRO B&amp;O Tax Reclass</t>
  </si>
  <si>
    <t>DERDMAN</t>
  </si>
  <si>
    <t>JRNL01048337</t>
  </si>
  <si>
    <t>JRNLWA00442549</t>
  </si>
  <si>
    <t>JRNL01048537</t>
  </si>
  <si>
    <t>JRNLWA00442754</t>
  </si>
  <si>
    <t>MISC7- Reclass Acct 43001 into</t>
  </si>
  <si>
    <t>Reclass Acct 43001 into 41201</t>
  </si>
  <si>
    <t>JRNL01048730</t>
  </si>
  <si>
    <t>JRNLWA00443205</t>
  </si>
  <si>
    <t>2022-01 WRO B&amp;O Tax Accrual</t>
  </si>
  <si>
    <t>JRNL01049646</t>
  </si>
  <si>
    <t>JRNLWA00443261</t>
  </si>
  <si>
    <t>Reclass unused accounts</t>
  </si>
  <si>
    <t>Reclass to 41201</t>
  </si>
  <si>
    <t>JRNL01049731</t>
  </si>
  <si>
    <t>JRNLWA00443257</t>
  </si>
  <si>
    <t>JRNL01049700</t>
  </si>
  <si>
    <t>JRNLWA00444404</t>
  </si>
  <si>
    <t>JRNL01052425</t>
  </si>
  <si>
    <t>Utility Tax</t>
  </si>
  <si>
    <t>U</t>
  </si>
  <si>
    <t>Passthrough Tax True Up</t>
  </si>
  <si>
    <t>2022-03 WRO B&amp;O Tax Accrual</t>
  </si>
  <si>
    <t>2022-02 WRO B&amp;O Tax Accrual</t>
  </si>
  <si>
    <t>PO 00088: CONFEDERATED TRIBES &amp; BANDS OF</t>
  </si>
  <si>
    <t>Reclass from 43001</t>
  </si>
  <si>
    <t>Monthly reimbursement</t>
  </si>
  <si>
    <t>PO 00267: CONFEDERATED TRIBES &amp; BANDS OF</t>
  </si>
  <si>
    <t>CONFEDERATED TRIBES &amp; BANDS OF</t>
  </si>
  <si>
    <t>JRNL01057529</t>
  </si>
  <si>
    <t>OPEX8 - AP ACCRUAL</t>
  </si>
  <si>
    <t>JRNLWA00446558</t>
  </si>
  <si>
    <t>41201-2195-000-00</t>
  </si>
  <si>
    <t>JRNL01057398</t>
  </si>
  <si>
    <t>JRNLWA00446498</t>
  </si>
  <si>
    <t>JRNL01057347</t>
  </si>
  <si>
    <t>JRNLWA00446469</t>
  </si>
  <si>
    <t>41201-2195-000-99</t>
  </si>
  <si>
    <t>JRNL01056806</t>
  </si>
  <si>
    <t>JRNLWA00446290</t>
  </si>
  <si>
    <t>JRNL01055772</t>
  </si>
  <si>
    <t>2022-03 WRO B&amp;O Tax Reclass</t>
  </si>
  <si>
    <t>JRNLWA00445779</t>
  </si>
  <si>
    <t>JRNL01053059</t>
  </si>
  <si>
    <t>JRNL01053041</t>
  </si>
  <si>
    <t>JRNLWA00444787</t>
  </si>
  <si>
    <t>JRNL01052485</t>
  </si>
  <si>
    <t>JRNL01052423</t>
  </si>
  <si>
    <t>JRNLWA00444571</t>
  </si>
  <si>
    <t>JRNL01053622</t>
  </si>
  <si>
    <t>VO06136862</t>
  </si>
  <si>
    <t>PO-2195-22-00088</t>
  </si>
  <si>
    <t>VUS000015387</t>
  </si>
  <si>
    <t>JRNLWA00445002</t>
  </si>
  <si>
    <t>JRNLWA00444756</t>
  </si>
  <si>
    <t>JRNLWA00444402</t>
  </si>
  <si>
    <t>JRNL01052422</t>
  </si>
  <si>
    <t>JRNLWA00444401</t>
  </si>
  <si>
    <t>JRNL01052419</t>
  </si>
  <si>
    <t>JRNLWA00444398</t>
  </si>
  <si>
    <t>JRNL01052147</t>
  </si>
  <si>
    <t>2022-02 WRO B&amp;O Tax Reclass</t>
  </si>
  <si>
    <t>JRNLWA00444257</t>
  </si>
  <si>
    <t>JRNL01048800</t>
  </si>
  <si>
    <t>JRNL01048729</t>
  </si>
  <si>
    <t>JRNLWA00442900</t>
  </si>
  <si>
    <t>JRNL01050046</t>
  </si>
  <si>
    <t>VO06108423</t>
  </si>
  <si>
    <t>JRNLWA00443372</t>
  </si>
  <si>
    <t>JRNLWA00442753</t>
  </si>
  <si>
    <t>JRNL01045096</t>
  </si>
  <si>
    <t>JRNL01045078</t>
  </si>
  <si>
    <t>JRNLWA00441141</t>
  </si>
  <si>
    <t>JRNL01045943</t>
  </si>
  <si>
    <t>VO06068842</t>
  </si>
  <si>
    <t>PO-2195-21-00267</t>
  </si>
  <si>
    <t>JRNLWA00441564</t>
  </si>
  <si>
    <t>JRNLWA00441135</t>
  </si>
  <si>
    <t>JRNL01041319</t>
  </si>
  <si>
    <t>JRNL01041314</t>
  </si>
  <si>
    <t>JRNLWA00439555</t>
  </si>
  <si>
    <t>JRNL01042424</t>
  </si>
  <si>
    <t>VO06052153</t>
  </si>
  <si>
    <t>JRNLWA00439911</t>
  </si>
  <si>
    <t>JRNLWA00439538</t>
  </si>
  <si>
    <t>JRNL01036872</t>
  </si>
  <si>
    <t>JRNL01036792</t>
  </si>
  <si>
    <t>JRNLWA00437732</t>
  </si>
  <si>
    <t>JRNL01037726</t>
  </si>
  <si>
    <t>VO05992674</t>
  </si>
  <si>
    <t>JRNLWA00438059</t>
  </si>
  <si>
    <t>JRNLWA00437689</t>
  </si>
  <si>
    <t>JRNL01033651</t>
  </si>
  <si>
    <t>JRNL01033611</t>
  </si>
  <si>
    <t>JRNLWA00436286</t>
  </si>
  <si>
    <t>JRNL01034273</t>
  </si>
  <si>
    <t>VO05965552</t>
  </si>
  <si>
    <t>JRNLWA00436504</t>
  </si>
  <si>
    <t>JRNLWA00436209</t>
  </si>
  <si>
    <t>JRNL01029432</t>
  </si>
  <si>
    <t>JRNL01029322</t>
  </si>
  <si>
    <t>JRNLWA00434441</t>
  </si>
  <si>
    <t>JRNL01030240</t>
  </si>
  <si>
    <t>VO05923348</t>
  </si>
  <si>
    <t>JRNLWA00434788</t>
  </si>
  <si>
    <t>JRNLWA00434394</t>
  </si>
  <si>
    <t>JRNL01025724</t>
  </si>
  <si>
    <t>JRNL01025665</t>
  </si>
  <si>
    <t>JRNLWA00432714</t>
  </si>
  <si>
    <t>JRNL01026590</t>
  </si>
  <si>
    <t>VO05885418</t>
  </si>
  <si>
    <t>JRNLWA00433113</t>
  </si>
  <si>
    <t>JRNLWA00432690</t>
  </si>
  <si>
    <t>JRNL01022337</t>
  </si>
  <si>
    <t>JRNL01022245</t>
  </si>
  <si>
    <t>JRNLWA00431312</t>
  </si>
  <si>
    <t>JRNL01023654</t>
  </si>
  <si>
    <t>VO05867504</t>
  </si>
  <si>
    <t>JRNLWA00431739</t>
  </si>
  <si>
    <t>JRNLWA00431289</t>
  </si>
  <si>
    <t>JRNL01018358</t>
  </si>
  <si>
    <t>JRNL01018286</t>
  </si>
  <si>
    <t>JRNLWA00429669</t>
  </si>
  <si>
    <t>JRNL01019175</t>
  </si>
  <si>
    <t>VO05811879</t>
  </si>
  <si>
    <t>JRNLWA00429936</t>
  </si>
  <si>
    <t>JRNLWA00429581</t>
  </si>
  <si>
    <t>JRNL01014973</t>
  </si>
  <si>
    <t>JRNL01014933</t>
  </si>
  <si>
    <t>JRNLWA00428115</t>
  </si>
  <si>
    <t>JRNL01016019</t>
  </si>
  <si>
    <t>VO05791084</t>
  </si>
  <si>
    <t>JRNLWA00428487</t>
  </si>
  <si>
    <t>JRNLWA00428052</t>
  </si>
  <si>
    <t>JRNL01011333</t>
  </si>
  <si>
    <t>JRNL01011131</t>
  </si>
  <si>
    <t>JRNLWA00426458</t>
  </si>
  <si>
    <t>JRNL01012490</t>
  </si>
  <si>
    <t>VO05761629</t>
  </si>
  <si>
    <t>JRNLWA00426909</t>
  </si>
  <si>
    <t>41201</t>
  </si>
  <si>
    <t>2021 Revenue</t>
  </si>
  <si>
    <t>2010 Nov 2020 - Aug 2021</t>
  </si>
  <si>
    <t>2010 Jan 2022</t>
  </si>
  <si>
    <t>2010 Sept 2021</t>
  </si>
  <si>
    <t>Nov 2020-Aug 2021</t>
  </si>
  <si>
    <t>Sept 2021</t>
  </si>
  <si>
    <t>Oct 2021</t>
  </si>
  <si>
    <t>Nov 2021</t>
  </si>
  <si>
    <t>Dec 2021</t>
  </si>
  <si>
    <t>Jan 2022</t>
  </si>
  <si>
    <t>2010 Oct 2021</t>
  </si>
  <si>
    <t>2010 Nov 2021</t>
  </si>
  <si>
    <t>Adjusted Region OH Allocation</t>
  </si>
  <si>
    <t>2010 Dec 2021</t>
  </si>
  <si>
    <t>Adjust Out Unallowable</t>
  </si>
  <si>
    <t>Clark Co. Allocation</t>
  </si>
  <si>
    <t>Variable Qualifying Lease Expense</t>
  </si>
  <si>
    <t>Meals with Customers</t>
  </si>
  <si>
    <t>Deductible Current Year</t>
  </si>
  <si>
    <t>Equipment/Truck Rodeo</t>
  </si>
  <si>
    <t>4,5,6,7,8,9,10,11,12</t>
  </si>
  <si>
    <t>1,2,3</t>
  </si>
  <si>
    <t>2021</t>
  </si>
  <si>
    <t>2022</t>
  </si>
  <si>
    <t>Rolling 12</t>
  </si>
  <si>
    <t>Notes</t>
  </si>
  <si>
    <t>Inter-co elimiation rev</t>
  </si>
  <si>
    <t>BS &amp; IS Pulled from WCN 2021 10-K</t>
  </si>
  <si>
    <t>ST Debt</t>
  </si>
  <si>
    <t>LT Debt</t>
  </si>
  <si>
    <t>Allocate IN to Rate Filing</t>
  </si>
  <si>
    <t>Region OH Adjust:</t>
  </si>
  <si>
    <t>Per Calc</t>
  </si>
  <si>
    <t>Adjust</t>
  </si>
  <si>
    <t>Tractor - Non-Reg</t>
  </si>
  <si>
    <t>RO Box</t>
  </si>
  <si>
    <t>JRNL01056477</t>
  </si>
  <si>
    <t>FAS #90720</t>
  </si>
  <si>
    <t>March  Proceeds</t>
  </si>
  <si>
    <t>JRNLWA00446035</t>
  </si>
  <si>
    <t>FAS #90711</t>
  </si>
  <si>
    <t>FAS #90692 - Forklift Disposal</t>
  </si>
  <si>
    <t>FAS #76473</t>
  </si>
  <si>
    <t>FAS #60617</t>
  </si>
  <si>
    <t>FAS #60611</t>
  </si>
  <si>
    <t>FAS #60610</t>
  </si>
  <si>
    <t>JRNL01052212</t>
  </si>
  <si>
    <t>FAS #183988</t>
  </si>
  <si>
    <t>February  Proceeds</t>
  </si>
  <si>
    <t>JRNLWA00444280</t>
  </si>
  <si>
    <t>JRNL01048331</t>
  </si>
  <si>
    <t>January  Proceeds</t>
  </si>
  <si>
    <t>JRNLWA00442492</t>
  </si>
  <si>
    <t>JRNL01044663</t>
  </si>
  <si>
    <t>December  Proceeds</t>
  </si>
  <si>
    <t>JRNLWA00440855</t>
  </si>
  <si>
    <t>FAS #60619</t>
  </si>
  <si>
    <t>FAS #60612</t>
  </si>
  <si>
    <t>JRNL01036294</t>
  </si>
  <si>
    <t>FAS #60608</t>
  </si>
  <si>
    <t>October  Proceeds</t>
  </si>
  <si>
    <t>JRNLWA00437317</t>
  </si>
  <si>
    <t>JRNL01025505</t>
  </si>
  <si>
    <t>FAS #60613</t>
  </si>
  <si>
    <t>FAS PROCEEDS</t>
  </si>
  <si>
    <t>July Proceeds</t>
  </si>
  <si>
    <t>JRNLWA00432560</t>
  </si>
  <si>
    <t>Description from FAR</t>
  </si>
  <si>
    <t>FAR #</t>
  </si>
  <si>
    <t>Cont Count</t>
  </si>
  <si>
    <t>RO Cont Count</t>
  </si>
  <si>
    <t>2021 Premiums</t>
  </si>
  <si>
    <t>2022 Increase</t>
  </si>
  <si>
    <t>(blank)</t>
  </si>
  <si>
    <t>Naches (non-regulated)</t>
  </si>
  <si>
    <t>Tariff Rates</t>
  </si>
  <si>
    <t>Non-COVID</t>
  </si>
  <si>
    <t xml:space="preserve">Proposed </t>
  </si>
  <si>
    <t xml:space="preserve">Current </t>
  </si>
  <si>
    <t>Current COVID</t>
  </si>
  <si>
    <t>April 1, 2021-March 31, 2022</t>
  </si>
  <si>
    <t>Test Year Ended March 31, 2022</t>
  </si>
  <si>
    <t>RALPH YOUNG</t>
  </si>
  <si>
    <t>PO 02317 - VALLEY FORD NISSAN KIA~JOSH N</t>
  </si>
  <si>
    <t>PO 02153 - DOT AFS VENDOR PAYMENTS~CHRIS</t>
  </si>
  <si>
    <t>PO 01695 - CLASSIC WELDING~JOSH NATHANSO</t>
  </si>
  <si>
    <t>PO 00247 - VALLEY CYCLING AND FIT~CHRIST</t>
  </si>
  <si>
    <t>PO 00145 - METAL PLUS~CHRISTIE HERBST</t>
  </si>
  <si>
    <t>JOHNSON S AUTO GLASS~JOSH NATHANSON</t>
  </si>
  <si>
    <t>IN  WASHINGTON WASTEWATER~CHRISTIE HERBS</t>
  </si>
  <si>
    <t>WC NI claim 55544940582263</t>
  </si>
  <si>
    <t>WC NI claim 1E01E010271029</t>
  </si>
  <si>
    <t>WC NI claim 6D361665499802</t>
  </si>
  <si>
    <t>WC NI claim 6D361663567564</t>
  </si>
  <si>
    <t>WC NI claim 1E01E010711766</t>
  </si>
  <si>
    <t>WC NI claim 1E01E010317878</t>
  </si>
  <si>
    <t>Auto NI claim 55561674267604</t>
  </si>
  <si>
    <t>Auto NI claim 55561673380124</t>
  </si>
  <si>
    <t>JRNL01055201</t>
  </si>
  <si>
    <t>Self Insurance 3.31.22</t>
  </si>
  <si>
    <t>JRNLWA00445481</t>
  </si>
  <si>
    <t>JRNL01051745</t>
  </si>
  <si>
    <t>2022-02 Pcard Activity</t>
  </si>
  <si>
    <t>JRNLWA00444123</t>
  </si>
  <si>
    <t>JRNL01051127</t>
  </si>
  <si>
    <t>Self Insurance 2.28.22</t>
  </si>
  <si>
    <t>JRNLWA00443707</t>
  </si>
  <si>
    <t>JRNL01048280</t>
  </si>
  <si>
    <t>JRNL01048270</t>
  </si>
  <si>
    <t>OPEX7-PCARD Accrual</t>
  </si>
  <si>
    <t>JRNLWA00442485</t>
  </si>
  <si>
    <t>JRNLWA00442481</t>
  </si>
  <si>
    <t>JRNL01047362</t>
  </si>
  <si>
    <t>Self Insurance 1.31.22</t>
  </si>
  <si>
    <t>JRNLWA00441991</t>
  </si>
  <si>
    <t>JRNL01047265</t>
  </si>
  <si>
    <t>2022-01 Pcard Activity</t>
  </si>
  <si>
    <t>JRNLWA00441966</t>
  </si>
  <si>
    <t>JRNL01043149</t>
  </si>
  <si>
    <t>Self Insurance Dec 31st</t>
  </si>
  <si>
    <t>JRNLWA00440116</t>
  </si>
  <si>
    <t>JRNL01042447</t>
  </si>
  <si>
    <t>VO06053021</t>
  </si>
  <si>
    <t>PO-2195-21-02685</t>
  </si>
  <si>
    <t>Damage Claim Leo Nunez 9/20/2021</t>
  </si>
  <si>
    <t>JRNLWA00439917</t>
  </si>
  <si>
    <t>JRNL01039545</t>
  </si>
  <si>
    <t>2021-11 Pcard Activity</t>
  </si>
  <si>
    <t>JRNLWA00438610</t>
  </si>
  <si>
    <t>JRNL01039277</t>
  </si>
  <si>
    <t>Self Insurance Nov 30th</t>
  </si>
  <si>
    <t>JRNLWA00438445</t>
  </si>
  <si>
    <t>JRNL01036871</t>
  </si>
  <si>
    <t>JRNL01036789</t>
  </si>
  <si>
    <t>JRNLWA00437731</t>
  </si>
  <si>
    <t>JRNLWA00437686</t>
  </si>
  <si>
    <t>JRNL01035582</t>
  </si>
  <si>
    <t>2021-10 Pcard Activity</t>
  </si>
  <si>
    <t>JRNLWA00437069</t>
  </si>
  <si>
    <t>JRNL01035348</t>
  </si>
  <si>
    <t>Self Insurance Oct 29th</t>
  </si>
  <si>
    <t>JRNLWA00436828</t>
  </si>
  <si>
    <t>JRNL01032487</t>
  </si>
  <si>
    <t>JRNL01032477</t>
  </si>
  <si>
    <t>JRNLWA00435675</t>
  </si>
  <si>
    <t>JRNLWA00435661</t>
  </si>
  <si>
    <t>JRNL01031417</t>
  </si>
  <si>
    <t>Sept 30th Self Insurance</t>
  </si>
  <si>
    <t>JRNLWA00435099</t>
  </si>
  <si>
    <t>JRNL01027762</t>
  </si>
  <si>
    <t>August 31st Self Insurance</t>
  </si>
  <si>
    <t>JRNLWA00433481</t>
  </si>
  <si>
    <t>JRNL01027716</t>
  </si>
  <si>
    <t>2021-08 Pcard Activity</t>
  </si>
  <si>
    <t>JRNLWA00433477</t>
  </si>
  <si>
    <t>JRNL01024130</t>
  </si>
  <si>
    <t>July 30th Self Insurance</t>
  </si>
  <si>
    <t>JRNLWA00431921</t>
  </si>
  <si>
    <t>JRNL01021063</t>
  </si>
  <si>
    <t>June 30th Self Insurance Entry</t>
  </si>
  <si>
    <t>JRNLWA00430636</t>
  </si>
  <si>
    <t>JRNL01020473</t>
  </si>
  <si>
    <t>2021-06 Pcard Activity</t>
  </si>
  <si>
    <t>JRNLWA00430349</t>
  </si>
  <si>
    <t>JRNL01016865</t>
  </si>
  <si>
    <t>May 31st Self Insurance Entry</t>
  </si>
  <si>
    <t>JRNLWA00428757</t>
  </si>
  <si>
    <t>JRNL01016793</t>
  </si>
  <si>
    <t>2021-05 Pcard Activity</t>
  </si>
  <si>
    <t>JRNLWA00428740</t>
  </si>
  <si>
    <t>JRNL01013502</t>
  </si>
  <si>
    <t>April 30th Self Insurance Entr</t>
  </si>
  <si>
    <t>JRNLWA00427260</t>
  </si>
  <si>
    <t>JRNL01012544</t>
  </si>
  <si>
    <t>VO05763436</t>
  </si>
  <si>
    <t>PO-2195-21-00750</t>
  </si>
  <si>
    <t>Damage-Moore</t>
  </si>
  <si>
    <t>Damage - Josh Moore 3/15/21</t>
  </si>
  <si>
    <t>VUS000041111</t>
  </si>
  <si>
    <t>JRNLWA00426930</t>
  </si>
  <si>
    <t>2017-04</t>
  </si>
  <si>
    <t>JRNLWA00422303</t>
  </si>
  <si>
    <t>January 29th Self Insurance En</t>
  </si>
  <si>
    <t>JRNL01002653</t>
  </si>
  <si>
    <t>JRNLWA00423878</t>
  </si>
  <si>
    <t>February 26th Self Insurance E</t>
  </si>
  <si>
    <t>JRNL01006068</t>
  </si>
  <si>
    <t>JRNLWA00425565</t>
  </si>
  <si>
    <t>March 31st Self Insurance</t>
  </si>
  <si>
    <t>JRNL01009681</t>
  </si>
  <si>
    <t>a</t>
  </si>
  <si>
    <t>PO 01046 - ASSOC OF WA BUSINESS 02~MARLE</t>
  </si>
  <si>
    <t>PO 02684 - CO YAKIMA I PERMITS LICEN~CHR</t>
  </si>
  <si>
    <t>YAKAMA NATION GAMING COMMISSION</t>
  </si>
  <si>
    <t>2022 vendor license</t>
  </si>
  <si>
    <t>PO 01869 - IN  YAKIMA VALLEY VISITOR~CHR</t>
  </si>
  <si>
    <t>SELAH CHAMBER OF COMMERCE</t>
  </si>
  <si>
    <t>June 2021 WRRA Regular Dues - Invoice De</t>
  </si>
  <si>
    <t>Chamber membership dues 2021-2022</t>
  </si>
  <si>
    <t>PO 01869: Yakima Valley Tourism: PCard:</t>
  </si>
  <si>
    <t>PO 01776 - SQ  LAW PUBLICATIONS~CHRISTIE</t>
  </si>
  <si>
    <t>FMCSA D&amp;A CLEARINGHOUSE~MICHELLE KENNEY</t>
  </si>
  <si>
    <t>JRNL01055092</t>
  </si>
  <si>
    <t>2022-03 Pcard Activity</t>
  </si>
  <si>
    <t>JRNLWA00445425</t>
  </si>
  <si>
    <t>JRNL01051351</t>
  </si>
  <si>
    <t>VO06130182</t>
  </si>
  <si>
    <t>PO-2000-22-00872</t>
  </si>
  <si>
    <t>WRRA Monthly Dues</t>
  </si>
  <si>
    <t>JRNLWA00443801</t>
  </si>
  <si>
    <t>JRNL01047466</t>
  </si>
  <si>
    <t>VO06096905</t>
  </si>
  <si>
    <t>PO-2000-22-00340</t>
  </si>
  <si>
    <t>WRRA Feb Regular Dues</t>
  </si>
  <si>
    <t>JRNLWA00442032</t>
  </si>
  <si>
    <t>JRNL01044671</t>
  </si>
  <si>
    <t>JRNL01044600</t>
  </si>
  <si>
    <t>2021-12 PO Log Accrual - Distr</t>
  </si>
  <si>
    <t>JRNLWA00440925</t>
  </si>
  <si>
    <t>JRNL01045982</t>
  </si>
  <si>
    <t>VO06069900</t>
  </si>
  <si>
    <t>PO-2000-22-00109</t>
  </si>
  <si>
    <t>WRRA Jan 2022 Regular Dues</t>
  </si>
  <si>
    <t>JRNLWA00441579</t>
  </si>
  <si>
    <t>JRNL01045886</t>
  </si>
  <si>
    <t>VO06067403</t>
  </si>
  <si>
    <t>PO-2000-22-00017</t>
  </si>
  <si>
    <t>JRNLWA00441530</t>
  </si>
  <si>
    <t>JRNLWA00440807</t>
  </si>
  <si>
    <t>JRNL01043028</t>
  </si>
  <si>
    <t>2021-12 Pcard Activity</t>
  </si>
  <si>
    <t>JRNLWA00440079</t>
  </si>
  <si>
    <t>JRNL01041736</t>
  </si>
  <si>
    <t>VO06031788</t>
  </si>
  <si>
    <t>PO-2195-21-02683</t>
  </si>
  <si>
    <t>2022 business license</t>
  </si>
  <si>
    <t>JRNLWA00439724</t>
  </si>
  <si>
    <t>JRNL01040739</t>
  </si>
  <si>
    <t>VO06023651</t>
  </si>
  <si>
    <t>PO-2000-21-03072</t>
  </si>
  <si>
    <t>WRRA Dec 2021 Regular Dues</t>
  </si>
  <si>
    <t>JRNLWA00439223</t>
  </si>
  <si>
    <t>JRNL01035841</t>
  </si>
  <si>
    <t>VO05984169</t>
  </si>
  <si>
    <t>PO-2195-21-02368</t>
  </si>
  <si>
    <t>VUS000015436</t>
  </si>
  <si>
    <t>JRNLWA00437150</t>
  </si>
  <si>
    <t>JRNL01031614</t>
  </si>
  <si>
    <t>VO05947972</t>
  </si>
  <si>
    <t>PO-2000-21-02187</t>
  </si>
  <si>
    <t>WRRA Regular Dues 10/2021</t>
  </si>
  <si>
    <t>JRNLWA00435171</t>
  </si>
  <si>
    <t>JRNL01031370</t>
  </si>
  <si>
    <t>2021-09 Pcard Activity</t>
  </si>
  <si>
    <t>JRNLWA00435093</t>
  </si>
  <si>
    <t>JRNL01029769</t>
  </si>
  <si>
    <t>JRNL01029711</t>
  </si>
  <si>
    <t>2021-08 PO Log Accrual - Distr</t>
  </si>
  <si>
    <t>JRNLWA00434592</t>
  </si>
  <si>
    <t>JRNL01030250</t>
  </si>
  <si>
    <t>VO05923558</t>
  </si>
  <si>
    <t>PO-2000-21-01881</t>
  </si>
  <si>
    <t>WRRA Reg Dues 09/2021</t>
  </si>
  <si>
    <t>JRNLWA00434789</t>
  </si>
  <si>
    <t>VO05923553</t>
  </si>
  <si>
    <t>PO-2000-21-01676</t>
  </si>
  <si>
    <t>VO05923549</t>
  </si>
  <si>
    <t>PO-2000-21-01616</t>
  </si>
  <si>
    <t>VO05923360</t>
  </si>
  <si>
    <t>PO-2195-21-01958</t>
  </si>
  <si>
    <t>JRNL01030239</t>
  </si>
  <si>
    <t>VO05923193</t>
  </si>
  <si>
    <t>PO-2195-21-01870</t>
  </si>
  <si>
    <t>2021-2022</t>
  </si>
  <si>
    <t>VUS000015416</t>
  </si>
  <si>
    <t>JRNLWA00434787</t>
  </si>
  <si>
    <t>JRNLWA00434537</t>
  </si>
  <si>
    <t>JRNL01024132</t>
  </si>
  <si>
    <t>July Pcard Actuals</t>
  </si>
  <si>
    <t>JRNLWA00431922</t>
  </si>
  <si>
    <t>JRNL01021211</t>
  </si>
  <si>
    <t>JRNL01021184</t>
  </si>
  <si>
    <t>June Pcard Accrual</t>
  </si>
  <si>
    <t>JRNLWA00430793</t>
  </si>
  <si>
    <t>JRNL01023316</t>
  </si>
  <si>
    <t>VO05856400</t>
  </si>
  <si>
    <t>PO-2000-21-01367</t>
  </si>
  <si>
    <t>WRRA July 2021 Regular Dues</t>
  </si>
  <si>
    <t>JRNLWA00431652</t>
  </si>
  <si>
    <t>JRNLWA00430725</t>
  </si>
  <si>
    <t>JRNL01016123</t>
  </si>
  <si>
    <t>VO05794765</t>
  </si>
  <si>
    <t>PO-2000-21-00776</t>
  </si>
  <si>
    <t>WRRA May Regular Dues</t>
  </si>
  <si>
    <t>JRNLWA00428519</t>
  </si>
  <si>
    <t>JRNL01012526</t>
  </si>
  <si>
    <t>VO05763103</t>
  </si>
  <si>
    <t>PO-2000-21-00562</t>
  </si>
  <si>
    <t>WRRA April Regular Dues</t>
  </si>
  <si>
    <t>JRNLWA00426925</t>
  </si>
  <si>
    <t>OPTIMUM MARCH 102151</t>
  </si>
  <si>
    <t>2022 CONSULTANT FEE</t>
  </si>
  <si>
    <t>PO 00267 - ROBERTSHARP~CHRISTIE HERBST</t>
  </si>
  <si>
    <t>PO 00266 - ROBERTSHARP~CHRISTIE HERBST</t>
  </si>
  <si>
    <t>OPTIMUM FEB 102144</t>
  </si>
  <si>
    <t>PO 00267: RSA: PCard: Website updates (2</t>
  </si>
  <si>
    <t>PO 00266: RSA: PCard: 2022 Annual websit</t>
  </si>
  <si>
    <t>PO 00157: SCOTT A CAVE: CHECK: 2022 CONS</t>
  </si>
  <si>
    <t>OPTIMUM JAN 102140</t>
  </si>
  <si>
    <t>OPTIMUM DECEMBER 102133</t>
  </si>
  <si>
    <t>OPTIMUM NOVEMBER 102126</t>
  </si>
  <si>
    <t>TERRACE HEIGHTS SEWER DISTRICT</t>
  </si>
  <si>
    <t>OPTIMUM OCTOBER 102118</t>
  </si>
  <si>
    <t>PO 02158 - ROBERT~CHRISTIE HERBST</t>
  </si>
  <si>
    <t>OPTIMUM AUGUST 102112</t>
  </si>
  <si>
    <t>RECOLLECT SYSTEMS INC</t>
  </si>
  <si>
    <t>Renewal for app</t>
  </si>
  <si>
    <t>OPTIMUM AUGUST 102104</t>
  </si>
  <si>
    <t>OPTIMUM JULY 102101</t>
  </si>
  <si>
    <t>OPTIMUM JUNE 102095</t>
  </si>
  <si>
    <t>Weinman Consulting Reclass</t>
  </si>
  <si>
    <t>OPTIMUM JUNE ACCRUAL</t>
  </si>
  <si>
    <t>OPTIMUM MAY 102089</t>
  </si>
  <si>
    <t>PO 00190: SCOTT A CAVE: CHECK: 2021 CONS</t>
  </si>
  <si>
    <t>Reclass Lobbying to Oth Prof Fees for We</t>
  </si>
  <si>
    <t>Recollect Amortization</t>
  </si>
  <si>
    <t>Reclass WA Lobbying</t>
  </si>
  <si>
    <t>2021 CONSULTANT FEE</t>
  </si>
  <si>
    <t>BERKELEY RESEARCH GROUP LLC</t>
  </si>
  <si>
    <t>SCOTT A CAVE</t>
  </si>
  <si>
    <t>JRNL01057560</t>
  </si>
  <si>
    <t>2022-03 TacH PO Log Accr</t>
  </si>
  <si>
    <t>JRNLWA00446583</t>
  </si>
  <si>
    <t>70255-2195-000-00</t>
  </si>
  <si>
    <t>JRNL01055117</t>
  </si>
  <si>
    <t>OPTIMUM MAR 102151</t>
  </si>
  <si>
    <t>JRNLWA00445433</t>
  </si>
  <si>
    <t>JRNL01053095</t>
  </si>
  <si>
    <t>JRNL01053064</t>
  </si>
  <si>
    <t>2022-02 TacH PO Log Accr</t>
  </si>
  <si>
    <t>JRNLWA00444798</t>
  </si>
  <si>
    <t>JRNL01051350</t>
  </si>
  <si>
    <t>VO06130082</t>
  </si>
  <si>
    <t>PO-2111-22-00157</t>
  </si>
  <si>
    <t>VUS000033499</t>
  </si>
  <si>
    <t>JRNLWA00443800</t>
  </si>
  <si>
    <t>JRNLWA00444773</t>
  </si>
  <si>
    <t>JRNL01050690</t>
  </si>
  <si>
    <t>JRNLWA00443588</t>
  </si>
  <si>
    <t>JRNL01048715</t>
  </si>
  <si>
    <t>JRNL01048667</t>
  </si>
  <si>
    <t>2022-01 TacH PO Log Accr</t>
  </si>
  <si>
    <t>JRNLWA00442780</t>
  </si>
  <si>
    <t>JRNL01050086</t>
  </si>
  <si>
    <t>VO06110111</t>
  </si>
  <si>
    <t>JRNLWA00443387</t>
  </si>
  <si>
    <t>JRNLWA00442682</t>
  </si>
  <si>
    <t>JRNL01047038</t>
  </si>
  <si>
    <t>JRNLWA00441921</t>
  </si>
  <si>
    <t>JRNL01044685</t>
  </si>
  <si>
    <t>JRNL01044632</t>
  </si>
  <si>
    <t>2021-12 TacH PO Log Accr</t>
  </si>
  <si>
    <t>JRNLWA00440938</t>
  </si>
  <si>
    <t>JRNL01043181</t>
  </si>
  <si>
    <t>VO06060864</t>
  </si>
  <si>
    <t>PO-2111-21-00190</t>
  </si>
  <si>
    <t>JRNLWA00440109</t>
  </si>
  <si>
    <t>JRNLWA00440837</t>
  </si>
  <si>
    <t>JRNL01043552</t>
  </si>
  <si>
    <t>OPTIMUM DEC 102133</t>
  </si>
  <si>
    <t>JRNLWA00440414</t>
  </si>
  <si>
    <t>JRNL01040744</t>
  </si>
  <si>
    <t>JRNL01040562</t>
  </si>
  <si>
    <t>2021-11 TacH PO Log Accr</t>
  </si>
  <si>
    <t>JRNLWA00439350</t>
  </si>
  <si>
    <t>JRNL01042141</t>
  </si>
  <si>
    <t>VO06042456</t>
  </si>
  <si>
    <t>JRNLWA00439819</t>
  </si>
  <si>
    <t>JRNLWA00439234</t>
  </si>
  <si>
    <t>JRNL01039103</t>
  </si>
  <si>
    <t>OPTIMUM NOV 102126</t>
  </si>
  <si>
    <t>JRNLWA00438393</t>
  </si>
  <si>
    <t>JRNL01036725</t>
  </si>
  <si>
    <t>JRNL01036717</t>
  </si>
  <si>
    <t>2021-10 TacH PO Log Accr</t>
  </si>
  <si>
    <t>JRNLWA00437632</t>
  </si>
  <si>
    <t>JRNL01038461</t>
  </si>
  <si>
    <t>VO06010813</t>
  </si>
  <si>
    <t>PO-2195-21-02517</t>
  </si>
  <si>
    <t>Waste Water Testing</t>
  </si>
  <si>
    <t>VUS000015423</t>
  </si>
  <si>
    <t>JRNLWA00438251</t>
  </si>
  <si>
    <t>JRNL01038187</t>
  </si>
  <si>
    <t>VO06003166</t>
  </si>
  <si>
    <t>JRNLWA00438168</t>
  </si>
  <si>
    <t>JRNLWA00437565</t>
  </si>
  <si>
    <t>JRNL01036351</t>
  </si>
  <si>
    <t>OPTIMUM OCT 102118</t>
  </si>
  <si>
    <t>JRNLWA00437336</t>
  </si>
  <si>
    <t>JRNL01032219</t>
  </si>
  <si>
    <t>OPTIMUM AUG 102112</t>
  </si>
  <si>
    <t>JRNLWA00435625</t>
  </si>
  <si>
    <t>JRNL01031480</t>
  </si>
  <si>
    <t>VO05947595</t>
  </si>
  <si>
    <t>980749 09-21</t>
  </si>
  <si>
    <t>JRNLWA00435105</t>
  </si>
  <si>
    <t>JRNL01029350</t>
  </si>
  <si>
    <t>JRNL01029299</t>
  </si>
  <si>
    <t>2021-08 TacH PO Log Accr</t>
  </si>
  <si>
    <t>JRNLWA00434433</t>
  </si>
  <si>
    <t>JRNL01030526</t>
  </si>
  <si>
    <t>VO05931761</t>
  </si>
  <si>
    <t>980746 08-21</t>
  </si>
  <si>
    <t>JRNLWA00434874</t>
  </si>
  <si>
    <t>VO05923186</t>
  </si>
  <si>
    <t>PO-2195-21-01875</t>
  </si>
  <si>
    <t>VUS000014261</t>
  </si>
  <si>
    <t>JRNLWA00434317</t>
  </si>
  <si>
    <t>JRNL01028487</t>
  </si>
  <si>
    <t>OPTIMUM AUG 102104</t>
  </si>
  <si>
    <t>JRNLWA00433958</t>
  </si>
  <si>
    <t>JRNL01025713</t>
  </si>
  <si>
    <t>JRNL01025631</t>
  </si>
  <si>
    <t>2021-07 TacH PO Log Accr</t>
  </si>
  <si>
    <t>JRNLWA00432709</t>
  </si>
  <si>
    <t>VO05885383</t>
  </si>
  <si>
    <t>980744 07-21</t>
  </si>
  <si>
    <t>JRNLWA00432667</t>
  </si>
  <si>
    <t>JRNL01025614</t>
  </si>
  <si>
    <t>OPEX6-Prepaids' Amort</t>
  </si>
  <si>
    <t>JRNLWA00432650</t>
  </si>
  <si>
    <t>JRNL01025119</t>
  </si>
  <si>
    <t>JRNLWA00432431</t>
  </si>
  <si>
    <t>JRNL01025112</t>
  </si>
  <si>
    <t>JRNLWA00432425</t>
  </si>
  <si>
    <t>JRNL01022197</t>
  </si>
  <si>
    <t>JRNL01022161</t>
  </si>
  <si>
    <t>2021-06 TacH PO Log Accr</t>
  </si>
  <si>
    <t>JRNLWA00431301</t>
  </si>
  <si>
    <t>JRNL01021796</t>
  </si>
  <si>
    <t>JRNL01021773</t>
  </si>
  <si>
    <t>OPTIMUM JUNE ACC</t>
  </si>
  <si>
    <t>JRNLWA00430921</t>
  </si>
  <si>
    <t>JRNL01023110</t>
  </si>
  <si>
    <t>VO05850338</t>
  </si>
  <si>
    <t>JRNLWA00431581</t>
  </si>
  <si>
    <t>JRNL01022250</t>
  </si>
  <si>
    <t>JRNLWA00431294</t>
  </si>
  <si>
    <t>JRNLWA00431223</t>
  </si>
  <si>
    <t>JRNLWA00430907</t>
  </si>
  <si>
    <t>JRNL01021771</t>
  </si>
  <si>
    <t>JRNLWA00430905</t>
  </si>
  <si>
    <t>JRNL01018374</t>
  </si>
  <si>
    <t>JRNL01018322</t>
  </si>
  <si>
    <t>2021-05 TacH PO Log Accr</t>
  </si>
  <si>
    <t>JRNLWA00429682</t>
  </si>
  <si>
    <t>JRNL01019515</t>
  </si>
  <si>
    <t>VO05818458</t>
  </si>
  <si>
    <t>JRNLWA00430004</t>
  </si>
  <si>
    <t>VO05818457</t>
  </si>
  <si>
    <t>JRNLWA00429613</t>
  </si>
  <si>
    <t>JRNL01018291</t>
  </si>
  <si>
    <t>JRNLWA00429586</t>
  </si>
  <si>
    <t>JRNL01015487</t>
  </si>
  <si>
    <t>JRNL01015450</t>
  </si>
  <si>
    <t>2021-04 TacH PO Log Accr</t>
  </si>
  <si>
    <t>JRNLWA00428276</t>
  </si>
  <si>
    <t>JRNLWA00428235</t>
  </si>
  <si>
    <t>JRNL01014859</t>
  </si>
  <si>
    <t>JRNLWA00427998</t>
  </si>
  <si>
    <t>JRNL01011588</t>
  </si>
  <si>
    <t>JRNL01011553</t>
  </si>
  <si>
    <t>JRNLWA00426594</t>
  </si>
  <si>
    <t>JRNL01011350</t>
  </si>
  <si>
    <t>JRNL01011165</t>
  </si>
  <si>
    <t>2021-03 TacH PO Log Accr</t>
  </si>
  <si>
    <t>JRNLWA00426463</t>
  </si>
  <si>
    <t>JRNL01012823</t>
  </si>
  <si>
    <t>VO05770027</t>
  </si>
  <si>
    <t>PO-2000-21-00574</t>
  </si>
  <si>
    <t>new LG model</t>
  </si>
  <si>
    <t>VUS000032955</t>
  </si>
  <si>
    <t>JRNLWA00427030</t>
  </si>
  <si>
    <t>JRNL01012124</t>
  </si>
  <si>
    <t>VO05751280</t>
  </si>
  <si>
    <t>JRNLWA00426794</t>
  </si>
  <si>
    <t>70255</t>
  </si>
  <si>
    <t>Drivers</t>
  </si>
  <si>
    <t>JRNLWA00426508</t>
  </si>
  <si>
    <t>JRNL01011434</t>
  </si>
  <si>
    <t>JRNL01011476</t>
  </si>
  <si>
    <t>JRNLWA00426993</t>
  </si>
  <si>
    <t>VUS000012446</t>
  </si>
  <si>
    <t>WEINMAN CONSULTING SERVICES</t>
  </si>
  <si>
    <t>SERENGETI - 04/27/2021</t>
  </si>
  <si>
    <t>1216 - Feb</t>
  </si>
  <si>
    <t>VO05765531</t>
  </si>
  <si>
    <t>JRNL01012670</t>
  </si>
  <si>
    <t>1218 - Feb</t>
  </si>
  <si>
    <t>VO05765532</t>
  </si>
  <si>
    <t>1220 - Mar</t>
  </si>
  <si>
    <t>VO05765533</t>
  </si>
  <si>
    <t>1222 * Mar</t>
  </si>
  <si>
    <t>VO05765534</t>
  </si>
  <si>
    <t>VO05765535</t>
  </si>
  <si>
    <t>VO05765557</t>
  </si>
  <si>
    <t>JRNLWA00427163</t>
  </si>
  <si>
    <t>VUS000011115</t>
  </si>
  <si>
    <t>DAVIS GRIMM PAYNE AND MARRA</t>
  </si>
  <si>
    <t>SERENGETI - 05/04/2021</t>
  </si>
  <si>
    <t>VO05773982</t>
  </si>
  <si>
    <t>JRNL01013227</t>
  </si>
  <si>
    <t>JRNLWA00428345</t>
  </si>
  <si>
    <t>VUS000013867</t>
  </si>
  <si>
    <t>PARKINSON &amp; PHINNEY</t>
  </si>
  <si>
    <t>SERENGETI - 05/11/2021</t>
  </si>
  <si>
    <t>1 Astria</t>
  </si>
  <si>
    <t>VO05779089</t>
  </si>
  <si>
    <t>JRNL01015619</t>
  </si>
  <si>
    <t>70235-2195-100-00</t>
  </si>
  <si>
    <t>VO05779144</t>
  </si>
  <si>
    <t>JRNLWA00428548</t>
  </si>
  <si>
    <t>SERENGETI - 05/25/2021</t>
  </si>
  <si>
    <t>1230 - May</t>
  </si>
  <si>
    <t>VO05796169</t>
  </si>
  <si>
    <t>JRNL01016210</t>
  </si>
  <si>
    <t>JRNLWA00429587</t>
  </si>
  <si>
    <t>Misc6 - General Accrual</t>
  </si>
  <si>
    <t>Davis Grimm</t>
  </si>
  <si>
    <t>JRNL01018292</t>
  </si>
  <si>
    <t>JRNLWA00429672</t>
  </si>
  <si>
    <t>JRNL01018361</t>
  </si>
  <si>
    <t>JRNLWA00430173</t>
  </si>
  <si>
    <t>SERENGETI - 06/29/2021</t>
  </si>
  <si>
    <t>1224 - Apr</t>
  </si>
  <si>
    <t>VO05833328</t>
  </si>
  <si>
    <t>JRNL01020080</t>
  </si>
  <si>
    <t>1228 - May</t>
  </si>
  <si>
    <t>VO05833329</t>
  </si>
  <si>
    <t>1235 - June</t>
  </si>
  <si>
    <t>VO05833330</t>
  </si>
  <si>
    <t>2 Astria</t>
  </si>
  <si>
    <t>VO05833339</t>
  </si>
  <si>
    <t>50700v2</t>
  </si>
  <si>
    <t>VO05833398</t>
  </si>
  <si>
    <t>JRNLWA00431433</t>
  </si>
  <si>
    <t>JRNL01022758</t>
  </si>
  <si>
    <t>JRNLWA00431450</t>
  </si>
  <si>
    <t>JRNL01022778</t>
  </si>
  <si>
    <t>JRNLWA00431649</t>
  </si>
  <si>
    <t>SERENGETI - 07/20/2021</t>
  </si>
  <si>
    <t>1233 - June</t>
  </si>
  <si>
    <t>VO05855928</t>
  </si>
  <si>
    <t>JRNL01023313</t>
  </si>
  <si>
    <t>3 Astria</t>
  </si>
  <si>
    <t>VO05855942</t>
  </si>
  <si>
    <t>JRNLWA00431872</t>
  </si>
  <si>
    <t>SERENGETI - 08/03/2021</t>
  </si>
  <si>
    <t>1236 - June</t>
  </si>
  <si>
    <t>VO05873499</t>
  </si>
  <si>
    <t>JRNL01023995</t>
  </si>
  <si>
    <t>VO05873510</t>
  </si>
  <si>
    <t>JRNLWA00433347</t>
  </si>
  <si>
    <t>SERENGETI - 08/31/2021</t>
  </si>
  <si>
    <t>4 Astria</t>
  </si>
  <si>
    <t>VO05905863</t>
  </si>
  <si>
    <t>JRNL01027318</t>
  </si>
  <si>
    <t>VO05905864</t>
  </si>
  <si>
    <t>JRNLWA00434016</t>
  </si>
  <si>
    <t>SERENGETI - 09/07/2021</t>
  </si>
  <si>
    <t>1239 - July</t>
  </si>
  <si>
    <t>VO05911050</t>
  </si>
  <si>
    <t>JRNL01028664</t>
  </si>
  <si>
    <t>JRNLWA00434762</t>
  </si>
  <si>
    <t>SERENGETI - 09/14/2021</t>
  </si>
  <si>
    <t>1244 - Aug</t>
  </si>
  <si>
    <t>VO05920017</t>
  </si>
  <si>
    <t>JRNL01030165</t>
  </si>
  <si>
    <t>VO05920052</t>
  </si>
  <si>
    <t>JRNLWA00435015</t>
  </si>
  <si>
    <t>SERENGETI - 10/01/2021</t>
  </si>
  <si>
    <t>VO05945267</t>
  </si>
  <si>
    <t>JRNL01031057</t>
  </si>
  <si>
    <t>JRNLWA00436336</t>
  </si>
  <si>
    <t>JRNL01033761</t>
  </si>
  <si>
    <t>JRNLWA00435173</t>
  </si>
  <si>
    <t>SERENGETI - 10/05/2021</t>
  </si>
  <si>
    <t>VO05947901</t>
  </si>
  <si>
    <t>JRNL01031619</t>
  </si>
  <si>
    <t>JRNLWA00436348</t>
  </si>
  <si>
    <t>JRNL01033782</t>
  </si>
  <si>
    <t>JRNLWA00436487</t>
  </si>
  <si>
    <t>SERENGETI - 10/19/2021</t>
  </si>
  <si>
    <t>1248 - Sept</t>
  </si>
  <si>
    <t>VO05963742</t>
  </si>
  <si>
    <t>JRNL01034232</t>
  </si>
  <si>
    <t>JRNLWA00439821</t>
  </si>
  <si>
    <t>SERENGETI - 12/21/2021</t>
  </si>
  <si>
    <t>1252 - Oct</t>
  </si>
  <si>
    <t>VO06042389</t>
  </si>
  <si>
    <t>JRNL01042143</t>
  </si>
  <si>
    <t>JRNLWA00439899</t>
  </si>
  <si>
    <t>SERENGETI - 12/28/2021</t>
  </si>
  <si>
    <t>1257 - Nov</t>
  </si>
  <si>
    <t>VO06050210</t>
  </si>
  <si>
    <t>JRNL01042372</t>
  </si>
  <si>
    <t>JRNLWA00441368</t>
  </si>
  <si>
    <t>JRNL01045601</t>
  </si>
  <si>
    <t>JRNLWA00441407</t>
  </si>
  <si>
    <t>JRNL01045639</t>
  </si>
  <si>
    <t>JRNLWA00441524</t>
  </si>
  <si>
    <t>SERENGETI - 01/11/2022</t>
  </si>
  <si>
    <t>1262 - Dec</t>
  </si>
  <si>
    <t>VO06065677</t>
  </si>
  <si>
    <t>JRNL01045845</t>
  </si>
  <si>
    <t>VO06065728</t>
  </si>
  <si>
    <t>JRNLWA00441746</t>
  </si>
  <si>
    <t>HROJAS</t>
  </si>
  <si>
    <t>SERENGETI - 01/25/2022</t>
  </si>
  <si>
    <t>1267 - Jan</t>
  </si>
  <si>
    <t>VO06082683</t>
  </si>
  <si>
    <t>JRNL01046432</t>
  </si>
  <si>
    <t>JRNLWA00446496</t>
  </si>
  <si>
    <t>JRNL01057389</t>
  </si>
  <si>
    <t>Regulated Only</t>
  </si>
  <si>
    <t>Reg Portion</t>
  </si>
  <si>
    <t>These differences are due to comparing test period restated wages at the current pay rate to the GL expense, which includes a blend of pay rates during the year.  Wage restatement amounts are linked to the Consoidated IS in the Pro forma workbook.</t>
  </si>
  <si>
    <t>A</t>
  </si>
  <si>
    <t>Controller</t>
  </si>
  <si>
    <t>Jennifer Hill</t>
  </si>
  <si>
    <t>Welder</t>
  </si>
  <si>
    <t>Headcount Add</t>
  </si>
  <si>
    <t>Mechanic</t>
  </si>
  <si>
    <t>Casey Miller</t>
  </si>
  <si>
    <t>General Laborer</t>
  </si>
  <si>
    <t>April 1, 2021 - March 31, 2022</t>
  </si>
  <si>
    <t>Regulated Only Trucks - Automation</t>
  </si>
  <si>
    <t>100% REG</t>
  </si>
  <si>
    <t>2022 Automation Information</t>
  </si>
  <si>
    <t>Year Ended March 31, 2022</t>
  </si>
  <si>
    <t>Group Ins</t>
  </si>
  <si>
    <t>Delivery Assumptions</t>
  </si>
  <si>
    <t>Payroll Taxes Delivery</t>
  </si>
  <si>
    <t>Notification</t>
  </si>
  <si>
    <t>Notification Expense</t>
  </si>
  <si>
    <t>Assumed notification over 2 years.</t>
  </si>
  <si>
    <t>Total Cost</t>
  </si>
  <si>
    <t>Notifying customers</t>
  </si>
  <si>
    <t xml:space="preserve">Trucks </t>
  </si>
  <si>
    <t>Life</t>
  </si>
  <si>
    <t>Net Expense Impact</t>
  </si>
  <si>
    <t>Net Income Adjustment Impact</t>
  </si>
  <si>
    <t>Container Delivery</t>
  </si>
  <si>
    <t>Automation</t>
  </si>
  <si>
    <t>1+Delivery @ $20.05</t>
  </si>
  <si>
    <r>
      <rPr>
        <b/>
        <sz val="10"/>
        <color rgb="FFFF0000"/>
        <rFont val="Arial"/>
        <family val="2"/>
      </rPr>
      <t>(A)</t>
    </r>
    <r>
      <rPr>
        <sz val="10"/>
        <rFont val="Arial"/>
        <family val="2"/>
      </rPr>
      <t xml:space="preserve"> These are costs held at the region level, not allocated out to the individual districts.  </t>
    </r>
  </si>
  <si>
    <t>Metal Containers</t>
  </si>
  <si>
    <t>6% CITY UTILITY TAX</t>
  </si>
  <si>
    <t>MOXEE</t>
  </si>
  <si>
    <t>ADJUST CITY UTILITY TAX</t>
  </si>
  <si>
    <t>ADJ - UTILITYTAX</t>
  </si>
  <si>
    <t>CLEANING FEE 30 YD - RO</t>
  </si>
  <si>
    <t>CLEAN30-RO</t>
  </si>
  <si>
    <t>CLEANING FEE 10 YD - RO</t>
  </si>
  <si>
    <t>CLEAN10-RO</t>
  </si>
  <si>
    <t>RL 96 GL 1X WK REC COMM 1</t>
  </si>
  <si>
    <t>RL096.0G1W001REC</t>
  </si>
  <si>
    <t>EXTRA 48 GAL CART</t>
  </si>
  <si>
    <t>EXTRA-RES48</t>
  </si>
  <si>
    <t>EXTRA 96 GAL CART</t>
  </si>
  <si>
    <t>EXTRA-RES96</t>
  </si>
  <si>
    <t>EXTRA 64 GAL CART</t>
  </si>
  <si>
    <t>EXTRA-RES64</t>
  </si>
  <si>
    <t>Change in Annual Revenue</t>
  </si>
  <si>
    <t>New Cart Revenue</t>
  </si>
  <si>
    <t>Proposed Annual Revenue</t>
  </si>
  <si>
    <t>Proposed Tariff Rate</t>
  </si>
  <si>
    <t>Revised Customer Count</t>
  </si>
  <si>
    <t>Less Customers Getting Carts</t>
  </si>
  <si>
    <t>Covid Recovery</t>
  </si>
  <si>
    <t>4/1/2021-3/31/2022</t>
  </si>
  <si>
    <t xml:space="preserve">Garbage </t>
  </si>
  <si>
    <t>E = Every Week</t>
  </si>
  <si>
    <t>Diff From LG</t>
  </si>
  <si>
    <t>Total PI</t>
  </si>
  <si>
    <t>True-Up</t>
  </si>
  <si>
    <t>A or B = EOW</t>
  </si>
  <si>
    <t>Cost per Notice</t>
  </si>
  <si>
    <t>Drivers 50020</t>
  </si>
  <si>
    <t xml:space="preserve">The employer portion of insurance premiums increased from $1,300 in 2021 to $1,350 per month in 2022.  </t>
  </si>
  <si>
    <t>2022 Current Hourly Rate</t>
  </si>
  <si>
    <t>May 2022 Pay Raises</t>
  </si>
  <si>
    <t>2022 Rate</t>
  </si>
  <si>
    <t>2022 Proforma Regular Pay</t>
  </si>
  <si>
    <t>2022 Proforma OT</t>
  </si>
  <si>
    <t>2022 Proforma Personal Time Payout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</si>
</sst>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quot;&quot;"/>
    <numFmt numFmtId="166" formatCode="m/d/yy\ h:mm\ AM/PM"/>
    <numFmt numFmtId="167" formatCode="_(* #,##0,_);_(* \(#,##0,\);_(* &quot;-&quot;??_);_(@_)"/>
    <numFmt numFmtId="168" formatCode="0.0%"/>
    <numFmt numFmtId="169" formatCode="&quot;$&quot;#,##0.00\ ;\(&quot;$&quot;#,##0.00\)"/>
    <numFmt numFmtId="170" formatCode="&quot;$&quot;#,##0\ ;\(&quot;$&quot;#,##0\)"/>
    <numFmt numFmtId="171" formatCode="_(&quot;$&quot;* #,##0_);_(&quot;$&quot;* \(#,##0\);_(&quot;$&quot;* &quot;-&quot;??_);_(@_)"/>
    <numFmt numFmtId="172" formatCode="General_)"/>
    <numFmt numFmtId="173" formatCode="mm\-yy;\-0;;@"/>
    <numFmt numFmtId="174" formatCode=".00#####;\-.00####;;@"/>
    <numFmt numFmtId="175" formatCode="#,##0.0000_);\(#,##0.0000\)"/>
    <numFmt numFmtId="176" formatCode="0.000%"/>
    <numFmt numFmtId="177" formatCode="_-* #,##0.00_-;\-* #,##0.00_-;_-* &quot;-&quot;??_-;_-@_-"/>
    <numFmt numFmtId="178" formatCode="#,##0.000_);\(#,##0.000\)"/>
    <numFmt numFmtId="179" formatCode="#,##0.00000_);\(#,##0.00000\)"/>
    <numFmt numFmtId="180" formatCode="0.00000"/>
    <numFmt numFmtId="181" formatCode="_([$€-2]* #,##0.00_);_([$€-2]* \(#,##0.00\);_([$€-2]* &quot;-&quot;??_)"/>
    <numFmt numFmtId="182" formatCode="&quot;$&quot;#,##0"/>
    <numFmt numFmtId="183" formatCode="m/d/yy;@"/>
    <numFmt numFmtId="184" formatCode="0.0000%"/>
    <numFmt numFmtId="185" formatCode="[$-409]mmm\-yy;@"/>
    <numFmt numFmtId="186" formatCode="[$-F800]dddd\,\ mmmm\ dd\,\ yyyy"/>
    <numFmt numFmtId="187" formatCode="&quot;$&quot;#,##0.00"/>
  </numFmts>
  <fonts count="242">
    <font>
      <sz val="11"/>
      <color theme="1"/>
      <name val="Calibri"/>
      <family val="2"/>
      <scheme val="minor"/>
    </font>
    <font>
      <sz val="11"/>
      <color theme="1"/>
      <name val="Calibri"/>
      <family val="2"/>
      <scheme val="minor"/>
    </font>
    <font>
      <b/>
      <sz val="11"/>
      <color theme="0"/>
      <name val="Calibri"/>
      <family val="2"/>
      <scheme val="minor"/>
    </font>
    <font>
      <sz val="12"/>
      <name val="Arial"/>
      <family val="2"/>
    </font>
    <font>
      <sz val="10"/>
      <name val="Arial"/>
      <family val="2"/>
    </font>
    <font>
      <sz val="10"/>
      <color indexed="8"/>
      <name val="Arial"/>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b/>
      <sz val="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sz val="10"/>
      <name val="MS Sans Serif"/>
      <family val="2"/>
    </font>
    <font>
      <sz val="8"/>
      <name val="Arial"/>
      <family val="2"/>
    </font>
    <font>
      <b/>
      <sz val="9"/>
      <color indexed="81"/>
      <name val="Tahoma"/>
      <family val="2"/>
    </font>
    <font>
      <sz val="9"/>
      <color indexed="81"/>
      <name val="Tahoma"/>
      <family val="2"/>
    </font>
    <font>
      <sz val="12"/>
      <name val="Helv"/>
    </font>
    <font>
      <sz val="10"/>
      <name val="Arial"/>
      <family val="2"/>
    </font>
    <font>
      <i/>
      <sz val="10"/>
      <name val="Arial"/>
      <family val="2"/>
    </font>
    <font>
      <b/>
      <sz val="10"/>
      <color theme="0"/>
      <name val="Arial"/>
      <family val="2"/>
    </font>
    <font>
      <sz val="10"/>
      <color theme="0"/>
      <name val="Arial"/>
      <family val="2"/>
    </font>
    <font>
      <sz val="10"/>
      <color theme="1"/>
      <name val="Arial"/>
      <family val="2"/>
    </font>
    <font>
      <b/>
      <sz val="11"/>
      <color theme="1"/>
      <name val="Calibri"/>
      <family val="2"/>
      <scheme val="minor"/>
    </font>
    <font>
      <sz val="11"/>
      <color theme="1"/>
      <name val="Arial"/>
      <family val="2"/>
    </font>
    <font>
      <sz val="10"/>
      <name val="Arial"/>
      <family val="2"/>
    </font>
    <font>
      <sz val="12"/>
      <color theme="1"/>
      <name val="Calibri"/>
      <family val="2"/>
      <scheme val="minor"/>
    </font>
    <font>
      <sz val="11"/>
      <color rgb="FF006100"/>
      <name val="Calibri"/>
      <family val="2"/>
      <scheme val="minor"/>
    </font>
    <font>
      <sz val="11"/>
      <color indexed="8"/>
      <name val="Calibri"/>
      <family val="2"/>
    </font>
    <font>
      <sz val="11"/>
      <color indexed="9"/>
      <name val="Calibri"/>
      <family val="2"/>
    </font>
    <font>
      <b/>
      <sz val="10"/>
      <color indexed="10"/>
      <name val="Arial"/>
      <family val="2"/>
    </font>
    <font>
      <b/>
      <sz val="12"/>
      <color indexed="12"/>
      <name val="Times New Roman"/>
      <family val="1"/>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b/>
      <sz val="11"/>
      <color indexed="18"/>
      <name val="Britannic Bold"/>
      <family val="2"/>
    </font>
    <font>
      <sz val="11"/>
      <color indexed="8"/>
      <name val="Arial"/>
      <family val="2"/>
    </font>
    <font>
      <sz val="12"/>
      <name val="CG Omega"/>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0"/>
      <name val="Times New Roman"/>
      <family val="1"/>
    </font>
    <font>
      <b/>
      <sz val="18"/>
      <color indexed="61"/>
      <name val="Cambria"/>
      <family val="2"/>
    </font>
    <font>
      <b/>
      <sz val="18"/>
      <color indexed="56"/>
      <name val="Cambria"/>
      <family val="2"/>
    </font>
    <font>
      <b/>
      <sz val="18"/>
      <color indexed="62"/>
      <name val="Cambria"/>
      <family val="2"/>
    </font>
    <font>
      <b/>
      <sz val="11"/>
      <color indexed="8"/>
      <name val="Calibri"/>
      <family val="2"/>
    </font>
    <font>
      <sz val="10"/>
      <color indexed="10"/>
      <name val="Arial"/>
      <family val="2"/>
    </font>
    <font>
      <b/>
      <sz val="9"/>
      <name val="Arial"/>
      <family val="2"/>
    </font>
    <font>
      <u/>
      <sz val="10"/>
      <name val="Arial"/>
      <family val="2"/>
    </font>
    <font>
      <u/>
      <sz val="9.35"/>
      <color theme="10"/>
      <name val="Calibri"/>
      <family val="2"/>
    </font>
    <font>
      <u/>
      <sz val="7.5"/>
      <color indexed="12"/>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SWISS"/>
    </font>
    <font>
      <sz val="12"/>
      <color indexed="12"/>
      <name val="SWISS"/>
    </font>
    <font>
      <b/>
      <sz val="12"/>
      <name val="SWISS"/>
    </font>
    <font>
      <sz val="8"/>
      <color indexed="9"/>
      <name val="Calibri"/>
      <family val="2"/>
    </font>
    <font>
      <sz val="14"/>
      <color indexed="9"/>
      <name val="Calibri"/>
      <family val="2"/>
    </font>
    <font>
      <sz val="9"/>
      <color indexed="9"/>
      <name val="Calibri"/>
      <family val="2"/>
    </font>
    <font>
      <b/>
      <sz val="14"/>
      <name val="SWISS"/>
    </font>
    <font>
      <sz val="12"/>
      <name val="Times New Roman"/>
      <family val="1"/>
    </font>
    <font>
      <i/>
      <sz val="8"/>
      <color indexed="12"/>
      <name val="Times New Roman"/>
      <family val="1"/>
    </font>
    <font>
      <sz val="12"/>
      <color indexed="39"/>
      <name val="SWISS"/>
    </font>
    <font>
      <sz val="12"/>
      <color indexed="39"/>
      <name val="Times New Roman"/>
      <family val="1"/>
    </font>
    <font>
      <b/>
      <sz val="12"/>
      <color indexed="39"/>
      <name val="Times New Roman"/>
      <family val="1"/>
    </font>
    <font>
      <sz val="12"/>
      <color indexed="10"/>
      <name val="SWISS"/>
    </font>
    <font>
      <sz val="12"/>
      <color indexed="8"/>
      <name val="SWISS"/>
    </font>
    <font>
      <sz val="9"/>
      <color indexed="39"/>
      <name val="Times New Roman"/>
      <family val="1"/>
    </font>
    <font>
      <b/>
      <sz val="12"/>
      <name val="Times New Roman"/>
      <family val="1"/>
    </font>
    <font>
      <u/>
      <sz val="12"/>
      <color indexed="12"/>
      <name val="Times New Roman"/>
      <family val="1"/>
    </font>
    <font>
      <b/>
      <u/>
      <sz val="12"/>
      <color indexed="39"/>
      <name val="Times New Roman"/>
      <family val="1"/>
    </font>
    <font>
      <sz val="12"/>
      <color indexed="18"/>
      <name val="Times New Roman"/>
      <family val="1"/>
    </font>
    <font>
      <u/>
      <sz val="12"/>
      <color indexed="8"/>
      <name val="Times New Roman"/>
      <family val="1"/>
    </font>
    <font>
      <sz val="12"/>
      <color indexed="8"/>
      <name val="Times New Roman"/>
      <family val="1"/>
    </font>
    <font>
      <sz val="12"/>
      <color indexed="32"/>
      <name val="SWISS"/>
    </font>
    <font>
      <sz val="12"/>
      <color indexed="18"/>
      <name val="SWISS"/>
    </font>
    <font>
      <sz val="10"/>
      <name val="SWISS"/>
    </font>
    <font>
      <sz val="12"/>
      <color indexed="56"/>
      <name val="SWISS"/>
    </font>
    <font>
      <i/>
      <sz val="12"/>
      <name val="SWISS"/>
    </font>
    <font>
      <sz val="11"/>
      <name val="Times New Roman"/>
      <family val="1"/>
    </font>
    <font>
      <u/>
      <sz val="12"/>
      <name val="SWISS"/>
    </font>
    <font>
      <sz val="10"/>
      <color indexed="39"/>
      <name val="Times New Roman"/>
      <family val="1"/>
    </font>
    <font>
      <sz val="11"/>
      <name val="Bookman Old Style"/>
      <family val="1"/>
    </font>
    <font>
      <u/>
      <sz val="8.8000000000000007"/>
      <color theme="10"/>
      <name val="Calibri"/>
      <family val="2"/>
    </font>
    <font>
      <u/>
      <sz val="11"/>
      <color theme="10"/>
      <name val="Century Gothic"/>
      <family val="2"/>
    </font>
    <font>
      <b/>
      <sz val="14"/>
      <name val="Helv"/>
    </font>
    <font>
      <sz val="11"/>
      <color rgb="FF000000"/>
      <name val="Calibri"/>
      <family val="2"/>
      <scheme val="minor"/>
    </font>
    <font>
      <sz val="11"/>
      <color theme="1"/>
      <name val="Century Gothic"/>
      <family val="2"/>
    </font>
    <font>
      <sz val="18"/>
      <color indexed="13"/>
      <name val="Helv"/>
    </font>
    <font>
      <sz val="12"/>
      <color indexed="13"/>
      <name val="Helv"/>
    </font>
    <font>
      <sz val="10"/>
      <name val="Arial"/>
      <family val="2"/>
    </font>
    <font>
      <u/>
      <sz val="8"/>
      <color theme="10"/>
      <name val="Arial"/>
      <family val="2"/>
    </font>
    <font>
      <b/>
      <sz val="10"/>
      <color theme="1"/>
      <name val="Arial"/>
      <family val="2"/>
    </font>
    <font>
      <b/>
      <sz val="18"/>
      <color theme="3"/>
      <name val="Cambria"/>
      <family val="2"/>
      <scheme val="major"/>
    </font>
    <font>
      <sz val="11"/>
      <color rgb="FF9C6500"/>
      <name val="Calibri"/>
      <family val="2"/>
      <scheme val="minor"/>
    </font>
    <font>
      <sz val="11"/>
      <color rgb="FF3F3F76"/>
      <name val="Calibri"/>
      <family val="2"/>
      <scheme val="minor"/>
    </font>
    <font>
      <b/>
      <sz val="11"/>
      <color rgb="FF3F3F3F"/>
      <name val="Calibri"/>
      <family val="2"/>
      <scheme val="minor"/>
    </font>
    <font>
      <sz val="12"/>
      <color indexed="8"/>
      <name val="Calibri"/>
      <family val="2"/>
    </font>
    <font>
      <u/>
      <sz val="11"/>
      <color indexed="12"/>
      <name val="Arial"/>
      <family val="2"/>
    </font>
    <font>
      <sz val="10"/>
      <color rgb="FF000000"/>
      <name val="Arial"/>
      <family val="2"/>
    </font>
    <font>
      <sz val="10"/>
      <name val="Tahoma"/>
      <family val="2"/>
    </font>
    <font>
      <b/>
      <sz val="11"/>
      <color theme="1" tint="0.14996795556505021"/>
      <name val="Calibri"/>
      <family val="2"/>
      <scheme val="minor"/>
    </font>
    <font>
      <b/>
      <sz val="11"/>
      <name val="Century Gothic"/>
      <family val="2"/>
    </font>
    <font>
      <sz val="9"/>
      <name val="Arial"/>
      <family val="2"/>
    </font>
    <font>
      <b/>
      <sz val="11"/>
      <name val="Calibri"/>
      <family val="2"/>
      <scheme val="minor"/>
    </font>
    <font>
      <b/>
      <sz val="11"/>
      <color rgb="FFFF0000"/>
      <name val="Calibri"/>
      <family val="2"/>
      <scheme val="minor"/>
    </font>
    <font>
      <sz val="11"/>
      <name val="Calibri"/>
      <family val="2"/>
      <scheme val="minor"/>
    </font>
    <font>
      <b/>
      <sz val="12"/>
      <name val="Calibri"/>
      <family val="2"/>
      <scheme val="minor"/>
    </font>
    <font>
      <b/>
      <u/>
      <sz val="11"/>
      <name val="Calibri"/>
      <family val="2"/>
      <scheme val="minor"/>
    </font>
    <font>
      <b/>
      <sz val="11"/>
      <color rgb="FF0000FF"/>
      <name val="Calibri"/>
      <family val="2"/>
      <scheme val="minor"/>
    </font>
    <font>
      <b/>
      <sz val="11"/>
      <color rgb="FF2605EB"/>
      <name val="Calibri"/>
      <family val="2"/>
      <scheme val="minor"/>
    </font>
    <font>
      <u/>
      <sz val="11"/>
      <color theme="10"/>
      <name val="Calibri"/>
      <family val="2"/>
      <scheme val="minor"/>
    </font>
    <font>
      <b/>
      <sz val="11"/>
      <name val="Arial"/>
      <family val="2"/>
    </font>
    <font>
      <sz val="11"/>
      <color rgb="FF9C0006"/>
      <name val="Calibri"/>
      <family val="2"/>
      <scheme val="minor"/>
    </font>
    <font>
      <sz val="11"/>
      <color rgb="FFFA7D00"/>
      <name val="Calibri"/>
      <family val="2"/>
      <scheme val="minor"/>
    </font>
    <font>
      <sz val="11"/>
      <color indexed="8"/>
      <name val="Calibri"/>
      <family val="2"/>
      <scheme val="minor"/>
    </font>
    <font>
      <sz val="11"/>
      <color rgb="FF7030A0"/>
      <name val="Calibri"/>
      <family val="2"/>
      <scheme val="minor"/>
    </font>
    <font>
      <sz val="11"/>
      <name val="Calibri"/>
      <family val="2"/>
    </font>
    <font>
      <sz val="12"/>
      <name val="CG Omega"/>
      <family val="2"/>
    </font>
    <font>
      <sz val="9"/>
      <color theme="1"/>
      <name val="Calibri"/>
      <family val="2"/>
      <scheme val="minor"/>
    </font>
    <font>
      <b/>
      <sz val="9"/>
      <color theme="1"/>
      <name val="Calibri"/>
      <family val="2"/>
      <scheme val="minor"/>
    </font>
    <font>
      <b/>
      <sz val="14"/>
      <name val="Arial"/>
      <family val="2"/>
    </font>
    <font>
      <b/>
      <sz val="11"/>
      <color indexed="60"/>
      <name val="Arial"/>
      <family val="2"/>
    </font>
    <font>
      <b/>
      <i/>
      <sz val="11"/>
      <color indexed="60"/>
      <name val="Arial"/>
      <family val="2"/>
    </font>
    <font>
      <sz val="10"/>
      <color indexed="30"/>
      <name val="Arial"/>
      <family val="2"/>
    </font>
    <font>
      <sz val="10"/>
      <color indexed="61"/>
      <name val="Arial"/>
      <family val="2"/>
    </font>
    <font>
      <b/>
      <sz val="8"/>
      <color indexed="81"/>
      <name val="Tahoma"/>
      <family val="2"/>
    </font>
    <font>
      <b/>
      <sz val="10"/>
      <color rgb="FF3333FF"/>
      <name val="Arial"/>
      <family val="2"/>
    </font>
    <font>
      <sz val="12"/>
      <color rgb="FFFF0000"/>
      <name val="Arial"/>
      <family val="2"/>
    </font>
    <font>
      <b/>
      <sz val="9"/>
      <color indexed="8"/>
      <name val="Arial"/>
      <family val="2"/>
    </font>
    <font>
      <i/>
      <sz val="9"/>
      <color indexed="8"/>
      <name val="Arial"/>
      <family val="2"/>
    </font>
    <font>
      <sz val="8"/>
      <color indexed="8"/>
      <name val="Arial"/>
      <family val="2"/>
    </font>
    <font>
      <sz val="10"/>
      <name val="Arial"/>
      <family val="2"/>
    </font>
    <font>
      <sz val="11"/>
      <name val="Arial"/>
      <family val="2"/>
    </font>
    <font>
      <b/>
      <sz val="10"/>
      <name val="Calibri"/>
      <family val="2"/>
      <scheme val="minor"/>
    </font>
    <font>
      <sz val="10"/>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8"/>
      <name val="Helv"/>
    </font>
    <font>
      <sz val="10"/>
      <name val="Helv"/>
    </font>
    <font>
      <b/>
      <sz val="10"/>
      <name val="Helv"/>
    </font>
    <font>
      <b/>
      <sz val="10"/>
      <name val="SWISS"/>
    </font>
    <font>
      <sz val="8"/>
      <name val="SWISS"/>
    </font>
    <font>
      <b/>
      <sz val="8"/>
      <name val="SWISS"/>
    </font>
    <font>
      <i/>
      <sz val="11"/>
      <color theme="1"/>
      <name val="Calibri"/>
      <family val="2"/>
      <scheme val="minor"/>
    </font>
    <font>
      <b/>
      <u/>
      <sz val="9"/>
      <name val="Arial"/>
      <family val="2"/>
    </font>
    <font>
      <i/>
      <sz val="9"/>
      <name val="Arial"/>
      <family val="2"/>
    </font>
    <font>
      <b/>
      <sz val="9"/>
      <color rgb="FF2605EB"/>
      <name val="Arial"/>
      <family val="2"/>
    </font>
    <font>
      <b/>
      <sz val="9"/>
      <color indexed="10"/>
      <name val="Arial"/>
      <family val="2"/>
    </font>
    <font>
      <b/>
      <sz val="9"/>
      <color rgb="FF00B0F0"/>
      <name val="Arial"/>
      <family val="2"/>
    </font>
    <font>
      <sz val="9"/>
      <color rgb="FF00B0F0"/>
      <name val="Arial"/>
      <family val="2"/>
    </font>
    <font>
      <b/>
      <i/>
      <sz val="8"/>
      <color rgb="FF0000FF"/>
      <name val="Arial"/>
      <family val="2"/>
    </font>
    <font>
      <sz val="8"/>
      <name val="Calibri"/>
      <family val="2"/>
      <scheme val="minor"/>
    </font>
    <font>
      <sz val="8"/>
      <color rgb="FFFF0000"/>
      <name val="Arial"/>
      <family val="2"/>
    </font>
    <font>
      <b/>
      <u/>
      <sz val="8"/>
      <name val="Arial"/>
      <family val="2"/>
    </font>
    <font>
      <i/>
      <sz val="8"/>
      <name val="Arial"/>
      <family val="2"/>
    </font>
    <font>
      <i/>
      <sz val="10"/>
      <color theme="1"/>
      <name val="Arial"/>
      <family val="2"/>
    </font>
    <font>
      <sz val="10"/>
      <color indexed="10"/>
      <name val="Calibri"/>
      <family val="2"/>
      <scheme val="minor"/>
    </font>
    <font>
      <b/>
      <sz val="10"/>
      <color indexed="10"/>
      <name val="Calibri"/>
      <family val="2"/>
      <scheme val="minor"/>
    </font>
    <font>
      <b/>
      <sz val="8"/>
      <name val="Helv"/>
    </font>
    <font>
      <b/>
      <sz val="9"/>
      <color indexed="9"/>
      <name val="Arial"/>
      <family val="2"/>
    </font>
    <font>
      <sz val="9"/>
      <color indexed="10"/>
      <name val="Arial"/>
      <family val="2"/>
    </font>
    <font>
      <b/>
      <u/>
      <sz val="11"/>
      <color theme="1"/>
      <name val="Calibri"/>
      <family val="2"/>
      <scheme val="minor"/>
    </font>
    <font>
      <sz val="10"/>
      <name val="Arial"/>
      <family val="2"/>
    </font>
    <font>
      <b/>
      <i/>
      <sz val="9"/>
      <name val="Arial"/>
      <family val="2"/>
    </font>
    <font>
      <b/>
      <i/>
      <sz val="9"/>
      <color theme="0"/>
      <name val="Arial"/>
      <family val="2"/>
    </font>
    <font>
      <sz val="9"/>
      <name val="Calibri"/>
      <family val="2"/>
      <scheme val="minor"/>
    </font>
    <font>
      <sz val="8"/>
      <color indexed="81"/>
      <name val="Tahoma"/>
      <family val="2"/>
    </font>
    <font>
      <b/>
      <sz val="11"/>
      <color indexed="62"/>
      <name val="Calibri"/>
      <family val="2"/>
      <scheme val="minor"/>
    </font>
    <font>
      <b/>
      <sz val="11"/>
      <color theme="0"/>
      <name val="Arial"/>
      <family val="2"/>
    </font>
    <font>
      <sz val="11"/>
      <color theme="0"/>
      <name val="Arial"/>
      <family val="2"/>
    </font>
    <font>
      <sz val="11"/>
      <color rgb="FFFF0000"/>
      <name val="Arial"/>
      <family val="2"/>
    </font>
    <font>
      <b/>
      <i/>
      <sz val="11"/>
      <color rgb="FFFF0000"/>
      <name val="Arial"/>
      <family val="2"/>
    </font>
    <font>
      <i/>
      <sz val="11"/>
      <color theme="0"/>
      <name val="Arial"/>
      <family val="2"/>
    </font>
    <font>
      <i/>
      <sz val="11"/>
      <name val="Arial"/>
      <family val="2"/>
    </font>
    <font>
      <b/>
      <sz val="9"/>
      <color theme="0"/>
      <name val="Arial"/>
      <family val="2"/>
    </font>
    <font>
      <i/>
      <sz val="11"/>
      <color rgb="FF0070C0"/>
      <name val="Calibri"/>
      <family val="2"/>
      <scheme val="minor"/>
    </font>
    <font>
      <b/>
      <sz val="11"/>
      <color rgb="FF0070C0"/>
      <name val="Calibri"/>
      <family val="2"/>
      <scheme val="minor"/>
    </font>
    <font>
      <sz val="11"/>
      <color rgb="FF0070C0"/>
      <name val="Calibri"/>
      <family val="2"/>
      <scheme val="minor"/>
    </font>
    <font>
      <b/>
      <sz val="16"/>
      <color theme="1"/>
      <name val="Calibri"/>
      <family val="2"/>
      <scheme val="minor"/>
    </font>
    <font>
      <b/>
      <sz val="11"/>
      <color rgb="FFFF0000"/>
      <name val="Arial"/>
      <family val="2"/>
    </font>
    <font>
      <sz val="10"/>
      <name val="Arial"/>
      <family val="2"/>
    </font>
    <font>
      <b/>
      <sz val="10"/>
      <color rgb="FF0000FF"/>
      <name val="Arial"/>
      <family val="2"/>
    </font>
    <font>
      <sz val="10"/>
      <color indexed="8"/>
      <name val="Times New Roman"/>
      <family val="1"/>
    </font>
    <font>
      <i/>
      <sz val="10"/>
      <color rgb="FFFF0000"/>
      <name val="Calibri"/>
      <family val="2"/>
      <scheme val="minor"/>
    </font>
    <font>
      <sz val="10"/>
      <color indexed="8"/>
      <name val="Calibri"/>
      <family val="2"/>
      <scheme val="minor"/>
    </font>
    <font>
      <b/>
      <u/>
      <sz val="10"/>
      <color indexed="8"/>
      <name val="Calibri"/>
      <family val="2"/>
      <scheme val="minor"/>
    </font>
    <font>
      <sz val="9"/>
      <name val="Calibri"/>
      <family val="2"/>
    </font>
    <font>
      <sz val="10"/>
      <color rgb="FFFF0000"/>
      <name val="Calibri"/>
      <family val="2"/>
      <scheme val="minor"/>
    </font>
    <font>
      <b/>
      <sz val="10"/>
      <color rgb="FFFF0000"/>
      <name val="Calibri"/>
      <family val="2"/>
      <scheme val="minor"/>
    </font>
    <font>
      <b/>
      <sz val="10"/>
      <color indexed="50"/>
      <name val="Calibri"/>
      <family val="2"/>
      <scheme val="minor"/>
    </font>
    <font>
      <sz val="9"/>
      <color indexed="8"/>
      <name val="Calibri"/>
      <family val="2"/>
    </font>
    <font>
      <b/>
      <sz val="9"/>
      <color indexed="8"/>
      <name val="Calibri"/>
      <family val="2"/>
    </font>
    <font>
      <i/>
      <sz val="11"/>
      <name val="Calibri"/>
      <family val="2"/>
      <scheme val="minor"/>
    </font>
  </fonts>
  <fills count="9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C6EFCE"/>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2"/>
        <bgColor indexed="29"/>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mediumGray">
        <fgColor indexed="22"/>
      </patternFill>
    </fill>
    <fill>
      <patternFill patternType="solid">
        <fgColor theme="6" tint="0.59999389629810485"/>
        <bgColor indexed="64"/>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5"/>
        <bgColor indexed="64"/>
      </patternFill>
    </fill>
    <fill>
      <patternFill patternType="solid">
        <fgColor indexed="9"/>
        <bgColor indexed="8"/>
      </patternFill>
    </fill>
    <fill>
      <patternFill patternType="solid">
        <fgColor indexed="13"/>
      </patternFill>
    </fill>
    <fill>
      <patternFill patternType="solid">
        <fgColor indexed="12"/>
      </patternFill>
    </fill>
    <fill>
      <patternFill patternType="solid">
        <fgColor theme="8" tint="0.59999389629810485"/>
        <bgColor indexed="64"/>
      </patternFill>
    </fill>
    <fill>
      <patternFill patternType="solid">
        <fgColor rgb="FFFFEB9C"/>
      </patternFill>
    </fill>
    <fill>
      <patternFill patternType="solid">
        <fgColor rgb="FFFFCC99"/>
      </patternFill>
    </fill>
    <fill>
      <patternFill patternType="solid">
        <fgColor theme="7"/>
      </patternFill>
    </fill>
    <fill>
      <patternFill patternType="solid">
        <fgColor theme="8" tint="0.39997558519241921"/>
        <bgColor indexed="65"/>
      </patternFill>
    </fill>
    <fill>
      <patternFill patternType="solid">
        <fgColor theme="9" tint="0.39997558519241921"/>
        <bgColor indexed="65"/>
      </patternFill>
    </fill>
    <fill>
      <patternFill patternType="solid">
        <fgColor theme="6" tint="0.39994506668294322"/>
        <bgColor indexed="64"/>
      </patternFill>
    </fill>
    <fill>
      <patternFill patternType="solid">
        <fgColor theme="4" tint="0.39994506668294322"/>
        <bgColor indexed="64"/>
      </patternFill>
    </fill>
    <fill>
      <patternFill patternType="solid">
        <fgColor theme="4" tint="0.59999389629810485"/>
        <bgColor indexed="64"/>
      </patternFill>
    </fill>
    <fill>
      <patternFill patternType="solid">
        <fgColor rgb="FFFFC7CE"/>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9"/>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CC99"/>
        <bgColor indexed="64"/>
      </patternFill>
    </fill>
    <fill>
      <patternFill patternType="solid">
        <fgColor theme="4" tint="0.79998168889431442"/>
        <bgColor theme="4" tint="0.79998168889431442"/>
      </patternFill>
    </fill>
    <fill>
      <patternFill patternType="solid">
        <fgColor rgb="FF336600"/>
        <bgColor indexed="64"/>
      </patternFill>
    </fill>
    <fill>
      <patternFill patternType="solid">
        <fgColor indexed="6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1"/>
        <bgColor theme="4" tint="0.79998168889431442"/>
      </patternFill>
    </fill>
  </fills>
  <borders count="144">
    <border>
      <left/>
      <right/>
      <top/>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medium">
        <color indexed="64"/>
      </top>
      <bottom/>
      <diagonal/>
    </border>
    <border>
      <left/>
      <right/>
      <top style="thin">
        <color auto="1"/>
      </top>
      <bottom/>
      <diagonal/>
    </border>
    <border>
      <left/>
      <right/>
      <top style="thin">
        <color theme="4" tint="-0.24994659260841701"/>
      </top>
      <bottom style="double">
        <color theme="4" tint="-0.24994659260841701"/>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auto="1"/>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double">
        <color rgb="FFFF8001"/>
      </bottom>
      <diagonal/>
    </border>
    <border>
      <left style="thin">
        <color auto="1"/>
      </left>
      <right style="thin">
        <color auto="1"/>
      </right>
      <top style="thin">
        <color auto="1"/>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double">
        <color indexed="64"/>
      </top>
      <bottom style="double">
        <color indexed="64"/>
      </bottom>
      <diagonal/>
    </border>
    <border>
      <left/>
      <right/>
      <top style="double">
        <color indexed="64"/>
      </top>
      <bottom/>
      <diagonal/>
    </border>
    <border>
      <left/>
      <right style="thin">
        <color rgb="FFFF0000"/>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n">
        <color indexed="64"/>
      </left>
      <right style="thin">
        <color indexed="64"/>
      </right>
      <top style="thick">
        <color rgb="FFFF0000"/>
      </top>
      <bottom/>
      <diagonal/>
    </border>
    <border>
      <left style="thin">
        <color indexed="64"/>
      </left>
      <right/>
      <top style="thick">
        <color rgb="FFFF0000"/>
      </top>
      <bottom/>
      <diagonal/>
    </border>
    <border>
      <left style="thin">
        <color indexed="64"/>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style="thin">
        <color indexed="64"/>
      </top>
      <bottom style="medium">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style="thin">
        <color indexed="64"/>
      </top>
      <bottom style="thick">
        <color rgb="FFFF0000"/>
      </bottom>
      <diagonal/>
    </border>
    <border>
      <left style="thick">
        <color rgb="FFFF0000"/>
      </left>
      <right/>
      <top style="thin">
        <color indexed="64"/>
      </top>
      <bottom/>
      <diagonal/>
    </border>
    <border>
      <left/>
      <right style="medium">
        <color indexed="64"/>
      </right>
      <top style="thick">
        <color rgb="FFFF0000"/>
      </top>
      <bottom/>
      <diagonal/>
    </border>
    <border>
      <left/>
      <right style="thick">
        <color rgb="FFFF0000"/>
      </right>
      <top style="thin">
        <color indexed="64"/>
      </top>
      <bottom style="thin">
        <color indexed="64"/>
      </bottom>
      <diagonal/>
    </border>
    <border>
      <left style="thick">
        <color rgb="FFFF0000"/>
      </left>
      <right/>
      <top style="double">
        <color indexed="64"/>
      </top>
      <bottom style="double">
        <color indexed="64"/>
      </bottom>
      <diagonal/>
    </border>
    <border>
      <left style="thick">
        <color rgb="FFFF0000"/>
      </left>
      <right/>
      <top style="double">
        <color indexed="64"/>
      </top>
      <bottom/>
      <diagonal/>
    </border>
    <border>
      <left style="thick">
        <color rgb="FFFF0000"/>
      </left>
      <right/>
      <top/>
      <bottom style="medium">
        <color indexed="64"/>
      </bottom>
      <diagonal/>
    </border>
    <border>
      <left style="thick">
        <color rgb="FFFF0000"/>
      </left>
      <right/>
      <top style="thin">
        <color indexed="64"/>
      </top>
      <bottom style="thin">
        <color indexed="64"/>
      </bottom>
      <diagonal/>
    </border>
    <border>
      <left/>
      <right style="thick">
        <color rgb="FFFF0000"/>
      </right>
      <top style="thin">
        <color indexed="64"/>
      </top>
      <bottom/>
      <diagonal/>
    </border>
    <border>
      <left/>
      <right style="thick">
        <color rgb="FFFF0000"/>
      </right>
      <top/>
      <bottom style="thin">
        <color indexed="64"/>
      </bottom>
      <diagonal/>
    </border>
    <border>
      <left/>
      <right style="thick">
        <color rgb="FFFF0000"/>
      </right>
      <top style="thin">
        <color indexed="64"/>
      </top>
      <bottom style="double">
        <color indexed="64"/>
      </bottom>
      <diagonal/>
    </border>
    <border>
      <left/>
      <right style="medium">
        <color indexed="64"/>
      </right>
      <top/>
      <bottom style="thin">
        <color indexed="64"/>
      </bottom>
      <diagonal/>
    </border>
    <border>
      <left style="thick">
        <color rgb="FFFF0000"/>
      </left>
      <right/>
      <top/>
      <bottom style="thin">
        <color indexed="64"/>
      </bottom>
      <diagonal/>
    </border>
    <border>
      <left style="thick">
        <color rgb="FFFF0000"/>
      </left>
      <right/>
      <top style="thin">
        <color indexed="64"/>
      </top>
      <bottom style="double">
        <color indexed="64"/>
      </bottom>
      <diagonal/>
    </border>
    <border>
      <left style="thick">
        <color rgb="FFFF0000"/>
      </left>
      <right/>
      <top style="thin">
        <color indexed="64"/>
      </top>
      <bottom style="thick">
        <color rgb="FFFF0000"/>
      </bottom>
      <diagonal/>
    </border>
    <border>
      <left/>
      <right style="thick">
        <color rgb="FFFF0000"/>
      </right>
      <top style="thin">
        <color indexed="64"/>
      </top>
      <bottom style="thick">
        <color rgb="FFFF0000"/>
      </bottom>
      <diagonal/>
    </border>
    <border>
      <left/>
      <right style="thick">
        <color rgb="FFFF0000"/>
      </right>
      <top style="thick">
        <color rgb="FFFF0000"/>
      </top>
      <bottom style="thin">
        <color indexed="64"/>
      </bottom>
      <diagonal/>
    </border>
    <border>
      <left style="thick">
        <color rgb="FFFF0000"/>
      </left>
      <right/>
      <top style="thin">
        <color indexed="64"/>
      </top>
      <bottom style="medium">
        <color indexed="64"/>
      </bottom>
      <diagonal/>
    </border>
    <border>
      <left style="thick">
        <color rgb="FFFF0000"/>
      </left>
      <right/>
      <top style="thick">
        <color rgb="FFFF0000"/>
      </top>
      <bottom style="thin">
        <color auto="1"/>
      </bottom>
      <diagonal/>
    </border>
    <border>
      <left/>
      <right/>
      <top style="thick">
        <color rgb="FFFF0000"/>
      </top>
      <bottom style="thin">
        <color auto="1"/>
      </bottom>
      <diagonal/>
    </border>
    <border>
      <left/>
      <right style="medium">
        <color indexed="64"/>
      </right>
      <top/>
      <bottom style="thick">
        <color rgb="FFFF0000"/>
      </bottom>
      <diagonal/>
    </border>
    <border>
      <left style="medium">
        <color indexed="64"/>
      </left>
      <right/>
      <top style="thick">
        <color rgb="FFFF0000"/>
      </top>
      <bottom/>
      <diagonal/>
    </border>
    <border>
      <left/>
      <right style="thick">
        <color rgb="FFFF0000"/>
      </right>
      <top/>
      <bottom style="medium">
        <color indexed="64"/>
      </bottom>
      <diagonal/>
    </border>
    <border>
      <left style="thick">
        <color rgb="FFFF0000"/>
      </left>
      <right/>
      <top/>
      <bottom style="thin">
        <color theme="4" tint="0.39997558519241921"/>
      </bottom>
      <diagonal/>
    </border>
    <border>
      <left/>
      <right style="thick">
        <color rgb="FFFF0000"/>
      </right>
      <top/>
      <bottom style="thin">
        <color theme="4" tint="0.39997558519241921"/>
      </bottom>
      <diagonal/>
    </border>
    <border>
      <left style="thick">
        <color rgb="FFFF0000"/>
      </left>
      <right/>
      <top style="thin">
        <color theme="4" tint="0.39997558519241921"/>
      </top>
      <bottom style="thick">
        <color rgb="FFFF0000"/>
      </bottom>
      <diagonal/>
    </border>
    <border>
      <left/>
      <right/>
      <top style="thin">
        <color theme="4" tint="0.39997558519241921"/>
      </top>
      <bottom style="thick">
        <color rgb="FFFF0000"/>
      </bottom>
      <diagonal/>
    </border>
    <border>
      <left/>
      <right style="thick">
        <color rgb="FFFF0000"/>
      </right>
      <top style="thin">
        <color theme="4" tint="0.39997558519241921"/>
      </top>
      <bottom style="thick">
        <color rgb="FFFF0000"/>
      </bottom>
      <diagonal/>
    </border>
    <border>
      <left/>
      <right/>
      <top style="thick">
        <color rgb="FFFF0000"/>
      </top>
      <bottom style="thin">
        <color theme="4" tint="0.39997558519241921"/>
      </bottom>
      <diagonal/>
    </border>
    <border>
      <left style="thick">
        <color rgb="FFFF0000"/>
      </left>
      <right/>
      <top style="thick">
        <color rgb="FFFF0000"/>
      </top>
      <bottom style="medium">
        <color auto="1"/>
      </bottom>
      <diagonal/>
    </border>
    <border>
      <left/>
      <right/>
      <top style="thick">
        <color rgb="FFFF0000"/>
      </top>
      <bottom style="medium">
        <color auto="1"/>
      </bottom>
      <diagonal/>
    </border>
    <border>
      <left/>
      <right style="thick">
        <color rgb="FFFF0000"/>
      </right>
      <top style="thick">
        <color rgb="FFFF0000"/>
      </top>
      <bottom style="medium">
        <color auto="1"/>
      </bottom>
      <diagonal/>
    </border>
    <border>
      <left/>
      <right style="thin">
        <color indexed="64"/>
      </right>
      <top style="thick">
        <color rgb="FFFF0000"/>
      </top>
      <bottom style="medium">
        <color indexed="64"/>
      </bottom>
      <diagonal/>
    </border>
  </borders>
  <cellStyleXfs count="46318">
    <xf numFmtId="0" fontId="0" fillId="0" borderId="0"/>
    <xf numFmtId="43" fontId="1" fillId="0" borderId="0" applyFont="0" applyFill="0" applyBorder="0" applyAlignment="0" applyProtection="0"/>
    <xf numFmtId="9" fontId="20" fillId="0" borderId="0" applyFont="0" applyFill="0" applyBorder="0" applyAlignment="0" applyProtection="0"/>
    <xf numFmtId="37" fontId="3" fillId="2" borderId="0" applyFill="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xf numFmtId="0" fontId="4" fillId="0" borderId="0"/>
    <xf numFmtId="9" fontId="1" fillId="0" borderId="0" applyFont="0" applyFill="0" applyBorder="0" applyAlignment="0" applyProtection="0"/>
    <xf numFmtId="41" fontId="4" fillId="0" borderId="0"/>
    <xf numFmtId="3" fontId="4"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0" fillId="0" borderId="0" applyFont="0" applyFill="0" applyBorder="0" applyAlignment="0" applyProtection="0"/>
    <xf numFmtId="169" fontId="20" fillId="0" borderId="0" applyFont="0" applyFill="0" applyBorder="0" applyAlignment="0" applyProtection="0"/>
    <xf numFmtId="44" fontId="1" fillId="0" borderId="0" applyFont="0" applyFill="0" applyBorder="0" applyAlignment="0" applyProtection="0"/>
    <xf numFmtId="170" fontId="20"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5" fillId="0" borderId="0">
      <alignment vertical="top"/>
    </xf>
    <xf numFmtId="0" fontId="5" fillId="0" borderId="0">
      <alignment vertical="top"/>
    </xf>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4" fillId="0" borderId="0"/>
    <xf numFmtId="44" fontId="1" fillId="0" borderId="0" applyFont="0" applyFill="0" applyBorder="0" applyAlignment="0" applyProtection="0"/>
    <xf numFmtId="0" fontId="25" fillId="0" borderId="0"/>
    <xf numFmtId="0" fontId="3" fillId="0" borderId="0"/>
    <xf numFmtId="0" fontId="4" fillId="0" borderId="0"/>
    <xf numFmtId="43" fontId="3" fillId="0" borderId="0" applyFont="0" applyFill="0" applyBorder="0" applyAlignment="0" applyProtection="0"/>
    <xf numFmtId="43" fontId="4" fillId="0" borderId="0" applyFont="0" applyFill="0" applyBorder="0" applyAlignment="0" applyProtection="0"/>
    <xf numFmtId="0" fontId="32"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 fillId="0" borderId="0"/>
    <xf numFmtId="0" fontId="4" fillId="0" borderId="0"/>
    <xf numFmtId="0" fontId="1" fillId="0" borderId="0"/>
    <xf numFmtId="9" fontId="32" fillId="0" borderId="0" applyFont="0" applyFill="0" applyBorder="0" applyAlignment="0" applyProtection="0"/>
    <xf numFmtId="0" fontId="4" fillId="0" borderId="0"/>
    <xf numFmtId="0" fontId="4" fillId="0" borderId="0"/>
    <xf numFmtId="0" fontId="4" fillId="0" borderId="0"/>
    <xf numFmtId="43" fontId="1" fillId="0" borderId="0" applyFont="0" applyFill="0" applyBorder="0" applyAlignment="0" applyProtection="0"/>
    <xf numFmtId="44" fontId="1" fillId="0" borderId="0" applyFont="0" applyFill="0" applyBorder="0" applyAlignment="0" applyProtection="0"/>
    <xf numFmtId="0" fontId="5" fillId="0" borderId="0">
      <alignment vertical="top"/>
    </xf>
    <xf numFmtId="43" fontId="5" fillId="0" borderId="0" applyFont="0" applyFill="0" applyBorder="0" applyAlignment="0" applyProtection="0">
      <alignment vertical="top"/>
    </xf>
    <xf numFmtId="44" fontId="5" fillId="0" borderId="0" applyFont="0" applyFill="0" applyBorder="0" applyAlignment="0" applyProtection="0">
      <alignment vertical="top"/>
    </xf>
    <xf numFmtId="9" fontId="35" fillId="0" borderId="0" applyFont="0" applyFill="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29"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13"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31" borderId="0" applyNumberFormat="0" applyBorder="0" applyAlignment="0" applyProtection="0"/>
    <xf numFmtId="0" fontId="36" fillId="17"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29"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3" borderId="0" applyNumberFormat="0" applyBorder="0" applyAlignment="0" applyProtection="0"/>
    <xf numFmtId="0" fontId="36" fillId="35"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6"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41" fontId="4" fillId="0" borderId="0"/>
    <xf numFmtId="41" fontId="4" fillId="0" borderId="0"/>
    <xf numFmtId="41" fontId="4" fillId="0" borderId="0"/>
    <xf numFmtId="49" fontId="37" fillId="0" borderId="0" applyFill="0" applyBorder="0" applyAlignment="0" applyProtection="0"/>
    <xf numFmtId="0" fontId="38" fillId="0" borderId="17" applyBorder="0">
      <alignment horizontal="center" vertical="center" wrapText="1"/>
    </xf>
    <xf numFmtId="0" fontId="39" fillId="18" borderId="0" applyNumberFormat="0" applyBorder="0" applyAlignment="0" applyProtection="0"/>
    <xf numFmtId="0" fontId="39" fillId="18" borderId="0" applyNumberFormat="0" applyBorder="0" applyAlignment="0" applyProtection="0"/>
    <xf numFmtId="0" fontId="39" fillId="21" borderId="0" applyNumberFormat="0" applyBorder="0" applyAlignment="0" applyProtection="0"/>
    <xf numFmtId="3" fontId="4" fillId="0" borderId="0"/>
    <xf numFmtId="3" fontId="4" fillId="0" borderId="0"/>
    <xf numFmtId="3" fontId="4" fillId="0" borderId="0"/>
    <xf numFmtId="0" fontId="40" fillId="37" borderId="20" applyNumberFormat="0" applyAlignment="0" applyProtection="0"/>
    <xf numFmtId="0" fontId="40" fillId="37" borderId="20" applyNumberFormat="0" applyAlignment="0" applyProtection="0"/>
    <xf numFmtId="0" fontId="41" fillId="37" borderId="20" applyNumberFormat="0" applyAlignment="0" applyProtection="0"/>
    <xf numFmtId="0" fontId="40" fillId="13" borderId="20" applyNumberFormat="0" applyAlignment="0" applyProtection="0"/>
    <xf numFmtId="0" fontId="40" fillId="13" borderId="20" applyNumberFormat="0" applyAlignment="0" applyProtection="0"/>
    <xf numFmtId="0" fontId="42" fillId="37" borderId="20" applyNumberFormat="0" applyAlignment="0" applyProtection="0"/>
    <xf numFmtId="0" fontId="42" fillId="37" borderId="20" applyNumberFormat="0" applyAlignment="0" applyProtection="0"/>
    <xf numFmtId="0" fontId="43" fillId="38" borderId="21" applyNumberFormat="0" applyAlignment="0" applyProtection="0"/>
    <xf numFmtId="0" fontId="43" fillId="39" borderId="22" applyNumberFormat="0" applyAlignment="0" applyProtection="0"/>
    <xf numFmtId="0" fontId="44" fillId="40" borderId="0" applyNumberFormat="0" applyBorder="0" applyAlignment="0" applyProtection="0">
      <alignment horizontal="center"/>
      <protection hidden="1"/>
    </xf>
    <xf numFmtId="0" fontId="4" fillId="41" borderId="0">
      <alignment horizont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alignment vertical="top"/>
    </xf>
    <xf numFmtId="43" fontId="35"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5" fillId="0" borderId="0"/>
    <xf numFmtId="0" fontId="47" fillId="0" borderId="0"/>
    <xf numFmtId="0" fontId="47" fillId="0" borderId="0"/>
    <xf numFmtId="0" fontId="48" fillId="42" borderId="1" applyAlignment="0">
      <alignment horizontal="right"/>
      <protection locked="0"/>
    </xf>
    <xf numFmtId="44" fontId="1"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xf numFmtId="0" fontId="50" fillId="43" borderId="0">
      <alignment horizontal="right"/>
      <protection locked="0"/>
    </xf>
    <xf numFmtId="14" fontId="4" fillId="0" borderId="0"/>
    <xf numFmtId="0" fontId="51" fillId="0" borderId="0" applyNumberFormat="0" applyFill="0" applyBorder="0" applyAlignment="0" applyProtection="0"/>
    <xf numFmtId="0" fontId="51" fillId="0" borderId="0" applyNumberFormat="0" applyFill="0" applyBorder="0" applyAlignment="0" applyProtection="0"/>
    <xf numFmtId="2" fontId="50" fillId="43" borderId="0">
      <alignment horizontal="right"/>
      <protection locked="0"/>
    </xf>
    <xf numFmtId="1" fontId="4" fillId="0" borderId="0">
      <alignment horizontal="center"/>
    </xf>
    <xf numFmtId="0" fontId="52" fillId="20" borderId="0" applyNumberFormat="0" applyBorder="0" applyAlignment="0" applyProtection="0"/>
    <xf numFmtId="0" fontId="52" fillId="20" borderId="0" applyNumberFormat="0" applyBorder="0" applyAlignment="0" applyProtection="0"/>
    <xf numFmtId="0" fontId="52" fillId="22" borderId="0" applyNumberFormat="0" applyBorder="0" applyAlignment="0" applyProtection="0"/>
    <xf numFmtId="0" fontId="34" fillId="12" borderId="0" applyNumberFormat="0" applyBorder="0" applyAlignment="0" applyProtection="0"/>
    <xf numFmtId="0" fontId="53" fillId="0" borderId="23"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6" fillId="0" borderId="27" applyNumberFormat="0" applyFill="0" applyAlignment="0" applyProtection="0"/>
    <xf numFmtId="0" fontId="56" fillId="0" borderId="27" applyNumberFormat="0" applyFill="0" applyAlignment="0" applyProtection="0"/>
    <xf numFmtId="0" fontId="57"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9" fillId="0" borderId="29" applyNumberFormat="0" applyFill="0" applyAlignment="0" applyProtection="0"/>
    <xf numFmtId="0" fontId="59" fillId="0" borderId="29" applyNumberFormat="0" applyFill="0" applyAlignment="0" applyProtection="0"/>
    <xf numFmtId="0" fontId="60" fillId="0" borderId="30" applyNumberFormat="0" applyFill="0" applyAlignment="0" applyProtection="0"/>
    <xf numFmtId="0" fontId="61" fillId="0" borderId="31" applyNumberFormat="0" applyFill="0" applyAlignment="0" applyProtection="0"/>
    <xf numFmtId="0" fontId="61" fillId="0" borderId="31" applyNumberFormat="0" applyFill="0" applyAlignment="0" applyProtection="0"/>
    <xf numFmtId="0" fontId="59" fillId="0" borderId="32" applyNumberFormat="0" applyFill="0" applyAlignment="0" applyProtection="0"/>
    <xf numFmtId="0" fontId="59" fillId="0" borderId="32"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59"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23" borderId="20" applyNumberFormat="0" applyAlignment="0" applyProtection="0"/>
    <xf numFmtId="0" fontId="66" fillId="14" borderId="20" applyNumberFormat="0" applyAlignment="0" applyProtection="0"/>
    <xf numFmtId="0" fontId="66" fillId="23" borderId="20" applyNumberFormat="0" applyAlignment="0" applyProtection="0"/>
    <xf numFmtId="3" fontId="67" fillId="44" borderId="0">
      <protection locked="0"/>
    </xf>
    <xf numFmtId="4" fontId="67" fillId="44" borderId="0">
      <protection locked="0"/>
    </xf>
    <xf numFmtId="0" fontId="38" fillId="0" borderId="17" applyBorder="0">
      <alignment horizontal="center" vertical="center" wrapText="1"/>
    </xf>
    <xf numFmtId="0" fontId="68" fillId="0" borderId="33" applyNumberFormat="0" applyFill="0" applyAlignment="0" applyProtection="0"/>
    <xf numFmtId="0" fontId="68" fillId="0" borderId="33" applyNumberFormat="0" applyFill="0" applyAlignment="0" applyProtection="0"/>
    <xf numFmtId="0" fontId="69" fillId="0" borderId="34" applyNumberFormat="0" applyFill="0" applyAlignment="0" applyProtection="0"/>
    <xf numFmtId="0" fontId="68" fillId="0" borderId="33" applyNumberFormat="0" applyFill="0" applyAlignment="0" applyProtection="0"/>
    <xf numFmtId="0" fontId="70" fillId="0" borderId="35" applyNumberFormat="0" applyFill="0" applyAlignment="0" applyProtection="0"/>
    <xf numFmtId="0" fontId="71" fillId="23" borderId="0" applyNumberFormat="0" applyBorder="0" applyAlignment="0" applyProtection="0"/>
    <xf numFmtId="0" fontId="71" fillId="23" borderId="0" applyNumberFormat="0" applyBorder="0" applyAlignment="0" applyProtection="0"/>
    <xf numFmtId="0" fontId="72" fillId="23" borderId="0" applyNumberFormat="0" applyBorder="0" applyAlignment="0" applyProtection="0"/>
    <xf numFmtId="0" fontId="71" fillId="23" borderId="0" applyNumberFormat="0" applyBorder="0" applyAlignment="0" applyProtection="0"/>
    <xf numFmtId="0" fontId="73" fillId="23" borderId="0" applyNumberFormat="0" applyBorder="0" applyAlignment="0" applyProtection="0"/>
    <xf numFmtId="43" fontId="4" fillId="0" borderId="0"/>
    <xf numFmtId="0" fontId="1" fillId="0" borderId="0"/>
    <xf numFmtId="0" fontId="35" fillId="0" borderId="0"/>
    <xf numFmtId="0" fontId="35" fillId="0" borderId="0"/>
    <xf numFmtId="0" fontId="4" fillId="0" borderId="0"/>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1" fillId="0" borderId="0"/>
    <xf numFmtId="0" fontId="4" fillId="0" borderId="0"/>
    <xf numFmtId="0" fontId="4" fillId="0" borderId="0"/>
    <xf numFmtId="0" fontId="4" fillId="0" borderId="0"/>
    <xf numFmtId="0" fontId="35" fillId="0" borderId="0"/>
    <xf numFmtId="0" fontId="1" fillId="0" borderId="0"/>
    <xf numFmtId="0" fontId="31" fillId="0" borderId="0"/>
    <xf numFmtId="0" fontId="4" fillId="0" borderId="0"/>
    <xf numFmtId="0" fontId="1" fillId="0" borderId="0"/>
    <xf numFmtId="0" fontId="35" fillId="0" borderId="0"/>
    <xf numFmtId="0" fontId="1" fillId="0" borderId="0"/>
    <xf numFmtId="0" fontId="46" fillId="0" borderId="0"/>
    <xf numFmtId="0" fontId="4" fillId="0" borderId="0"/>
    <xf numFmtId="0" fontId="1" fillId="0" borderId="0"/>
    <xf numFmtId="0" fontId="35" fillId="0" borderId="0"/>
    <xf numFmtId="0" fontId="1" fillId="0" borderId="0"/>
    <xf numFmtId="0" fontId="4" fillId="0" borderId="0"/>
    <xf numFmtId="0" fontId="35" fillId="0" borderId="0"/>
    <xf numFmtId="0" fontId="4" fillId="0" borderId="0"/>
    <xf numFmtId="0" fontId="1" fillId="0" borderId="0"/>
    <xf numFmtId="0" fontId="35" fillId="0" borderId="0"/>
    <xf numFmtId="0" fontId="4" fillId="0" borderId="0"/>
    <xf numFmtId="0" fontId="35" fillId="0" borderId="0"/>
    <xf numFmtId="0" fontId="4" fillId="0" borderId="0"/>
    <xf numFmtId="0" fontId="35" fillId="0" borderId="0"/>
    <xf numFmtId="0" fontId="4" fillId="0" borderId="0"/>
    <xf numFmtId="0" fontId="35" fillId="0" borderId="0"/>
    <xf numFmtId="0" fontId="35" fillId="0" borderId="0"/>
    <xf numFmtId="0" fontId="4" fillId="0" borderId="0"/>
    <xf numFmtId="0" fontId="35"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 fillId="0" borderId="0"/>
    <xf numFmtId="0" fontId="4" fillId="0" borderId="0">
      <alignment wrapText="1"/>
    </xf>
    <xf numFmtId="0" fontId="35" fillId="0" borderId="0"/>
    <xf numFmtId="0" fontId="35" fillId="0" borderId="0"/>
    <xf numFmtId="0" fontId="4" fillId="0" borderId="0"/>
    <xf numFmtId="0" fontId="35" fillId="0" borderId="0"/>
    <xf numFmtId="0" fontId="35" fillId="0" borderId="0"/>
    <xf numFmtId="0" fontId="4" fillId="0" borderId="0"/>
    <xf numFmtId="0" fontId="4" fillId="0" borderId="0"/>
    <xf numFmtId="0" fontId="4" fillId="0" borderId="0"/>
    <xf numFmtId="0" fontId="4" fillId="0" borderId="0">
      <alignment wrapText="1"/>
    </xf>
    <xf numFmtId="0" fontId="5" fillId="0" borderId="0">
      <alignment vertical="top"/>
    </xf>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1" fillId="0" borderId="0"/>
    <xf numFmtId="0" fontId="35" fillId="0" borderId="0"/>
    <xf numFmtId="0" fontId="24" fillId="0" borderId="0"/>
    <xf numFmtId="172" fontId="24" fillId="0" borderId="0"/>
    <xf numFmtId="0" fontId="4" fillId="0" borderId="0"/>
    <xf numFmtId="0" fontId="4" fillId="0" borderId="0"/>
    <xf numFmtId="0" fontId="4" fillId="0" borderId="0"/>
    <xf numFmtId="0" fontId="20"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1" fillId="0" borderId="0"/>
    <xf numFmtId="0" fontId="4" fillId="0" borderId="0"/>
    <xf numFmtId="0" fontId="1" fillId="0" borderId="0"/>
    <xf numFmtId="0" fontId="1"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31" fillId="0" borderId="0"/>
    <xf numFmtId="0" fontId="35" fillId="0" borderId="0"/>
    <xf numFmtId="0" fontId="5" fillId="0" borderId="0">
      <alignment vertical="top"/>
    </xf>
    <xf numFmtId="0" fontId="5" fillId="0" borderId="0">
      <alignment vertical="top"/>
    </xf>
    <xf numFmtId="0" fontId="5" fillId="0" borderId="0">
      <alignment vertical="top"/>
    </xf>
    <xf numFmtId="0" fontId="35" fillId="0" borderId="0"/>
    <xf numFmtId="0" fontId="4" fillId="0" borderId="0"/>
    <xf numFmtId="0" fontId="35" fillId="0" borderId="0"/>
    <xf numFmtId="0" fontId="35" fillId="0" borderId="0"/>
    <xf numFmtId="0" fontId="35"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19" borderId="36" applyNumberFormat="0" applyFont="0" applyAlignment="0" applyProtection="0"/>
    <xf numFmtId="0" fontId="35" fillId="19" borderId="36" applyNumberFormat="0" applyFont="0" applyAlignment="0" applyProtection="0"/>
    <xf numFmtId="0" fontId="5" fillId="19" borderId="36" applyNumberFormat="0" applyFont="0" applyAlignment="0" applyProtection="0"/>
    <xf numFmtId="0" fontId="21" fillId="19" borderId="36" applyNumberFormat="0" applyFont="0" applyAlignment="0" applyProtection="0"/>
    <xf numFmtId="0" fontId="21" fillId="19" borderId="36" applyNumberFormat="0" applyFont="0" applyAlignment="0" applyProtection="0"/>
    <xf numFmtId="0" fontId="24" fillId="19" borderId="36" applyNumberFormat="0" applyFont="0" applyAlignment="0" applyProtection="0"/>
    <xf numFmtId="0" fontId="24" fillId="19" borderId="36" applyNumberFormat="0" applyFont="0" applyAlignment="0" applyProtection="0"/>
    <xf numFmtId="168" fontId="74" fillId="0" borderId="0" applyNumberFormat="0"/>
    <xf numFmtId="0" fontId="59" fillId="37" borderId="37" applyNumberFormat="0" applyAlignment="0" applyProtection="0"/>
    <xf numFmtId="0" fontId="75" fillId="13" borderId="38" applyNumberFormat="0" applyAlignment="0" applyProtection="0"/>
    <xf numFmtId="0" fontId="75" fillId="37" borderId="38" applyNumberFormat="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68" fontId="4" fillId="0" borderId="0" applyFont="0" applyFill="0" applyBorder="0" applyAlignment="0" applyProtection="0"/>
    <xf numFmtId="10" fontId="4" fillId="0" borderId="0" applyFont="0" applyFill="0" applyBorder="0" applyAlignment="0" applyProtection="0"/>
    <xf numFmtId="173" fontId="49" fillId="0" borderId="0">
      <alignment horizontal="center"/>
    </xf>
    <xf numFmtId="0" fontId="4" fillId="0" borderId="0"/>
    <xf numFmtId="0" fontId="4" fillId="0" borderId="0"/>
    <xf numFmtId="0" fontId="4" fillId="0" borderId="0"/>
    <xf numFmtId="38" fontId="76" fillId="0" borderId="0" applyNumberFormat="0" applyFont="0" applyFill="0" applyBorder="0">
      <alignment horizontal="left" indent="4"/>
      <protection locked="0"/>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77" fillId="0" borderId="2">
      <alignment horizontal="center"/>
    </xf>
    <xf numFmtId="3" fontId="20" fillId="0" borderId="0" applyFont="0" applyFill="0" applyBorder="0" applyAlignment="0" applyProtection="0"/>
    <xf numFmtId="0" fontId="20" fillId="45" borderId="0" applyNumberFormat="0" applyFont="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alignment vertical="top"/>
    </xf>
    <xf numFmtId="0" fontId="5" fillId="0" borderId="0">
      <alignment vertical="top"/>
    </xf>
    <xf numFmtId="0" fontId="5" fillId="0" borderId="0" applyNumberFormat="0" applyBorder="0" applyAlignment="0"/>
    <xf numFmtId="37" fontId="79" fillId="0" borderId="0"/>
    <xf numFmtId="174" fontId="80" fillId="2" borderId="0" applyFill="0" applyBorder="0" applyProtection="0">
      <alignment horizontal="center"/>
      <protection hidden="1"/>
    </xf>
    <xf numFmtId="0"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39" applyNumberFormat="0" applyFill="0" applyAlignment="0" applyProtection="0"/>
    <xf numFmtId="0" fontId="84" fillId="0" borderId="39" applyNumberFormat="0" applyFill="0" applyAlignment="0" applyProtection="0"/>
    <xf numFmtId="0" fontId="84" fillId="0" borderId="40"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2" applyNumberFormat="0" applyFill="0" applyAlignment="0" applyProtection="0"/>
    <xf numFmtId="0" fontId="84" fillId="0" borderId="42" applyNumberFormat="0" applyFill="0" applyAlignment="0" applyProtection="0"/>
    <xf numFmtId="0" fontId="85" fillId="0" borderId="0">
      <alignment horizontal="center"/>
    </xf>
    <xf numFmtId="0" fontId="70" fillId="0" borderId="0" applyNumberFormat="0" applyFill="0" applyBorder="0" applyAlignment="0" applyProtection="0"/>
    <xf numFmtId="0" fontId="70" fillId="0" borderId="0" applyNumberFormat="0" applyFill="0" applyBorder="0" applyAlignment="0" applyProtection="0"/>
    <xf numFmtId="164" fontId="3" fillId="4" borderId="0" applyFont="0" applyFill="0" applyBorder="0" applyAlignment="0" applyProtection="0">
      <alignment wrapText="1"/>
    </xf>
    <xf numFmtId="172" fontId="24" fillId="0" borderId="0"/>
    <xf numFmtId="43" fontId="35" fillId="0" borderId="0" applyFont="0" applyFill="0" applyBorder="0" applyAlignment="0" applyProtection="0"/>
    <xf numFmtId="43" fontId="35" fillId="0" borderId="0" applyFont="0" applyFill="0" applyBorder="0" applyAlignment="0" applyProtection="0"/>
    <xf numFmtId="0" fontId="52" fillId="22" borderId="0" applyNumberFormat="0" applyBorder="0" applyAlignment="0" applyProtection="0"/>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35" fillId="0" borderId="0" applyFont="0" applyFill="0" applyBorder="0" applyAlignment="0" applyProtection="0"/>
    <xf numFmtId="0" fontId="1" fillId="0" borderId="0"/>
    <xf numFmtId="172" fontId="24" fillId="0" borderId="0"/>
    <xf numFmtId="0" fontId="4" fillId="0" borderId="0"/>
    <xf numFmtId="0" fontId="33" fillId="0" borderId="0"/>
    <xf numFmtId="9" fontId="4" fillId="0" borderId="0" applyFont="0" applyFill="0" applyBorder="0" applyAlignment="0" applyProtection="0"/>
    <xf numFmtId="9"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0" fontId="33" fillId="0" borderId="0"/>
    <xf numFmtId="43" fontId="5" fillId="0" borderId="0" applyFont="0" applyFill="0" applyBorder="0" applyAlignment="0" applyProtection="0">
      <alignment vertical="top"/>
    </xf>
    <xf numFmtId="43" fontId="35" fillId="0" borderId="0" applyFont="0" applyFill="0" applyBorder="0" applyAlignment="0" applyProtection="0"/>
    <xf numFmtId="0" fontId="35" fillId="0" borderId="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Border="0" applyAlignment="0"/>
    <xf numFmtId="0" fontId="35" fillId="18"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2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0" borderId="0" applyNumberFormat="0" applyBorder="0" applyAlignment="0" applyProtection="0"/>
    <xf numFmtId="0" fontId="36" fillId="29"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61" fillId="0" borderId="0" applyNumberFormat="0" applyFill="0" applyBorder="0" applyAlignment="0" applyProtection="0"/>
    <xf numFmtId="0" fontId="89" fillId="0" borderId="0" applyNumberFormat="0" applyFill="0" applyBorder="0" applyAlignment="0" applyProtection="0">
      <alignment vertical="top"/>
      <protection locked="0"/>
    </xf>
    <xf numFmtId="0" fontId="66" fillId="14" borderId="20" applyNumberFormat="0" applyAlignment="0" applyProtection="0"/>
    <xf numFmtId="0" fontId="68" fillId="0" borderId="33" applyNumberFormat="0" applyFill="0" applyAlignment="0" applyProtection="0"/>
    <xf numFmtId="0" fontId="71" fillId="23" borderId="0" applyNumberFormat="0" applyBorder="0" applyAlignment="0" applyProtection="0"/>
    <xf numFmtId="0" fontId="1" fillId="0" borderId="0"/>
    <xf numFmtId="0" fontId="75" fillId="13" borderId="38" applyNumberFormat="0" applyAlignment="0" applyProtection="0"/>
    <xf numFmtId="0" fontId="82" fillId="0" borderId="0" applyNumberFormat="0" applyFill="0" applyBorder="0" applyAlignment="0" applyProtection="0"/>
    <xf numFmtId="0" fontId="97" fillId="37" borderId="0"/>
    <xf numFmtId="172" fontId="24" fillId="0" borderId="0"/>
    <xf numFmtId="0" fontId="96" fillId="62" borderId="0" applyNumberFormat="0" applyBorder="0" applyAlignment="0" applyProtection="0"/>
    <xf numFmtId="0" fontId="1" fillId="0" borderId="0"/>
    <xf numFmtId="10" fontId="49" fillId="2" borderId="0"/>
    <xf numFmtId="0" fontId="1" fillId="0" borderId="0"/>
    <xf numFmtId="9" fontId="24" fillId="0" borderId="0" applyFont="0" applyFill="0" applyBorder="0" applyAlignment="0" applyProtection="0"/>
    <xf numFmtId="0" fontId="1" fillId="0" borderId="0"/>
    <xf numFmtId="41" fontId="49" fillId="2" borderId="0">
      <alignment horizontal="left"/>
    </xf>
    <xf numFmtId="177" fontId="24" fillId="0" borderId="0" applyFont="0" applyFill="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35" fillId="20"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35" fillId="20"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5" fillId="2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5" fillId="2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5" fillId="1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5" fillId="17"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35" fillId="24" borderId="0" applyNumberFormat="0" applyBorder="0" applyAlignment="0" applyProtection="0"/>
    <xf numFmtId="0" fontId="35" fillId="18" borderId="0" applyNumberFormat="0" applyBorder="0" applyAlignment="0" applyProtection="0"/>
    <xf numFmtId="0" fontId="35" fillId="2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5" fillId="23" borderId="0" applyNumberFormat="0" applyBorder="0" applyAlignment="0" applyProtection="0"/>
    <xf numFmtId="0" fontId="35" fillId="19" borderId="0" applyNumberFormat="0" applyBorder="0" applyAlignment="0" applyProtection="0"/>
    <xf numFmtId="0" fontId="35" fillId="2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5" fillId="25"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96" fillId="53" borderId="0" applyNumberFormat="0" applyBorder="0" applyAlignment="0" applyProtection="0"/>
    <xf numFmtId="0" fontId="36" fillId="29" borderId="0" applyNumberFormat="0" applyBorder="0" applyAlignment="0" applyProtection="0"/>
    <xf numFmtId="0" fontId="36" fillId="25" borderId="0" applyNumberFormat="0" applyBorder="0" applyAlignment="0" applyProtection="0"/>
    <xf numFmtId="0" fontId="96" fillId="58" borderId="0" applyNumberFormat="0" applyBorder="0" applyAlignment="0" applyProtection="0"/>
    <xf numFmtId="0" fontId="36" fillId="18" borderId="0" applyNumberFormat="0" applyBorder="0" applyAlignment="0" applyProtection="0"/>
    <xf numFmtId="0" fontId="96" fillId="61"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6" borderId="0" applyNumberFormat="0" applyBorder="0" applyAlignment="0" applyProtection="0"/>
    <xf numFmtId="0" fontId="36" fillId="33" borderId="0" applyNumberFormat="0" applyBorder="0" applyAlignment="0" applyProtection="0"/>
    <xf numFmtId="0" fontId="96" fillId="50" borderId="0" applyNumberFormat="0" applyBorder="0" applyAlignment="0" applyProtection="0"/>
    <xf numFmtId="0" fontId="36" fillId="29"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96" fillId="62" borderId="0" applyNumberFormat="0" applyBorder="0" applyAlignment="0" applyProtection="0"/>
    <xf numFmtId="0" fontId="36" fillId="34" borderId="0" applyNumberFormat="0" applyBorder="0" applyAlignment="0" applyProtection="0"/>
    <xf numFmtId="41" fontId="4" fillId="0" borderId="0"/>
    <xf numFmtId="41" fontId="4" fillId="0" borderId="0"/>
    <xf numFmtId="41" fontId="4" fillId="0" borderId="0"/>
    <xf numFmtId="0" fontId="39" fillId="21" borderId="0" applyNumberFormat="0" applyBorder="0" applyAlignment="0" applyProtection="0"/>
    <xf numFmtId="0" fontId="40" fillId="37" borderId="20" applyNumberFormat="0" applyAlignment="0" applyProtection="0"/>
    <xf numFmtId="0" fontId="42" fillId="37" borderId="20" applyNumberFormat="0" applyAlignment="0" applyProtection="0"/>
    <xf numFmtId="0" fontId="40" fillId="13" borderId="20" applyNumberFormat="0" applyAlignment="0" applyProtection="0"/>
    <xf numFmtId="0" fontId="40" fillId="13" borderId="20" applyNumberFormat="0" applyAlignment="0" applyProtection="0"/>
    <xf numFmtId="0" fontId="93" fillId="47" borderId="46" applyNumberFormat="0" applyAlignment="0" applyProtection="0"/>
    <xf numFmtId="0" fontId="43" fillId="38" borderId="21" applyNumberFormat="0" applyAlignment="0" applyProtection="0"/>
    <xf numFmtId="0" fontId="43" fillId="39" borderId="22" applyNumberFormat="0" applyAlignment="0" applyProtection="0"/>
    <xf numFmtId="0" fontId="43" fillId="38" borderId="21" applyNumberFormat="0" applyAlignment="0" applyProtection="0"/>
    <xf numFmtId="0" fontId="2" fillId="48"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alignment vertical="top"/>
    </xf>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26"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alignment wrapText="1"/>
    </xf>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24" fillId="0" borderId="0"/>
    <xf numFmtId="0" fontId="24" fillId="0" borderId="0"/>
    <xf numFmtId="0" fontId="24" fillId="0" borderId="57"/>
    <xf numFmtId="181" fontId="4" fillId="0" borderId="0" applyFont="0" applyFill="0" applyBorder="0" applyAlignment="0" applyProtection="0"/>
    <xf numFmtId="181" fontId="4" fillId="0" borderId="0" applyFont="0" applyFill="0" applyBorder="0" applyAlignment="0" applyProtection="0"/>
    <xf numFmtId="0" fontId="95" fillId="0" borderId="0" applyNumberFormat="0" applyFill="0" applyBorder="0" applyAlignment="0" applyProtection="0"/>
    <xf numFmtId="0" fontId="52" fillId="20"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53" fillId="0" borderId="23" applyNumberFormat="0" applyFill="0" applyAlignment="0" applyProtection="0"/>
    <xf numFmtId="0" fontId="53" fillId="0" borderId="26" applyNumberFormat="0" applyFill="0" applyAlignment="0" applyProtection="0"/>
    <xf numFmtId="0" fontId="90" fillId="0" borderId="43" applyNumberFormat="0" applyFill="0" applyAlignment="0" applyProtection="0"/>
    <xf numFmtId="0" fontId="56" fillId="0" borderId="28" applyNumberFormat="0" applyFill="0" applyAlignment="0" applyProtection="0"/>
    <xf numFmtId="0" fontId="91" fillId="0" borderId="44" applyNumberFormat="0" applyFill="0" applyAlignment="0" applyProtection="0"/>
    <xf numFmtId="0" fontId="59" fillId="0" borderId="29" applyNumberFormat="0" applyFill="0" applyAlignment="0" applyProtection="0"/>
    <xf numFmtId="0" fontId="59" fillId="0" borderId="32" applyNumberFormat="0" applyFill="0" applyAlignment="0" applyProtection="0"/>
    <xf numFmtId="0" fontId="92" fillId="0" borderId="45" applyNumberFormat="0" applyFill="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2"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65" fillId="23" borderId="20" applyNumberFormat="0" applyAlignment="0" applyProtection="0"/>
    <xf numFmtId="0" fontId="66" fillId="23" borderId="20" applyNumberFormat="0" applyAlignment="0" applyProtection="0"/>
    <xf numFmtId="0" fontId="66" fillId="23" borderId="20" applyNumberFormat="0" applyAlignment="0" applyProtection="0"/>
    <xf numFmtId="0" fontId="66" fillId="14" borderId="20" applyNumberFormat="0" applyAlignment="0" applyProtection="0"/>
    <xf numFmtId="0" fontId="129" fillId="69" borderId="57"/>
    <xf numFmtId="0" fontId="70" fillId="0" borderId="35" applyNumberFormat="0" applyFill="0" applyAlignment="0" applyProtection="0"/>
    <xf numFmtId="0" fontId="71" fillId="23" borderId="0" applyNumberFormat="0" applyBorder="0" applyAlignment="0" applyProtection="0"/>
    <xf numFmtId="0" fontId="73" fillId="23" borderId="0" applyNumberFormat="0" applyBorder="0" applyAlignment="0" applyProtection="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5"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0" borderId="0">
      <alignment vertical="top"/>
    </xf>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35"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20"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4" fillId="0" borderId="0"/>
    <xf numFmtId="0" fontId="1" fillId="0" borderId="0"/>
    <xf numFmtId="0" fontId="24" fillId="0" borderId="0"/>
    <xf numFmtId="0" fontId="1" fillId="0" borderId="0"/>
    <xf numFmtId="0" fontId="1" fillId="0" borderId="0"/>
    <xf numFmtId="0" fontId="24" fillId="0" borderId="0"/>
    <xf numFmtId="0" fontId="24" fillId="0" borderId="0"/>
    <xf numFmtId="0" fontId="4" fillId="0" borderId="0"/>
    <xf numFmtId="0" fontId="31" fillId="0" borderId="0"/>
    <xf numFmtId="0" fontId="24" fillId="0" borderId="0"/>
    <xf numFmtId="0" fontId="4" fillId="0" borderId="0"/>
    <xf numFmtId="0" fontId="24" fillId="0" borderId="0"/>
    <xf numFmtId="0" fontId="35"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 fillId="0" borderId="0"/>
    <xf numFmtId="0" fontId="24" fillId="0" borderId="0"/>
    <xf numFmtId="0" fontId="35"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4" fillId="0" borderId="0"/>
    <xf numFmtId="0" fontId="24" fillId="0" borderId="0"/>
    <xf numFmtId="0" fontId="1" fillId="0" borderId="0"/>
    <xf numFmtId="0" fontId="1" fillId="0" borderId="0"/>
    <xf numFmtId="0" fontId="1" fillId="0" borderId="0"/>
    <xf numFmtId="0" fontId="1" fillId="0" borderId="0"/>
    <xf numFmtId="0" fontId="24" fillId="0" borderId="0"/>
    <xf numFmtId="0" fontId="35" fillId="0" borderId="0"/>
    <xf numFmtId="0" fontId="1" fillId="0" borderId="0"/>
    <xf numFmtId="0" fontId="24" fillId="0" borderId="0"/>
    <xf numFmtId="0" fontId="4" fillId="0" borderId="0"/>
    <xf numFmtId="0" fontId="5" fillId="0" borderId="0">
      <alignment vertical="top"/>
    </xf>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40" fontId="126" fillId="0" borderId="0"/>
    <xf numFmtId="40" fontId="126"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24" fillId="0" borderId="0"/>
    <xf numFmtId="0" fontId="1" fillId="0" borderId="0"/>
    <xf numFmtId="0" fontId="35" fillId="0" borderId="0"/>
    <xf numFmtId="0" fontId="4" fillId="0" borderId="0">
      <alignment vertical="top"/>
    </xf>
    <xf numFmtId="0" fontId="4" fillId="0" borderId="0"/>
    <xf numFmtId="0" fontId="35" fillId="0" borderId="0"/>
    <xf numFmtId="0" fontId="1" fillId="0" borderId="0"/>
    <xf numFmtId="0" fontId="4" fillId="0" borderId="0"/>
    <xf numFmtId="0" fontId="35" fillId="0" borderId="0"/>
    <xf numFmtId="0" fontId="4" fillId="0" borderId="0"/>
    <xf numFmtId="0" fontId="35" fillId="0" borderId="0"/>
    <xf numFmtId="0" fontId="1" fillId="0" borderId="0"/>
    <xf numFmtId="0" fontId="4" fillId="0" borderId="0">
      <alignment wrapText="1"/>
    </xf>
    <xf numFmtId="0" fontId="24" fillId="0" borderId="0"/>
    <xf numFmtId="0" fontId="5" fillId="0" borderId="0">
      <alignment vertical="top"/>
    </xf>
    <xf numFmtId="0" fontId="24" fillId="0" borderId="0"/>
    <xf numFmtId="0" fontId="1" fillId="0" borderId="0"/>
    <xf numFmtId="0" fontId="24" fillId="0" borderId="0"/>
    <xf numFmtId="0" fontId="24" fillId="0" borderId="0"/>
    <xf numFmtId="0" fontId="35" fillId="0" borderId="0"/>
    <xf numFmtId="0" fontId="1" fillId="0" borderId="0"/>
    <xf numFmtId="0" fontId="24" fillId="0" borderId="0"/>
    <xf numFmtId="0" fontId="24" fillId="0" borderId="0"/>
    <xf numFmtId="0" fontId="35" fillId="0" borderId="0"/>
    <xf numFmtId="0" fontId="1" fillId="0" borderId="0"/>
    <xf numFmtId="0" fontId="4" fillId="0" borderId="0">
      <alignment wrapText="1"/>
    </xf>
    <xf numFmtId="0" fontId="4" fillId="0" borderId="0"/>
    <xf numFmtId="0" fontId="24" fillId="0" borderId="0"/>
    <xf numFmtId="0" fontId="24" fillId="0" borderId="0"/>
    <xf numFmtId="0" fontId="1" fillId="0" borderId="0"/>
    <xf numFmtId="0" fontId="5" fillId="0" borderId="0">
      <alignment vertical="top"/>
    </xf>
    <xf numFmtId="0" fontId="4" fillId="0" borderId="0"/>
    <xf numFmtId="0" fontId="24" fillId="0" borderId="0"/>
    <xf numFmtId="0" fontId="24" fillId="0" borderId="0"/>
    <xf numFmtId="0" fontId="5" fillId="0" borderId="0">
      <alignment vertical="top"/>
    </xf>
    <xf numFmtId="0" fontId="1" fillId="0" borderId="0"/>
    <xf numFmtId="0" fontId="24" fillId="0" borderId="0"/>
    <xf numFmtId="0" fontId="4" fillId="0" borderId="0"/>
    <xf numFmtId="0" fontId="24" fillId="0" borderId="0"/>
    <xf numFmtId="0" fontId="4" fillId="0" borderId="0"/>
    <xf numFmtId="0" fontId="4" fillId="0" borderId="0"/>
    <xf numFmtId="0" fontId="4" fillId="0" borderId="0"/>
    <xf numFmtId="0" fontId="1" fillId="0" borderId="0"/>
    <xf numFmtId="0" fontId="20" fillId="0" borderId="0"/>
    <xf numFmtId="0" fontId="1" fillId="0" borderId="0"/>
    <xf numFmtId="0" fontId="4" fillId="0" borderId="0"/>
    <xf numFmtId="0" fontId="24" fillId="0" borderId="0"/>
    <xf numFmtId="0" fontId="5" fillId="0" borderId="0">
      <alignment vertical="top"/>
    </xf>
    <xf numFmtId="0" fontId="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35" fillId="0" borderId="0"/>
    <xf numFmtId="0" fontId="1" fillId="0" borderId="0"/>
    <xf numFmtId="0" fontId="4" fillId="0" borderId="0">
      <alignment vertical="top"/>
    </xf>
    <xf numFmtId="0" fontId="1" fillId="0" borderId="0"/>
    <xf numFmtId="0" fontId="4" fillId="0" borderId="0"/>
    <xf numFmtId="0" fontId="24" fillId="0" borderId="0"/>
    <xf numFmtId="0" fontId="20" fillId="0" borderId="0"/>
    <xf numFmtId="0" fontId="1" fillId="0" borderId="0"/>
    <xf numFmtId="0" fontId="1" fillId="0" borderId="0"/>
    <xf numFmtId="0" fontId="4"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4" fillId="0" borderId="0"/>
    <xf numFmtId="0" fontId="1" fillId="0" borderId="0"/>
    <xf numFmtId="0" fontId="24" fillId="0" borderId="0"/>
    <xf numFmtId="0" fontId="4" fillId="0" borderId="0"/>
    <xf numFmtId="0" fontId="24" fillId="0" borderId="0"/>
    <xf numFmtId="0" fontId="4" fillId="0" borderId="0"/>
    <xf numFmtId="0" fontId="24" fillId="0" borderId="0"/>
    <xf numFmtId="0" fontId="1" fillId="0" borderId="0"/>
    <xf numFmtId="0" fontId="4" fillId="0" borderId="0"/>
    <xf numFmtId="0" fontId="1" fillId="0" borderId="0"/>
    <xf numFmtId="0" fontId="2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4" fillId="0" borderId="0"/>
    <xf numFmtId="0" fontId="24" fillId="0" borderId="0"/>
    <xf numFmtId="0" fontId="1" fillId="0" borderId="0"/>
    <xf numFmtId="0" fontId="1" fillId="0" borderId="0"/>
    <xf numFmtId="0" fontId="4" fillId="0" borderId="0"/>
    <xf numFmtId="0" fontId="1" fillId="0" borderId="0"/>
    <xf numFmtId="0" fontId="1" fillId="0" borderId="0"/>
    <xf numFmtId="0" fontId="4" fillId="0" borderId="0"/>
    <xf numFmtId="0" fontId="24" fillId="0" borderId="0"/>
    <xf numFmtId="0" fontId="1" fillId="0" borderId="0"/>
    <xf numFmtId="0" fontId="4" fillId="0" borderId="0"/>
    <xf numFmtId="0" fontId="24" fillId="0" borderId="0"/>
    <xf numFmtId="0" fontId="4" fillId="0" borderId="0"/>
    <xf numFmtId="0" fontId="24" fillId="0" borderId="0"/>
    <xf numFmtId="0" fontId="4" fillId="0" borderId="0"/>
    <xf numFmtId="0" fontId="24" fillId="0" borderId="0"/>
    <xf numFmtId="0" fontId="1" fillId="0" borderId="0"/>
    <xf numFmtId="0" fontId="4" fillId="0" borderId="0"/>
    <xf numFmtId="0" fontId="24" fillId="0" borderId="0"/>
    <xf numFmtId="0" fontId="31"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4" fillId="0" borderId="0"/>
    <xf numFmtId="0" fontId="49"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24" fillId="0" borderId="0"/>
    <xf numFmtId="0" fontId="4" fillId="0" borderId="0"/>
    <xf numFmtId="0" fontId="35" fillId="0" borderId="0"/>
    <xf numFmtId="0" fontId="4" fillId="0" borderId="0"/>
    <xf numFmtId="0" fontId="2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31"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35" fillId="0" borderId="0"/>
    <xf numFmtId="0" fontId="1" fillId="0" borderId="0"/>
    <xf numFmtId="0" fontId="4" fillId="0" borderId="0"/>
    <xf numFmtId="0" fontId="1" fillId="0" borderId="0"/>
    <xf numFmtId="0" fontId="4" fillId="0" borderId="0">
      <alignment wrapText="1"/>
    </xf>
    <xf numFmtId="0" fontId="4" fillId="0" borderId="0">
      <alignment wrapText="1"/>
    </xf>
    <xf numFmtId="0" fontId="4" fillId="0" borderId="0">
      <alignment wrapText="1"/>
    </xf>
    <xf numFmtId="0" fontId="1" fillId="0" borderId="0"/>
    <xf numFmtId="0" fontId="1" fillId="0" borderId="0"/>
    <xf numFmtId="0" fontId="4"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35" fillId="19" borderId="36" applyNumberFormat="0" applyFont="0" applyAlignment="0" applyProtection="0"/>
    <xf numFmtId="0" fontId="24" fillId="19" borderId="36" applyNumberFormat="0" applyFont="0" applyAlignment="0" applyProtection="0"/>
    <xf numFmtId="0" fontId="21" fillId="19" borderId="36" applyNumberFormat="0" applyFont="0" applyAlignment="0" applyProtection="0"/>
    <xf numFmtId="0" fontId="35" fillId="19" borderId="36" applyNumberFormat="0" applyFont="0" applyAlignment="0" applyProtection="0"/>
    <xf numFmtId="0" fontId="1" fillId="49" borderId="48" applyNumberFormat="0" applyFont="0" applyAlignment="0" applyProtection="0"/>
    <xf numFmtId="0" fontId="1" fillId="49" borderId="48" applyNumberFormat="0" applyFont="0" applyAlignment="0" applyProtection="0"/>
    <xf numFmtId="0" fontId="35" fillId="49" borderId="58" applyNumberFormat="0" applyFont="0" applyAlignment="0" applyProtection="0"/>
    <xf numFmtId="0" fontId="59" fillId="37" borderId="37" applyNumberFormat="0" applyAlignment="0" applyProtection="0"/>
    <xf numFmtId="0" fontId="75" fillId="37" borderId="38" applyNumberFormat="0" applyAlignment="0" applyProtection="0"/>
    <xf numFmtId="0" fontId="75" fillId="37" borderId="38" applyNumberFormat="0" applyAlignment="0" applyProtection="0"/>
    <xf numFmtId="0" fontId="59" fillId="37" borderId="37" applyNumberFormat="0" applyAlignment="0" applyProtection="0"/>
    <xf numFmtId="0" fontId="75" fillId="13" borderId="38" applyNumberFormat="0" applyAlignment="0" applyProtection="0"/>
    <xf numFmtId="0" fontId="75" fillId="13" borderId="38" applyNumberFormat="0" applyAlignment="0" applyProtection="0"/>
    <xf numFmtId="9" fontId="4" fillId="0" borderId="0" applyFont="0" applyFill="0" applyBorder="0" applyAlignment="0" applyProtection="0">
      <alignment wrapText="1"/>
    </xf>
    <xf numFmtId="9" fontId="1" fillId="0" borderId="0" applyFont="0" applyFill="0" applyBorder="0" applyAlignment="0" applyProtection="0"/>
    <xf numFmtId="9" fontId="35" fillId="0" borderId="0" applyFont="0" applyFill="0" applyBorder="0" applyAlignment="0" applyProtection="0"/>
    <xf numFmtId="9" fontId="5"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4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alignment wrapText="1"/>
    </xf>
    <xf numFmtId="0" fontId="77" fillId="0" borderId="50">
      <alignment horizontal="center"/>
    </xf>
    <xf numFmtId="0" fontId="24" fillId="0" borderId="0"/>
    <xf numFmtId="0" fontId="24" fillId="0" borderId="0"/>
    <xf numFmtId="0" fontId="5" fillId="0" borderId="0">
      <alignment vertical="top"/>
    </xf>
    <xf numFmtId="0" fontId="24" fillId="0" borderId="0"/>
    <xf numFmtId="0" fontId="5" fillId="0" borderId="0">
      <alignment vertical="top"/>
    </xf>
    <xf numFmtId="0" fontId="24" fillId="0" borderId="57"/>
    <xf numFmtId="0" fontId="24" fillId="0" borderId="57"/>
    <xf numFmtId="0" fontId="132" fillId="70" borderId="0"/>
    <xf numFmtId="0" fontId="133" fillId="7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39" applyNumberFormat="0" applyFill="0" applyAlignment="0" applyProtection="0"/>
    <xf numFmtId="0" fontId="84" fillId="0" borderId="39" applyNumberFormat="0" applyFill="0" applyAlignment="0" applyProtection="0"/>
    <xf numFmtId="0" fontId="84" fillId="0" borderId="42" applyNumberFormat="0" applyFill="0" applyAlignment="0" applyProtection="0"/>
    <xf numFmtId="0" fontId="84" fillId="0" borderId="39"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84" fillId="0" borderId="41" applyNumberFormat="0" applyFill="0" applyAlignment="0" applyProtection="0"/>
    <xf numFmtId="0" fontId="30" fillId="0" borderId="49" applyNumberFormat="0" applyFill="0" applyAlignment="0" applyProtection="0"/>
    <xf numFmtId="0" fontId="129" fillId="0" borderId="59"/>
    <xf numFmtId="0" fontId="129" fillId="0" borderId="59"/>
    <xf numFmtId="0" fontId="129" fillId="0" borderId="57"/>
    <xf numFmtId="0" fontId="129" fillId="0" borderId="57"/>
    <xf numFmtId="0" fontId="94" fillId="0" borderId="0" applyNumberFormat="0" applyFill="0" applyBorder="0" applyAlignment="0" applyProtection="0"/>
    <xf numFmtId="0" fontId="134" fillId="0" borderId="0"/>
    <xf numFmtId="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0" fillId="0" borderId="0" applyFont="0" applyFill="0" applyBorder="0" applyAlignment="0" applyProtection="0"/>
    <xf numFmtId="0" fontId="78" fillId="0" borderId="0"/>
    <xf numFmtId="0" fontId="66" fillId="14" borderId="20" applyNumberFormat="0" applyAlignment="0" applyProtection="0"/>
    <xf numFmtId="0" fontId="35" fillId="15"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6" fillId="28" borderId="0" applyNumberFormat="0" applyBorder="0" applyAlignment="0" applyProtection="0"/>
    <xf numFmtId="0" fontId="36" fillId="24"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30" borderId="0" applyNumberFormat="0" applyBorder="0" applyAlignment="0" applyProtection="0"/>
    <xf numFmtId="0" fontId="40" fillId="13" borderId="20"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9" fontId="20" fillId="0" borderId="0" applyFont="0" applyFill="0" applyBorder="0" applyAlignment="0" applyProtection="0"/>
    <xf numFmtId="44" fontId="3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0" fontId="4" fillId="0" borderId="0" applyFont="0" applyFill="0" applyBorder="0" applyAlignment="0" applyProtection="0"/>
    <xf numFmtId="0" fontId="55" fillId="0" borderId="25" applyNumberFormat="0" applyFill="0" applyAlignment="0" applyProtection="0"/>
    <xf numFmtId="0" fontId="58" fillId="0" borderId="27" applyNumberFormat="0" applyFill="0" applyAlignment="0" applyProtection="0"/>
    <xf numFmtId="0" fontId="61" fillId="0" borderId="31" applyNumberFormat="0" applyFill="0" applyAlignment="0" applyProtection="0"/>
    <xf numFmtId="0" fontId="61" fillId="0" borderId="0" applyNumberFormat="0" applyFill="0" applyBorder="0" applyAlignment="0" applyProtection="0"/>
    <xf numFmtId="0" fontId="135"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31" fillId="0" borderId="0"/>
    <xf numFmtId="0" fontId="5" fillId="0" borderId="0">
      <alignment vertical="top"/>
    </xf>
    <xf numFmtId="0" fontId="31" fillId="0" borderId="0"/>
    <xf numFmtId="0" fontId="31" fillId="0" borderId="0"/>
    <xf numFmtId="0" fontId="4" fillId="0" borderId="0"/>
    <xf numFmtId="0" fontId="5" fillId="0" borderId="0">
      <alignment vertical="top"/>
    </xf>
    <xf numFmtId="0" fontId="4" fillId="0" borderId="0"/>
    <xf numFmtId="0" fontId="20" fillId="0" borderId="0"/>
    <xf numFmtId="0" fontId="1" fillId="0" borderId="0"/>
    <xf numFmtId="0" fontId="1" fillId="0" borderId="0"/>
    <xf numFmtId="0" fontId="1" fillId="0" borderId="0"/>
    <xf numFmtId="0" fontId="4" fillId="19" borderId="36" applyNumberFormat="0" applyFont="0" applyAlignment="0" applyProtection="0"/>
    <xf numFmtId="0" fontId="75" fillId="13" borderId="38"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alignment vertical="top"/>
    </xf>
    <xf numFmtId="9" fontId="20" fillId="0" borderId="0" applyFont="0" applyFill="0" applyBorder="0" applyAlignment="0" applyProtection="0"/>
    <xf numFmtId="9" fontId="20" fillId="0" borderId="0" applyFont="0" applyFill="0" applyBorder="0" applyAlignment="0" applyProtection="0"/>
    <xf numFmtId="0" fontId="82" fillId="0" borderId="0" applyNumberFormat="0" applyFill="0" applyBorder="0" applyAlignment="0" applyProtection="0"/>
    <xf numFmtId="0" fontId="84" fillId="0" borderId="41" applyNumberFormat="0" applyFill="0" applyAlignment="0" applyProtection="0"/>
    <xf numFmtId="0" fontId="7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5" fillId="0" borderId="0" applyFont="0" applyFill="0" applyBorder="0" applyAlignment="0" applyProtection="0">
      <alignment vertical="top"/>
    </xf>
    <xf numFmtId="44" fontId="5" fillId="0" borderId="0" applyFont="0" applyFill="0" applyBorder="0" applyAlignment="0" applyProtection="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 fillId="0" borderId="0">
      <alignment vertical="top"/>
    </xf>
    <xf numFmtId="43" fontId="5" fillId="0" borderId="0" applyFont="0" applyFill="0" applyBorder="0" applyAlignment="0" applyProtection="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8" fillId="0" borderId="0"/>
    <xf numFmtId="0" fontId="78" fillId="0" borderId="0"/>
    <xf numFmtId="0" fontId="78" fillId="0" borderId="0"/>
    <xf numFmtId="0" fontId="4" fillId="0" borderId="0"/>
    <xf numFmtId="0" fontId="4" fillId="0" borderId="0"/>
    <xf numFmtId="0" fontId="35" fillId="13"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1" fillId="54"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1" fillId="56"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21"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57" borderId="0" applyNumberFormat="0" applyBorder="0" applyAlignment="0" applyProtection="0"/>
    <xf numFmtId="0" fontId="35" fillId="21"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25" borderId="0" applyNumberFormat="0" applyBorder="0" applyAlignment="0" applyProtection="0"/>
    <xf numFmtId="0" fontId="35" fillId="19"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2" borderId="0" applyNumberFormat="0" applyBorder="0" applyAlignment="0" applyProtection="0"/>
    <xf numFmtId="0" fontId="36" fillId="28" borderId="0" applyNumberFormat="0" applyBorder="0" applyAlignment="0" applyProtection="0"/>
    <xf numFmtId="0" fontId="36" fillId="22"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30"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96" fillId="75"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31" borderId="0" applyNumberFormat="0" applyBorder="0" applyAlignment="0" applyProtection="0"/>
    <xf numFmtId="0" fontId="96" fillId="7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33" borderId="0" applyNumberFormat="0" applyBorder="0" applyAlignment="0" applyProtection="0"/>
    <xf numFmtId="0" fontId="36" fillId="32"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25"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0" borderId="0" applyNumberFormat="0" applyBorder="0" applyAlignment="0" applyProtection="0"/>
    <xf numFmtId="0" fontId="96" fillId="74"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29" borderId="0" applyNumberFormat="0" applyBorder="0" applyAlignment="0" applyProtection="0"/>
    <xf numFmtId="41" fontId="4" fillId="0" borderId="0"/>
    <xf numFmtId="41" fontId="4" fillId="0" borderId="0"/>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9" fillId="21" borderId="0" applyNumberFormat="0" applyBorder="0" applyAlignment="0" applyProtection="0"/>
    <xf numFmtId="0" fontId="39" fillId="18" borderId="0" applyNumberFormat="0" applyBorder="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8" borderId="65" applyNumberFormat="0" applyAlignment="0" applyProtection="0"/>
    <xf numFmtId="0" fontId="40" fillId="38"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8" borderId="65" applyNumberFormat="0" applyAlignment="0" applyProtection="0"/>
    <xf numFmtId="0" fontId="40" fillId="38"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3" fillId="38" borderId="21" applyNumberFormat="0" applyAlignment="0" applyProtection="0"/>
    <xf numFmtId="0" fontId="43" fillId="38" borderId="21" applyNumberFormat="0" applyAlignment="0" applyProtection="0"/>
    <xf numFmtId="0" fontId="2" fillId="48" borderId="4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1" fontId="49" fillId="2" borderId="0">
      <alignment horizontal="left"/>
    </xf>
    <xf numFmtId="41" fontId="49" fillId="2" borderId="0">
      <alignment horizontal="left"/>
    </xf>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alignment vertical="top"/>
    </xf>
    <xf numFmtId="43" fontId="4" fillId="0" borderId="0" applyFont="0" applyFill="0" applyBorder="0" applyAlignment="0" applyProtection="0"/>
    <xf numFmtId="177" fontId="2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0"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alignment wrapText="1"/>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52" fillId="22" borderId="0" applyNumberFormat="0" applyBorder="0" applyAlignment="0" applyProtection="0"/>
    <xf numFmtId="0" fontId="34" fillId="12" borderId="0" applyNumberFormat="0" applyBorder="0" applyAlignment="0" applyProtection="0"/>
    <xf numFmtId="0" fontId="53" fillId="0" borderId="23" applyNumberFormat="0" applyFill="0" applyAlignment="0" applyProtection="0"/>
    <xf numFmtId="0" fontId="54" fillId="0" borderId="24" applyNumberFormat="0" applyFill="0" applyAlignment="0" applyProtection="0"/>
    <xf numFmtId="0" fontId="53" fillId="0" borderId="26" applyNumberFormat="0" applyFill="0" applyAlignment="0" applyProtection="0"/>
    <xf numFmtId="0" fontId="55" fillId="0" borderId="25" applyNumberFormat="0" applyFill="0" applyAlignment="0" applyProtection="0"/>
    <xf numFmtId="0" fontId="53" fillId="0" borderId="26" applyNumberFormat="0" applyFill="0" applyAlignment="0" applyProtection="0"/>
    <xf numFmtId="0" fontId="56" fillId="0" borderId="27" applyNumberFormat="0" applyFill="0" applyAlignment="0" applyProtection="0"/>
    <xf numFmtId="0" fontId="58" fillId="0" borderId="27" applyNumberFormat="0" applyFill="0" applyAlignment="0" applyProtection="0"/>
    <xf numFmtId="0" fontId="56" fillId="0" borderId="28" applyNumberFormat="0" applyFill="0" applyAlignment="0" applyProtection="0"/>
    <xf numFmtId="0" fontId="59" fillId="0" borderId="29" applyNumberFormat="0" applyFill="0" applyAlignment="0" applyProtection="0"/>
    <xf numFmtId="0" fontId="60" fillId="0" borderId="30" applyNumberFormat="0" applyFill="0" applyAlignment="0" applyProtection="0"/>
    <xf numFmtId="0" fontId="59" fillId="0" borderId="32" applyNumberFormat="0" applyFill="0" applyAlignment="0" applyProtection="0"/>
    <xf numFmtId="0" fontId="61" fillId="0" borderId="31" applyNumberFormat="0" applyFill="0" applyAlignment="0" applyProtection="0"/>
    <xf numFmtId="0" fontId="59" fillId="0" borderId="32"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92" fillId="0" borderId="0" applyNumberFormat="0" applyFill="0" applyBorder="0" applyAlignment="0" applyProtection="0"/>
    <xf numFmtId="0" fontId="8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139" fillId="73" borderId="46" applyNumberFormat="0" applyAlignment="0" applyProtection="0"/>
    <xf numFmtId="3" fontId="67" fillId="44" borderId="0">
      <protection locked="0"/>
    </xf>
    <xf numFmtId="3" fontId="67" fillId="44" borderId="0">
      <protection locked="0"/>
    </xf>
    <xf numFmtId="3" fontId="67" fillId="44" borderId="0">
      <protection locked="0"/>
    </xf>
    <xf numFmtId="3" fontId="67" fillId="44" borderId="0">
      <protection locked="0"/>
    </xf>
    <xf numFmtId="0" fontId="1" fillId="51" borderId="46" applyNumberFormat="0" applyProtection="0">
      <alignment horizontal="centerContinuous" vertical="center"/>
      <protection locked="0"/>
    </xf>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129" fillId="69" borderId="66"/>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68" fillId="0" borderId="33" applyNumberFormat="0" applyFill="0" applyAlignment="0" applyProtection="0"/>
    <xf numFmtId="0" fontId="70" fillId="0" borderId="35" applyNumberFormat="0" applyFill="0" applyAlignment="0" applyProtection="0"/>
    <xf numFmtId="0" fontId="68" fillId="0" borderId="33" applyNumberFormat="0" applyFill="0" applyAlignment="0" applyProtection="0"/>
    <xf numFmtId="0" fontId="71" fillId="23" borderId="0" applyNumberFormat="0" applyBorder="0" applyAlignment="0" applyProtection="0"/>
    <xf numFmtId="0" fontId="72" fillId="23"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1" fillId="23" borderId="0" applyNumberFormat="0" applyBorder="0" applyAlignment="0" applyProtection="0"/>
    <xf numFmtId="0" fontId="138" fillId="7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 fillId="0" borderId="0">
      <alignment vertical="top"/>
    </xf>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24" fillId="0" borderId="0"/>
    <xf numFmtId="0" fontId="24" fillId="0" borderId="0"/>
    <xf numFmtId="0" fontId="24" fillId="0" borderId="0"/>
    <xf numFmtId="0" fontId="4" fillId="0" borderId="0"/>
    <xf numFmtId="0" fontId="1" fillId="0" borderId="0"/>
    <xf numFmtId="0" fontId="35" fillId="0" borderId="0"/>
    <xf numFmtId="0" fontId="31" fillId="0" borderId="0"/>
    <xf numFmtId="0" fontId="4" fillId="0" borderId="0"/>
    <xf numFmtId="0" fontId="24" fillId="0" borderId="0"/>
    <xf numFmtId="0" fontId="1" fillId="0" borderId="0"/>
    <xf numFmtId="0" fontId="24" fillId="0" borderId="0"/>
    <xf numFmtId="0" fontId="1" fillId="0" borderId="0"/>
    <xf numFmtId="0" fontId="24" fillId="0" borderId="0"/>
    <xf numFmtId="0" fontId="4" fillId="0" borderId="0">
      <alignment vertical="top"/>
    </xf>
    <xf numFmtId="0" fontId="4" fillId="0" borderId="0"/>
    <xf numFmtId="0" fontId="35" fillId="0" borderId="0"/>
    <xf numFmtId="0" fontId="4" fillId="0" borderId="0">
      <alignment vertical="top"/>
    </xf>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35" fillId="0" borderId="0"/>
    <xf numFmtId="0" fontId="1" fillId="0" borderId="0"/>
    <xf numFmtId="0" fontId="4" fillId="0" borderId="0"/>
    <xf numFmtId="0" fontId="24" fillId="0" borderId="0"/>
    <xf numFmtId="0" fontId="24" fillId="0" borderId="0"/>
    <xf numFmtId="0" fontId="4" fillId="0" borderId="0">
      <alignment vertical="top"/>
    </xf>
    <xf numFmtId="0" fontId="24" fillId="0" borderId="0"/>
    <xf numFmtId="0" fontId="4" fillId="0" borderId="0"/>
    <xf numFmtId="0" fontId="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vertical="top"/>
    </xf>
    <xf numFmtId="0" fontId="35" fillId="0" borderId="0"/>
    <xf numFmtId="0" fontId="1" fillId="0" borderId="0"/>
    <xf numFmtId="0" fontId="4" fillId="0" borderId="0"/>
    <xf numFmtId="0" fontId="24" fillId="0" borderId="0"/>
    <xf numFmtId="0" fontId="24" fillId="0" borderId="0"/>
    <xf numFmtId="0" fontId="4" fillId="0" borderId="0"/>
    <xf numFmtId="0" fontId="24" fillId="0" borderId="0"/>
    <xf numFmtId="0" fontId="4" fillId="0" borderId="0">
      <alignment vertical="top"/>
    </xf>
    <xf numFmtId="0" fontId="24" fillId="0" borderId="0"/>
    <xf numFmtId="0" fontId="35" fillId="0" borderId="0"/>
    <xf numFmtId="0" fontId="143" fillId="0" borderId="0"/>
    <xf numFmtId="0" fontId="4" fillId="0" borderId="0"/>
    <xf numFmtId="0" fontId="1" fillId="0" borderId="0"/>
    <xf numFmtId="0" fontId="97" fillId="37" borderId="0"/>
    <xf numFmtId="0" fontId="24" fillId="0" borderId="0"/>
    <xf numFmtId="0" fontId="24" fillId="0" borderId="0"/>
    <xf numFmtId="172" fontId="24" fillId="0" borderId="0"/>
    <xf numFmtId="0" fontId="24" fillId="0" borderId="0"/>
    <xf numFmtId="0" fontId="1" fillId="0" borderId="0"/>
    <xf numFmtId="0" fontId="1" fillId="0" borderId="0"/>
    <xf numFmtId="0" fontId="1" fillId="0" borderId="0"/>
    <xf numFmtId="0" fontId="24" fillId="0" borderId="0"/>
    <xf numFmtId="0" fontId="1" fillId="0" borderId="0"/>
    <xf numFmtId="0" fontId="24" fillId="0" borderId="0"/>
    <xf numFmtId="0" fontId="24" fillId="0" borderId="0"/>
    <xf numFmtId="0" fontId="4" fillId="0" borderId="0"/>
    <xf numFmtId="0" fontId="24" fillId="0" borderId="0"/>
    <xf numFmtId="0" fontId="4" fillId="0" borderId="0"/>
    <xf numFmtId="0" fontId="4" fillId="0" borderId="0"/>
    <xf numFmtId="0" fontId="4" fillId="0" borderId="0"/>
    <xf numFmtId="172" fontId="24" fillId="0" borderId="0"/>
    <xf numFmtId="0" fontId="1" fillId="0" borderId="0"/>
    <xf numFmtId="0" fontId="24" fillId="0" borderId="0"/>
    <xf numFmtId="172" fontId="24" fillId="0" borderId="0"/>
    <xf numFmtId="0" fontId="24" fillId="0" borderId="0"/>
    <xf numFmtId="0" fontId="35" fillId="0" borderId="0"/>
    <xf numFmtId="0" fontId="4" fillId="0" borderId="0">
      <alignment vertical="top"/>
    </xf>
    <xf numFmtId="0" fontId="35" fillId="0" borderId="0"/>
    <xf numFmtId="0" fontId="35" fillId="0" borderId="0"/>
    <xf numFmtId="0" fontId="24" fillId="0" borderId="0"/>
    <xf numFmtId="0" fontId="144" fillId="0" borderId="0"/>
    <xf numFmtId="0" fontId="4" fillId="0" borderId="0"/>
    <xf numFmtId="0" fontId="24" fillId="0" borderId="0"/>
    <xf numFmtId="0" fontId="5" fillId="0" borderId="0">
      <alignment vertical="top"/>
    </xf>
    <xf numFmtId="0" fontId="35" fillId="0" borderId="0"/>
    <xf numFmtId="0" fontId="4" fillId="0" borderId="0">
      <alignment vertical="top"/>
    </xf>
    <xf numFmtId="0" fontId="1" fillId="0" borderId="0"/>
    <xf numFmtId="0" fontId="35" fillId="0" borderId="0"/>
    <xf numFmtId="0" fontId="4" fillId="0" borderId="0"/>
    <xf numFmtId="0" fontId="24" fillId="0" borderId="0"/>
    <xf numFmtId="0" fontId="24" fillId="0" borderId="0"/>
    <xf numFmtId="0" fontId="24" fillId="0" borderId="0"/>
    <xf numFmtId="0" fontId="35" fillId="0" borderId="0"/>
    <xf numFmtId="0" fontId="1" fillId="0" borderId="0"/>
    <xf numFmtId="0" fontId="35" fillId="0" borderId="0"/>
    <xf numFmtId="0" fontId="24" fillId="0" borderId="0"/>
    <xf numFmtId="0" fontId="24" fillId="0" borderId="0"/>
    <xf numFmtId="0" fontId="24" fillId="0" borderId="0"/>
    <xf numFmtId="0" fontId="35" fillId="0" borderId="0"/>
    <xf numFmtId="0" fontId="35" fillId="0" borderId="0"/>
    <xf numFmtId="0" fontId="1" fillId="0" borderId="0"/>
    <xf numFmtId="0" fontId="4" fillId="0" borderId="0"/>
    <xf numFmtId="0" fontId="24" fillId="0" borderId="0"/>
    <xf numFmtId="0" fontId="24" fillId="0" borderId="0"/>
    <xf numFmtId="0" fontId="1" fillId="0" borderId="0"/>
    <xf numFmtId="0" fontId="4" fillId="0" borderId="0"/>
    <xf numFmtId="0" fontId="24" fillId="0" borderId="0"/>
    <xf numFmtId="0" fontId="24" fillId="0" borderId="0"/>
    <xf numFmtId="0" fontId="24" fillId="0" borderId="0"/>
    <xf numFmtId="0" fontId="24" fillId="0" borderId="0"/>
    <xf numFmtId="0" fontId="4" fillId="0" borderId="0"/>
    <xf numFmtId="0" fontId="24" fillId="0" borderId="0"/>
    <xf numFmtId="0" fontId="4" fillId="0" borderId="0"/>
    <xf numFmtId="0" fontId="5" fillId="0" borderId="0"/>
    <xf numFmtId="0" fontId="20" fillId="0" borderId="0"/>
    <xf numFmtId="0" fontId="4" fillId="0" borderId="0"/>
    <xf numFmtId="0" fontId="20" fillId="0" borderId="0"/>
    <xf numFmtId="0" fontId="24" fillId="0" borderId="0"/>
    <xf numFmtId="0" fontId="1" fillId="0" borderId="0"/>
    <xf numFmtId="0" fontId="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35" fillId="0" borderId="0"/>
    <xf numFmtId="0" fontId="1" fillId="0" borderId="0"/>
    <xf numFmtId="0" fontId="24"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4" fillId="0" borderId="0"/>
    <xf numFmtId="0" fontId="1" fillId="0" borderId="0"/>
    <xf numFmtId="0" fontId="24" fillId="0" borderId="0"/>
    <xf numFmtId="0" fontId="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4" fillId="0" borderId="0"/>
    <xf numFmtId="0" fontId="33" fillId="0" borderId="0"/>
    <xf numFmtId="0" fontId="1" fillId="0" borderId="0"/>
    <xf numFmtId="0" fontId="4" fillId="0" borderId="0"/>
    <xf numFmtId="0" fontId="24" fillId="0" borderId="0"/>
    <xf numFmtId="0" fontId="4" fillId="0" borderId="0"/>
    <xf numFmtId="0" fontId="4" fillId="0" borderId="0"/>
    <xf numFmtId="0" fontId="24" fillId="0" borderId="0"/>
    <xf numFmtId="0" fontId="24" fillId="0" borderId="0"/>
    <xf numFmtId="0" fontId="1" fillId="0" borderId="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4" fillId="19" borderId="69" applyNumberFormat="0" applyFont="0" applyAlignment="0" applyProtection="0"/>
    <xf numFmtId="0" fontId="4" fillId="19" borderId="69"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4" fillId="0" borderId="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5"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4" fillId="19" borderId="69"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0" borderId="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4" fillId="1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35" fillId="49" borderId="69" applyNumberFormat="0" applyFont="0" applyAlignment="0" applyProtection="0"/>
    <xf numFmtId="0" fontId="24" fillId="0" borderId="0"/>
    <xf numFmtId="0" fontId="24" fillId="0" borderId="0"/>
    <xf numFmtId="0" fontId="145" fillId="77" borderId="70" applyBorder="0">
      <alignment horizontal="centerContinuous"/>
    </xf>
    <xf numFmtId="0" fontId="145" fillId="77" borderId="70" applyBorder="0">
      <alignment horizontal="centerContinuous"/>
    </xf>
    <xf numFmtId="0" fontId="145" fillId="77" borderId="70" applyBorder="0">
      <alignment horizontal="centerContinuous"/>
    </xf>
    <xf numFmtId="0" fontId="146" fillId="78" borderId="63" applyBorder="0">
      <alignment horizontal="centerContinuous"/>
    </xf>
    <xf numFmtId="0" fontId="146" fillId="78" borderId="63" applyBorder="0">
      <alignment horizontal="centerContinuous"/>
    </xf>
    <xf numFmtId="0" fontId="146" fillId="78" borderId="63" applyBorder="0">
      <alignment horizontal="centerContinuous"/>
    </xf>
    <xf numFmtId="0" fontId="59" fillId="37" borderId="71"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13"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13"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84" fillId="38" borderId="66"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13"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140" fillId="47" borderId="64" applyNumberFormat="0" applyAlignment="0" applyProtection="0"/>
    <xf numFmtId="0" fontId="84" fillId="38" borderId="66" applyNumberFormat="0" applyAlignment="0" applyProtection="0"/>
    <xf numFmtId="0" fontId="24" fillId="0" borderId="0"/>
    <xf numFmtId="9" fontId="24" fillId="0" borderId="0" applyFont="0" applyFill="0" applyBorder="0" applyAlignment="0" applyProtection="0"/>
    <xf numFmtId="0" fontId="24" fillId="0" borderId="0"/>
    <xf numFmtId="9" fontId="5" fillId="0" borderId="0" applyFont="0" applyFill="0" applyBorder="0" applyAlignment="0" applyProtection="0"/>
    <xf numFmtId="0" fontId="2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24" fillId="0" borderId="0"/>
    <xf numFmtId="9" fontId="24" fillId="0" borderId="0" applyFont="0" applyFill="0" applyBorder="0" applyAlignment="0" applyProtection="0"/>
    <xf numFmtId="9" fontId="35" fillId="0" borderId="0" applyFont="0" applyFill="0" applyBorder="0" applyAlignment="0" applyProtection="0"/>
    <xf numFmtId="0" fontId="24" fillId="0" borderId="0"/>
    <xf numFmtId="9" fontId="4" fillId="0" borderId="0" applyFont="0" applyFill="0" applyBorder="0" applyAlignment="0" applyProtection="0"/>
    <xf numFmtId="9" fontId="1" fillId="0" borderId="0" applyFont="0" applyFill="0" applyBorder="0" applyAlignment="0" applyProtection="0"/>
    <xf numFmtId="0" fontId="2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49" fillId="2" borderId="0"/>
    <xf numFmtId="0" fontId="2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24" fillId="0" borderId="0"/>
    <xf numFmtId="9" fontId="35" fillId="0" borderId="0" applyFont="0" applyFill="0" applyBorder="0" applyAlignment="0" applyProtection="0"/>
    <xf numFmtId="9" fontId="5" fillId="0" borderId="0" applyFont="0" applyFill="0" applyBorder="0" applyAlignment="0" applyProtection="0">
      <alignment vertical="top"/>
    </xf>
    <xf numFmtId="9" fontId="45" fillId="0" borderId="0" applyFont="0" applyFill="0" applyBorder="0" applyAlignment="0" applyProtection="0"/>
    <xf numFmtId="9" fontId="46" fillId="0" borderId="0" applyFont="0" applyFill="0" applyBorder="0" applyAlignment="0" applyProtection="0"/>
    <xf numFmtId="0" fontId="24" fillId="0" borderId="0"/>
    <xf numFmtId="9" fontId="46" fillId="0" borderId="0" applyFont="0" applyFill="0" applyBorder="0" applyAlignment="0" applyProtection="0"/>
    <xf numFmtId="9" fontId="33" fillId="0" borderId="0" applyFont="0" applyFill="0" applyBorder="0" applyAlignment="0" applyProtection="0"/>
    <xf numFmtId="0" fontId="24" fillId="0" borderId="0"/>
    <xf numFmtId="9" fontId="46"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0" fontId="24" fillId="0" borderId="0"/>
    <xf numFmtId="0" fontId="24" fillId="0" borderId="0"/>
    <xf numFmtId="0" fontId="24" fillId="0" borderId="0"/>
    <xf numFmtId="0" fontId="24" fillId="0" borderId="0"/>
    <xf numFmtId="0" fontId="77" fillId="0" borderId="50">
      <alignment horizontal="center"/>
    </xf>
    <xf numFmtId="0" fontId="77" fillId="0" borderId="50">
      <alignment horizontal="center"/>
    </xf>
    <xf numFmtId="0" fontId="77" fillId="0" borderId="50">
      <alignment horizontal="center"/>
    </xf>
    <xf numFmtId="0" fontId="24" fillId="0" borderId="0"/>
    <xf numFmtId="0" fontId="24" fillId="0" borderId="0"/>
    <xf numFmtId="0" fontId="24" fillId="0" borderId="0"/>
    <xf numFmtId="0" fontId="5" fillId="0" borderId="0">
      <alignment vertical="top"/>
    </xf>
    <xf numFmtId="0" fontId="5" fillId="0" borderId="0" applyNumberFormat="0" applyBorder="0" applyAlignment="0"/>
    <xf numFmtId="0" fontId="24" fillId="0" borderId="0"/>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3" fillId="0" borderId="0" applyNumberFormat="0" applyFill="0" applyBorder="0" applyAlignment="0" applyProtection="0"/>
    <xf numFmtId="0" fontId="83"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83" fillId="0" borderId="0" applyNumberFormat="0" applyFill="0" applyBorder="0" applyAlignment="0" applyProtection="0"/>
    <xf numFmtId="0" fontId="82" fillId="0" borderId="0" applyNumberFormat="0" applyFill="0" applyBorder="0" applyAlignment="0" applyProtection="0"/>
    <xf numFmtId="0" fontId="137" fillId="0" borderId="0" applyNumberFormat="0" applyFill="0" applyBorder="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24" fillId="0" borderId="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84" fillId="0" borderId="75" applyNumberFormat="0" applyFill="0" applyAlignment="0" applyProtection="0"/>
    <xf numFmtId="0" fontId="24" fillId="0" borderId="0"/>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24" fillId="0" borderId="0"/>
    <xf numFmtId="0" fontId="36" fillId="2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96" fillId="58" borderId="0" applyNumberFormat="0" applyBorder="0" applyAlignment="0" applyProtection="0"/>
    <xf numFmtId="0" fontId="96" fillId="61"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96" fillId="62" borderId="0" applyNumberFormat="0" applyBorder="0" applyAlignment="0" applyProtection="0"/>
    <xf numFmtId="0" fontId="36" fillId="34"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9" fillId="0" borderId="0" applyFont="0" applyFill="0" applyBorder="0" applyAlignment="0" applyProtection="0"/>
    <xf numFmtId="44" fontId="35" fillId="0" borderId="0" applyFont="0" applyFill="0" applyBorder="0" applyAlignment="0" applyProtection="0"/>
    <xf numFmtId="0" fontId="52" fillId="22" borderId="0" applyNumberFormat="0" applyBorder="0" applyAlignment="0" applyProtection="0"/>
    <xf numFmtId="0" fontId="56" fillId="0" borderId="28" applyNumberFormat="0" applyFill="0" applyAlignment="0" applyProtection="0"/>
    <xf numFmtId="0" fontId="60" fillId="0" borderId="0" applyNumberFormat="0" applyFill="0" applyBorder="0" applyAlignment="0" applyProtection="0"/>
    <xf numFmtId="0" fontId="127" fillId="0" borderId="0" applyNumberFormat="0" applyFill="0" applyBorder="0" applyAlignment="0" applyProtection="0">
      <alignment vertical="top"/>
      <protection locked="0"/>
    </xf>
    <xf numFmtId="0" fontId="155" fillId="0" borderId="0" applyNumberFormat="0" applyFill="0" applyBorder="0" applyAlignment="0" applyProtection="0"/>
    <xf numFmtId="0" fontId="70"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 fillId="2"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 fillId="0" borderId="0">
      <alignment wrapText="1"/>
    </xf>
    <xf numFmtId="0" fontId="3" fillId="0" borderId="0"/>
    <xf numFmtId="0" fontId="4" fillId="0" borderId="0">
      <alignment wrapText="1"/>
    </xf>
    <xf numFmtId="0" fontId="4" fillId="0" borderId="0">
      <alignment wrapText="1"/>
    </xf>
    <xf numFmtId="0" fontId="4" fillId="0" borderId="0">
      <alignment wrapText="1"/>
    </xf>
    <xf numFmtId="0" fontId="3" fillId="0" borderId="0"/>
    <xf numFmtId="0" fontId="3" fillId="0" borderId="0"/>
    <xf numFmtId="0" fontId="3" fillId="0" borderId="0"/>
    <xf numFmtId="0" fontId="3" fillId="0" borderId="0"/>
    <xf numFmtId="0" fontId="31" fillId="0" borderId="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49"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1" fillId="0" borderId="0" applyFont="0" applyFill="0" applyBorder="0" applyAlignment="0" applyProtection="0"/>
    <xf numFmtId="0" fontId="52" fillId="22" borderId="0" applyNumberFormat="0" applyBorder="0" applyAlignment="0" applyProtection="0"/>
    <xf numFmtId="0" fontId="34" fillId="12" borderId="0" applyNumberFormat="0" applyBorder="0" applyAlignment="0" applyProtection="0"/>
    <xf numFmtId="0" fontId="64" fillId="0" borderId="0" applyNumberFormat="0" applyFill="0" applyBorder="0" applyAlignment="0" applyProtection="0">
      <alignment vertical="top"/>
      <protection locked="0"/>
    </xf>
    <xf numFmtId="0" fontId="31" fillId="0" borderId="0"/>
    <xf numFmtId="0" fontId="1" fillId="0" borderId="0"/>
    <xf numFmtId="0" fontId="3" fillId="0" borderId="0"/>
    <xf numFmtId="37" fontId="3" fillId="2" borderId="0" applyFill="0"/>
    <xf numFmtId="0" fontId="4" fillId="0" borderId="0"/>
    <xf numFmtId="0" fontId="5" fillId="0" borderId="0">
      <alignment vertical="top"/>
    </xf>
    <xf numFmtId="0" fontId="4" fillId="0" borderId="0"/>
    <xf numFmtId="0" fontId="5" fillId="0" borderId="0">
      <alignment vertical="top"/>
    </xf>
    <xf numFmtId="0" fontId="4" fillId="0" borderId="0">
      <alignment wrapText="1"/>
    </xf>
    <xf numFmtId="0" fontId="4" fillId="0" borderId="0"/>
    <xf numFmtId="0" fontId="33" fillId="0" borderId="0"/>
    <xf numFmtId="0" fontId="144" fillId="0" borderId="0"/>
    <xf numFmtId="9" fontId="45"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141" fillId="0" borderId="0" applyFont="0" applyFill="0" applyBorder="0" applyAlignment="0" applyProtection="0"/>
    <xf numFmtId="9" fontId="144" fillId="0" borderId="0" applyFont="0" applyFill="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6" fillId="17" borderId="0" applyNumberFormat="0" applyBorder="0" applyAlignment="0" applyProtection="0"/>
    <xf numFmtId="0" fontId="96" fillId="82" borderId="0" applyNumberFormat="0" applyBorder="0" applyAlignment="0" applyProtection="0"/>
    <xf numFmtId="0" fontId="36" fillId="23" borderId="0" applyNumberFormat="0" applyBorder="0" applyAlignment="0" applyProtection="0"/>
    <xf numFmtId="0" fontId="36" fillId="13" borderId="0" applyNumberFormat="0" applyBorder="0" applyAlignment="0" applyProtection="0"/>
    <xf numFmtId="0" fontId="36" fillId="34" borderId="0" applyNumberFormat="0" applyBorder="0" applyAlignment="0" applyProtection="0"/>
    <xf numFmtId="0" fontId="96" fillId="81" borderId="0" applyNumberFormat="0" applyBorder="0" applyAlignment="0" applyProtection="0"/>
    <xf numFmtId="0" fontId="96" fillId="83" borderId="0" applyNumberFormat="0" applyBorder="0" applyAlignment="0" applyProtection="0"/>
    <xf numFmtId="0" fontId="96" fillId="84" borderId="0" applyNumberFormat="0" applyBorder="0" applyAlignment="0" applyProtection="0"/>
    <xf numFmtId="0" fontId="39" fillId="18" borderId="0" applyNumberFormat="0" applyBorder="0" applyAlignment="0" applyProtection="0"/>
    <xf numFmtId="0" fontId="157" fillId="80"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4" fillId="0" borderId="0" applyFont="0" applyFill="0" applyBorder="0" applyAlignment="0" applyProtection="0"/>
    <xf numFmtId="0" fontId="38" fillId="0" borderId="63" applyBorder="0">
      <alignment horizontal="center" vertical="center" wrapText="1"/>
    </xf>
    <xf numFmtId="0" fontId="158" fillId="0" borderId="81" applyNumberFormat="0" applyFill="0" applyAlignment="0" applyProtection="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9" borderId="48" applyNumberFormat="0" applyFont="0" applyAlignment="0" applyProtection="0"/>
    <xf numFmtId="0" fontId="1" fillId="49" borderId="4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9" fillId="0" borderId="0" applyFont="0" applyFill="0" applyBorder="0" applyAlignment="0" applyProtection="0"/>
    <xf numFmtId="43" fontId="1" fillId="0" borderId="0" applyFont="0" applyFill="0" applyBorder="0" applyAlignment="0" applyProtection="0"/>
    <xf numFmtId="0" fontId="159" fillId="0" borderId="0"/>
    <xf numFmtId="9" fontId="159" fillId="0" borderId="0" applyFont="0" applyFill="0" applyBorder="0" applyAlignment="0" applyProtection="0"/>
    <xf numFmtId="0" fontId="1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4" fillId="0" borderId="0"/>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38" fillId="0" borderId="63" applyBorder="0">
      <alignment horizontal="center" vertical="center" wrapText="1"/>
    </xf>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1"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0" fillId="13"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0" fontId="42" fillId="37" borderId="65" applyNumberFormat="0" applyAlignment="0" applyProtection="0"/>
    <xf numFmtId="43" fontId="162" fillId="0" borderId="0" applyFont="0" applyFill="0" applyBorder="0" applyAlignment="0" applyProtection="0"/>
    <xf numFmtId="43" fontId="162"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45"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alignment wrapText="1"/>
    </xf>
    <xf numFmtId="44" fontId="4" fillId="0" borderId="0" applyFont="0" applyFill="0" applyBorder="0" applyAlignment="0" applyProtection="0"/>
    <xf numFmtId="0" fontId="24" fillId="0" borderId="66"/>
    <xf numFmtId="0" fontId="24" fillId="0" borderId="66"/>
    <xf numFmtId="0" fontId="24" fillId="0" borderId="66"/>
    <xf numFmtId="0" fontId="24" fillId="0" borderId="66"/>
    <xf numFmtId="0" fontId="24" fillId="0" borderId="66"/>
    <xf numFmtId="0" fontId="6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5"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23"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66" fillId="14" borderId="65" applyNumberFormat="0" applyAlignment="0" applyProtection="0"/>
    <xf numFmtId="0" fontId="129" fillId="69" borderId="66"/>
    <xf numFmtId="0" fontId="129" fillId="69" borderId="66"/>
    <xf numFmtId="0" fontId="129" fillId="69" borderId="66"/>
    <xf numFmtId="0" fontId="129" fillId="69" borderId="66"/>
    <xf numFmtId="0" fontId="129" fillId="69" borderId="66"/>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8" fillId="0" borderId="67" applyBorder="0">
      <alignment horizontal="center" vertical="center" wrapText="1"/>
    </xf>
    <xf numFmtId="0" fontId="35" fillId="0" borderId="0"/>
    <xf numFmtId="0" fontId="4" fillId="0" borderId="0"/>
    <xf numFmtId="0" fontId="35" fillId="0" borderId="0"/>
    <xf numFmtId="0" fontId="31" fillId="0" borderId="0"/>
    <xf numFmtId="0" fontId="4" fillId="0" borderId="0"/>
    <xf numFmtId="0" fontId="4" fillId="0" borderId="0"/>
    <xf numFmtId="0" fontId="24" fillId="0" borderId="0"/>
    <xf numFmtId="0" fontId="35" fillId="0" borderId="0"/>
    <xf numFmtId="0" fontId="162" fillId="0" borderId="0"/>
    <xf numFmtId="0" fontId="162" fillId="0" borderId="0"/>
    <xf numFmtId="0" fontId="4" fillId="0" borderId="0"/>
    <xf numFmtId="0" fontId="24" fillId="0" borderId="0"/>
    <xf numFmtId="0" fontId="4" fillId="0" borderId="0"/>
    <xf numFmtId="0" fontId="4" fillId="0" borderId="0"/>
    <xf numFmtId="0" fontId="162" fillId="0" borderId="0"/>
    <xf numFmtId="0" fontId="1" fillId="0" borderId="0"/>
    <xf numFmtId="0" fontId="1" fillId="0" borderId="0"/>
    <xf numFmtId="0" fontId="1" fillId="0" borderId="0"/>
    <xf numFmtId="0" fontId="1" fillId="0" borderId="0"/>
    <xf numFmtId="0" fontId="1"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35" fillId="0" borderId="0"/>
    <xf numFmtId="0" fontId="4" fillId="0" borderId="0"/>
    <xf numFmtId="0" fontId="4" fillId="0" borderId="0"/>
    <xf numFmtId="0" fontId="1" fillId="0" borderId="0"/>
    <xf numFmtId="0" fontId="4" fillId="0" borderId="0"/>
    <xf numFmtId="0" fontId="4" fillId="0" borderId="0"/>
    <xf numFmtId="0" fontId="35" fillId="0" borderId="0"/>
    <xf numFmtId="0" fontId="35" fillId="0" borderId="0"/>
    <xf numFmtId="0" fontId="35" fillId="0" borderId="0"/>
    <xf numFmtId="0" fontId="5" fillId="0" borderId="0"/>
    <xf numFmtId="0" fontId="20" fillId="0" borderId="0"/>
    <xf numFmtId="0" fontId="4" fillId="0" borderId="0"/>
    <xf numFmtId="0" fontId="4" fillId="0" borderId="0"/>
    <xf numFmtId="0" fontId="4" fillId="0" borderId="0"/>
    <xf numFmtId="0" fontId="4" fillId="0" borderId="0"/>
    <xf numFmtId="0" fontId="49" fillId="0" borderId="0"/>
    <xf numFmtId="0" fontId="4" fillId="0" borderId="0"/>
    <xf numFmtId="0" fontId="31" fillId="0" borderId="0"/>
    <xf numFmtId="0" fontId="4" fillId="0" borderId="0"/>
    <xf numFmtId="0" fontId="31" fillId="0" borderId="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5"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35"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1"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24" fillId="19" borderId="68" applyNumberFormat="0" applyFon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59" fillId="37" borderId="71"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37"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0" fontId="75" fillId="13" borderId="72" applyNumberFormat="0" applyAlignment="0" applyProtection="0"/>
    <xf numFmtId="9" fontId="24"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0" fontId="77" fillId="0" borderId="50">
      <alignment horizontal="center"/>
    </xf>
    <xf numFmtId="0" fontId="5" fillId="0" borderId="0" applyNumberFormat="0" applyBorder="0" applyAlignment="0"/>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24" fillId="0" borderId="66"/>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84" fillId="0" borderId="76" applyNumberFormat="0" applyFill="0" applyAlignment="0" applyProtection="0"/>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29" fillId="0" borderId="66"/>
    <xf numFmtId="0" fontId="1" fillId="51" borderId="0" applyNumberFormat="0" applyBorder="0" applyAlignment="0" applyProtection="0"/>
    <xf numFmtId="0" fontId="1" fillId="51" borderId="0" applyNumberFormat="0" applyBorder="0" applyAlignment="0" applyProtection="0"/>
    <xf numFmtId="0" fontId="1" fillId="14" borderId="0" applyNumberFormat="0" applyBorder="0" applyAlignment="0" applyProtection="0"/>
    <xf numFmtId="0" fontId="35" fillId="18" borderId="0" applyNumberFormat="0" applyBorder="0" applyAlignment="0" applyProtection="0"/>
    <xf numFmtId="0" fontId="1"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20"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5" fillId="2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35" fillId="14" borderId="0" applyNumberFormat="0" applyBorder="0" applyAlignment="0" applyProtection="0"/>
    <xf numFmtId="0" fontId="1" fillId="65" borderId="0" applyNumberFormat="0" applyBorder="0" applyAlignment="0" applyProtection="0"/>
    <xf numFmtId="0" fontId="35" fillId="2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5" fillId="17" borderId="0" applyNumberFormat="0" applyBorder="0" applyAlignment="0" applyProtection="0"/>
    <xf numFmtId="0" fontId="1" fillId="55" borderId="0" applyNumberFormat="0" applyBorder="0" applyAlignment="0" applyProtection="0"/>
    <xf numFmtId="0" fontId="1" fillId="19" borderId="0" applyNumberFormat="0" applyBorder="0" applyAlignment="0" applyProtection="0"/>
    <xf numFmtId="0" fontId="35" fillId="24" borderId="0" applyNumberFormat="0" applyBorder="0" applyAlignment="0" applyProtection="0"/>
    <xf numFmtId="0" fontId="1" fillId="57" borderId="0" applyNumberFormat="0" applyBorder="0" applyAlignment="0" applyProtection="0"/>
    <xf numFmtId="0" fontId="35" fillId="1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35" fillId="22" borderId="0" applyNumberFormat="0" applyBorder="0" applyAlignment="0" applyProtection="0"/>
    <xf numFmtId="0" fontId="1" fillId="64" borderId="0" applyNumberFormat="0" applyBorder="0" applyAlignment="0" applyProtection="0"/>
    <xf numFmtId="0" fontId="35" fillId="16" borderId="0" applyNumberFormat="0" applyBorder="0" applyAlignment="0" applyProtection="0"/>
    <xf numFmtId="0" fontId="1" fillId="64" borderId="0" applyNumberFormat="0" applyBorder="0" applyAlignment="0" applyProtection="0"/>
    <xf numFmtId="0" fontId="35" fillId="19"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0" borderId="0" applyNumberFormat="0" applyBorder="0" applyAlignment="0" applyProtection="0"/>
    <xf numFmtId="0" fontId="36" fillId="29" borderId="0" applyNumberFormat="0" applyBorder="0" applyAlignment="0" applyProtection="0"/>
    <xf numFmtId="0" fontId="38" fillId="0" borderId="63" applyBorder="0">
      <alignment horizontal="center" vertical="center" wrapText="1"/>
    </xf>
    <xf numFmtId="0" fontId="39" fillId="21" borderId="0" applyNumberFormat="0" applyBorder="0" applyAlignment="0" applyProtection="0"/>
    <xf numFmtId="0" fontId="3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169" fontId="20"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2" fillId="22" borderId="0" applyNumberFormat="0" applyBorder="0" applyAlignment="0" applyProtection="0"/>
    <xf numFmtId="0" fontId="61" fillId="0" borderId="0" applyNumberFormat="0" applyFill="0" applyBorder="0" applyAlignment="0" applyProtection="0"/>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66" fillId="14" borderId="65" applyNumberFormat="0" applyAlignment="0" applyProtection="0"/>
    <xf numFmtId="0" fontId="38" fillId="0" borderId="63" applyBorder="0">
      <alignment horizontal="center" vertical="center" wrapText="1"/>
    </xf>
    <xf numFmtId="0" fontId="68" fillId="0" borderId="33" applyNumberFormat="0" applyFill="0" applyAlignment="0" applyProtection="0"/>
    <xf numFmtId="0" fontId="7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4" fillId="0" borderId="0">
      <alignment vertical="top"/>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 fillId="0" borderId="0"/>
    <xf numFmtId="0" fontId="1" fillId="0" borderId="0"/>
    <xf numFmtId="0" fontId="1" fillId="0" borderId="0"/>
    <xf numFmtId="0" fontId="4" fillId="0" borderId="0"/>
    <xf numFmtId="0" fontId="24" fillId="0" borderId="0"/>
    <xf numFmtId="0" fontId="1" fillId="0" borderId="0"/>
    <xf numFmtId="0" fontId="1" fillId="0" borderId="0"/>
    <xf numFmtId="0" fontId="35" fillId="0" borderId="0"/>
    <xf numFmtId="0" fontId="1" fillId="0" borderId="0"/>
    <xf numFmtId="0" fontId="35" fillId="0" borderId="0"/>
    <xf numFmtId="0" fontId="35"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35" fillId="0" borderId="0"/>
    <xf numFmtId="0" fontId="1" fillId="0" borderId="0"/>
    <xf numFmtId="0" fontId="4"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35" fillId="0" borderId="0"/>
    <xf numFmtId="0" fontId="1" fillId="0" borderId="0"/>
    <xf numFmtId="0" fontId="1" fillId="0" borderId="0"/>
    <xf numFmtId="0" fontId="4" fillId="0" borderId="0"/>
    <xf numFmtId="0" fontId="1" fillId="0" borderId="0"/>
    <xf numFmtId="0" fontId="20" fillId="0" borderId="0"/>
    <xf numFmtId="0" fontId="24" fillId="0" borderId="0"/>
    <xf numFmtId="0" fontId="1" fillId="0" borderId="0"/>
    <xf numFmtId="0" fontId="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48" applyNumberFormat="0" applyFont="0" applyAlignment="0" applyProtection="0"/>
    <xf numFmtId="0" fontId="1" fillId="0" borderId="0"/>
    <xf numFmtId="0" fontId="1" fillId="49" borderId="48" applyNumberFormat="0" applyFont="0" applyAlignment="0" applyProtection="0"/>
    <xf numFmtId="0" fontId="75" fillId="13" borderId="72" applyNumberFormat="0" applyAlignment="0" applyProtection="0"/>
    <xf numFmtId="9" fontId="24"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4"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24" fillId="0" borderId="0" applyFont="0" applyFill="0" applyBorder="0" applyAlignment="0" applyProtection="0"/>
    <xf numFmtId="0" fontId="24" fillId="0" borderId="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77" fillId="0" borderId="50">
      <alignment horizontal="center"/>
    </xf>
    <xf numFmtId="0" fontId="82" fillId="0" borderId="0" applyNumberFormat="0" applyFill="0" applyBorder="0" applyAlignment="0" applyProtection="0"/>
    <xf numFmtId="0" fontId="176" fillId="0" borderId="0"/>
    <xf numFmtId="9" fontId="20" fillId="0" borderId="0" applyFont="0" applyFill="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6" fillId="29" borderId="0" applyNumberFormat="0" applyBorder="0" applyAlignment="0" applyProtection="0"/>
    <xf numFmtId="0" fontId="36" fillId="17" borderId="0" applyNumberFormat="0" applyBorder="0" applyAlignment="0" applyProtection="0"/>
    <xf numFmtId="0" fontId="36" fillId="25" borderId="0" applyNumberFormat="0" applyBorder="0" applyAlignment="0" applyProtection="0"/>
    <xf numFmtId="0" fontId="36" fillId="18" borderId="0" applyNumberFormat="0" applyBorder="0" applyAlignment="0" applyProtection="0"/>
    <xf numFmtId="0" fontId="36" fillId="26" borderId="0" applyNumberFormat="0" applyBorder="0" applyAlignment="0" applyProtection="0"/>
    <xf numFmtId="0" fontId="36" fillId="17" borderId="0" applyNumberFormat="0" applyBorder="0" applyAlignment="0" applyProtection="0"/>
    <xf numFmtId="0" fontId="36" fillId="31" borderId="0" applyNumberFormat="0" applyBorder="0" applyAlignment="0" applyProtection="0"/>
    <xf numFmtId="0" fontId="36" fillId="29"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96" fillId="62" borderId="0" applyNumberFormat="0" applyBorder="0" applyAlignment="0" applyProtection="0"/>
    <xf numFmtId="0" fontId="36" fillId="27" borderId="0" applyNumberFormat="0" applyBorder="0" applyAlignment="0" applyProtection="0"/>
    <xf numFmtId="0" fontId="36" fillId="29"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43" fillId="38" borderId="21" applyNumberFormat="0" applyAlignment="0" applyProtection="0"/>
    <xf numFmtId="43" fontId="4"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alignment vertical="top"/>
    </xf>
    <xf numFmtId="43" fontId="3"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1" fontId="49" fillId="2" borderId="0">
      <alignment horizontal="left"/>
    </xf>
    <xf numFmtId="43" fontId="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alignment vertical="top"/>
    </xf>
    <xf numFmtId="44" fontId="21" fillId="0" borderId="0" applyFont="0" applyFill="0" applyBorder="0" applyAlignment="0" applyProtection="0"/>
    <xf numFmtId="44" fontId="5" fillId="0" borderId="0" applyFont="0" applyFill="0" applyBorder="0" applyAlignment="0" applyProtection="0"/>
    <xf numFmtId="169" fontId="20" fillId="0" borderId="0" applyFont="0" applyFill="0" applyBorder="0" applyAlignment="0" applyProtection="0"/>
    <xf numFmtId="44" fontId="4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52" fillId="22" borderId="0" applyNumberFormat="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7" fillId="0" borderId="0" applyNumberFormat="0" applyFill="0" applyBorder="0" applyAlignment="0" applyProtection="0">
      <alignment vertical="top"/>
      <protection locked="0"/>
    </xf>
    <xf numFmtId="0" fontId="65" fillId="23" borderId="65" applyNumberFormat="0" applyAlignment="0" applyProtection="0"/>
    <xf numFmtId="0" fontId="66" fillId="14" borderId="65" applyNumberFormat="0" applyAlignment="0" applyProtection="0"/>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1" fillId="51" borderId="46" applyNumberFormat="0" applyProtection="0">
      <alignment horizontal="centerContinuous" vertical="center"/>
      <protection locked="0"/>
    </xf>
    <xf numFmtId="0" fontId="68" fillId="0" borderId="33" applyNumberFormat="0" applyFill="0" applyAlignment="0" applyProtection="0"/>
    <xf numFmtId="0" fontId="71" fillId="23" borderId="0" applyNumberFormat="0" applyBorder="0" applyAlignment="0" applyProtection="0"/>
    <xf numFmtId="0" fontId="33" fillId="0" borderId="0"/>
    <xf numFmtId="0" fontId="4" fillId="0" borderId="0"/>
    <xf numFmtId="0" fontId="31" fillId="0" borderId="0"/>
    <xf numFmtId="0" fontId="4" fillId="0" borderId="0"/>
    <xf numFmtId="0" fontId="1" fillId="0" borderId="0"/>
    <xf numFmtId="0" fontId="46" fillId="0" borderId="0"/>
    <xf numFmtId="0" fontId="20" fillId="0" borderId="0"/>
    <xf numFmtId="0" fontId="35" fillId="0" borderId="0"/>
    <xf numFmtId="0" fontId="1" fillId="0" borderId="0"/>
    <xf numFmtId="0" fontId="4" fillId="0" borderId="0"/>
    <xf numFmtId="0" fontId="4" fillId="0" borderId="0"/>
    <xf numFmtId="0" fontId="1" fillId="0" borderId="0"/>
    <xf numFmtId="0" fontId="3" fillId="0" borderId="0"/>
    <xf numFmtId="172" fontId="24" fillId="0" borderId="0"/>
    <xf numFmtId="0" fontId="5" fillId="0" borderId="0">
      <alignment vertical="top"/>
    </xf>
    <xf numFmtId="172" fontId="24" fillId="0" borderId="0"/>
    <xf numFmtId="0" fontId="35" fillId="0" borderId="0"/>
    <xf numFmtId="0" fontId="35" fillId="0" borderId="0"/>
    <xf numFmtId="0" fontId="35" fillId="0" borderId="0"/>
    <xf numFmtId="0" fontId="5" fillId="0" borderId="0">
      <alignment vertical="top"/>
    </xf>
    <xf numFmtId="0" fontId="20" fillId="0" borderId="0"/>
    <xf numFmtId="0" fontId="1" fillId="0" borderId="0"/>
    <xf numFmtId="0" fontId="35"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35"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33" fillId="0" borderId="0"/>
    <xf numFmtId="0" fontId="4" fillId="0" borderId="0"/>
    <xf numFmtId="0" fontId="4" fillId="0" borderId="0"/>
    <xf numFmtId="0" fontId="35" fillId="0" borderId="0"/>
    <xf numFmtId="0" fontId="4" fillId="0" borderId="0"/>
    <xf numFmtId="0" fontId="4" fillId="0" borderId="0"/>
    <xf numFmtId="0" fontId="59" fillId="37" borderId="71" applyNumberFormat="0" applyAlignment="0" applyProtection="0"/>
    <xf numFmtId="0" fontId="75" fillId="13" borderId="72" applyNumberFormat="0" applyAlignment="0" applyProtection="0"/>
    <xf numFmtId="9" fontId="2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35"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1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85" fillId="0" borderId="0"/>
    <xf numFmtId="172" fontId="24" fillId="0" borderId="0"/>
    <xf numFmtId="0" fontId="45" fillId="0" borderId="0"/>
    <xf numFmtId="0" fontId="4" fillId="0" borderId="0"/>
    <xf numFmtId="0" fontId="4" fillId="0" borderId="0"/>
    <xf numFmtId="43" fontId="4" fillId="0" borderId="0" applyFont="0" applyFill="0" applyBorder="0" applyAlignment="0" applyProtection="0">
      <alignment wrapText="1"/>
    </xf>
    <xf numFmtId="9" fontId="24" fillId="0" borderId="0" applyFont="0" applyFill="0" applyBorder="0" applyAlignment="0" applyProtection="0"/>
    <xf numFmtId="10" fontId="49" fillId="2" borderId="0"/>
    <xf numFmtId="0" fontId="211" fillId="0" borderId="0"/>
    <xf numFmtId="0" fontId="24" fillId="0" borderId="0"/>
    <xf numFmtId="37" fontId="3" fillId="2" borderId="0" applyFill="0"/>
    <xf numFmtId="0" fontId="229" fillId="0" borderId="0"/>
    <xf numFmtId="0" fontId="4" fillId="0" borderId="0"/>
  </cellStyleXfs>
  <cellXfs count="1881">
    <xf numFmtId="0" fontId="0" fillId="0" borderId="0" xfId="0"/>
    <xf numFmtId="37" fontId="4" fillId="0" borderId="0" xfId="3" applyFont="1" applyFill="1"/>
    <xf numFmtId="49" fontId="4" fillId="0" borderId="0" xfId="3" applyNumberFormat="1" applyFont="1" applyFill="1"/>
    <xf numFmtId="14" fontId="4" fillId="0" borderId="0" xfId="3" applyNumberFormat="1" applyFont="1" applyFill="1"/>
    <xf numFmtId="164" fontId="4" fillId="0" borderId="0" xfId="4" applyNumberFormat="1" applyFont="1" applyFill="1"/>
    <xf numFmtId="37" fontId="4" fillId="3" borderId="0" xfId="3" applyFont="1" applyFill="1"/>
    <xf numFmtId="164" fontId="5" fillId="0" borderId="0" xfId="6" applyNumberFormat="1" applyFont="1"/>
    <xf numFmtId="164" fontId="4" fillId="3" borderId="0" xfId="6" applyNumberFormat="1" applyFont="1" applyFill="1" applyBorder="1"/>
    <xf numFmtId="165" fontId="6" fillId="0" borderId="0" xfId="7" applyNumberFormat="1" applyFont="1" applyFill="1" applyBorder="1"/>
    <xf numFmtId="164" fontId="4" fillId="0" borderId="0" xfId="6" applyNumberFormat="1" applyFont="1" applyBorder="1"/>
    <xf numFmtId="0" fontId="4" fillId="0" borderId="0" xfId="8"/>
    <xf numFmtId="37" fontId="4" fillId="0" borderId="0" xfId="3" quotePrefix="1" applyFont="1" applyFill="1"/>
    <xf numFmtId="14" fontId="7" fillId="0" borderId="0" xfId="5" applyNumberFormat="1" applyFont="1"/>
    <xf numFmtId="0" fontId="8" fillId="0" borderId="0" xfId="5" applyNumberFormat="1" applyFont="1"/>
    <xf numFmtId="0" fontId="7" fillId="0" borderId="0" xfId="5" applyNumberFormat="1" applyFont="1"/>
    <xf numFmtId="0" fontId="8" fillId="0" borderId="0" xfId="5" applyNumberFormat="1" applyFont="1" applyAlignment="1">
      <alignment horizontal="right"/>
    </xf>
    <xf numFmtId="49" fontId="9" fillId="0" borderId="0" xfId="5" applyNumberFormat="1" applyFont="1" applyAlignment="1">
      <alignment horizontal="left"/>
    </xf>
    <xf numFmtId="0" fontId="9" fillId="0" borderId="0" xfId="5" applyNumberFormat="1" applyFont="1" applyAlignment="1">
      <alignment horizontal="left"/>
    </xf>
    <xf numFmtId="49" fontId="9" fillId="0" borderId="0" xfId="5" applyNumberFormat="1" applyFont="1" applyAlignment="1">
      <alignment horizontal="right"/>
    </xf>
    <xf numFmtId="0" fontId="10" fillId="0" borderId="0" xfId="5" applyNumberFormat="1" applyFont="1"/>
    <xf numFmtId="49" fontId="11" fillId="0" borderId="0" xfId="5" applyNumberFormat="1" applyFont="1"/>
    <xf numFmtId="0" fontId="11" fillId="0" borderId="0" xfId="5" applyNumberFormat="1" applyFont="1"/>
    <xf numFmtId="166" fontId="12" fillId="0" borderId="0" xfId="5" quotePrefix="1" applyNumberFormat="1" applyFont="1" applyAlignment="1">
      <alignment horizontal="left"/>
    </xf>
    <xf numFmtId="0" fontId="5" fillId="0" borderId="0" xfId="5" applyNumberFormat="1" applyFont="1"/>
    <xf numFmtId="164" fontId="13" fillId="0" borderId="1" xfId="6" applyNumberFormat="1" applyFont="1" applyFill="1" applyBorder="1" applyAlignment="1">
      <alignment horizontal="centerContinuous"/>
    </xf>
    <xf numFmtId="0" fontId="13" fillId="0" borderId="1" xfId="5" applyFont="1" applyFill="1" applyBorder="1" applyAlignment="1">
      <alignment horizontal="centerContinuous"/>
    </xf>
    <xf numFmtId="164" fontId="13" fillId="0" borderId="1" xfId="6" quotePrefix="1" applyNumberFormat="1" applyFont="1" applyFill="1" applyBorder="1" applyAlignment="1">
      <alignment horizontal="centerContinuous"/>
    </xf>
    <xf numFmtId="0" fontId="14" fillId="0" borderId="1" xfId="5" applyNumberFormat="1" applyFont="1" applyBorder="1"/>
    <xf numFmtId="0" fontId="13" fillId="0" borderId="0" xfId="5" applyFont="1" applyBorder="1"/>
    <xf numFmtId="0" fontId="13" fillId="0" borderId="0" xfId="5" applyFont="1"/>
    <xf numFmtId="0" fontId="16" fillId="0" borderId="0" xfId="5" applyFont="1"/>
    <xf numFmtId="164" fontId="16" fillId="0" borderId="0" xfId="6" applyNumberFormat="1" applyFont="1"/>
    <xf numFmtId="37" fontId="4" fillId="0" borderId="0" xfId="3" applyFont="1" applyFill="1" applyBorder="1"/>
    <xf numFmtId="164" fontId="5" fillId="0" borderId="0" xfId="4" applyNumberFormat="1" applyFont="1"/>
    <xf numFmtId="164" fontId="5" fillId="0" borderId="1" xfId="4" applyNumberFormat="1" applyFont="1" applyBorder="1"/>
    <xf numFmtId="0" fontId="5" fillId="0" borderId="0" xfId="5" quotePrefix="1" applyFont="1"/>
    <xf numFmtId="0" fontId="14" fillId="0" borderId="0" xfId="5" applyFont="1" applyAlignment="1">
      <alignment horizontal="left"/>
    </xf>
    <xf numFmtId="0" fontId="14" fillId="0" borderId="0" xfId="5" applyFont="1"/>
    <xf numFmtId="0" fontId="14" fillId="0" borderId="0" xfId="5" quotePrefix="1" applyFont="1" applyAlignment="1">
      <alignment horizontal="left"/>
    </xf>
    <xf numFmtId="0" fontId="4" fillId="0" borderId="0" xfId="8" applyFont="1"/>
    <xf numFmtId="0" fontId="14" fillId="5" borderId="0" xfId="5" quotePrefix="1" applyFont="1" applyFill="1" applyAlignment="1">
      <alignment horizontal="left"/>
    </xf>
    <xf numFmtId="0" fontId="5" fillId="5" borderId="0" xfId="5" applyFont="1" applyFill="1"/>
    <xf numFmtId="0" fontId="7" fillId="0" borderId="0" xfId="5" applyNumberFormat="1" applyFont="1" applyFill="1"/>
    <xf numFmtId="0" fontId="4" fillId="0" borderId="0" xfId="10"/>
    <xf numFmtId="0" fontId="4" fillId="0" borderId="0" xfId="10" applyFont="1"/>
    <xf numFmtId="164" fontId="16" fillId="0" borderId="0" xfId="4" applyNumberFormat="1" applyFont="1"/>
    <xf numFmtId="0" fontId="14" fillId="6" borderId="0" xfId="5" applyFont="1" applyFill="1" applyAlignment="1">
      <alignment horizontal="left"/>
    </xf>
    <xf numFmtId="0" fontId="5" fillId="6" borderId="0" xfId="5" applyFont="1" applyFill="1"/>
    <xf numFmtId="164" fontId="4" fillId="0" borderId="0" xfId="6" applyNumberFormat="1" applyFont="1" applyFill="1"/>
    <xf numFmtId="164" fontId="4" fillId="0" borderId="0" xfId="4" applyNumberFormat="1"/>
    <xf numFmtId="164" fontId="5" fillId="7" borderId="0" xfId="4" applyNumberFormat="1" applyFont="1" applyFill="1" applyBorder="1"/>
    <xf numFmtId="164" fontId="5" fillId="7" borderId="0" xfId="4" applyNumberFormat="1" applyFont="1" applyFill="1"/>
    <xf numFmtId="164" fontId="6" fillId="7" borderId="0" xfId="4" applyNumberFormat="1" applyFont="1" applyFill="1" applyBorder="1"/>
    <xf numFmtId="164" fontId="17" fillId="0" borderId="0" xfId="6" applyNumberFormat="1" applyFont="1" applyFill="1" applyAlignment="1">
      <alignment horizontal="right"/>
    </xf>
    <xf numFmtId="0" fontId="18" fillId="0" borderId="0" xfId="5" applyNumberFormat="1" applyFont="1"/>
    <xf numFmtId="164" fontId="19" fillId="0" borderId="0" xfId="6" applyNumberFormat="1" applyFont="1" applyFill="1"/>
    <xf numFmtId="0" fontId="13" fillId="0" borderId="0" xfId="8" applyFont="1" applyFill="1"/>
    <xf numFmtId="0" fontId="5" fillId="0" borderId="0" xfId="5" applyNumberFormat="1" applyFont="1" applyFill="1" applyAlignment="1">
      <alignment horizontal="left"/>
    </xf>
    <xf numFmtId="0" fontId="4" fillId="0" borderId="0" xfId="8" applyFont="1" applyFill="1"/>
    <xf numFmtId="0" fontId="4" fillId="0" borderId="7" xfId="63" applyFont="1" applyBorder="1"/>
    <xf numFmtId="0" fontId="4" fillId="0" borderId="8" xfId="63" applyFont="1" applyBorder="1"/>
    <xf numFmtId="0" fontId="4" fillId="0" borderId="0" xfId="63" applyFont="1" applyBorder="1"/>
    <xf numFmtId="0" fontId="4" fillId="0" borderId="0" xfId="63" applyFont="1"/>
    <xf numFmtId="0" fontId="13" fillId="0" borderId="0" xfId="63" applyFont="1" applyBorder="1"/>
    <xf numFmtId="0" fontId="27" fillId="9" borderId="0" xfId="8" applyFont="1" applyFill="1" applyAlignment="1">
      <alignment horizontal="center" wrapText="1"/>
    </xf>
    <xf numFmtId="0" fontId="27" fillId="10" borderId="0" xfId="8" applyFont="1" applyFill="1" applyAlignment="1">
      <alignment horizontal="center" wrapText="1"/>
    </xf>
    <xf numFmtId="0" fontId="4" fillId="6" borderId="0" xfId="8" applyFont="1" applyFill="1" applyBorder="1" applyAlignment="1">
      <alignment horizontal="left"/>
    </xf>
    <xf numFmtId="0" fontId="4" fillId="0" borderId="0" xfId="8" applyNumberFormat="1" applyFont="1" applyBorder="1" applyAlignment="1" applyProtection="1">
      <alignment horizontal="left"/>
      <protection locked="0"/>
    </xf>
    <xf numFmtId="0" fontId="13" fillId="11" borderId="1" xfId="8" applyFont="1" applyFill="1" applyBorder="1"/>
    <xf numFmtId="0" fontId="13" fillId="0" borderId="0" xfId="63" applyFont="1"/>
    <xf numFmtId="0" fontId="4" fillId="0" borderId="0" xfId="63" applyFont="1" applyProtection="1"/>
    <xf numFmtId="164" fontId="4" fillId="0" borderId="0" xfId="63" applyNumberFormat="1" applyFont="1" applyBorder="1"/>
    <xf numFmtId="43" fontId="4" fillId="0" borderId="0" xfId="63" applyNumberFormat="1" applyFont="1" applyBorder="1"/>
    <xf numFmtId="0" fontId="13" fillId="0" borderId="0" xfId="63" applyFont="1" applyProtection="1"/>
    <xf numFmtId="0" fontId="4" fillId="0" borderId="0" xfId="63" applyFont="1" applyFill="1" applyProtection="1"/>
    <xf numFmtId="0" fontId="4" fillId="0" borderId="0" xfId="63" applyFont="1" applyFill="1"/>
    <xf numFmtId="0" fontId="13" fillId="0" borderId="0" xfId="63" applyFont="1" applyFill="1" applyBorder="1" applyAlignment="1" applyProtection="1"/>
    <xf numFmtId="0" fontId="27" fillId="9" borderId="4" xfId="63" applyFont="1" applyFill="1" applyBorder="1"/>
    <xf numFmtId="0" fontId="27" fillId="9" borderId="5" xfId="63" applyFont="1" applyFill="1" applyBorder="1" applyAlignment="1" applyProtection="1">
      <alignment horizontal="right"/>
    </xf>
    <xf numFmtId="0" fontId="27" fillId="9" borderId="5" xfId="63" applyFont="1" applyFill="1" applyBorder="1" applyAlignment="1" applyProtection="1">
      <alignment horizontal="center" wrapText="1"/>
    </xf>
    <xf numFmtId="0" fontId="27" fillId="9" borderId="5" xfId="63" applyFont="1" applyFill="1" applyBorder="1"/>
    <xf numFmtId="0" fontId="27" fillId="9" borderId="6" xfId="63" applyFont="1" applyFill="1" applyBorder="1"/>
    <xf numFmtId="0" fontId="13" fillId="0" borderId="0" xfId="63" applyFont="1" applyFill="1" applyBorder="1" applyAlignment="1" applyProtection="1">
      <alignment horizontal="left"/>
      <protection locked="0"/>
    </xf>
    <xf numFmtId="0" fontId="4" fillId="0" borderId="0" xfId="63" applyFont="1" applyFill="1" applyBorder="1" applyAlignment="1" applyProtection="1">
      <alignment horizontal="left"/>
      <protection locked="0"/>
    </xf>
    <xf numFmtId="164" fontId="13" fillId="0" borderId="0" xfId="4" applyNumberFormat="1" applyFont="1" applyFill="1" applyBorder="1"/>
    <xf numFmtId="0" fontId="4" fillId="0" borderId="0" xfId="63" applyFont="1" applyFill="1" applyAlignment="1" applyProtection="1">
      <alignment horizontal="left"/>
      <protection locked="0"/>
    </xf>
    <xf numFmtId="0" fontId="13" fillId="11" borderId="0" xfId="8" applyFont="1" applyFill="1" applyBorder="1" applyAlignment="1">
      <alignment horizontal="center" wrapText="1"/>
    </xf>
    <xf numFmtId="0" fontId="13" fillId="11" borderId="0" xfId="8" applyFont="1" applyFill="1" applyBorder="1"/>
    <xf numFmtId="0" fontId="13" fillId="10" borderId="9" xfId="63" applyFont="1" applyFill="1" applyBorder="1" applyAlignment="1" applyProtection="1"/>
    <xf numFmtId="0" fontId="13" fillId="11" borderId="18" xfId="63" applyFont="1" applyFill="1" applyBorder="1" applyAlignment="1" applyProtection="1">
      <alignment horizontal="left"/>
    </xf>
    <xf numFmtId="0" fontId="13" fillId="11" borderId="9" xfId="63" applyFont="1" applyFill="1" applyBorder="1" applyAlignment="1" applyProtection="1">
      <alignment horizontal="left"/>
    </xf>
    <xf numFmtId="0" fontId="13" fillId="11" borderId="18" xfId="63" applyFont="1" applyFill="1" applyBorder="1" applyAlignment="1" applyProtection="1"/>
    <xf numFmtId="0" fontId="13" fillId="11" borderId="9" xfId="63" applyFont="1" applyFill="1" applyBorder="1" applyAlignment="1" applyProtection="1"/>
    <xf numFmtId="0" fontId="27" fillId="9" borderId="5" xfId="63" applyFont="1" applyFill="1" applyBorder="1" applyAlignment="1" applyProtection="1">
      <alignment horizontal="center" wrapText="1"/>
    </xf>
    <xf numFmtId="0" fontId="97" fillId="67" borderId="0" xfId="683" applyNumberFormat="1" applyFill="1"/>
    <xf numFmtId="0" fontId="98" fillId="67" borderId="0" xfId="683" applyNumberFormat="1" applyFont="1" applyFill="1"/>
    <xf numFmtId="0" fontId="98" fillId="67" borderId="50" xfId="683" applyNumberFormat="1" applyFont="1" applyFill="1" applyBorder="1"/>
    <xf numFmtId="0" fontId="98" fillId="0" borderId="11" xfId="683" applyNumberFormat="1" applyFont="1" applyFill="1" applyBorder="1"/>
    <xf numFmtId="0" fontId="98" fillId="0" borderId="0" xfId="683" applyNumberFormat="1" applyFont="1" applyFill="1" applyAlignment="1">
      <alignment horizontal="center"/>
    </xf>
    <xf numFmtId="0" fontId="98" fillId="0" borderId="0" xfId="683" applyNumberFormat="1" applyFont="1" applyFill="1"/>
    <xf numFmtId="0" fontId="100" fillId="62" borderId="51" xfId="685" applyNumberFormat="1" applyFont="1" applyBorder="1" applyAlignment="1">
      <alignment horizontal="centerContinuous"/>
    </xf>
    <xf numFmtId="0" fontId="101" fillId="62" borderId="52" xfId="685" applyNumberFormat="1" applyFont="1" applyBorder="1" applyAlignment="1">
      <alignment horizontal="centerContinuous"/>
    </xf>
    <xf numFmtId="0" fontId="101" fillId="62" borderId="52" xfId="685" applyNumberFormat="1" applyFont="1" applyBorder="1" applyAlignment="1">
      <alignment horizontal="left"/>
    </xf>
    <xf numFmtId="0" fontId="102" fillId="62" borderId="53" xfId="685" applyNumberFormat="1" applyFont="1" applyBorder="1" applyAlignment="1">
      <alignment horizontal="centerContinuous"/>
    </xf>
    <xf numFmtId="0" fontId="97" fillId="37" borderId="0" xfId="683" applyNumberFormat="1"/>
    <xf numFmtId="0" fontId="97" fillId="37" borderId="11" xfId="683" applyNumberFormat="1" applyBorder="1"/>
    <xf numFmtId="41" fontId="97" fillId="67" borderId="0" xfId="683" applyNumberFormat="1" applyFill="1"/>
    <xf numFmtId="0" fontId="104" fillId="37" borderId="54" xfId="683" applyNumberFormat="1" applyFont="1" applyBorder="1"/>
    <xf numFmtId="0" fontId="104" fillId="37" borderId="0" xfId="683" applyNumberFormat="1" applyFont="1"/>
    <xf numFmtId="0" fontId="38" fillId="68" borderId="0" xfId="683" applyNumberFormat="1" applyFont="1" applyFill="1" applyAlignment="1">
      <alignment horizontal="center"/>
    </xf>
    <xf numFmtId="0" fontId="105" fillId="68" borderId="0" xfId="683" applyNumberFormat="1" applyFont="1" applyFill="1" applyAlignment="1">
      <alignment horizontal="center"/>
    </xf>
    <xf numFmtId="0" fontId="97" fillId="37" borderId="0" xfId="683" applyNumberFormat="1" applyAlignment="1">
      <alignment horizontal="center"/>
    </xf>
    <xf numFmtId="0" fontId="97" fillId="8" borderId="0" xfId="683" applyNumberFormat="1" applyFill="1" applyBorder="1"/>
    <xf numFmtId="0" fontId="104" fillId="37" borderId="11" xfId="683" applyNumberFormat="1" applyFont="1" applyBorder="1"/>
    <xf numFmtId="0" fontId="106" fillId="67" borderId="0" xfId="683" applyNumberFormat="1" applyFont="1" applyFill="1"/>
    <xf numFmtId="0" fontId="107" fillId="37" borderId="19" xfId="683" applyNumberFormat="1" applyFont="1" applyBorder="1" applyAlignment="1">
      <alignment horizontal="right"/>
    </xf>
    <xf numFmtId="0" fontId="107" fillId="37" borderId="11" xfId="683" applyNumberFormat="1" applyFont="1" applyBorder="1"/>
    <xf numFmtId="0" fontId="107" fillId="37" borderId="0" xfId="683" applyNumberFormat="1" applyFont="1"/>
    <xf numFmtId="0" fontId="108" fillId="68" borderId="0" xfId="683" applyNumberFormat="1" applyFont="1" applyFill="1" applyAlignment="1">
      <alignment horizontal="center"/>
    </xf>
    <xf numFmtId="0" fontId="49" fillId="37" borderId="0" xfId="683" applyNumberFormat="1" applyFont="1"/>
    <xf numFmtId="0" fontId="107" fillId="37" borderId="12" xfId="683" applyNumberFormat="1" applyFont="1" applyBorder="1"/>
    <xf numFmtId="0" fontId="38" fillId="68" borderId="1" xfId="683" applyNumberFormat="1" applyFont="1" applyFill="1" applyBorder="1"/>
    <xf numFmtId="0" fontId="108" fillId="68" borderId="1" xfId="683" applyNumberFormat="1" applyFont="1" applyFill="1" applyBorder="1" applyAlignment="1">
      <alignment horizontal="center"/>
    </xf>
    <xf numFmtId="0" fontId="108" fillId="68" borderId="1" xfId="683" applyNumberFormat="1" applyFont="1" applyFill="1" applyBorder="1"/>
    <xf numFmtId="0" fontId="107" fillId="37" borderId="0" xfId="683" applyNumberFormat="1" applyFont="1" applyAlignment="1">
      <alignment horizontal="right"/>
    </xf>
    <xf numFmtId="41" fontId="107" fillId="37" borderId="0" xfId="683" applyNumberFormat="1" applyFont="1"/>
    <xf numFmtId="0" fontId="110" fillId="37" borderId="11" xfId="683" applyNumberFormat="1" applyFont="1" applyBorder="1" applyAlignment="1">
      <alignment horizontal="center"/>
    </xf>
    <xf numFmtId="2" fontId="97" fillId="37" borderId="11" xfId="683" applyNumberFormat="1" applyBorder="1" applyAlignment="1">
      <alignment horizontal="center"/>
    </xf>
    <xf numFmtId="175" fontId="97" fillId="37" borderId="0" xfId="683" applyNumberFormat="1" applyBorder="1"/>
    <xf numFmtId="10" fontId="109" fillId="37" borderId="0" xfId="683" applyNumberFormat="1" applyFont="1" applyBorder="1"/>
    <xf numFmtId="41" fontId="97" fillId="37" borderId="14" xfId="683" applyNumberFormat="1" applyBorder="1"/>
    <xf numFmtId="41" fontId="97" fillId="37" borderId="0" xfId="683" applyNumberFormat="1" applyBorder="1"/>
    <xf numFmtId="0" fontId="107" fillId="37" borderId="19" xfId="683" applyNumberFormat="1" applyFont="1" applyBorder="1" applyAlignment="1">
      <alignment horizontal="center"/>
    </xf>
    <xf numFmtId="0" fontId="97" fillId="37" borderId="11" xfId="683" applyNumberFormat="1" applyBorder="1" applyAlignment="1">
      <alignment horizontal="center"/>
    </xf>
    <xf numFmtId="0" fontId="97" fillId="37" borderId="12" xfId="683" applyNumberFormat="1" applyBorder="1" applyAlignment="1">
      <alignment horizontal="center"/>
    </xf>
    <xf numFmtId="0" fontId="108" fillId="37" borderId="19" xfId="683" applyNumberFormat="1" applyFont="1" applyBorder="1" applyAlignment="1">
      <alignment horizontal="right"/>
    </xf>
    <xf numFmtId="175" fontId="110" fillId="37" borderId="0" xfId="683" applyNumberFormat="1" applyFont="1" applyBorder="1"/>
    <xf numFmtId="41" fontId="107" fillId="37" borderId="0" xfId="683" applyNumberFormat="1" applyFont="1" applyBorder="1"/>
    <xf numFmtId="175" fontId="97" fillId="37" borderId="1" xfId="683" applyNumberFormat="1" applyBorder="1"/>
    <xf numFmtId="0" fontId="97" fillId="2" borderId="0" xfId="683" applyNumberFormat="1" applyFill="1"/>
    <xf numFmtId="41" fontId="104" fillId="37" borderId="0" xfId="683" applyNumberFormat="1" applyFont="1"/>
    <xf numFmtId="10" fontId="107" fillId="37" borderId="0" xfId="683" applyNumberFormat="1" applyFont="1" applyAlignment="1">
      <alignment horizontal="right"/>
    </xf>
    <xf numFmtId="41" fontId="104" fillId="2" borderId="0" xfId="691" applyFont="1" applyAlignment="1">
      <alignment horizontal="right"/>
    </xf>
    <xf numFmtId="0" fontId="97" fillId="37" borderId="0" xfId="683" applyNumberFormat="1" applyAlignment="1">
      <alignment horizontal="right"/>
    </xf>
    <xf numFmtId="0" fontId="107" fillId="37" borderId="16" xfId="683" applyNumberFormat="1" applyFont="1" applyBorder="1" applyAlignment="1">
      <alignment horizontal="right"/>
    </xf>
    <xf numFmtId="0" fontId="107" fillId="37" borderId="0" xfId="683" applyNumberFormat="1" applyFont="1" applyBorder="1" applyAlignment="1">
      <alignment horizontal="right"/>
    </xf>
    <xf numFmtId="0" fontId="111" fillId="37" borderId="0" xfId="683" applyNumberFormat="1" applyFont="1" applyBorder="1" applyAlignment="1">
      <alignment horizontal="left"/>
    </xf>
    <xf numFmtId="41" fontId="107" fillId="37" borderId="14" xfId="683" applyNumberFormat="1" applyFont="1" applyBorder="1"/>
    <xf numFmtId="0" fontId="104" fillId="67" borderId="0" xfId="683" applyNumberFormat="1" applyFont="1" applyFill="1" applyBorder="1"/>
    <xf numFmtId="0" fontId="108" fillId="37" borderId="0" xfId="683" applyNumberFormat="1" applyFont="1" applyBorder="1" applyAlignment="1">
      <alignment horizontal="right"/>
    </xf>
    <xf numFmtId="41" fontId="108" fillId="37" borderId="3" xfId="683" applyNumberFormat="1" applyFont="1" applyBorder="1"/>
    <xf numFmtId="0" fontId="97" fillId="37" borderId="0" xfId="683" applyNumberFormat="1" applyBorder="1"/>
    <xf numFmtId="0" fontId="97" fillId="37" borderId="12" xfId="683" applyNumberFormat="1" applyBorder="1"/>
    <xf numFmtId="0" fontId="97" fillId="37" borderId="1" xfId="683" applyNumberFormat="1" applyBorder="1"/>
    <xf numFmtId="0" fontId="97" fillId="37" borderId="15" xfId="683" applyNumberFormat="1" applyBorder="1"/>
    <xf numFmtId="0" fontId="38" fillId="68" borderId="0" xfId="683" applyNumberFormat="1" applyFont="1" applyFill="1" applyBorder="1" applyAlignment="1">
      <alignment horizontal="left"/>
    </xf>
    <xf numFmtId="0" fontId="38" fillId="2" borderId="0" xfId="683" applyNumberFormat="1" applyFont="1" applyFill="1" applyBorder="1" applyAlignment="1">
      <alignment horizontal="centerContinuous"/>
    </xf>
    <xf numFmtId="0" fontId="113" fillId="37" borderId="0" xfId="683" applyNumberFormat="1" applyFont="1" applyAlignment="1">
      <alignment horizontal="right"/>
    </xf>
    <xf numFmtId="41" fontId="113" fillId="37" borderId="0" xfId="683" applyNumberFormat="1" applyFont="1" applyAlignment="1">
      <alignment horizontal="center"/>
    </xf>
    <xf numFmtId="0" fontId="113" fillId="37" borderId="0" xfId="683" applyNumberFormat="1" applyFont="1" applyAlignment="1">
      <alignment horizontal="center"/>
    </xf>
    <xf numFmtId="37" fontId="97" fillId="37" borderId="0" xfId="683" applyNumberFormat="1"/>
    <xf numFmtId="39" fontId="97" fillId="37" borderId="0" xfId="683" applyNumberFormat="1"/>
    <xf numFmtId="175" fontId="97" fillId="37" borderId="0" xfId="683" applyNumberFormat="1"/>
    <xf numFmtId="10" fontId="107" fillId="37" borderId="0" xfId="683" applyNumberFormat="1" applyFont="1" applyAlignment="1">
      <alignment horizontal="center"/>
    </xf>
    <xf numFmtId="41" fontId="107" fillId="37" borderId="0" xfId="683" applyNumberFormat="1" applyFont="1" applyBorder="1" applyProtection="1">
      <protection locked="0"/>
    </xf>
    <xf numFmtId="41" fontId="107" fillId="37" borderId="1" xfId="683" applyNumberFormat="1" applyFont="1" applyBorder="1" applyProtection="1">
      <protection locked="0"/>
    </xf>
    <xf numFmtId="41" fontId="107" fillId="37" borderId="56" xfId="683" applyNumberFormat="1" applyFont="1" applyBorder="1"/>
    <xf numFmtId="0" fontId="104" fillId="37" borderId="0" xfId="683" applyNumberFormat="1" applyFont="1" applyAlignment="1">
      <alignment horizontal="right"/>
    </xf>
    <xf numFmtId="10" fontId="107" fillId="37" borderId="56" xfId="683" applyNumberFormat="1" applyFont="1" applyBorder="1" applyAlignment="1">
      <alignment horizontal="center"/>
    </xf>
    <xf numFmtId="5" fontId="97" fillId="67" borderId="0" xfId="683" applyNumberFormat="1" applyFill="1"/>
    <xf numFmtId="0" fontId="108" fillId="37" borderId="0" xfId="683" applyNumberFormat="1" applyFont="1" applyAlignment="1">
      <alignment horizontal="center"/>
    </xf>
    <xf numFmtId="0" fontId="114" fillId="37" borderId="0" xfId="683" applyNumberFormat="1" applyFont="1"/>
    <xf numFmtId="0" fontId="108" fillId="37" borderId="0" xfId="683" applyNumberFormat="1" applyFont="1"/>
    <xf numFmtId="0" fontId="114" fillId="37" borderId="0" xfId="683" applyNumberFormat="1" applyFont="1" applyAlignment="1">
      <alignment horizontal="right"/>
    </xf>
    <xf numFmtId="5" fontId="97" fillId="67" borderId="0" xfId="683" applyNumberFormat="1" applyFill="1" applyBorder="1"/>
    <xf numFmtId="10" fontId="107" fillId="37" borderId="0" xfId="683" applyNumberFormat="1" applyFont="1"/>
    <xf numFmtId="10" fontId="97" fillId="67" borderId="0" xfId="683" applyNumberFormat="1" applyFill="1"/>
    <xf numFmtId="0" fontId="104" fillId="67" borderId="0" xfId="683" applyNumberFormat="1" applyFont="1" applyFill="1"/>
    <xf numFmtId="0" fontId="107" fillId="37" borderId="0" xfId="683" quotePrefix="1" applyNumberFormat="1" applyFont="1" applyAlignment="1">
      <alignment horizontal="left"/>
    </xf>
    <xf numFmtId="178" fontId="97" fillId="37" borderId="0" xfId="683" applyNumberFormat="1"/>
    <xf numFmtId="0" fontId="115" fillId="37" borderId="0" xfId="683" applyNumberFormat="1" applyFont="1"/>
    <xf numFmtId="39" fontId="107" fillId="37" borderId="0" xfId="683" applyNumberFormat="1" applyFont="1"/>
    <xf numFmtId="0" fontId="97" fillId="37" borderId="19" xfId="683" applyNumberFormat="1" applyBorder="1"/>
    <xf numFmtId="0" fontId="116" fillId="37" borderId="0" xfId="683" applyNumberFormat="1" applyFont="1"/>
    <xf numFmtId="0" fontId="108" fillId="37" borderId="1" xfId="683" applyNumberFormat="1" applyFont="1" applyBorder="1" applyAlignment="1">
      <alignment horizontal="right"/>
    </xf>
    <xf numFmtId="0" fontId="108" fillId="37" borderId="1" xfId="683" applyNumberFormat="1" applyFont="1" applyBorder="1" applyAlignment="1">
      <alignment horizontal="center"/>
    </xf>
    <xf numFmtId="0" fontId="97" fillId="37" borderId="11" xfId="683" applyNumberFormat="1" applyBorder="1" applyAlignment="1">
      <alignment horizontal="centerContinuous"/>
    </xf>
    <xf numFmtId="0" fontId="97" fillId="37" borderId="14" xfId="683" applyNumberFormat="1" applyBorder="1" applyAlignment="1">
      <alignment horizontal="centerContinuous"/>
    </xf>
    <xf numFmtId="0" fontId="117" fillId="37" borderId="0" xfId="683" applyNumberFormat="1" applyFont="1"/>
    <xf numFmtId="176" fontId="107" fillId="37" borderId="0" xfId="683" applyNumberFormat="1" applyFont="1"/>
    <xf numFmtId="164" fontId="107" fillId="37" borderId="0" xfId="683" applyNumberFormat="1" applyFont="1" applyBorder="1" applyProtection="1">
      <protection locked="0"/>
    </xf>
    <xf numFmtId="0" fontId="97" fillId="37" borderId="14" xfId="683" applyNumberFormat="1" applyBorder="1" applyAlignment="1">
      <alignment horizontal="center"/>
    </xf>
    <xf numFmtId="0" fontId="97" fillId="37" borderId="0" xfId="683" quotePrefix="1" applyNumberFormat="1" applyBorder="1" applyAlignment="1">
      <alignment horizontal="right"/>
    </xf>
    <xf numFmtId="10" fontId="97" fillId="37" borderId="14" xfId="683" applyNumberFormat="1" applyBorder="1"/>
    <xf numFmtId="10" fontId="97" fillId="37" borderId="0" xfId="683" applyNumberFormat="1" applyAlignment="1">
      <alignment horizontal="center"/>
    </xf>
    <xf numFmtId="41" fontId="97" fillId="37" borderId="0" xfId="683" applyNumberFormat="1"/>
    <xf numFmtId="0" fontId="97" fillId="37" borderId="15" xfId="683" applyNumberFormat="1" applyBorder="1" applyAlignment="1">
      <alignment horizontal="center"/>
    </xf>
    <xf numFmtId="176" fontId="107" fillId="37" borderId="56" xfId="683" applyNumberFormat="1" applyFont="1" applyBorder="1"/>
    <xf numFmtId="176" fontId="104" fillId="37" borderId="0" xfId="683" applyNumberFormat="1" applyFont="1"/>
    <xf numFmtId="0" fontId="97" fillId="37" borderId="0" xfId="683" quotePrefix="1" applyNumberFormat="1" applyBorder="1" applyAlignment="1">
      <alignment horizontal="left"/>
    </xf>
    <xf numFmtId="0" fontId="97" fillId="37" borderId="14" xfId="683" applyNumberFormat="1" applyBorder="1"/>
    <xf numFmtId="0" fontId="107" fillId="37" borderId="0" xfId="683" applyNumberFormat="1" applyFont="1" applyBorder="1"/>
    <xf numFmtId="0" fontId="104" fillId="37" borderId="0" xfId="683" applyNumberFormat="1" applyFont="1" applyBorder="1"/>
    <xf numFmtId="10" fontId="107" fillId="37" borderId="0" xfId="683" applyNumberFormat="1" applyFont="1" applyBorder="1"/>
    <xf numFmtId="0" fontId="118" fillId="67" borderId="0" xfId="683" applyNumberFormat="1" applyFont="1" applyFill="1"/>
    <xf numFmtId="2" fontId="118" fillId="67" borderId="0" xfId="683" applyNumberFormat="1" applyFont="1" applyFill="1"/>
    <xf numFmtId="10" fontId="97" fillId="37" borderId="12" xfId="683" applyNumberFormat="1" applyBorder="1" applyAlignment="1">
      <alignment horizontal="center"/>
    </xf>
    <xf numFmtId="0" fontId="97" fillId="37" borderId="1" xfId="683" quotePrefix="1" applyNumberFormat="1" applyBorder="1" applyAlignment="1">
      <alignment horizontal="left"/>
    </xf>
    <xf numFmtId="0" fontId="119" fillId="37" borderId="15" xfId="683" applyNumberFormat="1" applyFont="1" applyBorder="1"/>
    <xf numFmtId="0" fontId="119" fillId="67" borderId="0" xfId="683" applyNumberFormat="1" applyFont="1" applyFill="1"/>
    <xf numFmtId="179" fontId="97" fillId="37" borderId="0" xfId="683" applyNumberFormat="1"/>
    <xf numFmtId="0" fontId="99" fillId="37" borderId="0" xfId="683" applyNumberFormat="1" applyFont="1" applyBorder="1" applyAlignment="1">
      <alignment horizontal="centerContinuous"/>
    </xf>
    <xf numFmtId="0" fontId="97" fillId="37" borderId="0" xfId="683" applyNumberFormat="1" applyAlignment="1">
      <alignment horizontal="centerContinuous"/>
    </xf>
    <xf numFmtId="0" fontId="97" fillId="67" borderId="0" xfId="683" applyNumberFormat="1" applyFill="1" applyAlignment="1">
      <alignment horizontal="right"/>
    </xf>
    <xf numFmtId="10" fontId="97" fillId="37" borderId="0" xfId="683" applyNumberFormat="1" applyBorder="1" applyAlignment="1">
      <alignment horizontal="center"/>
    </xf>
    <xf numFmtId="10" fontId="97" fillId="37" borderId="14" xfId="683" applyNumberFormat="1" applyBorder="1" applyAlignment="1">
      <alignment horizontal="center"/>
    </xf>
    <xf numFmtId="0" fontId="97" fillId="37" borderId="11" xfId="683" applyNumberFormat="1" applyBorder="1" applyAlignment="1">
      <alignment horizontal="left"/>
    </xf>
    <xf numFmtId="180" fontId="121" fillId="37" borderId="0" xfId="683" applyNumberFormat="1" applyFont="1" applyBorder="1" applyAlignment="1">
      <alignment horizontal="center"/>
    </xf>
    <xf numFmtId="0" fontId="97" fillId="37" borderId="0" xfId="683" applyNumberFormat="1" applyBorder="1" applyAlignment="1">
      <alignment horizontal="left"/>
    </xf>
    <xf numFmtId="180" fontId="121" fillId="37" borderId="14" xfId="683" applyNumberFormat="1" applyFont="1" applyBorder="1" applyAlignment="1">
      <alignment horizontal="center"/>
    </xf>
    <xf numFmtId="0" fontId="122" fillId="37" borderId="0" xfId="683" applyNumberFormat="1" applyFont="1" applyBorder="1" applyAlignment="1">
      <alignment horizontal="centerContinuous"/>
    </xf>
    <xf numFmtId="180" fontId="97" fillId="37" borderId="14" xfId="683" applyNumberFormat="1" applyBorder="1" applyAlignment="1">
      <alignment horizontal="center"/>
    </xf>
    <xf numFmtId="0" fontId="119" fillId="67" borderId="0" xfId="683" applyNumberFormat="1" applyFont="1" applyFill="1" applyAlignment="1">
      <alignment horizontal="fill"/>
    </xf>
    <xf numFmtId="10" fontId="97" fillId="37" borderId="1" xfId="683" applyNumberFormat="1" applyBorder="1" applyAlignment="1">
      <alignment horizontal="center"/>
    </xf>
    <xf numFmtId="0" fontId="97" fillId="37" borderId="1" xfId="683" applyNumberFormat="1" applyBorder="1" applyAlignment="1">
      <alignment horizontal="right"/>
    </xf>
    <xf numFmtId="180" fontId="121" fillId="37" borderId="1" xfId="683" applyNumberFormat="1" applyFont="1" applyBorder="1" applyAlignment="1">
      <alignment horizontal="left"/>
    </xf>
    <xf numFmtId="180" fontId="97" fillId="37" borderId="15" xfId="683" applyNumberFormat="1" applyBorder="1" applyAlignment="1">
      <alignment horizontal="center"/>
    </xf>
    <xf numFmtId="180" fontId="97" fillId="37" borderId="0" xfId="683" applyNumberFormat="1"/>
    <xf numFmtId="0" fontId="124" fillId="37" borderId="0" xfId="683" applyNumberFormat="1" applyFont="1"/>
    <xf numFmtId="0" fontId="125" fillId="37" borderId="0" xfId="683" applyNumberFormat="1" applyFont="1" applyBorder="1"/>
    <xf numFmtId="0" fontId="125" fillId="37" borderId="14" xfId="683" applyNumberFormat="1" applyFont="1" applyBorder="1"/>
    <xf numFmtId="0" fontId="97" fillId="37" borderId="1" xfId="683" quotePrefix="1" applyNumberFormat="1" applyBorder="1" applyAlignment="1">
      <alignment horizontal="right"/>
    </xf>
    <xf numFmtId="10" fontId="97" fillId="37" borderId="15" xfId="683" applyNumberFormat="1" applyBorder="1"/>
    <xf numFmtId="10" fontId="4" fillId="0" borderId="8" xfId="2" applyNumberFormat="1" applyFont="1" applyBorder="1"/>
    <xf numFmtId="0" fontId="5" fillId="0" borderId="0" xfId="5" applyFont="1" applyAlignment="1">
      <alignment horizontal="left"/>
    </xf>
    <xf numFmtId="0" fontId="5" fillId="0" borderId="0" xfId="5" quotePrefix="1" applyFont="1" applyAlignment="1">
      <alignment horizontal="left"/>
    </xf>
    <xf numFmtId="0" fontId="5" fillId="0" borderId="0" xfId="5" applyFont="1"/>
    <xf numFmtId="0" fontId="101" fillId="62" borderId="60" xfId="685" applyNumberFormat="1" applyFont="1" applyBorder="1" applyAlignment="1">
      <alignment horizontal="left"/>
    </xf>
    <xf numFmtId="41" fontId="104" fillId="0" borderId="15" xfId="691" applyFont="1" applyFill="1" applyBorder="1">
      <alignment horizontal="left"/>
    </xf>
    <xf numFmtId="41" fontId="97" fillId="37" borderId="11" xfId="683" applyNumberFormat="1" applyBorder="1"/>
    <xf numFmtId="41" fontId="108" fillId="37" borderId="62" xfId="683" applyNumberFormat="1" applyFont="1" applyBorder="1"/>
    <xf numFmtId="0" fontId="107" fillId="37" borderId="1" xfId="683" applyNumberFormat="1" applyFont="1" applyBorder="1" applyAlignment="1">
      <alignment horizontal="right" vertical="center"/>
    </xf>
    <xf numFmtId="10" fontId="108" fillId="37" borderId="1" xfId="683" applyNumberFormat="1" applyFont="1" applyBorder="1" applyAlignment="1">
      <alignment horizontal="center" vertical="center"/>
    </xf>
    <xf numFmtId="0" fontId="13" fillId="11" borderId="61" xfId="63" applyFont="1" applyFill="1" applyBorder="1" applyAlignment="1" applyProtection="1">
      <alignment horizontal="left"/>
    </xf>
    <xf numFmtId="0" fontId="13" fillId="10" borderId="61" xfId="63" applyFont="1" applyFill="1" applyBorder="1" applyAlignment="1" applyProtection="1"/>
    <xf numFmtId="0" fontId="13" fillId="11" borderId="61" xfId="63" applyFont="1" applyFill="1" applyBorder="1" applyAlignment="1" applyProtection="1"/>
    <xf numFmtId="0" fontId="13" fillId="10" borderId="55" xfId="63" applyFont="1" applyFill="1" applyBorder="1" applyAlignment="1" applyProtection="1"/>
    <xf numFmtId="0" fontId="30" fillId="0" borderId="1" xfId="0" applyFont="1" applyBorder="1" applyAlignment="1">
      <alignment horizontal="center"/>
    </xf>
    <xf numFmtId="0" fontId="30" fillId="0" borderId="0" xfId="0" applyFont="1"/>
    <xf numFmtId="0" fontId="0" fillId="0" borderId="0" xfId="0"/>
    <xf numFmtId="0" fontId="13" fillId="11" borderId="1" xfId="8" applyFont="1" applyFill="1" applyBorder="1" applyAlignment="1">
      <alignment horizontal="center" wrapText="1"/>
    </xf>
    <xf numFmtId="0" fontId="13" fillId="6" borderId="0" xfId="8" applyFont="1" applyFill="1" applyBorder="1" applyAlignment="1">
      <alignment horizontal="right"/>
    </xf>
    <xf numFmtId="0" fontId="13" fillId="0" borderId="0" xfId="8" applyFont="1" applyBorder="1" applyAlignment="1">
      <alignment horizontal="right"/>
    </xf>
    <xf numFmtId="0" fontId="4" fillId="0" borderId="0" xfId="8" applyFont="1" applyFill="1" applyBorder="1"/>
    <xf numFmtId="164" fontId="13" fillId="0" borderId="0" xfId="1" applyNumberFormat="1" applyFont="1" applyFill="1"/>
    <xf numFmtId="0" fontId="150" fillId="0" borderId="0" xfId="65" applyFont="1" applyBorder="1"/>
    <xf numFmtId="0" fontId="150" fillId="0" borderId="0" xfId="65" applyNumberFormat="1" applyFont="1" applyBorder="1"/>
    <xf numFmtId="0" fontId="150" fillId="6" borderId="0" xfId="65" applyFont="1" applyFill="1" applyBorder="1"/>
    <xf numFmtId="0" fontId="150" fillId="6" borderId="0" xfId="65" applyNumberFormat="1" applyFont="1" applyFill="1" applyBorder="1"/>
    <xf numFmtId="0" fontId="152" fillId="0" borderId="0" xfId="65" applyFont="1" applyBorder="1"/>
    <xf numFmtId="3" fontId="150" fillId="0" borderId="0" xfId="65" applyNumberFormat="1" applyFont="1" applyFill="1" applyBorder="1"/>
    <xf numFmtId="3" fontId="148" fillId="0" borderId="0" xfId="65" applyNumberFormat="1" applyFont="1" applyFill="1" applyBorder="1"/>
    <xf numFmtId="0" fontId="1" fillId="0" borderId="0" xfId="0" applyFont="1"/>
    <xf numFmtId="164" fontId="148" fillId="0" borderId="0" xfId="1" applyNumberFormat="1" applyFont="1" applyFill="1" applyBorder="1"/>
    <xf numFmtId="164" fontId="150" fillId="0" borderId="0" xfId="1" applyNumberFormat="1" applyFont="1" applyFill="1" applyBorder="1"/>
    <xf numFmtId="37" fontId="150" fillId="0" borderId="0" xfId="65" applyNumberFormat="1" applyFont="1" applyBorder="1"/>
    <xf numFmtId="0" fontId="150" fillId="0" borderId="0" xfId="65" applyFont="1" applyFill="1" applyBorder="1"/>
    <xf numFmtId="0" fontId="150" fillId="0" borderId="0" xfId="65" applyNumberFormat="1" applyFont="1" applyFill="1" applyBorder="1"/>
    <xf numFmtId="0" fontId="148" fillId="0" borderId="0" xfId="65" applyFont="1" applyFill="1" applyBorder="1"/>
    <xf numFmtId="0" fontId="148" fillId="0" borderId="0" xfId="65" applyFont="1" applyFill="1" applyBorder="1" applyAlignment="1">
      <alignment horizontal="center"/>
    </xf>
    <xf numFmtId="37" fontId="150" fillId="0" borderId="0" xfId="65" applyNumberFormat="1" applyFont="1" applyFill="1" applyBorder="1"/>
    <xf numFmtId="0" fontId="154" fillId="0" borderId="0" xfId="65" applyNumberFormat="1" applyFont="1" applyFill="1" applyBorder="1"/>
    <xf numFmtId="0" fontId="148" fillId="0" borderId="0" xfId="65" applyFont="1" applyBorder="1"/>
    <xf numFmtId="0" fontId="152" fillId="0" borderId="0" xfId="39" applyFont="1" applyBorder="1"/>
    <xf numFmtId="0" fontId="148" fillId="0" borderId="0" xfId="65" applyFont="1" applyBorder="1" applyAlignment="1">
      <alignment horizontal="center"/>
    </xf>
    <xf numFmtId="0" fontId="150" fillId="0" borderId="0" xfId="39" applyFont="1" applyBorder="1"/>
    <xf numFmtId="0" fontId="150" fillId="0" borderId="0" xfId="39" applyNumberFormat="1" applyFont="1" applyBorder="1"/>
    <xf numFmtId="3" fontId="150" fillId="0" borderId="0" xfId="39" applyNumberFormat="1" applyFont="1" applyBorder="1"/>
    <xf numFmtId="0" fontId="150" fillId="0" borderId="0" xfId="65" applyFont="1" applyFill="1" applyBorder="1" applyAlignment="1">
      <alignment horizontal="center"/>
    </xf>
    <xf numFmtId="0" fontId="0" fillId="0" borderId="0" xfId="0" applyAlignment="1">
      <alignment horizontal="right"/>
    </xf>
    <xf numFmtId="0" fontId="13" fillId="0" borderId="7" xfId="63" applyFont="1" applyBorder="1"/>
    <xf numFmtId="0" fontId="13" fillId="0" borderId="8" xfId="63" applyFont="1" applyBorder="1"/>
    <xf numFmtId="43" fontId="13" fillId="0" borderId="0" xfId="63" applyNumberFormat="1" applyFont="1" applyFill="1" applyBorder="1"/>
    <xf numFmtId="43" fontId="0" fillId="0" borderId="0" xfId="0" applyNumberFormat="1"/>
    <xf numFmtId="41" fontId="107" fillId="37" borderId="73" xfId="683" applyNumberFormat="1" applyFont="1" applyBorder="1"/>
    <xf numFmtId="0" fontId="107" fillId="37" borderId="82" xfId="683" applyNumberFormat="1" applyFont="1" applyBorder="1" applyAlignment="1">
      <alignment horizontal="right"/>
    </xf>
    <xf numFmtId="17" fontId="13" fillId="0" borderId="50" xfId="6" applyNumberFormat="1" applyFont="1" applyFill="1" applyBorder="1" applyAlignment="1">
      <alignment horizontal="centerContinuous"/>
    </xf>
    <xf numFmtId="17" fontId="13" fillId="0" borderId="50" xfId="6" applyNumberFormat="1" applyFont="1" applyBorder="1" applyAlignment="1">
      <alignment horizontal="centerContinuous"/>
    </xf>
    <xf numFmtId="17" fontId="15" fillId="0" borderId="50" xfId="6" applyNumberFormat="1" applyFont="1" applyFill="1" applyBorder="1" applyAlignment="1">
      <alignment horizontal="centerContinuous"/>
    </xf>
    <xf numFmtId="0" fontId="160" fillId="0" borderId="0" xfId="0" applyFont="1"/>
    <xf numFmtId="0" fontId="148" fillId="0" borderId="0" xfId="0" applyFont="1"/>
    <xf numFmtId="0" fontId="150" fillId="0" borderId="0" xfId="0" applyFont="1"/>
    <xf numFmtId="0" fontId="150" fillId="0" borderId="0" xfId="0" applyFont="1" applyAlignment="1">
      <alignment horizontal="center"/>
    </xf>
    <xf numFmtId="0" fontId="30" fillId="0" borderId="0" xfId="0" applyFont="1" applyAlignment="1">
      <alignment horizontal="center"/>
    </xf>
    <xf numFmtId="10" fontId="150" fillId="0" borderId="0" xfId="2" applyNumberFormat="1" applyFont="1" applyFill="1" applyBorder="1"/>
    <xf numFmtId="0" fontId="148" fillId="0" borderId="77" xfId="65" applyFont="1" applyFill="1" applyBorder="1"/>
    <xf numFmtId="171" fontId="0" fillId="0" borderId="1" xfId="62" applyNumberFormat="1" applyFont="1" applyBorder="1"/>
    <xf numFmtId="0" fontId="163" fillId="0" borderId="4" xfId="0" applyFont="1" applyBorder="1"/>
    <xf numFmtId="3" fontId="150" fillId="0" borderId="0" xfId="39" applyNumberFormat="1" applyFont="1" applyFill="1" applyBorder="1"/>
    <xf numFmtId="0" fontId="148" fillId="0" borderId="0" xfId="39" applyFont="1" applyFill="1" applyBorder="1"/>
    <xf numFmtId="0" fontId="150" fillId="0" borderId="0" xfId="1530" applyFont="1" applyAlignment="1"/>
    <xf numFmtId="44" fontId="1" fillId="0" borderId="0" xfId="62" applyFont="1" applyBorder="1"/>
    <xf numFmtId="0" fontId="0" fillId="0" borderId="0" xfId="0" applyAlignment="1">
      <alignment horizontal="left"/>
    </xf>
    <xf numFmtId="0" fontId="4" fillId="87" borderId="0" xfId="65" applyFill="1"/>
    <xf numFmtId="0" fontId="4" fillId="0" borderId="0" xfId="65"/>
    <xf numFmtId="0" fontId="13" fillId="0" borderId="0" xfId="65" applyFont="1"/>
    <xf numFmtId="0" fontId="4" fillId="0" borderId="0" xfId="65" applyAlignment="1">
      <alignment horizontal="left"/>
    </xf>
    <xf numFmtId="0" fontId="165" fillId="0" borderId="0" xfId="65" applyFont="1"/>
    <xf numFmtId="0" fontId="166" fillId="0" borderId="0" xfId="65" applyFont="1"/>
    <xf numFmtId="0" fontId="26" fillId="0" borderId="0" xfId="65" applyFont="1" applyAlignment="1">
      <alignment horizontal="right" vertical="top"/>
    </xf>
    <xf numFmtId="0" fontId="167" fillId="0" borderId="0" xfId="65" applyFont="1"/>
    <xf numFmtId="0" fontId="13" fillId="87" borderId="1" xfId="65" applyFont="1" applyFill="1" applyBorder="1" applyAlignment="1">
      <alignment horizontal="centerContinuous"/>
    </xf>
    <xf numFmtId="0" fontId="13" fillId="5" borderId="1" xfId="65" applyFont="1" applyFill="1" applyBorder="1" applyAlignment="1">
      <alignment horizontal="centerContinuous"/>
    </xf>
    <xf numFmtId="0" fontId="4" fillId="5" borderId="1" xfId="65" applyFill="1" applyBorder="1" applyAlignment="1">
      <alignment horizontal="centerContinuous"/>
    </xf>
    <xf numFmtId="0" fontId="13" fillId="0" borderId="0" xfId="65" applyFont="1" applyAlignment="1">
      <alignment horizontal="right"/>
    </xf>
    <xf numFmtId="49" fontId="168" fillId="0" borderId="0" xfId="65" applyNumberFormat="1" applyFont="1" applyAlignment="1">
      <alignment horizontal="left"/>
    </xf>
    <xf numFmtId="0" fontId="168" fillId="0" borderId="0" xfId="65" applyFont="1"/>
    <xf numFmtId="39" fontId="168" fillId="0" borderId="0" xfId="209" applyNumberFormat="1" applyFont="1" applyAlignment="1">
      <alignment horizontal="left"/>
    </xf>
    <xf numFmtId="0" fontId="168" fillId="0" borderId="0" xfId="65" applyFont="1" applyAlignment="1">
      <alignment horizontal="left"/>
    </xf>
    <xf numFmtId="0" fontId="13" fillId="4" borderId="0" xfId="65" applyFont="1" applyFill="1"/>
    <xf numFmtId="0" fontId="4" fillId="4" borderId="0" xfId="65" applyFill="1"/>
    <xf numFmtId="40" fontId="13" fillId="4" borderId="0" xfId="209" applyNumberFormat="1" applyFont="1" applyFill="1"/>
    <xf numFmtId="0" fontId="4" fillId="0" borderId="0" xfId="65" applyAlignment="1">
      <alignment horizontal="left" indent="1"/>
    </xf>
    <xf numFmtId="38" fontId="13" fillId="4" borderId="0" xfId="209" applyNumberFormat="1" applyFont="1" applyFill="1"/>
    <xf numFmtId="183" fontId="4" fillId="0" borderId="0" xfId="65" applyNumberFormat="1"/>
    <xf numFmtId="0" fontId="4" fillId="4" borderId="50" xfId="65" applyFill="1" applyBorder="1" applyAlignment="1">
      <alignment vertical="top"/>
    </xf>
    <xf numFmtId="0" fontId="4" fillId="4" borderId="50" xfId="65" applyFill="1" applyBorder="1" applyAlignment="1">
      <alignment horizontal="center" vertical="top"/>
    </xf>
    <xf numFmtId="0" fontId="4" fillId="4" borderId="50" xfId="65" applyFill="1" applyBorder="1" applyAlignment="1">
      <alignment horizontal="left" vertical="top" wrapText="1"/>
    </xf>
    <xf numFmtId="0" fontId="4" fillId="0" borderId="0" xfId="65" applyAlignment="1">
      <alignment vertical="top"/>
    </xf>
    <xf numFmtId="14" fontId="4" fillId="0" borderId="0" xfId="65" applyNumberFormat="1"/>
    <xf numFmtId="40" fontId="13" fillId="0" borderId="0" xfId="65" applyNumberFormat="1" applyFont="1"/>
    <xf numFmtId="40" fontId="13" fillId="0" borderId="0" xfId="65" applyNumberFormat="1" applyFont="1" applyAlignment="1">
      <alignment horizontal="center"/>
    </xf>
    <xf numFmtId="0" fontId="4" fillId="0" borderId="0" xfId="65" applyAlignment="1">
      <alignment horizontal="center"/>
    </xf>
    <xf numFmtId="40" fontId="4" fillId="0" borderId="0" xfId="209" applyNumberFormat="1"/>
    <xf numFmtId="0" fontId="4" fillId="0" borderId="0" xfId="65" applyAlignment="1">
      <alignment horizontal="right"/>
    </xf>
    <xf numFmtId="0" fontId="4" fillId="0" borderId="80" xfId="65" applyBorder="1"/>
    <xf numFmtId="40" fontId="4" fillId="0" borderId="80" xfId="209" applyNumberFormat="1" applyBorder="1"/>
    <xf numFmtId="0" fontId="4" fillId="0" borderId="80" xfId="65" applyBorder="1" applyAlignment="1">
      <alignment horizontal="right"/>
    </xf>
    <xf numFmtId="0" fontId="4" fillId="0" borderId="0" xfId="65" applyBorder="1"/>
    <xf numFmtId="17" fontId="4" fillId="0" borderId="0" xfId="3" applyNumberFormat="1" applyFont="1" applyFill="1"/>
    <xf numFmtId="0" fontId="48" fillId="0" borderId="0" xfId="5" applyFont="1"/>
    <xf numFmtId="37" fontId="147" fillId="3" borderId="0" xfId="3" applyFont="1" applyFill="1"/>
    <xf numFmtId="37" fontId="147" fillId="0" borderId="0" xfId="3" applyFont="1" applyFill="1"/>
    <xf numFmtId="0" fontId="48" fillId="0" borderId="0" xfId="5" applyFont="1" applyAlignment="1">
      <alignment horizontal="left"/>
    </xf>
    <xf numFmtId="0" fontId="48" fillId="0" borderId="0" xfId="5" quotePrefix="1" applyFont="1" applyAlignment="1">
      <alignment horizontal="left"/>
    </xf>
    <xf numFmtId="164" fontId="48" fillId="3" borderId="0" xfId="4" applyNumberFormat="1" applyFont="1" applyFill="1"/>
    <xf numFmtId="164" fontId="48" fillId="0" borderId="0" xfId="4" applyNumberFormat="1" applyFont="1" applyFill="1"/>
    <xf numFmtId="14" fontId="171" fillId="0" borderId="0" xfId="3" applyNumberFormat="1" applyFont="1" applyFill="1"/>
    <xf numFmtId="0" fontId="172" fillId="0" borderId="0" xfId="5" applyNumberFormat="1" applyFont="1"/>
    <xf numFmtId="37" fontId="3" fillId="0" borderId="0" xfId="3" applyFont="1" applyFill="1"/>
    <xf numFmtId="0" fontId="7" fillId="0" borderId="0" xfId="5" applyNumberFormat="1" applyFont="1" applyAlignment="1">
      <alignment horizontal="centerContinuous"/>
    </xf>
    <xf numFmtId="49" fontId="7" fillId="0" borderId="0" xfId="5" applyNumberFormat="1" applyFont="1"/>
    <xf numFmtId="0" fontId="48" fillId="0" borderId="0" xfId="5" applyNumberFormat="1" applyFont="1" applyAlignment="1">
      <alignment horizontal="center"/>
    </xf>
    <xf numFmtId="0" fontId="7" fillId="0" borderId="0" xfId="5" applyNumberFormat="1" applyFont="1" applyAlignment="1">
      <alignment horizontal="center"/>
    </xf>
    <xf numFmtId="0" fontId="48" fillId="0" borderId="0" xfId="5" applyNumberFormat="1" applyFont="1"/>
    <xf numFmtId="0" fontId="173" fillId="3" borderId="1" xfId="5" applyNumberFormat="1" applyFont="1" applyFill="1" applyBorder="1" applyAlignment="1">
      <alignment horizontal="centerContinuous"/>
    </xf>
    <xf numFmtId="164" fontId="147" fillId="5" borderId="0" xfId="4" applyNumberFormat="1" applyFont="1" applyFill="1" applyBorder="1" applyAlignment="1">
      <alignment horizontal="centerContinuous"/>
    </xf>
    <xf numFmtId="164" fontId="86" fillId="0" borderId="1" xfId="4" applyNumberFormat="1" applyFont="1" applyBorder="1" applyAlignment="1">
      <alignment horizontal="centerContinuous"/>
    </xf>
    <xf numFmtId="0" fontId="48" fillId="0" borderId="1" xfId="5" applyNumberFormat="1" applyFont="1" applyBorder="1" applyAlignment="1">
      <alignment horizontal="centerContinuous"/>
    </xf>
    <xf numFmtId="164" fontId="86" fillId="5" borderId="0" xfId="4" applyNumberFormat="1" applyFont="1" applyFill="1" applyBorder="1" applyAlignment="1">
      <alignment horizontal="centerContinuous"/>
    </xf>
    <xf numFmtId="164" fontId="147" fillId="0" borderId="0" xfId="5" applyNumberFormat="1" applyFont="1" applyAlignment="1">
      <alignment horizontal="center"/>
    </xf>
    <xf numFmtId="164" fontId="86" fillId="5" borderId="0" xfId="5" applyNumberFormat="1" applyFont="1" applyFill="1" applyAlignment="1">
      <alignment horizontal="center"/>
    </xf>
    <xf numFmtId="0" fontId="173" fillId="0" borderId="0" xfId="5" applyNumberFormat="1" applyFont="1" applyAlignment="1">
      <alignment horizontal="center"/>
    </xf>
    <xf numFmtId="164" fontId="86" fillId="5" borderId="50" xfId="4" applyNumberFormat="1" applyFont="1" applyFill="1" applyBorder="1" applyAlignment="1">
      <alignment horizontal="centerContinuous"/>
    </xf>
    <xf numFmtId="164" fontId="86" fillId="0" borderId="50" xfId="4" applyNumberFormat="1" applyFont="1" applyBorder="1" applyAlignment="1">
      <alignment horizontal="centerContinuous"/>
    </xf>
    <xf numFmtId="17" fontId="173" fillId="0" borderId="50" xfId="5" applyNumberFormat="1" applyFont="1" applyBorder="1" applyAlignment="1">
      <alignment horizontal="center"/>
    </xf>
    <xf numFmtId="0" fontId="174" fillId="0" borderId="0" xfId="5" applyNumberFormat="1" applyFont="1"/>
    <xf numFmtId="0" fontId="4" fillId="0" borderId="0" xfId="39"/>
    <xf numFmtId="37" fontId="147" fillId="0" borderId="0" xfId="3" applyFont="1" applyFill="1" applyBorder="1"/>
    <xf numFmtId="0" fontId="173" fillId="0" borderId="0" xfId="5" applyFont="1" applyAlignment="1">
      <alignment horizontal="left"/>
    </xf>
    <xf numFmtId="0" fontId="48" fillId="0" borderId="0" xfId="5" quotePrefix="1" applyFont="1"/>
    <xf numFmtId="0" fontId="48" fillId="0" borderId="0" xfId="5" applyFont="1" applyFill="1"/>
    <xf numFmtId="0" fontId="173" fillId="0" borderId="0" xfId="5" applyFont="1"/>
    <xf numFmtId="0" fontId="147" fillId="0" borderId="0" xfId="39" applyFont="1" applyFill="1"/>
    <xf numFmtId="0" fontId="175" fillId="0" borderId="0" xfId="5" applyFont="1"/>
    <xf numFmtId="164" fontId="4" fillId="0" borderId="0" xfId="14" applyNumberFormat="1" applyFont="1" applyFill="1"/>
    <xf numFmtId="164" fontId="147" fillId="0" borderId="0" xfId="4" applyNumberFormat="1" applyFont="1" applyFill="1"/>
    <xf numFmtId="164" fontId="48" fillId="7" borderId="0" xfId="4" applyNumberFormat="1" applyFont="1" applyFill="1" applyBorder="1"/>
    <xf numFmtId="0" fontId="48" fillId="7" borderId="0" xfId="5" applyFont="1" applyFill="1"/>
    <xf numFmtId="0" fontId="4" fillId="0" borderId="0" xfId="39" applyFont="1" applyFill="1"/>
    <xf numFmtId="37" fontId="147" fillId="7" borderId="0" xfId="3" applyFont="1" applyFill="1" applyBorder="1"/>
    <xf numFmtId="37" fontId="147" fillId="7" borderId="0" xfId="3" applyFont="1" applyFill="1"/>
    <xf numFmtId="9" fontId="4" fillId="0" borderId="0" xfId="2" applyFont="1" applyBorder="1"/>
    <xf numFmtId="0" fontId="13" fillId="0" borderId="0" xfId="63" applyFont="1" applyFill="1" applyBorder="1" applyAlignment="1" applyProtection="1">
      <alignment horizontal="left"/>
    </xf>
    <xf numFmtId="0" fontId="151" fillId="0" borderId="0" xfId="65" applyFont="1" applyFill="1" applyBorder="1"/>
    <xf numFmtId="164" fontId="150" fillId="0" borderId="0" xfId="65" applyNumberFormat="1" applyFont="1" applyFill="1" applyBorder="1"/>
    <xf numFmtId="3" fontId="150" fillId="0" borderId="1" xfId="39" applyNumberFormat="1" applyFont="1" applyFill="1" applyBorder="1"/>
    <xf numFmtId="164" fontId="12" fillId="0" borderId="0" xfId="1" quotePrefix="1" applyNumberFormat="1" applyFont="1" applyAlignment="1">
      <alignment horizontal="left"/>
    </xf>
    <xf numFmtId="0" fontId="4" fillId="0" borderId="0" xfId="65" pivotButton="1"/>
    <xf numFmtId="43" fontId="4" fillId="0" borderId="0" xfId="65" applyNumberFormat="1"/>
    <xf numFmtId="43" fontId="136" fillId="88" borderId="88" xfId="65" applyNumberFormat="1" applyFont="1" applyFill="1" applyBorder="1"/>
    <xf numFmtId="0" fontId="19" fillId="0" borderId="0" xfId="65" applyFont="1"/>
    <xf numFmtId="0" fontId="13" fillId="0" borderId="0" xfId="63" applyFont="1" applyFill="1" applyBorder="1" applyAlignment="1" applyProtection="1">
      <alignment horizontal="right"/>
    </xf>
    <xf numFmtId="0" fontId="97" fillId="37" borderId="13" xfId="683" quotePrefix="1" applyNumberFormat="1" applyBorder="1" applyAlignment="1">
      <alignment horizontal="right"/>
    </xf>
    <xf numFmtId="0" fontId="97" fillId="37" borderId="80" xfId="683" quotePrefix="1" applyNumberFormat="1" applyBorder="1" applyAlignment="1">
      <alignment horizontal="right"/>
    </xf>
    <xf numFmtId="0" fontId="97" fillId="37" borderId="89" xfId="683" applyNumberFormat="1" applyBorder="1"/>
    <xf numFmtId="180" fontId="121" fillId="37" borderId="13" xfId="683" applyNumberFormat="1" applyFont="1" applyBorder="1" applyAlignment="1">
      <alignment horizontal="center"/>
    </xf>
    <xf numFmtId="0" fontId="97" fillId="37" borderId="80" xfId="683" applyNumberFormat="1" applyBorder="1" applyAlignment="1">
      <alignment horizontal="left"/>
    </xf>
    <xf numFmtId="180" fontId="121" fillId="37" borderId="80" xfId="683" applyNumberFormat="1" applyFont="1" applyBorder="1" applyAlignment="1">
      <alignment horizontal="center"/>
    </xf>
    <xf numFmtId="0" fontId="97" fillId="37" borderId="89" xfId="683" applyNumberFormat="1" applyBorder="1" applyAlignment="1">
      <alignment horizontal="left"/>
    </xf>
    <xf numFmtId="0" fontId="120" fillId="37" borderId="13" xfId="683" applyNumberFormat="1" applyFont="1" applyBorder="1" applyAlignment="1">
      <alignment horizontal="center"/>
    </xf>
    <xf numFmtId="0" fontId="120" fillId="37" borderId="80" xfId="683" applyNumberFormat="1" applyFont="1" applyBorder="1" applyAlignment="1">
      <alignment horizontal="center"/>
    </xf>
    <xf numFmtId="0" fontId="97" fillId="37" borderId="13" xfId="683" applyNumberFormat="1" applyBorder="1"/>
    <xf numFmtId="0" fontId="97" fillId="37" borderId="80" xfId="683" quotePrefix="1" applyNumberFormat="1" applyBorder="1" applyAlignment="1">
      <alignment horizontal="left"/>
    </xf>
    <xf numFmtId="2" fontId="97" fillId="37" borderId="89" xfId="683" applyNumberFormat="1" applyBorder="1" applyAlignment="1">
      <alignment horizontal="center"/>
    </xf>
    <xf numFmtId="0" fontId="97" fillId="37" borderId="80" xfId="683" applyNumberFormat="1" applyBorder="1"/>
    <xf numFmtId="0" fontId="97" fillId="37" borderId="13" xfId="683" applyNumberFormat="1" applyBorder="1" applyAlignment="1">
      <alignment horizontal="centerContinuous"/>
    </xf>
    <xf numFmtId="0" fontId="97" fillId="37" borderId="89" xfId="683" applyNumberFormat="1" applyBorder="1" applyAlignment="1">
      <alignment horizontal="centerContinuous"/>
    </xf>
    <xf numFmtId="41" fontId="97" fillId="37" borderId="13" xfId="683" applyNumberFormat="1" applyBorder="1"/>
    <xf numFmtId="41" fontId="97" fillId="37" borderId="80" xfId="683" applyNumberFormat="1" applyBorder="1"/>
    <xf numFmtId="41" fontId="97" fillId="37" borderId="89" xfId="683" applyNumberFormat="1" applyBorder="1"/>
    <xf numFmtId="10" fontId="109" fillId="37" borderId="80" xfId="683" applyNumberFormat="1" applyFont="1" applyBorder="1"/>
    <xf numFmtId="175" fontId="97" fillId="37" borderId="80" xfId="683" applyNumberFormat="1" applyBorder="1"/>
    <xf numFmtId="0" fontId="97" fillId="37" borderId="89" xfId="683" applyNumberFormat="1" applyBorder="1" applyAlignment="1">
      <alignment horizontal="center"/>
    </xf>
    <xf numFmtId="0" fontId="38" fillId="68" borderId="89" xfId="683" applyNumberFormat="1" applyFont="1" applyFill="1" applyBorder="1" applyAlignment="1">
      <alignment horizontal="left"/>
    </xf>
    <xf numFmtId="0" fontId="107" fillId="37" borderId="90" xfId="683" applyNumberFormat="1" applyFont="1" applyBorder="1" applyAlignment="1">
      <alignment horizontal="center"/>
    </xf>
    <xf numFmtId="0" fontId="103" fillId="37" borderId="63" xfId="683" applyNumberFormat="1" applyFont="1" applyBorder="1" applyAlignment="1">
      <alignment horizontal="centerContinuous"/>
    </xf>
    <xf numFmtId="0" fontId="4" fillId="0" borderId="4" xfId="63" applyFont="1" applyBorder="1"/>
    <xf numFmtId="0" fontId="4" fillId="0" borderId="5" xfId="63" applyFont="1" applyBorder="1" applyProtection="1"/>
    <xf numFmtId="0" fontId="13" fillId="0" borderId="5" xfId="63" applyFont="1" applyBorder="1" applyAlignment="1" applyProtection="1">
      <alignment horizontal="center" wrapText="1"/>
    </xf>
    <xf numFmtId="0" fontId="4" fillId="0" borderId="5" xfId="63" applyFont="1" applyBorder="1"/>
    <xf numFmtId="0" fontId="4" fillId="0" borderId="6" xfId="63" applyFont="1" applyBorder="1"/>
    <xf numFmtId="0" fontId="13" fillId="10" borderId="91" xfId="63" applyFont="1" applyFill="1" applyBorder="1" applyAlignment="1" applyProtection="1"/>
    <xf numFmtId="0" fontId="4" fillId="0" borderId="78" xfId="63" applyFont="1" applyBorder="1"/>
    <xf numFmtId="0" fontId="4" fillId="0" borderId="50" xfId="63" applyFont="1" applyBorder="1"/>
    <xf numFmtId="0" fontId="4" fillId="0" borderId="79" xfId="63" applyFont="1" applyBorder="1"/>
    <xf numFmtId="0" fontId="86" fillId="0" borderId="0" xfId="65" applyFont="1" applyFill="1" applyBorder="1"/>
    <xf numFmtId="0" fontId="147" fillId="0" borderId="0" xfId="65" applyFont="1" applyBorder="1"/>
    <xf numFmtId="0" fontId="147" fillId="0" borderId="0" xfId="65" applyFont="1" applyFill="1" applyBorder="1"/>
    <xf numFmtId="0" fontId="147" fillId="6" borderId="0" xfId="65" applyFont="1" applyFill="1" applyBorder="1"/>
    <xf numFmtId="0" fontId="86" fillId="6" borderId="0" xfId="65" applyFont="1" applyFill="1" applyBorder="1"/>
    <xf numFmtId="0" fontId="193" fillId="0" borderId="0" xfId="65" applyFont="1" applyFill="1" applyBorder="1"/>
    <xf numFmtId="0" fontId="86" fillId="0" borderId="0" xfId="65" applyFont="1" applyBorder="1" applyAlignment="1">
      <alignment horizontal="center"/>
    </xf>
    <xf numFmtId="0" fontId="147" fillId="0" borderId="0" xfId="65" applyNumberFormat="1" applyFont="1" applyFill="1" applyBorder="1"/>
    <xf numFmtId="3" fontId="147" fillId="0" borderId="0" xfId="65" applyNumberFormat="1" applyFont="1" applyFill="1" applyBorder="1"/>
    <xf numFmtId="164" fontId="86" fillId="0" borderId="0" xfId="1" applyNumberFormat="1" applyFont="1" applyFill="1" applyBorder="1"/>
    <xf numFmtId="164" fontId="194" fillId="0" borderId="0" xfId="1" applyNumberFormat="1" applyFont="1" applyFill="1" applyBorder="1"/>
    <xf numFmtId="164" fontId="147" fillId="0" borderId="0" xfId="1" applyNumberFormat="1" applyFont="1" applyFill="1" applyBorder="1"/>
    <xf numFmtId="0" fontId="195" fillId="0" borderId="0" xfId="65" quotePrefix="1" applyFont="1" applyFill="1" applyBorder="1"/>
    <xf numFmtId="0" fontId="196" fillId="0" borderId="0" xfId="65" applyFont="1" applyFill="1" applyBorder="1"/>
    <xf numFmtId="164" fontId="197" fillId="0" borderId="0" xfId="1" quotePrefix="1" applyNumberFormat="1" applyFont="1" applyFill="1" applyBorder="1"/>
    <xf numFmtId="164" fontId="147" fillId="0" borderId="0" xfId="1" applyNumberFormat="1" applyFont="1" applyBorder="1"/>
    <xf numFmtId="43" fontId="147" fillId="0" borderId="0" xfId="1" applyNumberFormat="1" applyFont="1" applyFill="1" applyBorder="1"/>
    <xf numFmtId="171" fontId="147" fillId="0" borderId="0" xfId="62" applyNumberFormat="1" applyFont="1" applyFill="1" applyBorder="1"/>
    <xf numFmtId="164" fontId="194" fillId="0" borderId="0" xfId="1" applyNumberFormat="1" applyFont="1" applyFill="1" applyBorder="1" applyAlignment="1">
      <alignment horizontal="right"/>
    </xf>
    <xf numFmtId="0" fontId="198" fillId="0" borderId="0" xfId="65" quotePrefix="1" applyFont="1" applyBorder="1"/>
    <xf numFmtId="182" fontId="147" fillId="0" borderId="0" xfId="65" applyNumberFormat="1" applyFont="1" applyBorder="1"/>
    <xf numFmtId="0" fontId="86" fillId="0" borderId="0" xfId="65" applyFont="1" applyFill="1" applyBorder="1" applyAlignment="1">
      <alignment horizontal="center" wrapText="1"/>
    </xf>
    <xf numFmtId="0" fontId="152" fillId="0" borderId="0" xfId="65" applyFont="1" applyFill="1" applyBorder="1"/>
    <xf numFmtId="164" fontId="150" fillId="0" borderId="1" xfId="1" applyNumberFormat="1" applyFont="1" applyFill="1" applyBorder="1"/>
    <xf numFmtId="0" fontId="103" fillId="37" borderId="85" xfId="683" applyNumberFormat="1" applyFont="1" applyBorder="1" applyAlignment="1">
      <alignment horizontal="centerContinuous"/>
    </xf>
    <xf numFmtId="0" fontId="97" fillId="37" borderId="85" xfId="683" applyNumberFormat="1" applyBorder="1" applyAlignment="1">
      <alignment horizontal="centerContinuous"/>
    </xf>
    <xf numFmtId="0" fontId="108" fillId="68" borderId="0" xfId="446" applyNumberFormat="1" applyFont="1" applyFill="1" applyAlignment="1">
      <alignment horizontal="center"/>
    </xf>
    <xf numFmtId="10" fontId="104" fillId="0" borderId="15" xfId="691" applyNumberFormat="1" applyFont="1" applyFill="1" applyBorder="1" applyAlignment="1">
      <alignment horizontal="right"/>
    </xf>
    <xf numFmtId="41" fontId="107" fillId="37" borderId="70" xfId="683" applyNumberFormat="1" applyFont="1" applyBorder="1"/>
    <xf numFmtId="5" fontId="107" fillId="37" borderId="70" xfId="683" applyNumberFormat="1" applyFont="1" applyBorder="1"/>
    <xf numFmtId="10" fontId="111" fillId="37" borderId="0" xfId="46311" applyNumberFormat="1" applyFont="1" applyFill="1" applyBorder="1" applyAlignment="1">
      <alignment horizontal="left"/>
    </xf>
    <xf numFmtId="0" fontId="112" fillId="67" borderId="0" xfId="446" applyNumberFormat="1" applyFont="1" applyFill="1"/>
    <xf numFmtId="0" fontId="24" fillId="67" borderId="0" xfId="446" applyNumberFormat="1" applyFill="1"/>
    <xf numFmtId="0" fontId="104" fillId="67" borderId="0" xfId="446" applyNumberFormat="1" applyFont="1" applyFill="1"/>
    <xf numFmtId="10" fontId="49" fillId="2" borderId="0" xfId="46312"/>
    <xf numFmtId="10" fontId="97" fillId="37" borderId="14" xfId="46311" applyNumberFormat="1" applyFont="1" applyFill="1" applyBorder="1"/>
    <xf numFmtId="10" fontId="123" fillId="2" borderId="0" xfId="46312" applyFont="1" applyBorder="1"/>
    <xf numFmtId="176" fontId="123" fillId="2" borderId="14" xfId="46312" applyNumberFormat="1" applyFont="1" applyBorder="1"/>
    <xf numFmtId="10" fontId="123" fillId="2" borderId="1" xfId="46312" applyFont="1" applyBorder="1"/>
    <xf numFmtId="10" fontId="123" fillId="2" borderId="15" xfId="46312" applyFont="1" applyBorder="1"/>
    <xf numFmtId="171" fontId="0" fillId="0" borderId="0" xfId="62" applyNumberFormat="1" applyFont="1"/>
    <xf numFmtId="171" fontId="0" fillId="0" borderId="0" xfId="0" applyNumberFormat="1"/>
    <xf numFmtId="43" fontId="0" fillId="0" borderId="0" xfId="1" applyFont="1"/>
    <xf numFmtId="44" fontId="0" fillId="0" borderId="0" xfId="0" applyNumberFormat="1"/>
    <xf numFmtId="10" fontId="0" fillId="0" borderId="0" xfId="2272" applyNumberFormat="1" applyFont="1"/>
    <xf numFmtId="164" fontId="0" fillId="0" borderId="0" xfId="1" applyNumberFormat="1" applyFont="1"/>
    <xf numFmtId="0" fontId="15" fillId="0" borderId="0" xfId="29601" applyNumberFormat="1" applyFont="1" applyAlignment="1">
      <alignment horizontal="left"/>
    </xf>
    <xf numFmtId="0" fontId="21" fillId="0" borderId="0" xfId="29601" applyNumberFormat="1" applyFont="1"/>
    <xf numFmtId="172" fontId="15" fillId="0" borderId="0" xfId="29601" applyFont="1"/>
    <xf numFmtId="172" fontId="21" fillId="0" borderId="0" xfId="29601" applyFont="1" applyAlignment="1">
      <alignment horizontal="left"/>
    </xf>
    <xf numFmtId="43" fontId="21" fillId="0" borderId="0" xfId="209" applyFont="1" applyAlignment="1">
      <alignment horizontal="left"/>
    </xf>
    <xf numFmtId="172" fontId="21" fillId="0" borderId="0" xfId="29601" applyFont="1" applyAlignment="1">
      <alignment horizontal="center"/>
    </xf>
    <xf numFmtId="172" fontId="21" fillId="0" borderId="0" xfId="29601" applyFont="1"/>
    <xf numFmtId="43" fontId="21" fillId="0" borderId="0" xfId="209" applyFont="1"/>
    <xf numFmtId="0" fontId="131" fillId="0" borderId="0" xfId="28998" applyFont="1"/>
    <xf numFmtId="43" fontId="21" fillId="0" borderId="0" xfId="209" applyFont="1" applyFill="1"/>
    <xf numFmtId="49" fontId="180" fillId="0" borderId="0" xfId="43876" applyNumberFormat="1" applyFont="1" applyAlignment="1">
      <alignment horizontal="center"/>
    </xf>
    <xf numFmtId="0" fontId="21" fillId="0" borderId="0" xfId="29601" applyNumberFormat="1" applyFont="1" applyBorder="1"/>
    <xf numFmtId="172" fontId="21" fillId="0" borderId="0" xfId="29601" applyFont="1" applyBorder="1"/>
    <xf numFmtId="172" fontId="21" fillId="0" borderId="0" xfId="29601" applyFont="1" applyBorder="1" applyAlignment="1">
      <alignment horizontal="left"/>
    </xf>
    <xf numFmtId="43" fontId="21" fillId="0" borderId="0" xfId="209" applyFont="1" applyBorder="1" applyAlignment="1">
      <alignment horizontal="left"/>
    </xf>
    <xf numFmtId="172" fontId="21" fillId="0" borderId="0" xfId="29601" applyFont="1" applyBorder="1" applyAlignment="1">
      <alignment horizontal="center"/>
    </xf>
    <xf numFmtId="172" fontId="199" fillId="0" borderId="50" xfId="29601" applyFont="1" applyBorder="1"/>
    <xf numFmtId="0" fontId="21" fillId="0" borderId="50" xfId="29601" applyNumberFormat="1" applyFont="1" applyBorder="1"/>
    <xf numFmtId="172" fontId="21" fillId="0" borderId="50" xfId="29601" applyFont="1" applyBorder="1"/>
    <xf numFmtId="172" fontId="21" fillId="0" borderId="50" xfId="29601" applyFont="1" applyBorder="1" applyAlignment="1">
      <alignment horizontal="left"/>
    </xf>
    <xf numFmtId="43" fontId="21" fillId="0" borderId="50" xfId="209" applyFont="1" applyBorder="1" applyAlignment="1">
      <alignment horizontal="left"/>
    </xf>
    <xf numFmtId="172" fontId="21" fillId="0" borderId="50" xfId="29601" applyFont="1" applyBorder="1" applyAlignment="1">
      <alignment horizontal="center"/>
    </xf>
    <xf numFmtId="172" fontId="21" fillId="0" borderId="4" xfId="29601" applyFont="1" applyBorder="1"/>
    <xf numFmtId="0" fontId="21" fillId="0" borderId="5" xfId="29601" applyNumberFormat="1" applyFont="1" applyBorder="1"/>
    <xf numFmtId="4" fontId="21" fillId="0" borderId="5" xfId="29601" applyNumberFormat="1" applyFont="1" applyBorder="1"/>
    <xf numFmtId="172" fontId="21" fillId="0" borderId="5" xfId="29601" applyFont="1" applyBorder="1" applyAlignment="1">
      <alignment horizontal="left"/>
    </xf>
    <xf numFmtId="172" fontId="21" fillId="6" borderId="5" xfId="29601" applyFont="1" applyFill="1" applyBorder="1" applyAlignment="1">
      <alignment horizontal="left"/>
    </xf>
    <xf numFmtId="43" fontId="21" fillId="6" borderId="5" xfId="209" applyFont="1" applyFill="1" applyBorder="1" applyAlignment="1">
      <alignment horizontal="left"/>
    </xf>
    <xf numFmtId="172" fontId="21" fillId="6" borderId="5" xfId="29601" applyFont="1" applyFill="1" applyBorder="1" applyAlignment="1">
      <alignment horizontal="center"/>
    </xf>
    <xf numFmtId="43" fontId="21" fillId="0" borderId="0" xfId="209" applyFont="1" applyFill="1" applyAlignment="1">
      <alignment horizontal="center"/>
    </xf>
    <xf numFmtId="43" fontId="15" fillId="71" borderId="0" xfId="209" applyFont="1" applyFill="1" applyBorder="1" applyAlignment="1">
      <alignment horizontal="center" wrapText="1"/>
    </xf>
    <xf numFmtId="172" fontId="15" fillId="0" borderId="7" xfId="29601" applyFont="1" applyBorder="1" applyAlignment="1">
      <alignment horizontal="center"/>
    </xf>
    <xf numFmtId="0" fontId="15" fillId="0" borderId="0" xfId="29601" applyNumberFormat="1" applyFont="1" applyBorder="1" applyAlignment="1">
      <alignment horizontal="center"/>
    </xf>
    <xf numFmtId="172" fontId="15" fillId="0" borderId="0" xfId="29601" applyFont="1" applyBorder="1" applyAlignment="1">
      <alignment horizontal="center"/>
    </xf>
    <xf numFmtId="43" fontId="21" fillId="0" borderId="0" xfId="209" applyFont="1" applyFill="1" applyBorder="1"/>
    <xf numFmtId="172" fontId="201" fillId="0" borderId="0" xfId="29601" applyFont="1"/>
    <xf numFmtId="172" fontId="21" fillId="67" borderId="0" xfId="29601" applyFont="1" applyFill="1"/>
    <xf numFmtId="0" fontId="13" fillId="0" borderId="0" xfId="29601" applyNumberFormat="1" applyFont="1" applyFill="1" applyAlignment="1">
      <alignment horizontal="left"/>
    </xf>
    <xf numFmtId="0" fontId="4" fillId="0" borderId="0" xfId="29601" applyNumberFormat="1" applyFont="1" applyFill="1" applyAlignment="1">
      <alignment horizontal="right"/>
    </xf>
    <xf numFmtId="172" fontId="13" fillId="0" borderId="0" xfId="29601" applyFont="1" applyFill="1"/>
    <xf numFmtId="164" fontId="29" fillId="0" borderId="0" xfId="1" applyNumberFormat="1" applyFont="1"/>
    <xf numFmtId="0" fontId="29" fillId="0" borderId="0" xfId="0" applyFont="1"/>
    <xf numFmtId="0" fontId="27" fillId="0" borderId="0" xfId="8" applyFont="1" applyFill="1" applyBorder="1"/>
    <xf numFmtId="164" fontId="28" fillId="0" borderId="0" xfId="1" applyNumberFormat="1" applyFont="1" applyFill="1" applyBorder="1"/>
    <xf numFmtId="0" fontId="13" fillId="0" borderId="0" xfId="29601" applyNumberFormat="1" applyFont="1" applyAlignment="1">
      <alignment horizontal="left"/>
    </xf>
    <xf numFmtId="0" fontId="4" fillId="0" borderId="0" xfId="29601" applyNumberFormat="1" applyFont="1" applyAlignment="1">
      <alignment horizontal="right"/>
    </xf>
    <xf numFmtId="0" fontId="27" fillId="9" borderId="0" xfId="8" applyFont="1" applyFill="1" applyBorder="1"/>
    <xf numFmtId="0" fontId="28" fillId="9" borderId="0" xfId="8" applyFont="1" applyFill="1" applyBorder="1"/>
    <xf numFmtId="164" fontId="28" fillId="9" borderId="0" xfId="1" applyNumberFormat="1" applyFont="1" applyFill="1" applyBorder="1"/>
    <xf numFmtId="164" fontId="28" fillId="11" borderId="1" xfId="1" applyNumberFormat="1" applyFont="1" applyFill="1" applyBorder="1"/>
    <xf numFmtId="164" fontId="28" fillId="11" borderId="0" xfId="1" applyNumberFormat="1" applyFont="1" applyFill="1" applyBorder="1"/>
    <xf numFmtId="164" fontId="27" fillId="9" borderId="0" xfId="1" applyNumberFormat="1" applyFont="1" applyFill="1" applyAlignment="1" applyProtection="1">
      <alignment horizontal="center" wrapText="1"/>
      <protection locked="0"/>
    </xf>
    <xf numFmtId="164" fontId="4" fillId="6" borderId="0" xfId="1" applyNumberFormat="1" applyFont="1" applyFill="1" applyBorder="1"/>
    <xf numFmtId="9" fontId="4" fillId="6" borderId="0" xfId="2" applyFont="1" applyFill="1" applyBorder="1"/>
    <xf numFmtId="10" fontId="29" fillId="0" borderId="0" xfId="0" applyNumberFormat="1" applyFont="1"/>
    <xf numFmtId="164" fontId="13" fillId="0" borderId="0" xfId="1" applyNumberFormat="1" applyFont="1" applyBorder="1" applyAlignment="1" applyProtection="1">
      <alignment horizontal="center"/>
      <protection locked="0"/>
    </xf>
    <xf numFmtId="9" fontId="4" fillId="0" borderId="0" xfId="2" applyFont="1" applyBorder="1" applyAlignment="1" applyProtection="1">
      <alignment horizontal="right"/>
      <protection locked="0"/>
    </xf>
    <xf numFmtId="0" fontId="13" fillId="0" borderId="0" xfId="29601" applyNumberFormat="1" applyFont="1" applyAlignment="1">
      <alignment horizontal="right"/>
    </xf>
    <xf numFmtId="0" fontId="27" fillId="9" borderId="0" xfId="8" applyNumberFormat="1" applyFont="1" applyFill="1" applyAlignment="1">
      <alignment horizontal="right" wrapText="1"/>
    </xf>
    <xf numFmtId="0" fontId="13" fillId="10" borderId="0" xfId="8" applyNumberFormat="1" applyFont="1" applyFill="1" applyAlignment="1">
      <alignment horizontal="right"/>
    </xf>
    <xf numFmtId="164" fontId="27" fillId="10" borderId="0" xfId="1" applyNumberFormat="1" applyFont="1" applyFill="1" applyAlignment="1">
      <alignment horizontal="center" wrapText="1"/>
    </xf>
    <xf numFmtId="0" fontId="204" fillId="0" borderId="0" xfId="0" applyFont="1"/>
    <xf numFmtId="164" fontId="29" fillId="0" borderId="0" xfId="0" applyNumberFormat="1" applyFont="1"/>
    <xf numFmtId="164" fontId="4" fillId="0" borderId="0" xfId="0" applyNumberFormat="1" applyFont="1"/>
    <xf numFmtId="164" fontId="4" fillId="0" borderId="0" xfId="0" applyNumberFormat="1" applyFont="1" applyFill="1" applyAlignment="1"/>
    <xf numFmtId="0" fontId="4" fillId="0" borderId="0" xfId="8" applyNumberFormat="1" applyFont="1" applyAlignment="1">
      <alignment horizontal="right"/>
    </xf>
    <xf numFmtId="0" fontId="29" fillId="0" borderId="0" xfId="0" applyFont="1" applyFill="1"/>
    <xf numFmtId="164" fontId="4" fillId="0" borderId="0" xfId="0" applyNumberFormat="1" applyFont="1" applyFill="1"/>
    <xf numFmtId="3" fontId="148" fillId="0" borderId="0" xfId="39" applyNumberFormat="1" applyFont="1" applyFill="1" applyBorder="1"/>
    <xf numFmtId="0" fontId="150" fillId="0" borderId="0" xfId="39" applyFont="1" applyFill="1" applyBorder="1"/>
    <xf numFmtId="0" fontId="148" fillId="0" borderId="77" xfId="39" applyFont="1" applyFill="1" applyBorder="1"/>
    <xf numFmtId="184" fontId="150" fillId="0" borderId="1" xfId="2" applyNumberFormat="1" applyFont="1" applyFill="1" applyBorder="1"/>
    <xf numFmtId="0" fontId="152" fillId="0" borderId="0" xfId="39" applyFont="1" applyFill="1" applyBorder="1"/>
    <xf numFmtId="0" fontId="13" fillId="11" borderId="55" xfId="63" applyFont="1" applyFill="1" applyBorder="1" applyAlignment="1" applyProtection="1">
      <alignment horizontal="left"/>
    </xf>
    <xf numFmtId="43" fontId="21" fillId="0" borderId="0" xfId="209" applyFont="1" applyBorder="1"/>
    <xf numFmtId="171" fontId="150" fillId="0" borderId="0" xfId="62" applyNumberFormat="1" applyFont="1" applyFill="1" applyBorder="1"/>
    <xf numFmtId="0" fontId="182" fillId="7" borderId="0" xfId="0" applyFont="1" applyFill="1"/>
    <xf numFmtId="0" fontId="183" fillId="7" borderId="0" xfId="46307" applyFont="1" applyFill="1"/>
    <xf numFmtId="168" fontId="179" fillId="7" borderId="0" xfId="2272" applyNumberFormat="1" applyFont="1" applyFill="1" applyBorder="1"/>
    <xf numFmtId="43" fontId="179" fillId="7" borderId="0" xfId="1" applyFont="1" applyFill="1" applyBorder="1"/>
    <xf numFmtId="10" fontId="179" fillId="7" borderId="0" xfId="2272" applyNumberFormat="1" applyFont="1" applyFill="1" applyBorder="1"/>
    <xf numFmtId="172" fontId="147" fillId="2" borderId="0" xfId="46306" applyFont="1" applyFill="1" applyBorder="1"/>
    <xf numFmtId="3" fontId="147" fillId="2" borderId="0" xfId="46306" applyNumberFormat="1" applyFont="1" applyFill="1" applyBorder="1"/>
    <xf numFmtId="172" fontId="208" fillId="0" borderId="7" xfId="46306" applyFont="1" applyFill="1" applyBorder="1" applyAlignment="1">
      <alignment horizontal="center"/>
    </xf>
    <xf numFmtId="172" fontId="208" fillId="0" borderId="0" xfId="46306" applyFont="1" applyFill="1" applyBorder="1" applyAlignment="1">
      <alignment horizontal="center"/>
    </xf>
    <xf numFmtId="172" fontId="208" fillId="0" borderId="8" xfId="46306" applyFont="1" applyFill="1" applyBorder="1" applyAlignment="1">
      <alignment horizontal="center"/>
    </xf>
    <xf numFmtId="172" fontId="147" fillId="2" borderId="7" xfId="46306" applyFont="1" applyFill="1" applyBorder="1"/>
    <xf numFmtId="172" fontId="86" fillId="2" borderId="0" xfId="46306" applyFont="1" applyFill="1" applyBorder="1"/>
    <xf numFmtId="172" fontId="86" fillId="2" borderId="0" xfId="46306" applyFont="1" applyFill="1" applyBorder="1" applyAlignment="1">
      <alignment horizontal="center"/>
    </xf>
    <xf numFmtId="172" fontId="86" fillId="2" borderId="8" xfId="46306" applyFont="1" applyFill="1" applyBorder="1" applyAlignment="1">
      <alignment horizontal="center"/>
    </xf>
    <xf numFmtId="172" fontId="21" fillId="2" borderId="0" xfId="46306" applyFont="1" applyFill="1" applyBorder="1" applyAlignment="1">
      <alignment horizontal="center"/>
    </xf>
    <xf numFmtId="3" fontId="86" fillId="2" borderId="0" xfId="46306" applyNumberFormat="1" applyFont="1" applyFill="1" applyBorder="1"/>
    <xf numFmtId="3" fontId="21" fillId="2" borderId="0" xfId="46306" applyNumberFormat="1" applyFont="1" applyFill="1" applyBorder="1" applyAlignment="1">
      <alignment horizontal="center"/>
    </xf>
    <xf numFmtId="3" fontId="147" fillId="2" borderId="0" xfId="46306" applyNumberFormat="1" applyFont="1" applyFill="1" applyBorder="1" applyAlignment="1">
      <alignment horizontal="center"/>
    </xf>
    <xf numFmtId="172" fontId="193" fillId="2" borderId="7" xfId="46306" applyFont="1" applyFill="1" applyBorder="1"/>
    <xf numFmtId="172" fontId="147" fillId="2" borderId="8" xfId="46306" applyFont="1" applyFill="1" applyBorder="1"/>
    <xf numFmtId="172" fontId="86" fillId="2" borderId="18" xfId="46306" applyFont="1" applyFill="1" applyBorder="1"/>
    <xf numFmtId="172" fontId="86" fillId="2" borderId="95" xfId="46306" applyFont="1" applyFill="1" applyBorder="1"/>
    <xf numFmtId="172" fontId="147" fillId="2" borderId="4" xfId="46306" applyFont="1" applyFill="1" applyBorder="1"/>
    <xf numFmtId="172" fontId="147" fillId="2" borderId="5" xfId="46306" applyFont="1" applyFill="1" applyBorder="1"/>
    <xf numFmtId="10" fontId="147" fillId="2" borderId="5" xfId="46306" applyNumberFormat="1" applyFont="1" applyFill="1" applyBorder="1"/>
    <xf numFmtId="172" fontId="21" fillId="2" borderId="7" xfId="46306" applyFont="1" applyFill="1" applyBorder="1"/>
    <xf numFmtId="172" fontId="21" fillId="2" borderId="0" xfId="46306" applyFont="1" applyFill="1" applyBorder="1"/>
    <xf numFmtId="172" fontId="21" fillId="2" borderId="8" xfId="46306" applyFont="1" applyFill="1" applyBorder="1"/>
    <xf numFmtId="172" fontId="202" fillId="2" borderId="0" xfId="46306" applyFont="1" applyFill="1" applyBorder="1" applyAlignment="1">
      <alignment horizontal="center"/>
    </xf>
    <xf numFmtId="10" fontId="21" fillId="2" borderId="8" xfId="46306" applyNumberFormat="1" applyFont="1" applyFill="1" applyBorder="1"/>
    <xf numFmtId="172" fontId="21" fillId="2" borderId="78" xfId="46306" applyFont="1" applyFill="1" applyBorder="1"/>
    <xf numFmtId="1" fontId="30" fillId="0" borderId="0" xfId="0" applyNumberFormat="1" applyFont="1"/>
    <xf numFmtId="0" fontId="30" fillId="0" borderId="0" xfId="0" applyFont="1" applyAlignment="1">
      <alignment horizontal="left"/>
    </xf>
    <xf numFmtId="0" fontId="192" fillId="0" borderId="0" xfId="0" applyFont="1"/>
    <xf numFmtId="44" fontId="0" fillId="0" borderId="0" xfId="62" applyFont="1"/>
    <xf numFmtId="0" fontId="0" fillId="0" borderId="0" xfId="0" applyAlignment="1">
      <alignment horizontal="center"/>
    </xf>
    <xf numFmtId="185" fontId="0" fillId="0" borderId="0" xfId="0" applyNumberFormat="1"/>
    <xf numFmtId="164" fontId="0" fillId="0" borderId="0" xfId="1" applyNumberFormat="1" applyFont="1" applyFill="1"/>
    <xf numFmtId="171" fontId="0" fillId="0" borderId="0" xfId="62" applyNumberFormat="1" applyFont="1" applyFill="1"/>
    <xf numFmtId="164" fontId="0" fillId="0" borderId="0" xfId="1" applyNumberFormat="1" applyFont="1" applyFill="1" applyBorder="1"/>
    <xf numFmtId="16" fontId="0" fillId="0" borderId="0" xfId="0" applyNumberFormat="1"/>
    <xf numFmtId="164" fontId="0" fillId="0" borderId="1" xfId="1" applyNumberFormat="1" applyFont="1" applyFill="1" applyBorder="1"/>
    <xf numFmtId="171" fontId="0" fillId="0" borderId="1" xfId="62" applyNumberFormat="1" applyFont="1" applyFill="1" applyBorder="1"/>
    <xf numFmtId="171" fontId="0" fillId="0" borderId="0" xfId="62" applyNumberFormat="1" applyFont="1" applyFill="1" applyBorder="1"/>
    <xf numFmtId="16" fontId="30" fillId="0" borderId="0" xfId="0" applyNumberFormat="1" applyFont="1" applyAlignment="1">
      <alignment horizontal="right"/>
    </xf>
    <xf numFmtId="44" fontId="0" fillId="0" borderId="0" xfId="62" applyFont="1" applyFill="1"/>
    <xf numFmtId="44" fontId="0" fillId="0" borderId="1" xfId="62" applyFont="1" applyFill="1" applyBorder="1"/>
    <xf numFmtId="44" fontId="30" fillId="0" borderId="0" xfId="62" applyFont="1" applyFill="1"/>
    <xf numFmtId="164" fontId="0" fillId="0" borderId="0" xfId="0" applyNumberFormat="1"/>
    <xf numFmtId="0" fontId="30" fillId="0" borderId="0" xfId="0" applyFont="1" applyAlignment="1">
      <alignment horizontal="right"/>
    </xf>
    <xf numFmtId="0" fontId="153" fillId="0" borderId="0" xfId="0" applyFont="1"/>
    <xf numFmtId="171" fontId="153" fillId="85" borderId="0" xfId="62" applyNumberFormat="1" applyFont="1" applyFill="1"/>
    <xf numFmtId="43" fontId="13" fillId="88" borderId="87" xfId="65" applyNumberFormat="1" applyFont="1" applyFill="1" applyBorder="1" applyAlignment="1"/>
    <xf numFmtId="43" fontId="13" fillId="88" borderId="88" xfId="65" applyNumberFormat="1" applyFont="1" applyFill="1" applyBorder="1" applyAlignment="1"/>
    <xf numFmtId="43" fontId="136" fillId="88" borderId="87" xfId="65" applyNumberFormat="1" applyFont="1" applyFill="1" applyBorder="1"/>
    <xf numFmtId="164" fontId="4" fillId="0" borderId="0" xfId="65" applyNumberFormat="1"/>
    <xf numFmtId="164" fontId="0" fillId="0" borderId="1" xfId="209" applyNumberFormat="1" applyFont="1" applyBorder="1"/>
    <xf numFmtId="164" fontId="0" fillId="0" borderId="0" xfId="209" applyNumberFormat="1" applyFont="1"/>
    <xf numFmtId="164" fontId="4" fillId="0" borderId="1" xfId="1" applyNumberFormat="1" applyFont="1" applyBorder="1"/>
    <xf numFmtId="9" fontId="0" fillId="0" borderId="0" xfId="2272" applyFont="1"/>
    <xf numFmtId="43" fontId="0" fillId="0" borderId="70" xfId="1" applyFont="1" applyBorder="1"/>
    <xf numFmtId="9" fontId="0" fillId="0" borderId="70" xfId="2272" applyFont="1" applyBorder="1"/>
    <xf numFmtId="172" fontId="147" fillId="2" borderId="78" xfId="46306" applyFont="1" applyFill="1" applyBorder="1"/>
    <xf numFmtId="3" fontId="147" fillId="92" borderId="4" xfId="46306" applyNumberFormat="1" applyFont="1" applyFill="1" applyBorder="1"/>
    <xf numFmtId="172" fontId="147" fillId="92" borderId="6" xfId="46306" applyFont="1" applyFill="1" applyBorder="1"/>
    <xf numFmtId="3" fontId="147" fillId="92" borderId="7" xfId="46306" applyNumberFormat="1" applyFont="1" applyFill="1" applyBorder="1"/>
    <xf numFmtId="172" fontId="147" fillId="92" borderId="8" xfId="46306" applyFont="1" applyFill="1" applyBorder="1"/>
    <xf numFmtId="172" fontId="86" fillId="2" borderId="7" xfId="46306" applyFont="1" applyFill="1" applyBorder="1" applyAlignment="1">
      <alignment horizontal="center"/>
    </xf>
    <xf numFmtId="3" fontId="213" fillId="92" borderId="8" xfId="46306" applyNumberFormat="1" applyFont="1" applyFill="1" applyBorder="1" applyAlignment="1">
      <alignment horizontal="center"/>
    </xf>
    <xf numFmtId="0" fontId="214" fillId="0" borderId="0" xfId="46314" applyFont="1" applyBorder="1"/>
    <xf numFmtId="164" fontId="214" fillId="0" borderId="0" xfId="46314" applyNumberFormat="1" applyFont="1" applyBorder="1"/>
    <xf numFmtId="0" fontId="214" fillId="0" borderId="7" xfId="46314" applyFont="1" applyBorder="1"/>
    <xf numFmtId="0" fontId="29" fillId="0" borderId="0" xfId="0" quotePrefix="1" applyFont="1"/>
    <xf numFmtId="0" fontId="94" fillId="0" borderId="0" xfId="0" applyFont="1"/>
    <xf numFmtId="10" fontId="178" fillId="7" borderId="0" xfId="2" applyNumberFormat="1" applyFont="1" applyFill="1" applyBorder="1"/>
    <xf numFmtId="0" fontId="31" fillId="0" borderId="0" xfId="0" applyFont="1"/>
    <xf numFmtId="0" fontId="156" fillId="0" borderId="0" xfId="8" applyFont="1"/>
    <xf numFmtId="0" fontId="177" fillId="0" borderId="0" xfId="8" applyFont="1"/>
    <xf numFmtId="0" fontId="177" fillId="0" borderId="0" xfId="8" applyNumberFormat="1" applyFont="1" applyAlignment="1" applyProtection="1">
      <alignment horizontal="right"/>
      <protection locked="0"/>
    </xf>
    <xf numFmtId="0" fontId="177" fillId="0" borderId="0" xfId="8" applyNumberFormat="1" applyFont="1" applyAlignment="1" applyProtection="1">
      <alignment horizontal="right" wrapText="1"/>
      <protection locked="0"/>
    </xf>
    <xf numFmtId="0" fontId="177" fillId="0" borderId="0" xfId="8" applyFont="1" applyFill="1"/>
    <xf numFmtId="0" fontId="177" fillId="0" borderId="0" xfId="8" applyFont="1" applyFill="1" applyAlignment="1">
      <alignment horizontal="right"/>
    </xf>
    <xf numFmtId="0" fontId="156" fillId="0" borderId="0" xfId="8" applyFont="1" applyFill="1"/>
    <xf numFmtId="43" fontId="177" fillId="0" borderId="0" xfId="8" applyNumberFormat="1" applyFont="1"/>
    <xf numFmtId="0" fontId="218" fillId="9" borderId="10" xfId="8" applyFont="1" applyFill="1" applyBorder="1"/>
    <xf numFmtId="0" fontId="218" fillId="9" borderId="80" xfId="8" applyFont="1" applyFill="1" applyBorder="1"/>
    <xf numFmtId="0" fontId="218" fillId="9" borderId="10" xfId="8" applyFont="1" applyFill="1" applyBorder="1" applyAlignment="1">
      <alignment wrapText="1"/>
    </xf>
    <xf numFmtId="0" fontId="218" fillId="9" borderId="13" xfId="8" applyFont="1" applyFill="1" applyBorder="1"/>
    <xf numFmtId="0" fontId="156" fillId="11" borderId="1" xfId="8" applyFont="1" applyFill="1" applyBorder="1"/>
    <xf numFmtId="0" fontId="218" fillId="11" borderId="1" xfId="8" applyFont="1" applyFill="1" applyBorder="1"/>
    <xf numFmtId="0" fontId="177" fillId="11" borderId="1" xfId="8" applyFont="1" applyFill="1" applyBorder="1" applyAlignment="1">
      <alignment horizontal="center"/>
    </xf>
    <xf numFmtId="0" fontId="177" fillId="11" borderId="1" xfId="8" applyFont="1" applyFill="1" applyBorder="1" applyAlignment="1">
      <alignment horizontal="center" wrapText="1"/>
    </xf>
    <xf numFmtId="0" fontId="218" fillId="11" borderId="15" xfId="8" applyFont="1" applyFill="1" applyBorder="1"/>
    <xf numFmtId="0" fontId="156" fillId="11" borderId="0" xfId="8" applyFont="1" applyFill="1" applyBorder="1"/>
    <xf numFmtId="0" fontId="218" fillId="11" borderId="0" xfId="8" applyFont="1" applyFill="1" applyBorder="1"/>
    <xf numFmtId="0" fontId="177" fillId="11" borderId="0" xfId="8" applyFont="1" applyFill="1" applyBorder="1" applyAlignment="1">
      <alignment horizontal="center"/>
    </xf>
    <xf numFmtId="0" fontId="177" fillId="11" borderId="0" xfId="8" applyFont="1" applyFill="1" applyBorder="1" applyAlignment="1">
      <alignment horizontal="center" wrapText="1"/>
    </xf>
    <xf numFmtId="0" fontId="218" fillId="11" borderId="14" xfId="8" applyFont="1" applyFill="1" applyBorder="1"/>
    <xf numFmtId="0" fontId="219" fillId="0" borderId="0" xfId="8" applyFont="1" applyFill="1" applyAlignment="1">
      <alignment horizontal="right"/>
    </xf>
    <xf numFmtId="0" fontId="177" fillId="6" borderId="0" xfId="8" applyFont="1" applyFill="1" applyBorder="1" applyAlignment="1">
      <alignment horizontal="left"/>
    </xf>
    <xf numFmtId="0" fontId="177" fillId="6" borderId="0" xfId="8" applyFont="1" applyFill="1" applyBorder="1"/>
    <xf numFmtId="10" fontId="177" fillId="6" borderId="0" xfId="2" applyNumberFormat="1" applyFont="1" applyFill="1" applyBorder="1"/>
    <xf numFmtId="168" fontId="177" fillId="6" borderId="0" xfId="2" applyNumberFormat="1" applyFont="1" applyFill="1" applyBorder="1"/>
    <xf numFmtId="10" fontId="177" fillId="6" borderId="14" xfId="2" applyNumberFormat="1" applyFont="1" applyFill="1" applyBorder="1"/>
    <xf numFmtId="0" fontId="177" fillId="0" borderId="0" xfId="8" applyNumberFormat="1" applyFont="1" applyBorder="1" applyAlignment="1" applyProtection="1">
      <alignment horizontal="left"/>
      <protection locked="0"/>
    </xf>
    <xf numFmtId="0" fontId="156" fillId="0" borderId="0" xfId="8" applyNumberFormat="1" applyFont="1" applyBorder="1" applyAlignment="1" applyProtection="1">
      <alignment horizontal="center"/>
      <protection locked="0"/>
    </xf>
    <xf numFmtId="0" fontId="177" fillId="0" borderId="0" xfId="8" applyFont="1" applyFill="1" applyBorder="1"/>
    <xf numFmtId="168" fontId="177" fillId="0" borderId="0" xfId="8" applyNumberFormat="1" applyFont="1" applyBorder="1"/>
    <xf numFmtId="10" fontId="177" fillId="0" borderId="14" xfId="2" applyNumberFormat="1" applyFont="1" applyFill="1" applyBorder="1"/>
    <xf numFmtId="10" fontId="177" fillId="0" borderId="0" xfId="8" applyNumberFormat="1" applyFont="1" applyBorder="1"/>
    <xf numFmtId="0" fontId="45" fillId="0" borderId="0" xfId="5" applyFont="1" applyFill="1" applyAlignment="1">
      <alignment horizontal="left"/>
    </xf>
    <xf numFmtId="10" fontId="177" fillId="0" borderId="0" xfId="2" applyNumberFormat="1" applyFont="1" applyFill="1" applyBorder="1"/>
    <xf numFmtId="0" fontId="177" fillId="0" borderId="0" xfId="8" applyFont="1" applyFill="1" applyBorder="1" applyAlignment="1">
      <alignment horizontal="left"/>
    </xf>
    <xf numFmtId="0" fontId="177" fillId="0" borderId="0" xfId="8" applyFont="1" applyAlignment="1">
      <alignment wrapText="1"/>
    </xf>
    <xf numFmtId="0" fontId="156" fillId="0" borderId="0" xfId="8" applyNumberFormat="1" applyFont="1" applyAlignment="1" applyProtection="1">
      <alignment horizontal="center"/>
      <protection locked="0"/>
    </xf>
    <xf numFmtId="0" fontId="220" fillId="0" borderId="0" xfId="8" applyNumberFormat="1" applyFont="1" applyAlignment="1" applyProtection="1">
      <alignment horizontal="right"/>
      <protection locked="0"/>
    </xf>
    <xf numFmtId="43" fontId="177" fillId="0" borderId="0" xfId="8" applyNumberFormat="1" applyFont="1" applyAlignment="1" applyProtection="1">
      <alignment horizontal="center"/>
      <protection locked="0"/>
    </xf>
    <xf numFmtId="0" fontId="217" fillId="9" borderId="0" xfId="8" applyFont="1" applyFill="1" applyAlignment="1">
      <alignment horizontal="center" wrapText="1"/>
    </xf>
    <xf numFmtId="0" fontId="217" fillId="9" borderId="0" xfId="8" applyNumberFormat="1" applyFont="1" applyFill="1" applyAlignment="1" applyProtection="1">
      <alignment horizontal="center" wrapText="1"/>
      <protection locked="0"/>
    </xf>
    <xf numFmtId="0" fontId="217" fillId="9" borderId="0" xfId="8" applyNumberFormat="1" applyFont="1" applyFill="1" applyBorder="1" applyAlignment="1" applyProtection="1">
      <alignment horizontal="center" wrapText="1"/>
      <protection locked="0"/>
    </xf>
    <xf numFmtId="0" fontId="217" fillId="9" borderId="0" xfId="8" applyFont="1" applyFill="1"/>
    <xf numFmtId="0" fontId="221" fillId="9" borderId="0" xfId="8" applyFont="1" applyFill="1" applyAlignment="1">
      <alignment horizontal="center" wrapText="1"/>
    </xf>
    <xf numFmtId="0" fontId="217" fillId="0" borderId="0" xfId="8" applyFont="1" applyFill="1"/>
    <xf numFmtId="0" fontId="156" fillId="10" borderId="0" xfId="8" applyFont="1" applyFill="1" applyAlignment="1">
      <alignment horizontal="left"/>
    </xf>
    <xf numFmtId="0" fontId="217" fillId="10" borderId="0" xfId="8" applyFont="1" applyFill="1" applyAlignment="1">
      <alignment horizontal="center" wrapText="1"/>
    </xf>
    <xf numFmtId="0" fontId="156" fillId="10" borderId="0" xfId="8" applyNumberFormat="1" applyFont="1" applyFill="1" applyAlignment="1" applyProtection="1">
      <alignment horizontal="center" wrapText="1"/>
      <protection locked="0"/>
    </xf>
    <xf numFmtId="0" fontId="177" fillId="10" borderId="0" xfId="8" applyFont="1" applyFill="1"/>
    <xf numFmtId="0" fontId="177" fillId="10" borderId="0" xfId="8" applyFont="1" applyFill="1" applyAlignment="1">
      <alignment horizontal="center"/>
    </xf>
    <xf numFmtId="0" fontId="177" fillId="10" borderId="0" xfId="8" applyFont="1" applyFill="1" applyAlignment="1">
      <alignment horizontal="center" wrapText="1"/>
    </xf>
    <xf numFmtId="164" fontId="31" fillId="0" borderId="0" xfId="1" applyNumberFormat="1" applyFont="1" applyFill="1" applyAlignment="1" applyProtection="1">
      <alignment horizontal="left"/>
      <protection locked="0"/>
    </xf>
    <xf numFmtId="164" fontId="156" fillId="0" borderId="0" xfId="1" applyNumberFormat="1" applyFont="1" applyFill="1"/>
    <xf numFmtId="43" fontId="31" fillId="0" borderId="0" xfId="4" applyFont="1" applyFill="1" applyAlignment="1" applyProtection="1">
      <alignment horizontal="left"/>
      <protection locked="0"/>
    </xf>
    <xf numFmtId="164" fontId="177" fillId="0" borderId="0" xfId="8" applyNumberFormat="1" applyFont="1" applyFill="1"/>
    <xf numFmtId="164" fontId="177" fillId="0" borderId="0" xfId="1" applyNumberFormat="1" applyFont="1" applyFill="1"/>
    <xf numFmtId="0" fontId="147" fillId="0" borderId="0" xfId="8" applyNumberFormat="1" applyFont="1" applyAlignment="1" applyProtection="1">
      <alignment horizontal="center"/>
      <protection locked="0"/>
    </xf>
    <xf numFmtId="0" fontId="147" fillId="0" borderId="0" xfId="8" applyNumberFormat="1" applyFont="1" applyFill="1" applyAlignment="1" applyProtection="1">
      <alignment horizontal="center"/>
      <protection locked="0"/>
    </xf>
    <xf numFmtId="0" fontId="147" fillId="0" borderId="0" xfId="8" applyFont="1"/>
    <xf numFmtId="0" fontId="223" fillId="9" borderId="10" xfId="8" applyFont="1" applyFill="1" applyBorder="1"/>
    <xf numFmtId="0" fontId="86" fillId="11" borderId="1" xfId="8" applyFont="1" applyFill="1" applyBorder="1" applyAlignment="1">
      <alignment horizontal="center" wrapText="1"/>
    </xf>
    <xf numFmtId="0" fontId="86" fillId="11" borderId="0" xfId="8" applyFont="1" applyFill="1" applyBorder="1" applyAlignment="1">
      <alignment horizontal="center" wrapText="1"/>
    </xf>
    <xf numFmtId="0" fontId="86" fillId="6" borderId="0" xfId="8" applyFont="1" applyFill="1" applyBorder="1" applyAlignment="1">
      <alignment horizontal="right"/>
    </xf>
    <xf numFmtId="0" fontId="86" fillId="0" borderId="0" xfId="8" applyFont="1" applyBorder="1" applyAlignment="1">
      <alignment horizontal="right"/>
    </xf>
    <xf numFmtId="0" fontId="86" fillId="0" borderId="0" xfId="8" applyFont="1" applyFill="1" applyBorder="1" applyAlignment="1">
      <alignment horizontal="right"/>
    </xf>
    <xf numFmtId="0" fontId="86" fillId="0" borderId="0" xfId="8" applyNumberFormat="1" applyFont="1" applyAlignment="1" applyProtection="1">
      <alignment horizontal="center"/>
      <protection locked="0"/>
    </xf>
    <xf numFmtId="0" fontId="223" fillId="9" borderId="0" xfId="8" applyNumberFormat="1" applyFont="1" applyFill="1" applyAlignment="1" applyProtection="1">
      <alignment horizontal="center" wrapText="1"/>
      <protection locked="0"/>
    </xf>
    <xf numFmtId="0" fontId="223" fillId="10" borderId="0" xfId="8" applyNumberFormat="1" applyFont="1" applyFill="1" applyAlignment="1" applyProtection="1">
      <alignment horizontal="center" wrapText="1"/>
      <protection locked="0"/>
    </xf>
    <xf numFmtId="43" fontId="97" fillId="67" borderId="0" xfId="683" applyNumberFormat="1" applyFill="1"/>
    <xf numFmtId="44" fontId="97" fillId="67" borderId="0" xfId="62" applyFont="1" applyFill="1"/>
    <xf numFmtId="3" fontId="213" fillId="92" borderId="7" xfId="46306" applyNumberFormat="1" applyFont="1" applyFill="1" applyBorder="1" applyAlignment="1">
      <alignment horizontal="left"/>
    </xf>
    <xf numFmtId="172" fontId="147" fillId="0" borderId="0" xfId="46306" applyFont="1" applyFill="1" applyBorder="1"/>
    <xf numFmtId="164" fontId="148" fillId="0" borderId="77" xfId="1" applyNumberFormat="1" applyFont="1" applyFill="1" applyBorder="1"/>
    <xf numFmtId="182" fontId="147" fillId="0" borderId="0" xfId="65" applyNumberFormat="1" applyFont="1" applyFill="1" applyBorder="1"/>
    <xf numFmtId="164" fontId="1" fillId="0" borderId="0" xfId="0" applyNumberFormat="1" applyFont="1"/>
    <xf numFmtId="0" fontId="0" fillId="0" borderId="1" xfId="0" applyBorder="1"/>
    <xf numFmtId="168" fontId="0" fillId="0" borderId="0" xfId="2272" applyNumberFormat="1" applyFont="1"/>
    <xf numFmtId="43" fontId="0" fillId="0" borderId="3" xfId="0" applyNumberFormat="1" applyBorder="1"/>
    <xf numFmtId="43" fontId="0" fillId="0" borderId="1" xfId="1" applyFont="1" applyBorder="1"/>
    <xf numFmtId="17" fontId="0" fillId="0" borderId="0" xfId="0" applyNumberFormat="1"/>
    <xf numFmtId="16" fontId="30" fillId="0" borderId="0" xfId="0" applyNumberFormat="1" applyFont="1"/>
    <xf numFmtId="0" fontId="0" fillId="0" borderId="0" xfId="0" applyAlignment="1">
      <alignment wrapText="1"/>
    </xf>
    <xf numFmtId="0" fontId="0" fillId="91" borderId="0" xfId="0" applyFill="1" applyAlignment="1">
      <alignment horizontal="center" wrapText="1"/>
    </xf>
    <xf numFmtId="0" fontId="0" fillId="93" borderId="0" xfId="0" applyFill="1" applyAlignment="1">
      <alignment horizontal="center" wrapText="1"/>
    </xf>
    <xf numFmtId="0" fontId="0" fillId="0" borderId="0" xfId="0" applyAlignment="1">
      <alignment horizontal="center" wrapText="1"/>
    </xf>
    <xf numFmtId="0" fontId="19" fillId="0" borderId="0" xfId="65" applyFont="1" applyAlignment="1">
      <alignment horizontal="left"/>
    </xf>
    <xf numFmtId="17" fontId="4" fillId="0" borderId="0" xfId="65" applyNumberFormat="1" applyAlignment="1">
      <alignment horizontal="left"/>
    </xf>
    <xf numFmtId="0" fontId="4" fillId="4" borderId="86" xfId="65" applyFill="1" applyBorder="1" applyAlignment="1">
      <alignment horizontal="center" vertical="top"/>
    </xf>
    <xf numFmtId="0" fontId="4" fillId="4" borderId="2" xfId="65" applyFill="1" applyBorder="1" applyAlignment="1">
      <alignment horizontal="center" vertical="top"/>
    </xf>
    <xf numFmtId="0" fontId="4" fillId="4" borderId="2" xfId="65" applyFill="1" applyBorder="1" applyAlignment="1">
      <alignment horizontal="left" vertical="top" wrapText="1"/>
    </xf>
    <xf numFmtId="0" fontId="4" fillId="4" borderId="2" xfId="65" applyFill="1" applyBorder="1" applyAlignment="1">
      <alignment vertical="top"/>
    </xf>
    <xf numFmtId="183" fontId="4" fillId="4" borderId="2" xfId="65" applyNumberFormat="1" applyFill="1" applyBorder="1" applyAlignment="1">
      <alignment vertical="top"/>
    </xf>
    <xf numFmtId="0" fontId="169" fillId="4" borderId="2" xfId="65" applyFont="1" applyFill="1" applyBorder="1" applyAlignment="1">
      <alignment vertical="top"/>
    </xf>
    <xf numFmtId="0" fontId="13" fillId="4" borderId="2" xfId="65" applyFont="1" applyFill="1" applyBorder="1" applyAlignment="1">
      <alignment horizontal="center" vertical="top" wrapText="1"/>
    </xf>
    <xf numFmtId="0" fontId="4" fillId="5" borderId="85" xfId="65" applyFill="1" applyBorder="1" applyAlignment="1">
      <alignment horizontal="centerContinuous"/>
    </xf>
    <xf numFmtId="0" fontId="4" fillId="5" borderId="70" xfId="65" applyFill="1" applyBorder="1" applyAlignment="1">
      <alignment horizontal="centerContinuous"/>
    </xf>
    <xf numFmtId="0" fontId="4" fillId="5" borderId="63" xfId="65" applyFill="1" applyBorder="1" applyAlignment="1">
      <alignment horizontal="centerContinuous"/>
    </xf>
    <xf numFmtId="0" fontId="0" fillId="0" borderId="0" xfId="0" applyAlignment="1">
      <alignment horizontal="right" indent="1"/>
    </xf>
    <xf numFmtId="0" fontId="0" fillId="85" borderId="0" xfId="0" applyFill="1" applyAlignment="1">
      <alignment horizontal="center"/>
    </xf>
    <xf numFmtId="49" fontId="0" fillId="85" borderId="0" xfId="0" applyNumberFormat="1" applyFill="1" applyAlignment="1">
      <alignment horizontal="center"/>
    </xf>
    <xf numFmtId="0" fontId="149" fillId="0" borderId="0" xfId="1530" applyFont="1" applyAlignment="1"/>
    <xf numFmtId="0" fontId="148" fillId="0" borderId="0" xfId="1530" applyFont="1" applyAlignment="1"/>
    <xf numFmtId="44" fontId="148" fillId="0" borderId="0" xfId="1530" applyNumberFormat="1" applyFont="1" applyAlignment="1"/>
    <xf numFmtId="3" fontId="1" fillId="0" borderId="0" xfId="0" applyNumberFormat="1" applyFont="1"/>
    <xf numFmtId="0" fontId="94" fillId="0" borderId="0" xfId="1530" applyFont="1" applyAlignment="1"/>
    <xf numFmtId="0" fontId="8" fillId="0" borderId="0" xfId="5" applyFont="1"/>
    <xf numFmtId="0" fontId="7" fillId="0" borderId="0" xfId="5" applyFont="1"/>
    <xf numFmtId="0" fontId="8" fillId="0" borderId="0" xfId="5" applyFont="1" applyAlignment="1">
      <alignment horizontal="right"/>
    </xf>
    <xf numFmtId="0" fontId="9" fillId="0" borderId="0" xfId="5" applyFont="1" applyAlignment="1">
      <alignment horizontal="left"/>
    </xf>
    <xf numFmtId="0" fontId="14" fillId="85" borderId="0" xfId="5" applyFont="1" applyFill="1" applyAlignment="1">
      <alignment horizontal="right"/>
    </xf>
    <xf numFmtId="10" fontId="5" fillId="85" borderId="0" xfId="5" applyNumberFormat="1" applyFont="1" applyFill="1"/>
    <xf numFmtId="164" fontId="30" fillId="0" borderId="0" xfId="794" applyNumberFormat="1" applyFont="1" applyAlignment="1">
      <alignment horizontal="center" wrapText="1"/>
    </xf>
    <xf numFmtId="164" fontId="30" fillId="0" borderId="0" xfId="794" quotePrefix="1" applyNumberFormat="1" applyFont="1" applyAlignment="1">
      <alignment horizontal="center" wrapText="1"/>
    </xf>
    <xf numFmtId="37" fontId="13" fillId="0" borderId="0" xfId="3" quotePrefix="1" applyFont="1" applyFill="1" applyAlignment="1">
      <alignment horizontal="center"/>
    </xf>
    <xf numFmtId="0" fontId="11" fillId="0" borderId="0" xfId="5" applyFont="1"/>
    <xf numFmtId="0" fontId="8" fillId="85" borderId="0" xfId="5" applyFont="1" applyFill="1"/>
    <xf numFmtId="0" fontId="13" fillId="0" borderId="1" xfId="5" applyFont="1" applyBorder="1" applyAlignment="1">
      <alignment horizontal="centerContinuous"/>
    </xf>
    <xf numFmtId="0" fontId="13" fillId="0" borderId="1" xfId="5" applyFont="1" applyBorder="1" applyAlignment="1">
      <alignment horizontal="right"/>
    </xf>
    <xf numFmtId="17" fontId="13" fillId="0" borderId="2" xfId="6" applyNumberFormat="1" applyFont="1" applyBorder="1" applyAlignment="1">
      <alignment horizontal="center"/>
    </xf>
    <xf numFmtId="17" fontId="13" fillId="0" borderId="0" xfId="6" applyNumberFormat="1" applyFont="1" applyFill="1" applyBorder="1" applyAlignment="1">
      <alignment horizontal="centerContinuous"/>
    </xf>
    <xf numFmtId="17" fontId="13" fillId="0" borderId="0" xfId="6" applyNumberFormat="1" applyFont="1" applyBorder="1" applyAlignment="1">
      <alignment horizontal="centerContinuous"/>
    </xf>
    <xf numFmtId="164" fontId="5" fillId="0" borderId="0" xfId="6" applyNumberFormat="1" applyFont="1" applyFill="1"/>
    <xf numFmtId="37" fontId="4" fillId="0" borderId="0" xfId="3" applyFont="1" applyFill="1" applyAlignment="1">
      <alignment horizontal="right"/>
    </xf>
    <xf numFmtId="37" fontId="26" fillId="0" borderId="0" xfId="3" applyFont="1" applyFill="1" applyAlignment="1">
      <alignment horizontal="right"/>
    </xf>
    <xf numFmtId="43" fontId="26" fillId="0" borderId="0" xfId="1" applyFont="1" applyFill="1"/>
    <xf numFmtId="0" fontId="4" fillId="0" borderId="0" xfId="6" applyNumberFormat="1" applyFont="1" applyFill="1" applyAlignment="1">
      <alignment vertical="top" wrapText="1"/>
    </xf>
    <xf numFmtId="164" fontId="224" fillId="0" borderId="0" xfId="1" applyNumberFormat="1" applyFont="1"/>
    <xf numFmtId="0" fontId="225" fillId="0" borderId="0" xfId="0" applyFont="1"/>
    <xf numFmtId="0" fontId="226" fillId="0" borderId="0" xfId="0" applyFont="1" applyAlignment="1">
      <alignment horizontal="right" wrapText="1"/>
    </xf>
    <xf numFmtId="10" fontId="226" fillId="0" borderId="0" xfId="2273" applyNumberFormat="1" applyFont="1" applyAlignment="1">
      <alignment horizontal="right" wrapText="1"/>
    </xf>
    <xf numFmtId="0" fontId="30" fillId="0" borderId="0" xfId="0" quotePrefix="1" applyFont="1" applyAlignment="1">
      <alignment horizontal="center"/>
    </xf>
    <xf numFmtId="0" fontId="226" fillId="0" borderId="0" xfId="0" applyFont="1"/>
    <xf numFmtId="0" fontId="227" fillId="0" borderId="0" xfId="0" applyFont="1"/>
    <xf numFmtId="0" fontId="164" fillId="0" borderId="83" xfId="0" applyFont="1" applyBorder="1"/>
    <xf numFmtId="0" fontId="164" fillId="0" borderId="84" xfId="0" applyFont="1" applyBorder="1" applyAlignment="1">
      <alignment horizontal="center"/>
    </xf>
    <xf numFmtId="0" fontId="163" fillId="0" borderId="0" xfId="0" applyFont="1"/>
    <xf numFmtId="185" fontId="148" fillId="0" borderId="0" xfId="46315" quotePrefix="1" applyNumberFormat="1" applyFont="1" applyFill="1" applyAlignment="1">
      <alignment horizontal="center" wrapText="1"/>
    </xf>
    <xf numFmtId="37" fontId="216" fillId="0" borderId="0" xfId="46315" applyFont="1" applyFill="1"/>
    <xf numFmtId="1" fontId="148" fillId="0" borderId="0" xfId="46315" quotePrefix="1" applyNumberFormat="1" applyFont="1" applyFill="1" applyAlignment="1">
      <alignment horizontal="center" wrapText="1"/>
    </xf>
    <xf numFmtId="0" fontId="148" fillId="0" borderId="0" xfId="46315" applyNumberFormat="1" applyFont="1" applyFill="1" applyAlignment="1">
      <alignment horizontal="center" wrapText="1"/>
    </xf>
    <xf numFmtId="37" fontId="152" fillId="0" borderId="0" xfId="46315" applyFont="1" applyFill="1" applyAlignment="1">
      <alignment horizontal="left"/>
    </xf>
    <xf numFmtId="37" fontId="150" fillId="0" borderId="0" xfId="46315" applyFont="1" applyFill="1"/>
    <xf numFmtId="37" fontId="150" fillId="0" borderId="0" xfId="46315" applyFont="1" applyFill="1" applyAlignment="1">
      <alignment horizontal="left"/>
    </xf>
    <xf numFmtId="0" fontId="164" fillId="0" borderId="0" xfId="0" applyFont="1" applyAlignment="1">
      <alignment horizontal="right"/>
    </xf>
    <xf numFmtId="171" fontId="164" fillId="0" borderId="0" xfId="62" applyNumberFormat="1" applyFont="1" applyFill="1" applyBorder="1" applyAlignment="1">
      <alignment horizontal="right"/>
    </xf>
    <xf numFmtId="171" fontId="164" fillId="0" borderId="0" xfId="62" applyNumberFormat="1" applyFont="1" applyFill="1" applyBorder="1"/>
    <xf numFmtId="9" fontId="164" fillId="0" borderId="0" xfId="36163" applyFont="1" applyFill="1" applyBorder="1" applyAlignment="1">
      <alignment horizontal="center"/>
    </xf>
    <xf numFmtId="171" fontId="163" fillId="0" borderId="0" xfId="62" applyNumberFormat="1" applyFont="1" applyFill="1" applyBorder="1"/>
    <xf numFmtId="9" fontId="163" fillId="0" borderId="0" xfId="36163" applyFont="1" applyFill="1" applyBorder="1" applyAlignment="1">
      <alignment horizontal="center"/>
    </xf>
    <xf numFmtId="171" fontId="1" fillId="0" borderId="0" xfId="62" applyNumberFormat="1" applyFont="1" applyFill="1" applyBorder="1"/>
    <xf numFmtId="37" fontId="148" fillId="0" borderId="0" xfId="46315" applyFont="1" applyFill="1"/>
    <xf numFmtId="42" fontId="164" fillId="0" borderId="0" xfId="0" applyNumberFormat="1" applyFont="1" applyAlignment="1">
      <alignment horizontal="right"/>
    </xf>
    <xf numFmtId="42" fontId="0" fillId="0" borderId="0" xfId="0" applyNumberFormat="1"/>
    <xf numFmtId="171" fontId="164" fillId="0" borderId="0" xfId="0" applyNumberFormat="1" applyFont="1" applyAlignment="1">
      <alignment horizontal="right"/>
    </xf>
    <xf numFmtId="10" fontId="164" fillId="0" borderId="0" xfId="0" applyNumberFormat="1" applyFont="1" applyAlignment="1">
      <alignment horizontal="right"/>
    </xf>
    <xf numFmtId="171" fontId="148" fillId="0" borderId="0" xfId="62" applyNumberFormat="1" applyFont="1" applyFill="1" applyBorder="1"/>
    <xf numFmtId="10" fontId="7" fillId="0" borderId="0" xfId="2" applyNumberFormat="1" applyFont="1"/>
    <xf numFmtId="0" fontId="4" fillId="85" borderId="0" xfId="65" applyFill="1" applyAlignment="1">
      <alignment horizontal="left"/>
    </xf>
    <xf numFmtId="0" fontId="4" fillId="85" borderId="2" xfId="65" applyFill="1" applyBorder="1" applyAlignment="1">
      <alignment horizontal="center" vertical="top" wrapText="1"/>
    </xf>
    <xf numFmtId="0" fontId="4" fillId="85" borderId="2" xfId="65" applyFill="1" applyBorder="1" applyAlignment="1">
      <alignment vertical="top"/>
    </xf>
    <xf numFmtId="164" fontId="4" fillId="0" borderId="0" xfId="1" applyNumberFormat="1" applyFont="1"/>
    <xf numFmtId="0" fontId="0" fillId="0" borderId="0" xfId="0" applyAlignment="1">
      <alignment horizontal="center"/>
    </xf>
    <xf numFmtId="9" fontId="4" fillId="0" borderId="0" xfId="2" applyFont="1" applyFill="1"/>
    <xf numFmtId="10" fontId="0" fillId="0" borderId="0" xfId="0" applyNumberFormat="1"/>
    <xf numFmtId="172" fontId="186" fillId="7" borderId="0" xfId="46306" applyFont="1" applyFill="1"/>
    <xf numFmtId="4" fontId="186" fillId="7" borderId="0" xfId="46306" applyNumberFormat="1" applyFont="1" applyFill="1"/>
    <xf numFmtId="2" fontId="186" fillId="7" borderId="0" xfId="46306" applyNumberFormat="1" applyFont="1" applyFill="1"/>
    <xf numFmtId="2" fontId="186" fillId="7" borderId="0" xfId="46306" applyNumberFormat="1" applyFont="1" applyFill="1" applyAlignment="1">
      <alignment horizontal="right"/>
    </xf>
    <xf numFmtId="0" fontId="21" fillId="7" borderId="0" xfId="46308" applyFont="1" applyFill="1"/>
    <xf numFmtId="0" fontId="15" fillId="7" borderId="0" xfId="46308" applyFont="1" applyFill="1"/>
    <xf numFmtId="43" fontId="190" fillId="7" borderId="0" xfId="46308" applyNumberFormat="1" applyFont="1" applyFill="1"/>
    <xf numFmtId="4" fontId="190" fillId="7" borderId="0" xfId="46308" applyNumberFormat="1" applyFont="1" applyFill="1"/>
    <xf numFmtId="43" fontId="190" fillId="7" borderId="0" xfId="46308" applyNumberFormat="1" applyFont="1" applyFill="1" applyAlignment="1">
      <alignment horizontal="left"/>
    </xf>
    <xf numFmtId="43" fontId="191" fillId="7" borderId="0" xfId="46308" applyNumberFormat="1" applyFont="1" applyFill="1"/>
    <xf numFmtId="4" fontId="191" fillId="7" borderId="0" xfId="46308" applyNumberFormat="1" applyFont="1" applyFill="1"/>
    <xf numFmtId="4" fontId="187" fillId="7" borderId="0" xfId="46306" applyNumberFormat="1" applyFont="1" applyFill="1"/>
    <xf numFmtId="172" fontId="187" fillId="7" borderId="0" xfId="46306" applyFont="1" applyFill="1"/>
    <xf numFmtId="2" fontId="187" fillId="7" borderId="0" xfId="46306" applyNumberFormat="1" applyFont="1" applyFill="1"/>
    <xf numFmtId="2" fontId="187" fillId="7" borderId="0" xfId="46306" applyNumberFormat="1" applyFont="1" applyFill="1" applyAlignment="1">
      <alignment horizontal="right"/>
    </xf>
    <xf numFmtId="4" fontId="120" fillId="7" borderId="0" xfId="46308" applyNumberFormat="1" applyFont="1" applyFill="1"/>
    <xf numFmtId="43" fontId="120" fillId="7" borderId="0" xfId="46308" applyNumberFormat="1" applyFont="1" applyFill="1"/>
    <xf numFmtId="43" fontId="120" fillId="7" borderId="0" xfId="46308" applyNumberFormat="1" applyFont="1" applyFill="1" applyAlignment="1">
      <alignment horizontal="left"/>
    </xf>
    <xf numFmtId="43" fontId="189" fillId="7" borderId="0" xfId="46308" applyNumberFormat="1" applyFont="1" applyFill="1"/>
    <xf numFmtId="172" fontId="188" fillId="7" borderId="0" xfId="46306" applyFont="1" applyFill="1"/>
    <xf numFmtId="4" fontId="179" fillId="7" borderId="0" xfId="46306" applyNumberFormat="1" applyFont="1" applyFill="1"/>
    <xf numFmtId="172" fontId="179" fillId="7" borderId="0" xfId="46306" applyFont="1" applyFill="1"/>
    <xf numFmtId="2" fontId="179" fillId="7" borderId="0" xfId="46306" applyNumberFormat="1" applyFont="1" applyFill="1"/>
    <xf numFmtId="2" fontId="179" fillId="7" borderId="0" xfId="46306" applyNumberFormat="1" applyFont="1" applyFill="1" applyAlignment="1">
      <alignment horizontal="right"/>
    </xf>
    <xf numFmtId="172" fontId="178" fillId="7" borderId="0" xfId="46306" applyFont="1" applyFill="1"/>
    <xf numFmtId="4" fontId="179" fillId="6" borderId="0" xfId="46306" applyNumberFormat="1" applyFont="1" applyFill="1"/>
    <xf numFmtId="2" fontId="179" fillId="6" borderId="0" xfId="46306" applyNumberFormat="1" applyFont="1" applyFill="1"/>
    <xf numFmtId="2" fontId="179" fillId="6" borderId="0" xfId="46306" applyNumberFormat="1" applyFont="1" applyFill="1" applyAlignment="1">
      <alignment horizontal="right"/>
    </xf>
    <xf numFmtId="172" fontId="179" fillId="6" borderId="0" xfId="46306" applyFont="1" applyFill="1"/>
    <xf numFmtId="172" fontId="178" fillId="6" borderId="0" xfId="46306" applyFont="1" applyFill="1"/>
    <xf numFmtId="4" fontId="178" fillId="7" borderId="0" xfId="46306" applyNumberFormat="1" applyFont="1" applyFill="1"/>
    <xf numFmtId="2" fontId="178" fillId="7" borderId="0" xfId="46306" applyNumberFormat="1" applyFont="1" applyFill="1"/>
    <xf numFmtId="2" fontId="178" fillId="7" borderId="0" xfId="46306" applyNumberFormat="1" applyFont="1" applyFill="1" applyAlignment="1">
      <alignment horizontal="right"/>
    </xf>
    <xf numFmtId="2" fontId="179" fillId="7" borderId="0" xfId="46306" applyNumberFormat="1" applyFont="1" applyFill="1" applyAlignment="1">
      <alignment horizontal="center"/>
    </xf>
    <xf numFmtId="2" fontId="178" fillId="7" borderId="0" xfId="46306" applyNumberFormat="1" applyFont="1" applyFill="1" applyAlignment="1">
      <alignment horizontal="center"/>
    </xf>
    <xf numFmtId="2" fontId="179" fillId="6" borderId="0" xfId="46306" applyNumberFormat="1" applyFont="1" applyFill="1" applyAlignment="1">
      <alignment horizontal="center"/>
    </xf>
    <xf numFmtId="43" fontId="178" fillId="6" borderId="0" xfId="46308" applyNumberFormat="1" applyFont="1" applyFill="1"/>
    <xf numFmtId="43" fontId="179" fillId="7" borderId="0" xfId="46308" applyNumberFormat="1" applyFont="1" applyFill="1"/>
    <xf numFmtId="172" fontId="207" fillId="7" borderId="0" xfId="46306" applyFont="1" applyFill="1"/>
    <xf numFmtId="43" fontId="178" fillId="7" borderId="0" xfId="46308" applyNumberFormat="1" applyFont="1" applyFill="1"/>
    <xf numFmtId="4" fontId="179" fillId="7" borderId="0" xfId="46306" applyNumberFormat="1" applyFont="1" applyFill="1" applyAlignment="1">
      <alignment horizontal="right"/>
    </xf>
    <xf numFmtId="172" fontId="179" fillId="7" borderId="0" xfId="46306" applyFont="1" applyFill="1" applyAlignment="1">
      <alignment horizontal="right"/>
    </xf>
    <xf numFmtId="4" fontId="186" fillId="7" borderId="0" xfId="46306" applyNumberFormat="1" applyFont="1" applyFill="1" applyAlignment="1">
      <alignment horizontal="right"/>
    </xf>
    <xf numFmtId="172" fontId="186" fillId="7" borderId="0" xfId="46306" applyFont="1" applyFill="1" applyAlignment="1">
      <alignment horizontal="right"/>
    </xf>
    <xf numFmtId="4" fontId="178" fillId="7" borderId="0" xfId="46306" applyNumberFormat="1" applyFont="1" applyFill="1" applyAlignment="1">
      <alignment horizontal="right"/>
    </xf>
    <xf numFmtId="172" fontId="178" fillId="7" borderId="0" xfId="46306" applyFont="1" applyFill="1" applyAlignment="1">
      <alignment horizontal="right"/>
    </xf>
    <xf numFmtId="2" fontId="179" fillId="0" borderId="0" xfId="46306" applyNumberFormat="1" applyFont="1"/>
    <xf numFmtId="4" fontId="206" fillId="7" borderId="0" xfId="46306" applyNumberFormat="1" applyFont="1" applyFill="1"/>
    <xf numFmtId="4" fontId="205" fillId="7" borderId="0" xfId="46306" applyNumberFormat="1" applyFont="1" applyFill="1"/>
    <xf numFmtId="172" fontId="179" fillId="6" borderId="0" xfId="46306" applyFont="1" applyFill="1" applyAlignment="1">
      <alignment horizontal="right"/>
    </xf>
    <xf numFmtId="4" fontId="179" fillId="6" borderId="0" xfId="46306" applyNumberFormat="1" applyFont="1" applyFill="1" applyAlignment="1">
      <alignment horizontal="right"/>
    </xf>
    <xf numFmtId="4" fontId="179" fillId="7" borderId="0" xfId="46306" applyNumberFormat="1" applyFont="1" applyFill="1" applyAlignment="1">
      <alignment horizontal="center"/>
    </xf>
    <xf numFmtId="2" fontId="178" fillId="6" borderId="0" xfId="46306" applyNumberFormat="1" applyFont="1" applyFill="1" applyAlignment="1">
      <alignment horizontal="right"/>
    </xf>
    <xf numFmtId="2" fontId="179" fillId="7" borderId="0" xfId="1" applyNumberFormat="1" applyFont="1" applyFill="1" applyBorder="1" applyAlignment="1">
      <alignment horizontal="right"/>
    </xf>
    <xf numFmtId="2" fontId="178" fillId="6" borderId="0" xfId="46306" applyNumberFormat="1" applyFont="1" applyFill="1" applyAlignment="1">
      <alignment horizontal="center"/>
    </xf>
    <xf numFmtId="4" fontId="178" fillId="6" borderId="0" xfId="46306" applyNumberFormat="1" applyFont="1" applyFill="1" applyAlignment="1">
      <alignment horizontal="center"/>
    </xf>
    <xf numFmtId="2" fontId="181" fillId="89" borderId="0" xfId="46306" applyNumberFormat="1" applyFont="1" applyFill="1" applyAlignment="1">
      <alignment horizontal="center"/>
    </xf>
    <xf numFmtId="172" fontId="181" fillId="89" borderId="0" xfId="46306" applyFont="1" applyFill="1"/>
    <xf numFmtId="172" fontId="181" fillId="89" borderId="0" xfId="46306" applyFont="1" applyFill="1" applyAlignment="1">
      <alignment horizontal="center"/>
    </xf>
    <xf numFmtId="4" fontId="181" fillId="89" borderId="0" xfId="46306" applyNumberFormat="1" applyFont="1" applyFill="1" applyAlignment="1">
      <alignment horizontal="center"/>
    </xf>
    <xf numFmtId="43" fontId="178" fillId="89" borderId="0" xfId="46308" applyNumberFormat="1" applyFont="1" applyFill="1"/>
    <xf numFmtId="14" fontId="181" fillId="89" borderId="0" xfId="46306" applyNumberFormat="1" applyFont="1" applyFill="1" applyAlignment="1">
      <alignment horizontal="center"/>
    </xf>
    <xf numFmtId="0" fontId="179" fillId="89" borderId="0" xfId="46308" applyFont="1" applyFill="1" applyAlignment="1">
      <alignment horizontal="center"/>
    </xf>
    <xf numFmtId="2" fontId="181" fillId="89" borderId="0" xfId="46306" applyNumberFormat="1" applyFont="1" applyFill="1"/>
    <xf numFmtId="4" fontId="179" fillId="89" borderId="0" xfId="46308" applyNumberFormat="1" applyFont="1" applyFill="1"/>
    <xf numFmtId="2" fontId="181" fillId="89" borderId="0" xfId="46306" applyNumberFormat="1" applyFont="1" applyFill="1" applyAlignment="1">
      <alignment horizontal="right"/>
    </xf>
    <xf numFmtId="4" fontId="179" fillId="7" borderId="0" xfId="46306" quotePrefix="1" applyNumberFormat="1" applyFont="1" applyFill="1" applyAlignment="1">
      <alignment horizontal="center"/>
    </xf>
    <xf numFmtId="4" fontId="178" fillId="7" borderId="0" xfId="46308" applyNumberFormat="1" applyFont="1" applyFill="1"/>
    <xf numFmtId="10" fontId="178" fillId="7" borderId="0" xfId="46306" applyNumberFormat="1" applyFont="1" applyFill="1"/>
    <xf numFmtId="40" fontId="4" fillId="0" borderId="0" xfId="209" applyNumberFormat="1" applyBorder="1"/>
    <xf numFmtId="0" fontId="4" fillId="4" borderId="0" xfId="65" applyFill="1" applyBorder="1" applyAlignment="1">
      <alignment vertical="top"/>
    </xf>
    <xf numFmtId="0" fontId="4" fillId="4" borderId="0" xfId="65" applyFill="1" applyBorder="1" applyAlignment="1">
      <alignment horizontal="center" vertical="top"/>
    </xf>
    <xf numFmtId="0" fontId="13" fillId="4" borderId="0" xfId="65" applyFont="1" applyFill="1" applyBorder="1" applyAlignment="1">
      <alignment horizontal="center" vertical="top" wrapText="1"/>
    </xf>
    <xf numFmtId="0" fontId="169" fillId="4" borderId="0" xfId="65" applyFont="1" applyFill="1" applyBorder="1" applyAlignment="1">
      <alignment vertical="top"/>
    </xf>
    <xf numFmtId="183" fontId="4" fillId="4" borderId="0" xfId="65" applyNumberFormat="1" applyFill="1" applyBorder="1" applyAlignment="1">
      <alignment vertical="top"/>
    </xf>
    <xf numFmtId="0" fontId="4" fillId="4" borderId="0" xfId="65" applyFill="1" applyBorder="1" applyAlignment="1">
      <alignment horizontal="left" vertical="top" wrapText="1"/>
    </xf>
    <xf numFmtId="0" fontId="4" fillId="4" borderId="13" xfId="65" applyFill="1" applyBorder="1" applyAlignment="1">
      <alignment horizontal="center" vertical="top"/>
    </xf>
    <xf numFmtId="14" fontId="4" fillId="0" borderId="0" xfId="65" applyNumberFormat="1" applyBorder="1"/>
    <xf numFmtId="40" fontId="13" fillId="0" borderId="0" xfId="65" applyNumberFormat="1" applyFont="1" applyBorder="1"/>
    <xf numFmtId="40" fontId="13" fillId="0" borderId="0" xfId="65" applyNumberFormat="1" applyFont="1" applyBorder="1" applyAlignment="1">
      <alignment horizontal="center"/>
    </xf>
    <xf numFmtId="0" fontId="4" fillId="0" borderId="0" xfId="65" applyBorder="1" applyAlignment="1">
      <alignment horizontal="center"/>
    </xf>
    <xf numFmtId="0" fontId="4" fillId="0" borderId="0" xfId="65" applyBorder="1" applyAlignment="1">
      <alignment horizontal="left"/>
    </xf>
    <xf numFmtId="183" fontId="4" fillId="0" borderId="0" xfId="65" applyNumberFormat="1" applyBorder="1"/>
    <xf numFmtId="0" fontId="4" fillId="0" borderId="0" xfId="65" applyBorder="1" applyAlignment="1">
      <alignment horizontal="right"/>
    </xf>
    <xf numFmtId="43" fontId="4" fillId="0" borderId="0" xfId="65" applyNumberFormat="1" applyBorder="1"/>
    <xf numFmtId="0" fontId="149" fillId="0" borderId="0" xfId="0" applyFont="1"/>
    <xf numFmtId="9" fontId="0" fillId="0" borderId="0" xfId="0" applyNumberFormat="1"/>
    <xf numFmtId="172" fontId="15" fillId="0" borderId="8" xfId="29601" applyFont="1" applyBorder="1" applyAlignment="1">
      <alignment horizontal="center" wrapText="1"/>
    </xf>
    <xf numFmtId="14" fontId="21" fillId="0" borderId="0" xfId="29601" applyNumberFormat="1" applyFont="1" applyAlignment="1">
      <alignment horizontal="center"/>
    </xf>
    <xf numFmtId="172" fontId="21" fillId="0" borderId="6" xfId="29601" applyFont="1" applyBorder="1" applyAlignment="1">
      <alignment horizontal="left"/>
    </xf>
    <xf numFmtId="43" fontId="21" fillId="0" borderId="103" xfId="209" applyFont="1" applyBorder="1"/>
    <xf numFmtId="43" fontId="21" fillId="0" borderId="103" xfId="209" applyFont="1" applyFill="1" applyBorder="1"/>
    <xf numFmtId="43" fontId="21" fillId="0" borderId="0" xfId="209" applyFont="1" applyFill="1" applyBorder="1" applyAlignment="1">
      <alignment horizontal="center"/>
    </xf>
    <xf numFmtId="43" fontId="21" fillId="0" borderId="103" xfId="209" applyFont="1" applyFill="1" applyBorder="1" applyAlignment="1">
      <alignment horizontal="center"/>
    </xf>
    <xf numFmtId="164" fontId="228" fillId="0" borderId="0" xfId="8" applyNumberFormat="1" applyFont="1" applyFill="1"/>
    <xf numFmtId="0" fontId="30" fillId="6" borderId="0" xfId="0" applyFont="1" applyFill="1" applyAlignment="1">
      <alignment horizontal="right"/>
    </xf>
    <xf numFmtId="44" fontId="0" fillId="6" borderId="0" xfId="62" applyFont="1" applyFill="1"/>
    <xf numFmtId="0" fontId="0" fillId="6" borderId="0" xfId="0" applyFill="1" applyAlignment="1">
      <alignment vertical="center" wrapText="1"/>
    </xf>
    <xf numFmtId="0" fontId="0" fillId="0" borderId="0" xfId="0" applyAlignment="1">
      <alignment vertical="center" wrapText="1"/>
    </xf>
    <xf numFmtId="0" fontId="226" fillId="0" borderId="0" xfId="0" applyFont="1" applyAlignment="1">
      <alignment wrapText="1"/>
    </xf>
    <xf numFmtId="0" fontId="0" fillId="0" borderId="0" xfId="0" applyAlignment="1">
      <alignment horizontal="left" vertical="top"/>
    </xf>
    <xf numFmtId="171" fontId="0" fillId="6" borderId="0" xfId="62" applyNumberFormat="1" applyFont="1" applyFill="1"/>
    <xf numFmtId="186" fontId="231" fillId="0" borderId="0" xfId="0" applyNumberFormat="1" applyFont="1" applyAlignment="1">
      <alignment vertical="top"/>
    </xf>
    <xf numFmtId="0" fontId="0" fillId="0" borderId="0" xfId="0" applyAlignment="1">
      <alignment vertical="top"/>
    </xf>
    <xf numFmtId="0" fontId="30" fillId="79" borderId="4" xfId="0" applyFont="1" applyFill="1" applyBorder="1"/>
    <xf numFmtId="44" fontId="30" fillId="79" borderId="5" xfId="62" applyFont="1" applyFill="1" applyBorder="1" applyAlignment="1">
      <alignment horizontal="center"/>
    </xf>
    <xf numFmtId="0" fontId="30" fillId="79" borderId="5" xfId="0" applyFont="1" applyFill="1" applyBorder="1" applyAlignment="1">
      <alignment horizontal="center" wrapText="1"/>
    </xf>
    <xf numFmtId="0" fontId="30" fillId="79" borderId="6" xfId="0" applyFont="1" applyFill="1" applyBorder="1" applyAlignment="1">
      <alignment wrapText="1"/>
    </xf>
    <xf numFmtId="0" fontId="30" fillId="0" borderId="78" xfId="0" applyFont="1" applyBorder="1" applyAlignment="1">
      <alignment horizontal="right"/>
    </xf>
    <xf numFmtId="43" fontId="0" fillId="0" borderId="50" xfId="1" applyFont="1" applyFill="1" applyBorder="1" applyAlignment="1">
      <alignment vertical="center"/>
    </xf>
    <xf numFmtId="187" fontId="0" fillId="0" borderId="79" xfId="0" applyNumberFormat="1" applyBorder="1" applyAlignment="1">
      <alignment vertical="center" wrapText="1"/>
    </xf>
    <xf numFmtId="44" fontId="0" fillId="6" borderId="0" xfId="62" applyFont="1" applyFill="1" applyAlignment="1">
      <alignment vertical="center"/>
    </xf>
    <xf numFmtId="0" fontId="0" fillId="79" borderId="4" xfId="0" applyFill="1" applyBorder="1"/>
    <xf numFmtId="0" fontId="30" fillId="79" borderId="6" xfId="0" applyFont="1" applyFill="1" applyBorder="1" applyAlignment="1">
      <alignment horizontal="center" wrapText="1"/>
    </xf>
    <xf numFmtId="0" fontId="0" fillId="0" borderId="7" xfId="0" applyBorder="1"/>
    <xf numFmtId="187" fontId="0" fillId="0" borderId="0" xfId="62" applyNumberFormat="1" applyFont="1" applyFill="1"/>
    <xf numFmtId="187" fontId="0" fillId="0" borderId="0" xfId="0" applyNumberFormat="1" applyAlignment="1">
      <alignment vertical="center" wrapText="1"/>
    </xf>
    <xf numFmtId="0" fontId="0" fillId="0" borderId="78" xfId="0" applyBorder="1"/>
    <xf numFmtId="171" fontId="0" fillId="0" borderId="50" xfId="62" applyNumberFormat="1" applyFont="1" applyBorder="1"/>
    <xf numFmtId="164" fontId="0" fillId="0" borderId="50" xfId="1" applyNumberFormat="1" applyFont="1" applyBorder="1"/>
    <xf numFmtId="171" fontId="0" fillId="0" borderId="79" xfId="0" applyNumberFormat="1" applyBorder="1" applyAlignment="1">
      <alignment wrapText="1"/>
    </xf>
    <xf numFmtId="43" fontId="0" fillId="0" borderId="0" xfId="1" applyFont="1" applyFill="1" applyAlignment="1">
      <alignment vertical="center"/>
    </xf>
    <xf numFmtId="0" fontId="30" fillId="0" borderId="70" xfId="0" applyFont="1" applyBorder="1" applyAlignment="1">
      <alignment horizontal="right"/>
    </xf>
    <xf numFmtId="44" fontId="30" fillId="0" borderId="70" xfId="0" applyNumberFormat="1" applyFont="1" applyBorder="1"/>
    <xf numFmtId="0" fontId="180" fillId="0" borderId="0" xfId="0" applyFont="1"/>
    <xf numFmtId="164" fontId="180" fillId="0" borderId="0" xfId="209" applyNumberFormat="1" applyFont="1"/>
    <xf numFmtId="43" fontId="180" fillId="0" borderId="0" xfId="209" applyFont="1"/>
    <xf numFmtId="10" fontId="180" fillId="0" borderId="0" xfId="2272" applyNumberFormat="1" applyFont="1"/>
    <xf numFmtId="0" fontId="232" fillId="0" borderId="0" xfId="0" applyFont="1"/>
    <xf numFmtId="0" fontId="179" fillId="0" borderId="0" xfId="0" applyFont="1"/>
    <xf numFmtId="0" fontId="183" fillId="0" borderId="0" xfId="46307" applyFont="1"/>
    <xf numFmtId="164" fontId="182" fillId="0" borderId="3" xfId="0" applyNumberFormat="1" applyFont="1" applyBorder="1"/>
    <xf numFmtId="164" fontId="178" fillId="0" borderId="70" xfId="209" applyNumberFormat="1" applyFont="1" applyFill="1" applyBorder="1"/>
    <xf numFmtId="164" fontId="178" fillId="0" borderId="0" xfId="209" applyNumberFormat="1" applyFont="1" applyFill="1" applyBorder="1"/>
    <xf numFmtId="0" fontId="183" fillId="0" borderId="0" xfId="46307" applyFont="1" applyAlignment="1">
      <alignment horizontal="right"/>
    </xf>
    <xf numFmtId="0" fontId="233" fillId="0" borderId="0" xfId="46307" applyFont="1"/>
    <xf numFmtId="43" fontId="179" fillId="0" borderId="0" xfId="209" applyFont="1" applyFill="1" applyAlignment="1">
      <alignment horizontal="center"/>
    </xf>
    <xf numFmtId="164" fontId="233" fillId="0" borderId="0" xfId="209" applyNumberFormat="1" applyFont="1"/>
    <xf numFmtId="164" fontId="233" fillId="0" borderId="0" xfId="46307" applyNumberFormat="1" applyFont="1"/>
    <xf numFmtId="164" fontId="180" fillId="0" borderId="0" xfId="0" applyNumberFormat="1" applyFont="1"/>
    <xf numFmtId="0" fontId="182" fillId="0" borderId="0" xfId="0" applyFont="1" applyAlignment="1">
      <alignment horizontal="left" indent="1"/>
    </xf>
    <xf numFmtId="0" fontId="234" fillId="0" borderId="0" xfId="46307" applyFont="1" applyAlignment="1">
      <alignment horizontal="center"/>
    </xf>
    <xf numFmtId="0" fontId="182" fillId="0" borderId="0" xfId="0" applyFont="1" applyAlignment="1">
      <alignment horizontal="left"/>
    </xf>
    <xf numFmtId="164" fontId="183" fillId="0" borderId="0" xfId="46307" applyNumberFormat="1" applyFont="1"/>
    <xf numFmtId="43" fontId="180" fillId="0" borderId="0" xfId="0" applyNumberFormat="1" applyFont="1"/>
    <xf numFmtId="164" fontId="183" fillId="0" borderId="97" xfId="46307" applyNumberFormat="1" applyFont="1" applyBorder="1"/>
    <xf numFmtId="171" fontId="235" fillId="93" borderId="0" xfId="46307" applyNumberFormat="1" applyFont="1" applyFill="1"/>
    <xf numFmtId="171" fontId="235" fillId="93" borderId="0" xfId="275" applyNumberFormat="1" applyFont="1" applyFill="1"/>
    <xf numFmtId="44" fontId="235" fillId="93" borderId="0" xfId="275" applyFont="1" applyFill="1"/>
    <xf numFmtId="43" fontId="233" fillId="0" borderId="0" xfId="46307" applyNumberFormat="1" applyFont="1"/>
    <xf numFmtId="0" fontId="236" fillId="0" borderId="0" xfId="0" applyFont="1"/>
    <xf numFmtId="0" fontId="237" fillId="0" borderId="0" xfId="0" applyFont="1" applyAlignment="1">
      <alignment horizontal="left" indent="1"/>
    </xf>
    <xf numFmtId="43" fontId="233" fillId="46" borderId="0" xfId="46307" applyNumberFormat="1" applyFont="1" applyFill="1"/>
    <xf numFmtId="43" fontId="180" fillId="46" borderId="0" xfId="0" applyNumberFormat="1" applyFont="1" applyFill="1"/>
    <xf numFmtId="164" fontId="236" fillId="0" borderId="0" xfId="209" applyNumberFormat="1" applyFont="1"/>
    <xf numFmtId="43" fontId="236" fillId="0" borderId="0" xfId="209" applyFont="1" applyFill="1" applyAlignment="1">
      <alignment horizontal="center"/>
    </xf>
    <xf numFmtId="0" fontId="237" fillId="0" borderId="0" xfId="0" applyFont="1"/>
    <xf numFmtId="0" fontId="182" fillId="0" borderId="0" xfId="0" applyFont="1"/>
    <xf numFmtId="0" fontId="234" fillId="0" borderId="0" xfId="46307" applyFont="1" applyAlignment="1">
      <alignment horizontal="left"/>
    </xf>
    <xf numFmtId="0" fontId="233" fillId="0" borderId="0" xfId="0" applyFont="1" applyAlignment="1">
      <alignment vertical="top"/>
    </xf>
    <xf numFmtId="0" fontId="182" fillId="0" borderId="0" xfId="0" applyFont="1" applyAlignment="1">
      <alignment horizontal="right" indent="1"/>
    </xf>
    <xf numFmtId="0" fontId="178" fillId="0" borderId="0" xfId="0" applyFont="1" applyAlignment="1">
      <alignment horizontal="right" indent="1"/>
    </xf>
    <xf numFmtId="0" fontId="180" fillId="0" borderId="0" xfId="0" applyFont="1" applyAlignment="1">
      <alignment horizontal="left"/>
    </xf>
    <xf numFmtId="164" fontId="233" fillId="0" borderId="0" xfId="209" applyNumberFormat="1" applyFont="1" applyFill="1"/>
    <xf numFmtId="0" fontId="183" fillId="0" borderId="0" xfId="46307" applyFont="1" applyAlignment="1">
      <alignment horizontal="left"/>
    </xf>
    <xf numFmtId="43" fontId="178" fillId="0" borderId="0" xfId="209" applyFont="1" applyFill="1" applyAlignment="1">
      <alignment horizontal="center"/>
    </xf>
    <xf numFmtId="43" fontId="179" fillId="0" borderId="0" xfId="209" applyFont="1" applyFill="1" applyBorder="1"/>
    <xf numFmtId="43" fontId="179" fillId="0" borderId="0" xfId="209" applyFont="1" applyFill="1"/>
    <xf numFmtId="44" fontId="233" fillId="0" borderId="0" xfId="46307" applyNumberFormat="1" applyFont="1"/>
    <xf numFmtId="43" fontId="182" fillId="0" borderId="0" xfId="0" applyNumberFormat="1" applyFont="1"/>
    <xf numFmtId="9" fontId="179" fillId="0" borderId="0" xfId="2272" applyFont="1" applyFill="1" applyAlignment="1">
      <alignment horizontal="center"/>
    </xf>
    <xf numFmtId="43" fontId="233" fillId="0" borderId="0" xfId="209" applyFont="1" applyFill="1" applyAlignment="1">
      <alignment horizontal="center"/>
    </xf>
    <xf numFmtId="0" fontId="238" fillId="0" borderId="0" xfId="46307" applyFont="1" applyAlignment="1">
      <alignment horizontal="center"/>
    </xf>
    <xf numFmtId="0" fontId="233" fillId="0" borderId="0" xfId="46307" applyFont="1" applyAlignment="1">
      <alignment horizontal="center"/>
    </xf>
    <xf numFmtId="0" fontId="239" fillId="0" borderId="15" xfId="46307" applyFont="1" applyBorder="1"/>
    <xf numFmtId="0" fontId="239" fillId="0" borderId="12" xfId="46307" applyFont="1" applyBorder="1"/>
    <xf numFmtId="164" fontId="183" fillId="86" borderId="0" xfId="233" applyNumberFormat="1" applyFont="1" applyFill="1" applyAlignment="1">
      <alignment horizontal="center" wrapText="1"/>
    </xf>
    <xf numFmtId="0" fontId="183" fillId="86" borderId="0" xfId="46307" applyFont="1" applyFill="1" applyAlignment="1">
      <alignment horizontal="center" wrapText="1"/>
    </xf>
    <xf numFmtId="0" fontId="183" fillId="0" borderId="0" xfId="46307" applyFont="1" applyAlignment="1">
      <alignment horizontal="center" wrapText="1"/>
    </xf>
    <xf numFmtId="0" fontId="182" fillId="0" borderId="0" xfId="0" applyFont="1" applyAlignment="1">
      <alignment horizontal="center" wrapText="1"/>
    </xf>
    <xf numFmtId="0" fontId="183" fillId="46" borderId="0" xfId="46307" applyFont="1" applyFill="1" applyAlignment="1">
      <alignment horizontal="center" wrapText="1"/>
    </xf>
    <xf numFmtId="0" fontId="183" fillId="11" borderId="0" xfId="46307" applyFont="1" applyFill="1" applyAlignment="1">
      <alignment horizontal="center" wrapText="1"/>
    </xf>
    <xf numFmtId="164" fontId="183" fillId="94" borderId="0" xfId="209" applyNumberFormat="1" applyFont="1" applyFill="1" applyAlignment="1">
      <alignment horizontal="center" wrapText="1"/>
    </xf>
    <xf numFmtId="0" fontId="183" fillId="96" borderId="0" xfId="209" applyNumberFormat="1" applyFont="1" applyFill="1" applyAlignment="1">
      <alignment horizontal="center" wrapText="1"/>
    </xf>
    <xf numFmtId="0" fontId="183" fillId="94" borderId="0" xfId="209" applyNumberFormat="1" applyFont="1" applyFill="1" applyAlignment="1">
      <alignment horizontal="center" wrapText="1"/>
    </xf>
    <xf numFmtId="14" fontId="183" fillId="93" borderId="0" xfId="46307" quotePrefix="1" applyNumberFormat="1" applyFont="1" applyFill="1" applyAlignment="1">
      <alignment horizontal="center" wrapText="1"/>
    </xf>
    <xf numFmtId="0" fontId="183" fillId="0" borderId="0" xfId="46307" applyFont="1" applyAlignment="1">
      <alignment horizontal="center"/>
    </xf>
    <xf numFmtId="10" fontId="180" fillId="0" borderId="0" xfId="0" applyNumberFormat="1" applyFont="1"/>
    <xf numFmtId="10" fontId="236" fillId="0" borderId="0" xfId="2272" applyNumberFormat="1" applyFont="1"/>
    <xf numFmtId="0" fontId="182" fillId="0" borderId="0" xfId="0" applyFont="1" applyAlignment="1">
      <alignment horizontal="right"/>
    </xf>
    <xf numFmtId="0" fontId="183" fillId="46" borderId="70" xfId="46307" applyFont="1" applyFill="1" applyBorder="1" applyAlignment="1">
      <alignment horizontal="center" wrapText="1"/>
    </xf>
    <xf numFmtId="164" fontId="183" fillId="11" borderId="70" xfId="46307" applyNumberFormat="1" applyFont="1" applyFill="1" applyBorder="1" applyAlignment="1">
      <alignment horizontal="center" wrapText="1"/>
    </xf>
    <xf numFmtId="164" fontId="183" fillId="46" borderId="70" xfId="46307" applyNumberFormat="1" applyFont="1" applyFill="1" applyBorder="1" applyAlignment="1">
      <alignment horizontal="center" wrapText="1"/>
    </xf>
    <xf numFmtId="164" fontId="183" fillId="96" borderId="0" xfId="209" applyNumberFormat="1" applyFont="1" applyFill="1" applyAlignment="1">
      <alignment horizontal="center" wrapText="1"/>
    </xf>
    <xf numFmtId="0" fontId="183" fillId="93" borderId="0" xfId="46307" applyFont="1" applyFill="1" applyAlignment="1">
      <alignment horizontal="center"/>
    </xf>
    <xf numFmtId="43" fontId="233" fillId="0" borderId="0" xfId="209" applyFont="1"/>
    <xf numFmtId="0" fontId="240" fillId="97" borderId="0" xfId="46307" applyFont="1" applyFill="1" applyAlignment="1">
      <alignment horizontal="center" wrapText="1"/>
    </xf>
    <xf numFmtId="0" fontId="239" fillId="97" borderId="0" xfId="46307" applyFont="1" applyFill="1"/>
    <xf numFmtId="164" fontId="237" fillId="0" borderId="0" xfId="209" applyNumberFormat="1" applyFont="1"/>
    <xf numFmtId="164" fontId="0" fillId="0" borderId="1" xfId="1" applyNumberFormat="1" applyFont="1" applyBorder="1"/>
    <xf numFmtId="171" fontId="0" fillId="0" borderId="122" xfId="62" applyNumberFormat="1" applyFont="1" applyBorder="1" applyAlignment="1">
      <alignment vertical="center" wrapText="1"/>
    </xf>
    <xf numFmtId="0" fontId="0" fillId="0" borderId="0" xfId="0" applyFill="1"/>
    <xf numFmtId="164" fontId="0" fillId="0" borderId="0" xfId="0" applyNumberFormat="1" applyFill="1"/>
    <xf numFmtId="41" fontId="97" fillId="8" borderId="0" xfId="683" applyNumberFormat="1" applyFill="1" applyBorder="1"/>
    <xf numFmtId="10" fontId="148" fillId="0" borderId="77" xfId="39" applyNumberFormat="1" applyFont="1" applyFill="1" applyBorder="1"/>
    <xf numFmtId="171" fontId="147" fillId="0" borderId="80" xfId="62" applyNumberFormat="1" applyFont="1" applyFill="1" applyBorder="1"/>
    <xf numFmtId="171" fontId="1" fillId="0" borderId="0" xfId="62" applyNumberFormat="1" applyFont="1" applyFill="1"/>
    <xf numFmtId="187" fontId="0" fillId="0" borderId="50" xfId="62" applyNumberFormat="1" applyFont="1" applyFill="1" applyBorder="1"/>
    <xf numFmtId="10" fontId="179" fillId="0" borderId="0" xfId="2" applyNumberFormat="1" applyFont="1" applyFill="1" applyBorder="1"/>
    <xf numFmtId="172" fontId="86" fillId="0" borderId="0" xfId="46306" applyFont="1" applyFill="1" applyBorder="1" applyAlignment="1">
      <alignment horizontal="center"/>
    </xf>
    <xf numFmtId="172" fontId="86" fillId="0" borderId="8" xfId="46306" applyFont="1" applyFill="1" applyBorder="1" applyAlignment="1">
      <alignment horizontal="center"/>
    </xf>
    <xf numFmtId="172" fontId="86" fillId="0" borderId="7" xfId="46306" applyFont="1" applyFill="1" applyBorder="1" applyAlignment="1">
      <alignment horizontal="center"/>
    </xf>
    <xf numFmtId="172" fontId="21" fillId="0" borderId="0" xfId="46306" applyFont="1" applyFill="1" applyBorder="1" applyAlignment="1">
      <alignment horizontal="center"/>
    </xf>
    <xf numFmtId="14" fontId="86" fillId="0" borderId="0" xfId="46306" applyNumberFormat="1" applyFont="1" applyFill="1" applyBorder="1" applyAlignment="1">
      <alignment horizontal="center"/>
    </xf>
    <xf numFmtId="14" fontId="86" fillId="0" borderId="0" xfId="46306" quotePrefix="1" applyNumberFormat="1" applyFont="1" applyFill="1" applyBorder="1" applyAlignment="1">
      <alignment horizontal="center"/>
    </xf>
    <xf numFmtId="14" fontId="86" fillId="0" borderId="8" xfId="46306" quotePrefix="1" applyNumberFormat="1" applyFont="1" applyFill="1" applyBorder="1" applyAlignment="1">
      <alignment horizontal="center"/>
    </xf>
    <xf numFmtId="172" fontId="212" fillId="0" borderId="0" xfId="46306" applyFont="1" applyFill="1" applyBorder="1"/>
    <xf numFmtId="14" fontId="86" fillId="0" borderId="7" xfId="46306" quotePrefix="1" applyNumberFormat="1" applyFont="1" applyFill="1" applyBorder="1" applyAlignment="1">
      <alignment horizontal="center"/>
    </xf>
    <xf numFmtId="43" fontId="147" fillId="0" borderId="0" xfId="1" applyFont="1" applyFill="1" applyBorder="1"/>
    <xf numFmtId="3" fontId="147" fillId="0" borderId="0" xfId="46306" applyNumberFormat="1" applyFont="1" applyFill="1" applyBorder="1"/>
    <xf numFmtId="43" fontId="0" fillId="0" borderId="0" xfId="1" applyFont="1" applyFill="1"/>
    <xf numFmtId="44" fontId="0" fillId="0" borderId="0" xfId="0" applyNumberFormat="1" applyFill="1"/>
    <xf numFmtId="0" fontId="164" fillId="0" borderId="7" xfId="0" applyFont="1" applyFill="1" applyBorder="1" applyAlignment="1">
      <alignment horizontal="right"/>
    </xf>
    <xf numFmtId="10" fontId="164" fillId="0" borderId="0" xfId="36163" applyNumberFormat="1" applyFont="1" applyFill="1" applyBorder="1"/>
    <xf numFmtId="9" fontId="164" fillId="0" borderId="8" xfId="36163" applyFont="1" applyFill="1" applyBorder="1" applyAlignment="1">
      <alignment horizontal="center"/>
    </xf>
    <xf numFmtId="171" fontId="163" fillId="0" borderId="1" xfId="62" applyNumberFormat="1" applyFont="1" applyFill="1" applyBorder="1"/>
    <xf numFmtId="0" fontId="163" fillId="0" borderId="0" xfId="0" applyFont="1" applyFill="1"/>
    <xf numFmtId="0" fontId="163" fillId="0" borderId="8" xfId="0" applyFont="1" applyFill="1" applyBorder="1"/>
    <xf numFmtId="0" fontId="163" fillId="0" borderId="78" xfId="0" applyFont="1" applyFill="1" applyBorder="1"/>
    <xf numFmtId="0" fontId="163" fillId="0" borderId="2" xfId="0" applyFont="1" applyFill="1" applyBorder="1"/>
    <xf numFmtId="0" fontId="163" fillId="0" borderId="79" xfId="0" applyFont="1" applyFill="1" applyBorder="1"/>
    <xf numFmtId="0" fontId="0" fillId="0" borderId="4" xfId="0" applyFill="1" applyBorder="1"/>
    <xf numFmtId="0" fontId="164" fillId="0" borderId="5" xfId="0" applyFont="1" applyFill="1" applyBorder="1"/>
    <xf numFmtId="0" fontId="0" fillId="0" borderId="6" xfId="0" applyFill="1" applyBorder="1"/>
    <xf numFmtId="42" fontId="163" fillId="0" borderId="0" xfId="0" applyNumberFormat="1" applyFont="1" applyFill="1"/>
    <xf numFmtId="171" fontId="163" fillId="0" borderId="8" xfId="0" applyNumberFormat="1" applyFont="1" applyFill="1" applyBorder="1"/>
    <xf numFmtId="171" fontId="163" fillId="0" borderId="0" xfId="0" applyNumberFormat="1" applyFont="1" applyFill="1"/>
    <xf numFmtId="0" fontId="163" fillId="0" borderId="7" xfId="0" applyFont="1" applyFill="1" applyBorder="1"/>
    <xf numFmtId="0" fontId="164" fillId="0" borderId="78" xfId="0" applyFont="1" applyFill="1" applyBorder="1" applyAlignment="1">
      <alignment horizontal="right"/>
    </xf>
    <xf numFmtId="10" fontId="164" fillId="0" borderId="2" xfId="0" applyNumberFormat="1" applyFont="1" applyFill="1" applyBorder="1"/>
    <xf numFmtId="10" fontId="164" fillId="0" borderId="79" xfId="85" applyNumberFormat="1" applyFont="1" applyFill="1" applyBorder="1"/>
    <xf numFmtId="171" fontId="0" fillId="0" borderId="0" xfId="0" applyNumberFormat="1" applyFill="1"/>
    <xf numFmtId="9" fontId="0" fillId="0" borderId="0" xfId="2" applyFont="1" applyFill="1" applyBorder="1"/>
    <xf numFmtId="172" fontId="15" fillId="6" borderId="0" xfId="29601" applyFont="1" applyFill="1" applyBorder="1" applyAlignment="1">
      <alignment horizontal="center" wrapText="1"/>
    </xf>
    <xf numFmtId="43" fontId="15" fillId="6" borderId="0" xfId="209" applyFont="1" applyFill="1" applyBorder="1" applyAlignment="1">
      <alignment horizontal="center" wrapText="1"/>
    </xf>
    <xf numFmtId="43" fontId="15" fillId="46" borderId="0" xfId="209" applyFont="1" applyFill="1" applyBorder="1" applyAlignment="1">
      <alignment horizontal="center" wrapText="1"/>
    </xf>
    <xf numFmtId="172" fontId="202" fillId="2" borderId="0" xfId="46306" applyFont="1" applyFill="1" applyBorder="1"/>
    <xf numFmtId="164" fontId="0" fillId="0" borderId="0" xfId="209" applyNumberFormat="1" applyFont="1" applyBorder="1"/>
    <xf numFmtId="164" fontId="4" fillId="0" borderId="0" xfId="65" applyNumberFormat="1" applyBorder="1"/>
    <xf numFmtId="0" fontId="4" fillId="0" borderId="0" xfId="65" pivotButton="1" applyBorder="1"/>
    <xf numFmtId="0" fontId="19" fillId="0" borderId="0" xfId="65" applyFont="1" applyBorder="1"/>
    <xf numFmtId="0" fontId="19" fillId="0" borderId="0" xfId="65" applyFont="1" applyBorder="1" applyAlignment="1">
      <alignment horizontal="left"/>
    </xf>
    <xf numFmtId="44" fontId="150" fillId="95" borderId="0" xfId="1530" applyNumberFormat="1" applyFont="1" applyFill="1" applyBorder="1" applyAlignment="1"/>
    <xf numFmtId="0" fontId="4" fillId="5" borderId="89" xfId="65" applyFill="1" applyBorder="1" applyAlignment="1">
      <alignment horizontal="centerContinuous"/>
    </xf>
    <xf numFmtId="0" fontId="4" fillId="5" borderId="80" xfId="65" applyFill="1" applyBorder="1" applyAlignment="1">
      <alignment horizontal="centerContinuous"/>
    </xf>
    <xf numFmtId="0" fontId="4" fillId="5" borderId="13" xfId="65" applyFill="1" applyBorder="1" applyAlignment="1">
      <alignment horizontal="centerContinuous"/>
    </xf>
    <xf numFmtId="0" fontId="239" fillId="0" borderId="63" xfId="46307" applyFont="1" applyBorder="1" applyAlignment="1">
      <alignment horizontal="center"/>
    </xf>
    <xf numFmtId="0" fontId="239" fillId="0" borderId="85" xfId="46307" applyFont="1" applyBorder="1" applyAlignment="1">
      <alignment horizontal="center"/>
    </xf>
    <xf numFmtId="172" fontId="208" fillId="90" borderId="4" xfId="46306" applyFont="1" applyFill="1" applyBorder="1" applyAlignment="1">
      <alignment horizontal="center"/>
    </xf>
    <xf numFmtId="172" fontId="208" fillId="90" borderId="5" xfId="46306" applyFont="1" applyFill="1" applyBorder="1" applyAlignment="1">
      <alignment horizontal="center"/>
    </xf>
    <xf numFmtId="172" fontId="208" fillId="90" borderId="6" xfId="46306" applyFont="1" applyFill="1" applyBorder="1" applyAlignment="1">
      <alignment horizontal="center"/>
    </xf>
    <xf numFmtId="172" fontId="208" fillId="90" borderId="7" xfId="46306" applyFont="1" applyFill="1" applyBorder="1" applyAlignment="1">
      <alignment horizontal="center"/>
    </xf>
    <xf numFmtId="172" fontId="208" fillId="90" borderId="0" xfId="46306" applyFont="1" applyFill="1" applyBorder="1" applyAlignment="1">
      <alignment horizontal="center"/>
    </xf>
    <xf numFmtId="172" fontId="208" fillId="90" borderId="8" xfId="46306" applyFont="1" applyFill="1" applyBorder="1" applyAlignment="1">
      <alignment horizontal="center"/>
    </xf>
    <xf numFmtId="14" fontId="208" fillId="90" borderId="7" xfId="46306" applyNumberFormat="1" applyFont="1" applyFill="1" applyBorder="1" applyAlignment="1">
      <alignment horizontal="center"/>
    </xf>
    <xf numFmtId="14" fontId="208" fillId="90" borderId="0" xfId="46306" applyNumberFormat="1" applyFont="1" applyFill="1" applyBorder="1" applyAlignment="1">
      <alignment horizontal="center"/>
    </xf>
    <xf numFmtId="14" fontId="208" fillId="90" borderId="8" xfId="46306" applyNumberFormat="1" applyFont="1" applyFill="1" applyBorder="1" applyAlignment="1">
      <alignment horizontal="center"/>
    </xf>
    <xf numFmtId="3" fontId="213" fillId="92" borderId="7" xfId="46306" applyNumberFormat="1" applyFont="1" applyFill="1" applyBorder="1" applyAlignment="1">
      <alignment horizontal="center"/>
    </xf>
    <xf numFmtId="3" fontId="213" fillId="92" borderId="8" xfId="46306" applyNumberFormat="1" applyFont="1" applyFill="1" applyBorder="1" applyAlignment="1">
      <alignment horizontal="center"/>
    </xf>
    <xf numFmtId="0" fontId="30" fillId="0" borderId="51" xfId="0" applyFont="1" applyBorder="1" applyAlignment="1">
      <alignment horizontal="center"/>
    </xf>
    <xf numFmtId="0" fontId="30" fillId="0" borderId="52" xfId="0" applyFont="1" applyBorder="1" applyAlignment="1">
      <alignment horizontal="center"/>
    </xf>
    <xf numFmtId="0" fontId="30" fillId="0" borderId="53" xfId="0" applyFont="1" applyBorder="1" applyAlignment="1">
      <alignment horizontal="center"/>
    </xf>
    <xf numFmtId="0" fontId="30" fillId="0" borderId="0" xfId="0" applyFont="1" applyAlignment="1">
      <alignment horizontal="center" wrapText="1"/>
    </xf>
    <xf numFmtId="0" fontId="0" fillId="0" borderId="0" xfId="0"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5" xfId="0" applyBorder="1" applyAlignment="1">
      <alignment horizontal="center"/>
    </xf>
    <xf numFmtId="0" fontId="99" fillId="67" borderId="0" xfId="446" applyNumberFormat="1" applyFont="1" applyFill="1" applyAlignment="1">
      <alignment horizontal="center"/>
    </xf>
    <xf numFmtId="0" fontId="97" fillId="37" borderId="51" xfId="683" applyNumberFormat="1" applyBorder="1" applyAlignment="1">
      <alignment horizontal="center"/>
    </xf>
    <xf numFmtId="0" fontId="97" fillId="37" borderId="52" xfId="683" applyNumberFormat="1" applyBorder="1" applyAlignment="1">
      <alignment horizontal="center"/>
    </xf>
    <xf numFmtId="0" fontId="97" fillId="37" borderId="53" xfId="683" applyNumberFormat="1" applyBorder="1" applyAlignment="1">
      <alignment horizontal="center"/>
    </xf>
    <xf numFmtId="0" fontId="104" fillId="67" borderId="0" xfId="446" applyNumberFormat="1" applyFont="1" applyFill="1" applyBorder="1" applyAlignment="1">
      <alignment horizontal="center"/>
    </xf>
    <xf numFmtId="0" fontId="104" fillId="67" borderId="70" xfId="446" applyNumberFormat="1" applyFont="1" applyFill="1" applyBorder="1" applyAlignment="1">
      <alignment horizontal="center"/>
    </xf>
    <xf numFmtId="0" fontId="114" fillId="37" borderId="0" xfId="683" applyNumberFormat="1" applyFont="1" applyAlignment="1">
      <alignment horizontal="center"/>
    </xf>
    <xf numFmtId="0" fontId="4" fillId="85" borderId="0" xfId="65" applyFill="1" applyAlignment="1">
      <alignment horizontal="center"/>
    </xf>
    <xf numFmtId="17" fontId="13" fillId="0" borderId="0" xfId="6" applyNumberFormat="1" applyFont="1" applyBorder="1" applyAlignment="1">
      <alignment horizontal="center" wrapText="1"/>
    </xf>
    <xf numFmtId="17" fontId="13" fillId="0" borderId="2" xfId="6" applyNumberFormat="1" applyFont="1" applyBorder="1" applyAlignment="1">
      <alignment horizontal="center" wrapText="1"/>
    </xf>
    <xf numFmtId="164" fontId="4" fillId="95" borderId="102" xfId="6" applyNumberFormat="1" applyFont="1" applyFill="1" applyBorder="1"/>
    <xf numFmtId="164" fontId="5" fillId="95" borderId="0" xfId="6" applyNumberFormat="1" applyFont="1" applyFill="1" applyBorder="1"/>
    <xf numFmtId="164" fontId="4" fillId="95" borderId="0" xfId="6" applyNumberFormat="1" applyFont="1" applyFill="1" applyBorder="1"/>
    <xf numFmtId="164" fontId="4" fillId="95" borderId="103" xfId="6" applyNumberFormat="1" applyFont="1" applyFill="1" applyBorder="1"/>
    <xf numFmtId="164" fontId="5" fillId="95" borderId="102" xfId="4" applyNumberFormat="1" applyFont="1" applyFill="1" applyBorder="1"/>
    <xf numFmtId="164" fontId="7" fillId="95" borderId="0" xfId="4" applyNumberFormat="1" applyFont="1" applyFill="1" applyBorder="1"/>
    <xf numFmtId="164" fontId="5" fillId="95" borderId="0" xfId="4" applyNumberFormat="1" applyFont="1" applyFill="1" applyBorder="1"/>
    <xf numFmtId="164" fontId="4" fillId="95" borderId="102" xfId="4" applyNumberFormat="1" applyFont="1" applyFill="1" applyBorder="1"/>
    <xf numFmtId="164" fontId="4" fillId="95" borderId="0" xfId="4" applyNumberFormat="1" applyFont="1" applyFill="1" applyBorder="1"/>
    <xf numFmtId="164" fontId="4" fillId="95" borderId="103" xfId="4" applyNumberFormat="1" applyFont="1" applyFill="1" applyBorder="1"/>
    <xf numFmtId="167" fontId="4" fillId="95" borderId="102" xfId="10" applyNumberFormat="1" applyFont="1" applyFill="1" applyBorder="1"/>
    <xf numFmtId="0" fontId="4" fillId="95" borderId="0" xfId="10" applyFont="1" applyFill="1" applyBorder="1"/>
    <xf numFmtId="167" fontId="4" fillId="95" borderId="0" xfId="10" applyNumberFormat="1" applyFont="1" applyFill="1" applyBorder="1"/>
    <xf numFmtId="167" fontId="4" fillId="95" borderId="103" xfId="10" applyNumberFormat="1" applyFont="1" applyFill="1" applyBorder="1"/>
    <xf numFmtId="164" fontId="6" fillId="95" borderId="0" xfId="4" applyNumberFormat="1" applyFont="1" applyFill="1" applyBorder="1"/>
    <xf numFmtId="164" fontId="4" fillId="95" borderId="108" xfId="6" applyNumberFormat="1" applyFont="1" applyFill="1" applyBorder="1"/>
    <xf numFmtId="37" fontId="4" fillId="95" borderId="109" xfId="3" applyFont="1" applyFill="1" applyBorder="1"/>
    <xf numFmtId="164" fontId="4" fillId="95" borderId="109" xfId="6" applyNumberFormat="1" applyFont="1" applyFill="1" applyBorder="1"/>
    <xf numFmtId="164" fontId="4" fillId="95" borderId="110" xfId="6" applyNumberFormat="1" applyFont="1" applyFill="1" applyBorder="1"/>
    <xf numFmtId="164" fontId="4" fillId="95" borderId="104" xfId="6" applyNumberFormat="1" applyFont="1" applyFill="1" applyBorder="1"/>
    <xf numFmtId="0" fontId="3" fillId="95" borderId="105" xfId="5" applyNumberFormat="1" applyFont="1" applyFill="1" applyBorder="1"/>
    <xf numFmtId="164" fontId="4" fillId="95" borderId="105" xfId="6" applyNumberFormat="1" applyFont="1" applyFill="1" applyBorder="1"/>
    <xf numFmtId="164" fontId="4" fillId="95" borderId="106" xfId="6" applyNumberFormat="1" applyFont="1" applyFill="1" applyBorder="1"/>
    <xf numFmtId="164" fontId="4" fillId="95" borderId="123" xfId="6" applyNumberFormat="1" applyFont="1" applyFill="1" applyBorder="1"/>
    <xf numFmtId="0" fontId="3" fillId="95" borderId="0" xfId="5" applyNumberFormat="1" applyFont="1" applyFill="1" applyBorder="1"/>
    <xf numFmtId="164" fontId="4" fillId="95" borderId="1" xfId="6" applyNumberFormat="1" applyFont="1" applyFill="1" applyBorder="1"/>
    <xf numFmtId="164" fontId="4" fillId="95" borderId="120" xfId="6" applyNumberFormat="1" applyFont="1" applyFill="1" applyBorder="1"/>
    <xf numFmtId="164" fontId="3" fillId="95" borderId="0" xfId="4" applyNumberFormat="1" applyFont="1" applyFill="1" applyBorder="1"/>
    <xf numFmtId="164" fontId="4" fillId="95" borderId="123" xfId="4" applyNumberFormat="1" applyFont="1" applyFill="1" applyBorder="1"/>
    <xf numFmtId="164" fontId="4" fillId="95" borderId="1" xfId="4" applyNumberFormat="1" applyFont="1" applyFill="1" applyBorder="1"/>
    <xf numFmtId="164" fontId="4" fillId="95" borderId="120" xfId="4" applyNumberFormat="1" applyFont="1" applyFill="1" applyBorder="1"/>
    <xf numFmtId="164" fontId="4" fillId="95" borderId="118" xfId="4" applyNumberFormat="1" applyFont="1" applyFill="1" applyBorder="1"/>
    <xf numFmtId="164" fontId="4" fillId="95" borderId="70" xfId="4" applyNumberFormat="1" applyFont="1" applyFill="1" applyBorder="1"/>
    <xf numFmtId="164" fontId="4" fillId="95" borderId="114" xfId="4" applyNumberFormat="1" applyFont="1" applyFill="1" applyBorder="1"/>
    <xf numFmtId="164" fontId="150" fillId="95" borderId="0" xfId="4" applyNumberFormat="1" applyFont="1" applyFill="1" applyBorder="1"/>
    <xf numFmtId="167" fontId="4" fillId="95" borderId="118" xfId="4" quotePrefix="1" applyNumberFormat="1" applyFont="1" applyFill="1" applyBorder="1"/>
    <xf numFmtId="0" fontId="4" fillId="95" borderId="0" xfId="5" applyFont="1" applyFill="1" applyBorder="1"/>
    <xf numFmtId="167" fontId="4" fillId="95" borderId="70" xfId="4" quotePrefix="1" applyNumberFormat="1" applyFont="1" applyFill="1" applyBorder="1"/>
    <xf numFmtId="167" fontId="4" fillId="95" borderId="114" xfId="4" quotePrefix="1" applyNumberFormat="1" applyFont="1" applyFill="1" applyBorder="1"/>
    <xf numFmtId="164" fontId="4" fillId="95" borderId="124" xfId="4" applyNumberFormat="1" applyFont="1" applyFill="1" applyBorder="1"/>
    <xf numFmtId="164" fontId="4" fillId="95" borderId="3" xfId="4" applyNumberFormat="1" applyFont="1" applyFill="1" applyBorder="1"/>
    <xf numFmtId="164" fontId="4" fillId="95" borderId="121" xfId="4" applyNumberFormat="1" applyFont="1" applyFill="1" applyBorder="1"/>
    <xf numFmtId="0" fontId="3" fillId="95" borderId="109" xfId="5" applyNumberFormat="1" applyFont="1" applyFill="1" applyBorder="1"/>
    <xf numFmtId="0" fontId="147" fillId="95" borderId="105" xfId="8" applyNumberFormat="1" applyFont="1" applyFill="1" applyBorder="1" applyAlignment="1" applyProtection="1">
      <alignment horizontal="left"/>
      <protection locked="0"/>
    </xf>
    <xf numFmtId="164" fontId="177" fillId="95" borderId="105" xfId="1" applyNumberFormat="1" applyFont="1" applyFill="1" applyBorder="1"/>
    <xf numFmtId="164" fontId="177" fillId="95" borderId="105" xfId="1" applyNumberFormat="1" applyFont="1" applyFill="1" applyBorder="1" applyAlignment="1">
      <alignment horizontal="center" wrapText="1"/>
    </xf>
    <xf numFmtId="164" fontId="177" fillId="95" borderId="106" xfId="1" applyNumberFormat="1" applyFont="1" applyFill="1" applyBorder="1"/>
    <xf numFmtId="0" fontId="147" fillId="95" borderId="0" xfId="8" applyNumberFormat="1" applyFont="1" applyFill="1" applyBorder="1" applyAlignment="1" applyProtection="1">
      <alignment horizontal="left"/>
      <protection locked="0"/>
    </xf>
    <xf numFmtId="164" fontId="177" fillId="95" borderId="0" xfId="1" applyNumberFormat="1" applyFont="1" applyFill="1" applyBorder="1"/>
    <xf numFmtId="164" fontId="177" fillId="95" borderId="0" xfId="1" applyNumberFormat="1" applyFont="1" applyFill="1" applyBorder="1" applyAlignment="1">
      <alignment horizontal="center" wrapText="1"/>
    </xf>
    <xf numFmtId="164" fontId="177" fillId="95" borderId="103" xfId="1" applyNumberFormat="1" applyFont="1" applyFill="1" applyBorder="1"/>
    <xf numFmtId="164" fontId="86" fillId="95" borderId="0" xfId="1" applyNumberFormat="1" applyFont="1" applyFill="1" applyBorder="1" applyAlignment="1" applyProtection="1">
      <alignment horizontal="left"/>
      <protection locked="0"/>
    </xf>
    <xf numFmtId="164" fontId="156" fillId="95" borderId="0" xfId="1" applyNumberFormat="1" applyFont="1" applyFill="1" applyBorder="1"/>
    <xf numFmtId="9" fontId="177" fillId="95" borderId="0" xfId="2" applyFont="1" applyFill="1" applyBorder="1"/>
    <xf numFmtId="43" fontId="177" fillId="95" borderId="0" xfId="1" applyFont="1" applyFill="1" applyBorder="1" applyAlignment="1">
      <alignment horizontal="center" wrapText="1"/>
    </xf>
    <xf numFmtId="164" fontId="177" fillId="95" borderId="1" xfId="1" applyNumberFormat="1" applyFont="1" applyFill="1" applyBorder="1" applyAlignment="1">
      <alignment horizontal="center" wrapText="1"/>
    </xf>
    <xf numFmtId="164" fontId="177" fillId="95" borderId="120" xfId="1" applyNumberFormat="1" applyFont="1" applyFill="1" applyBorder="1"/>
    <xf numFmtId="0" fontId="86" fillId="95" borderId="0" xfId="8" applyNumberFormat="1" applyFont="1" applyFill="1" applyBorder="1" applyAlignment="1" applyProtection="1">
      <alignment horizontal="left"/>
      <protection locked="0"/>
    </xf>
    <xf numFmtId="164" fontId="177" fillId="95" borderId="0" xfId="1" applyNumberFormat="1" applyFont="1" applyFill="1" applyBorder="1" applyAlignment="1">
      <alignment wrapText="1"/>
    </xf>
    <xf numFmtId="0" fontId="156" fillId="95" borderId="102" xfId="620" applyNumberFormat="1" applyFont="1" applyFill="1" applyBorder="1" applyAlignment="1">
      <alignment horizontal="right"/>
    </xf>
    <xf numFmtId="0" fontId="156" fillId="95" borderId="0" xfId="0" applyFont="1" applyFill="1" applyBorder="1"/>
    <xf numFmtId="0" fontId="177" fillId="95" borderId="102" xfId="8" applyFont="1" applyFill="1" applyBorder="1"/>
    <xf numFmtId="0" fontId="177" fillId="95" borderId="0" xfId="8" applyFont="1" applyFill="1" applyBorder="1"/>
    <xf numFmtId="0" fontId="147" fillId="95" borderId="0" xfId="8" applyFont="1" applyFill="1" applyBorder="1"/>
    <xf numFmtId="0" fontId="177" fillId="95" borderId="0" xfId="8" applyFont="1" applyFill="1" applyBorder="1" applyAlignment="1">
      <alignment wrapText="1"/>
    </xf>
    <xf numFmtId="0" fontId="177" fillId="95" borderId="103" xfId="8" applyFont="1" applyFill="1" applyBorder="1"/>
    <xf numFmtId="0" fontId="177" fillId="95" borderId="0" xfId="0" applyFont="1" applyFill="1" applyBorder="1"/>
    <xf numFmtId="172" fontId="177" fillId="95" borderId="0" xfId="620" applyFont="1" applyFill="1" applyBorder="1"/>
    <xf numFmtId="0" fontId="177" fillId="95" borderId="102" xfId="0" applyFont="1" applyFill="1" applyBorder="1" applyAlignment="1">
      <alignment horizontal="right"/>
    </xf>
    <xf numFmtId="0" fontId="156" fillId="95" borderId="102" xfId="0" applyFont="1" applyFill="1" applyBorder="1" applyAlignment="1">
      <alignment horizontal="right"/>
    </xf>
    <xf numFmtId="0" fontId="177" fillId="95" borderId="102" xfId="620" applyNumberFormat="1" applyFont="1" applyFill="1" applyBorder="1" applyAlignment="1">
      <alignment horizontal="right"/>
    </xf>
    <xf numFmtId="9" fontId="177" fillId="95" borderId="1" xfId="2" applyFont="1" applyFill="1" applyBorder="1" applyAlignment="1">
      <alignment horizontal="center" wrapText="1"/>
    </xf>
    <xf numFmtId="172" fontId="156" fillId="95" borderId="0" xfId="620" applyFont="1" applyFill="1" applyBorder="1"/>
    <xf numFmtId="164" fontId="177" fillId="95" borderId="1" xfId="1" applyNumberFormat="1" applyFont="1" applyFill="1" applyBorder="1"/>
    <xf numFmtId="164" fontId="177" fillId="95" borderId="0" xfId="1" quotePrefix="1" applyNumberFormat="1" applyFont="1" applyFill="1" applyBorder="1" applyAlignment="1"/>
    <xf numFmtId="164" fontId="177" fillId="95" borderId="1" xfId="1" quotePrefix="1" applyNumberFormat="1" applyFont="1" applyFill="1" applyBorder="1" applyAlignment="1"/>
    <xf numFmtId="43" fontId="177" fillId="95" borderId="0" xfId="8" applyNumberFormat="1" applyFont="1" applyFill="1" applyBorder="1"/>
    <xf numFmtId="164" fontId="156" fillId="95" borderId="80" xfId="1" quotePrefix="1" applyNumberFormat="1" applyFont="1" applyFill="1" applyBorder="1" applyAlignment="1"/>
    <xf numFmtId="164" fontId="156" fillId="95" borderId="119" xfId="1" quotePrefix="1" applyNumberFormat="1" applyFont="1" applyFill="1" applyBorder="1" applyAlignment="1"/>
    <xf numFmtId="164" fontId="156" fillId="95" borderId="0" xfId="1" quotePrefix="1" applyNumberFormat="1" applyFont="1" applyFill="1" applyBorder="1" applyAlignment="1"/>
    <xf numFmtId="164" fontId="156" fillId="95" borderId="103" xfId="1" quotePrefix="1" applyNumberFormat="1" applyFont="1" applyFill="1" applyBorder="1" applyAlignment="1"/>
    <xf numFmtId="0" fontId="177" fillId="95" borderId="1" xfId="8" applyFont="1" applyFill="1" applyBorder="1"/>
    <xf numFmtId="164" fontId="156" fillId="95" borderId="0" xfId="8" applyNumberFormat="1" applyFont="1" applyFill="1" applyBorder="1"/>
    <xf numFmtId="164" fontId="156" fillId="95" borderId="103" xfId="8" applyNumberFormat="1" applyFont="1" applyFill="1" applyBorder="1"/>
    <xf numFmtId="43" fontId="177" fillId="95" borderId="1" xfId="8" applyNumberFormat="1" applyFont="1" applyFill="1" applyBorder="1"/>
    <xf numFmtId="43" fontId="177" fillId="95" borderId="120" xfId="8" applyNumberFormat="1" applyFont="1" applyFill="1" applyBorder="1"/>
    <xf numFmtId="44" fontId="177" fillId="95" borderId="1" xfId="8" applyNumberFormat="1" applyFont="1" applyFill="1" applyBorder="1"/>
    <xf numFmtId="44" fontId="177" fillId="95" borderId="1" xfId="8" applyNumberFormat="1" applyFont="1" applyFill="1" applyBorder="1" applyAlignment="1">
      <alignment wrapText="1"/>
    </xf>
    <xf numFmtId="44" fontId="177" fillId="95" borderId="0" xfId="8" applyNumberFormat="1" applyFont="1" applyFill="1" applyBorder="1"/>
    <xf numFmtId="44" fontId="177" fillId="95" borderId="120" xfId="8" applyNumberFormat="1" applyFont="1" applyFill="1" applyBorder="1"/>
    <xf numFmtId="43" fontId="177" fillId="95" borderId="0" xfId="8" applyNumberFormat="1" applyFont="1" applyFill="1" applyBorder="1" applyAlignment="1">
      <alignment wrapText="1"/>
    </xf>
    <xf numFmtId="43" fontId="177" fillId="95" borderId="103" xfId="8" applyNumberFormat="1" applyFont="1" applyFill="1" applyBorder="1"/>
    <xf numFmtId="43" fontId="177" fillId="95" borderId="0" xfId="4" applyNumberFormat="1" applyFont="1" applyFill="1" applyBorder="1"/>
    <xf numFmtId="43" fontId="177" fillId="95" borderId="103" xfId="4" applyNumberFormat="1" applyFont="1" applyFill="1" applyBorder="1"/>
    <xf numFmtId="0" fontId="177" fillId="95" borderId="1" xfId="8" applyFont="1" applyFill="1" applyBorder="1" applyAlignment="1">
      <alignment wrapText="1"/>
    </xf>
    <xf numFmtId="0" fontId="177" fillId="95" borderId="120" xfId="8" applyFont="1" applyFill="1" applyBorder="1"/>
    <xf numFmtId="164" fontId="177" fillId="95" borderId="0" xfId="8" applyNumberFormat="1" applyFont="1" applyFill="1" applyBorder="1"/>
    <xf numFmtId="164" fontId="156" fillId="95" borderId="80" xfId="8" applyNumberFormat="1" applyFont="1" applyFill="1" applyBorder="1"/>
    <xf numFmtId="164" fontId="156" fillId="95" borderId="119" xfId="8" applyNumberFormat="1" applyFont="1" applyFill="1" applyBorder="1"/>
    <xf numFmtId="0" fontId="177" fillId="95" borderId="102" xfId="0" applyFont="1" applyFill="1" applyBorder="1"/>
    <xf numFmtId="164" fontId="156" fillId="95" borderId="1" xfId="8" applyNumberFormat="1" applyFont="1" applyFill="1" applyBorder="1"/>
    <xf numFmtId="164" fontId="156" fillId="95" borderId="120" xfId="8" applyNumberFormat="1" applyFont="1" applyFill="1" applyBorder="1"/>
    <xf numFmtId="44" fontId="177" fillId="95" borderId="0" xfId="62" applyFont="1" applyFill="1" applyBorder="1"/>
    <xf numFmtId="168" fontId="177" fillId="95" borderId="102" xfId="2" applyNumberFormat="1" applyFont="1" applyFill="1" applyBorder="1" applyAlignment="1">
      <alignment horizontal="right"/>
    </xf>
    <xf numFmtId="168" fontId="156" fillId="95" borderId="0" xfId="2" applyNumberFormat="1" applyFont="1" applyFill="1" applyBorder="1"/>
    <xf numFmtId="9" fontId="156" fillId="95" borderId="0" xfId="2" applyFont="1" applyFill="1" applyBorder="1"/>
    <xf numFmtId="9" fontId="156" fillId="95" borderId="103" xfId="2" applyFont="1" applyFill="1" applyBorder="1"/>
    <xf numFmtId="0" fontId="222" fillId="95" borderId="0" xfId="8" applyFont="1" applyFill="1" applyBorder="1" applyAlignment="1">
      <alignment horizontal="right"/>
    </xf>
    <xf numFmtId="10" fontId="177" fillId="95" borderId="0" xfId="2" applyNumberFormat="1" applyFont="1" applyFill="1" applyBorder="1"/>
    <xf numFmtId="0" fontId="177" fillId="95" borderId="108" xfId="8" applyFont="1" applyFill="1" applyBorder="1"/>
    <xf numFmtId="0" fontId="177" fillId="95" borderId="109" xfId="8" applyFont="1" applyFill="1" applyBorder="1"/>
    <xf numFmtId="0" fontId="147" fillId="95" borderId="109" xfId="8" applyFont="1" applyFill="1" applyBorder="1"/>
    <xf numFmtId="0" fontId="177" fillId="95" borderId="109" xfId="8" applyFont="1" applyFill="1" applyBorder="1" applyAlignment="1">
      <alignment wrapText="1"/>
    </xf>
    <xf numFmtId="0" fontId="177" fillId="95" borderId="110" xfId="8" applyFont="1" applyFill="1" applyBorder="1"/>
    <xf numFmtId="0" fontId="177" fillId="95" borderId="104" xfId="0" applyFont="1" applyFill="1" applyBorder="1"/>
    <xf numFmtId="0" fontId="177" fillId="95" borderId="105" xfId="0" applyFont="1" applyFill="1" applyBorder="1"/>
    <xf numFmtId="164" fontId="177" fillId="95" borderId="105" xfId="1" quotePrefix="1" applyNumberFormat="1" applyFont="1" applyFill="1" applyBorder="1" applyAlignment="1"/>
    <xf numFmtId="0" fontId="147" fillId="95" borderId="0" xfId="0" applyFont="1" applyFill="1" applyBorder="1"/>
    <xf numFmtId="0" fontId="177" fillId="95" borderId="103" xfId="0" applyFont="1" applyFill="1" applyBorder="1"/>
    <xf numFmtId="164" fontId="156" fillId="95" borderId="102" xfId="1" applyNumberFormat="1" applyFont="1" applyFill="1" applyBorder="1" applyAlignment="1">
      <alignment horizontal="left"/>
    </xf>
    <xf numFmtId="164" fontId="156" fillId="95" borderId="0" xfId="1" applyNumberFormat="1" applyFont="1" applyFill="1" applyBorder="1" applyAlignment="1">
      <alignment horizontal="left"/>
    </xf>
    <xf numFmtId="0" fontId="177" fillId="95" borderId="102" xfId="5" applyNumberFormat="1" applyFont="1" applyFill="1" applyBorder="1" applyAlignment="1">
      <alignment horizontal="left"/>
    </xf>
    <xf numFmtId="0" fontId="156" fillId="95" borderId="0" xfId="5" applyFont="1" applyFill="1" applyBorder="1" applyAlignment="1">
      <alignment horizontal="left"/>
    </xf>
    <xf numFmtId="0" fontId="177" fillId="95" borderId="0" xfId="5" applyFont="1" applyFill="1" applyBorder="1" applyAlignment="1">
      <alignment horizontal="left"/>
    </xf>
    <xf numFmtId="0" fontId="156" fillId="95" borderId="102" xfId="5" applyNumberFormat="1" applyFont="1" applyFill="1" applyBorder="1" applyAlignment="1">
      <alignment horizontal="left"/>
    </xf>
    <xf numFmtId="164" fontId="156" fillId="95" borderId="0" xfId="1" quotePrefix="1" applyNumberFormat="1" applyFont="1" applyFill="1" applyBorder="1" applyAlignment="1">
      <alignment wrapText="1"/>
    </xf>
    <xf numFmtId="164" fontId="177" fillId="95" borderId="0" xfId="1" quotePrefix="1" applyNumberFormat="1" applyFont="1" applyFill="1" applyBorder="1" applyAlignment="1">
      <alignment wrapText="1"/>
    </xf>
    <xf numFmtId="164" fontId="177" fillId="95" borderId="103" xfId="1" quotePrefix="1" applyNumberFormat="1" applyFont="1" applyFill="1" applyBorder="1" applyAlignment="1"/>
    <xf numFmtId="0" fontId="177" fillId="95" borderId="102" xfId="5" applyFont="1" applyFill="1" applyBorder="1" applyAlignment="1">
      <alignment horizontal="left"/>
    </xf>
    <xf numFmtId="164" fontId="222" fillId="95" borderId="0" xfId="1" quotePrefix="1" applyNumberFormat="1" applyFont="1" applyFill="1" applyBorder="1" applyAlignment="1"/>
    <xf numFmtId="0" fontId="156" fillId="95" borderId="77" xfId="5" applyFont="1" applyFill="1" applyBorder="1" applyAlignment="1">
      <alignment horizontal="left"/>
    </xf>
    <xf numFmtId="164" fontId="156" fillId="95" borderId="77" xfId="1" quotePrefix="1" applyNumberFormat="1" applyFont="1" applyFill="1" applyBorder="1" applyAlignment="1"/>
    <xf numFmtId="164" fontId="156" fillId="95" borderId="107" xfId="1" quotePrefix="1" applyNumberFormat="1" applyFont="1" applyFill="1" applyBorder="1" applyAlignment="1"/>
    <xf numFmtId="0" fontId="177" fillId="95" borderId="102" xfId="5" quotePrefix="1" applyFont="1" applyFill="1" applyBorder="1" applyAlignment="1">
      <alignment horizontal="right"/>
    </xf>
    <xf numFmtId="164" fontId="156" fillId="95" borderId="3" xfId="1" quotePrefix="1" applyNumberFormat="1" applyFont="1" applyFill="1" applyBorder="1" applyAlignment="1"/>
    <xf numFmtId="164" fontId="156" fillId="95" borderId="121" xfId="1" quotePrefix="1" applyNumberFormat="1" applyFont="1" applyFill="1" applyBorder="1" applyAlignment="1"/>
    <xf numFmtId="164" fontId="177" fillId="95" borderId="0" xfId="0" applyNumberFormat="1" applyFont="1" applyFill="1" applyBorder="1"/>
    <xf numFmtId="0" fontId="156" fillId="95" borderId="102" xfId="5" quotePrefix="1" applyFont="1" applyFill="1" applyBorder="1" applyAlignment="1">
      <alignment horizontal="right"/>
    </xf>
    <xf numFmtId="164" fontId="156" fillId="95" borderId="80" xfId="4" applyNumberFormat="1" applyFont="1" applyFill="1" applyBorder="1" applyAlignment="1" applyProtection="1">
      <alignment horizontal="left"/>
      <protection locked="0"/>
    </xf>
    <xf numFmtId="164" fontId="156" fillId="95" borderId="119" xfId="4" applyNumberFormat="1" applyFont="1" applyFill="1" applyBorder="1" applyAlignment="1" applyProtection="1">
      <alignment horizontal="left"/>
      <protection locked="0"/>
    </xf>
    <xf numFmtId="0" fontId="156" fillId="95" borderId="0" xfId="8" applyFont="1" applyFill="1" applyBorder="1" applyAlignment="1">
      <alignment horizontal="center" wrapText="1"/>
    </xf>
    <xf numFmtId="0" fontId="156" fillId="95" borderId="1" xfId="8" applyFont="1" applyFill="1" applyBorder="1" applyAlignment="1">
      <alignment horizontal="center" wrapText="1"/>
    </xf>
    <xf numFmtId="0" fontId="156" fillId="95" borderId="120" xfId="8" applyFont="1" applyFill="1" applyBorder="1" applyAlignment="1">
      <alignment horizontal="center" wrapText="1"/>
    </xf>
    <xf numFmtId="164" fontId="29" fillId="95" borderId="0" xfId="1" applyNumberFormat="1" applyFont="1" applyFill="1" applyBorder="1"/>
    <xf numFmtId="43" fontId="29" fillId="95" borderId="0" xfId="1" applyFont="1" applyFill="1" applyBorder="1"/>
    <xf numFmtId="164" fontId="4" fillId="95" borderId="0" xfId="1" applyNumberFormat="1" applyFont="1" applyFill="1" applyBorder="1" applyAlignment="1">
      <alignment horizontal="center" wrapText="1"/>
    </xf>
    <xf numFmtId="164" fontId="4" fillId="95" borderId="103" xfId="1" applyNumberFormat="1" applyFont="1" applyFill="1" applyBorder="1" applyAlignment="1">
      <alignment horizontal="center" wrapText="1"/>
    </xf>
    <xf numFmtId="0" fontId="4" fillId="95" borderId="0" xfId="8" applyFont="1" applyFill="1" applyBorder="1"/>
    <xf numFmtId="0" fontId="13" fillId="95" borderId="102" xfId="8" applyNumberFormat="1" applyFont="1" applyFill="1" applyBorder="1" applyAlignment="1">
      <alignment horizontal="right"/>
    </xf>
    <xf numFmtId="0" fontId="4" fillId="95" borderId="102" xfId="8" applyNumberFormat="1" applyFont="1" applyFill="1" applyBorder="1" applyAlignment="1">
      <alignment horizontal="right"/>
    </xf>
    <xf numFmtId="0" fontId="4" fillId="95" borderId="0" xfId="0" applyFont="1" applyFill="1" applyBorder="1"/>
    <xf numFmtId="0" fontId="4" fillId="95" borderId="102" xfId="0" applyNumberFormat="1" applyFont="1" applyFill="1" applyBorder="1" applyAlignment="1">
      <alignment horizontal="right"/>
    </xf>
    <xf numFmtId="0" fontId="26" fillId="95" borderId="0" xfId="8" applyFont="1" applyFill="1" applyBorder="1" applyAlignment="1">
      <alignment horizontal="right"/>
    </xf>
    <xf numFmtId="0" fontId="4" fillId="95" borderId="108" xfId="8" applyNumberFormat="1" applyFont="1" applyFill="1" applyBorder="1" applyAlignment="1">
      <alignment horizontal="right"/>
    </xf>
    <xf numFmtId="0" fontId="4" fillId="95" borderId="109" xfId="8" applyFont="1" applyFill="1" applyBorder="1"/>
    <xf numFmtId="0" fontId="4" fillId="95" borderId="104" xfId="5" applyNumberFormat="1" applyFont="1" applyFill="1" applyBorder="1" applyAlignment="1">
      <alignment horizontal="right"/>
    </xf>
    <xf numFmtId="0" fontId="4" fillId="95" borderId="105" xfId="5" applyFont="1" applyFill="1" applyBorder="1" applyAlignment="1">
      <alignment horizontal="left"/>
    </xf>
    <xf numFmtId="164" fontId="4" fillId="95" borderId="105" xfId="1" applyNumberFormat="1" applyFont="1" applyFill="1" applyBorder="1"/>
    <xf numFmtId="164" fontId="4" fillId="95" borderId="106" xfId="1" applyNumberFormat="1" applyFont="1" applyFill="1" applyBorder="1"/>
    <xf numFmtId="0" fontId="4" fillId="95" borderId="102" xfId="5" applyNumberFormat="1" applyFont="1" applyFill="1" applyBorder="1" applyAlignment="1">
      <alignment horizontal="right"/>
    </xf>
    <xf numFmtId="0" fontId="4" fillId="95" borderId="0" xfId="5" applyFont="1" applyFill="1" applyBorder="1" applyAlignment="1">
      <alignment horizontal="left"/>
    </xf>
    <xf numFmtId="164" fontId="4" fillId="95" borderId="0" xfId="1" applyNumberFormat="1" applyFont="1" applyFill="1" applyBorder="1"/>
    <xf numFmtId="164" fontId="4" fillId="95" borderId="103" xfId="1" applyNumberFormat="1" applyFont="1" applyFill="1" applyBorder="1"/>
    <xf numFmtId="164" fontId="4" fillId="95" borderId="120" xfId="1" applyNumberFormat="1" applyFont="1" applyFill="1" applyBorder="1"/>
    <xf numFmtId="0" fontId="13" fillId="95" borderId="102" xfId="1" applyNumberFormat="1" applyFont="1" applyFill="1" applyBorder="1" applyAlignment="1">
      <alignment horizontal="right"/>
    </xf>
    <xf numFmtId="164" fontId="13" fillId="95" borderId="70" xfId="1" applyNumberFormat="1" applyFont="1" applyFill="1" applyBorder="1" applyAlignment="1">
      <alignment horizontal="left"/>
    </xf>
    <xf numFmtId="164" fontId="13" fillId="95" borderId="70" xfId="1" applyNumberFormat="1" applyFont="1" applyFill="1" applyBorder="1"/>
    <xf numFmtId="164" fontId="13" fillId="95" borderId="114" xfId="1" applyNumberFormat="1" applyFont="1" applyFill="1" applyBorder="1"/>
    <xf numFmtId="0" fontId="13" fillId="95" borderId="0" xfId="5" applyFont="1" applyFill="1" applyBorder="1" applyAlignment="1">
      <alignment horizontal="left"/>
    </xf>
    <xf numFmtId="9" fontId="4" fillId="95" borderId="0" xfId="2" applyFont="1" applyFill="1" applyBorder="1"/>
    <xf numFmtId="9" fontId="4" fillId="95" borderId="119" xfId="2" applyFont="1" applyFill="1" applyBorder="1"/>
    <xf numFmtId="43" fontId="4" fillId="95" borderId="0" xfId="1" applyFont="1" applyFill="1" applyBorder="1"/>
    <xf numFmtId="43" fontId="4" fillId="95" borderId="119" xfId="1" applyFont="1" applyFill="1" applyBorder="1"/>
    <xf numFmtId="0" fontId="4" fillId="95" borderId="102" xfId="5" applyNumberFormat="1" applyFont="1" applyFill="1" applyBorder="1" applyAlignment="1">
      <alignment horizontal="left"/>
    </xf>
    <xf numFmtId="43" fontId="4" fillId="95" borderId="103" xfId="1" applyFont="1" applyFill="1" applyBorder="1"/>
    <xf numFmtId="0" fontId="13" fillId="95" borderId="102" xfId="5" applyNumberFormat="1" applyFont="1" applyFill="1" applyBorder="1" applyAlignment="1">
      <alignment horizontal="right"/>
    </xf>
    <xf numFmtId="0" fontId="13" fillId="95" borderId="70" xfId="5" applyFont="1" applyFill="1" applyBorder="1" applyAlignment="1">
      <alignment horizontal="left"/>
    </xf>
    <xf numFmtId="164" fontId="4" fillId="95" borderId="70" xfId="1" applyNumberFormat="1" applyFont="1" applyFill="1" applyBorder="1"/>
    <xf numFmtId="164" fontId="4" fillId="95" borderId="114" xfId="1" applyNumberFormat="1" applyFont="1" applyFill="1" applyBorder="1"/>
    <xf numFmtId="164" fontId="4" fillId="95" borderId="119" xfId="1" applyNumberFormat="1" applyFont="1" applyFill="1" applyBorder="1"/>
    <xf numFmtId="164" fontId="13" fillId="95" borderId="77" xfId="1" applyNumberFormat="1" applyFont="1" applyFill="1" applyBorder="1" applyAlignment="1">
      <alignment horizontal="left"/>
    </xf>
    <xf numFmtId="164" fontId="13" fillId="95" borderId="77" xfId="1" applyNumberFormat="1" applyFont="1" applyFill="1" applyBorder="1"/>
    <xf numFmtId="164" fontId="13" fillId="95" borderId="107" xfId="1" applyNumberFormat="1" applyFont="1" applyFill="1" applyBorder="1"/>
    <xf numFmtId="0" fontId="13" fillId="95" borderId="0" xfId="8" applyFont="1" applyFill="1" applyBorder="1" applyAlignment="1">
      <alignment horizontal="center" wrapText="1"/>
    </xf>
    <xf numFmtId="0" fontId="4" fillId="95" borderId="0" xfId="0" applyFont="1" applyFill="1" applyBorder="1" applyAlignment="1">
      <alignment horizontal="center" wrapText="1"/>
    </xf>
    <xf numFmtId="164" fontId="13" fillId="95" borderId="0" xfId="1" applyNumberFormat="1" applyFont="1" applyFill="1" applyBorder="1" applyAlignment="1">
      <alignment horizontal="center" wrapText="1"/>
    </xf>
    <xf numFmtId="164" fontId="13" fillId="95" borderId="103" xfId="1" applyNumberFormat="1" applyFont="1" applyFill="1" applyBorder="1" applyAlignment="1">
      <alignment horizontal="center" wrapText="1"/>
    </xf>
    <xf numFmtId="0" fontId="4" fillId="95" borderId="102" xfId="5" quotePrefix="1" applyNumberFormat="1" applyFont="1" applyFill="1" applyBorder="1" applyAlignment="1">
      <alignment horizontal="right"/>
    </xf>
    <xf numFmtId="0" fontId="4" fillId="95" borderId="0" xfId="0" applyFont="1" applyFill="1" applyBorder="1" applyAlignment="1">
      <alignment horizontal="left"/>
    </xf>
    <xf numFmtId="0" fontId="4" fillId="95" borderId="0" xfId="0" applyNumberFormat="1" applyFont="1" applyFill="1" applyBorder="1" applyAlignment="1">
      <alignment horizontal="left"/>
    </xf>
    <xf numFmtId="0" fontId="13" fillId="95" borderId="102" xfId="0" applyNumberFormat="1" applyFont="1" applyFill="1" applyBorder="1" applyAlignment="1">
      <alignment horizontal="right"/>
    </xf>
    <xf numFmtId="164" fontId="4" fillId="95" borderId="0" xfId="0" applyNumberFormat="1" applyFont="1" applyFill="1" applyBorder="1" applyAlignment="1">
      <alignment horizontal="left"/>
    </xf>
    <xf numFmtId="164" fontId="4" fillId="95" borderId="70" xfId="0" applyNumberFormat="1" applyFont="1" applyFill="1" applyBorder="1"/>
    <xf numFmtId="164" fontId="4" fillId="95" borderId="70" xfId="1" applyNumberFormat="1" applyFont="1" applyFill="1" applyBorder="1" applyAlignment="1"/>
    <xf numFmtId="164" fontId="4" fillId="95" borderId="114" xfId="1" applyNumberFormat="1" applyFont="1" applyFill="1" applyBorder="1" applyAlignment="1"/>
    <xf numFmtId="164" fontId="13" fillId="95" borderId="70" xfId="0" applyNumberFormat="1" applyFont="1" applyFill="1" applyBorder="1"/>
    <xf numFmtId="164" fontId="13" fillId="95" borderId="70" xfId="1" applyNumberFormat="1" applyFont="1" applyFill="1" applyBorder="1" applyAlignment="1"/>
    <xf numFmtId="164" fontId="13" fillId="95" borderId="114" xfId="1" applyNumberFormat="1" applyFont="1" applyFill="1" applyBorder="1" applyAlignment="1"/>
    <xf numFmtId="164" fontId="4" fillId="95" borderId="0" xfId="0" applyNumberFormat="1" applyFont="1" applyFill="1" applyBorder="1"/>
    <xf numFmtId="164" fontId="4" fillId="95" borderId="0" xfId="1" applyNumberFormat="1" applyFont="1" applyFill="1" applyBorder="1" applyAlignment="1"/>
    <xf numFmtId="164" fontId="4" fillId="95" borderId="103" xfId="1" applyNumberFormat="1" applyFont="1" applyFill="1" applyBorder="1" applyAlignment="1"/>
    <xf numFmtId="164" fontId="13" fillId="95" borderId="0" xfId="0" applyNumberFormat="1" applyFont="1" applyFill="1" applyBorder="1"/>
    <xf numFmtId="164" fontId="13" fillId="95" borderId="0" xfId="1" applyNumberFormat="1" applyFont="1" applyFill="1" applyBorder="1"/>
    <xf numFmtId="164" fontId="13" fillId="95" borderId="103" xfId="1" applyNumberFormat="1" applyFont="1" applyFill="1" applyBorder="1"/>
    <xf numFmtId="43" fontId="4" fillId="95" borderId="0" xfId="1" applyFont="1" applyFill="1" applyBorder="1" applyAlignment="1">
      <alignment horizontal="right"/>
    </xf>
    <xf numFmtId="0" fontId="13" fillId="95" borderId="0" xfId="0" applyFont="1" applyFill="1" applyBorder="1" applyAlignment="1">
      <alignment horizontal="left"/>
    </xf>
    <xf numFmtId="9" fontId="13" fillId="95" borderId="70" xfId="2" applyFont="1" applyFill="1" applyBorder="1"/>
    <xf numFmtId="9" fontId="13" fillId="95" borderId="114" xfId="2" applyFont="1" applyFill="1" applyBorder="1"/>
    <xf numFmtId="164" fontId="4" fillId="95" borderId="109" xfId="1" applyNumberFormat="1" applyFont="1" applyFill="1" applyBorder="1"/>
    <xf numFmtId="164" fontId="4" fillId="95" borderId="110" xfId="1" applyNumberFormat="1" applyFont="1" applyFill="1" applyBorder="1"/>
    <xf numFmtId="0" fontId="150" fillId="95" borderId="104" xfId="65" applyFont="1" applyFill="1" applyBorder="1"/>
    <xf numFmtId="3" fontId="150" fillId="95" borderId="105" xfId="65" applyNumberFormat="1" applyFont="1" applyFill="1" applyBorder="1"/>
    <xf numFmtId="3" fontId="150" fillId="95" borderId="106" xfId="65" applyNumberFormat="1" applyFont="1" applyFill="1" applyBorder="1"/>
    <xf numFmtId="0" fontId="0" fillId="95" borderId="102" xfId="0" applyFill="1" applyBorder="1"/>
    <xf numFmtId="0" fontId="150" fillId="95" borderId="103" xfId="65" applyFont="1" applyFill="1" applyBorder="1"/>
    <xf numFmtId="164" fontId="150" fillId="95" borderId="0" xfId="65" applyNumberFormat="1" applyFont="1" applyFill="1" applyBorder="1"/>
    <xf numFmtId="164" fontId="150" fillId="95" borderId="1" xfId="65" applyNumberFormat="1" applyFont="1" applyFill="1" applyBorder="1"/>
    <xf numFmtId="0" fontId="150" fillId="95" borderId="108" xfId="65" applyFont="1" applyFill="1" applyBorder="1"/>
    <xf numFmtId="43" fontId="150" fillId="95" borderId="109" xfId="1" applyFont="1" applyFill="1" applyBorder="1"/>
    <xf numFmtId="164" fontId="150" fillId="95" borderId="109" xfId="1" applyNumberFormat="1" applyFont="1" applyFill="1" applyBorder="1"/>
    <xf numFmtId="10" fontId="150" fillId="95" borderId="109" xfId="2" applyNumberFormat="1" applyFont="1" applyFill="1" applyBorder="1"/>
    <xf numFmtId="0" fontId="150" fillId="95" borderId="102" xfId="0" applyFont="1" applyFill="1" applyBorder="1"/>
    <xf numFmtId="0" fontId="148" fillId="95" borderId="1" xfId="0" applyFont="1" applyFill="1" applyBorder="1" applyAlignment="1">
      <alignment horizontal="center" wrapText="1"/>
    </xf>
    <xf numFmtId="0" fontId="148" fillId="95" borderId="1" xfId="0" applyFont="1" applyFill="1" applyBorder="1" applyAlignment="1">
      <alignment horizontal="center"/>
    </xf>
    <xf numFmtId="0" fontId="150" fillId="95" borderId="102" xfId="0" applyFont="1" applyFill="1" applyBorder="1" applyAlignment="1">
      <alignment horizontal="right"/>
    </xf>
    <xf numFmtId="164" fontId="150" fillId="95" borderId="0" xfId="209" applyNumberFormat="1" applyFont="1" applyFill="1" applyBorder="1"/>
    <xf numFmtId="164" fontId="150" fillId="95" borderId="1" xfId="209" applyNumberFormat="1" applyFont="1" applyFill="1" applyBorder="1"/>
    <xf numFmtId="164" fontId="148" fillId="95" borderId="0" xfId="209" applyNumberFormat="1" applyFont="1" applyFill="1" applyBorder="1"/>
    <xf numFmtId="0" fontId="241" fillId="95" borderId="110" xfId="65" applyFont="1" applyFill="1" applyBorder="1"/>
    <xf numFmtId="0" fontId="210" fillId="95" borderId="104" xfId="0" applyFont="1" applyFill="1" applyBorder="1"/>
    <xf numFmtId="0" fontId="0" fillId="95" borderId="106" xfId="0" applyFill="1" applyBorder="1"/>
    <xf numFmtId="0" fontId="0" fillId="95" borderId="103" xfId="0" applyFill="1" applyBorder="1"/>
    <xf numFmtId="44" fontId="0" fillId="95" borderId="103" xfId="62" applyFont="1" applyFill="1" applyBorder="1"/>
    <xf numFmtId="44" fontId="0" fillId="95" borderId="120" xfId="0" applyNumberFormat="1" applyFill="1" applyBorder="1"/>
    <xf numFmtId="0" fontId="30" fillId="95" borderId="108" xfId="0" applyFont="1" applyFill="1" applyBorder="1" applyAlignment="1">
      <alignment horizontal="right"/>
    </xf>
    <xf numFmtId="171" fontId="30" fillId="95" borderId="110" xfId="0" applyNumberFormat="1" applyFont="1" applyFill="1" applyBorder="1"/>
    <xf numFmtId="0" fontId="150" fillId="95" borderId="106" xfId="65" applyFont="1" applyFill="1" applyBorder="1"/>
    <xf numFmtId="0" fontId="152" fillId="95" borderId="102" xfId="65" applyFont="1" applyFill="1" applyBorder="1" applyAlignment="1">
      <alignment horizontal="left"/>
    </xf>
    <xf numFmtId="0" fontId="152" fillId="95" borderId="103" xfId="65" applyFont="1" applyFill="1" applyBorder="1" applyAlignment="1">
      <alignment horizontal="center"/>
    </xf>
    <xf numFmtId="0" fontId="150" fillId="95" borderId="102" xfId="65" applyFont="1" applyFill="1" applyBorder="1"/>
    <xf numFmtId="164" fontId="150" fillId="95" borderId="103" xfId="1" applyNumberFormat="1" applyFont="1" applyFill="1" applyBorder="1"/>
    <xf numFmtId="10" fontId="150" fillId="95" borderId="120" xfId="65" applyNumberFormat="1" applyFont="1" applyFill="1" applyBorder="1" applyAlignment="1">
      <alignment horizontal="right"/>
    </xf>
    <xf numFmtId="0" fontId="148" fillId="95" borderId="125" xfId="65" applyFont="1" applyFill="1" applyBorder="1"/>
    <xf numFmtId="164" fontId="148" fillId="95" borderId="126" xfId="1" applyNumberFormat="1" applyFont="1" applyFill="1" applyBorder="1"/>
    <xf numFmtId="0" fontId="147" fillId="95" borderId="104" xfId="65" applyFont="1" applyFill="1" applyBorder="1"/>
    <xf numFmtId="3" fontId="147" fillId="95" borderId="127" xfId="65" applyNumberFormat="1" applyFont="1" applyFill="1" applyBorder="1"/>
    <xf numFmtId="0" fontId="86" fillId="95" borderId="102" xfId="65" applyFont="1" applyFill="1" applyBorder="1"/>
    <xf numFmtId="164" fontId="86" fillId="95" borderId="103" xfId="1" applyNumberFormat="1" applyFont="1" applyFill="1" applyBorder="1"/>
    <xf numFmtId="0" fontId="147" fillId="95" borderId="102" xfId="65" applyFont="1" applyFill="1" applyBorder="1"/>
    <xf numFmtId="164" fontId="147" fillId="95" borderId="103" xfId="1" applyNumberFormat="1" applyFont="1" applyFill="1" applyBorder="1"/>
    <xf numFmtId="164" fontId="147" fillId="95" borderId="120" xfId="1" applyNumberFormat="1" applyFont="1" applyFill="1" applyBorder="1"/>
    <xf numFmtId="0" fontId="86" fillId="95" borderId="128" xfId="65" applyFont="1" applyFill="1" applyBorder="1" applyAlignment="1">
      <alignment horizontal="right"/>
    </xf>
    <xf numFmtId="164" fontId="86" fillId="95" borderId="107" xfId="1" applyNumberFormat="1" applyFont="1" applyFill="1" applyBorder="1"/>
    <xf numFmtId="0" fontId="86" fillId="95" borderId="125" xfId="65" applyFont="1" applyFill="1" applyBorder="1" applyAlignment="1">
      <alignment horizontal="right"/>
    </xf>
    <xf numFmtId="164" fontId="86" fillId="95" borderId="126" xfId="1" applyNumberFormat="1" applyFont="1" applyFill="1" applyBorder="1"/>
    <xf numFmtId="0" fontId="193" fillId="95" borderId="104" xfId="65" applyFont="1" applyFill="1" applyBorder="1"/>
    <xf numFmtId="0" fontId="86" fillId="95" borderId="105" xfId="65" applyFont="1" applyFill="1" applyBorder="1"/>
    <xf numFmtId="0" fontId="86" fillId="95" borderId="106" xfId="65" applyFont="1" applyFill="1" applyBorder="1"/>
    <xf numFmtId="0" fontId="147" fillId="95" borderId="102" xfId="65" applyFont="1" applyFill="1" applyBorder="1" applyAlignment="1">
      <alignment horizontal="left" wrapText="1"/>
    </xf>
    <xf numFmtId="0" fontId="147" fillId="95" borderId="0" xfId="65" applyFont="1" applyFill="1" applyBorder="1" applyAlignment="1">
      <alignment horizontal="left" wrapText="1"/>
    </xf>
    <xf numFmtId="0" fontId="86" fillId="95" borderId="103" xfId="65" applyFont="1" applyFill="1" applyBorder="1"/>
    <xf numFmtId="0" fontId="147" fillId="95" borderId="103" xfId="65" applyFont="1" applyFill="1" applyBorder="1"/>
    <xf numFmtId="6" fontId="147" fillId="95" borderId="0" xfId="65" applyNumberFormat="1" applyFont="1" applyFill="1" applyBorder="1"/>
    <xf numFmtId="0" fontId="147" fillId="95" borderId="0" xfId="65" applyFont="1" applyFill="1" applyBorder="1" applyAlignment="1">
      <alignment horizontal="left" wrapText="1"/>
    </xf>
    <xf numFmtId="0" fontId="86" fillId="95" borderId="102" xfId="65" applyFont="1" applyFill="1" applyBorder="1" applyAlignment="1">
      <alignment horizontal="right"/>
    </xf>
    <xf numFmtId="6" fontId="147" fillId="95" borderId="1" xfId="65" applyNumberFormat="1" applyFont="1" applyFill="1" applyBorder="1"/>
    <xf numFmtId="9" fontId="147" fillId="95" borderId="0" xfId="2" applyFont="1" applyFill="1" applyBorder="1"/>
    <xf numFmtId="0" fontId="86" fillId="95" borderId="0" xfId="65" applyFont="1" applyFill="1" applyBorder="1"/>
    <xf numFmtId="0" fontId="86" fillId="95" borderId="0" xfId="65" applyFont="1" applyFill="1" applyBorder="1" applyAlignment="1">
      <alignment horizontal="center" wrapText="1"/>
    </xf>
    <xf numFmtId="0" fontId="86" fillId="95" borderId="103" xfId="65" applyFont="1" applyFill="1" applyBorder="1" applyAlignment="1">
      <alignment horizontal="center" wrapText="1"/>
    </xf>
    <xf numFmtId="0" fontId="147" fillId="95" borderId="0" xfId="65" applyFont="1" applyFill="1" applyBorder="1"/>
    <xf numFmtId="171" fontId="147" fillId="95" borderId="0" xfId="62" applyNumberFormat="1" applyFont="1" applyFill="1" applyBorder="1"/>
    <xf numFmtId="171" fontId="147" fillId="95" borderId="103" xfId="62" applyNumberFormat="1" applyFont="1" applyFill="1" applyBorder="1"/>
    <xf numFmtId="0" fontId="147" fillId="95" borderId="102" xfId="65" applyFont="1" applyFill="1" applyBorder="1" applyAlignment="1">
      <alignment horizontal="right"/>
    </xf>
    <xf numFmtId="171" fontId="147" fillId="95" borderId="120" xfId="62" applyNumberFormat="1" applyFont="1" applyFill="1" applyBorder="1"/>
    <xf numFmtId="44" fontId="147" fillId="95" borderId="0" xfId="65" applyNumberFormat="1" applyFont="1" applyFill="1" applyBorder="1"/>
    <xf numFmtId="171" fontId="147" fillId="95" borderId="103" xfId="65" applyNumberFormat="1" applyFont="1" applyFill="1" applyBorder="1"/>
    <xf numFmtId="171" fontId="147" fillId="95" borderId="0" xfId="65" applyNumberFormat="1" applyFont="1" applyFill="1" applyBorder="1"/>
    <xf numFmtId="0" fontId="147" fillId="95" borderId="108" xfId="65" applyFont="1" applyFill="1" applyBorder="1"/>
    <xf numFmtId="0" fontId="147" fillId="95" borderId="109" xfId="65" applyFont="1" applyFill="1" applyBorder="1"/>
    <xf numFmtId="0" fontId="147" fillId="95" borderId="110" xfId="65" applyFont="1" applyFill="1" applyBorder="1"/>
    <xf numFmtId="0" fontId="13" fillId="95" borderId="129" xfId="63" applyFont="1" applyFill="1" applyBorder="1" applyAlignment="1" applyProtection="1"/>
    <xf numFmtId="0" fontId="13" fillId="95" borderId="130" xfId="63" applyFont="1" applyFill="1" applyBorder="1" applyAlignment="1" applyProtection="1"/>
    <xf numFmtId="0" fontId="13" fillId="95" borderId="127" xfId="63" applyFont="1" applyFill="1" applyBorder="1" applyAlignment="1" applyProtection="1"/>
    <xf numFmtId="0" fontId="4" fillId="95" borderId="102" xfId="63" applyFont="1" applyFill="1" applyBorder="1" applyAlignment="1" applyProtection="1">
      <alignment horizontal="right"/>
    </xf>
    <xf numFmtId="164" fontId="29" fillId="95" borderId="0" xfId="4" applyNumberFormat="1" applyFont="1" applyFill="1" applyBorder="1"/>
    <xf numFmtId="164" fontId="4" fillId="95" borderId="0" xfId="63" applyNumberFormat="1" applyFont="1" applyFill="1" applyBorder="1"/>
    <xf numFmtId="0" fontId="4" fillId="95" borderId="103" xfId="63" applyFont="1" applyFill="1" applyBorder="1"/>
    <xf numFmtId="10" fontId="4" fillId="95" borderId="103" xfId="2" applyNumberFormat="1" applyFont="1" applyFill="1" applyBorder="1"/>
    <xf numFmtId="0" fontId="13" fillId="95" borderId="102" xfId="63" applyFont="1" applyFill="1" applyBorder="1" applyAlignment="1" applyProtection="1">
      <alignment horizontal="right"/>
    </xf>
    <xf numFmtId="164" fontId="4" fillId="95" borderId="70" xfId="63" applyNumberFormat="1" applyFont="1" applyFill="1" applyBorder="1"/>
    <xf numFmtId="0" fontId="4" fillId="95" borderId="102" xfId="63" applyFont="1" applyFill="1" applyBorder="1"/>
    <xf numFmtId="0" fontId="4" fillId="95" borderId="0" xfId="63" applyFont="1" applyFill="1" applyBorder="1"/>
    <xf numFmtId="0" fontId="4" fillId="95" borderId="102" xfId="63" applyFont="1" applyFill="1" applyBorder="1" applyAlignment="1">
      <alignment horizontal="right"/>
    </xf>
    <xf numFmtId="164" fontId="4" fillId="95" borderId="1" xfId="63" applyNumberFormat="1" applyFont="1" applyFill="1" applyBorder="1"/>
    <xf numFmtId="0" fontId="13" fillId="95" borderId="102" xfId="63" applyFont="1" applyFill="1" applyBorder="1" applyAlignment="1">
      <alignment horizontal="right"/>
    </xf>
    <xf numFmtId="164" fontId="13" fillId="95" borderId="0" xfId="63" applyNumberFormat="1" applyFont="1" applyFill="1" applyBorder="1"/>
    <xf numFmtId="0" fontId="13" fillId="95" borderId="118" xfId="63" applyFont="1" applyFill="1" applyBorder="1" applyAlignment="1" applyProtection="1"/>
    <xf numFmtId="0" fontId="13" fillId="95" borderId="70" xfId="63" applyFont="1" applyFill="1" applyBorder="1" applyAlignment="1" applyProtection="1"/>
    <xf numFmtId="0" fontId="13" fillId="95" borderId="114" xfId="63" applyFont="1" applyFill="1" applyBorder="1" applyAlignment="1" applyProtection="1"/>
    <xf numFmtId="168" fontId="4" fillId="95" borderId="0" xfId="2" applyNumberFormat="1" applyFont="1" applyFill="1" applyBorder="1"/>
    <xf numFmtId="168" fontId="29" fillId="95" borderId="0" xfId="2" applyNumberFormat="1" applyFont="1" applyFill="1" applyBorder="1"/>
    <xf numFmtId="168" fontId="13" fillId="95" borderId="3" xfId="2" applyNumberFormat="1" applyFont="1" applyFill="1" applyBorder="1"/>
    <xf numFmtId="0" fontId="13" fillId="95" borderId="103" xfId="63" applyFont="1" applyFill="1" applyBorder="1"/>
    <xf numFmtId="168" fontId="13" fillId="95" borderId="0" xfId="2" applyNumberFormat="1" applyFont="1" applyFill="1" applyBorder="1"/>
    <xf numFmtId="9" fontId="13" fillId="95" borderId="0" xfId="2" applyFont="1" applyFill="1" applyBorder="1"/>
    <xf numFmtId="168" fontId="4" fillId="95" borderId="3" xfId="2" applyNumberFormat="1" applyFont="1" applyFill="1" applyBorder="1"/>
    <xf numFmtId="10" fontId="29" fillId="95" borderId="0" xfId="2" applyNumberFormat="1" applyFont="1" applyFill="1" applyBorder="1"/>
    <xf numFmtId="9" fontId="29" fillId="95" borderId="103" xfId="2" applyFont="1" applyFill="1" applyBorder="1"/>
    <xf numFmtId="9" fontId="29" fillId="95" borderId="103" xfId="2" applyNumberFormat="1" applyFont="1" applyFill="1" applyBorder="1"/>
    <xf numFmtId="164" fontId="29" fillId="95" borderId="1" xfId="1" applyNumberFormat="1" applyFont="1" applyFill="1" applyBorder="1"/>
    <xf numFmtId="43" fontId="29" fillId="95" borderId="1" xfId="1" applyFont="1" applyFill="1" applyBorder="1"/>
    <xf numFmtId="168" fontId="29" fillId="95" borderId="3" xfId="2" applyNumberFormat="1" applyFont="1" applyFill="1" applyBorder="1"/>
    <xf numFmtId="10" fontId="29" fillId="95" borderId="3" xfId="2" applyNumberFormat="1" applyFont="1" applyFill="1" applyBorder="1"/>
    <xf numFmtId="10" fontId="29" fillId="95" borderId="70" xfId="2" applyNumberFormat="1" applyFont="1" applyFill="1" applyBorder="1"/>
    <xf numFmtId="10" fontId="136" fillId="95" borderId="0" xfId="2" applyNumberFormat="1" applyFont="1" applyFill="1" applyBorder="1"/>
    <xf numFmtId="10" fontId="136" fillId="95" borderId="1" xfId="2" applyNumberFormat="1" applyFont="1" applyFill="1" applyBorder="1"/>
    <xf numFmtId="10" fontId="13" fillId="95" borderId="0" xfId="63" applyNumberFormat="1" applyFont="1" applyFill="1" applyBorder="1"/>
    <xf numFmtId="0" fontId="4" fillId="95" borderId="120" xfId="63" applyFont="1" applyFill="1" applyBorder="1"/>
    <xf numFmtId="0" fontId="13" fillId="95" borderId="112" xfId="63" applyFont="1" applyFill="1" applyBorder="1" applyAlignment="1" applyProtection="1"/>
    <xf numFmtId="0" fontId="13" fillId="95" borderId="80" xfId="63" applyFont="1" applyFill="1" applyBorder="1" applyAlignment="1" applyProtection="1"/>
    <xf numFmtId="0" fontId="13" fillId="95" borderId="119" xfId="63" applyFont="1" applyFill="1" applyBorder="1" applyAlignment="1" applyProtection="1"/>
    <xf numFmtId="0" fontId="13" fillId="95" borderId="102" xfId="63" applyFont="1" applyFill="1" applyBorder="1" applyAlignment="1" applyProtection="1"/>
    <xf numFmtId="0" fontId="27" fillId="95" borderId="5" xfId="63" applyFont="1" applyFill="1" applyBorder="1" applyAlignment="1" applyProtection="1">
      <alignment horizontal="center" wrapText="1"/>
    </xf>
    <xf numFmtId="0" fontId="13" fillId="95" borderId="103" xfId="63" applyFont="1" applyFill="1" applyBorder="1" applyAlignment="1" applyProtection="1"/>
    <xf numFmtId="0" fontId="0" fillId="95" borderId="102" xfId="28012" applyFont="1" applyFill="1" applyBorder="1" applyAlignment="1">
      <alignment horizontal="right"/>
    </xf>
    <xf numFmtId="164" fontId="4" fillId="95" borderId="0" xfId="1" applyNumberFormat="1" applyFont="1" applyFill="1" applyBorder="1" applyAlignment="1" applyProtection="1"/>
    <xf numFmtId="164" fontId="13" fillId="95" borderId="0" xfId="63" applyNumberFormat="1" applyFont="1" applyFill="1" applyBorder="1" applyAlignment="1" applyProtection="1"/>
    <xf numFmtId="0" fontId="1" fillId="95" borderId="102" xfId="28012" applyFont="1" applyFill="1" applyBorder="1" applyAlignment="1">
      <alignment horizontal="right"/>
    </xf>
    <xf numFmtId="164" fontId="4" fillId="95" borderId="1" xfId="1" applyNumberFormat="1" applyFont="1" applyFill="1" applyBorder="1" applyAlignment="1" applyProtection="1"/>
    <xf numFmtId="164" fontId="13" fillId="95" borderId="1" xfId="63" applyNumberFormat="1" applyFont="1" applyFill="1" applyBorder="1" applyAlignment="1" applyProtection="1"/>
    <xf numFmtId="0" fontId="1" fillId="95" borderId="102" xfId="28012" applyFont="1" applyFill="1" applyBorder="1"/>
    <xf numFmtId="164" fontId="13" fillId="95" borderId="80" xfId="63" applyNumberFormat="1" applyFont="1" applyFill="1" applyBorder="1" applyAlignment="1" applyProtection="1"/>
    <xf numFmtId="0" fontId="13" fillId="95" borderId="118" xfId="63" applyFont="1" applyFill="1" applyBorder="1" applyAlignment="1" applyProtection="1">
      <alignment horizontal="right"/>
    </xf>
    <xf numFmtId="9" fontId="29" fillId="95" borderId="0" xfId="2" applyFont="1" applyFill="1" applyBorder="1" applyAlignment="1">
      <alignment horizontal="center"/>
    </xf>
    <xf numFmtId="9" fontId="4" fillId="95" borderId="0" xfId="63" applyNumberFormat="1" applyFont="1" applyFill="1" applyBorder="1" applyAlignment="1">
      <alignment horizontal="center"/>
    </xf>
    <xf numFmtId="9" fontId="4" fillId="95" borderId="0" xfId="2" applyFont="1" applyFill="1" applyBorder="1" applyAlignment="1">
      <alignment horizontal="center"/>
    </xf>
    <xf numFmtId="43" fontId="4" fillId="95" borderId="0" xfId="63" applyNumberFormat="1" applyFont="1" applyFill="1" applyBorder="1"/>
    <xf numFmtId="9" fontId="4" fillId="95" borderId="3" xfId="2" applyFont="1" applyFill="1" applyBorder="1" applyAlignment="1">
      <alignment horizontal="center"/>
    </xf>
    <xf numFmtId="9" fontId="4" fillId="95" borderId="3" xfId="63" applyNumberFormat="1" applyFont="1" applyFill="1" applyBorder="1"/>
    <xf numFmtId="0" fontId="13" fillId="95" borderId="108" xfId="63" applyFont="1" applyFill="1" applyBorder="1" applyAlignment="1">
      <alignment horizontal="right"/>
    </xf>
    <xf numFmtId="9" fontId="4" fillId="95" borderId="109" xfId="2" applyFont="1" applyFill="1" applyBorder="1"/>
    <xf numFmtId="0" fontId="4" fillId="95" borderId="109" xfId="63" applyFont="1" applyFill="1" applyBorder="1"/>
    <xf numFmtId="0" fontId="4" fillId="95" borderId="110" xfId="63" applyFont="1" applyFill="1" applyBorder="1"/>
    <xf numFmtId="172" fontId="15" fillId="95" borderId="104" xfId="29601" applyFont="1" applyFill="1" applyBorder="1" applyAlignment="1">
      <alignment horizontal="center"/>
    </xf>
    <xf numFmtId="0" fontId="15" fillId="95" borderId="105" xfId="29601" applyNumberFormat="1" applyFont="1" applyFill="1" applyBorder="1" applyAlignment="1">
      <alignment horizontal="center"/>
    </xf>
    <xf numFmtId="172" fontId="15" fillId="95" borderId="105" xfId="29601" applyFont="1" applyFill="1" applyBorder="1" applyAlignment="1">
      <alignment horizontal="center"/>
    </xf>
    <xf numFmtId="43" fontId="15" fillId="95" borderId="105" xfId="209" applyFont="1" applyFill="1" applyBorder="1" applyAlignment="1">
      <alignment horizontal="center"/>
    </xf>
    <xf numFmtId="172" fontId="15" fillId="95" borderId="113" xfId="29601" applyFont="1" applyFill="1" applyBorder="1" applyAlignment="1">
      <alignment horizontal="center" wrapText="1"/>
    </xf>
    <xf numFmtId="172" fontId="21" fillId="95" borderId="105" xfId="29601" applyFont="1" applyFill="1" applyBorder="1"/>
    <xf numFmtId="43" fontId="21" fillId="95" borderId="105" xfId="209" applyFont="1" applyFill="1" applyBorder="1"/>
    <xf numFmtId="43" fontId="21" fillId="95" borderId="106" xfId="209" applyFont="1" applyFill="1" applyBorder="1"/>
    <xf numFmtId="172" fontId="15" fillId="95" borderId="116" xfId="29601" applyFont="1" applyFill="1" applyBorder="1" applyAlignment="1">
      <alignment horizontal="centerContinuous"/>
    </xf>
    <xf numFmtId="0" fontId="15" fillId="95" borderId="93" xfId="29601" applyNumberFormat="1" applyFont="1" applyFill="1" applyBorder="1" applyAlignment="1">
      <alignment horizontal="center"/>
    </xf>
    <xf numFmtId="172" fontId="21" fillId="95" borderId="93" xfId="29601" applyFont="1" applyFill="1" applyBorder="1" applyAlignment="1">
      <alignment horizontal="centerContinuous"/>
    </xf>
    <xf numFmtId="172" fontId="21" fillId="95" borderId="93" xfId="29601" applyFont="1" applyFill="1" applyBorder="1" applyAlignment="1">
      <alignment horizontal="left"/>
    </xf>
    <xf numFmtId="172" fontId="15" fillId="95" borderId="0" xfId="29601" applyFont="1" applyFill="1" applyBorder="1" applyAlignment="1">
      <alignment horizontal="center"/>
    </xf>
    <xf numFmtId="43" fontId="15" fillId="95" borderId="0" xfId="209" applyFont="1" applyFill="1" applyBorder="1" applyAlignment="1">
      <alignment horizontal="center"/>
    </xf>
    <xf numFmtId="172" fontId="15" fillId="95" borderId="8" xfId="29601" applyFont="1" applyFill="1" applyBorder="1" applyAlignment="1">
      <alignment horizontal="center" wrapText="1"/>
    </xf>
    <xf numFmtId="172" fontId="21" fillId="95" borderId="0" xfId="29601" applyFont="1" applyFill="1" applyBorder="1"/>
    <xf numFmtId="43" fontId="21" fillId="95" borderId="0" xfId="209" applyFont="1" applyFill="1" applyBorder="1"/>
    <xf numFmtId="43" fontId="21" fillId="95" borderId="103" xfId="209" applyFont="1" applyFill="1" applyBorder="1"/>
    <xf numFmtId="172" fontId="15" fillId="95" borderId="102" xfId="29601" applyFont="1" applyFill="1" applyBorder="1" applyAlignment="1">
      <alignment horizontal="left"/>
    </xf>
    <xf numFmtId="0" fontId="21" fillId="95" borderId="0" xfId="29601" applyNumberFormat="1" applyFont="1" applyFill="1" applyBorder="1" applyAlignment="1">
      <alignment horizontal="right"/>
    </xf>
    <xf numFmtId="164" fontId="21" fillId="95" borderId="0" xfId="209" applyNumberFormat="1" applyFont="1" applyFill="1" applyBorder="1"/>
    <xf numFmtId="164" fontId="21" fillId="95" borderId="0" xfId="209" applyNumberFormat="1" applyFont="1" applyFill="1" applyBorder="1" applyAlignment="1">
      <alignment horizontal="center"/>
    </xf>
    <xf numFmtId="164" fontId="21" fillId="95" borderId="8" xfId="209" applyNumberFormat="1" applyFont="1" applyFill="1" applyBorder="1"/>
    <xf numFmtId="43" fontId="15" fillId="95" borderId="0" xfId="209" applyFont="1" applyFill="1" applyBorder="1" applyAlignment="1">
      <alignment horizontal="center" wrapText="1"/>
    </xf>
    <xf numFmtId="43" fontId="15" fillId="95" borderId="103" xfId="209" applyFont="1" applyFill="1" applyBorder="1" applyAlignment="1">
      <alignment horizontal="center" wrapText="1"/>
    </xf>
    <xf numFmtId="172" fontId="15" fillId="95" borderId="102" xfId="29601" applyFont="1" applyFill="1" applyBorder="1" applyAlignment="1">
      <alignment horizontal="center"/>
    </xf>
    <xf numFmtId="168" fontId="21" fillId="95" borderId="0" xfId="56" applyNumberFormat="1" applyFont="1" applyFill="1" applyBorder="1"/>
    <xf numFmtId="44" fontId="21" fillId="95" borderId="0" xfId="276" applyFont="1" applyFill="1" applyBorder="1" applyAlignment="1">
      <alignment horizontal="center"/>
    </xf>
    <xf numFmtId="44" fontId="21" fillId="95" borderId="0" xfId="16702" applyFont="1" applyFill="1" applyBorder="1"/>
    <xf numFmtId="44" fontId="21" fillId="95" borderId="0" xfId="276" applyFont="1" applyFill="1" applyBorder="1"/>
    <xf numFmtId="164" fontId="21" fillId="95" borderId="70" xfId="209" applyNumberFormat="1" applyFont="1" applyFill="1" applyBorder="1"/>
    <xf numFmtId="164" fontId="21" fillId="95" borderId="9" xfId="209" applyNumberFormat="1" applyFont="1" applyFill="1" applyBorder="1"/>
    <xf numFmtId="164" fontId="21" fillId="95" borderId="114" xfId="209" applyNumberFormat="1" applyFont="1" applyFill="1" applyBorder="1"/>
    <xf numFmtId="164" fontId="21" fillId="95" borderId="103" xfId="209" applyNumberFormat="1" applyFont="1" applyFill="1" applyBorder="1"/>
    <xf numFmtId="0" fontId="21" fillId="95" borderId="0" xfId="29601" applyNumberFormat="1" applyFont="1" applyFill="1" applyBorder="1" applyAlignment="1">
      <alignment horizontal="center"/>
    </xf>
    <xf numFmtId="172" fontId="21" fillId="95" borderId="0" xfId="29601" applyFont="1" applyFill="1" applyBorder="1" applyAlignment="1">
      <alignment horizontal="center"/>
    </xf>
    <xf numFmtId="172" fontId="15" fillId="95" borderId="115" xfId="29601" applyFont="1" applyFill="1" applyBorder="1" applyAlignment="1">
      <alignment horizontal="left"/>
    </xf>
    <xf numFmtId="0" fontId="15" fillId="95" borderId="92" xfId="29601" applyNumberFormat="1" applyFont="1" applyFill="1" applyBorder="1" applyAlignment="1">
      <alignment horizontal="left"/>
    </xf>
    <xf numFmtId="172" fontId="21" fillId="95" borderId="92" xfId="29601" applyFont="1" applyFill="1" applyBorder="1" applyAlignment="1">
      <alignment horizontal="centerContinuous"/>
    </xf>
    <xf numFmtId="172" fontId="21" fillId="95" borderId="92" xfId="29601" applyFont="1" applyFill="1" applyBorder="1" applyAlignment="1">
      <alignment horizontal="left"/>
    </xf>
    <xf numFmtId="0" fontId="21" fillId="95" borderId="0" xfId="8" applyFont="1" applyFill="1" applyBorder="1"/>
    <xf numFmtId="0" fontId="200" fillId="95" borderId="0" xfId="29603" applyFont="1" applyFill="1" applyBorder="1"/>
    <xf numFmtId="43" fontId="21" fillId="95" borderId="70" xfId="209" applyFont="1" applyFill="1" applyBorder="1"/>
    <xf numFmtId="164" fontId="21" fillId="95" borderId="70" xfId="209" applyNumberFormat="1" applyFont="1" applyFill="1" applyBorder="1" applyAlignment="1">
      <alignment horizontal="center"/>
    </xf>
    <xf numFmtId="172" fontId="21" fillId="95" borderId="116" xfId="29601" applyFont="1" applyFill="1" applyBorder="1" applyAlignment="1">
      <alignment horizontal="centerContinuous"/>
    </xf>
    <xf numFmtId="0" fontId="21" fillId="95" borderId="93" xfId="29601" applyNumberFormat="1" applyFont="1" applyFill="1" applyBorder="1" applyAlignment="1">
      <alignment horizontal="center"/>
    </xf>
    <xf numFmtId="172" fontId="15" fillId="95" borderId="93" xfId="29601" applyFont="1" applyFill="1" applyBorder="1" applyAlignment="1">
      <alignment horizontal="centerContinuous"/>
    </xf>
    <xf numFmtId="0" fontId="15" fillId="95" borderId="0" xfId="29601" applyNumberFormat="1" applyFont="1" applyFill="1" applyBorder="1" applyAlignment="1">
      <alignment horizontal="center"/>
    </xf>
    <xf numFmtId="164" fontId="21" fillId="95" borderId="9" xfId="209" applyNumberFormat="1" applyFont="1" applyFill="1" applyBorder="1" applyAlignment="1">
      <alignment horizontal="center" wrapText="1"/>
    </xf>
    <xf numFmtId="164" fontId="21" fillId="95" borderId="114" xfId="209" applyNumberFormat="1" applyFont="1" applyFill="1" applyBorder="1" applyAlignment="1">
      <alignment horizontal="center" wrapText="1"/>
    </xf>
    <xf numFmtId="164" fontId="21" fillId="95" borderId="103" xfId="209" applyNumberFormat="1" applyFont="1" applyFill="1" applyBorder="1" applyAlignment="1">
      <alignment horizontal="center" wrapText="1"/>
    </xf>
    <xf numFmtId="172" fontId="15" fillId="95" borderId="108" xfId="29601" applyFont="1" applyFill="1" applyBorder="1" applyAlignment="1">
      <alignment horizontal="center"/>
    </xf>
    <xf numFmtId="0" fontId="15" fillId="95" borderId="109" xfId="29601" applyNumberFormat="1" applyFont="1" applyFill="1" applyBorder="1" applyAlignment="1">
      <alignment horizontal="center"/>
    </xf>
    <xf numFmtId="172" fontId="15" fillId="95" borderId="109" xfId="29601" applyFont="1" applyFill="1" applyBorder="1" applyAlignment="1">
      <alignment horizontal="center"/>
    </xf>
    <xf numFmtId="43" fontId="15" fillId="95" borderId="109" xfId="209" applyFont="1" applyFill="1" applyBorder="1" applyAlignment="1">
      <alignment horizontal="center"/>
    </xf>
    <xf numFmtId="43" fontId="15" fillId="95" borderId="131" xfId="209" applyFont="1" applyFill="1" applyBorder="1" applyAlignment="1">
      <alignment horizontal="center" wrapText="1"/>
    </xf>
    <xf numFmtId="172" fontId="21" fillId="95" borderId="109" xfId="29601" applyFont="1" applyFill="1" applyBorder="1"/>
    <xf numFmtId="43" fontId="21" fillId="95" borderId="109" xfId="209" applyFont="1" applyFill="1" applyBorder="1"/>
    <xf numFmtId="43" fontId="21" fillId="95" borderId="110" xfId="209" applyFont="1" applyFill="1" applyBorder="1"/>
    <xf numFmtId="172" fontId="202" fillId="95" borderId="104" xfId="29601" applyFont="1" applyFill="1" applyBorder="1" applyAlignment="1">
      <alignment horizontal="center"/>
    </xf>
    <xf numFmtId="172" fontId="202" fillId="95" borderId="105" xfId="29601" applyFont="1" applyFill="1" applyBorder="1" applyAlignment="1">
      <alignment horizontal="center"/>
    </xf>
    <xf numFmtId="172" fontId="21" fillId="95" borderId="105" xfId="29601" applyFont="1" applyFill="1" applyBorder="1" applyAlignment="1">
      <alignment horizontal="left"/>
    </xf>
    <xf numFmtId="43" fontId="21" fillId="95" borderId="105" xfId="209" applyFont="1" applyFill="1" applyBorder="1" applyAlignment="1">
      <alignment horizontal="left"/>
    </xf>
    <xf numFmtId="172" fontId="21" fillId="95" borderId="105" xfId="29601" applyFont="1" applyFill="1" applyBorder="1" applyAlignment="1">
      <alignment horizontal="center"/>
    </xf>
    <xf numFmtId="172" fontId="21" fillId="95" borderId="106" xfId="29601" applyFont="1" applyFill="1" applyBorder="1"/>
    <xf numFmtId="172" fontId="21" fillId="95" borderId="102" xfId="29601" applyFont="1" applyFill="1" applyBorder="1"/>
    <xf numFmtId="0" fontId="21" fillId="95" borderId="0" xfId="29601" applyNumberFormat="1" applyFont="1" applyFill="1" applyBorder="1"/>
    <xf numFmtId="172" fontId="21" fillId="95" borderId="0" xfId="29601" applyFont="1" applyFill="1" applyBorder="1" applyAlignment="1">
      <alignment horizontal="left"/>
    </xf>
    <xf numFmtId="43" fontId="21" fillId="95" borderId="0" xfId="209" applyFont="1" applyFill="1" applyBorder="1" applyAlignment="1">
      <alignment horizontal="left"/>
    </xf>
    <xf numFmtId="172" fontId="21" fillId="95" borderId="103" xfId="29601" applyFont="1" applyFill="1" applyBorder="1"/>
    <xf numFmtId="172" fontId="15" fillId="95" borderId="118" xfId="29601" applyFont="1" applyFill="1" applyBorder="1"/>
    <xf numFmtId="0" fontId="15" fillId="95" borderId="70" xfId="29601" applyNumberFormat="1" applyFont="1" applyFill="1" applyBorder="1"/>
    <xf numFmtId="172" fontId="15" fillId="95" borderId="70" xfId="29601" applyFont="1" applyFill="1" applyBorder="1" applyAlignment="1">
      <alignment horizontal="right"/>
    </xf>
    <xf numFmtId="172" fontId="15" fillId="95" borderId="70" xfId="29601" applyFont="1" applyFill="1" applyBorder="1" applyAlignment="1">
      <alignment horizontal="left"/>
    </xf>
    <xf numFmtId="43" fontId="15" fillId="95" borderId="70" xfId="209" applyFont="1" applyFill="1" applyBorder="1" applyAlignment="1">
      <alignment horizontal="left"/>
    </xf>
    <xf numFmtId="172" fontId="15" fillId="95" borderId="70" xfId="29601" applyFont="1" applyFill="1" applyBorder="1" applyAlignment="1">
      <alignment horizontal="center"/>
    </xf>
    <xf numFmtId="171" fontId="15" fillId="95" borderId="70" xfId="276" applyNumberFormat="1" applyFont="1" applyFill="1" applyBorder="1" applyAlignment="1">
      <alignment horizontal="left"/>
    </xf>
    <xf numFmtId="172" fontId="21" fillId="95" borderId="0" xfId="29601" applyFont="1" applyFill="1" applyBorder="1" applyAlignment="1">
      <alignment horizontal="right"/>
    </xf>
    <xf numFmtId="171" fontId="21" fillId="95" borderId="0" xfId="276" applyNumberFormat="1" applyFont="1" applyFill="1" applyBorder="1" applyAlignment="1">
      <alignment horizontal="left"/>
    </xf>
    <xf numFmtId="164" fontId="15" fillId="95" borderId="1" xfId="209" applyNumberFormat="1" applyFont="1" applyFill="1" applyBorder="1" applyAlignment="1">
      <alignment horizontal="center"/>
    </xf>
    <xf numFmtId="0" fontId="21" fillId="95" borderId="0" xfId="5" quotePrefix="1" applyFont="1" applyFill="1" applyBorder="1" applyAlignment="1">
      <alignment horizontal="right"/>
    </xf>
    <xf numFmtId="0" fontId="21" fillId="95" borderId="0" xfId="5" quotePrefix="1" applyFont="1" applyFill="1" applyBorder="1" applyAlignment="1">
      <alignment horizontal="left"/>
    </xf>
    <xf numFmtId="43" fontId="21" fillId="95" borderId="0" xfId="209" quotePrefix="1" applyFont="1" applyFill="1" applyBorder="1" applyAlignment="1">
      <alignment horizontal="left"/>
    </xf>
    <xf numFmtId="0" fontId="21" fillId="95" borderId="0" xfId="5" quotePrefix="1" applyFont="1" applyFill="1" applyBorder="1" applyAlignment="1">
      <alignment horizontal="center"/>
    </xf>
    <xf numFmtId="0" fontId="21" fillId="95" borderId="0" xfId="5" applyFont="1" applyFill="1" applyBorder="1" applyAlignment="1">
      <alignment horizontal="right"/>
    </xf>
    <xf numFmtId="164" fontId="21" fillId="95" borderId="1" xfId="209" applyNumberFormat="1" applyFont="1" applyFill="1" applyBorder="1"/>
    <xf numFmtId="164" fontId="21" fillId="95" borderId="0" xfId="209" quotePrefix="1" applyNumberFormat="1" applyFont="1" applyFill="1" applyBorder="1" applyAlignment="1">
      <alignment horizontal="left"/>
    </xf>
    <xf numFmtId="0" fontId="21" fillId="95" borderId="0" xfId="5" applyFont="1" applyFill="1" applyBorder="1" applyAlignment="1">
      <alignment horizontal="left"/>
    </xf>
    <xf numFmtId="0" fontId="21" fillId="95" borderId="0" xfId="5" applyFont="1" applyFill="1" applyBorder="1" applyAlignment="1">
      <alignment horizontal="center"/>
    </xf>
    <xf numFmtId="10" fontId="21" fillId="95" borderId="103" xfId="56" applyNumberFormat="1" applyFont="1" applyFill="1" applyBorder="1"/>
    <xf numFmtId="172" fontId="15" fillId="95" borderId="102" xfId="29601" applyFont="1" applyFill="1" applyBorder="1"/>
    <xf numFmtId="172" fontId="21" fillId="95" borderId="118" xfId="29601" applyFont="1" applyFill="1" applyBorder="1"/>
    <xf numFmtId="0" fontId="21" fillId="95" borderId="70" xfId="29601" applyNumberFormat="1" applyFont="1" applyFill="1" applyBorder="1"/>
    <xf numFmtId="172" fontId="21" fillId="95" borderId="70" xfId="29601" applyFont="1" applyFill="1" applyBorder="1" applyAlignment="1">
      <alignment horizontal="left"/>
    </xf>
    <xf numFmtId="43" fontId="21" fillId="95" borderId="70" xfId="209" applyFont="1" applyFill="1" applyBorder="1" applyAlignment="1">
      <alignment horizontal="left"/>
    </xf>
    <xf numFmtId="172" fontId="21" fillId="95" borderId="70" xfId="29601" applyFont="1" applyFill="1" applyBorder="1" applyAlignment="1">
      <alignment horizontal="center"/>
    </xf>
    <xf numFmtId="9" fontId="21" fillId="95" borderId="103" xfId="42524" applyFont="1" applyFill="1" applyBorder="1"/>
    <xf numFmtId="172" fontId="15" fillId="95" borderId="0" xfId="29601" applyFont="1" applyFill="1" applyBorder="1"/>
    <xf numFmtId="172" fontId="203" fillId="95" borderId="0" xfId="29601" applyFont="1" applyFill="1" applyBorder="1" applyAlignment="1">
      <alignment horizontal="right"/>
    </xf>
    <xf numFmtId="172" fontId="21" fillId="95" borderId="102" xfId="29601" applyFont="1" applyFill="1" applyBorder="1" applyAlignment="1">
      <alignment horizontal="center"/>
    </xf>
    <xf numFmtId="172" fontId="21" fillId="95" borderId="103" xfId="29601" applyFont="1" applyFill="1" applyBorder="1" applyAlignment="1">
      <alignment horizontal="center"/>
    </xf>
    <xf numFmtId="43" fontId="15" fillId="95" borderId="0" xfId="209" applyFont="1" applyFill="1" applyBorder="1"/>
    <xf numFmtId="10" fontId="15" fillId="95" borderId="0" xfId="56" applyNumberFormat="1" applyFont="1" applyFill="1" applyBorder="1"/>
    <xf numFmtId="0" fontId="21" fillId="95" borderId="0" xfId="29601" applyNumberFormat="1" applyFont="1" applyFill="1" applyBorder="1" applyAlignment="1">
      <alignment horizontal="left" wrapText="1"/>
    </xf>
    <xf numFmtId="172" fontId="21" fillId="95" borderId="108" xfId="29601" applyFont="1" applyFill="1" applyBorder="1"/>
    <xf numFmtId="0" fontId="21" fillId="95" borderId="109" xfId="29601" applyNumberFormat="1" applyFont="1" applyFill="1" applyBorder="1"/>
    <xf numFmtId="0" fontId="21" fillId="95" borderId="109" xfId="29601" applyNumberFormat="1" applyFont="1" applyFill="1" applyBorder="1" applyAlignment="1">
      <alignment horizontal="left" wrapText="1"/>
    </xf>
    <xf numFmtId="172" fontId="21" fillId="95" borderId="109" xfId="29601" applyFont="1" applyFill="1" applyBorder="1" applyAlignment="1">
      <alignment horizontal="left"/>
    </xf>
    <xf numFmtId="43" fontId="21" fillId="95" borderId="109" xfId="209" applyFont="1" applyFill="1" applyBorder="1" applyAlignment="1">
      <alignment horizontal="left"/>
    </xf>
    <xf numFmtId="172" fontId="21" fillId="95" borderId="109" xfId="29601" applyFont="1" applyFill="1" applyBorder="1" applyAlignment="1">
      <alignment horizontal="center"/>
    </xf>
    <xf numFmtId="172" fontId="21" fillId="95" borderId="110" xfId="29601" applyFont="1" applyFill="1" applyBorder="1"/>
    <xf numFmtId="0" fontId="179" fillId="95" borderId="0" xfId="43876" applyFont="1" applyFill="1" applyBorder="1" applyAlignment="1">
      <alignment horizontal="center"/>
    </xf>
    <xf numFmtId="0" fontId="179" fillId="95" borderId="0" xfId="43877" applyFont="1" applyFill="1" applyBorder="1"/>
    <xf numFmtId="49" fontId="179" fillId="95" borderId="0" xfId="43876" applyNumberFormat="1" applyFont="1" applyFill="1" applyBorder="1"/>
    <xf numFmtId="0" fontId="179" fillId="95" borderId="0" xfId="43876" applyFont="1" applyFill="1" applyBorder="1" applyAlignment="1">
      <alignment horizontal="left"/>
    </xf>
    <xf numFmtId="172" fontId="15" fillId="95" borderId="0" xfId="29601" applyFont="1" applyFill="1" applyBorder="1" applyAlignment="1">
      <alignment horizontal="left"/>
    </xf>
    <xf numFmtId="0" fontId="179" fillId="95" borderId="0" xfId="43879" applyFont="1" applyFill="1" applyBorder="1"/>
    <xf numFmtId="49" fontId="179" fillId="95" borderId="0" xfId="43878" applyNumberFormat="1" applyFont="1" applyFill="1" applyBorder="1"/>
    <xf numFmtId="49" fontId="179" fillId="95" borderId="0" xfId="43876" applyNumberFormat="1" applyFont="1" applyFill="1" applyBorder="1" applyAlignment="1">
      <alignment horizontal="center"/>
    </xf>
    <xf numFmtId="49" fontId="179" fillId="95" borderId="0" xfId="43880" applyNumberFormat="1" applyFont="1" applyFill="1" applyBorder="1" applyAlignment="1">
      <alignment horizontal="left"/>
    </xf>
    <xf numFmtId="0" fontId="179" fillId="95" borderId="0" xfId="43881" applyFont="1" applyFill="1" applyBorder="1"/>
    <xf numFmtId="164" fontId="203" fillId="95" borderId="0" xfId="209" quotePrefix="1" applyNumberFormat="1" applyFont="1" applyFill="1" applyBorder="1" applyAlignment="1">
      <alignment horizontal="right"/>
    </xf>
    <xf numFmtId="172" fontId="15" fillId="95" borderId="103" xfId="29601" applyFont="1" applyFill="1" applyBorder="1"/>
    <xf numFmtId="164" fontId="15" fillId="95" borderId="0" xfId="209" quotePrefix="1" applyNumberFormat="1" applyFont="1" applyFill="1" applyBorder="1" applyAlignment="1">
      <alignment horizontal="right"/>
    </xf>
    <xf numFmtId="0" fontId="15" fillId="95" borderId="0" xfId="29601" applyNumberFormat="1" applyFont="1" applyFill="1" applyBorder="1" applyAlignment="1">
      <alignment horizontal="right"/>
    </xf>
    <xf numFmtId="172" fontId="147" fillId="95" borderId="104" xfId="46306" applyFont="1" applyFill="1" applyBorder="1"/>
    <xf numFmtId="172" fontId="147" fillId="95" borderId="105" xfId="46306" applyFont="1" applyFill="1" applyBorder="1"/>
    <xf numFmtId="172" fontId="147" fillId="95" borderId="113" xfId="46306" applyFont="1" applyFill="1" applyBorder="1"/>
    <xf numFmtId="172" fontId="147" fillId="95" borderId="132" xfId="46306" applyFont="1" applyFill="1" applyBorder="1"/>
    <xf numFmtId="172" fontId="21" fillId="95" borderId="105" xfId="46306" applyFont="1" applyFill="1" applyBorder="1" applyAlignment="1">
      <alignment horizontal="center"/>
    </xf>
    <xf numFmtId="172" fontId="147" fillId="95" borderId="106" xfId="46306" applyFont="1" applyFill="1" applyBorder="1"/>
    <xf numFmtId="164" fontId="147" fillId="95" borderId="102" xfId="214" applyNumberFormat="1" applyFont="1" applyFill="1" applyBorder="1"/>
    <xf numFmtId="164" fontId="147" fillId="95" borderId="0" xfId="214" applyNumberFormat="1" applyFont="1" applyFill="1" applyBorder="1"/>
    <xf numFmtId="172" fontId="147" fillId="95" borderId="0" xfId="46306" applyFont="1" applyFill="1" applyBorder="1"/>
    <xf numFmtId="164" fontId="147" fillId="95" borderId="7" xfId="214" applyNumberFormat="1" applyFont="1" applyFill="1" applyBorder="1"/>
    <xf numFmtId="164" fontId="147" fillId="95" borderId="8" xfId="214" applyNumberFormat="1" applyFont="1" applyFill="1" applyBorder="1"/>
    <xf numFmtId="43" fontId="147" fillId="95" borderId="0" xfId="1" applyFont="1" applyFill="1" applyBorder="1"/>
    <xf numFmtId="164" fontId="147" fillId="95" borderId="103" xfId="214" applyNumberFormat="1" applyFont="1" applyFill="1" applyBorder="1"/>
    <xf numFmtId="3" fontId="147" fillId="95" borderId="0" xfId="46306" applyNumberFormat="1" applyFont="1" applyFill="1" applyBorder="1"/>
    <xf numFmtId="164" fontId="86" fillId="95" borderId="118" xfId="214" applyNumberFormat="1" applyFont="1" applyFill="1" applyBorder="1"/>
    <xf numFmtId="164" fontId="86" fillId="95" borderId="70" xfId="214" applyNumberFormat="1" applyFont="1" applyFill="1" applyBorder="1"/>
    <xf numFmtId="164" fontId="86" fillId="95" borderId="9" xfId="214" applyNumberFormat="1" applyFont="1" applyFill="1" applyBorder="1"/>
    <xf numFmtId="172" fontId="86" fillId="95" borderId="0" xfId="46306" applyFont="1" applyFill="1" applyBorder="1"/>
    <xf numFmtId="164" fontId="86" fillId="95" borderId="18" xfId="214" applyNumberFormat="1" applyFont="1" applyFill="1" applyBorder="1"/>
    <xf numFmtId="164" fontId="86" fillId="95" borderId="114" xfId="214" applyNumberFormat="1" applyFont="1" applyFill="1" applyBorder="1"/>
    <xf numFmtId="164" fontId="209" fillId="95" borderId="102" xfId="214" applyNumberFormat="1" applyFont="1" applyFill="1" applyBorder="1"/>
    <xf numFmtId="164" fontId="209" fillId="95" borderId="0" xfId="214" applyNumberFormat="1" applyFont="1" applyFill="1" applyBorder="1"/>
    <xf numFmtId="164" fontId="86" fillId="95" borderId="128" xfId="214" applyNumberFormat="1" applyFont="1" applyFill="1" applyBorder="1"/>
    <xf numFmtId="164" fontId="86" fillId="95" borderId="77" xfId="214" applyNumberFormat="1" applyFont="1" applyFill="1" applyBorder="1"/>
    <xf numFmtId="164" fontId="86" fillId="95" borderId="96" xfId="214" applyNumberFormat="1" applyFont="1" applyFill="1" applyBorder="1"/>
    <xf numFmtId="164" fontId="86" fillId="95" borderId="95" xfId="214" applyNumberFormat="1" applyFont="1" applyFill="1" applyBorder="1"/>
    <xf numFmtId="164" fontId="86" fillId="95" borderId="107" xfId="214" applyNumberFormat="1" applyFont="1" applyFill="1" applyBorder="1"/>
    <xf numFmtId="164" fontId="147" fillId="95" borderId="5" xfId="214" applyNumberFormat="1" applyFont="1" applyFill="1" applyBorder="1"/>
    <xf numFmtId="164" fontId="147" fillId="95" borderId="117" xfId="214" applyNumberFormat="1" applyFont="1" applyFill="1" applyBorder="1"/>
    <xf numFmtId="164" fontId="147" fillId="95" borderId="50" xfId="214" applyNumberFormat="1" applyFont="1" applyFill="1" applyBorder="1"/>
    <xf numFmtId="164" fontId="147" fillId="95" borderId="79" xfId="214" applyNumberFormat="1" applyFont="1" applyFill="1" applyBorder="1"/>
    <xf numFmtId="164" fontId="147" fillId="95" borderId="78" xfId="214" applyNumberFormat="1" applyFont="1" applyFill="1" applyBorder="1"/>
    <xf numFmtId="164" fontId="147" fillId="95" borderId="133" xfId="214" applyNumberFormat="1" applyFont="1" applyFill="1" applyBorder="1"/>
    <xf numFmtId="164" fontId="147" fillId="95" borderId="108" xfId="214" applyNumberFormat="1" applyFont="1" applyFill="1" applyBorder="1"/>
    <xf numFmtId="164" fontId="147" fillId="95" borderId="109" xfId="214" applyNumberFormat="1" applyFont="1" applyFill="1" applyBorder="1"/>
    <xf numFmtId="172" fontId="147" fillId="95" borderId="109" xfId="46306" applyFont="1" applyFill="1" applyBorder="1"/>
    <xf numFmtId="9" fontId="147" fillId="95" borderId="109" xfId="2" applyFont="1" applyFill="1" applyBorder="1"/>
    <xf numFmtId="3" fontId="147" fillId="95" borderId="109" xfId="46306" applyNumberFormat="1" applyFont="1" applyFill="1" applyBorder="1"/>
    <xf numFmtId="9" fontId="147" fillId="95" borderId="110" xfId="2" applyFont="1" applyFill="1" applyBorder="1"/>
    <xf numFmtId="172" fontId="21" fillId="95" borderId="104" xfId="46306" applyFont="1" applyFill="1" applyBorder="1"/>
    <xf numFmtId="172" fontId="21" fillId="95" borderId="105" xfId="46306" applyFont="1" applyFill="1" applyBorder="1"/>
    <xf numFmtId="3" fontId="21" fillId="95" borderId="105" xfId="46306" applyNumberFormat="1" applyFont="1" applyFill="1" applyBorder="1"/>
    <xf numFmtId="2" fontId="21" fillId="95" borderId="106" xfId="46306" applyNumberFormat="1" applyFont="1" applyFill="1" applyBorder="1"/>
    <xf numFmtId="172" fontId="21" fillId="95" borderId="102" xfId="46306" applyFont="1" applyFill="1" applyBorder="1"/>
    <xf numFmtId="172" fontId="21" fillId="95" borderId="0" xfId="46306" applyFont="1" applyFill="1" applyBorder="1"/>
    <xf numFmtId="2" fontId="21" fillId="95" borderId="103" xfId="46306" applyNumberFormat="1" applyFont="1" applyFill="1" applyBorder="1"/>
    <xf numFmtId="3" fontId="21" fillId="95" borderId="0" xfId="46306" applyNumberFormat="1" applyFont="1" applyFill="1" applyBorder="1"/>
    <xf numFmtId="172" fontId="21" fillId="95" borderId="103" xfId="46306" applyFont="1" applyFill="1" applyBorder="1"/>
    <xf numFmtId="10" fontId="21" fillId="95" borderId="103" xfId="46306" applyNumberFormat="1" applyFont="1" applyFill="1" applyBorder="1"/>
    <xf numFmtId="172" fontId="15" fillId="95" borderId="102" xfId="46306" applyFont="1" applyFill="1" applyBorder="1" applyAlignment="1">
      <alignment horizontal="right"/>
    </xf>
    <xf numFmtId="3" fontId="15" fillId="95" borderId="0" xfId="46306" applyNumberFormat="1" applyFont="1" applyFill="1" applyBorder="1"/>
    <xf numFmtId="10" fontId="15" fillId="95" borderId="103" xfId="46306" applyNumberFormat="1" applyFont="1" applyFill="1" applyBorder="1"/>
    <xf numFmtId="172" fontId="147" fillId="95" borderId="102" xfId="46306" applyFont="1" applyFill="1" applyBorder="1"/>
    <xf numFmtId="172" fontId="86" fillId="95" borderId="103" xfId="46306" applyFont="1" applyFill="1" applyBorder="1"/>
    <xf numFmtId="10" fontId="15" fillId="95" borderId="120" xfId="46306" applyNumberFormat="1" applyFont="1" applyFill="1" applyBorder="1"/>
    <xf numFmtId="172" fontId="21" fillId="95" borderId="108" xfId="46306" applyFont="1" applyFill="1" applyBorder="1"/>
    <xf numFmtId="172" fontId="21" fillId="95" borderId="109" xfId="46306" applyFont="1" applyFill="1" applyBorder="1"/>
    <xf numFmtId="10" fontId="15" fillId="95" borderId="110" xfId="46306" applyNumberFormat="1" applyFont="1" applyFill="1" applyBorder="1"/>
    <xf numFmtId="0" fontId="214" fillId="95" borderId="104" xfId="46314" applyFont="1" applyFill="1" applyBorder="1"/>
    <xf numFmtId="0" fontId="214" fillId="95" borderId="105" xfId="46314" applyFont="1" applyFill="1" applyBorder="1" applyAlignment="1">
      <alignment horizontal="center"/>
    </xf>
    <xf numFmtId="0" fontId="214" fillId="95" borderId="105" xfId="46314" applyFont="1" applyFill="1" applyBorder="1"/>
    <xf numFmtId="0" fontId="214" fillId="95" borderId="106" xfId="46314" applyFont="1" applyFill="1" applyBorder="1" applyAlignment="1">
      <alignment horizontal="center"/>
    </xf>
    <xf numFmtId="0" fontId="214" fillId="95" borderId="0" xfId="46314" applyFont="1" applyFill="1" applyBorder="1"/>
    <xf numFmtId="164" fontId="214" fillId="95" borderId="0" xfId="46314" applyNumberFormat="1" applyFont="1" applyFill="1" applyBorder="1"/>
    <xf numFmtId="164" fontId="214" fillId="95" borderId="0" xfId="1" applyNumberFormat="1" applyFont="1" applyFill="1" applyBorder="1"/>
    <xf numFmtId="164" fontId="214" fillId="95" borderId="103" xfId="1" applyNumberFormat="1" applyFont="1" applyFill="1" applyBorder="1"/>
    <xf numFmtId="164" fontId="214" fillId="95" borderId="103" xfId="46314" applyNumberFormat="1" applyFont="1" applyFill="1" applyBorder="1"/>
    <xf numFmtId="172" fontId="147" fillId="95" borderId="1" xfId="46306" applyFont="1" applyFill="1" applyBorder="1"/>
    <xf numFmtId="164" fontId="214" fillId="95" borderId="1" xfId="1" applyNumberFormat="1" applyFont="1" applyFill="1" applyBorder="1"/>
    <xf numFmtId="43" fontId="214" fillId="95" borderId="1" xfId="1" applyNumberFormat="1" applyFont="1" applyFill="1" applyBorder="1"/>
    <xf numFmtId="164" fontId="214" fillId="95" borderId="120" xfId="1" applyNumberFormat="1" applyFont="1" applyFill="1" applyBorder="1"/>
    <xf numFmtId="164" fontId="214" fillId="95" borderId="108" xfId="46314" applyNumberFormat="1" applyFont="1" applyFill="1" applyBorder="1"/>
    <xf numFmtId="164" fontId="214" fillId="95" borderId="109" xfId="46314" applyNumberFormat="1" applyFont="1" applyFill="1" applyBorder="1"/>
    <xf numFmtId="0" fontId="214" fillId="95" borderId="109" xfId="46314" applyFont="1" applyFill="1" applyBorder="1"/>
    <xf numFmtId="164" fontId="214" fillId="95" borderId="110" xfId="46314" applyNumberFormat="1" applyFont="1" applyFill="1" applyBorder="1"/>
    <xf numFmtId="3" fontId="214" fillId="95" borderId="102" xfId="46314" applyNumberFormat="1" applyFont="1" applyFill="1" applyBorder="1"/>
    <xf numFmtId="3" fontId="214" fillId="95" borderId="0" xfId="46314" applyNumberFormat="1" applyFont="1" applyFill="1" applyBorder="1"/>
    <xf numFmtId="3" fontId="214" fillId="95" borderId="103" xfId="46314" applyNumberFormat="1" applyFont="1" applyFill="1" applyBorder="1"/>
    <xf numFmtId="0" fontId="214" fillId="95" borderId="102" xfId="46314" applyFont="1" applyFill="1" applyBorder="1" applyAlignment="1">
      <alignment horizontal="right"/>
    </xf>
    <xf numFmtId="164" fontId="48" fillId="95" borderId="104" xfId="4" applyNumberFormat="1" applyFont="1" applyFill="1" applyBorder="1"/>
    <xf numFmtId="0" fontId="48" fillId="95" borderId="105" xfId="5" applyFont="1" applyFill="1" applyBorder="1"/>
    <xf numFmtId="164" fontId="48" fillId="95" borderId="105" xfId="4" applyNumberFormat="1" applyFont="1" applyFill="1" applyBorder="1"/>
    <xf numFmtId="164" fontId="48" fillId="95" borderId="106" xfId="4" applyNumberFormat="1" applyFont="1" applyFill="1" applyBorder="1"/>
    <xf numFmtId="164" fontId="48" fillId="95" borderId="102" xfId="4" applyNumberFormat="1" applyFont="1" applyFill="1" applyBorder="1"/>
    <xf numFmtId="0" fontId="48" fillId="95" borderId="0" xfId="5" applyFont="1" applyFill="1" applyBorder="1"/>
    <xf numFmtId="164" fontId="48" fillId="95" borderId="0" xfId="4" applyNumberFormat="1" applyFont="1" applyFill="1" applyBorder="1"/>
    <xf numFmtId="164" fontId="48" fillId="95" borderId="103" xfId="4" applyNumberFormat="1" applyFont="1" applyFill="1" applyBorder="1"/>
    <xf numFmtId="0" fontId="48" fillId="95" borderId="123" xfId="5" applyFont="1" applyFill="1" applyBorder="1"/>
    <xf numFmtId="0" fontId="48" fillId="95" borderId="1" xfId="5" applyFont="1" applyFill="1" applyBorder="1"/>
    <xf numFmtId="0" fontId="48" fillId="95" borderId="120" xfId="5" applyFont="1" applyFill="1" applyBorder="1"/>
    <xf numFmtId="164" fontId="48" fillId="95" borderId="123" xfId="4" applyNumberFormat="1" applyFont="1" applyFill="1" applyBorder="1"/>
    <xf numFmtId="164" fontId="48" fillId="95" borderId="1" xfId="4" applyNumberFormat="1" applyFont="1" applyFill="1" applyBorder="1"/>
    <xf numFmtId="164" fontId="48" fillId="95" borderId="120" xfId="4" applyNumberFormat="1" applyFont="1" applyFill="1" applyBorder="1"/>
    <xf numFmtId="164" fontId="48" fillId="95" borderId="118" xfId="4" applyNumberFormat="1" applyFont="1" applyFill="1" applyBorder="1"/>
    <xf numFmtId="164" fontId="48" fillId="95" borderId="70" xfId="4" applyNumberFormat="1" applyFont="1" applyFill="1" applyBorder="1"/>
    <xf numFmtId="164" fontId="48" fillId="95" borderId="114" xfId="4" applyNumberFormat="1" applyFont="1" applyFill="1" applyBorder="1"/>
    <xf numFmtId="164" fontId="48" fillId="95" borderId="124" xfId="4" applyNumberFormat="1" applyFont="1" applyFill="1" applyBorder="1"/>
    <xf numFmtId="164" fontId="48" fillId="95" borderId="3" xfId="4" applyNumberFormat="1" applyFont="1" applyFill="1" applyBorder="1"/>
    <xf numFmtId="164" fontId="48" fillId="95" borderId="121" xfId="4" applyNumberFormat="1" applyFont="1" applyFill="1" applyBorder="1"/>
    <xf numFmtId="164" fontId="147" fillId="95" borderId="102" xfId="14" applyNumberFormat="1" applyFont="1" applyFill="1" applyBorder="1"/>
    <xf numFmtId="37" fontId="147" fillId="95" borderId="0" xfId="3" applyFont="1" applyFill="1" applyBorder="1"/>
    <xf numFmtId="37" fontId="147" fillId="95" borderId="103" xfId="3" applyFont="1" applyFill="1" applyBorder="1"/>
    <xf numFmtId="164" fontId="48" fillId="95" borderId="108" xfId="4" applyNumberFormat="1" applyFont="1" applyFill="1" applyBorder="1"/>
    <xf numFmtId="164" fontId="48" fillId="95" borderId="109" xfId="4" applyNumberFormat="1" applyFont="1" applyFill="1" applyBorder="1"/>
    <xf numFmtId="37" fontId="147" fillId="95" borderId="109" xfId="3" applyFont="1" applyFill="1" applyBorder="1"/>
    <xf numFmtId="164" fontId="48" fillId="95" borderId="110" xfId="4" applyNumberFormat="1" applyFont="1" applyFill="1" applyBorder="1"/>
    <xf numFmtId="0" fontId="48" fillId="95" borderId="109" xfId="5" applyFont="1" applyFill="1" applyBorder="1"/>
    <xf numFmtId="0" fontId="4" fillId="95" borderId="104" xfId="65" applyFill="1" applyBorder="1"/>
    <xf numFmtId="0" fontId="4" fillId="95" borderId="105" xfId="65" applyFill="1" applyBorder="1"/>
    <xf numFmtId="0" fontId="4" fillId="95" borderId="102" xfId="65" applyFill="1" applyBorder="1"/>
    <xf numFmtId="0" fontId="4" fillId="95" borderId="0" xfId="65" applyFill="1" applyBorder="1"/>
    <xf numFmtId="0" fontId="4" fillId="95" borderId="108" xfId="65" applyFill="1" applyBorder="1"/>
    <xf numFmtId="0" fontId="4" fillId="95" borderId="109" xfId="65" applyFill="1" applyBorder="1"/>
    <xf numFmtId="0" fontId="4" fillId="95" borderId="109" xfId="65" applyFill="1" applyBorder="1" applyAlignment="1">
      <alignment horizontal="right"/>
    </xf>
    <xf numFmtId="0" fontId="4" fillId="95" borderId="110" xfId="65" applyFill="1" applyBorder="1"/>
    <xf numFmtId="0" fontId="4" fillId="95" borderId="104" xfId="65" applyNumberFormat="1" applyFont="1" applyFill="1" applyBorder="1"/>
    <xf numFmtId="0" fontId="4" fillId="95" borderId="105" xfId="65" applyNumberFormat="1" applyFont="1" applyFill="1" applyBorder="1"/>
    <xf numFmtId="0" fontId="13" fillId="95" borderId="105" xfId="65" applyNumberFormat="1" applyFont="1" applyFill="1" applyBorder="1"/>
    <xf numFmtId="0" fontId="13" fillId="95" borderId="105" xfId="65" applyNumberFormat="1" applyFont="1" applyFill="1" applyBorder="1" applyAlignment="1">
      <alignment horizontal="center"/>
    </xf>
    <xf numFmtId="0" fontId="4" fillId="95" borderId="105" xfId="65" applyNumberFormat="1" applyFont="1" applyFill="1" applyBorder="1" applyAlignment="1">
      <alignment horizontal="center"/>
    </xf>
    <xf numFmtId="0" fontId="4" fillId="95" borderId="105" xfId="65" applyNumberFormat="1" applyFont="1" applyFill="1" applyBorder="1" applyAlignment="1">
      <alignment horizontal="left"/>
    </xf>
    <xf numFmtId="0" fontId="4" fillId="95" borderId="106" xfId="65" applyNumberFormat="1" applyFont="1" applyFill="1" applyBorder="1" applyAlignment="1">
      <alignment horizontal="left"/>
    </xf>
    <xf numFmtId="0" fontId="4" fillId="95" borderId="106" xfId="65" applyNumberFormat="1" applyFont="1" applyFill="1" applyBorder="1" applyAlignment="1">
      <alignment horizontal="center"/>
    </xf>
    <xf numFmtId="0" fontId="4" fillId="95" borderId="102" xfId="65" applyNumberFormat="1" applyFont="1" applyFill="1" applyBorder="1"/>
    <xf numFmtId="0" fontId="4" fillId="95" borderId="0" xfId="65" applyNumberFormat="1" applyFont="1" applyFill="1" applyBorder="1"/>
    <xf numFmtId="0" fontId="13" fillId="95" borderId="0" xfId="65" applyNumberFormat="1" applyFont="1" applyFill="1" applyBorder="1"/>
    <xf numFmtId="0" fontId="13" fillId="95" borderId="0" xfId="65" applyNumberFormat="1" applyFont="1" applyFill="1" applyBorder="1" applyAlignment="1">
      <alignment horizontal="center"/>
    </xf>
    <xf numFmtId="0" fontId="4" fillId="95" borderId="0" xfId="65" applyNumberFormat="1" applyFont="1" applyFill="1" applyBorder="1" applyAlignment="1">
      <alignment horizontal="center"/>
    </xf>
    <xf numFmtId="0" fontId="4" fillId="95" borderId="0" xfId="65" applyNumberFormat="1" applyFont="1" applyFill="1" applyBorder="1" applyAlignment="1">
      <alignment horizontal="left"/>
    </xf>
    <xf numFmtId="0" fontId="4" fillId="95" borderId="103" xfId="65" applyNumberFormat="1" applyFont="1" applyFill="1" applyBorder="1" applyAlignment="1">
      <alignment horizontal="left"/>
    </xf>
    <xf numFmtId="0" fontId="4" fillId="95" borderId="103" xfId="65" applyNumberFormat="1" applyFont="1" applyFill="1" applyBorder="1" applyAlignment="1">
      <alignment horizontal="center"/>
    </xf>
    <xf numFmtId="0" fontId="4" fillId="95" borderId="108" xfId="65" applyNumberFormat="1" applyFont="1" applyFill="1" applyBorder="1"/>
    <xf numFmtId="0" fontId="4" fillId="95" borderId="109" xfId="65" applyNumberFormat="1" applyFont="1" applyFill="1" applyBorder="1"/>
    <xf numFmtId="0" fontId="4" fillId="95" borderId="109" xfId="209" applyNumberFormat="1" applyFont="1" applyFill="1" applyBorder="1"/>
    <xf numFmtId="0" fontId="4" fillId="95" borderId="109" xfId="65" applyNumberFormat="1" applyFont="1" applyFill="1" applyBorder="1" applyAlignment="1">
      <alignment horizontal="right"/>
    </xf>
    <xf numFmtId="0" fontId="4" fillId="95" borderId="110" xfId="65" applyNumberFormat="1" applyFont="1" applyFill="1" applyBorder="1"/>
    <xf numFmtId="0" fontId="4" fillId="95" borderId="105" xfId="65" applyFill="1" applyBorder="1" applyAlignment="1">
      <alignment horizontal="right"/>
    </xf>
    <xf numFmtId="0" fontId="4" fillId="95" borderId="106" xfId="65" applyFill="1" applyBorder="1"/>
    <xf numFmtId="0" fontId="4" fillId="95" borderId="103" xfId="65" applyFill="1" applyBorder="1"/>
    <xf numFmtId="0" fontId="4" fillId="95" borderId="102" xfId="65" applyFill="1" applyBorder="1" applyAlignment="1">
      <alignment horizontal="left"/>
    </xf>
    <xf numFmtId="0" fontId="4" fillId="95" borderId="0" xfId="65" applyFill="1" applyBorder="1" applyAlignment="1">
      <alignment horizontal="right"/>
    </xf>
    <xf numFmtId="0" fontId="136" fillId="98" borderId="102" xfId="65" applyFont="1" applyFill="1" applyBorder="1"/>
    <xf numFmtId="0" fontId="136" fillId="98" borderId="0" xfId="65" applyFont="1" applyFill="1" applyBorder="1"/>
    <xf numFmtId="0" fontId="136" fillId="98" borderId="103" xfId="65" applyFont="1" applyFill="1" applyBorder="1"/>
    <xf numFmtId="0" fontId="136" fillId="98" borderId="134" xfId="65" applyFont="1" applyFill="1" applyBorder="1"/>
    <xf numFmtId="0" fontId="136" fillId="98" borderId="87" xfId="65" applyFont="1" applyFill="1" applyBorder="1"/>
    <xf numFmtId="0" fontId="136" fillId="98" borderId="135" xfId="65" applyFont="1" applyFill="1" applyBorder="1"/>
    <xf numFmtId="43" fontId="0" fillId="95" borderId="0" xfId="209" applyFont="1" applyFill="1" applyBorder="1"/>
    <xf numFmtId="43" fontId="0" fillId="95" borderId="103" xfId="209" applyFont="1" applyFill="1" applyBorder="1"/>
    <xf numFmtId="0" fontId="136" fillId="98" borderId="136" xfId="65" applyFont="1" applyFill="1" applyBorder="1" applyAlignment="1">
      <alignment horizontal="left"/>
    </xf>
    <xf numFmtId="43" fontId="136" fillId="98" borderId="137" xfId="209" applyFont="1" applyFill="1" applyBorder="1"/>
    <xf numFmtId="43" fontId="136" fillId="98" borderId="138" xfId="209" applyFont="1" applyFill="1" applyBorder="1"/>
    <xf numFmtId="0" fontId="4" fillId="95" borderId="140" xfId="65" applyNumberFormat="1" applyFill="1" applyBorder="1" applyAlignment="1">
      <alignment vertical="top"/>
    </xf>
    <xf numFmtId="0" fontId="4" fillId="95" borderId="141" xfId="65" applyNumberFormat="1" applyFill="1" applyBorder="1" applyAlignment="1">
      <alignment horizontal="center" vertical="top"/>
    </xf>
    <xf numFmtId="0" fontId="13" fillId="95" borderId="141" xfId="65" applyNumberFormat="1" applyFont="1" applyFill="1" applyBorder="1" applyAlignment="1">
      <alignment horizontal="center" vertical="top" wrapText="1"/>
    </xf>
    <xf numFmtId="0" fontId="169" fillId="95" borderId="141" xfId="65" applyNumberFormat="1" applyFont="1" applyFill="1" applyBorder="1" applyAlignment="1">
      <alignment vertical="top"/>
    </xf>
    <xf numFmtId="0" fontId="4" fillId="95" borderId="141" xfId="65" applyNumberFormat="1" applyFill="1" applyBorder="1" applyAlignment="1">
      <alignment vertical="top"/>
    </xf>
    <xf numFmtId="0" fontId="4" fillId="95" borderId="142" xfId="65" applyNumberFormat="1" applyFill="1" applyBorder="1" applyAlignment="1">
      <alignment vertical="top"/>
    </xf>
    <xf numFmtId="0" fontId="4" fillId="95" borderId="141" xfId="65" applyNumberFormat="1" applyFill="1" applyBorder="1" applyAlignment="1">
      <alignment horizontal="left" vertical="top" wrapText="1"/>
    </xf>
    <xf numFmtId="0" fontId="4" fillId="95" borderId="143" xfId="65" applyNumberFormat="1" applyFill="1" applyBorder="1" applyAlignment="1">
      <alignment horizontal="center" vertical="top"/>
    </xf>
    <xf numFmtId="0" fontId="4" fillId="95" borderId="142" xfId="65" applyNumberFormat="1" applyFill="1" applyBorder="1" applyAlignment="1">
      <alignment horizontal="center" vertical="top"/>
    </xf>
    <xf numFmtId="0" fontId="4" fillId="95" borderId="102" xfId="65" applyNumberFormat="1" applyFill="1" applyBorder="1"/>
    <xf numFmtId="0" fontId="4" fillId="95" borderId="0" xfId="65" applyNumberFormat="1" applyFill="1" applyBorder="1"/>
    <xf numFmtId="0" fontId="4" fillId="95" borderId="0" xfId="65" applyNumberFormat="1" applyFill="1" applyBorder="1" applyAlignment="1">
      <alignment horizontal="center"/>
    </xf>
    <xf numFmtId="0" fontId="4" fillId="95" borderId="0" xfId="65" applyNumberFormat="1" applyFill="1" applyBorder="1" applyAlignment="1">
      <alignment horizontal="left"/>
    </xf>
    <xf numFmtId="0" fontId="4" fillId="95" borderId="103" xfId="65" applyNumberFormat="1" applyFill="1" applyBorder="1" applyAlignment="1">
      <alignment horizontal="left"/>
    </xf>
    <xf numFmtId="0" fontId="4" fillId="95" borderId="103" xfId="65" applyNumberFormat="1" applyFill="1" applyBorder="1"/>
    <xf numFmtId="0" fontId="4" fillId="95" borderId="108" xfId="65" applyNumberFormat="1" applyFill="1" applyBorder="1"/>
    <xf numFmtId="0" fontId="4" fillId="95" borderId="109" xfId="65" applyNumberFormat="1" applyFill="1" applyBorder="1"/>
    <xf numFmtId="0" fontId="4" fillId="95" borderId="109" xfId="209" applyNumberFormat="1" applyFill="1" applyBorder="1"/>
    <xf numFmtId="0" fontId="4" fillId="95" borderId="109" xfId="65" applyNumberFormat="1" applyFill="1" applyBorder="1" applyAlignment="1">
      <alignment horizontal="right"/>
    </xf>
    <xf numFmtId="0" fontId="4" fillId="95" borderId="110" xfId="65" applyNumberFormat="1" applyFill="1" applyBorder="1"/>
    <xf numFmtId="43" fontId="4" fillId="95" borderId="105" xfId="65" applyNumberFormat="1" applyFill="1" applyBorder="1"/>
    <xf numFmtId="43" fontId="136" fillId="98" borderId="139" xfId="65" applyNumberFormat="1" applyFont="1" applyFill="1" applyBorder="1"/>
    <xf numFmtId="43" fontId="4" fillId="95" borderId="0" xfId="65" applyNumberFormat="1" applyFill="1" applyBorder="1"/>
    <xf numFmtId="0" fontId="19" fillId="95" borderId="103" xfId="65" applyFont="1" applyFill="1" applyBorder="1"/>
    <xf numFmtId="43" fontId="136" fillId="98" borderId="88" xfId="65" applyNumberFormat="1" applyFont="1" applyFill="1" applyBorder="1"/>
    <xf numFmtId="0" fontId="19" fillId="95" borderId="102" xfId="65" applyFont="1" applyFill="1" applyBorder="1" applyAlignment="1">
      <alignment horizontal="right"/>
    </xf>
    <xf numFmtId="0" fontId="13" fillId="95" borderId="0" xfId="65" applyFont="1" applyFill="1" applyBorder="1" applyAlignment="1">
      <alignment horizontal="right"/>
    </xf>
    <xf numFmtId="43" fontId="0" fillId="95" borderId="1" xfId="209" applyFont="1" applyFill="1" applyBorder="1"/>
    <xf numFmtId="40" fontId="4" fillId="95" borderId="0" xfId="209" applyNumberFormat="1" applyFill="1" applyBorder="1"/>
    <xf numFmtId="0" fontId="4" fillId="95" borderId="112" xfId="65" applyFill="1" applyBorder="1"/>
    <xf numFmtId="0" fontId="4" fillId="95" borderId="80" xfId="65" applyFill="1" applyBorder="1"/>
    <xf numFmtId="40" fontId="4" fillId="95" borderId="80" xfId="209" applyNumberFormat="1" applyFill="1" applyBorder="1"/>
    <xf numFmtId="0" fontId="4" fillId="95" borderId="80" xfId="65" applyFill="1" applyBorder="1" applyAlignment="1">
      <alignment horizontal="right"/>
    </xf>
    <xf numFmtId="0" fontId="4" fillId="95" borderId="119" xfId="65" applyFill="1" applyBorder="1"/>
    <xf numFmtId="0" fontId="19" fillId="95" borderId="102" xfId="65" applyFont="1" applyFill="1" applyBorder="1"/>
    <xf numFmtId="43" fontId="136" fillId="98" borderId="87" xfId="65" applyNumberFormat="1" applyFont="1" applyFill="1" applyBorder="1"/>
    <xf numFmtId="0" fontId="4" fillId="95" borderId="104" xfId="65" applyNumberFormat="1" applyFill="1" applyBorder="1"/>
    <xf numFmtId="0" fontId="4" fillId="95" borderId="105" xfId="65" applyNumberFormat="1" applyFill="1" applyBorder="1"/>
    <xf numFmtId="0" fontId="4" fillId="95" borderId="105" xfId="65" applyNumberFormat="1" applyFill="1" applyBorder="1" applyAlignment="1">
      <alignment horizontal="center"/>
    </xf>
    <xf numFmtId="0" fontId="4" fillId="95" borderId="105" xfId="65" applyNumberFormat="1" applyFill="1" applyBorder="1" applyAlignment="1">
      <alignment horizontal="left"/>
    </xf>
    <xf numFmtId="0" fontId="4" fillId="95" borderId="106" xfId="65" applyNumberFormat="1" applyFill="1" applyBorder="1" applyAlignment="1">
      <alignment horizontal="left"/>
    </xf>
    <xf numFmtId="0" fontId="4" fillId="95" borderId="106" xfId="65" applyNumberFormat="1" applyFill="1" applyBorder="1"/>
    <xf numFmtId="0" fontId="4" fillId="95" borderId="0" xfId="209" applyNumberFormat="1" applyFill="1" applyBorder="1"/>
    <xf numFmtId="0" fontId="4" fillId="95" borderId="0" xfId="65" applyNumberFormat="1" applyFill="1" applyBorder="1" applyAlignment="1">
      <alignment horizontal="right"/>
    </xf>
    <xf numFmtId="0" fontId="4" fillId="95" borderId="112" xfId="65" applyNumberFormat="1" applyFill="1" applyBorder="1"/>
    <xf numFmtId="0" fontId="4" fillId="95" borderId="80" xfId="65" applyNumberFormat="1" applyFill="1" applyBorder="1"/>
    <xf numFmtId="0" fontId="4" fillId="95" borderId="80" xfId="209" applyNumberFormat="1" applyFill="1" applyBorder="1"/>
    <xf numFmtId="0" fontId="4" fillId="95" borderId="80" xfId="65" applyNumberFormat="1" applyFill="1" applyBorder="1" applyAlignment="1">
      <alignment horizontal="right"/>
    </xf>
    <xf numFmtId="0" fontId="4" fillId="95" borderId="119" xfId="65" applyNumberFormat="1" applyFill="1" applyBorder="1"/>
    <xf numFmtId="0" fontId="19" fillId="95" borderId="102" xfId="65" applyNumberFormat="1" applyFont="1" applyFill="1" applyBorder="1"/>
    <xf numFmtId="0" fontId="136" fillId="98" borderId="87" xfId="65" applyNumberFormat="1" applyFont="1" applyFill="1" applyBorder="1"/>
    <xf numFmtId="0" fontId="4" fillId="95" borderId="102" xfId="65" applyNumberFormat="1" applyFill="1" applyBorder="1" applyAlignment="1">
      <alignment horizontal="left"/>
    </xf>
    <xf numFmtId="0" fontId="230" fillId="95" borderId="0" xfId="65" quotePrefix="1" applyNumberFormat="1" applyFont="1" applyFill="1" applyBorder="1"/>
    <xf numFmtId="0" fontId="136" fillId="98" borderId="88" xfId="65" applyNumberFormat="1" applyFont="1" applyFill="1" applyBorder="1"/>
    <xf numFmtId="0" fontId="13" fillId="95" borderId="0" xfId="65" applyNumberFormat="1" applyFont="1" applyFill="1" applyBorder="1" applyAlignment="1">
      <alignment horizontal="right"/>
    </xf>
    <xf numFmtId="0" fontId="4" fillId="95" borderId="0" xfId="1" applyNumberFormat="1" applyFont="1" applyFill="1" applyBorder="1"/>
    <xf numFmtId="0" fontId="4" fillId="95" borderId="0" xfId="65" applyNumberFormat="1" applyFill="1"/>
    <xf numFmtId="0" fontId="4" fillId="95" borderId="0" xfId="65" applyNumberFormat="1" applyFill="1" applyAlignment="1">
      <alignment horizontal="center"/>
    </xf>
    <xf numFmtId="43" fontId="4" fillId="95" borderId="1" xfId="1" applyFont="1" applyFill="1" applyBorder="1"/>
    <xf numFmtId="0" fontId="4" fillId="95" borderId="1" xfId="65" applyFill="1" applyBorder="1"/>
    <xf numFmtId="43" fontId="4" fillId="95" borderId="109" xfId="65" applyNumberFormat="1" applyFill="1" applyBorder="1"/>
    <xf numFmtId="0" fontId="150" fillId="95" borderId="104" xfId="1530" applyFont="1" applyFill="1" applyBorder="1" applyAlignment="1"/>
    <xf numFmtId="0" fontId="150" fillId="95" borderId="105" xfId="1530" applyFont="1" applyFill="1" applyBorder="1" applyAlignment="1"/>
    <xf numFmtId="0" fontId="150" fillId="95" borderId="106" xfId="1530" applyFont="1" applyFill="1" applyBorder="1" applyAlignment="1"/>
    <xf numFmtId="0" fontId="152" fillId="95" borderId="102" xfId="1530" applyFont="1" applyFill="1" applyBorder="1" applyAlignment="1"/>
    <xf numFmtId="0" fontId="150" fillId="95" borderId="0" xfId="1530" applyFont="1" applyFill="1" applyBorder="1" applyAlignment="1"/>
    <xf numFmtId="0" fontId="150" fillId="95" borderId="103" xfId="1530" applyFont="1" applyFill="1" applyBorder="1" applyAlignment="1"/>
    <xf numFmtId="0" fontId="148" fillId="95" borderId="102" xfId="1530" applyFont="1" applyFill="1" applyBorder="1" applyAlignment="1"/>
    <xf numFmtId="0" fontId="150" fillId="95" borderId="102" xfId="1530" applyFont="1" applyFill="1" applyBorder="1" applyAlignment="1"/>
    <xf numFmtId="0" fontId="150" fillId="95" borderId="102" xfId="1530" applyFont="1" applyFill="1" applyBorder="1" applyAlignment="1">
      <alignment horizontal="left" wrapText="1"/>
    </xf>
    <xf numFmtId="0" fontId="150" fillId="95" borderId="0" xfId="1530" applyFont="1" applyFill="1" applyBorder="1" applyAlignment="1">
      <alignment horizontal="left" wrapText="1"/>
    </xf>
    <xf numFmtId="0" fontId="150" fillId="95" borderId="0" xfId="1530" applyFont="1" applyFill="1" applyBorder="1" applyAlignment="1">
      <alignment horizontal="right"/>
    </xf>
    <xf numFmtId="44" fontId="150" fillId="95" borderId="0" xfId="285" applyFont="1" applyFill="1" applyBorder="1" applyAlignment="1"/>
    <xf numFmtId="0" fontId="148" fillId="95" borderId="0" xfId="1530" applyFont="1" applyFill="1" applyBorder="1" applyAlignment="1"/>
    <xf numFmtId="0" fontId="148" fillId="95" borderId="0" xfId="1530" applyFont="1" applyFill="1" applyBorder="1" applyAlignment="1">
      <alignment horizontal="right"/>
    </xf>
    <xf numFmtId="44" fontId="148" fillId="95" borderId="0" xfId="285" applyFont="1" applyFill="1" applyBorder="1" applyAlignment="1"/>
    <xf numFmtId="0" fontId="13" fillId="95" borderId="1" xfId="29621" applyFont="1" applyFill="1" applyBorder="1" applyAlignment="1">
      <alignment horizontal="center"/>
    </xf>
    <xf numFmtId="0" fontId="13" fillId="95" borderId="1" xfId="29621" applyFont="1" applyFill="1" applyBorder="1" applyAlignment="1">
      <alignment horizontal="center" wrapText="1"/>
    </xf>
    <xf numFmtId="0" fontId="0" fillId="95" borderId="102" xfId="0" applyFill="1" applyBorder="1" applyAlignment="1">
      <alignment horizontal="left"/>
    </xf>
    <xf numFmtId="164" fontId="4" fillId="95" borderId="0" xfId="214" applyNumberFormat="1" applyFont="1" applyFill="1" applyBorder="1"/>
    <xf numFmtId="10" fontId="4" fillId="95" borderId="0" xfId="7" applyNumberFormat="1" applyFont="1" applyFill="1" applyBorder="1"/>
    <xf numFmtId="171" fontId="150" fillId="95" borderId="0" xfId="1530" applyNumberFormat="1" applyFont="1" applyFill="1" applyBorder="1" applyAlignment="1"/>
    <xf numFmtId="44" fontId="148" fillId="95" borderId="0" xfId="1530" applyNumberFormat="1" applyFont="1" applyFill="1" applyBorder="1" applyAlignment="1"/>
    <xf numFmtId="44" fontId="150" fillId="95" borderId="103" xfId="1530" applyNumberFormat="1" applyFont="1" applyFill="1" applyBorder="1" applyAlignment="1"/>
    <xf numFmtId="10" fontId="4" fillId="95" borderId="1" xfId="7" applyNumberFormat="1" applyFont="1" applyFill="1" applyBorder="1"/>
    <xf numFmtId="44" fontId="150" fillId="95" borderId="1" xfId="1530" applyNumberFormat="1" applyFont="1" applyFill="1" applyBorder="1" applyAlignment="1"/>
    <xf numFmtId="164" fontId="4" fillId="95" borderId="1" xfId="214" applyNumberFormat="1" applyFont="1" applyFill="1" applyBorder="1"/>
    <xf numFmtId="0" fontId="150" fillId="95" borderId="80" xfId="1530" applyFont="1" applyFill="1" applyBorder="1" applyAlignment="1"/>
    <xf numFmtId="164" fontId="13" fillId="95" borderId="0" xfId="29621" applyNumberFormat="1" applyFont="1" applyFill="1" applyBorder="1" applyAlignment="1"/>
    <xf numFmtId="9" fontId="13" fillId="95" borderId="0" xfId="2308" applyFont="1" applyFill="1" applyBorder="1" applyAlignment="1"/>
    <xf numFmtId="0" fontId="150" fillId="95" borderId="77" xfId="1530" applyFont="1" applyFill="1" applyBorder="1" applyAlignment="1"/>
    <xf numFmtId="0" fontId="150" fillId="95" borderId="108" xfId="1530" applyFont="1" applyFill="1" applyBorder="1" applyAlignment="1"/>
    <xf numFmtId="0" fontId="150" fillId="95" borderId="109" xfId="1530" applyFont="1" applyFill="1" applyBorder="1" applyAlignment="1"/>
    <xf numFmtId="44" fontId="150" fillId="95" borderId="109" xfId="1530" applyNumberFormat="1" applyFont="1" applyFill="1" applyBorder="1" applyAlignment="1"/>
    <xf numFmtId="0" fontId="150" fillId="95" borderId="110" xfId="1530" applyFont="1" applyFill="1" applyBorder="1" applyAlignment="1"/>
    <xf numFmtId="0" fontId="4" fillId="95" borderId="1" xfId="29621" applyFont="1" applyFill="1" applyBorder="1" applyAlignment="1"/>
    <xf numFmtId="0" fontId="148" fillId="95" borderId="120" xfId="0" applyFont="1" applyFill="1" applyBorder="1" applyAlignment="1">
      <alignment horizontal="center" wrapText="1"/>
    </xf>
    <xf numFmtId="0" fontId="150" fillId="95" borderId="102" xfId="0" applyFont="1" applyFill="1" applyBorder="1" applyAlignment="1">
      <alignment horizontal="left"/>
    </xf>
    <xf numFmtId="0" fontId="4" fillId="95" borderId="0" xfId="8" applyFont="1" applyFill="1" applyBorder="1" applyAlignment="1">
      <alignment horizontal="center"/>
    </xf>
    <xf numFmtId="0" fontId="4" fillId="95" borderId="0" xfId="532" applyFont="1" applyFill="1" applyBorder="1"/>
    <xf numFmtId="0" fontId="150" fillId="95" borderId="0" xfId="0" applyFont="1" applyFill="1" applyBorder="1"/>
    <xf numFmtId="171" fontId="13" fillId="95" borderId="0" xfId="62" applyNumberFormat="1" applyFont="1" applyFill="1" applyBorder="1" applyAlignment="1"/>
    <xf numFmtId="171" fontId="13" fillId="95" borderId="103" xfId="62" applyNumberFormat="1" applyFont="1" applyFill="1" applyBorder="1" applyAlignment="1"/>
    <xf numFmtId="3" fontId="150" fillId="95" borderId="0" xfId="0" applyNumberFormat="1" applyFont="1" applyFill="1" applyBorder="1"/>
    <xf numFmtId="44" fontId="150" fillId="95" borderId="0" xfId="62" applyFont="1" applyFill="1" applyBorder="1"/>
    <xf numFmtId="164" fontId="150" fillId="95" borderId="0" xfId="0" applyNumberFormat="1" applyFont="1" applyFill="1" applyBorder="1"/>
    <xf numFmtId="171" fontId="148" fillId="95" borderId="77" xfId="1530" applyNumberFormat="1" applyFont="1" applyFill="1" applyBorder="1" applyAlignment="1"/>
    <xf numFmtId="0" fontId="148" fillId="95" borderId="94" xfId="1530" applyFont="1" applyFill="1" applyBorder="1" applyAlignment="1"/>
    <xf numFmtId="0" fontId="148" fillId="95" borderId="107" xfId="1530" applyFont="1" applyFill="1" applyBorder="1" applyAlignment="1"/>
    <xf numFmtId="164" fontId="214" fillId="95" borderId="0" xfId="0" applyNumberFormat="1" applyFont="1" applyFill="1" applyBorder="1" applyAlignment="1">
      <alignment horizontal="left"/>
    </xf>
    <xf numFmtId="0" fontId="150" fillId="95" borderId="109" xfId="0" applyFont="1" applyFill="1" applyBorder="1"/>
    <xf numFmtId="164" fontId="150" fillId="95" borderId="109" xfId="0" applyNumberFormat="1" applyFont="1" applyFill="1" applyBorder="1"/>
    <xf numFmtId="3" fontId="150" fillId="95" borderId="109" xfId="0" applyNumberFormat="1" applyFont="1" applyFill="1" applyBorder="1"/>
    <xf numFmtId="44" fontId="150" fillId="95" borderId="109" xfId="62" applyFont="1" applyFill="1" applyBorder="1"/>
    <xf numFmtId="164" fontId="5" fillId="95" borderId="104" xfId="4" applyNumberFormat="1" applyFont="1" applyFill="1" applyBorder="1"/>
    <xf numFmtId="164" fontId="7" fillId="95" borderId="105" xfId="4" applyNumberFormat="1" applyFont="1" applyFill="1" applyBorder="1"/>
    <xf numFmtId="164" fontId="5" fillId="95" borderId="105" xfId="4" applyNumberFormat="1" applyFont="1" applyFill="1" applyBorder="1"/>
    <xf numFmtId="0" fontId="5" fillId="95" borderId="105" xfId="5" applyFont="1" applyFill="1" applyBorder="1"/>
    <xf numFmtId="0" fontId="5" fillId="95" borderId="106" xfId="5" applyFont="1" applyFill="1" applyBorder="1"/>
    <xf numFmtId="37" fontId="4" fillId="95" borderId="0" xfId="3" applyFont="1" applyFill="1"/>
    <xf numFmtId="37" fontId="4" fillId="95" borderId="103" xfId="3" applyFont="1" applyFill="1" applyBorder="1"/>
    <xf numFmtId="0" fontId="5" fillId="95" borderId="0" xfId="5" applyFont="1" applyFill="1"/>
    <xf numFmtId="0" fontId="5" fillId="95" borderId="103" xfId="5" applyFont="1" applyFill="1" applyBorder="1"/>
    <xf numFmtId="37" fontId="5" fillId="95" borderId="0" xfId="5" applyNumberFormat="1" applyFont="1" applyFill="1"/>
    <xf numFmtId="164" fontId="5" fillId="95" borderId="103" xfId="1" applyNumberFormat="1" applyFont="1" applyFill="1" applyBorder="1"/>
    <xf numFmtId="0" fontId="7" fillId="95" borderId="0" xfId="5" applyFont="1" applyFill="1"/>
    <xf numFmtId="0" fontId="4" fillId="95" borderId="102" xfId="6" applyNumberFormat="1" applyFont="1" applyFill="1" applyBorder="1" applyAlignment="1">
      <alignment horizontal="left" vertical="top" wrapText="1"/>
    </xf>
    <xf numFmtId="0" fontId="4" fillId="95" borderId="0" xfId="6" applyNumberFormat="1" applyFont="1" applyFill="1" applyBorder="1" applyAlignment="1">
      <alignment horizontal="left" vertical="top" wrapText="1"/>
    </xf>
    <xf numFmtId="164" fontId="4" fillId="95" borderId="77" xfId="6" applyNumberFormat="1" applyFont="1" applyFill="1" applyBorder="1"/>
    <xf numFmtId="164" fontId="4" fillId="95" borderId="107" xfId="6" applyNumberFormat="1" applyFont="1" applyFill="1" applyBorder="1"/>
    <xf numFmtId="0" fontId="4" fillId="95" borderId="108" xfId="6" applyNumberFormat="1" applyFont="1" applyFill="1" applyBorder="1" applyAlignment="1">
      <alignment horizontal="left" vertical="top" wrapText="1"/>
    </xf>
    <xf numFmtId="0" fontId="4" fillId="95" borderId="109" xfId="6" applyNumberFormat="1" applyFont="1" applyFill="1" applyBorder="1" applyAlignment="1">
      <alignment horizontal="left" vertical="top" wrapText="1"/>
    </xf>
    <xf numFmtId="164" fontId="26" fillId="95" borderId="109" xfId="6" applyNumberFormat="1" applyFont="1" applyFill="1" applyBorder="1"/>
    <xf numFmtId="164" fontId="19" fillId="95" borderId="109" xfId="6" applyNumberFormat="1" applyFont="1" applyFill="1" applyBorder="1"/>
    <xf numFmtId="0" fontId="30" fillId="95" borderId="98" xfId="2019" applyFont="1" applyFill="1" applyBorder="1" applyAlignment="1">
      <alignment horizontal="center"/>
    </xf>
    <xf numFmtId="164" fontId="30" fillId="95" borderId="99" xfId="794" applyNumberFormat="1" applyFont="1" applyFill="1" applyBorder="1" applyAlignment="1">
      <alignment horizontal="center" wrapText="1"/>
    </xf>
    <xf numFmtId="164" fontId="30" fillId="95" borderId="100" xfId="794" applyNumberFormat="1" applyFont="1" applyFill="1" applyBorder="1" applyAlignment="1">
      <alignment horizontal="center" wrapText="1"/>
    </xf>
    <xf numFmtId="164" fontId="30" fillId="95" borderId="101" xfId="794" applyNumberFormat="1" applyFont="1" applyFill="1" applyBorder="1" applyAlignment="1">
      <alignment horizontal="center" wrapText="1"/>
    </xf>
    <xf numFmtId="0" fontId="1" fillId="95" borderId="102" xfId="2019" applyFill="1" applyBorder="1" applyAlignment="1">
      <alignment horizontal="left"/>
    </xf>
    <xf numFmtId="10" fontId="0" fillId="95" borderId="0" xfId="2302" applyNumberFormat="1" applyFont="1" applyFill="1" applyBorder="1"/>
    <xf numFmtId="10" fontId="4" fillId="95" borderId="0" xfId="2272" applyNumberFormat="1" applyFont="1" applyFill="1" applyBorder="1"/>
    <xf numFmtId="10" fontId="5" fillId="95" borderId="103" xfId="2" applyNumberFormat="1" applyFont="1" applyFill="1" applyBorder="1"/>
    <xf numFmtId="0" fontId="30" fillId="95" borderId="108" xfId="2019" applyFont="1" applyFill="1" applyBorder="1" applyAlignment="1">
      <alignment horizontal="left"/>
    </xf>
    <xf numFmtId="10" fontId="30" fillId="95" borderId="109" xfId="2302" applyNumberFormat="1" applyFont="1" applyFill="1" applyBorder="1"/>
    <xf numFmtId="10" fontId="13" fillId="95" borderId="109" xfId="2" applyNumberFormat="1" applyFont="1" applyFill="1" applyBorder="1"/>
    <xf numFmtId="10" fontId="13" fillId="95" borderId="110" xfId="2" applyNumberFormat="1" applyFont="1" applyFill="1" applyBorder="1"/>
    <xf numFmtId="0" fontId="148" fillId="95" borderId="104" xfId="0" applyFont="1" applyFill="1" applyBorder="1"/>
    <xf numFmtId="0" fontId="148" fillId="95" borderId="0" xfId="43898" quotePrefix="1" applyFont="1" applyFill="1" applyAlignment="1">
      <alignment horizontal="center" wrapText="1"/>
    </xf>
    <xf numFmtId="1" fontId="150" fillId="95" borderId="102" xfId="3" applyNumberFormat="1" applyFont="1" applyFill="1" applyBorder="1"/>
    <xf numFmtId="37" fontId="150" fillId="95" borderId="0" xfId="3" applyFont="1" applyFill="1"/>
    <xf numFmtId="171" fontId="150" fillId="95" borderId="0" xfId="62" applyNumberFormat="1" applyFont="1" applyFill="1" applyBorder="1"/>
    <xf numFmtId="37" fontId="150" fillId="95" borderId="102" xfId="3" applyFont="1" applyFill="1" applyBorder="1"/>
    <xf numFmtId="171" fontId="150" fillId="95" borderId="80" xfId="62" applyNumberFormat="1" applyFont="1" applyFill="1" applyBorder="1"/>
    <xf numFmtId="10" fontId="150" fillId="95" borderId="77" xfId="578" applyNumberFormat="1" applyFont="1" applyFill="1" applyBorder="1"/>
    <xf numFmtId="10" fontId="148" fillId="95" borderId="77" xfId="578" applyNumberFormat="1" applyFont="1" applyFill="1" applyBorder="1"/>
    <xf numFmtId="37" fontId="161" fillId="95" borderId="0" xfId="3" applyFont="1" applyFill="1"/>
    <xf numFmtId="37" fontId="161" fillId="95" borderId="109" xfId="3" applyFont="1" applyFill="1" applyBorder="1"/>
    <xf numFmtId="0" fontId="150" fillId="95" borderId="105" xfId="0" applyFont="1" applyFill="1" applyBorder="1"/>
    <xf numFmtId="49" fontId="148" fillId="95" borderId="105" xfId="0" applyNumberFormat="1" applyFont="1" applyFill="1" applyBorder="1" applyAlignment="1">
      <alignment horizontal="center"/>
    </xf>
    <xf numFmtId="0" fontId="148" fillId="95" borderId="105" xfId="0" applyFont="1" applyFill="1" applyBorder="1" applyAlignment="1">
      <alignment horizontal="center"/>
    </xf>
    <xf numFmtId="164" fontId="241" fillId="95" borderId="105" xfId="1" applyNumberFormat="1" applyFont="1" applyFill="1" applyBorder="1"/>
    <xf numFmtId="0" fontId="148" fillId="95" borderId="105" xfId="0" applyFont="1" applyFill="1" applyBorder="1"/>
    <xf numFmtId="0" fontId="150" fillId="95" borderId="106" xfId="0" applyFont="1" applyFill="1" applyBorder="1" applyAlignment="1">
      <alignment horizontal="right" wrapText="1"/>
    </xf>
    <xf numFmtId="0" fontId="150" fillId="95" borderId="0" xfId="0" applyFont="1" applyFill="1"/>
    <xf numFmtId="0" fontId="148" fillId="95" borderId="0" xfId="0" quotePrefix="1" applyFont="1" applyFill="1" applyAlignment="1">
      <alignment horizontal="center"/>
    </xf>
    <xf numFmtId="164" fontId="148" fillId="95" borderId="0" xfId="1" applyNumberFormat="1" applyFont="1" applyFill="1" applyBorder="1"/>
    <xf numFmtId="0" fontId="148" fillId="95" borderId="0" xfId="0" applyFont="1" applyFill="1"/>
    <xf numFmtId="0" fontId="148" fillId="95" borderId="103" xfId="0" applyFont="1" applyFill="1" applyBorder="1" applyAlignment="1">
      <alignment horizontal="center" wrapText="1"/>
    </xf>
    <xf numFmtId="164" fontId="150" fillId="95" borderId="0" xfId="0" applyNumberFormat="1" applyFont="1" applyFill="1"/>
    <xf numFmtId="164" fontId="241" fillId="95" borderId="0" xfId="1" applyNumberFormat="1" applyFont="1" applyFill="1" applyBorder="1"/>
    <xf numFmtId="164" fontId="148" fillId="95" borderId="0" xfId="0" applyNumberFormat="1" applyFont="1" applyFill="1"/>
    <xf numFmtId="0" fontId="150" fillId="95" borderId="103" xfId="0" applyFont="1" applyFill="1" applyBorder="1" applyAlignment="1">
      <alignment horizontal="right" wrapText="1"/>
    </xf>
    <xf numFmtId="0" fontId="150" fillId="95" borderId="103" xfId="0" applyFont="1" applyFill="1" applyBorder="1" applyAlignment="1">
      <alignment horizontal="left" wrapText="1"/>
    </xf>
    <xf numFmtId="10" fontId="150" fillId="95" borderId="103" xfId="2" applyNumberFormat="1" applyFont="1" applyFill="1" applyBorder="1" applyAlignment="1">
      <alignment horizontal="right" wrapText="1"/>
    </xf>
    <xf numFmtId="171" fontId="148" fillId="95" borderId="80" xfId="62" applyNumberFormat="1" applyFont="1" applyFill="1" applyBorder="1"/>
    <xf numFmtId="10" fontId="148" fillId="95" borderId="77" xfId="2" applyNumberFormat="1" applyFont="1" applyFill="1" applyBorder="1"/>
    <xf numFmtId="171" fontId="150" fillId="95" borderId="0" xfId="62" applyNumberFormat="1" applyFont="1" applyFill="1"/>
    <xf numFmtId="0" fontId="150" fillId="95" borderId="108" xfId="0" applyFont="1" applyFill="1" applyBorder="1"/>
    <xf numFmtId="10" fontId="150" fillId="95" borderId="111" xfId="578" applyNumberFormat="1" applyFont="1" applyFill="1" applyBorder="1"/>
    <xf numFmtId="164" fontId="241" fillId="95" borderId="109" xfId="1" applyNumberFormat="1" applyFont="1" applyFill="1" applyBorder="1"/>
    <xf numFmtId="0" fontId="148" fillId="95" borderId="109" xfId="0" applyFont="1" applyFill="1" applyBorder="1"/>
    <xf numFmtId="0" fontId="150" fillId="95" borderId="110" xfId="0" applyFont="1" applyFill="1" applyBorder="1" applyAlignment="1">
      <alignment horizontal="right" wrapText="1"/>
    </xf>
  </cellXfs>
  <cellStyles count="46318">
    <cellStyle name="20% - Accent1 2" xfId="86" xr:uid="{00000000-0005-0000-0000-000000000000}"/>
    <cellStyle name="20% - Accent1 2 2" xfId="87" xr:uid="{00000000-0005-0000-0000-000001000000}"/>
    <cellStyle name="20% - Accent1 2 2 2" xfId="693" xr:uid="{00000000-0005-0000-0000-000002000000}"/>
    <cellStyle name="20% - Accent1 2 2 3" xfId="3893" xr:uid="{00000000-0005-0000-0000-000003000000}"/>
    <cellStyle name="20% - Accent1 2 3" xfId="88" xr:uid="{00000000-0005-0000-0000-000004000000}"/>
    <cellStyle name="20% - Accent1 2 3 2" xfId="3894" xr:uid="{00000000-0005-0000-0000-000005000000}"/>
    <cellStyle name="20% - Accent1 2 4" xfId="694" xr:uid="{00000000-0005-0000-0000-000006000000}"/>
    <cellStyle name="20% - Accent1 2 4 2" xfId="3895" xr:uid="{00000000-0005-0000-0000-000007000000}"/>
    <cellStyle name="20% - Accent1 2 5" xfId="695" xr:uid="{00000000-0005-0000-0000-000008000000}"/>
    <cellStyle name="20% - Accent1 2 6" xfId="2355" xr:uid="{00000000-0005-0000-0000-000009000000}"/>
    <cellStyle name="20% - Accent1 3" xfId="89" xr:uid="{00000000-0005-0000-0000-00000A000000}"/>
    <cellStyle name="20% - Accent1 3 2" xfId="90" xr:uid="{00000000-0005-0000-0000-00000B000000}"/>
    <cellStyle name="20% - Accent1 3 2 2" xfId="696" xr:uid="{00000000-0005-0000-0000-00000C000000}"/>
    <cellStyle name="20% - Accent1 3 3" xfId="91" xr:uid="{00000000-0005-0000-0000-00000D000000}"/>
    <cellStyle name="20% - Accent1 3 4" xfId="3896" xr:uid="{00000000-0005-0000-0000-00000E000000}"/>
    <cellStyle name="20% - Accent1 4" xfId="92" xr:uid="{00000000-0005-0000-0000-00000F000000}"/>
    <cellStyle name="20% - Accent1 4 2" xfId="697" xr:uid="{00000000-0005-0000-0000-000010000000}"/>
    <cellStyle name="20% - Accent1 4 2 2" xfId="38871" xr:uid="{00000000-0005-0000-0000-000011000000}"/>
    <cellStyle name="20% - Accent1 4 2 3" xfId="44788" xr:uid="{00000000-0005-0000-0000-000012000000}"/>
    <cellStyle name="20% - Accent1 4 3" xfId="3897" xr:uid="{00000000-0005-0000-0000-000013000000}"/>
    <cellStyle name="20% - Accent1 4 4" xfId="38872" xr:uid="{00000000-0005-0000-0000-000014000000}"/>
    <cellStyle name="20% - Accent1 4 5" xfId="38873" xr:uid="{00000000-0005-0000-0000-000015000000}"/>
    <cellStyle name="20% - Accent1 5" xfId="698" xr:uid="{00000000-0005-0000-0000-000016000000}"/>
    <cellStyle name="20% - Accent1 5 2" xfId="38874" xr:uid="{00000000-0005-0000-0000-000017000000}"/>
    <cellStyle name="20% - Accent1 5 3" xfId="44789" xr:uid="{00000000-0005-0000-0000-000018000000}"/>
    <cellStyle name="20% - Accent1 6" xfId="699" xr:uid="{00000000-0005-0000-0000-000019000000}"/>
    <cellStyle name="20% - Accent2 2" xfId="93" xr:uid="{00000000-0005-0000-0000-00001A000000}"/>
    <cellStyle name="20% - Accent2 2 2" xfId="700" xr:uid="{00000000-0005-0000-0000-00001B000000}"/>
    <cellStyle name="20% - Accent2 2 2 2" xfId="3898" xr:uid="{00000000-0005-0000-0000-00001C000000}"/>
    <cellStyle name="20% - Accent2 2 3" xfId="701" xr:uid="{00000000-0005-0000-0000-00001D000000}"/>
    <cellStyle name="20% - Accent2 2 3 2" xfId="3899" xr:uid="{00000000-0005-0000-0000-00001E000000}"/>
    <cellStyle name="20% - Accent2 2 4" xfId="2356" xr:uid="{00000000-0005-0000-0000-00001F000000}"/>
    <cellStyle name="20% - Accent2 2 5" xfId="46123" xr:uid="{00000000-0005-0000-0000-000020000000}"/>
    <cellStyle name="20% - Accent2 3" xfId="94" xr:uid="{00000000-0005-0000-0000-000021000000}"/>
    <cellStyle name="20% - Accent2 3 2" xfId="95" xr:uid="{00000000-0005-0000-0000-000022000000}"/>
    <cellStyle name="20% - Accent2 3 2 2" xfId="3900" xr:uid="{00000000-0005-0000-0000-000023000000}"/>
    <cellStyle name="20% - Accent2 3 3" xfId="702" xr:uid="{00000000-0005-0000-0000-000024000000}"/>
    <cellStyle name="20% - Accent2 4" xfId="651" xr:uid="{00000000-0005-0000-0000-000025000000}"/>
    <cellStyle name="20% - Accent2 4 2" xfId="703" xr:uid="{00000000-0005-0000-0000-000026000000}"/>
    <cellStyle name="20% - Accent2 4 2 2" xfId="38875" xr:uid="{00000000-0005-0000-0000-000027000000}"/>
    <cellStyle name="20% - Accent2 4 2 3" xfId="44790" xr:uid="{00000000-0005-0000-0000-000028000000}"/>
    <cellStyle name="20% - Accent2 4 3" xfId="3901" xr:uid="{00000000-0005-0000-0000-000029000000}"/>
    <cellStyle name="20% - Accent2 4 4" xfId="44791" xr:uid="{00000000-0005-0000-0000-00002A000000}"/>
    <cellStyle name="20% - Accent2 4 5" xfId="46124" xr:uid="{00000000-0005-0000-0000-00002B000000}"/>
    <cellStyle name="20% - Accent2 5" xfId="704" xr:uid="{00000000-0005-0000-0000-00002C000000}"/>
    <cellStyle name="20% - Accent2 5 2" xfId="38876" xr:uid="{00000000-0005-0000-0000-00002D000000}"/>
    <cellStyle name="20% - Accent2 5 3" xfId="44792" xr:uid="{00000000-0005-0000-0000-00002E000000}"/>
    <cellStyle name="20% - Accent2 6" xfId="705" xr:uid="{00000000-0005-0000-0000-00002F000000}"/>
    <cellStyle name="20% - Accent3 2" xfId="96" xr:uid="{00000000-0005-0000-0000-000030000000}"/>
    <cellStyle name="20% - Accent3 2 2" xfId="706" xr:uid="{00000000-0005-0000-0000-000031000000}"/>
    <cellStyle name="20% - Accent3 2 2 2" xfId="3902" xr:uid="{00000000-0005-0000-0000-000032000000}"/>
    <cellStyle name="20% - Accent3 2 2 3" xfId="44793" xr:uid="{00000000-0005-0000-0000-000033000000}"/>
    <cellStyle name="20% - Accent3 2 3" xfId="2357" xr:uid="{00000000-0005-0000-0000-000034000000}"/>
    <cellStyle name="20% - Accent3 3" xfId="97" xr:uid="{00000000-0005-0000-0000-000035000000}"/>
    <cellStyle name="20% - Accent3 3 2" xfId="98" xr:uid="{00000000-0005-0000-0000-000036000000}"/>
    <cellStyle name="20% - Accent3 3 2 2" xfId="3903" xr:uid="{00000000-0005-0000-0000-000037000000}"/>
    <cellStyle name="20% - Accent3 3 3" xfId="707" xr:uid="{00000000-0005-0000-0000-000038000000}"/>
    <cellStyle name="20% - Accent3 4" xfId="652" xr:uid="{00000000-0005-0000-0000-000039000000}"/>
    <cellStyle name="20% - Accent3 4 2" xfId="708" xr:uid="{00000000-0005-0000-0000-00003A000000}"/>
    <cellStyle name="20% - Accent3 4 2 2" xfId="38877" xr:uid="{00000000-0005-0000-0000-00003B000000}"/>
    <cellStyle name="20% - Accent3 4 2 3" xfId="44794" xr:uid="{00000000-0005-0000-0000-00003C000000}"/>
    <cellStyle name="20% - Accent3 4 3" xfId="3904" xr:uid="{00000000-0005-0000-0000-00003D000000}"/>
    <cellStyle name="20% - Accent3 4 4" xfId="44795" xr:uid="{00000000-0005-0000-0000-00003E000000}"/>
    <cellStyle name="20% - Accent3 4 5" xfId="46125" xr:uid="{00000000-0005-0000-0000-00003F000000}"/>
    <cellStyle name="20% - Accent3 5" xfId="709" xr:uid="{00000000-0005-0000-0000-000040000000}"/>
    <cellStyle name="20% - Accent3 5 2" xfId="38878" xr:uid="{00000000-0005-0000-0000-000041000000}"/>
    <cellStyle name="20% - Accent3 5 3" xfId="44796" xr:uid="{00000000-0005-0000-0000-000042000000}"/>
    <cellStyle name="20% - Accent3 6" xfId="710" xr:uid="{00000000-0005-0000-0000-000043000000}"/>
    <cellStyle name="20% - Accent4 2" xfId="99" xr:uid="{00000000-0005-0000-0000-000044000000}"/>
    <cellStyle name="20% - Accent4 2 2" xfId="100" xr:uid="{00000000-0005-0000-0000-000045000000}"/>
    <cellStyle name="20% - Accent4 2 2 2" xfId="711" xr:uid="{00000000-0005-0000-0000-000046000000}"/>
    <cellStyle name="20% - Accent4 2 2 3" xfId="3905" xr:uid="{00000000-0005-0000-0000-000047000000}"/>
    <cellStyle name="20% - Accent4 2 3" xfId="101" xr:uid="{00000000-0005-0000-0000-000048000000}"/>
    <cellStyle name="20% - Accent4 2 3 2" xfId="3906" xr:uid="{00000000-0005-0000-0000-000049000000}"/>
    <cellStyle name="20% - Accent4 2 4" xfId="2358" xr:uid="{00000000-0005-0000-0000-00004A000000}"/>
    <cellStyle name="20% - Accent4 3" xfId="102" xr:uid="{00000000-0005-0000-0000-00004B000000}"/>
    <cellStyle name="20% - Accent4 3 2" xfId="103" xr:uid="{00000000-0005-0000-0000-00004C000000}"/>
    <cellStyle name="20% - Accent4 3 2 2" xfId="712" xr:uid="{00000000-0005-0000-0000-00004D000000}"/>
    <cellStyle name="20% - Accent4 3 3" xfId="104" xr:uid="{00000000-0005-0000-0000-00004E000000}"/>
    <cellStyle name="20% - Accent4 3 4" xfId="3907" xr:uid="{00000000-0005-0000-0000-00004F000000}"/>
    <cellStyle name="20% - Accent4 4" xfId="105" xr:uid="{00000000-0005-0000-0000-000050000000}"/>
    <cellStyle name="20% - Accent4 4 2" xfId="713" xr:uid="{00000000-0005-0000-0000-000051000000}"/>
    <cellStyle name="20% - Accent4 4 2 2" xfId="38879" xr:uid="{00000000-0005-0000-0000-000052000000}"/>
    <cellStyle name="20% - Accent4 4 2 3" xfId="44797" xr:uid="{00000000-0005-0000-0000-000053000000}"/>
    <cellStyle name="20% - Accent4 4 3" xfId="3908" xr:uid="{00000000-0005-0000-0000-000054000000}"/>
    <cellStyle name="20% - Accent4 4 4" xfId="38880" xr:uid="{00000000-0005-0000-0000-000055000000}"/>
    <cellStyle name="20% - Accent4 4 5" xfId="38881" xr:uid="{00000000-0005-0000-0000-000056000000}"/>
    <cellStyle name="20% - Accent4 5" xfId="714" xr:uid="{00000000-0005-0000-0000-000057000000}"/>
    <cellStyle name="20% - Accent4 5 2" xfId="38882" xr:uid="{00000000-0005-0000-0000-000058000000}"/>
    <cellStyle name="20% - Accent4 5 3" xfId="44798" xr:uid="{00000000-0005-0000-0000-000059000000}"/>
    <cellStyle name="20% - Accent4 6" xfId="715" xr:uid="{00000000-0005-0000-0000-00005A000000}"/>
    <cellStyle name="20% - Accent5 2" xfId="106" xr:uid="{00000000-0005-0000-0000-00005B000000}"/>
    <cellStyle name="20% - Accent5 2 2" xfId="716" xr:uid="{00000000-0005-0000-0000-00005C000000}"/>
    <cellStyle name="20% - Accent5 2 2 2" xfId="38883" xr:uid="{00000000-0005-0000-0000-00005D000000}"/>
    <cellStyle name="20% - Accent5 2 2 3" xfId="44799" xr:uid="{00000000-0005-0000-0000-00005E000000}"/>
    <cellStyle name="20% - Accent5 3" xfId="107" xr:uid="{00000000-0005-0000-0000-00005F000000}"/>
    <cellStyle name="20% - Accent5 3 2" xfId="717" xr:uid="{00000000-0005-0000-0000-000060000000}"/>
    <cellStyle name="20% - Accent5 3 2 2" xfId="38884" xr:uid="{00000000-0005-0000-0000-000061000000}"/>
    <cellStyle name="20% - Accent5 3 2 3" xfId="44800" xr:uid="{00000000-0005-0000-0000-000062000000}"/>
    <cellStyle name="20% - Accent5 3 3" xfId="718" xr:uid="{00000000-0005-0000-0000-000063000000}"/>
    <cellStyle name="20% - Accent5 4" xfId="653" xr:uid="{00000000-0005-0000-0000-000064000000}"/>
    <cellStyle name="20% - Accent5 4 2" xfId="719" xr:uid="{00000000-0005-0000-0000-000065000000}"/>
    <cellStyle name="20% - Accent5 4 2 2" xfId="38885" xr:uid="{00000000-0005-0000-0000-000066000000}"/>
    <cellStyle name="20% - Accent5 4 2 3" xfId="44801" xr:uid="{00000000-0005-0000-0000-000067000000}"/>
    <cellStyle name="20% - Accent5 4 3" xfId="38886" xr:uid="{00000000-0005-0000-0000-000068000000}"/>
    <cellStyle name="20% - Accent5 4 4" xfId="44802" xr:uid="{00000000-0005-0000-0000-000069000000}"/>
    <cellStyle name="20% - Accent5 4 5" xfId="46126" xr:uid="{00000000-0005-0000-0000-00006A000000}"/>
    <cellStyle name="20% - Accent5 5" xfId="720" xr:uid="{00000000-0005-0000-0000-00006B000000}"/>
    <cellStyle name="20% - Accent5 5 2" xfId="38887" xr:uid="{00000000-0005-0000-0000-00006C000000}"/>
    <cellStyle name="20% - Accent5 5 3" xfId="44803" xr:uid="{00000000-0005-0000-0000-00006D000000}"/>
    <cellStyle name="20% - Accent5 6" xfId="38888" xr:uid="{00000000-0005-0000-0000-00006E000000}"/>
    <cellStyle name="20% - Accent6 2" xfId="108" xr:uid="{00000000-0005-0000-0000-00006F000000}"/>
    <cellStyle name="20% - Accent6 2 2" xfId="721" xr:uid="{00000000-0005-0000-0000-000070000000}"/>
    <cellStyle name="20% - Accent6 2 2 2" xfId="3909" xr:uid="{00000000-0005-0000-0000-000071000000}"/>
    <cellStyle name="20% - Accent6 2 3" xfId="722" xr:uid="{00000000-0005-0000-0000-000072000000}"/>
    <cellStyle name="20% - Accent6 2 3 2" xfId="3910" xr:uid="{00000000-0005-0000-0000-000073000000}"/>
    <cellStyle name="20% - Accent6 2 4" xfId="46127" xr:uid="{00000000-0005-0000-0000-000074000000}"/>
    <cellStyle name="20% - Accent6 3" xfId="109" xr:uid="{00000000-0005-0000-0000-000075000000}"/>
    <cellStyle name="20% - Accent6 3 2" xfId="110" xr:uid="{00000000-0005-0000-0000-000076000000}"/>
    <cellStyle name="20% - Accent6 3 2 2" xfId="3911" xr:uid="{00000000-0005-0000-0000-000077000000}"/>
    <cellStyle name="20% - Accent6 3 3" xfId="723" xr:uid="{00000000-0005-0000-0000-000078000000}"/>
    <cellStyle name="20% - Accent6 4" xfId="654" xr:uid="{00000000-0005-0000-0000-000079000000}"/>
    <cellStyle name="20% - Accent6 4 2" xfId="724" xr:uid="{00000000-0005-0000-0000-00007A000000}"/>
    <cellStyle name="20% - Accent6 4 2 2" xfId="38889" xr:uid="{00000000-0005-0000-0000-00007B000000}"/>
    <cellStyle name="20% - Accent6 4 2 3" xfId="44804" xr:uid="{00000000-0005-0000-0000-00007C000000}"/>
    <cellStyle name="20% - Accent6 4 3" xfId="38890" xr:uid="{00000000-0005-0000-0000-00007D000000}"/>
    <cellStyle name="20% - Accent6 4 4" xfId="44805" xr:uid="{00000000-0005-0000-0000-00007E000000}"/>
    <cellStyle name="20% - Accent6 4 5" xfId="46128" xr:uid="{00000000-0005-0000-0000-00007F000000}"/>
    <cellStyle name="20% - Accent6 5" xfId="725" xr:uid="{00000000-0005-0000-0000-000080000000}"/>
    <cellStyle name="20% - Accent6 5 2" xfId="38891" xr:uid="{00000000-0005-0000-0000-000081000000}"/>
    <cellStyle name="20% - Accent6 5 3" xfId="44806" xr:uid="{00000000-0005-0000-0000-000082000000}"/>
    <cellStyle name="20% - Accent6 6" xfId="38892" xr:uid="{00000000-0005-0000-0000-000083000000}"/>
    <cellStyle name="40% - Accent1 2" xfId="111" xr:uid="{00000000-0005-0000-0000-000084000000}"/>
    <cellStyle name="40% - Accent1 2 2" xfId="655" xr:uid="{00000000-0005-0000-0000-000085000000}"/>
    <cellStyle name="40% - Accent1 2 2 2" xfId="42490" xr:uid="{00000000-0005-0000-0000-000086000000}"/>
    <cellStyle name="40% - Accent1 2 2 3" xfId="44807" xr:uid="{00000000-0005-0000-0000-000087000000}"/>
    <cellStyle name="40% - Accent1 2 2 4" xfId="46129" xr:uid="{00000000-0005-0000-0000-000088000000}"/>
    <cellStyle name="40% - Accent1 2 3" xfId="726" xr:uid="{00000000-0005-0000-0000-000089000000}"/>
    <cellStyle name="40% - Accent1 2 4" xfId="2359" xr:uid="{00000000-0005-0000-0000-00008A000000}"/>
    <cellStyle name="40% - Accent1 3" xfId="112" xr:uid="{00000000-0005-0000-0000-00008B000000}"/>
    <cellStyle name="40% - Accent1 3 2" xfId="113" xr:uid="{00000000-0005-0000-0000-00008C000000}"/>
    <cellStyle name="40% - Accent1 3 2 2" xfId="727" xr:uid="{00000000-0005-0000-0000-00008D000000}"/>
    <cellStyle name="40% - Accent1 3 3" xfId="114" xr:uid="{00000000-0005-0000-0000-00008E000000}"/>
    <cellStyle name="40% - Accent1 3 4" xfId="3912" xr:uid="{00000000-0005-0000-0000-00008F000000}"/>
    <cellStyle name="40% - Accent1 4" xfId="115" xr:uid="{00000000-0005-0000-0000-000090000000}"/>
    <cellStyle name="40% - Accent1 4 2" xfId="728" xr:uid="{00000000-0005-0000-0000-000091000000}"/>
    <cellStyle name="40% - Accent1 4 2 2" xfId="38893" xr:uid="{00000000-0005-0000-0000-000092000000}"/>
    <cellStyle name="40% - Accent1 4 2 3" xfId="44808" xr:uid="{00000000-0005-0000-0000-000093000000}"/>
    <cellStyle name="40% - Accent1 4 3" xfId="3913" xr:uid="{00000000-0005-0000-0000-000094000000}"/>
    <cellStyle name="40% - Accent1 5" xfId="729" xr:uid="{00000000-0005-0000-0000-000095000000}"/>
    <cellStyle name="40% - Accent1 5 2" xfId="38894" xr:uid="{00000000-0005-0000-0000-000096000000}"/>
    <cellStyle name="40% - Accent1 5 3" xfId="44809" xr:uid="{00000000-0005-0000-0000-000097000000}"/>
    <cellStyle name="40% - Accent1 6" xfId="730" xr:uid="{00000000-0005-0000-0000-000098000000}"/>
    <cellStyle name="40% - Accent1 7" xfId="38895" xr:uid="{00000000-0005-0000-0000-000099000000}"/>
    <cellStyle name="40% - Accent2 2" xfId="116" xr:uid="{00000000-0005-0000-0000-00009A000000}"/>
    <cellStyle name="40% - Accent2 2 2" xfId="731" xr:uid="{00000000-0005-0000-0000-00009B000000}"/>
    <cellStyle name="40% - Accent2 2 2 2" xfId="38896" xr:uid="{00000000-0005-0000-0000-00009C000000}"/>
    <cellStyle name="40% - Accent2 2 2 3" xfId="44810" xr:uid="{00000000-0005-0000-0000-00009D000000}"/>
    <cellStyle name="40% - Accent2 3" xfId="117" xr:uid="{00000000-0005-0000-0000-00009E000000}"/>
    <cellStyle name="40% - Accent2 3 2" xfId="732" xr:uid="{00000000-0005-0000-0000-00009F000000}"/>
    <cellStyle name="40% - Accent2 3 2 2" xfId="38897" xr:uid="{00000000-0005-0000-0000-0000A0000000}"/>
    <cellStyle name="40% - Accent2 3 2 3" xfId="44811" xr:uid="{00000000-0005-0000-0000-0000A1000000}"/>
    <cellStyle name="40% - Accent2 3 3" xfId="733" xr:uid="{00000000-0005-0000-0000-0000A2000000}"/>
    <cellStyle name="40% - Accent2 4" xfId="656" xr:uid="{00000000-0005-0000-0000-0000A3000000}"/>
    <cellStyle name="40% - Accent2 4 2" xfId="734" xr:uid="{00000000-0005-0000-0000-0000A4000000}"/>
    <cellStyle name="40% - Accent2 4 2 2" xfId="38898" xr:uid="{00000000-0005-0000-0000-0000A5000000}"/>
    <cellStyle name="40% - Accent2 4 2 3" xfId="44812" xr:uid="{00000000-0005-0000-0000-0000A6000000}"/>
    <cellStyle name="40% - Accent2 4 3" xfId="38899" xr:uid="{00000000-0005-0000-0000-0000A7000000}"/>
    <cellStyle name="40% - Accent2 4 4" xfId="44813" xr:uid="{00000000-0005-0000-0000-0000A8000000}"/>
    <cellStyle name="40% - Accent2 4 5" xfId="46130" xr:uid="{00000000-0005-0000-0000-0000A9000000}"/>
    <cellStyle name="40% - Accent2 5" xfId="735" xr:uid="{00000000-0005-0000-0000-0000AA000000}"/>
    <cellStyle name="40% - Accent2 5 2" xfId="38900" xr:uid="{00000000-0005-0000-0000-0000AB000000}"/>
    <cellStyle name="40% - Accent2 5 3" xfId="44814" xr:uid="{00000000-0005-0000-0000-0000AC000000}"/>
    <cellStyle name="40% - Accent2 6" xfId="38901" xr:uid="{00000000-0005-0000-0000-0000AD000000}"/>
    <cellStyle name="40% - Accent3 2" xfId="118" xr:uid="{00000000-0005-0000-0000-0000AE000000}"/>
    <cellStyle name="40% - Accent3 2 2" xfId="736" xr:uid="{00000000-0005-0000-0000-0000AF000000}"/>
    <cellStyle name="40% - Accent3 2 2 2" xfId="3914" xr:uid="{00000000-0005-0000-0000-0000B0000000}"/>
    <cellStyle name="40% - Accent3 2 3" xfId="737" xr:uid="{00000000-0005-0000-0000-0000B1000000}"/>
    <cellStyle name="40% - Accent3 2 3 2" xfId="3915" xr:uid="{00000000-0005-0000-0000-0000B2000000}"/>
    <cellStyle name="40% - Accent3 2 4" xfId="2360" xr:uid="{00000000-0005-0000-0000-0000B3000000}"/>
    <cellStyle name="40% - Accent3 2 5" xfId="46131" xr:uid="{00000000-0005-0000-0000-0000B4000000}"/>
    <cellStyle name="40% - Accent3 3" xfId="119" xr:uid="{00000000-0005-0000-0000-0000B5000000}"/>
    <cellStyle name="40% - Accent3 3 2" xfId="120" xr:uid="{00000000-0005-0000-0000-0000B6000000}"/>
    <cellStyle name="40% - Accent3 3 2 2" xfId="3916" xr:uid="{00000000-0005-0000-0000-0000B7000000}"/>
    <cellStyle name="40% - Accent3 3 3" xfId="738" xr:uid="{00000000-0005-0000-0000-0000B8000000}"/>
    <cellStyle name="40% - Accent3 4" xfId="657" xr:uid="{00000000-0005-0000-0000-0000B9000000}"/>
    <cellStyle name="40% - Accent3 4 2" xfId="739" xr:uid="{00000000-0005-0000-0000-0000BA000000}"/>
    <cellStyle name="40% - Accent3 4 2 2" xfId="38902" xr:uid="{00000000-0005-0000-0000-0000BB000000}"/>
    <cellStyle name="40% - Accent3 4 2 3" xfId="44815" xr:uid="{00000000-0005-0000-0000-0000BC000000}"/>
    <cellStyle name="40% - Accent3 4 3" xfId="3917" xr:uid="{00000000-0005-0000-0000-0000BD000000}"/>
    <cellStyle name="40% - Accent3 4 4" xfId="44816" xr:uid="{00000000-0005-0000-0000-0000BE000000}"/>
    <cellStyle name="40% - Accent3 4 5" xfId="46132" xr:uid="{00000000-0005-0000-0000-0000BF000000}"/>
    <cellStyle name="40% - Accent3 5" xfId="740" xr:uid="{00000000-0005-0000-0000-0000C0000000}"/>
    <cellStyle name="40% - Accent3 5 2" xfId="38903" xr:uid="{00000000-0005-0000-0000-0000C1000000}"/>
    <cellStyle name="40% - Accent3 5 3" xfId="44817" xr:uid="{00000000-0005-0000-0000-0000C2000000}"/>
    <cellStyle name="40% - Accent3 6" xfId="741" xr:uid="{00000000-0005-0000-0000-0000C3000000}"/>
    <cellStyle name="40% - Accent4 2" xfId="121" xr:uid="{00000000-0005-0000-0000-0000C4000000}"/>
    <cellStyle name="40% - Accent4 2 2" xfId="658" xr:uid="{00000000-0005-0000-0000-0000C5000000}"/>
    <cellStyle name="40% - Accent4 2 2 2" xfId="42491" xr:uid="{00000000-0005-0000-0000-0000C6000000}"/>
    <cellStyle name="40% - Accent4 2 2 3" xfId="44818" xr:uid="{00000000-0005-0000-0000-0000C7000000}"/>
    <cellStyle name="40% - Accent4 2 2 4" xfId="46133" xr:uid="{00000000-0005-0000-0000-0000C8000000}"/>
    <cellStyle name="40% - Accent4 2 3" xfId="742" xr:uid="{00000000-0005-0000-0000-0000C9000000}"/>
    <cellStyle name="40% - Accent4 2 4" xfId="2361" xr:uid="{00000000-0005-0000-0000-0000CA000000}"/>
    <cellStyle name="40% - Accent4 3" xfId="122" xr:uid="{00000000-0005-0000-0000-0000CB000000}"/>
    <cellStyle name="40% - Accent4 3 2" xfId="123" xr:uid="{00000000-0005-0000-0000-0000CC000000}"/>
    <cellStyle name="40% - Accent4 3 2 2" xfId="743" xr:uid="{00000000-0005-0000-0000-0000CD000000}"/>
    <cellStyle name="40% - Accent4 3 3" xfId="124" xr:uid="{00000000-0005-0000-0000-0000CE000000}"/>
    <cellStyle name="40% - Accent4 3 4" xfId="3918" xr:uid="{00000000-0005-0000-0000-0000CF000000}"/>
    <cellStyle name="40% - Accent4 4" xfId="125" xr:uid="{00000000-0005-0000-0000-0000D0000000}"/>
    <cellStyle name="40% - Accent4 4 2" xfId="744" xr:uid="{00000000-0005-0000-0000-0000D1000000}"/>
    <cellStyle name="40% - Accent4 4 2 2" xfId="38904" xr:uid="{00000000-0005-0000-0000-0000D2000000}"/>
    <cellStyle name="40% - Accent4 4 2 3" xfId="44819" xr:uid="{00000000-0005-0000-0000-0000D3000000}"/>
    <cellStyle name="40% - Accent4 4 3" xfId="3919" xr:uid="{00000000-0005-0000-0000-0000D4000000}"/>
    <cellStyle name="40% - Accent4 5" xfId="745" xr:uid="{00000000-0005-0000-0000-0000D5000000}"/>
    <cellStyle name="40% - Accent4 5 2" xfId="38905" xr:uid="{00000000-0005-0000-0000-0000D6000000}"/>
    <cellStyle name="40% - Accent4 5 3" xfId="44820" xr:uid="{00000000-0005-0000-0000-0000D7000000}"/>
    <cellStyle name="40% - Accent4 6" xfId="746" xr:uid="{00000000-0005-0000-0000-0000D8000000}"/>
    <cellStyle name="40% - Accent4 7" xfId="38906" xr:uid="{00000000-0005-0000-0000-0000D9000000}"/>
    <cellStyle name="40% - Accent5 2" xfId="126" xr:uid="{00000000-0005-0000-0000-0000DA000000}"/>
    <cellStyle name="40% - Accent5 2 2" xfId="659" xr:uid="{00000000-0005-0000-0000-0000DB000000}"/>
    <cellStyle name="40% - Accent5 2 2 2" xfId="42492" xr:uid="{00000000-0005-0000-0000-0000DC000000}"/>
    <cellStyle name="40% - Accent5 2 2 3" xfId="44821" xr:uid="{00000000-0005-0000-0000-0000DD000000}"/>
    <cellStyle name="40% - Accent5 2 2 4" xfId="46134" xr:uid="{00000000-0005-0000-0000-0000DE000000}"/>
    <cellStyle name="40% - Accent5 2 3" xfId="747" xr:uid="{00000000-0005-0000-0000-0000DF000000}"/>
    <cellStyle name="40% - Accent5 3" xfId="127" xr:uid="{00000000-0005-0000-0000-0000E0000000}"/>
    <cellStyle name="40% - Accent5 3 2" xfId="128" xr:uid="{00000000-0005-0000-0000-0000E1000000}"/>
    <cellStyle name="40% - Accent5 3 2 2" xfId="3920" xr:uid="{00000000-0005-0000-0000-0000E2000000}"/>
    <cellStyle name="40% - Accent5 3 3" xfId="748" xr:uid="{00000000-0005-0000-0000-0000E3000000}"/>
    <cellStyle name="40% - Accent5 4" xfId="660" xr:uid="{00000000-0005-0000-0000-0000E4000000}"/>
    <cellStyle name="40% - Accent5 4 2" xfId="749" xr:uid="{00000000-0005-0000-0000-0000E5000000}"/>
    <cellStyle name="40% - Accent5 4 2 2" xfId="38907" xr:uid="{00000000-0005-0000-0000-0000E6000000}"/>
    <cellStyle name="40% - Accent5 4 2 3" xfId="44822" xr:uid="{00000000-0005-0000-0000-0000E7000000}"/>
    <cellStyle name="40% - Accent5 4 3" xfId="38908" xr:uid="{00000000-0005-0000-0000-0000E8000000}"/>
    <cellStyle name="40% - Accent5 4 4" xfId="44823" xr:uid="{00000000-0005-0000-0000-0000E9000000}"/>
    <cellStyle name="40% - Accent5 4 5" xfId="46135" xr:uid="{00000000-0005-0000-0000-0000EA000000}"/>
    <cellStyle name="40% - Accent5 5" xfId="750" xr:uid="{00000000-0005-0000-0000-0000EB000000}"/>
    <cellStyle name="40% - Accent5 5 2" xfId="38909" xr:uid="{00000000-0005-0000-0000-0000EC000000}"/>
    <cellStyle name="40% - Accent5 5 3" xfId="44824" xr:uid="{00000000-0005-0000-0000-0000ED000000}"/>
    <cellStyle name="40% - Accent5 6" xfId="38910" xr:uid="{00000000-0005-0000-0000-0000EE000000}"/>
    <cellStyle name="40% - Accent6 2" xfId="129" xr:uid="{00000000-0005-0000-0000-0000EF000000}"/>
    <cellStyle name="40% - Accent6 2 2" xfId="661" xr:uid="{00000000-0005-0000-0000-0000F0000000}"/>
    <cellStyle name="40% - Accent6 2 2 2" xfId="751" xr:uid="{00000000-0005-0000-0000-0000F1000000}"/>
    <cellStyle name="40% - Accent6 2 2 3" xfId="44825" xr:uid="{00000000-0005-0000-0000-0000F2000000}"/>
    <cellStyle name="40% - Accent6 2 2 4" xfId="46136" xr:uid="{00000000-0005-0000-0000-0000F3000000}"/>
    <cellStyle name="40% - Accent6 2 3" xfId="752" xr:uid="{00000000-0005-0000-0000-0000F4000000}"/>
    <cellStyle name="40% - Accent6 2 3 2" xfId="3921" xr:uid="{00000000-0005-0000-0000-0000F5000000}"/>
    <cellStyle name="40% - Accent6 2 4" xfId="2362" xr:uid="{00000000-0005-0000-0000-0000F6000000}"/>
    <cellStyle name="40% - Accent6 3" xfId="130" xr:uid="{00000000-0005-0000-0000-0000F7000000}"/>
    <cellStyle name="40% - Accent6 3 2" xfId="131" xr:uid="{00000000-0005-0000-0000-0000F8000000}"/>
    <cellStyle name="40% - Accent6 3 2 2" xfId="753" xr:uid="{00000000-0005-0000-0000-0000F9000000}"/>
    <cellStyle name="40% - Accent6 3 3" xfId="132" xr:uid="{00000000-0005-0000-0000-0000FA000000}"/>
    <cellStyle name="40% - Accent6 3 4" xfId="3922" xr:uid="{00000000-0005-0000-0000-0000FB000000}"/>
    <cellStyle name="40% - Accent6 4" xfId="133" xr:uid="{00000000-0005-0000-0000-0000FC000000}"/>
    <cellStyle name="40% - Accent6 4 2" xfId="754" xr:uid="{00000000-0005-0000-0000-0000FD000000}"/>
    <cellStyle name="40% - Accent6 4 2 2" xfId="38911" xr:uid="{00000000-0005-0000-0000-0000FE000000}"/>
    <cellStyle name="40% - Accent6 4 2 3" xfId="44826" xr:uid="{00000000-0005-0000-0000-0000FF000000}"/>
    <cellStyle name="40% - Accent6 4 3" xfId="3923" xr:uid="{00000000-0005-0000-0000-000000010000}"/>
    <cellStyle name="40% - Accent6 5" xfId="755" xr:uid="{00000000-0005-0000-0000-000001010000}"/>
    <cellStyle name="40% - Accent6 5 2" xfId="38912" xr:uid="{00000000-0005-0000-0000-000002010000}"/>
    <cellStyle name="40% - Accent6 5 3" xfId="44827" xr:uid="{00000000-0005-0000-0000-000003010000}"/>
    <cellStyle name="40% - Accent6 6" xfId="756" xr:uid="{00000000-0005-0000-0000-000004010000}"/>
    <cellStyle name="40% - Accent6 7" xfId="38913" xr:uid="{00000000-0005-0000-0000-000005010000}"/>
    <cellStyle name="60% - Accent1 2" xfId="134" xr:uid="{00000000-0005-0000-0000-000006010000}"/>
    <cellStyle name="60% - Accent1 2 2" xfId="135" xr:uid="{00000000-0005-0000-0000-000007010000}"/>
    <cellStyle name="60% - Accent1 2 2 2" xfId="757" xr:uid="{00000000-0005-0000-0000-000008010000}"/>
    <cellStyle name="60% - Accent1 2 2 3" xfId="3924" xr:uid="{00000000-0005-0000-0000-000009010000}"/>
    <cellStyle name="60% - Accent1 2 3" xfId="136" xr:uid="{00000000-0005-0000-0000-00000A010000}"/>
    <cellStyle name="60% - Accent1 2 3 2" xfId="3925" xr:uid="{00000000-0005-0000-0000-00000B010000}"/>
    <cellStyle name="60% - Accent1 2 4" xfId="758" xr:uid="{00000000-0005-0000-0000-00000C010000}"/>
    <cellStyle name="60% - Accent1 2 4 2" xfId="3926" xr:uid="{00000000-0005-0000-0000-00000D010000}"/>
    <cellStyle name="60% - Accent1 2 5" xfId="2363" xr:uid="{00000000-0005-0000-0000-00000E010000}"/>
    <cellStyle name="60% - Accent1 3" xfId="137" xr:uid="{00000000-0005-0000-0000-00000F010000}"/>
    <cellStyle name="60% - Accent1 3 2" xfId="138" xr:uid="{00000000-0005-0000-0000-000010010000}"/>
    <cellStyle name="60% - Accent1 3 3" xfId="139" xr:uid="{00000000-0005-0000-0000-000011010000}"/>
    <cellStyle name="60% - Accent1 3 4" xfId="3927" xr:uid="{00000000-0005-0000-0000-000012010000}"/>
    <cellStyle name="60% - Accent1 4" xfId="140" xr:uid="{00000000-0005-0000-0000-000013010000}"/>
    <cellStyle name="60% - Accent1 4 2" xfId="759" xr:uid="{00000000-0005-0000-0000-000014010000}"/>
    <cellStyle name="60% - Accent1 4 3" xfId="3928" xr:uid="{00000000-0005-0000-0000-000015010000}"/>
    <cellStyle name="60% - Accent2 2" xfId="141" xr:uid="{00000000-0005-0000-0000-000016010000}"/>
    <cellStyle name="60% - Accent2 2 2" xfId="662" xr:uid="{00000000-0005-0000-0000-000017010000}"/>
    <cellStyle name="60% - Accent2 2 2 2" xfId="42493" xr:uid="{00000000-0005-0000-0000-000018010000}"/>
    <cellStyle name="60% - Accent2 2 2 3" xfId="44828" xr:uid="{00000000-0005-0000-0000-000019010000}"/>
    <cellStyle name="60% - Accent2 2 2 4" xfId="46137" xr:uid="{00000000-0005-0000-0000-00001A010000}"/>
    <cellStyle name="60% - Accent2 2 3" xfId="760" xr:uid="{00000000-0005-0000-0000-00001B010000}"/>
    <cellStyle name="60% - Accent2 3" xfId="142" xr:uid="{00000000-0005-0000-0000-00001C010000}"/>
    <cellStyle name="60% - Accent2 3 2" xfId="143" xr:uid="{00000000-0005-0000-0000-00001D010000}"/>
    <cellStyle name="60% - Accent2 3 2 2" xfId="3929" xr:uid="{00000000-0005-0000-0000-00001E010000}"/>
    <cellStyle name="60% - Accent2 3 3" xfId="3930" xr:uid="{00000000-0005-0000-0000-00001F010000}"/>
    <cellStyle name="60% - Accent2 4" xfId="663" xr:uid="{00000000-0005-0000-0000-000020010000}"/>
    <cellStyle name="60% - Accent2 4 2" xfId="42494" xr:uid="{00000000-0005-0000-0000-000021010000}"/>
    <cellStyle name="60% - Accent2 4 3" xfId="44829" xr:uid="{00000000-0005-0000-0000-000022010000}"/>
    <cellStyle name="60% - Accent2 4 4" xfId="46138" xr:uid="{00000000-0005-0000-0000-000023010000}"/>
    <cellStyle name="60% - Accent3 2" xfId="144" xr:uid="{00000000-0005-0000-0000-000024010000}"/>
    <cellStyle name="60% - Accent3 2 2" xfId="664" xr:uid="{00000000-0005-0000-0000-000025010000}"/>
    <cellStyle name="60% - Accent3 2 2 2" xfId="42495" xr:uid="{00000000-0005-0000-0000-000026010000}"/>
    <cellStyle name="60% - Accent3 2 2 3" xfId="44830" xr:uid="{00000000-0005-0000-0000-000027010000}"/>
    <cellStyle name="60% - Accent3 2 2 4" xfId="46139" xr:uid="{00000000-0005-0000-0000-000028010000}"/>
    <cellStyle name="60% - Accent3 2 3" xfId="761" xr:uid="{00000000-0005-0000-0000-000029010000}"/>
    <cellStyle name="60% - Accent3 2 3 2" xfId="3931" xr:uid="{00000000-0005-0000-0000-00002A010000}"/>
    <cellStyle name="60% - Accent3 2 4" xfId="2364" xr:uid="{00000000-0005-0000-0000-00002B010000}"/>
    <cellStyle name="60% - Accent3 3" xfId="145" xr:uid="{00000000-0005-0000-0000-00002C010000}"/>
    <cellStyle name="60% - Accent3 3 2" xfId="146" xr:uid="{00000000-0005-0000-0000-00002D010000}"/>
    <cellStyle name="60% - Accent3 3 3" xfId="147" xr:uid="{00000000-0005-0000-0000-00002E010000}"/>
    <cellStyle name="60% - Accent3 3 4" xfId="3932" xr:uid="{00000000-0005-0000-0000-00002F010000}"/>
    <cellStyle name="60% - Accent3 4" xfId="148" xr:uid="{00000000-0005-0000-0000-000030010000}"/>
    <cellStyle name="60% - Accent3 4 2" xfId="762" xr:uid="{00000000-0005-0000-0000-000031010000}"/>
    <cellStyle name="60% - Accent3 4 3" xfId="3933" xr:uid="{00000000-0005-0000-0000-000032010000}"/>
    <cellStyle name="60% - Accent3 4 4" xfId="38914" xr:uid="{00000000-0005-0000-0000-000033010000}"/>
    <cellStyle name="60% - Accent4 2" xfId="149" xr:uid="{00000000-0005-0000-0000-000034010000}"/>
    <cellStyle name="60% - Accent4 2 2" xfId="665" xr:uid="{00000000-0005-0000-0000-000035010000}"/>
    <cellStyle name="60% - Accent4 2 2 2" xfId="42496" xr:uid="{00000000-0005-0000-0000-000036010000}"/>
    <cellStyle name="60% - Accent4 2 2 3" xfId="44831" xr:uid="{00000000-0005-0000-0000-000037010000}"/>
    <cellStyle name="60% - Accent4 2 2 4" xfId="46140" xr:uid="{00000000-0005-0000-0000-000038010000}"/>
    <cellStyle name="60% - Accent4 2 3" xfId="763" xr:uid="{00000000-0005-0000-0000-000039010000}"/>
    <cellStyle name="60% - Accent4 2 3 2" xfId="3934" xr:uid="{00000000-0005-0000-0000-00003A010000}"/>
    <cellStyle name="60% - Accent4 2 4" xfId="2365" xr:uid="{00000000-0005-0000-0000-00003B010000}"/>
    <cellStyle name="60% - Accent4 3" xfId="150" xr:uid="{00000000-0005-0000-0000-00003C010000}"/>
    <cellStyle name="60% - Accent4 3 2" xfId="151" xr:uid="{00000000-0005-0000-0000-00003D010000}"/>
    <cellStyle name="60% - Accent4 3 3" xfId="152" xr:uid="{00000000-0005-0000-0000-00003E010000}"/>
    <cellStyle name="60% - Accent4 3 4" xfId="3935" xr:uid="{00000000-0005-0000-0000-00003F010000}"/>
    <cellStyle name="60% - Accent4 4" xfId="153" xr:uid="{00000000-0005-0000-0000-000040010000}"/>
    <cellStyle name="60% - Accent4 4 2" xfId="764" xr:uid="{00000000-0005-0000-0000-000041010000}"/>
    <cellStyle name="60% - Accent4 4 3" xfId="3936" xr:uid="{00000000-0005-0000-0000-000042010000}"/>
    <cellStyle name="60% - Accent4 4 4" xfId="38915" xr:uid="{00000000-0005-0000-0000-000043010000}"/>
    <cellStyle name="60% - Accent5 2" xfId="154" xr:uid="{00000000-0005-0000-0000-000044010000}"/>
    <cellStyle name="60% - Accent5 2 2" xfId="155" xr:uid="{00000000-0005-0000-0000-000045010000}"/>
    <cellStyle name="60% - Accent5 2 2 2" xfId="765" xr:uid="{00000000-0005-0000-0000-000046010000}"/>
    <cellStyle name="60% - Accent5 2 2 3" xfId="3937" xr:uid="{00000000-0005-0000-0000-000047010000}"/>
    <cellStyle name="60% - Accent5 2 3" xfId="156" xr:uid="{00000000-0005-0000-0000-000048010000}"/>
    <cellStyle name="60% - Accent5 2 3 2" xfId="3938" xr:uid="{00000000-0005-0000-0000-000049010000}"/>
    <cellStyle name="60% - Accent5 2 4" xfId="766" xr:uid="{00000000-0005-0000-0000-00004A010000}"/>
    <cellStyle name="60% - Accent5 2 4 2" xfId="3939" xr:uid="{00000000-0005-0000-0000-00004B010000}"/>
    <cellStyle name="60% - Accent5 3" xfId="157" xr:uid="{00000000-0005-0000-0000-00004C010000}"/>
    <cellStyle name="60% - Accent5 3 2" xfId="158" xr:uid="{00000000-0005-0000-0000-00004D010000}"/>
    <cellStyle name="60% - Accent5 3 2 2" xfId="3940" xr:uid="{00000000-0005-0000-0000-00004E010000}"/>
    <cellStyle name="60% - Accent5 3 3" xfId="3941" xr:uid="{00000000-0005-0000-0000-00004F010000}"/>
    <cellStyle name="60% - Accent5 4" xfId="666" xr:uid="{00000000-0005-0000-0000-000050010000}"/>
    <cellStyle name="60% - Accent5 4 2" xfId="3942" xr:uid="{00000000-0005-0000-0000-000051010000}"/>
    <cellStyle name="60% - Accent5 4 3" xfId="44832" xr:uid="{00000000-0005-0000-0000-000052010000}"/>
    <cellStyle name="60% - Accent5 4 4" xfId="46141" xr:uid="{00000000-0005-0000-0000-000053010000}"/>
    <cellStyle name="60% - Accent6 2" xfId="159" xr:uid="{00000000-0005-0000-0000-000054010000}"/>
    <cellStyle name="60% - Accent6 2 2" xfId="767" xr:uid="{00000000-0005-0000-0000-000055010000}"/>
    <cellStyle name="60% - Accent6 2 2 2" xfId="3943" xr:uid="{00000000-0005-0000-0000-000056010000}"/>
    <cellStyle name="60% - Accent6 2 3" xfId="768" xr:uid="{00000000-0005-0000-0000-000057010000}"/>
    <cellStyle name="60% - Accent6 2 3 2" xfId="3944" xr:uid="{00000000-0005-0000-0000-000058010000}"/>
    <cellStyle name="60% - Accent6 2 4" xfId="2366" xr:uid="{00000000-0005-0000-0000-000059010000}"/>
    <cellStyle name="60% - Accent6 2 5" xfId="46142" xr:uid="{00000000-0005-0000-0000-00005A010000}"/>
    <cellStyle name="60% - Accent6 3" xfId="160" xr:uid="{00000000-0005-0000-0000-00005B010000}"/>
    <cellStyle name="60% - Accent6 3 2" xfId="161" xr:uid="{00000000-0005-0000-0000-00005C010000}"/>
    <cellStyle name="60% - Accent6 3 2 2" xfId="3945" xr:uid="{00000000-0005-0000-0000-00005D010000}"/>
    <cellStyle name="60% - Accent6 3 3" xfId="3946" xr:uid="{00000000-0005-0000-0000-00005E010000}"/>
    <cellStyle name="60% - Accent6 4" xfId="667" xr:uid="{00000000-0005-0000-0000-00005F010000}"/>
    <cellStyle name="60% - Accent6 4 2" xfId="3947" xr:uid="{00000000-0005-0000-0000-000060010000}"/>
    <cellStyle name="60% - Accent6 4 3" xfId="44833" xr:uid="{00000000-0005-0000-0000-000061010000}"/>
    <cellStyle name="60% - Accent6 4 4" xfId="46143" xr:uid="{00000000-0005-0000-0000-000062010000}"/>
    <cellStyle name="Accent1 2" xfId="162" xr:uid="{00000000-0005-0000-0000-000063010000}"/>
    <cellStyle name="Accent1 2 2" xfId="163" xr:uid="{00000000-0005-0000-0000-000064010000}"/>
    <cellStyle name="Accent1 2 2 2" xfId="769" xr:uid="{00000000-0005-0000-0000-000065010000}"/>
    <cellStyle name="Accent1 2 2 3" xfId="3948" xr:uid="{00000000-0005-0000-0000-000066010000}"/>
    <cellStyle name="Accent1 2 3" xfId="164" xr:uid="{00000000-0005-0000-0000-000067010000}"/>
    <cellStyle name="Accent1 2 3 2" xfId="3949" xr:uid="{00000000-0005-0000-0000-000068010000}"/>
    <cellStyle name="Accent1 2 4" xfId="770" xr:uid="{00000000-0005-0000-0000-000069010000}"/>
    <cellStyle name="Accent1 2 4 2" xfId="3950" xr:uid="{00000000-0005-0000-0000-00006A010000}"/>
    <cellStyle name="Accent1 2 5" xfId="2367" xr:uid="{00000000-0005-0000-0000-00006B010000}"/>
    <cellStyle name="Accent1 3" xfId="165" xr:uid="{00000000-0005-0000-0000-00006C010000}"/>
    <cellStyle name="Accent1 3 2" xfId="166" xr:uid="{00000000-0005-0000-0000-00006D010000}"/>
    <cellStyle name="Accent1 3 3" xfId="167" xr:uid="{00000000-0005-0000-0000-00006E010000}"/>
    <cellStyle name="Accent1 3 4" xfId="3951" xr:uid="{00000000-0005-0000-0000-00006F010000}"/>
    <cellStyle name="Accent1 4" xfId="168" xr:uid="{00000000-0005-0000-0000-000070010000}"/>
    <cellStyle name="Accent1 4 2" xfId="771" xr:uid="{00000000-0005-0000-0000-000071010000}"/>
    <cellStyle name="Accent2 2" xfId="169" xr:uid="{00000000-0005-0000-0000-000072010000}"/>
    <cellStyle name="Accent2 2 2" xfId="668" xr:uid="{00000000-0005-0000-0000-000073010000}"/>
    <cellStyle name="Accent2 2 2 2" xfId="42497" xr:uid="{00000000-0005-0000-0000-000074010000}"/>
    <cellStyle name="Accent2 2 2 3" xfId="44834" xr:uid="{00000000-0005-0000-0000-000075010000}"/>
    <cellStyle name="Accent2 2 2 4" xfId="46144" xr:uid="{00000000-0005-0000-0000-000076010000}"/>
    <cellStyle name="Accent2 2 3" xfId="772" xr:uid="{00000000-0005-0000-0000-000077010000}"/>
    <cellStyle name="Accent2 3" xfId="170" xr:uid="{00000000-0005-0000-0000-000078010000}"/>
    <cellStyle name="Accent2 3 2" xfId="171" xr:uid="{00000000-0005-0000-0000-000079010000}"/>
    <cellStyle name="Accent2 3 2 2" xfId="3952" xr:uid="{00000000-0005-0000-0000-00007A010000}"/>
    <cellStyle name="Accent2 3 3" xfId="3953" xr:uid="{00000000-0005-0000-0000-00007B010000}"/>
    <cellStyle name="Accent2 4" xfId="669" xr:uid="{00000000-0005-0000-0000-00007C010000}"/>
    <cellStyle name="Accent2 4 2" xfId="42498" xr:uid="{00000000-0005-0000-0000-00007D010000}"/>
    <cellStyle name="Accent2 4 3" xfId="44835" xr:uid="{00000000-0005-0000-0000-00007E010000}"/>
    <cellStyle name="Accent2 4 4" xfId="46145" xr:uid="{00000000-0005-0000-0000-00007F010000}"/>
    <cellStyle name="Accent3 2" xfId="172" xr:uid="{00000000-0005-0000-0000-000080010000}"/>
    <cellStyle name="Accent3 2 2" xfId="173" xr:uid="{00000000-0005-0000-0000-000081010000}"/>
    <cellStyle name="Accent3 2 2 2" xfId="3954" xr:uid="{00000000-0005-0000-0000-000082010000}"/>
    <cellStyle name="Accent3 2 3" xfId="174" xr:uid="{00000000-0005-0000-0000-000083010000}"/>
    <cellStyle name="Accent3 2 4" xfId="773" xr:uid="{00000000-0005-0000-0000-000084010000}"/>
    <cellStyle name="Accent3 2 4 2" xfId="38916" xr:uid="{00000000-0005-0000-0000-000085010000}"/>
    <cellStyle name="Accent3 3" xfId="175" xr:uid="{00000000-0005-0000-0000-000086010000}"/>
    <cellStyle name="Accent3 3 2" xfId="176" xr:uid="{00000000-0005-0000-0000-000087010000}"/>
    <cellStyle name="Accent3 3 2 2" xfId="3955" xr:uid="{00000000-0005-0000-0000-000088010000}"/>
    <cellStyle name="Accent3 3 3" xfId="3956" xr:uid="{00000000-0005-0000-0000-000089010000}"/>
    <cellStyle name="Accent3 4" xfId="670" xr:uid="{00000000-0005-0000-0000-00008A010000}"/>
    <cellStyle name="Accent3 4 2" xfId="42499" xr:uid="{00000000-0005-0000-0000-00008B010000}"/>
    <cellStyle name="Accent3 4 3" xfId="44836" xr:uid="{00000000-0005-0000-0000-00008C010000}"/>
    <cellStyle name="Accent3 4 4" xfId="46146" xr:uid="{00000000-0005-0000-0000-00008D010000}"/>
    <cellStyle name="Accent4 2" xfId="177" xr:uid="{00000000-0005-0000-0000-00008E010000}"/>
    <cellStyle name="Accent4 2 2" xfId="774" xr:uid="{00000000-0005-0000-0000-00008F010000}"/>
    <cellStyle name="Accent4 2 2 2" xfId="775" xr:uid="{00000000-0005-0000-0000-000090010000}"/>
    <cellStyle name="Accent4 2 2 2 2" xfId="3957" xr:uid="{00000000-0005-0000-0000-000091010000}"/>
    <cellStyle name="Accent4 2 2 3" xfId="38917" xr:uid="{00000000-0005-0000-0000-000092010000}"/>
    <cellStyle name="Accent4 2 3" xfId="776" xr:uid="{00000000-0005-0000-0000-000093010000}"/>
    <cellStyle name="Accent4 2 3 2" xfId="3958" xr:uid="{00000000-0005-0000-0000-000094010000}"/>
    <cellStyle name="Accent4 2 4" xfId="2368" xr:uid="{00000000-0005-0000-0000-000095010000}"/>
    <cellStyle name="Accent4 2 5" xfId="46147" xr:uid="{00000000-0005-0000-0000-000096010000}"/>
    <cellStyle name="Accent4 3" xfId="178" xr:uid="{00000000-0005-0000-0000-000097010000}"/>
    <cellStyle name="Accent4 3 2" xfId="179" xr:uid="{00000000-0005-0000-0000-000098010000}"/>
    <cellStyle name="Accent4 3 2 2" xfId="3959" xr:uid="{00000000-0005-0000-0000-000099010000}"/>
    <cellStyle name="Accent4 3 3" xfId="3960" xr:uid="{00000000-0005-0000-0000-00009A010000}"/>
    <cellStyle name="Accent4 4" xfId="671" xr:uid="{00000000-0005-0000-0000-00009B010000}"/>
    <cellStyle name="Accent4 4 2" xfId="3961" xr:uid="{00000000-0005-0000-0000-00009C010000}"/>
    <cellStyle name="Accent4 4 3" xfId="44837" xr:uid="{00000000-0005-0000-0000-00009D010000}"/>
    <cellStyle name="Accent4 4 4" xfId="46148" xr:uid="{00000000-0005-0000-0000-00009E010000}"/>
    <cellStyle name="Accent5 2" xfId="180" xr:uid="{00000000-0005-0000-0000-00009F010000}"/>
    <cellStyle name="Accent5 2 2" xfId="685" xr:uid="{00000000-0005-0000-0000-0000A0010000}"/>
    <cellStyle name="Accent5 2 2 2" xfId="3962" xr:uid="{00000000-0005-0000-0000-0000A1010000}"/>
    <cellStyle name="Accent5 2 2 2 2" xfId="3963" xr:uid="{00000000-0005-0000-0000-0000A2010000}"/>
    <cellStyle name="Accent5 2 2 2 3" xfId="38870" xr:uid="{00000000-0005-0000-0000-0000A3010000}"/>
    <cellStyle name="Accent5 2 2 3" xfId="38918" xr:uid="{00000000-0005-0000-0000-0000A4010000}"/>
    <cellStyle name="Accent5 2 2 4" xfId="46149" xr:uid="{00000000-0005-0000-0000-0000A5010000}"/>
    <cellStyle name="Accent5 2 3" xfId="777" xr:uid="{00000000-0005-0000-0000-0000A6010000}"/>
    <cellStyle name="Accent5 2 3 2" xfId="3964" xr:uid="{00000000-0005-0000-0000-0000A7010000}"/>
    <cellStyle name="Accent5 2 4" xfId="778" xr:uid="{00000000-0005-0000-0000-0000A8010000}"/>
    <cellStyle name="Accent5 2 4 2" xfId="3965" xr:uid="{00000000-0005-0000-0000-0000A9010000}"/>
    <cellStyle name="Accent5 2 4 3" xfId="3966" xr:uid="{00000000-0005-0000-0000-0000AA010000}"/>
    <cellStyle name="Accent5 2 5" xfId="3967" xr:uid="{00000000-0005-0000-0000-0000AB010000}"/>
    <cellStyle name="Accent5 2 6" xfId="46150" xr:uid="{00000000-0005-0000-0000-0000AC010000}"/>
    <cellStyle name="Accent5 3" xfId="181" xr:uid="{00000000-0005-0000-0000-0000AD010000}"/>
    <cellStyle name="Accent5 4" xfId="779" xr:uid="{00000000-0005-0000-0000-0000AE010000}"/>
    <cellStyle name="Accent5 4 2" xfId="3968" xr:uid="{00000000-0005-0000-0000-0000AF010000}"/>
    <cellStyle name="Accent6 2" xfId="182" xr:uid="{00000000-0005-0000-0000-0000B0010000}"/>
    <cellStyle name="Accent6 2 2" xfId="183" xr:uid="{00000000-0005-0000-0000-0000B1010000}"/>
    <cellStyle name="Accent6 2 2 2" xfId="3969" xr:uid="{00000000-0005-0000-0000-0000B2010000}"/>
    <cellStyle name="Accent6 2 3" xfId="184" xr:uid="{00000000-0005-0000-0000-0000B3010000}"/>
    <cellStyle name="Accent6 2 4" xfId="780" xr:uid="{00000000-0005-0000-0000-0000B4010000}"/>
    <cellStyle name="Accent6 2 4 2" xfId="38919" xr:uid="{00000000-0005-0000-0000-0000B5010000}"/>
    <cellStyle name="Accent6 3" xfId="185" xr:uid="{00000000-0005-0000-0000-0000B6010000}"/>
    <cellStyle name="Accent6 3 2" xfId="186" xr:uid="{00000000-0005-0000-0000-0000B7010000}"/>
    <cellStyle name="Accent6 3 2 2" xfId="3970" xr:uid="{00000000-0005-0000-0000-0000B8010000}"/>
    <cellStyle name="Accent6 3 3" xfId="3971" xr:uid="{00000000-0005-0000-0000-0000B9010000}"/>
    <cellStyle name="Accent6 4" xfId="672" xr:uid="{00000000-0005-0000-0000-0000BA010000}"/>
    <cellStyle name="Accent6 4 2" xfId="42500" xr:uid="{00000000-0005-0000-0000-0000BB010000}"/>
    <cellStyle name="Accent6 4 3" xfId="44838" xr:uid="{00000000-0005-0000-0000-0000BC010000}"/>
    <cellStyle name="Accent6 4 4" xfId="46151" xr:uid="{00000000-0005-0000-0000-0000BD010000}"/>
    <cellStyle name="Accounting" xfId="12" xr:uid="{00000000-0005-0000-0000-0000BE010000}"/>
    <cellStyle name="Accounting 2" xfId="187" xr:uid="{00000000-0005-0000-0000-0000BF010000}"/>
    <cellStyle name="Accounting 2 2" xfId="781" xr:uid="{00000000-0005-0000-0000-0000C0010000}"/>
    <cellStyle name="Accounting 3" xfId="188" xr:uid="{00000000-0005-0000-0000-0000C1010000}"/>
    <cellStyle name="Accounting 3 2" xfId="782" xr:uid="{00000000-0005-0000-0000-0000C2010000}"/>
    <cellStyle name="Accounting 4" xfId="783" xr:uid="{00000000-0005-0000-0000-0000C3010000}"/>
    <cellStyle name="Accounting 5" xfId="3972" xr:uid="{00000000-0005-0000-0000-0000C4010000}"/>
    <cellStyle name="Accounting 6" xfId="3973" xr:uid="{00000000-0005-0000-0000-0000C5010000}"/>
    <cellStyle name="Accounting_2011-11" xfId="189" xr:uid="{00000000-0005-0000-0000-0000C6010000}"/>
    <cellStyle name="APS" xfId="190" xr:uid="{00000000-0005-0000-0000-0000C7010000}"/>
    <cellStyle name="APSLabels" xfId="191" xr:uid="{00000000-0005-0000-0000-0000C8010000}"/>
    <cellStyle name="APSLabels 10" xfId="3974" xr:uid="{00000000-0005-0000-0000-0000C9010000}"/>
    <cellStyle name="APSLabels 10 2" xfId="3975" xr:uid="{00000000-0005-0000-0000-0000CA010000}"/>
    <cellStyle name="APSLabels 10 3" xfId="3976" xr:uid="{00000000-0005-0000-0000-0000CB010000}"/>
    <cellStyle name="APSLabels 11" xfId="3977" xr:uid="{00000000-0005-0000-0000-0000CC010000}"/>
    <cellStyle name="APSLabels 11 2" xfId="3978" xr:uid="{00000000-0005-0000-0000-0000CD010000}"/>
    <cellStyle name="APSLabels 11 3" xfId="3979" xr:uid="{00000000-0005-0000-0000-0000CE010000}"/>
    <cellStyle name="APSLabels 12" xfId="3980" xr:uid="{00000000-0005-0000-0000-0000CF010000}"/>
    <cellStyle name="APSLabels 12 2" xfId="3981" xr:uid="{00000000-0005-0000-0000-0000D0010000}"/>
    <cellStyle name="APSLabels 12 3" xfId="3982" xr:uid="{00000000-0005-0000-0000-0000D1010000}"/>
    <cellStyle name="APSLabels 13" xfId="3983" xr:uid="{00000000-0005-0000-0000-0000D2010000}"/>
    <cellStyle name="APSLabels 13 2" xfId="3984" xr:uid="{00000000-0005-0000-0000-0000D3010000}"/>
    <cellStyle name="APSLabels 13 3" xfId="3985" xr:uid="{00000000-0005-0000-0000-0000D4010000}"/>
    <cellStyle name="APSLabels 14" xfId="3986" xr:uid="{00000000-0005-0000-0000-0000D5010000}"/>
    <cellStyle name="APSLabels 14 2" xfId="3987" xr:uid="{00000000-0005-0000-0000-0000D6010000}"/>
    <cellStyle name="APSLabels 14 3" xfId="3988" xr:uid="{00000000-0005-0000-0000-0000D7010000}"/>
    <cellStyle name="APSLabels 15" xfId="3989" xr:uid="{00000000-0005-0000-0000-0000D8010000}"/>
    <cellStyle name="APSLabels 16" xfId="3990" xr:uid="{00000000-0005-0000-0000-0000D9010000}"/>
    <cellStyle name="APSLabels 17" xfId="44839" xr:uid="{00000000-0005-0000-0000-0000DA010000}"/>
    <cellStyle name="APSLabels 2" xfId="3991" xr:uid="{00000000-0005-0000-0000-0000DB010000}"/>
    <cellStyle name="APSLabels 2 10" xfId="3992" xr:uid="{00000000-0005-0000-0000-0000DC010000}"/>
    <cellStyle name="APSLabels 2 10 2" xfId="3993" xr:uid="{00000000-0005-0000-0000-0000DD010000}"/>
    <cellStyle name="APSLabels 2 10 3" xfId="3994" xr:uid="{00000000-0005-0000-0000-0000DE010000}"/>
    <cellStyle name="APSLabels 2 11" xfId="43899" xr:uid="{00000000-0005-0000-0000-0000DF010000}"/>
    <cellStyle name="APSLabels 2 2" xfId="3995" xr:uid="{00000000-0005-0000-0000-0000E0010000}"/>
    <cellStyle name="APSLabels 2 2 10" xfId="43900" xr:uid="{00000000-0005-0000-0000-0000E1010000}"/>
    <cellStyle name="APSLabels 2 2 2" xfId="3996" xr:uid="{00000000-0005-0000-0000-0000E2010000}"/>
    <cellStyle name="APSLabels 2 2 2 2" xfId="3997" xr:uid="{00000000-0005-0000-0000-0000E3010000}"/>
    <cellStyle name="APSLabels 2 2 2 2 2" xfId="3998" xr:uid="{00000000-0005-0000-0000-0000E4010000}"/>
    <cellStyle name="APSLabels 2 2 2 2 2 2" xfId="43901" xr:uid="{00000000-0005-0000-0000-0000E5010000}"/>
    <cellStyle name="APSLabels 2 2 2 2 3" xfId="3999" xr:uid="{00000000-0005-0000-0000-0000E6010000}"/>
    <cellStyle name="APSLabels 2 2 2 2 3 2" xfId="4000" xr:uid="{00000000-0005-0000-0000-0000E7010000}"/>
    <cellStyle name="APSLabels 2 2 2 2 3 3" xfId="4001" xr:uid="{00000000-0005-0000-0000-0000E8010000}"/>
    <cellStyle name="APSLabels 2 2 2 2 4" xfId="4002" xr:uid="{00000000-0005-0000-0000-0000E9010000}"/>
    <cellStyle name="APSLabels 2 2 2 2 4 2" xfId="4003" xr:uid="{00000000-0005-0000-0000-0000EA010000}"/>
    <cellStyle name="APSLabels 2 2 2 2 4 3" xfId="4004" xr:uid="{00000000-0005-0000-0000-0000EB010000}"/>
    <cellStyle name="APSLabels 2 2 2 2 5" xfId="4005" xr:uid="{00000000-0005-0000-0000-0000EC010000}"/>
    <cellStyle name="APSLabels 2 2 2 2 5 2" xfId="4006" xr:uid="{00000000-0005-0000-0000-0000ED010000}"/>
    <cellStyle name="APSLabels 2 2 2 2 5 3" xfId="4007" xr:uid="{00000000-0005-0000-0000-0000EE010000}"/>
    <cellStyle name="APSLabels 2 2 2 2 6" xfId="43902" xr:uid="{00000000-0005-0000-0000-0000EF010000}"/>
    <cellStyle name="APSLabels 2 2 2 3" xfId="4008" xr:uid="{00000000-0005-0000-0000-0000F0010000}"/>
    <cellStyle name="APSLabels 2 2 2 3 2" xfId="43903" xr:uid="{00000000-0005-0000-0000-0000F1010000}"/>
    <cellStyle name="APSLabels 2 2 2 4" xfId="4009" xr:uid="{00000000-0005-0000-0000-0000F2010000}"/>
    <cellStyle name="APSLabels 2 2 2 4 2" xfId="4010" xr:uid="{00000000-0005-0000-0000-0000F3010000}"/>
    <cellStyle name="APSLabels 2 2 2 4 3" xfId="4011" xr:uid="{00000000-0005-0000-0000-0000F4010000}"/>
    <cellStyle name="APSLabels 2 2 2 5" xfId="4012" xr:uid="{00000000-0005-0000-0000-0000F5010000}"/>
    <cellStyle name="APSLabels 2 2 2 5 2" xfId="4013" xr:uid="{00000000-0005-0000-0000-0000F6010000}"/>
    <cellStyle name="APSLabels 2 2 2 5 3" xfId="4014" xr:uid="{00000000-0005-0000-0000-0000F7010000}"/>
    <cellStyle name="APSLabels 2 2 2 6" xfId="4015" xr:uid="{00000000-0005-0000-0000-0000F8010000}"/>
    <cellStyle name="APSLabels 2 2 2 6 2" xfId="4016" xr:uid="{00000000-0005-0000-0000-0000F9010000}"/>
    <cellStyle name="APSLabels 2 2 2 6 3" xfId="4017" xr:uid="{00000000-0005-0000-0000-0000FA010000}"/>
    <cellStyle name="APSLabels 2 2 2 7" xfId="43904" xr:uid="{00000000-0005-0000-0000-0000FB010000}"/>
    <cellStyle name="APSLabels 2 2 3" xfId="4018" xr:uid="{00000000-0005-0000-0000-0000FC010000}"/>
    <cellStyle name="APSLabels 2 2 3 2" xfId="4019" xr:uid="{00000000-0005-0000-0000-0000FD010000}"/>
    <cellStyle name="APSLabels 2 2 3 2 2" xfId="4020" xr:uid="{00000000-0005-0000-0000-0000FE010000}"/>
    <cellStyle name="APSLabels 2 2 3 2 2 2" xfId="43905" xr:uid="{00000000-0005-0000-0000-0000FF010000}"/>
    <cellStyle name="APSLabels 2 2 3 2 3" xfId="4021" xr:uid="{00000000-0005-0000-0000-000000020000}"/>
    <cellStyle name="APSLabels 2 2 3 2 3 2" xfId="4022" xr:uid="{00000000-0005-0000-0000-000001020000}"/>
    <cellStyle name="APSLabels 2 2 3 2 3 3" xfId="4023" xr:uid="{00000000-0005-0000-0000-000002020000}"/>
    <cellStyle name="APSLabels 2 2 3 2 4" xfId="4024" xr:uid="{00000000-0005-0000-0000-000003020000}"/>
    <cellStyle name="APSLabels 2 2 3 2 4 2" xfId="4025" xr:uid="{00000000-0005-0000-0000-000004020000}"/>
    <cellStyle name="APSLabels 2 2 3 2 4 3" xfId="4026" xr:uid="{00000000-0005-0000-0000-000005020000}"/>
    <cellStyle name="APSLabels 2 2 3 2 5" xfId="4027" xr:uid="{00000000-0005-0000-0000-000006020000}"/>
    <cellStyle name="APSLabels 2 2 3 2 5 2" xfId="4028" xr:uid="{00000000-0005-0000-0000-000007020000}"/>
    <cellStyle name="APSLabels 2 2 3 2 5 3" xfId="4029" xr:uid="{00000000-0005-0000-0000-000008020000}"/>
    <cellStyle name="APSLabels 2 2 3 2 6" xfId="43906" xr:uid="{00000000-0005-0000-0000-000009020000}"/>
    <cellStyle name="APSLabels 2 2 3 3" xfId="4030" xr:uid="{00000000-0005-0000-0000-00000A020000}"/>
    <cellStyle name="APSLabels 2 2 3 3 2" xfId="43907" xr:uid="{00000000-0005-0000-0000-00000B020000}"/>
    <cellStyle name="APSLabels 2 2 3 4" xfId="4031" xr:uid="{00000000-0005-0000-0000-00000C020000}"/>
    <cellStyle name="APSLabels 2 2 3 4 2" xfId="4032" xr:uid="{00000000-0005-0000-0000-00000D020000}"/>
    <cellStyle name="APSLabels 2 2 3 4 3" xfId="4033" xr:uid="{00000000-0005-0000-0000-00000E020000}"/>
    <cellStyle name="APSLabels 2 2 3 5" xfId="4034" xr:uid="{00000000-0005-0000-0000-00000F020000}"/>
    <cellStyle name="APSLabels 2 2 3 5 2" xfId="4035" xr:uid="{00000000-0005-0000-0000-000010020000}"/>
    <cellStyle name="APSLabels 2 2 3 5 3" xfId="4036" xr:uid="{00000000-0005-0000-0000-000011020000}"/>
    <cellStyle name="APSLabels 2 2 3 6" xfId="4037" xr:uid="{00000000-0005-0000-0000-000012020000}"/>
    <cellStyle name="APSLabels 2 2 3 6 2" xfId="4038" xr:uid="{00000000-0005-0000-0000-000013020000}"/>
    <cellStyle name="APSLabels 2 2 3 6 3" xfId="4039" xr:uid="{00000000-0005-0000-0000-000014020000}"/>
    <cellStyle name="APSLabels 2 2 3 7" xfId="43908" xr:uid="{00000000-0005-0000-0000-000015020000}"/>
    <cellStyle name="APSLabels 2 2 4" xfId="4040" xr:uid="{00000000-0005-0000-0000-000016020000}"/>
    <cellStyle name="APSLabels 2 2 4 2" xfId="4041" xr:uid="{00000000-0005-0000-0000-000017020000}"/>
    <cellStyle name="APSLabels 2 2 4 2 2" xfId="43909" xr:uid="{00000000-0005-0000-0000-000018020000}"/>
    <cellStyle name="APSLabels 2 2 4 3" xfId="4042" xr:uid="{00000000-0005-0000-0000-000019020000}"/>
    <cellStyle name="APSLabels 2 2 4 3 2" xfId="4043" xr:uid="{00000000-0005-0000-0000-00001A020000}"/>
    <cellStyle name="APSLabels 2 2 4 3 3" xfId="4044" xr:uid="{00000000-0005-0000-0000-00001B020000}"/>
    <cellStyle name="APSLabels 2 2 4 4" xfId="4045" xr:uid="{00000000-0005-0000-0000-00001C020000}"/>
    <cellStyle name="APSLabels 2 2 4 4 2" xfId="4046" xr:uid="{00000000-0005-0000-0000-00001D020000}"/>
    <cellStyle name="APSLabels 2 2 4 4 3" xfId="4047" xr:uid="{00000000-0005-0000-0000-00001E020000}"/>
    <cellStyle name="APSLabels 2 2 4 5" xfId="4048" xr:uid="{00000000-0005-0000-0000-00001F020000}"/>
    <cellStyle name="APSLabels 2 2 4 5 2" xfId="4049" xr:uid="{00000000-0005-0000-0000-000020020000}"/>
    <cellStyle name="APSLabels 2 2 4 5 3" xfId="4050" xr:uid="{00000000-0005-0000-0000-000021020000}"/>
    <cellStyle name="APSLabels 2 2 4 6" xfId="43910" xr:uid="{00000000-0005-0000-0000-000022020000}"/>
    <cellStyle name="APSLabels 2 2 5" xfId="4051" xr:uid="{00000000-0005-0000-0000-000023020000}"/>
    <cellStyle name="APSLabels 2 2 5 2" xfId="4052" xr:uid="{00000000-0005-0000-0000-000024020000}"/>
    <cellStyle name="APSLabels 2 2 5 2 2" xfId="43911" xr:uid="{00000000-0005-0000-0000-000025020000}"/>
    <cellStyle name="APSLabels 2 2 5 3" xfId="4053" xr:uid="{00000000-0005-0000-0000-000026020000}"/>
    <cellStyle name="APSLabels 2 2 5 3 2" xfId="4054" xr:uid="{00000000-0005-0000-0000-000027020000}"/>
    <cellStyle name="APSLabels 2 2 5 3 3" xfId="4055" xr:uid="{00000000-0005-0000-0000-000028020000}"/>
    <cellStyle name="APSLabels 2 2 5 4" xfId="4056" xr:uid="{00000000-0005-0000-0000-000029020000}"/>
    <cellStyle name="APSLabels 2 2 5 4 2" xfId="4057" xr:uid="{00000000-0005-0000-0000-00002A020000}"/>
    <cellStyle name="APSLabels 2 2 5 4 3" xfId="4058" xr:uid="{00000000-0005-0000-0000-00002B020000}"/>
    <cellStyle name="APSLabels 2 2 5 5" xfId="4059" xr:uid="{00000000-0005-0000-0000-00002C020000}"/>
    <cellStyle name="APSLabels 2 2 5 5 2" xfId="4060" xr:uid="{00000000-0005-0000-0000-00002D020000}"/>
    <cellStyle name="APSLabels 2 2 5 5 3" xfId="4061" xr:uid="{00000000-0005-0000-0000-00002E020000}"/>
    <cellStyle name="APSLabels 2 2 5 6" xfId="43912" xr:uid="{00000000-0005-0000-0000-00002F020000}"/>
    <cellStyle name="APSLabels 2 2 6" xfId="4062" xr:uid="{00000000-0005-0000-0000-000030020000}"/>
    <cellStyle name="APSLabels 2 2 6 2" xfId="43913" xr:uid="{00000000-0005-0000-0000-000031020000}"/>
    <cellStyle name="APSLabels 2 2 7" xfId="4063" xr:uid="{00000000-0005-0000-0000-000032020000}"/>
    <cellStyle name="APSLabels 2 2 7 2" xfId="4064" xr:uid="{00000000-0005-0000-0000-000033020000}"/>
    <cellStyle name="APSLabels 2 2 7 3" xfId="4065" xr:uid="{00000000-0005-0000-0000-000034020000}"/>
    <cellStyle name="APSLabels 2 2 8" xfId="4066" xr:uid="{00000000-0005-0000-0000-000035020000}"/>
    <cellStyle name="APSLabels 2 2 8 2" xfId="4067" xr:uid="{00000000-0005-0000-0000-000036020000}"/>
    <cellStyle name="APSLabels 2 2 8 3" xfId="4068" xr:uid="{00000000-0005-0000-0000-000037020000}"/>
    <cellStyle name="APSLabels 2 2 9" xfId="4069" xr:uid="{00000000-0005-0000-0000-000038020000}"/>
    <cellStyle name="APSLabels 2 2 9 2" xfId="4070" xr:uid="{00000000-0005-0000-0000-000039020000}"/>
    <cellStyle name="APSLabels 2 2 9 3" xfId="4071" xr:uid="{00000000-0005-0000-0000-00003A020000}"/>
    <cellStyle name="APSLabels 2 3" xfId="4072" xr:uid="{00000000-0005-0000-0000-00003B020000}"/>
    <cellStyle name="APSLabels 2 3 2" xfId="4073" xr:uid="{00000000-0005-0000-0000-00003C020000}"/>
    <cellStyle name="APSLabels 2 3 2 2" xfId="4074" xr:uid="{00000000-0005-0000-0000-00003D020000}"/>
    <cellStyle name="APSLabels 2 3 2 2 2" xfId="43914" xr:uid="{00000000-0005-0000-0000-00003E020000}"/>
    <cellStyle name="APSLabels 2 3 2 3" xfId="4075" xr:uid="{00000000-0005-0000-0000-00003F020000}"/>
    <cellStyle name="APSLabels 2 3 2 3 2" xfId="4076" xr:uid="{00000000-0005-0000-0000-000040020000}"/>
    <cellStyle name="APSLabels 2 3 2 3 3" xfId="4077" xr:uid="{00000000-0005-0000-0000-000041020000}"/>
    <cellStyle name="APSLabels 2 3 2 4" xfId="4078" xr:uid="{00000000-0005-0000-0000-000042020000}"/>
    <cellStyle name="APSLabels 2 3 2 4 2" xfId="4079" xr:uid="{00000000-0005-0000-0000-000043020000}"/>
    <cellStyle name="APSLabels 2 3 2 4 3" xfId="4080" xr:uid="{00000000-0005-0000-0000-000044020000}"/>
    <cellStyle name="APSLabels 2 3 2 5" xfId="4081" xr:uid="{00000000-0005-0000-0000-000045020000}"/>
    <cellStyle name="APSLabels 2 3 2 5 2" xfId="4082" xr:uid="{00000000-0005-0000-0000-000046020000}"/>
    <cellStyle name="APSLabels 2 3 2 5 3" xfId="4083" xr:uid="{00000000-0005-0000-0000-000047020000}"/>
    <cellStyle name="APSLabels 2 3 2 6" xfId="43915" xr:uid="{00000000-0005-0000-0000-000048020000}"/>
    <cellStyle name="APSLabels 2 3 3" xfId="4084" xr:uid="{00000000-0005-0000-0000-000049020000}"/>
    <cellStyle name="APSLabels 2 3 3 2" xfId="43916" xr:uid="{00000000-0005-0000-0000-00004A020000}"/>
    <cellStyle name="APSLabels 2 3 4" xfId="4085" xr:uid="{00000000-0005-0000-0000-00004B020000}"/>
    <cellStyle name="APSLabels 2 3 4 2" xfId="4086" xr:uid="{00000000-0005-0000-0000-00004C020000}"/>
    <cellStyle name="APSLabels 2 3 4 3" xfId="4087" xr:uid="{00000000-0005-0000-0000-00004D020000}"/>
    <cellStyle name="APSLabels 2 3 5" xfId="4088" xr:uid="{00000000-0005-0000-0000-00004E020000}"/>
    <cellStyle name="APSLabels 2 3 5 2" xfId="4089" xr:uid="{00000000-0005-0000-0000-00004F020000}"/>
    <cellStyle name="APSLabels 2 3 5 3" xfId="4090" xr:uid="{00000000-0005-0000-0000-000050020000}"/>
    <cellStyle name="APSLabels 2 3 6" xfId="4091" xr:uid="{00000000-0005-0000-0000-000051020000}"/>
    <cellStyle name="APSLabels 2 3 6 2" xfId="4092" xr:uid="{00000000-0005-0000-0000-000052020000}"/>
    <cellStyle name="APSLabels 2 3 6 3" xfId="4093" xr:uid="{00000000-0005-0000-0000-000053020000}"/>
    <cellStyle name="APSLabels 2 3 7" xfId="43917" xr:uid="{00000000-0005-0000-0000-000054020000}"/>
    <cellStyle name="APSLabels 2 4" xfId="4094" xr:uid="{00000000-0005-0000-0000-000055020000}"/>
    <cellStyle name="APSLabels 2 4 2" xfId="4095" xr:uid="{00000000-0005-0000-0000-000056020000}"/>
    <cellStyle name="APSLabels 2 4 2 2" xfId="4096" xr:uid="{00000000-0005-0000-0000-000057020000}"/>
    <cellStyle name="APSLabels 2 4 2 2 2" xfId="43918" xr:uid="{00000000-0005-0000-0000-000058020000}"/>
    <cellStyle name="APSLabels 2 4 2 3" xfId="4097" xr:uid="{00000000-0005-0000-0000-000059020000}"/>
    <cellStyle name="APSLabels 2 4 2 3 2" xfId="4098" xr:uid="{00000000-0005-0000-0000-00005A020000}"/>
    <cellStyle name="APSLabels 2 4 2 3 3" xfId="4099" xr:uid="{00000000-0005-0000-0000-00005B020000}"/>
    <cellStyle name="APSLabels 2 4 2 4" xfId="4100" xr:uid="{00000000-0005-0000-0000-00005C020000}"/>
    <cellStyle name="APSLabels 2 4 2 4 2" xfId="4101" xr:uid="{00000000-0005-0000-0000-00005D020000}"/>
    <cellStyle name="APSLabels 2 4 2 4 3" xfId="4102" xr:uid="{00000000-0005-0000-0000-00005E020000}"/>
    <cellStyle name="APSLabels 2 4 2 5" xfId="4103" xr:uid="{00000000-0005-0000-0000-00005F020000}"/>
    <cellStyle name="APSLabels 2 4 2 5 2" xfId="4104" xr:uid="{00000000-0005-0000-0000-000060020000}"/>
    <cellStyle name="APSLabels 2 4 2 5 3" xfId="4105" xr:uid="{00000000-0005-0000-0000-000061020000}"/>
    <cellStyle name="APSLabels 2 4 2 6" xfId="43919" xr:uid="{00000000-0005-0000-0000-000062020000}"/>
    <cellStyle name="APSLabels 2 4 3" xfId="4106" xr:uid="{00000000-0005-0000-0000-000063020000}"/>
    <cellStyle name="APSLabels 2 4 3 2" xfId="43920" xr:uid="{00000000-0005-0000-0000-000064020000}"/>
    <cellStyle name="APSLabels 2 4 4" xfId="4107" xr:uid="{00000000-0005-0000-0000-000065020000}"/>
    <cellStyle name="APSLabels 2 4 4 2" xfId="4108" xr:uid="{00000000-0005-0000-0000-000066020000}"/>
    <cellStyle name="APSLabels 2 4 4 3" xfId="4109" xr:uid="{00000000-0005-0000-0000-000067020000}"/>
    <cellStyle name="APSLabels 2 4 5" xfId="4110" xr:uid="{00000000-0005-0000-0000-000068020000}"/>
    <cellStyle name="APSLabels 2 4 5 2" xfId="4111" xr:uid="{00000000-0005-0000-0000-000069020000}"/>
    <cellStyle name="APSLabels 2 4 5 3" xfId="4112" xr:uid="{00000000-0005-0000-0000-00006A020000}"/>
    <cellStyle name="APSLabels 2 4 6" xfId="4113" xr:uid="{00000000-0005-0000-0000-00006B020000}"/>
    <cellStyle name="APSLabels 2 4 6 2" xfId="4114" xr:uid="{00000000-0005-0000-0000-00006C020000}"/>
    <cellStyle name="APSLabels 2 4 6 3" xfId="4115" xr:uid="{00000000-0005-0000-0000-00006D020000}"/>
    <cellStyle name="APSLabels 2 4 7" xfId="43921" xr:uid="{00000000-0005-0000-0000-00006E020000}"/>
    <cellStyle name="APSLabels 2 5" xfId="4116" xr:uid="{00000000-0005-0000-0000-00006F020000}"/>
    <cellStyle name="APSLabels 2 5 2" xfId="4117" xr:uid="{00000000-0005-0000-0000-000070020000}"/>
    <cellStyle name="APSLabels 2 5 2 2" xfId="43922" xr:uid="{00000000-0005-0000-0000-000071020000}"/>
    <cellStyle name="APSLabels 2 5 3" xfId="4118" xr:uid="{00000000-0005-0000-0000-000072020000}"/>
    <cellStyle name="APSLabels 2 5 3 2" xfId="4119" xr:uid="{00000000-0005-0000-0000-000073020000}"/>
    <cellStyle name="APSLabels 2 5 3 3" xfId="4120" xr:uid="{00000000-0005-0000-0000-000074020000}"/>
    <cellStyle name="APSLabels 2 5 4" xfId="4121" xr:uid="{00000000-0005-0000-0000-000075020000}"/>
    <cellStyle name="APSLabels 2 5 4 2" xfId="4122" xr:uid="{00000000-0005-0000-0000-000076020000}"/>
    <cellStyle name="APSLabels 2 5 4 3" xfId="4123" xr:uid="{00000000-0005-0000-0000-000077020000}"/>
    <cellStyle name="APSLabels 2 5 5" xfId="4124" xr:uid="{00000000-0005-0000-0000-000078020000}"/>
    <cellStyle name="APSLabels 2 5 5 2" xfId="4125" xr:uid="{00000000-0005-0000-0000-000079020000}"/>
    <cellStyle name="APSLabels 2 5 5 3" xfId="4126" xr:uid="{00000000-0005-0000-0000-00007A020000}"/>
    <cellStyle name="APSLabels 2 5 6" xfId="43923" xr:uid="{00000000-0005-0000-0000-00007B020000}"/>
    <cellStyle name="APSLabels 2 6" xfId="4127" xr:uid="{00000000-0005-0000-0000-00007C020000}"/>
    <cellStyle name="APSLabels 2 6 2" xfId="4128" xr:uid="{00000000-0005-0000-0000-00007D020000}"/>
    <cellStyle name="APSLabels 2 6 2 2" xfId="43924" xr:uid="{00000000-0005-0000-0000-00007E020000}"/>
    <cellStyle name="APSLabels 2 6 3" xfId="4129" xr:uid="{00000000-0005-0000-0000-00007F020000}"/>
    <cellStyle name="APSLabels 2 6 3 2" xfId="4130" xr:uid="{00000000-0005-0000-0000-000080020000}"/>
    <cellStyle name="APSLabels 2 6 3 3" xfId="4131" xr:uid="{00000000-0005-0000-0000-000081020000}"/>
    <cellStyle name="APSLabels 2 6 4" xfId="4132" xr:uid="{00000000-0005-0000-0000-000082020000}"/>
    <cellStyle name="APSLabels 2 6 4 2" xfId="4133" xr:uid="{00000000-0005-0000-0000-000083020000}"/>
    <cellStyle name="APSLabels 2 6 4 3" xfId="4134" xr:uid="{00000000-0005-0000-0000-000084020000}"/>
    <cellStyle name="APSLabels 2 6 5" xfId="4135" xr:uid="{00000000-0005-0000-0000-000085020000}"/>
    <cellStyle name="APSLabels 2 6 5 2" xfId="4136" xr:uid="{00000000-0005-0000-0000-000086020000}"/>
    <cellStyle name="APSLabels 2 6 5 3" xfId="4137" xr:uid="{00000000-0005-0000-0000-000087020000}"/>
    <cellStyle name="APSLabels 2 6 6" xfId="43925" xr:uid="{00000000-0005-0000-0000-000088020000}"/>
    <cellStyle name="APSLabels 2 7" xfId="4138" xr:uid="{00000000-0005-0000-0000-000089020000}"/>
    <cellStyle name="APSLabels 2 7 2" xfId="43926" xr:uid="{00000000-0005-0000-0000-00008A020000}"/>
    <cellStyle name="APSLabels 2 8" xfId="4139" xr:uid="{00000000-0005-0000-0000-00008B020000}"/>
    <cellStyle name="APSLabels 2 8 2" xfId="4140" xr:uid="{00000000-0005-0000-0000-00008C020000}"/>
    <cellStyle name="APSLabels 2 8 3" xfId="4141" xr:uid="{00000000-0005-0000-0000-00008D020000}"/>
    <cellStyle name="APSLabels 2 9" xfId="4142" xr:uid="{00000000-0005-0000-0000-00008E020000}"/>
    <cellStyle name="APSLabels 2 9 2" xfId="4143" xr:uid="{00000000-0005-0000-0000-00008F020000}"/>
    <cellStyle name="APSLabels 2 9 3" xfId="4144" xr:uid="{00000000-0005-0000-0000-000090020000}"/>
    <cellStyle name="APSLabels 3" xfId="4145" xr:uid="{00000000-0005-0000-0000-000091020000}"/>
    <cellStyle name="APSLabels 3 10" xfId="4146" xr:uid="{00000000-0005-0000-0000-000092020000}"/>
    <cellStyle name="APSLabels 3 10 2" xfId="4147" xr:uid="{00000000-0005-0000-0000-000093020000}"/>
    <cellStyle name="APSLabels 3 10 3" xfId="4148" xr:uid="{00000000-0005-0000-0000-000094020000}"/>
    <cellStyle name="APSLabels 3 11" xfId="4149" xr:uid="{00000000-0005-0000-0000-000095020000}"/>
    <cellStyle name="APSLabels 3 11 2" xfId="4150" xr:uid="{00000000-0005-0000-0000-000096020000}"/>
    <cellStyle name="APSLabels 3 11 3" xfId="4151" xr:uid="{00000000-0005-0000-0000-000097020000}"/>
    <cellStyle name="APSLabels 3 12" xfId="4152" xr:uid="{00000000-0005-0000-0000-000098020000}"/>
    <cellStyle name="APSLabels 3 13" xfId="4153" xr:uid="{00000000-0005-0000-0000-000099020000}"/>
    <cellStyle name="APSLabels 3 2" xfId="4154" xr:uid="{00000000-0005-0000-0000-00009A020000}"/>
    <cellStyle name="APSLabels 3 2 2" xfId="4155" xr:uid="{00000000-0005-0000-0000-00009B020000}"/>
    <cellStyle name="APSLabels 3 2 2 2" xfId="4156" xr:uid="{00000000-0005-0000-0000-00009C020000}"/>
    <cellStyle name="APSLabels 3 2 2 2 2" xfId="43927" xr:uid="{00000000-0005-0000-0000-00009D020000}"/>
    <cellStyle name="APSLabels 3 2 2 3" xfId="4157" xr:uid="{00000000-0005-0000-0000-00009E020000}"/>
    <cellStyle name="APSLabels 3 2 2 3 2" xfId="4158" xr:uid="{00000000-0005-0000-0000-00009F020000}"/>
    <cellStyle name="APSLabels 3 2 2 3 3" xfId="4159" xr:uid="{00000000-0005-0000-0000-0000A0020000}"/>
    <cellStyle name="APSLabels 3 2 2 4" xfId="4160" xr:uid="{00000000-0005-0000-0000-0000A1020000}"/>
    <cellStyle name="APSLabels 3 2 2 4 2" xfId="4161" xr:uid="{00000000-0005-0000-0000-0000A2020000}"/>
    <cellStyle name="APSLabels 3 2 2 4 3" xfId="4162" xr:uid="{00000000-0005-0000-0000-0000A3020000}"/>
    <cellStyle name="APSLabels 3 2 2 5" xfId="4163" xr:uid="{00000000-0005-0000-0000-0000A4020000}"/>
    <cellStyle name="APSLabels 3 2 2 5 2" xfId="4164" xr:uid="{00000000-0005-0000-0000-0000A5020000}"/>
    <cellStyle name="APSLabels 3 2 2 5 3" xfId="4165" xr:uid="{00000000-0005-0000-0000-0000A6020000}"/>
    <cellStyle name="APSLabels 3 2 2 6" xfId="43928" xr:uid="{00000000-0005-0000-0000-0000A7020000}"/>
    <cellStyle name="APSLabels 3 2 3" xfId="4166" xr:uid="{00000000-0005-0000-0000-0000A8020000}"/>
    <cellStyle name="APSLabels 3 2 3 2" xfId="43929" xr:uid="{00000000-0005-0000-0000-0000A9020000}"/>
    <cellStyle name="APSLabels 3 2 4" xfId="4167" xr:uid="{00000000-0005-0000-0000-0000AA020000}"/>
    <cellStyle name="APSLabels 3 2 4 2" xfId="4168" xr:uid="{00000000-0005-0000-0000-0000AB020000}"/>
    <cellStyle name="APSLabels 3 2 4 3" xfId="4169" xr:uid="{00000000-0005-0000-0000-0000AC020000}"/>
    <cellStyle name="APSLabels 3 2 5" xfId="4170" xr:uid="{00000000-0005-0000-0000-0000AD020000}"/>
    <cellStyle name="APSLabels 3 2 5 2" xfId="4171" xr:uid="{00000000-0005-0000-0000-0000AE020000}"/>
    <cellStyle name="APSLabels 3 2 5 3" xfId="4172" xr:uid="{00000000-0005-0000-0000-0000AF020000}"/>
    <cellStyle name="APSLabels 3 2 6" xfId="4173" xr:uid="{00000000-0005-0000-0000-0000B0020000}"/>
    <cellStyle name="APSLabels 3 2 6 2" xfId="4174" xr:uid="{00000000-0005-0000-0000-0000B1020000}"/>
    <cellStyle name="APSLabels 3 2 6 3" xfId="4175" xr:uid="{00000000-0005-0000-0000-0000B2020000}"/>
    <cellStyle name="APSLabels 3 2 7" xfId="43930" xr:uid="{00000000-0005-0000-0000-0000B3020000}"/>
    <cellStyle name="APSLabels 3 3" xfId="4176" xr:uid="{00000000-0005-0000-0000-0000B4020000}"/>
    <cellStyle name="APSLabels 3 3 2" xfId="4177" xr:uid="{00000000-0005-0000-0000-0000B5020000}"/>
    <cellStyle name="APSLabels 3 3 2 2" xfId="4178" xr:uid="{00000000-0005-0000-0000-0000B6020000}"/>
    <cellStyle name="APSLabels 3 3 2 2 2" xfId="43931" xr:uid="{00000000-0005-0000-0000-0000B7020000}"/>
    <cellStyle name="APSLabels 3 3 2 3" xfId="4179" xr:uid="{00000000-0005-0000-0000-0000B8020000}"/>
    <cellStyle name="APSLabels 3 3 2 3 2" xfId="4180" xr:uid="{00000000-0005-0000-0000-0000B9020000}"/>
    <cellStyle name="APSLabels 3 3 2 3 3" xfId="4181" xr:uid="{00000000-0005-0000-0000-0000BA020000}"/>
    <cellStyle name="APSLabels 3 3 2 4" xfId="4182" xr:uid="{00000000-0005-0000-0000-0000BB020000}"/>
    <cellStyle name="APSLabels 3 3 2 4 2" xfId="4183" xr:uid="{00000000-0005-0000-0000-0000BC020000}"/>
    <cellStyle name="APSLabels 3 3 2 4 3" xfId="4184" xr:uid="{00000000-0005-0000-0000-0000BD020000}"/>
    <cellStyle name="APSLabels 3 3 2 5" xfId="4185" xr:uid="{00000000-0005-0000-0000-0000BE020000}"/>
    <cellStyle name="APSLabels 3 3 2 5 2" xfId="4186" xr:uid="{00000000-0005-0000-0000-0000BF020000}"/>
    <cellStyle name="APSLabels 3 3 2 5 3" xfId="4187" xr:uid="{00000000-0005-0000-0000-0000C0020000}"/>
    <cellStyle name="APSLabels 3 3 2 6" xfId="43932" xr:uid="{00000000-0005-0000-0000-0000C1020000}"/>
    <cellStyle name="APSLabels 3 3 3" xfId="4188" xr:uid="{00000000-0005-0000-0000-0000C2020000}"/>
    <cellStyle name="APSLabels 3 3 3 2" xfId="43933" xr:uid="{00000000-0005-0000-0000-0000C3020000}"/>
    <cellStyle name="APSLabels 3 3 4" xfId="4189" xr:uid="{00000000-0005-0000-0000-0000C4020000}"/>
    <cellStyle name="APSLabels 3 3 4 2" xfId="4190" xr:uid="{00000000-0005-0000-0000-0000C5020000}"/>
    <cellStyle name="APSLabels 3 3 4 3" xfId="4191" xr:uid="{00000000-0005-0000-0000-0000C6020000}"/>
    <cellStyle name="APSLabels 3 3 5" xfId="4192" xr:uid="{00000000-0005-0000-0000-0000C7020000}"/>
    <cellStyle name="APSLabels 3 3 5 2" xfId="4193" xr:uid="{00000000-0005-0000-0000-0000C8020000}"/>
    <cellStyle name="APSLabels 3 3 5 3" xfId="4194" xr:uid="{00000000-0005-0000-0000-0000C9020000}"/>
    <cellStyle name="APSLabels 3 3 6" xfId="4195" xr:uid="{00000000-0005-0000-0000-0000CA020000}"/>
    <cellStyle name="APSLabels 3 3 6 2" xfId="4196" xr:uid="{00000000-0005-0000-0000-0000CB020000}"/>
    <cellStyle name="APSLabels 3 3 6 3" xfId="4197" xr:uid="{00000000-0005-0000-0000-0000CC020000}"/>
    <cellStyle name="APSLabels 3 3 7" xfId="43934" xr:uid="{00000000-0005-0000-0000-0000CD020000}"/>
    <cellStyle name="APSLabels 3 4" xfId="4198" xr:uid="{00000000-0005-0000-0000-0000CE020000}"/>
    <cellStyle name="APSLabels 3 4 2" xfId="4199" xr:uid="{00000000-0005-0000-0000-0000CF020000}"/>
    <cellStyle name="APSLabels 3 4 2 2" xfId="43935" xr:uid="{00000000-0005-0000-0000-0000D0020000}"/>
    <cellStyle name="APSLabels 3 4 3" xfId="4200" xr:uid="{00000000-0005-0000-0000-0000D1020000}"/>
    <cellStyle name="APSLabels 3 4 3 2" xfId="4201" xr:uid="{00000000-0005-0000-0000-0000D2020000}"/>
    <cellStyle name="APSLabels 3 4 3 3" xfId="4202" xr:uid="{00000000-0005-0000-0000-0000D3020000}"/>
    <cellStyle name="APSLabels 3 4 4" xfId="4203" xr:uid="{00000000-0005-0000-0000-0000D4020000}"/>
    <cellStyle name="APSLabels 3 4 4 2" xfId="4204" xr:uid="{00000000-0005-0000-0000-0000D5020000}"/>
    <cellStyle name="APSLabels 3 4 4 3" xfId="4205" xr:uid="{00000000-0005-0000-0000-0000D6020000}"/>
    <cellStyle name="APSLabels 3 4 5" xfId="4206" xr:uid="{00000000-0005-0000-0000-0000D7020000}"/>
    <cellStyle name="APSLabels 3 4 5 2" xfId="4207" xr:uid="{00000000-0005-0000-0000-0000D8020000}"/>
    <cellStyle name="APSLabels 3 4 5 3" xfId="4208" xr:uid="{00000000-0005-0000-0000-0000D9020000}"/>
    <cellStyle name="APSLabels 3 4 6" xfId="43936" xr:uid="{00000000-0005-0000-0000-0000DA020000}"/>
    <cellStyle name="APSLabels 3 5" xfId="4209" xr:uid="{00000000-0005-0000-0000-0000DB020000}"/>
    <cellStyle name="APSLabels 3 5 2" xfId="4210" xr:uid="{00000000-0005-0000-0000-0000DC020000}"/>
    <cellStyle name="APSLabels 3 5 2 2" xfId="43937" xr:uid="{00000000-0005-0000-0000-0000DD020000}"/>
    <cellStyle name="APSLabels 3 5 3" xfId="4211" xr:uid="{00000000-0005-0000-0000-0000DE020000}"/>
    <cellStyle name="APSLabels 3 5 3 2" xfId="4212" xr:uid="{00000000-0005-0000-0000-0000DF020000}"/>
    <cellStyle name="APSLabels 3 5 3 3" xfId="4213" xr:uid="{00000000-0005-0000-0000-0000E0020000}"/>
    <cellStyle name="APSLabels 3 5 4" xfId="4214" xr:uid="{00000000-0005-0000-0000-0000E1020000}"/>
    <cellStyle name="APSLabels 3 5 4 2" xfId="4215" xr:uid="{00000000-0005-0000-0000-0000E2020000}"/>
    <cellStyle name="APSLabels 3 5 4 3" xfId="4216" xr:uid="{00000000-0005-0000-0000-0000E3020000}"/>
    <cellStyle name="APSLabels 3 5 5" xfId="4217" xr:uid="{00000000-0005-0000-0000-0000E4020000}"/>
    <cellStyle name="APSLabels 3 5 5 2" xfId="4218" xr:uid="{00000000-0005-0000-0000-0000E5020000}"/>
    <cellStyle name="APSLabels 3 5 5 3" xfId="4219" xr:uid="{00000000-0005-0000-0000-0000E6020000}"/>
    <cellStyle name="APSLabels 3 5 6" xfId="43938" xr:uid="{00000000-0005-0000-0000-0000E7020000}"/>
    <cellStyle name="APSLabels 3 6" xfId="4220" xr:uid="{00000000-0005-0000-0000-0000E8020000}"/>
    <cellStyle name="APSLabels 3 6 2" xfId="43939" xr:uid="{00000000-0005-0000-0000-0000E9020000}"/>
    <cellStyle name="APSLabels 3 7" xfId="4221" xr:uid="{00000000-0005-0000-0000-0000EA020000}"/>
    <cellStyle name="APSLabels 3 7 2" xfId="43940" xr:uid="{00000000-0005-0000-0000-0000EB020000}"/>
    <cellStyle name="APSLabels 3 8" xfId="4222" xr:uid="{00000000-0005-0000-0000-0000EC020000}"/>
    <cellStyle name="APSLabels 3 8 2" xfId="4223" xr:uid="{00000000-0005-0000-0000-0000ED020000}"/>
    <cellStyle name="APSLabels 3 8 3" xfId="4224" xr:uid="{00000000-0005-0000-0000-0000EE020000}"/>
    <cellStyle name="APSLabels 3 9" xfId="4225" xr:uid="{00000000-0005-0000-0000-0000EF020000}"/>
    <cellStyle name="APSLabels 3 9 2" xfId="4226" xr:uid="{00000000-0005-0000-0000-0000F0020000}"/>
    <cellStyle name="APSLabels 3 9 3" xfId="4227" xr:uid="{00000000-0005-0000-0000-0000F1020000}"/>
    <cellStyle name="APSLabels 4" xfId="4228" xr:uid="{00000000-0005-0000-0000-0000F2020000}"/>
    <cellStyle name="APSLabels 4 10" xfId="4229" xr:uid="{00000000-0005-0000-0000-0000F3020000}"/>
    <cellStyle name="APSLabels 4 10 2" xfId="4230" xr:uid="{00000000-0005-0000-0000-0000F4020000}"/>
    <cellStyle name="APSLabels 4 10 3" xfId="4231" xr:uid="{00000000-0005-0000-0000-0000F5020000}"/>
    <cellStyle name="APSLabels 4 11" xfId="4232" xr:uid="{00000000-0005-0000-0000-0000F6020000}"/>
    <cellStyle name="APSLabels 4 11 2" xfId="4233" xr:uid="{00000000-0005-0000-0000-0000F7020000}"/>
    <cellStyle name="APSLabels 4 11 3" xfId="4234" xr:uid="{00000000-0005-0000-0000-0000F8020000}"/>
    <cellStyle name="APSLabels 4 12" xfId="4235" xr:uid="{00000000-0005-0000-0000-0000F9020000}"/>
    <cellStyle name="APSLabels 4 13" xfId="4236" xr:uid="{00000000-0005-0000-0000-0000FA020000}"/>
    <cellStyle name="APSLabels 4 2" xfId="4237" xr:uid="{00000000-0005-0000-0000-0000FB020000}"/>
    <cellStyle name="APSLabels 4 2 2" xfId="4238" xr:uid="{00000000-0005-0000-0000-0000FC020000}"/>
    <cellStyle name="APSLabels 4 2 2 2" xfId="4239" xr:uid="{00000000-0005-0000-0000-0000FD020000}"/>
    <cellStyle name="APSLabels 4 2 2 2 2" xfId="43941" xr:uid="{00000000-0005-0000-0000-0000FE020000}"/>
    <cellStyle name="APSLabels 4 2 2 3" xfId="4240" xr:uid="{00000000-0005-0000-0000-0000FF020000}"/>
    <cellStyle name="APSLabels 4 2 2 3 2" xfId="4241" xr:uid="{00000000-0005-0000-0000-000000030000}"/>
    <cellStyle name="APSLabels 4 2 2 3 3" xfId="4242" xr:uid="{00000000-0005-0000-0000-000001030000}"/>
    <cellStyle name="APSLabels 4 2 2 4" xfId="4243" xr:uid="{00000000-0005-0000-0000-000002030000}"/>
    <cellStyle name="APSLabels 4 2 2 4 2" xfId="4244" xr:uid="{00000000-0005-0000-0000-000003030000}"/>
    <cellStyle name="APSLabels 4 2 2 4 3" xfId="4245" xr:uid="{00000000-0005-0000-0000-000004030000}"/>
    <cellStyle name="APSLabels 4 2 2 5" xfId="4246" xr:uid="{00000000-0005-0000-0000-000005030000}"/>
    <cellStyle name="APSLabels 4 2 2 5 2" xfId="4247" xr:uid="{00000000-0005-0000-0000-000006030000}"/>
    <cellStyle name="APSLabels 4 2 2 5 3" xfId="4248" xr:uid="{00000000-0005-0000-0000-000007030000}"/>
    <cellStyle name="APSLabels 4 2 2 6" xfId="43942" xr:uid="{00000000-0005-0000-0000-000008030000}"/>
    <cellStyle name="APSLabels 4 2 3" xfId="4249" xr:uid="{00000000-0005-0000-0000-000009030000}"/>
    <cellStyle name="APSLabels 4 2 3 2" xfId="43943" xr:uid="{00000000-0005-0000-0000-00000A030000}"/>
    <cellStyle name="APSLabels 4 2 4" xfId="4250" xr:uid="{00000000-0005-0000-0000-00000B030000}"/>
    <cellStyle name="APSLabels 4 2 4 2" xfId="4251" xr:uid="{00000000-0005-0000-0000-00000C030000}"/>
    <cellStyle name="APSLabels 4 2 4 3" xfId="4252" xr:uid="{00000000-0005-0000-0000-00000D030000}"/>
    <cellStyle name="APSLabels 4 2 5" xfId="4253" xr:uid="{00000000-0005-0000-0000-00000E030000}"/>
    <cellStyle name="APSLabels 4 2 5 2" xfId="4254" xr:uid="{00000000-0005-0000-0000-00000F030000}"/>
    <cellStyle name="APSLabels 4 2 5 3" xfId="4255" xr:uid="{00000000-0005-0000-0000-000010030000}"/>
    <cellStyle name="APSLabels 4 2 6" xfId="4256" xr:uid="{00000000-0005-0000-0000-000011030000}"/>
    <cellStyle name="APSLabels 4 2 6 2" xfId="4257" xr:uid="{00000000-0005-0000-0000-000012030000}"/>
    <cellStyle name="APSLabels 4 2 6 3" xfId="4258" xr:uid="{00000000-0005-0000-0000-000013030000}"/>
    <cellStyle name="APSLabels 4 2 7" xfId="43944" xr:uid="{00000000-0005-0000-0000-000014030000}"/>
    <cellStyle name="APSLabels 4 3" xfId="4259" xr:uid="{00000000-0005-0000-0000-000015030000}"/>
    <cellStyle name="APSLabels 4 3 2" xfId="4260" xr:uid="{00000000-0005-0000-0000-000016030000}"/>
    <cellStyle name="APSLabels 4 3 2 2" xfId="4261" xr:uid="{00000000-0005-0000-0000-000017030000}"/>
    <cellStyle name="APSLabels 4 3 2 2 2" xfId="43945" xr:uid="{00000000-0005-0000-0000-000018030000}"/>
    <cellStyle name="APSLabels 4 3 2 3" xfId="4262" xr:uid="{00000000-0005-0000-0000-000019030000}"/>
    <cellStyle name="APSLabels 4 3 2 3 2" xfId="4263" xr:uid="{00000000-0005-0000-0000-00001A030000}"/>
    <cellStyle name="APSLabels 4 3 2 3 3" xfId="4264" xr:uid="{00000000-0005-0000-0000-00001B030000}"/>
    <cellStyle name="APSLabels 4 3 2 4" xfId="4265" xr:uid="{00000000-0005-0000-0000-00001C030000}"/>
    <cellStyle name="APSLabels 4 3 2 4 2" xfId="4266" xr:uid="{00000000-0005-0000-0000-00001D030000}"/>
    <cellStyle name="APSLabels 4 3 2 4 3" xfId="4267" xr:uid="{00000000-0005-0000-0000-00001E030000}"/>
    <cellStyle name="APSLabels 4 3 2 5" xfId="4268" xr:uid="{00000000-0005-0000-0000-00001F030000}"/>
    <cellStyle name="APSLabels 4 3 2 5 2" xfId="4269" xr:uid="{00000000-0005-0000-0000-000020030000}"/>
    <cellStyle name="APSLabels 4 3 2 5 3" xfId="4270" xr:uid="{00000000-0005-0000-0000-000021030000}"/>
    <cellStyle name="APSLabels 4 3 2 6" xfId="43946" xr:uid="{00000000-0005-0000-0000-000022030000}"/>
    <cellStyle name="APSLabels 4 3 3" xfId="4271" xr:uid="{00000000-0005-0000-0000-000023030000}"/>
    <cellStyle name="APSLabels 4 3 3 2" xfId="43947" xr:uid="{00000000-0005-0000-0000-000024030000}"/>
    <cellStyle name="APSLabels 4 3 4" xfId="4272" xr:uid="{00000000-0005-0000-0000-000025030000}"/>
    <cellStyle name="APSLabels 4 3 4 2" xfId="4273" xr:uid="{00000000-0005-0000-0000-000026030000}"/>
    <cellStyle name="APSLabels 4 3 4 3" xfId="4274" xr:uid="{00000000-0005-0000-0000-000027030000}"/>
    <cellStyle name="APSLabels 4 3 5" xfId="4275" xr:uid="{00000000-0005-0000-0000-000028030000}"/>
    <cellStyle name="APSLabels 4 3 5 2" xfId="4276" xr:uid="{00000000-0005-0000-0000-000029030000}"/>
    <cellStyle name="APSLabels 4 3 5 3" xfId="4277" xr:uid="{00000000-0005-0000-0000-00002A030000}"/>
    <cellStyle name="APSLabels 4 3 6" xfId="4278" xr:uid="{00000000-0005-0000-0000-00002B030000}"/>
    <cellStyle name="APSLabels 4 3 6 2" xfId="4279" xr:uid="{00000000-0005-0000-0000-00002C030000}"/>
    <cellStyle name="APSLabels 4 3 6 3" xfId="4280" xr:uid="{00000000-0005-0000-0000-00002D030000}"/>
    <cellStyle name="APSLabels 4 3 7" xfId="43948" xr:uid="{00000000-0005-0000-0000-00002E030000}"/>
    <cellStyle name="APSLabels 4 4" xfId="4281" xr:uid="{00000000-0005-0000-0000-00002F030000}"/>
    <cellStyle name="APSLabels 4 4 2" xfId="4282" xr:uid="{00000000-0005-0000-0000-000030030000}"/>
    <cellStyle name="APSLabels 4 4 2 2" xfId="43949" xr:uid="{00000000-0005-0000-0000-000031030000}"/>
    <cellStyle name="APSLabels 4 4 3" xfId="4283" xr:uid="{00000000-0005-0000-0000-000032030000}"/>
    <cellStyle name="APSLabels 4 4 3 2" xfId="4284" xr:uid="{00000000-0005-0000-0000-000033030000}"/>
    <cellStyle name="APSLabels 4 4 3 3" xfId="4285" xr:uid="{00000000-0005-0000-0000-000034030000}"/>
    <cellStyle name="APSLabels 4 4 4" xfId="4286" xr:uid="{00000000-0005-0000-0000-000035030000}"/>
    <cellStyle name="APSLabels 4 4 4 2" xfId="4287" xr:uid="{00000000-0005-0000-0000-000036030000}"/>
    <cellStyle name="APSLabels 4 4 4 3" xfId="4288" xr:uid="{00000000-0005-0000-0000-000037030000}"/>
    <cellStyle name="APSLabels 4 4 5" xfId="4289" xr:uid="{00000000-0005-0000-0000-000038030000}"/>
    <cellStyle name="APSLabels 4 4 5 2" xfId="4290" xr:uid="{00000000-0005-0000-0000-000039030000}"/>
    <cellStyle name="APSLabels 4 4 5 3" xfId="4291" xr:uid="{00000000-0005-0000-0000-00003A030000}"/>
    <cellStyle name="APSLabels 4 4 6" xfId="43950" xr:uid="{00000000-0005-0000-0000-00003B030000}"/>
    <cellStyle name="APSLabels 4 5" xfId="4292" xr:uid="{00000000-0005-0000-0000-00003C030000}"/>
    <cellStyle name="APSLabels 4 5 2" xfId="4293" xr:uid="{00000000-0005-0000-0000-00003D030000}"/>
    <cellStyle name="APSLabels 4 5 2 2" xfId="43951" xr:uid="{00000000-0005-0000-0000-00003E030000}"/>
    <cellStyle name="APSLabels 4 5 3" xfId="4294" xr:uid="{00000000-0005-0000-0000-00003F030000}"/>
    <cellStyle name="APSLabels 4 5 3 2" xfId="4295" xr:uid="{00000000-0005-0000-0000-000040030000}"/>
    <cellStyle name="APSLabels 4 5 3 3" xfId="4296" xr:uid="{00000000-0005-0000-0000-000041030000}"/>
    <cellStyle name="APSLabels 4 5 4" xfId="4297" xr:uid="{00000000-0005-0000-0000-000042030000}"/>
    <cellStyle name="APSLabels 4 5 4 2" xfId="4298" xr:uid="{00000000-0005-0000-0000-000043030000}"/>
    <cellStyle name="APSLabels 4 5 4 3" xfId="4299" xr:uid="{00000000-0005-0000-0000-000044030000}"/>
    <cellStyle name="APSLabels 4 5 5" xfId="4300" xr:uid="{00000000-0005-0000-0000-000045030000}"/>
    <cellStyle name="APSLabels 4 5 5 2" xfId="4301" xr:uid="{00000000-0005-0000-0000-000046030000}"/>
    <cellStyle name="APSLabels 4 5 5 3" xfId="4302" xr:uid="{00000000-0005-0000-0000-000047030000}"/>
    <cellStyle name="APSLabels 4 5 6" xfId="43952" xr:uid="{00000000-0005-0000-0000-000048030000}"/>
    <cellStyle name="APSLabels 4 6" xfId="4303" xr:uid="{00000000-0005-0000-0000-000049030000}"/>
    <cellStyle name="APSLabels 4 6 2" xfId="43953" xr:uid="{00000000-0005-0000-0000-00004A030000}"/>
    <cellStyle name="APSLabels 4 7" xfId="4304" xr:uid="{00000000-0005-0000-0000-00004B030000}"/>
    <cellStyle name="APSLabels 4 7 2" xfId="43954" xr:uid="{00000000-0005-0000-0000-00004C030000}"/>
    <cellStyle name="APSLabels 4 8" xfId="4305" xr:uid="{00000000-0005-0000-0000-00004D030000}"/>
    <cellStyle name="APSLabels 4 8 2" xfId="4306" xr:uid="{00000000-0005-0000-0000-00004E030000}"/>
    <cellStyle name="APSLabels 4 8 3" xfId="4307" xr:uid="{00000000-0005-0000-0000-00004F030000}"/>
    <cellStyle name="APSLabels 4 9" xfId="4308" xr:uid="{00000000-0005-0000-0000-000050030000}"/>
    <cellStyle name="APSLabels 4 9 2" xfId="4309" xr:uid="{00000000-0005-0000-0000-000051030000}"/>
    <cellStyle name="APSLabels 4 9 3" xfId="4310" xr:uid="{00000000-0005-0000-0000-000052030000}"/>
    <cellStyle name="APSLabels 5" xfId="4311" xr:uid="{00000000-0005-0000-0000-000053030000}"/>
    <cellStyle name="APSLabels 5 2" xfId="4312" xr:uid="{00000000-0005-0000-0000-000054030000}"/>
    <cellStyle name="APSLabels 5 2 2" xfId="4313" xr:uid="{00000000-0005-0000-0000-000055030000}"/>
    <cellStyle name="APSLabels 5 2 2 2" xfId="43955" xr:uid="{00000000-0005-0000-0000-000056030000}"/>
    <cellStyle name="APSLabels 5 2 3" xfId="4314" xr:uid="{00000000-0005-0000-0000-000057030000}"/>
    <cellStyle name="APSLabels 5 2 3 2" xfId="4315" xr:uid="{00000000-0005-0000-0000-000058030000}"/>
    <cellStyle name="APSLabels 5 2 3 3" xfId="4316" xr:uid="{00000000-0005-0000-0000-000059030000}"/>
    <cellStyle name="APSLabels 5 2 4" xfId="4317" xr:uid="{00000000-0005-0000-0000-00005A030000}"/>
    <cellStyle name="APSLabels 5 2 4 2" xfId="4318" xr:uid="{00000000-0005-0000-0000-00005B030000}"/>
    <cellStyle name="APSLabels 5 2 4 3" xfId="4319" xr:uid="{00000000-0005-0000-0000-00005C030000}"/>
    <cellStyle name="APSLabels 5 2 5" xfId="4320" xr:uid="{00000000-0005-0000-0000-00005D030000}"/>
    <cellStyle name="APSLabels 5 2 5 2" xfId="4321" xr:uid="{00000000-0005-0000-0000-00005E030000}"/>
    <cellStyle name="APSLabels 5 2 5 3" xfId="4322" xr:uid="{00000000-0005-0000-0000-00005F030000}"/>
    <cellStyle name="APSLabels 5 2 6" xfId="43956" xr:uid="{00000000-0005-0000-0000-000060030000}"/>
    <cellStyle name="APSLabels 5 3" xfId="4323" xr:uid="{00000000-0005-0000-0000-000061030000}"/>
    <cellStyle name="APSLabels 5 3 2" xfId="43957" xr:uid="{00000000-0005-0000-0000-000062030000}"/>
    <cellStyle name="APSLabels 5 4" xfId="4324" xr:uid="{00000000-0005-0000-0000-000063030000}"/>
    <cellStyle name="APSLabels 5 4 2" xfId="4325" xr:uid="{00000000-0005-0000-0000-000064030000}"/>
    <cellStyle name="APSLabels 5 4 3" xfId="4326" xr:uid="{00000000-0005-0000-0000-000065030000}"/>
    <cellStyle name="APSLabels 5 5" xfId="4327" xr:uid="{00000000-0005-0000-0000-000066030000}"/>
    <cellStyle name="APSLabels 5 5 2" xfId="4328" xr:uid="{00000000-0005-0000-0000-000067030000}"/>
    <cellStyle name="APSLabels 5 5 3" xfId="4329" xr:uid="{00000000-0005-0000-0000-000068030000}"/>
    <cellStyle name="APSLabels 5 6" xfId="4330" xr:uid="{00000000-0005-0000-0000-000069030000}"/>
    <cellStyle name="APSLabels 5 6 2" xfId="4331" xr:uid="{00000000-0005-0000-0000-00006A030000}"/>
    <cellStyle name="APSLabels 5 6 3" xfId="4332" xr:uid="{00000000-0005-0000-0000-00006B030000}"/>
    <cellStyle name="APSLabels 5 7" xfId="43958" xr:uid="{00000000-0005-0000-0000-00006C030000}"/>
    <cellStyle name="APSLabels 6" xfId="4333" xr:uid="{00000000-0005-0000-0000-00006D030000}"/>
    <cellStyle name="APSLabels 6 2" xfId="4334" xr:uid="{00000000-0005-0000-0000-00006E030000}"/>
    <cellStyle name="APSLabels 6 2 2" xfId="4335" xr:uid="{00000000-0005-0000-0000-00006F030000}"/>
    <cellStyle name="APSLabels 6 2 2 2" xfId="43959" xr:uid="{00000000-0005-0000-0000-000070030000}"/>
    <cellStyle name="APSLabels 6 2 3" xfId="4336" xr:uid="{00000000-0005-0000-0000-000071030000}"/>
    <cellStyle name="APSLabels 6 2 3 2" xfId="4337" xr:uid="{00000000-0005-0000-0000-000072030000}"/>
    <cellStyle name="APSLabels 6 2 3 3" xfId="4338" xr:uid="{00000000-0005-0000-0000-000073030000}"/>
    <cellStyle name="APSLabels 6 2 4" xfId="4339" xr:uid="{00000000-0005-0000-0000-000074030000}"/>
    <cellStyle name="APSLabels 6 2 4 2" xfId="4340" xr:uid="{00000000-0005-0000-0000-000075030000}"/>
    <cellStyle name="APSLabels 6 2 4 3" xfId="4341" xr:uid="{00000000-0005-0000-0000-000076030000}"/>
    <cellStyle name="APSLabels 6 2 5" xfId="4342" xr:uid="{00000000-0005-0000-0000-000077030000}"/>
    <cellStyle name="APSLabels 6 2 5 2" xfId="4343" xr:uid="{00000000-0005-0000-0000-000078030000}"/>
    <cellStyle name="APSLabels 6 2 5 3" xfId="4344" xr:uid="{00000000-0005-0000-0000-000079030000}"/>
    <cellStyle name="APSLabels 6 2 6" xfId="43960" xr:uid="{00000000-0005-0000-0000-00007A030000}"/>
    <cellStyle name="APSLabels 6 3" xfId="4345" xr:uid="{00000000-0005-0000-0000-00007B030000}"/>
    <cellStyle name="APSLabels 6 3 2" xfId="43961" xr:uid="{00000000-0005-0000-0000-00007C030000}"/>
    <cellStyle name="APSLabels 6 4" xfId="4346" xr:uid="{00000000-0005-0000-0000-00007D030000}"/>
    <cellStyle name="APSLabels 6 4 2" xfId="4347" xr:uid="{00000000-0005-0000-0000-00007E030000}"/>
    <cellStyle name="APSLabels 6 4 3" xfId="4348" xr:uid="{00000000-0005-0000-0000-00007F030000}"/>
    <cellStyle name="APSLabels 6 5" xfId="4349" xr:uid="{00000000-0005-0000-0000-000080030000}"/>
    <cellStyle name="APSLabels 6 5 2" xfId="4350" xr:uid="{00000000-0005-0000-0000-000081030000}"/>
    <cellStyle name="APSLabels 6 5 3" xfId="4351" xr:uid="{00000000-0005-0000-0000-000082030000}"/>
    <cellStyle name="APSLabels 6 6" xfId="4352" xr:uid="{00000000-0005-0000-0000-000083030000}"/>
    <cellStyle name="APSLabels 6 6 2" xfId="4353" xr:uid="{00000000-0005-0000-0000-000084030000}"/>
    <cellStyle name="APSLabels 6 6 3" xfId="4354" xr:uid="{00000000-0005-0000-0000-000085030000}"/>
    <cellStyle name="APSLabels 6 7" xfId="43962" xr:uid="{00000000-0005-0000-0000-000086030000}"/>
    <cellStyle name="APSLabels 7" xfId="4355" xr:uid="{00000000-0005-0000-0000-000087030000}"/>
    <cellStyle name="APSLabels 7 2" xfId="4356" xr:uid="{00000000-0005-0000-0000-000088030000}"/>
    <cellStyle name="APSLabels 7 2 2" xfId="43963" xr:uid="{00000000-0005-0000-0000-000089030000}"/>
    <cellStyle name="APSLabels 7 3" xfId="4357" xr:uid="{00000000-0005-0000-0000-00008A030000}"/>
    <cellStyle name="APSLabels 7 3 2" xfId="4358" xr:uid="{00000000-0005-0000-0000-00008B030000}"/>
    <cellStyle name="APSLabels 7 3 3" xfId="4359" xr:uid="{00000000-0005-0000-0000-00008C030000}"/>
    <cellStyle name="APSLabels 7 4" xfId="4360" xr:uid="{00000000-0005-0000-0000-00008D030000}"/>
    <cellStyle name="APSLabels 7 4 2" xfId="4361" xr:uid="{00000000-0005-0000-0000-00008E030000}"/>
    <cellStyle name="APSLabels 7 4 3" xfId="4362" xr:uid="{00000000-0005-0000-0000-00008F030000}"/>
    <cellStyle name="APSLabels 7 5" xfId="4363" xr:uid="{00000000-0005-0000-0000-000090030000}"/>
    <cellStyle name="APSLabels 7 5 2" xfId="4364" xr:uid="{00000000-0005-0000-0000-000091030000}"/>
    <cellStyle name="APSLabels 7 5 3" xfId="4365" xr:uid="{00000000-0005-0000-0000-000092030000}"/>
    <cellStyle name="APSLabels 7 6" xfId="43964" xr:uid="{00000000-0005-0000-0000-000093030000}"/>
    <cellStyle name="APSLabels 8" xfId="4366" xr:uid="{00000000-0005-0000-0000-000094030000}"/>
    <cellStyle name="APSLabels 8 2" xfId="4367" xr:uid="{00000000-0005-0000-0000-000095030000}"/>
    <cellStyle name="APSLabels 8 2 2" xfId="43965" xr:uid="{00000000-0005-0000-0000-000096030000}"/>
    <cellStyle name="APSLabels 8 3" xfId="4368" xr:uid="{00000000-0005-0000-0000-000097030000}"/>
    <cellStyle name="APSLabels 8 3 2" xfId="4369" xr:uid="{00000000-0005-0000-0000-000098030000}"/>
    <cellStyle name="APSLabels 8 3 3" xfId="4370" xr:uid="{00000000-0005-0000-0000-000099030000}"/>
    <cellStyle name="APSLabels 8 4" xfId="4371" xr:uid="{00000000-0005-0000-0000-00009A030000}"/>
    <cellStyle name="APSLabels 8 4 2" xfId="4372" xr:uid="{00000000-0005-0000-0000-00009B030000}"/>
    <cellStyle name="APSLabels 8 4 3" xfId="4373" xr:uid="{00000000-0005-0000-0000-00009C030000}"/>
    <cellStyle name="APSLabels 8 5" xfId="4374" xr:uid="{00000000-0005-0000-0000-00009D030000}"/>
    <cellStyle name="APSLabels 8 5 2" xfId="4375" xr:uid="{00000000-0005-0000-0000-00009E030000}"/>
    <cellStyle name="APSLabels 8 5 3" xfId="4376" xr:uid="{00000000-0005-0000-0000-00009F030000}"/>
    <cellStyle name="APSLabels 8 6" xfId="43966" xr:uid="{00000000-0005-0000-0000-0000A0030000}"/>
    <cellStyle name="APSLabels 9" xfId="4377" xr:uid="{00000000-0005-0000-0000-0000A1030000}"/>
    <cellStyle name="APSLabels 9 2" xfId="4378" xr:uid="{00000000-0005-0000-0000-0000A2030000}"/>
    <cellStyle name="APSLabels 9 3" xfId="4379" xr:uid="{00000000-0005-0000-0000-0000A3030000}"/>
    <cellStyle name="Bad 2" xfId="192" xr:uid="{00000000-0005-0000-0000-0000A4030000}"/>
    <cellStyle name="Bad 2 2" xfId="673" xr:uid="{00000000-0005-0000-0000-0000A5030000}"/>
    <cellStyle name="Bad 2 2 2" xfId="42501" xr:uid="{00000000-0005-0000-0000-0000A6030000}"/>
    <cellStyle name="Bad 2 2 3" xfId="44840" xr:uid="{00000000-0005-0000-0000-0000A7030000}"/>
    <cellStyle name="Bad 2 2 4" xfId="46152" xr:uid="{00000000-0005-0000-0000-0000A8030000}"/>
    <cellStyle name="Bad 2 3" xfId="784" xr:uid="{00000000-0005-0000-0000-0000A9030000}"/>
    <cellStyle name="Bad 3" xfId="193" xr:uid="{00000000-0005-0000-0000-0000AA030000}"/>
    <cellStyle name="Bad 3 2" xfId="194" xr:uid="{00000000-0005-0000-0000-0000AB030000}"/>
    <cellStyle name="Bad 3 2 2" xfId="4380" xr:uid="{00000000-0005-0000-0000-0000AC030000}"/>
    <cellStyle name="Bad 3 3" xfId="4381" xr:uid="{00000000-0005-0000-0000-0000AD030000}"/>
    <cellStyle name="Bad 4" xfId="674" xr:uid="{00000000-0005-0000-0000-0000AE030000}"/>
    <cellStyle name="Bad 4 2" xfId="42502" xr:uid="{00000000-0005-0000-0000-0000AF030000}"/>
    <cellStyle name="Bad 4 3" xfId="44841" xr:uid="{00000000-0005-0000-0000-0000B0030000}"/>
    <cellStyle name="Bad 4 4" xfId="46153" xr:uid="{00000000-0005-0000-0000-0000B1030000}"/>
    <cellStyle name="Budget" xfId="13" xr:uid="{00000000-0005-0000-0000-0000B2030000}"/>
    <cellStyle name="Budget 2" xfId="195" xr:uid="{00000000-0005-0000-0000-0000B3030000}"/>
    <cellStyle name="Budget 3" xfId="196" xr:uid="{00000000-0005-0000-0000-0000B4030000}"/>
    <cellStyle name="Budget_2011-11" xfId="197" xr:uid="{00000000-0005-0000-0000-0000B5030000}"/>
    <cellStyle name="Calculation 2" xfId="198" xr:uid="{00000000-0005-0000-0000-0000B6030000}"/>
    <cellStyle name="Calculation 2 10" xfId="4382" xr:uid="{00000000-0005-0000-0000-0000B7030000}"/>
    <cellStyle name="Calculation 2 10 2" xfId="4383" xr:uid="{00000000-0005-0000-0000-0000B8030000}"/>
    <cellStyle name="Calculation 2 10 2 2" xfId="4384" xr:uid="{00000000-0005-0000-0000-0000B9030000}"/>
    <cellStyle name="Calculation 2 10 2 3" xfId="4385" xr:uid="{00000000-0005-0000-0000-0000BA030000}"/>
    <cellStyle name="Calculation 2 10 3" xfId="4386" xr:uid="{00000000-0005-0000-0000-0000BB030000}"/>
    <cellStyle name="Calculation 2 10 3 2" xfId="4387" xr:uid="{00000000-0005-0000-0000-0000BC030000}"/>
    <cellStyle name="Calculation 2 10 3 3" xfId="4388" xr:uid="{00000000-0005-0000-0000-0000BD030000}"/>
    <cellStyle name="Calculation 2 10 4" xfId="4389" xr:uid="{00000000-0005-0000-0000-0000BE030000}"/>
    <cellStyle name="Calculation 2 10 4 2" xfId="4390" xr:uid="{00000000-0005-0000-0000-0000BF030000}"/>
    <cellStyle name="Calculation 2 10 4 3" xfId="4391" xr:uid="{00000000-0005-0000-0000-0000C0030000}"/>
    <cellStyle name="Calculation 2 10 5" xfId="4392" xr:uid="{00000000-0005-0000-0000-0000C1030000}"/>
    <cellStyle name="Calculation 2 10 5 2" xfId="4393" xr:uid="{00000000-0005-0000-0000-0000C2030000}"/>
    <cellStyle name="Calculation 2 10 5 3" xfId="4394" xr:uid="{00000000-0005-0000-0000-0000C3030000}"/>
    <cellStyle name="Calculation 2 10 6" xfId="4395" xr:uid="{00000000-0005-0000-0000-0000C4030000}"/>
    <cellStyle name="Calculation 2 10 6 2" xfId="4396" xr:uid="{00000000-0005-0000-0000-0000C5030000}"/>
    <cellStyle name="Calculation 2 10 6 3" xfId="4397" xr:uid="{00000000-0005-0000-0000-0000C6030000}"/>
    <cellStyle name="Calculation 2 10 7" xfId="4398" xr:uid="{00000000-0005-0000-0000-0000C7030000}"/>
    <cellStyle name="Calculation 2 10 7 2" xfId="4399" xr:uid="{00000000-0005-0000-0000-0000C8030000}"/>
    <cellStyle name="Calculation 2 10 7 3" xfId="4400" xr:uid="{00000000-0005-0000-0000-0000C9030000}"/>
    <cellStyle name="Calculation 2 10 8" xfId="4401" xr:uid="{00000000-0005-0000-0000-0000CA030000}"/>
    <cellStyle name="Calculation 2 10 9" xfId="4402" xr:uid="{00000000-0005-0000-0000-0000CB030000}"/>
    <cellStyle name="Calculation 2 11" xfId="4403" xr:uid="{00000000-0005-0000-0000-0000CC030000}"/>
    <cellStyle name="Calculation 2 11 2" xfId="4404" xr:uid="{00000000-0005-0000-0000-0000CD030000}"/>
    <cellStyle name="Calculation 2 11 2 2" xfId="4405" xr:uid="{00000000-0005-0000-0000-0000CE030000}"/>
    <cellStyle name="Calculation 2 11 2 3" xfId="4406" xr:uid="{00000000-0005-0000-0000-0000CF030000}"/>
    <cellStyle name="Calculation 2 11 3" xfId="4407" xr:uid="{00000000-0005-0000-0000-0000D0030000}"/>
    <cellStyle name="Calculation 2 11 3 2" xfId="4408" xr:uid="{00000000-0005-0000-0000-0000D1030000}"/>
    <cellStyle name="Calculation 2 11 3 3" xfId="4409" xr:uid="{00000000-0005-0000-0000-0000D2030000}"/>
    <cellStyle name="Calculation 2 11 4" xfId="4410" xr:uid="{00000000-0005-0000-0000-0000D3030000}"/>
    <cellStyle name="Calculation 2 11 4 2" xfId="4411" xr:uid="{00000000-0005-0000-0000-0000D4030000}"/>
    <cellStyle name="Calculation 2 11 4 3" xfId="4412" xr:uid="{00000000-0005-0000-0000-0000D5030000}"/>
    <cellStyle name="Calculation 2 11 5" xfId="4413" xr:uid="{00000000-0005-0000-0000-0000D6030000}"/>
    <cellStyle name="Calculation 2 11 5 2" xfId="4414" xr:uid="{00000000-0005-0000-0000-0000D7030000}"/>
    <cellStyle name="Calculation 2 11 5 3" xfId="4415" xr:uid="{00000000-0005-0000-0000-0000D8030000}"/>
    <cellStyle name="Calculation 2 11 6" xfId="4416" xr:uid="{00000000-0005-0000-0000-0000D9030000}"/>
    <cellStyle name="Calculation 2 11 6 2" xfId="4417" xr:uid="{00000000-0005-0000-0000-0000DA030000}"/>
    <cellStyle name="Calculation 2 11 6 3" xfId="4418" xr:uid="{00000000-0005-0000-0000-0000DB030000}"/>
    <cellStyle name="Calculation 2 11 7" xfId="4419" xr:uid="{00000000-0005-0000-0000-0000DC030000}"/>
    <cellStyle name="Calculation 2 11 7 2" xfId="4420" xr:uid="{00000000-0005-0000-0000-0000DD030000}"/>
    <cellStyle name="Calculation 2 11 7 3" xfId="4421" xr:uid="{00000000-0005-0000-0000-0000DE030000}"/>
    <cellStyle name="Calculation 2 11 8" xfId="4422" xr:uid="{00000000-0005-0000-0000-0000DF030000}"/>
    <cellStyle name="Calculation 2 11 9" xfId="4423" xr:uid="{00000000-0005-0000-0000-0000E0030000}"/>
    <cellStyle name="Calculation 2 2" xfId="199" xr:uid="{00000000-0005-0000-0000-0000E1030000}"/>
    <cellStyle name="Calculation 2 2 10" xfId="4424" xr:uid="{00000000-0005-0000-0000-0000E2030000}"/>
    <cellStyle name="Calculation 2 2 2" xfId="785" xr:uid="{00000000-0005-0000-0000-0000E3030000}"/>
    <cellStyle name="Calculation 2 2 2 10" xfId="4425" xr:uid="{00000000-0005-0000-0000-0000E4030000}"/>
    <cellStyle name="Calculation 2 2 2 10 2" xfId="4426" xr:uid="{00000000-0005-0000-0000-0000E5030000}"/>
    <cellStyle name="Calculation 2 2 2 10 3" xfId="4427" xr:uid="{00000000-0005-0000-0000-0000E6030000}"/>
    <cellStyle name="Calculation 2 2 2 11" xfId="4428" xr:uid="{00000000-0005-0000-0000-0000E7030000}"/>
    <cellStyle name="Calculation 2 2 2 11 2" xfId="4429" xr:uid="{00000000-0005-0000-0000-0000E8030000}"/>
    <cellStyle name="Calculation 2 2 2 11 3" xfId="4430" xr:uid="{00000000-0005-0000-0000-0000E9030000}"/>
    <cellStyle name="Calculation 2 2 2 12" xfId="4431" xr:uid="{00000000-0005-0000-0000-0000EA030000}"/>
    <cellStyle name="Calculation 2 2 2 12 2" xfId="4432" xr:uid="{00000000-0005-0000-0000-0000EB030000}"/>
    <cellStyle name="Calculation 2 2 2 12 3" xfId="4433" xr:uid="{00000000-0005-0000-0000-0000EC030000}"/>
    <cellStyle name="Calculation 2 2 2 13" xfId="4434" xr:uid="{00000000-0005-0000-0000-0000ED030000}"/>
    <cellStyle name="Calculation 2 2 2 13 2" xfId="4435" xr:uid="{00000000-0005-0000-0000-0000EE030000}"/>
    <cellStyle name="Calculation 2 2 2 13 3" xfId="4436" xr:uid="{00000000-0005-0000-0000-0000EF030000}"/>
    <cellStyle name="Calculation 2 2 2 14" xfId="43967" xr:uid="{00000000-0005-0000-0000-0000F0030000}"/>
    <cellStyle name="Calculation 2 2 2 2" xfId="4437" xr:uid="{00000000-0005-0000-0000-0000F1030000}"/>
    <cellStyle name="Calculation 2 2 2 2 10" xfId="43968" xr:uid="{00000000-0005-0000-0000-0000F2030000}"/>
    <cellStyle name="Calculation 2 2 2 2 2" xfId="4438" xr:uid="{00000000-0005-0000-0000-0000F3030000}"/>
    <cellStyle name="Calculation 2 2 2 2 2 10" xfId="4439" xr:uid="{00000000-0005-0000-0000-0000F4030000}"/>
    <cellStyle name="Calculation 2 2 2 2 2 2" xfId="4440" xr:uid="{00000000-0005-0000-0000-0000F5030000}"/>
    <cellStyle name="Calculation 2 2 2 2 2 2 2" xfId="4441" xr:uid="{00000000-0005-0000-0000-0000F6030000}"/>
    <cellStyle name="Calculation 2 2 2 2 2 2 2 2" xfId="4442" xr:uid="{00000000-0005-0000-0000-0000F7030000}"/>
    <cellStyle name="Calculation 2 2 2 2 2 2 2 3" xfId="4443" xr:uid="{00000000-0005-0000-0000-0000F8030000}"/>
    <cellStyle name="Calculation 2 2 2 2 2 2 3" xfId="4444" xr:uid="{00000000-0005-0000-0000-0000F9030000}"/>
    <cellStyle name="Calculation 2 2 2 2 2 2 3 2" xfId="4445" xr:uid="{00000000-0005-0000-0000-0000FA030000}"/>
    <cellStyle name="Calculation 2 2 2 2 2 2 3 3" xfId="4446" xr:uid="{00000000-0005-0000-0000-0000FB030000}"/>
    <cellStyle name="Calculation 2 2 2 2 2 2 4" xfId="4447" xr:uid="{00000000-0005-0000-0000-0000FC030000}"/>
    <cellStyle name="Calculation 2 2 2 2 2 2 4 2" xfId="4448" xr:uid="{00000000-0005-0000-0000-0000FD030000}"/>
    <cellStyle name="Calculation 2 2 2 2 2 2 4 3" xfId="4449" xr:uid="{00000000-0005-0000-0000-0000FE030000}"/>
    <cellStyle name="Calculation 2 2 2 2 2 2 5" xfId="4450" xr:uid="{00000000-0005-0000-0000-0000FF030000}"/>
    <cellStyle name="Calculation 2 2 2 2 2 2 5 2" xfId="4451" xr:uid="{00000000-0005-0000-0000-000000040000}"/>
    <cellStyle name="Calculation 2 2 2 2 2 2 5 3" xfId="4452" xr:uid="{00000000-0005-0000-0000-000001040000}"/>
    <cellStyle name="Calculation 2 2 2 2 2 2 6" xfId="4453" xr:uid="{00000000-0005-0000-0000-000002040000}"/>
    <cellStyle name="Calculation 2 2 2 2 2 2 6 2" xfId="4454" xr:uid="{00000000-0005-0000-0000-000003040000}"/>
    <cellStyle name="Calculation 2 2 2 2 2 2 6 3" xfId="4455" xr:uid="{00000000-0005-0000-0000-000004040000}"/>
    <cellStyle name="Calculation 2 2 2 2 2 2 7" xfId="4456" xr:uid="{00000000-0005-0000-0000-000005040000}"/>
    <cellStyle name="Calculation 2 2 2 2 2 2 7 2" xfId="4457" xr:uid="{00000000-0005-0000-0000-000006040000}"/>
    <cellStyle name="Calculation 2 2 2 2 2 2 7 3" xfId="4458" xr:uid="{00000000-0005-0000-0000-000007040000}"/>
    <cellStyle name="Calculation 2 2 2 2 2 2 8" xfId="4459" xr:uid="{00000000-0005-0000-0000-000008040000}"/>
    <cellStyle name="Calculation 2 2 2 2 2 2 9" xfId="4460" xr:uid="{00000000-0005-0000-0000-000009040000}"/>
    <cellStyle name="Calculation 2 2 2 2 2 3" xfId="4461" xr:uid="{00000000-0005-0000-0000-00000A040000}"/>
    <cellStyle name="Calculation 2 2 2 2 2 3 2" xfId="4462" xr:uid="{00000000-0005-0000-0000-00000B040000}"/>
    <cellStyle name="Calculation 2 2 2 2 2 3 3" xfId="4463" xr:uid="{00000000-0005-0000-0000-00000C040000}"/>
    <cellStyle name="Calculation 2 2 2 2 2 4" xfId="4464" xr:uid="{00000000-0005-0000-0000-00000D040000}"/>
    <cellStyle name="Calculation 2 2 2 2 2 4 2" xfId="4465" xr:uid="{00000000-0005-0000-0000-00000E040000}"/>
    <cellStyle name="Calculation 2 2 2 2 2 4 3" xfId="4466" xr:uid="{00000000-0005-0000-0000-00000F040000}"/>
    <cellStyle name="Calculation 2 2 2 2 2 5" xfId="4467" xr:uid="{00000000-0005-0000-0000-000010040000}"/>
    <cellStyle name="Calculation 2 2 2 2 2 5 2" xfId="4468" xr:uid="{00000000-0005-0000-0000-000011040000}"/>
    <cellStyle name="Calculation 2 2 2 2 2 5 3" xfId="4469" xr:uid="{00000000-0005-0000-0000-000012040000}"/>
    <cellStyle name="Calculation 2 2 2 2 2 6" xfId="4470" xr:uid="{00000000-0005-0000-0000-000013040000}"/>
    <cellStyle name="Calculation 2 2 2 2 2 6 2" xfId="4471" xr:uid="{00000000-0005-0000-0000-000014040000}"/>
    <cellStyle name="Calculation 2 2 2 2 2 6 3" xfId="4472" xr:uid="{00000000-0005-0000-0000-000015040000}"/>
    <cellStyle name="Calculation 2 2 2 2 2 7" xfId="4473" xr:uid="{00000000-0005-0000-0000-000016040000}"/>
    <cellStyle name="Calculation 2 2 2 2 2 7 2" xfId="4474" xr:uid="{00000000-0005-0000-0000-000017040000}"/>
    <cellStyle name="Calculation 2 2 2 2 2 7 3" xfId="4475" xr:uid="{00000000-0005-0000-0000-000018040000}"/>
    <cellStyle name="Calculation 2 2 2 2 2 8" xfId="4476" xr:uid="{00000000-0005-0000-0000-000019040000}"/>
    <cellStyle name="Calculation 2 2 2 2 2 8 2" xfId="4477" xr:uid="{00000000-0005-0000-0000-00001A040000}"/>
    <cellStyle name="Calculation 2 2 2 2 2 8 3" xfId="4478" xr:uid="{00000000-0005-0000-0000-00001B040000}"/>
    <cellStyle name="Calculation 2 2 2 2 2 9" xfId="4479" xr:uid="{00000000-0005-0000-0000-00001C040000}"/>
    <cellStyle name="Calculation 2 2 2 2 3" xfId="4480" xr:uid="{00000000-0005-0000-0000-00001D040000}"/>
    <cellStyle name="Calculation 2 2 2 2 3 10" xfId="4481" xr:uid="{00000000-0005-0000-0000-00001E040000}"/>
    <cellStyle name="Calculation 2 2 2 2 3 2" xfId="4482" xr:uid="{00000000-0005-0000-0000-00001F040000}"/>
    <cellStyle name="Calculation 2 2 2 2 3 2 2" xfId="4483" xr:uid="{00000000-0005-0000-0000-000020040000}"/>
    <cellStyle name="Calculation 2 2 2 2 3 2 2 2" xfId="4484" xr:uid="{00000000-0005-0000-0000-000021040000}"/>
    <cellStyle name="Calculation 2 2 2 2 3 2 2 3" xfId="4485" xr:uid="{00000000-0005-0000-0000-000022040000}"/>
    <cellStyle name="Calculation 2 2 2 2 3 2 3" xfId="4486" xr:uid="{00000000-0005-0000-0000-000023040000}"/>
    <cellStyle name="Calculation 2 2 2 2 3 2 3 2" xfId="4487" xr:uid="{00000000-0005-0000-0000-000024040000}"/>
    <cellStyle name="Calculation 2 2 2 2 3 2 3 3" xfId="4488" xr:uid="{00000000-0005-0000-0000-000025040000}"/>
    <cellStyle name="Calculation 2 2 2 2 3 2 4" xfId="4489" xr:uid="{00000000-0005-0000-0000-000026040000}"/>
    <cellStyle name="Calculation 2 2 2 2 3 2 4 2" xfId="4490" xr:uid="{00000000-0005-0000-0000-000027040000}"/>
    <cellStyle name="Calculation 2 2 2 2 3 2 4 3" xfId="4491" xr:uid="{00000000-0005-0000-0000-000028040000}"/>
    <cellStyle name="Calculation 2 2 2 2 3 2 5" xfId="4492" xr:uid="{00000000-0005-0000-0000-000029040000}"/>
    <cellStyle name="Calculation 2 2 2 2 3 2 5 2" xfId="4493" xr:uid="{00000000-0005-0000-0000-00002A040000}"/>
    <cellStyle name="Calculation 2 2 2 2 3 2 5 3" xfId="4494" xr:uid="{00000000-0005-0000-0000-00002B040000}"/>
    <cellStyle name="Calculation 2 2 2 2 3 2 6" xfId="4495" xr:uid="{00000000-0005-0000-0000-00002C040000}"/>
    <cellStyle name="Calculation 2 2 2 2 3 2 6 2" xfId="4496" xr:uid="{00000000-0005-0000-0000-00002D040000}"/>
    <cellStyle name="Calculation 2 2 2 2 3 2 6 3" xfId="4497" xr:uid="{00000000-0005-0000-0000-00002E040000}"/>
    <cellStyle name="Calculation 2 2 2 2 3 2 7" xfId="4498" xr:uid="{00000000-0005-0000-0000-00002F040000}"/>
    <cellStyle name="Calculation 2 2 2 2 3 2 7 2" xfId="4499" xr:uid="{00000000-0005-0000-0000-000030040000}"/>
    <cellStyle name="Calculation 2 2 2 2 3 2 7 3" xfId="4500" xr:uid="{00000000-0005-0000-0000-000031040000}"/>
    <cellStyle name="Calculation 2 2 2 2 3 2 8" xfId="4501" xr:uid="{00000000-0005-0000-0000-000032040000}"/>
    <cellStyle name="Calculation 2 2 2 2 3 2 9" xfId="4502" xr:uid="{00000000-0005-0000-0000-000033040000}"/>
    <cellStyle name="Calculation 2 2 2 2 3 3" xfId="4503" xr:uid="{00000000-0005-0000-0000-000034040000}"/>
    <cellStyle name="Calculation 2 2 2 2 3 3 2" xfId="4504" xr:uid="{00000000-0005-0000-0000-000035040000}"/>
    <cellStyle name="Calculation 2 2 2 2 3 3 3" xfId="4505" xr:uid="{00000000-0005-0000-0000-000036040000}"/>
    <cellStyle name="Calculation 2 2 2 2 3 4" xfId="4506" xr:uid="{00000000-0005-0000-0000-000037040000}"/>
    <cellStyle name="Calculation 2 2 2 2 3 4 2" xfId="4507" xr:uid="{00000000-0005-0000-0000-000038040000}"/>
    <cellStyle name="Calculation 2 2 2 2 3 4 3" xfId="4508" xr:uid="{00000000-0005-0000-0000-000039040000}"/>
    <cellStyle name="Calculation 2 2 2 2 3 5" xfId="4509" xr:uid="{00000000-0005-0000-0000-00003A040000}"/>
    <cellStyle name="Calculation 2 2 2 2 3 5 2" xfId="4510" xr:uid="{00000000-0005-0000-0000-00003B040000}"/>
    <cellStyle name="Calculation 2 2 2 2 3 5 3" xfId="4511" xr:uid="{00000000-0005-0000-0000-00003C040000}"/>
    <cellStyle name="Calculation 2 2 2 2 3 6" xfId="4512" xr:uid="{00000000-0005-0000-0000-00003D040000}"/>
    <cellStyle name="Calculation 2 2 2 2 3 6 2" xfId="4513" xr:uid="{00000000-0005-0000-0000-00003E040000}"/>
    <cellStyle name="Calculation 2 2 2 2 3 6 3" xfId="4514" xr:uid="{00000000-0005-0000-0000-00003F040000}"/>
    <cellStyle name="Calculation 2 2 2 2 3 7" xfId="4515" xr:uid="{00000000-0005-0000-0000-000040040000}"/>
    <cellStyle name="Calculation 2 2 2 2 3 7 2" xfId="4516" xr:uid="{00000000-0005-0000-0000-000041040000}"/>
    <cellStyle name="Calculation 2 2 2 2 3 7 3" xfId="4517" xr:uid="{00000000-0005-0000-0000-000042040000}"/>
    <cellStyle name="Calculation 2 2 2 2 3 8" xfId="4518" xr:uid="{00000000-0005-0000-0000-000043040000}"/>
    <cellStyle name="Calculation 2 2 2 2 3 8 2" xfId="4519" xr:uid="{00000000-0005-0000-0000-000044040000}"/>
    <cellStyle name="Calculation 2 2 2 2 3 8 3" xfId="4520" xr:uid="{00000000-0005-0000-0000-000045040000}"/>
    <cellStyle name="Calculation 2 2 2 2 3 9" xfId="4521" xr:uid="{00000000-0005-0000-0000-000046040000}"/>
    <cellStyle name="Calculation 2 2 2 2 4" xfId="4522" xr:uid="{00000000-0005-0000-0000-000047040000}"/>
    <cellStyle name="Calculation 2 2 2 2 4 10" xfId="4523" xr:uid="{00000000-0005-0000-0000-000048040000}"/>
    <cellStyle name="Calculation 2 2 2 2 4 2" xfId="4524" xr:uid="{00000000-0005-0000-0000-000049040000}"/>
    <cellStyle name="Calculation 2 2 2 2 4 2 2" xfId="4525" xr:uid="{00000000-0005-0000-0000-00004A040000}"/>
    <cellStyle name="Calculation 2 2 2 2 4 2 2 2" xfId="4526" xr:uid="{00000000-0005-0000-0000-00004B040000}"/>
    <cellStyle name="Calculation 2 2 2 2 4 2 2 3" xfId="4527" xr:uid="{00000000-0005-0000-0000-00004C040000}"/>
    <cellStyle name="Calculation 2 2 2 2 4 2 3" xfId="4528" xr:uid="{00000000-0005-0000-0000-00004D040000}"/>
    <cellStyle name="Calculation 2 2 2 2 4 2 3 2" xfId="4529" xr:uid="{00000000-0005-0000-0000-00004E040000}"/>
    <cellStyle name="Calculation 2 2 2 2 4 2 3 3" xfId="4530" xr:uid="{00000000-0005-0000-0000-00004F040000}"/>
    <cellStyle name="Calculation 2 2 2 2 4 2 4" xfId="4531" xr:uid="{00000000-0005-0000-0000-000050040000}"/>
    <cellStyle name="Calculation 2 2 2 2 4 2 4 2" xfId="4532" xr:uid="{00000000-0005-0000-0000-000051040000}"/>
    <cellStyle name="Calculation 2 2 2 2 4 2 4 3" xfId="4533" xr:uid="{00000000-0005-0000-0000-000052040000}"/>
    <cellStyle name="Calculation 2 2 2 2 4 2 5" xfId="4534" xr:uid="{00000000-0005-0000-0000-000053040000}"/>
    <cellStyle name="Calculation 2 2 2 2 4 2 5 2" xfId="4535" xr:uid="{00000000-0005-0000-0000-000054040000}"/>
    <cellStyle name="Calculation 2 2 2 2 4 2 5 3" xfId="4536" xr:uid="{00000000-0005-0000-0000-000055040000}"/>
    <cellStyle name="Calculation 2 2 2 2 4 2 6" xfId="4537" xr:uid="{00000000-0005-0000-0000-000056040000}"/>
    <cellStyle name="Calculation 2 2 2 2 4 2 6 2" xfId="4538" xr:uid="{00000000-0005-0000-0000-000057040000}"/>
    <cellStyle name="Calculation 2 2 2 2 4 2 6 3" xfId="4539" xr:uid="{00000000-0005-0000-0000-000058040000}"/>
    <cellStyle name="Calculation 2 2 2 2 4 2 7" xfId="4540" xr:uid="{00000000-0005-0000-0000-000059040000}"/>
    <cellStyle name="Calculation 2 2 2 2 4 2 7 2" xfId="4541" xr:uid="{00000000-0005-0000-0000-00005A040000}"/>
    <cellStyle name="Calculation 2 2 2 2 4 2 7 3" xfId="4542" xr:uid="{00000000-0005-0000-0000-00005B040000}"/>
    <cellStyle name="Calculation 2 2 2 2 4 2 8" xfId="4543" xr:uid="{00000000-0005-0000-0000-00005C040000}"/>
    <cellStyle name="Calculation 2 2 2 2 4 2 9" xfId="4544" xr:uid="{00000000-0005-0000-0000-00005D040000}"/>
    <cellStyle name="Calculation 2 2 2 2 4 3" xfId="4545" xr:uid="{00000000-0005-0000-0000-00005E040000}"/>
    <cellStyle name="Calculation 2 2 2 2 4 3 2" xfId="4546" xr:uid="{00000000-0005-0000-0000-00005F040000}"/>
    <cellStyle name="Calculation 2 2 2 2 4 3 3" xfId="4547" xr:uid="{00000000-0005-0000-0000-000060040000}"/>
    <cellStyle name="Calculation 2 2 2 2 4 4" xfId="4548" xr:uid="{00000000-0005-0000-0000-000061040000}"/>
    <cellStyle name="Calculation 2 2 2 2 4 4 2" xfId="4549" xr:uid="{00000000-0005-0000-0000-000062040000}"/>
    <cellStyle name="Calculation 2 2 2 2 4 4 3" xfId="4550" xr:uid="{00000000-0005-0000-0000-000063040000}"/>
    <cellStyle name="Calculation 2 2 2 2 4 5" xfId="4551" xr:uid="{00000000-0005-0000-0000-000064040000}"/>
    <cellStyle name="Calculation 2 2 2 2 4 5 2" xfId="4552" xr:uid="{00000000-0005-0000-0000-000065040000}"/>
    <cellStyle name="Calculation 2 2 2 2 4 5 3" xfId="4553" xr:uid="{00000000-0005-0000-0000-000066040000}"/>
    <cellStyle name="Calculation 2 2 2 2 4 6" xfId="4554" xr:uid="{00000000-0005-0000-0000-000067040000}"/>
    <cellStyle name="Calculation 2 2 2 2 4 6 2" xfId="4555" xr:uid="{00000000-0005-0000-0000-000068040000}"/>
    <cellStyle name="Calculation 2 2 2 2 4 6 3" xfId="4556" xr:uid="{00000000-0005-0000-0000-000069040000}"/>
    <cellStyle name="Calculation 2 2 2 2 4 7" xfId="4557" xr:uid="{00000000-0005-0000-0000-00006A040000}"/>
    <cellStyle name="Calculation 2 2 2 2 4 7 2" xfId="4558" xr:uid="{00000000-0005-0000-0000-00006B040000}"/>
    <cellStyle name="Calculation 2 2 2 2 4 7 3" xfId="4559" xr:uid="{00000000-0005-0000-0000-00006C040000}"/>
    <cellStyle name="Calculation 2 2 2 2 4 8" xfId="4560" xr:uid="{00000000-0005-0000-0000-00006D040000}"/>
    <cellStyle name="Calculation 2 2 2 2 4 8 2" xfId="4561" xr:uid="{00000000-0005-0000-0000-00006E040000}"/>
    <cellStyle name="Calculation 2 2 2 2 4 8 3" xfId="4562" xr:uid="{00000000-0005-0000-0000-00006F040000}"/>
    <cellStyle name="Calculation 2 2 2 2 4 9" xfId="4563" xr:uid="{00000000-0005-0000-0000-000070040000}"/>
    <cellStyle name="Calculation 2 2 2 2 5" xfId="4564" xr:uid="{00000000-0005-0000-0000-000071040000}"/>
    <cellStyle name="Calculation 2 2 2 2 5 2" xfId="4565" xr:uid="{00000000-0005-0000-0000-000072040000}"/>
    <cellStyle name="Calculation 2 2 2 2 5 2 2" xfId="4566" xr:uid="{00000000-0005-0000-0000-000073040000}"/>
    <cellStyle name="Calculation 2 2 2 2 5 2 3" xfId="4567" xr:uid="{00000000-0005-0000-0000-000074040000}"/>
    <cellStyle name="Calculation 2 2 2 2 5 3" xfId="4568" xr:uid="{00000000-0005-0000-0000-000075040000}"/>
    <cellStyle name="Calculation 2 2 2 2 5 3 2" xfId="4569" xr:uid="{00000000-0005-0000-0000-000076040000}"/>
    <cellStyle name="Calculation 2 2 2 2 5 3 3" xfId="4570" xr:uid="{00000000-0005-0000-0000-000077040000}"/>
    <cellStyle name="Calculation 2 2 2 2 5 4" xfId="4571" xr:uid="{00000000-0005-0000-0000-000078040000}"/>
    <cellStyle name="Calculation 2 2 2 2 5 4 2" xfId="4572" xr:uid="{00000000-0005-0000-0000-000079040000}"/>
    <cellStyle name="Calculation 2 2 2 2 5 4 3" xfId="4573" xr:uid="{00000000-0005-0000-0000-00007A040000}"/>
    <cellStyle name="Calculation 2 2 2 2 5 5" xfId="4574" xr:uid="{00000000-0005-0000-0000-00007B040000}"/>
    <cellStyle name="Calculation 2 2 2 2 5 5 2" xfId="4575" xr:uid="{00000000-0005-0000-0000-00007C040000}"/>
    <cellStyle name="Calculation 2 2 2 2 5 5 3" xfId="4576" xr:uid="{00000000-0005-0000-0000-00007D040000}"/>
    <cellStyle name="Calculation 2 2 2 2 5 6" xfId="4577" xr:uid="{00000000-0005-0000-0000-00007E040000}"/>
    <cellStyle name="Calculation 2 2 2 2 5 6 2" xfId="4578" xr:uid="{00000000-0005-0000-0000-00007F040000}"/>
    <cellStyle name="Calculation 2 2 2 2 5 6 3" xfId="4579" xr:uid="{00000000-0005-0000-0000-000080040000}"/>
    <cellStyle name="Calculation 2 2 2 2 5 7" xfId="4580" xr:uid="{00000000-0005-0000-0000-000081040000}"/>
    <cellStyle name="Calculation 2 2 2 2 5 7 2" xfId="4581" xr:uid="{00000000-0005-0000-0000-000082040000}"/>
    <cellStyle name="Calculation 2 2 2 2 5 7 3" xfId="4582" xr:uid="{00000000-0005-0000-0000-000083040000}"/>
    <cellStyle name="Calculation 2 2 2 2 5 8" xfId="4583" xr:uid="{00000000-0005-0000-0000-000084040000}"/>
    <cellStyle name="Calculation 2 2 2 2 5 9" xfId="4584" xr:uid="{00000000-0005-0000-0000-000085040000}"/>
    <cellStyle name="Calculation 2 2 2 2 6" xfId="4585" xr:uid="{00000000-0005-0000-0000-000086040000}"/>
    <cellStyle name="Calculation 2 2 2 2 6 2" xfId="4586" xr:uid="{00000000-0005-0000-0000-000087040000}"/>
    <cellStyle name="Calculation 2 2 2 2 6 3" xfId="4587" xr:uid="{00000000-0005-0000-0000-000088040000}"/>
    <cellStyle name="Calculation 2 2 2 2 7" xfId="4588" xr:uid="{00000000-0005-0000-0000-000089040000}"/>
    <cellStyle name="Calculation 2 2 2 2 7 2" xfId="4589" xr:uid="{00000000-0005-0000-0000-00008A040000}"/>
    <cellStyle name="Calculation 2 2 2 2 7 3" xfId="4590" xr:uid="{00000000-0005-0000-0000-00008B040000}"/>
    <cellStyle name="Calculation 2 2 2 2 8" xfId="4591" xr:uid="{00000000-0005-0000-0000-00008C040000}"/>
    <cellStyle name="Calculation 2 2 2 2 8 2" xfId="4592" xr:uid="{00000000-0005-0000-0000-00008D040000}"/>
    <cellStyle name="Calculation 2 2 2 2 8 3" xfId="4593" xr:uid="{00000000-0005-0000-0000-00008E040000}"/>
    <cellStyle name="Calculation 2 2 2 2 9" xfId="4594" xr:uid="{00000000-0005-0000-0000-00008F040000}"/>
    <cellStyle name="Calculation 2 2 2 2 9 2" xfId="4595" xr:uid="{00000000-0005-0000-0000-000090040000}"/>
    <cellStyle name="Calculation 2 2 2 2 9 3" xfId="4596" xr:uid="{00000000-0005-0000-0000-000091040000}"/>
    <cellStyle name="Calculation 2 2 2 3" xfId="4597" xr:uid="{00000000-0005-0000-0000-000092040000}"/>
    <cellStyle name="Calculation 2 2 2 3 10" xfId="43969" xr:uid="{00000000-0005-0000-0000-000093040000}"/>
    <cellStyle name="Calculation 2 2 2 3 2" xfId="4598" xr:uid="{00000000-0005-0000-0000-000094040000}"/>
    <cellStyle name="Calculation 2 2 2 3 2 10" xfId="4599" xr:uid="{00000000-0005-0000-0000-000095040000}"/>
    <cellStyle name="Calculation 2 2 2 3 2 2" xfId="4600" xr:uid="{00000000-0005-0000-0000-000096040000}"/>
    <cellStyle name="Calculation 2 2 2 3 2 2 2" xfId="4601" xr:uid="{00000000-0005-0000-0000-000097040000}"/>
    <cellStyle name="Calculation 2 2 2 3 2 2 2 2" xfId="4602" xr:uid="{00000000-0005-0000-0000-000098040000}"/>
    <cellStyle name="Calculation 2 2 2 3 2 2 2 3" xfId="4603" xr:uid="{00000000-0005-0000-0000-000099040000}"/>
    <cellStyle name="Calculation 2 2 2 3 2 2 3" xfId="4604" xr:uid="{00000000-0005-0000-0000-00009A040000}"/>
    <cellStyle name="Calculation 2 2 2 3 2 2 3 2" xfId="4605" xr:uid="{00000000-0005-0000-0000-00009B040000}"/>
    <cellStyle name="Calculation 2 2 2 3 2 2 3 3" xfId="4606" xr:uid="{00000000-0005-0000-0000-00009C040000}"/>
    <cellStyle name="Calculation 2 2 2 3 2 2 4" xfId="4607" xr:uid="{00000000-0005-0000-0000-00009D040000}"/>
    <cellStyle name="Calculation 2 2 2 3 2 2 4 2" xfId="4608" xr:uid="{00000000-0005-0000-0000-00009E040000}"/>
    <cellStyle name="Calculation 2 2 2 3 2 2 4 3" xfId="4609" xr:uid="{00000000-0005-0000-0000-00009F040000}"/>
    <cellStyle name="Calculation 2 2 2 3 2 2 5" xfId="4610" xr:uid="{00000000-0005-0000-0000-0000A0040000}"/>
    <cellStyle name="Calculation 2 2 2 3 2 2 5 2" xfId="4611" xr:uid="{00000000-0005-0000-0000-0000A1040000}"/>
    <cellStyle name="Calculation 2 2 2 3 2 2 5 3" xfId="4612" xr:uid="{00000000-0005-0000-0000-0000A2040000}"/>
    <cellStyle name="Calculation 2 2 2 3 2 2 6" xfId="4613" xr:uid="{00000000-0005-0000-0000-0000A3040000}"/>
    <cellStyle name="Calculation 2 2 2 3 2 2 6 2" xfId="4614" xr:uid="{00000000-0005-0000-0000-0000A4040000}"/>
    <cellStyle name="Calculation 2 2 2 3 2 2 6 3" xfId="4615" xr:uid="{00000000-0005-0000-0000-0000A5040000}"/>
    <cellStyle name="Calculation 2 2 2 3 2 2 7" xfId="4616" xr:uid="{00000000-0005-0000-0000-0000A6040000}"/>
    <cellStyle name="Calculation 2 2 2 3 2 2 7 2" xfId="4617" xr:uid="{00000000-0005-0000-0000-0000A7040000}"/>
    <cellStyle name="Calculation 2 2 2 3 2 2 7 3" xfId="4618" xr:uid="{00000000-0005-0000-0000-0000A8040000}"/>
    <cellStyle name="Calculation 2 2 2 3 2 2 8" xfId="4619" xr:uid="{00000000-0005-0000-0000-0000A9040000}"/>
    <cellStyle name="Calculation 2 2 2 3 2 2 9" xfId="4620" xr:uid="{00000000-0005-0000-0000-0000AA040000}"/>
    <cellStyle name="Calculation 2 2 2 3 2 3" xfId="4621" xr:uid="{00000000-0005-0000-0000-0000AB040000}"/>
    <cellStyle name="Calculation 2 2 2 3 2 3 2" xfId="4622" xr:uid="{00000000-0005-0000-0000-0000AC040000}"/>
    <cellStyle name="Calculation 2 2 2 3 2 3 3" xfId="4623" xr:uid="{00000000-0005-0000-0000-0000AD040000}"/>
    <cellStyle name="Calculation 2 2 2 3 2 4" xfId="4624" xr:uid="{00000000-0005-0000-0000-0000AE040000}"/>
    <cellStyle name="Calculation 2 2 2 3 2 4 2" xfId="4625" xr:uid="{00000000-0005-0000-0000-0000AF040000}"/>
    <cellStyle name="Calculation 2 2 2 3 2 4 3" xfId="4626" xr:uid="{00000000-0005-0000-0000-0000B0040000}"/>
    <cellStyle name="Calculation 2 2 2 3 2 5" xfId="4627" xr:uid="{00000000-0005-0000-0000-0000B1040000}"/>
    <cellStyle name="Calculation 2 2 2 3 2 5 2" xfId="4628" xr:uid="{00000000-0005-0000-0000-0000B2040000}"/>
    <cellStyle name="Calculation 2 2 2 3 2 5 3" xfId="4629" xr:uid="{00000000-0005-0000-0000-0000B3040000}"/>
    <cellStyle name="Calculation 2 2 2 3 2 6" xfId="4630" xr:uid="{00000000-0005-0000-0000-0000B4040000}"/>
    <cellStyle name="Calculation 2 2 2 3 2 6 2" xfId="4631" xr:uid="{00000000-0005-0000-0000-0000B5040000}"/>
    <cellStyle name="Calculation 2 2 2 3 2 6 3" xfId="4632" xr:uid="{00000000-0005-0000-0000-0000B6040000}"/>
    <cellStyle name="Calculation 2 2 2 3 2 7" xfId="4633" xr:uid="{00000000-0005-0000-0000-0000B7040000}"/>
    <cellStyle name="Calculation 2 2 2 3 2 7 2" xfId="4634" xr:uid="{00000000-0005-0000-0000-0000B8040000}"/>
    <cellStyle name="Calculation 2 2 2 3 2 7 3" xfId="4635" xr:uid="{00000000-0005-0000-0000-0000B9040000}"/>
    <cellStyle name="Calculation 2 2 2 3 2 8" xfId="4636" xr:uid="{00000000-0005-0000-0000-0000BA040000}"/>
    <cellStyle name="Calculation 2 2 2 3 2 8 2" xfId="4637" xr:uid="{00000000-0005-0000-0000-0000BB040000}"/>
    <cellStyle name="Calculation 2 2 2 3 2 8 3" xfId="4638" xr:uid="{00000000-0005-0000-0000-0000BC040000}"/>
    <cellStyle name="Calculation 2 2 2 3 2 9" xfId="4639" xr:uid="{00000000-0005-0000-0000-0000BD040000}"/>
    <cellStyle name="Calculation 2 2 2 3 3" xfId="4640" xr:uid="{00000000-0005-0000-0000-0000BE040000}"/>
    <cellStyle name="Calculation 2 2 2 3 3 10" xfId="4641" xr:uid="{00000000-0005-0000-0000-0000BF040000}"/>
    <cellStyle name="Calculation 2 2 2 3 3 2" xfId="4642" xr:uid="{00000000-0005-0000-0000-0000C0040000}"/>
    <cellStyle name="Calculation 2 2 2 3 3 2 2" xfId="4643" xr:uid="{00000000-0005-0000-0000-0000C1040000}"/>
    <cellStyle name="Calculation 2 2 2 3 3 2 2 2" xfId="4644" xr:uid="{00000000-0005-0000-0000-0000C2040000}"/>
    <cellStyle name="Calculation 2 2 2 3 3 2 2 3" xfId="4645" xr:uid="{00000000-0005-0000-0000-0000C3040000}"/>
    <cellStyle name="Calculation 2 2 2 3 3 2 3" xfId="4646" xr:uid="{00000000-0005-0000-0000-0000C4040000}"/>
    <cellStyle name="Calculation 2 2 2 3 3 2 3 2" xfId="4647" xr:uid="{00000000-0005-0000-0000-0000C5040000}"/>
    <cellStyle name="Calculation 2 2 2 3 3 2 3 3" xfId="4648" xr:uid="{00000000-0005-0000-0000-0000C6040000}"/>
    <cellStyle name="Calculation 2 2 2 3 3 2 4" xfId="4649" xr:uid="{00000000-0005-0000-0000-0000C7040000}"/>
    <cellStyle name="Calculation 2 2 2 3 3 2 4 2" xfId="4650" xr:uid="{00000000-0005-0000-0000-0000C8040000}"/>
    <cellStyle name="Calculation 2 2 2 3 3 2 4 3" xfId="4651" xr:uid="{00000000-0005-0000-0000-0000C9040000}"/>
    <cellStyle name="Calculation 2 2 2 3 3 2 5" xfId="4652" xr:uid="{00000000-0005-0000-0000-0000CA040000}"/>
    <cellStyle name="Calculation 2 2 2 3 3 2 5 2" xfId="4653" xr:uid="{00000000-0005-0000-0000-0000CB040000}"/>
    <cellStyle name="Calculation 2 2 2 3 3 2 5 3" xfId="4654" xr:uid="{00000000-0005-0000-0000-0000CC040000}"/>
    <cellStyle name="Calculation 2 2 2 3 3 2 6" xfId="4655" xr:uid="{00000000-0005-0000-0000-0000CD040000}"/>
    <cellStyle name="Calculation 2 2 2 3 3 2 6 2" xfId="4656" xr:uid="{00000000-0005-0000-0000-0000CE040000}"/>
    <cellStyle name="Calculation 2 2 2 3 3 2 6 3" xfId="4657" xr:uid="{00000000-0005-0000-0000-0000CF040000}"/>
    <cellStyle name="Calculation 2 2 2 3 3 2 7" xfId="4658" xr:uid="{00000000-0005-0000-0000-0000D0040000}"/>
    <cellStyle name="Calculation 2 2 2 3 3 2 7 2" xfId="4659" xr:uid="{00000000-0005-0000-0000-0000D1040000}"/>
    <cellStyle name="Calculation 2 2 2 3 3 2 7 3" xfId="4660" xr:uid="{00000000-0005-0000-0000-0000D2040000}"/>
    <cellStyle name="Calculation 2 2 2 3 3 2 8" xfId="4661" xr:uid="{00000000-0005-0000-0000-0000D3040000}"/>
    <cellStyle name="Calculation 2 2 2 3 3 2 9" xfId="4662" xr:uid="{00000000-0005-0000-0000-0000D4040000}"/>
    <cellStyle name="Calculation 2 2 2 3 3 3" xfId="4663" xr:uid="{00000000-0005-0000-0000-0000D5040000}"/>
    <cellStyle name="Calculation 2 2 2 3 3 3 2" xfId="4664" xr:uid="{00000000-0005-0000-0000-0000D6040000}"/>
    <cellStyle name="Calculation 2 2 2 3 3 3 3" xfId="4665" xr:uid="{00000000-0005-0000-0000-0000D7040000}"/>
    <cellStyle name="Calculation 2 2 2 3 3 4" xfId="4666" xr:uid="{00000000-0005-0000-0000-0000D8040000}"/>
    <cellStyle name="Calculation 2 2 2 3 3 4 2" xfId="4667" xr:uid="{00000000-0005-0000-0000-0000D9040000}"/>
    <cellStyle name="Calculation 2 2 2 3 3 4 3" xfId="4668" xr:uid="{00000000-0005-0000-0000-0000DA040000}"/>
    <cellStyle name="Calculation 2 2 2 3 3 5" xfId="4669" xr:uid="{00000000-0005-0000-0000-0000DB040000}"/>
    <cellStyle name="Calculation 2 2 2 3 3 5 2" xfId="4670" xr:uid="{00000000-0005-0000-0000-0000DC040000}"/>
    <cellStyle name="Calculation 2 2 2 3 3 5 3" xfId="4671" xr:uid="{00000000-0005-0000-0000-0000DD040000}"/>
    <cellStyle name="Calculation 2 2 2 3 3 6" xfId="4672" xr:uid="{00000000-0005-0000-0000-0000DE040000}"/>
    <cellStyle name="Calculation 2 2 2 3 3 6 2" xfId="4673" xr:uid="{00000000-0005-0000-0000-0000DF040000}"/>
    <cellStyle name="Calculation 2 2 2 3 3 6 3" xfId="4674" xr:uid="{00000000-0005-0000-0000-0000E0040000}"/>
    <cellStyle name="Calculation 2 2 2 3 3 7" xfId="4675" xr:uid="{00000000-0005-0000-0000-0000E1040000}"/>
    <cellStyle name="Calculation 2 2 2 3 3 7 2" xfId="4676" xr:uid="{00000000-0005-0000-0000-0000E2040000}"/>
    <cellStyle name="Calculation 2 2 2 3 3 7 3" xfId="4677" xr:uid="{00000000-0005-0000-0000-0000E3040000}"/>
    <cellStyle name="Calculation 2 2 2 3 3 8" xfId="4678" xr:uid="{00000000-0005-0000-0000-0000E4040000}"/>
    <cellStyle name="Calculation 2 2 2 3 3 8 2" xfId="4679" xr:uid="{00000000-0005-0000-0000-0000E5040000}"/>
    <cellStyle name="Calculation 2 2 2 3 3 8 3" xfId="4680" xr:uid="{00000000-0005-0000-0000-0000E6040000}"/>
    <cellStyle name="Calculation 2 2 2 3 3 9" xfId="4681" xr:uid="{00000000-0005-0000-0000-0000E7040000}"/>
    <cellStyle name="Calculation 2 2 2 3 4" xfId="4682" xr:uid="{00000000-0005-0000-0000-0000E8040000}"/>
    <cellStyle name="Calculation 2 2 2 3 4 10" xfId="4683" xr:uid="{00000000-0005-0000-0000-0000E9040000}"/>
    <cellStyle name="Calculation 2 2 2 3 4 2" xfId="4684" xr:uid="{00000000-0005-0000-0000-0000EA040000}"/>
    <cellStyle name="Calculation 2 2 2 3 4 2 2" xfId="4685" xr:uid="{00000000-0005-0000-0000-0000EB040000}"/>
    <cellStyle name="Calculation 2 2 2 3 4 2 2 2" xfId="4686" xr:uid="{00000000-0005-0000-0000-0000EC040000}"/>
    <cellStyle name="Calculation 2 2 2 3 4 2 2 3" xfId="4687" xr:uid="{00000000-0005-0000-0000-0000ED040000}"/>
    <cellStyle name="Calculation 2 2 2 3 4 2 3" xfId="4688" xr:uid="{00000000-0005-0000-0000-0000EE040000}"/>
    <cellStyle name="Calculation 2 2 2 3 4 2 3 2" xfId="4689" xr:uid="{00000000-0005-0000-0000-0000EF040000}"/>
    <cellStyle name="Calculation 2 2 2 3 4 2 3 3" xfId="4690" xr:uid="{00000000-0005-0000-0000-0000F0040000}"/>
    <cellStyle name="Calculation 2 2 2 3 4 2 4" xfId="4691" xr:uid="{00000000-0005-0000-0000-0000F1040000}"/>
    <cellStyle name="Calculation 2 2 2 3 4 2 4 2" xfId="4692" xr:uid="{00000000-0005-0000-0000-0000F2040000}"/>
    <cellStyle name="Calculation 2 2 2 3 4 2 4 3" xfId="4693" xr:uid="{00000000-0005-0000-0000-0000F3040000}"/>
    <cellStyle name="Calculation 2 2 2 3 4 2 5" xfId="4694" xr:uid="{00000000-0005-0000-0000-0000F4040000}"/>
    <cellStyle name="Calculation 2 2 2 3 4 2 5 2" xfId="4695" xr:uid="{00000000-0005-0000-0000-0000F5040000}"/>
    <cellStyle name="Calculation 2 2 2 3 4 2 5 3" xfId="4696" xr:uid="{00000000-0005-0000-0000-0000F6040000}"/>
    <cellStyle name="Calculation 2 2 2 3 4 2 6" xfId="4697" xr:uid="{00000000-0005-0000-0000-0000F7040000}"/>
    <cellStyle name="Calculation 2 2 2 3 4 2 6 2" xfId="4698" xr:uid="{00000000-0005-0000-0000-0000F8040000}"/>
    <cellStyle name="Calculation 2 2 2 3 4 2 6 3" xfId="4699" xr:uid="{00000000-0005-0000-0000-0000F9040000}"/>
    <cellStyle name="Calculation 2 2 2 3 4 2 7" xfId="4700" xr:uid="{00000000-0005-0000-0000-0000FA040000}"/>
    <cellStyle name="Calculation 2 2 2 3 4 2 7 2" xfId="4701" xr:uid="{00000000-0005-0000-0000-0000FB040000}"/>
    <cellStyle name="Calculation 2 2 2 3 4 2 7 3" xfId="4702" xr:uid="{00000000-0005-0000-0000-0000FC040000}"/>
    <cellStyle name="Calculation 2 2 2 3 4 2 8" xfId="4703" xr:uid="{00000000-0005-0000-0000-0000FD040000}"/>
    <cellStyle name="Calculation 2 2 2 3 4 2 9" xfId="4704" xr:uid="{00000000-0005-0000-0000-0000FE040000}"/>
    <cellStyle name="Calculation 2 2 2 3 4 3" xfId="4705" xr:uid="{00000000-0005-0000-0000-0000FF040000}"/>
    <cellStyle name="Calculation 2 2 2 3 4 3 2" xfId="4706" xr:uid="{00000000-0005-0000-0000-000000050000}"/>
    <cellStyle name="Calculation 2 2 2 3 4 3 3" xfId="4707" xr:uid="{00000000-0005-0000-0000-000001050000}"/>
    <cellStyle name="Calculation 2 2 2 3 4 4" xfId="4708" xr:uid="{00000000-0005-0000-0000-000002050000}"/>
    <cellStyle name="Calculation 2 2 2 3 4 4 2" xfId="4709" xr:uid="{00000000-0005-0000-0000-000003050000}"/>
    <cellStyle name="Calculation 2 2 2 3 4 4 3" xfId="4710" xr:uid="{00000000-0005-0000-0000-000004050000}"/>
    <cellStyle name="Calculation 2 2 2 3 4 5" xfId="4711" xr:uid="{00000000-0005-0000-0000-000005050000}"/>
    <cellStyle name="Calculation 2 2 2 3 4 5 2" xfId="4712" xr:uid="{00000000-0005-0000-0000-000006050000}"/>
    <cellStyle name="Calculation 2 2 2 3 4 5 3" xfId="4713" xr:uid="{00000000-0005-0000-0000-000007050000}"/>
    <cellStyle name="Calculation 2 2 2 3 4 6" xfId="4714" xr:uid="{00000000-0005-0000-0000-000008050000}"/>
    <cellStyle name="Calculation 2 2 2 3 4 6 2" xfId="4715" xr:uid="{00000000-0005-0000-0000-000009050000}"/>
    <cellStyle name="Calculation 2 2 2 3 4 6 3" xfId="4716" xr:uid="{00000000-0005-0000-0000-00000A050000}"/>
    <cellStyle name="Calculation 2 2 2 3 4 7" xfId="4717" xr:uid="{00000000-0005-0000-0000-00000B050000}"/>
    <cellStyle name="Calculation 2 2 2 3 4 7 2" xfId="4718" xr:uid="{00000000-0005-0000-0000-00000C050000}"/>
    <cellStyle name="Calculation 2 2 2 3 4 7 3" xfId="4719" xr:uid="{00000000-0005-0000-0000-00000D050000}"/>
    <cellStyle name="Calculation 2 2 2 3 4 8" xfId="4720" xr:uid="{00000000-0005-0000-0000-00000E050000}"/>
    <cellStyle name="Calculation 2 2 2 3 4 8 2" xfId="4721" xr:uid="{00000000-0005-0000-0000-00000F050000}"/>
    <cellStyle name="Calculation 2 2 2 3 4 8 3" xfId="4722" xr:uid="{00000000-0005-0000-0000-000010050000}"/>
    <cellStyle name="Calculation 2 2 2 3 4 9" xfId="4723" xr:uid="{00000000-0005-0000-0000-000011050000}"/>
    <cellStyle name="Calculation 2 2 2 3 5" xfId="4724" xr:uid="{00000000-0005-0000-0000-000012050000}"/>
    <cellStyle name="Calculation 2 2 2 3 5 2" xfId="4725" xr:uid="{00000000-0005-0000-0000-000013050000}"/>
    <cellStyle name="Calculation 2 2 2 3 5 2 2" xfId="4726" xr:uid="{00000000-0005-0000-0000-000014050000}"/>
    <cellStyle name="Calculation 2 2 2 3 5 2 3" xfId="4727" xr:uid="{00000000-0005-0000-0000-000015050000}"/>
    <cellStyle name="Calculation 2 2 2 3 5 3" xfId="4728" xr:uid="{00000000-0005-0000-0000-000016050000}"/>
    <cellStyle name="Calculation 2 2 2 3 5 3 2" xfId="4729" xr:uid="{00000000-0005-0000-0000-000017050000}"/>
    <cellStyle name="Calculation 2 2 2 3 5 3 3" xfId="4730" xr:uid="{00000000-0005-0000-0000-000018050000}"/>
    <cellStyle name="Calculation 2 2 2 3 5 4" xfId="4731" xr:uid="{00000000-0005-0000-0000-000019050000}"/>
    <cellStyle name="Calculation 2 2 2 3 5 4 2" xfId="4732" xr:uid="{00000000-0005-0000-0000-00001A050000}"/>
    <cellStyle name="Calculation 2 2 2 3 5 4 3" xfId="4733" xr:uid="{00000000-0005-0000-0000-00001B050000}"/>
    <cellStyle name="Calculation 2 2 2 3 5 5" xfId="4734" xr:uid="{00000000-0005-0000-0000-00001C050000}"/>
    <cellStyle name="Calculation 2 2 2 3 5 5 2" xfId="4735" xr:uid="{00000000-0005-0000-0000-00001D050000}"/>
    <cellStyle name="Calculation 2 2 2 3 5 5 3" xfId="4736" xr:uid="{00000000-0005-0000-0000-00001E050000}"/>
    <cellStyle name="Calculation 2 2 2 3 5 6" xfId="4737" xr:uid="{00000000-0005-0000-0000-00001F050000}"/>
    <cellStyle name="Calculation 2 2 2 3 5 6 2" xfId="4738" xr:uid="{00000000-0005-0000-0000-000020050000}"/>
    <cellStyle name="Calculation 2 2 2 3 5 6 3" xfId="4739" xr:uid="{00000000-0005-0000-0000-000021050000}"/>
    <cellStyle name="Calculation 2 2 2 3 5 7" xfId="4740" xr:uid="{00000000-0005-0000-0000-000022050000}"/>
    <cellStyle name="Calculation 2 2 2 3 5 7 2" xfId="4741" xr:uid="{00000000-0005-0000-0000-000023050000}"/>
    <cellStyle name="Calculation 2 2 2 3 5 7 3" xfId="4742" xr:uid="{00000000-0005-0000-0000-000024050000}"/>
    <cellStyle name="Calculation 2 2 2 3 5 8" xfId="4743" xr:uid="{00000000-0005-0000-0000-000025050000}"/>
    <cellStyle name="Calculation 2 2 2 3 5 9" xfId="4744" xr:uid="{00000000-0005-0000-0000-000026050000}"/>
    <cellStyle name="Calculation 2 2 2 3 6" xfId="4745" xr:uid="{00000000-0005-0000-0000-000027050000}"/>
    <cellStyle name="Calculation 2 2 2 3 6 2" xfId="4746" xr:uid="{00000000-0005-0000-0000-000028050000}"/>
    <cellStyle name="Calculation 2 2 2 3 6 3" xfId="4747" xr:uid="{00000000-0005-0000-0000-000029050000}"/>
    <cellStyle name="Calculation 2 2 2 3 7" xfId="4748" xr:uid="{00000000-0005-0000-0000-00002A050000}"/>
    <cellStyle name="Calculation 2 2 2 3 7 2" xfId="4749" xr:uid="{00000000-0005-0000-0000-00002B050000}"/>
    <cellStyle name="Calculation 2 2 2 3 7 3" xfId="4750" xr:uid="{00000000-0005-0000-0000-00002C050000}"/>
    <cellStyle name="Calculation 2 2 2 3 8" xfId="4751" xr:uid="{00000000-0005-0000-0000-00002D050000}"/>
    <cellStyle name="Calculation 2 2 2 3 8 2" xfId="4752" xr:uid="{00000000-0005-0000-0000-00002E050000}"/>
    <cellStyle name="Calculation 2 2 2 3 8 3" xfId="4753" xr:uid="{00000000-0005-0000-0000-00002F050000}"/>
    <cellStyle name="Calculation 2 2 2 3 9" xfId="4754" xr:uid="{00000000-0005-0000-0000-000030050000}"/>
    <cellStyle name="Calculation 2 2 2 3 9 2" xfId="4755" xr:uid="{00000000-0005-0000-0000-000031050000}"/>
    <cellStyle name="Calculation 2 2 2 3 9 3" xfId="4756" xr:uid="{00000000-0005-0000-0000-000032050000}"/>
    <cellStyle name="Calculation 2 2 2 4" xfId="4757" xr:uid="{00000000-0005-0000-0000-000033050000}"/>
    <cellStyle name="Calculation 2 2 2 4 10" xfId="43970" xr:uid="{00000000-0005-0000-0000-000034050000}"/>
    <cellStyle name="Calculation 2 2 2 4 2" xfId="4758" xr:uid="{00000000-0005-0000-0000-000035050000}"/>
    <cellStyle name="Calculation 2 2 2 4 2 10" xfId="4759" xr:uid="{00000000-0005-0000-0000-000036050000}"/>
    <cellStyle name="Calculation 2 2 2 4 2 2" xfId="4760" xr:uid="{00000000-0005-0000-0000-000037050000}"/>
    <cellStyle name="Calculation 2 2 2 4 2 2 2" xfId="4761" xr:uid="{00000000-0005-0000-0000-000038050000}"/>
    <cellStyle name="Calculation 2 2 2 4 2 2 2 2" xfId="4762" xr:uid="{00000000-0005-0000-0000-000039050000}"/>
    <cellStyle name="Calculation 2 2 2 4 2 2 2 3" xfId="4763" xr:uid="{00000000-0005-0000-0000-00003A050000}"/>
    <cellStyle name="Calculation 2 2 2 4 2 2 3" xfId="4764" xr:uid="{00000000-0005-0000-0000-00003B050000}"/>
    <cellStyle name="Calculation 2 2 2 4 2 2 3 2" xfId="4765" xr:uid="{00000000-0005-0000-0000-00003C050000}"/>
    <cellStyle name="Calculation 2 2 2 4 2 2 3 3" xfId="4766" xr:uid="{00000000-0005-0000-0000-00003D050000}"/>
    <cellStyle name="Calculation 2 2 2 4 2 2 4" xfId="4767" xr:uid="{00000000-0005-0000-0000-00003E050000}"/>
    <cellStyle name="Calculation 2 2 2 4 2 2 4 2" xfId="4768" xr:uid="{00000000-0005-0000-0000-00003F050000}"/>
    <cellStyle name="Calculation 2 2 2 4 2 2 4 3" xfId="4769" xr:uid="{00000000-0005-0000-0000-000040050000}"/>
    <cellStyle name="Calculation 2 2 2 4 2 2 5" xfId="4770" xr:uid="{00000000-0005-0000-0000-000041050000}"/>
    <cellStyle name="Calculation 2 2 2 4 2 2 5 2" xfId="4771" xr:uid="{00000000-0005-0000-0000-000042050000}"/>
    <cellStyle name="Calculation 2 2 2 4 2 2 5 3" xfId="4772" xr:uid="{00000000-0005-0000-0000-000043050000}"/>
    <cellStyle name="Calculation 2 2 2 4 2 2 6" xfId="4773" xr:uid="{00000000-0005-0000-0000-000044050000}"/>
    <cellStyle name="Calculation 2 2 2 4 2 2 6 2" xfId="4774" xr:uid="{00000000-0005-0000-0000-000045050000}"/>
    <cellStyle name="Calculation 2 2 2 4 2 2 6 3" xfId="4775" xr:uid="{00000000-0005-0000-0000-000046050000}"/>
    <cellStyle name="Calculation 2 2 2 4 2 2 7" xfId="4776" xr:uid="{00000000-0005-0000-0000-000047050000}"/>
    <cellStyle name="Calculation 2 2 2 4 2 2 7 2" xfId="4777" xr:uid="{00000000-0005-0000-0000-000048050000}"/>
    <cellStyle name="Calculation 2 2 2 4 2 2 7 3" xfId="4778" xr:uid="{00000000-0005-0000-0000-000049050000}"/>
    <cellStyle name="Calculation 2 2 2 4 2 2 8" xfId="4779" xr:uid="{00000000-0005-0000-0000-00004A050000}"/>
    <cellStyle name="Calculation 2 2 2 4 2 2 9" xfId="4780" xr:uid="{00000000-0005-0000-0000-00004B050000}"/>
    <cellStyle name="Calculation 2 2 2 4 2 3" xfId="4781" xr:uid="{00000000-0005-0000-0000-00004C050000}"/>
    <cellStyle name="Calculation 2 2 2 4 2 3 2" xfId="4782" xr:uid="{00000000-0005-0000-0000-00004D050000}"/>
    <cellStyle name="Calculation 2 2 2 4 2 3 3" xfId="4783" xr:uid="{00000000-0005-0000-0000-00004E050000}"/>
    <cellStyle name="Calculation 2 2 2 4 2 4" xfId="4784" xr:uid="{00000000-0005-0000-0000-00004F050000}"/>
    <cellStyle name="Calculation 2 2 2 4 2 4 2" xfId="4785" xr:uid="{00000000-0005-0000-0000-000050050000}"/>
    <cellStyle name="Calculation 2 2 2 4 2 4 3" xfId="4786" xr:uid="{00000000-0005-0000-0000-000051050000}"/>
    <cellStyle name="Calculation 2 2 2 4 2 5" xfId="4787" xr:uid="{00000000-0005-0000-0000-000052050000}"/>
    <cellStyle name="Calculation 2 2 2 4 2 5 2" xfId="4788" xr:uid="{00000000-0005-0000-0000-000053050000}"/>
    <cellStyle name="Calculation 2 2 2 4 2 5 3" xfId="4789" xr:uid="{00000000-0005-0000-0000-000054050000}"/>
    <cellStyle name="Calculation 2 2 2 4 2 6" xfId="4790" xr:uid="{00000000-0005-0000-0000-000055050000}"/>
    <cellStyle name="Calculation 2 2 2 4 2 6 2" xfId="4791" xr:uid="{00000000-0005-0000-0000-000056050000}"/>
    <cellStyle name="Calculation 2 2 2 4 2 6 3" xfId="4792" xr:uid="{00000000-0005-0000-0000-000057050000}"/>
    <cellStyle name="Calculation 2 2 2 4 2 7" xfId="4793" xr:uid="{00000000-0005-0000-0000-000058050000}"/>
    <cellStyle name="Calculation 2 2 2 4 2 7 2" xfId="4794" xr:uid="{00000000-0005-0000-0000-000059050000}"/>
    <cellStyle name="Calculation 2 2 2 4 2 7 3" xfId="4795" xr:uid="{00000000-0005-0000-0000-00005A050000}"/>
    <cellStyle name="Calculation 2 2 2 4 2 8" xfId="4796" xr:uid="{00000000-0005-0000-0000-00005B050000}"/>
    <cellStyle name="Calculation 2 2 2 4 2 8 2" xfId="4797" xr:uid="{00000000-0005-0000-0000-00005C050000}"/>
    <cellStyle name="Calculation 2 2 2 4 2 8 3" xfId="4798" xr:uid="{00000000-0005-0000-0000-00005D050000}"/>
    <cellStyle name="Calculation 2 2 2 4 2 9" xfId="4799" xr:uid="{00000000-0005-0000-0000-00005E050000}"/>
    <cellStyle name="Calculation 2 2 2 4 3" xfId="4800" xr:uid="{00000000-0005-0000-0000-00005F050000}"/>
    <cellStyle name="Calculation 2 2 2 4 3 10" xfId="4801" xr:uid="{00000000-0005-0000-0000-000060050000}"/>
    <cellStyle name="Calculation 2 2 2 4 3 2" xfId="4802" xr:uid="{00000000-0005-0000-0000-000061050000}"/>
    <cellStyle name="Calculation 2 2 2 4 3 2 2" xfId="4803" xr:uid="{00000000-0005-0000-0000-000062050000}"/>
    <cellStyle name="Calculation 2 2 2 4 3 2 2 2" xfId="4804" xr:uid="{00000000-0005-0000-0000-000063050000}"/>
    <cellStyle name="Calculation 2 2 2 4 3 2 2 3" xfId="4805" xr:uid="{00000000-0005-0000-0000-000064050000}"/>
    <cellStyle name="Calculation 2 2 2 4 3 2 3" xfId="4806" xr:uid="{00000000-0005-0000-0000-000065050000}"/>
    <cellStyle name="Calculation 2 2 2 4 3 2 3 2" xfId="4807" xr:uid="{00000000-0005-0000-0000-000066050000}"/>
    <cellStyle name="Calculation 2 2 2 4 3 2 3 3" xfId="4808" xr:uid="{00000000-0005-0000-0000-000067050000}"/>
    <cellStyle name="Calculation 2 2 2 4 3 2 4" xfId="4809" xr:uid="{00000000-0005-0000-0000-000068050000}"/>
    <cellStyle name="Calculation 2 2 2 4 3 2 4 2" xfId="4810" xr:uid="{00000000-0005-0000-0000-000069050000}"/>
    <cellStyle name="Calculation 2 2 2 4 3 2 4 3" xfId="4811" xr:uid="{00000000-0005-0000-0000-00006A050000}"/>
    <cellStyle name="Calculation 2 2 2 4 3 2 5" xfId="4812" xr:uid="{00000000-0005-0000-0000-00006B050000}"/>
    <cellStyle name="Calculation 2 2 2 4 3 2 5 2" xfId="4813" xr:uid="{00000000-0005-0000-0000-00006C050000}"/>
    <cellStyle name="Calculation 2 2 2 4 3 2 5 3" xfId="4814" xr:uid="{00000000-0005-0000-0000-00006D050000}"/>
    <cellStyle name="Calculation 2 2 2 4 3 2 6" xfId="4815" xr:uid="{00000000-0005-0000-0000-00006E050000}"/>
    <cellStyle name="Calculation 2 2 2 4 3 2 6 2" xfId="4816" xr:uid="{00000000-0005-0000-0000-00006F050000}"/>
    <cellStyle name="Calculation 2 2 2 4 3 2 6 3" xfId="4817" xr:uid="{00000000-0005-0000-0000-000070050000}"/>
    <cellStyle name="Calculation 2 2 2 4 3 2 7" xfId="4818" xr:uid="{00000000-0005-0000-0000-000071050000}"/>
    <cellStyle name="Calculation 2 2 2 4 3 2 7 2" xfId="4819" xr:uid="{00000000-0005-0000-0000-000072050000}"/>
    <cellStyle name="Calculation 2 2 2 4 3 2 7 3" xfId="4820" xr:uid="{00000000-0005-0000-0000-000073050000}"/>
    <cellStyle name="Calculation 2 2 2 4 3 2 8" xfId="4821" xr:uid="{00000000-0005-0000-0000-000074050000}"/>
    <cellStyle name="Calculation 2 2 2 4 3 2 9" xfId="4822" xr:uid="{00000000-0005-0000-0000-000075050000}"/>
    <cellStyle name="Calculation 2 2 2 4 3 3" xfId="4823" xr:uid="{00000000-0005-0000-0000-000076050000}"/>
    <cellStyle name="Calculation 2 2 2 4 3 3 2" xfId="4824" xr:uid="{00000000-0005-0000-0000-000077050000}"/>
    <cellStyle name="Calculation 2 2 2 4 3 3 3" xfId="4825" xr:uid="{00000000-0005-0000-0000-000078050000}"/>
    <cellStyle name="Calculation 2 2 2 4 3 4" xfId="4826" xr:uid="{00000000-0005-0000-0000-000079050000}"/>
    <cellStyle name="Calculation 2 2 2 4 3 4 2" xfId="4827" xr:uid="{00000000-0005-0000-0000-00007A050000}"/>
    <cellStyle name="Calculation 2 2 2 4 3 4 3" xfId="4828" xr:uid="{00000000-0005-0000-0000-00007B050000}"/>
    <cellStyle name="Calculation 2 2 2 4 3 5" xfId="4829" xr:uid="{00000000-0005-0000-0000-00007C050000}"/>
    <cellStyle name="Calculation 2 2 2 4 3 5 2" xfId="4830" xr:uid="{00000000-0005-0000-0000-00007D050000}"/>
    <cellStyle name="Calculation 2 2 2 4 3 5 3" xfId="4831" xr:uid="{00000000-0005-0000-0000-00007E050000}"/>
    <cellStyle name="Calculation 2 2 2 4 3 6" xfId="4832" xr:uid="{00000000-0005-0000-0000-00007F050000}"/>
    <cellStyle name="Calculation 2 2 2 4 3 6 2" xfId="4833" xr:uid="{00000000-0005-0000-0000-000080050000}"/>
    <cellStyle name="Calculation 2 2 2 4 3 6 3" xfId="4834" xr:uid="{00000000-0005-0000-0000-000081050000}"/>
    <cellStyle name="Calculation 2 2 2 4 3 7" xfId="4835" xr:uid="{00000000-0005-0000-0000-000082050000}"/>
    <cellStyle name="Calculation 2 2 2 4 3 7 2" xfId="4836" xr:uid="{00000000-0005-0000-0000-000083050000}"/>
    <cellStyle name="Calculation 2 2 2 4 3 7 3" xfId="4837" xr:uid="{00000000-0005-0000-0000-000084050000}"/>
    <cellStyle name="Calculation 2 2 2 4 3 8" xfId="4838" xr:uid="{00000000-0005-0000-0000-000085050000}"/>
    <cellStyle name="Calculation 2 2 2 4 3 8 2" xfId="4839" xr:uid="{00000000-0005-0000-0000-000086050000}"/>
    <cellStyle name="Calculation 2 2 2 4 3 8 3" xfId="4840" xr:uid="{00000000-0005-0000-0000-000087050000}"/>
    <cellStyle name="Calculation 2 2 2 4 3 9" xfId="4841" xr:uid="{00000000-0005-0000-0000-000088050000}"/>
    <cellStyle name="Calculation 2 2 2 4 4" xfId="4842" xr:uid="{00000000-0005-0000-0000-000089050000}"/>
    <cellStyle name="Calculation 2 2 2 4 4 10" xfId="4843" xr:uid="{00000000-0005-0000-0000-00008A050000}"/>
    <cellStyle name="Calculation 2 2 2 4 4 2" xfId="4844" xr:uid="{00000000-0005-0000-0000-00008B050000}"/>
    <cellStyle name="Calculation 2 2 2 4 4 2 2" xfId="4845" xr:uid="{00000000-0005-0000-0000-00008C050000}"/>
    <cellStyle name="Calculation 2 2 2 4 4 2 2 2" xfId="4846" xr:uid="{00000000-0005-0000-0000-00008D050000}"/>
    <cellStyle name="Calculation 2 2 2 4 4 2 2 3" xfId="4847" xr:uid="{00000000-0005-0000-0000-00008E050000}"/>
    <cellStyle name="Calculation 2 2 2 4 4 2 3" xfId="4848" xr:uid="{00000000-0005-0000-0000-00008F050000}"/>
    <cellStyle name="Calculation 2 2 2 4 4 2 3 2" xfId="4849" xr:uid="{00000000-0005-0000-0000-000090050000}"/>
    <cellStyle name="Calculation 2 2 2 4 4 2 3 3" xfId="4850" xr:uid="{00000000-0005-0000-0000-000091050000}"/>
    <cellStyle name="Calculation 2 2 2 4 4 2 4" xfId="4851" xr:uid="{00000000-0005-0000-0000-000092050000}"/>
    <cellStyle name="Calculation 2 2 2 4 4 2 4 2" xfId="4852" xr:uid="{00000000-0005-0000-0000-000093050000}"/>
    <cellStyle name="Calculation 2 2 2 4 4 2 4 3" xfId="4853" xr:uid="{00000000-0005-0000-0000-000094050000}"/>
    <cellStyle name="Calculation 2 2 2 4 4 2 5" xfId="4854" xr:uid="{00000000-0005-0000-0000-000095050000}"/>
    <cellStyle name="Calculation 2 2 2 4 4 2 5 2" xfId="4855" xr:uid="{00000000-0005-0000-0000-000096050000}"/>
    <cellStyle name="Calculation 2 2 2 4 4 2 5 3" xfId="4856" xr:uid="{00000000-0005-0000-0000-000097050000}"/>
    <cellStyle name="Calculation 2 2 2 4 4 2 6" xfId="4857" xr:uid="{00000000-0005-0000-0000-000098050000}"/>
    <cellStyle name="Calculation 2 2 2 4 4 2 6 2" xfId="4858" xr:uid="{00000000-0005-0000-0000-000099050000}"/>
    <cellStyle name="Calculation 2 2 2 4 4 2 6 3" xfId="4859" xr:uid="{00000000-0005-0000-0000-00009A050000}"/>
    <cellStyle name="Calculation 2 2 2 4 4 2 7" xfId="4860" xr:uid="{00000000-0005-0000-0000-00009B050000}"/>
    <cellStyle name="Calculation 2 2 2 4 4 2 7 2" xfId="4861" xr:uid="{00000000-0005-0000-0000-00009C050000}"/>
    <cellStyle name="Calculation 2 2 2 4 4 2 7 3" xfId="4862" xr:uid="{00000000-0005-0000-0000-00009D050000}"/>
    <cellStyle name="Calculation 2 2 2 4 4 2 8" xfId="4863" xr:uid="{00000000-0005-0000-0000-00009E050000}"/>
    <cellStyle name="Calculation 2 2 2 4 4 2 9" xfId="4864" xr:uid="{00000000-0005-0000-0000-00009F050000}"/>
    <cellStyle name="Calculation 2 2 2 4 4 3" xfId="4865" xr:uid="{00000000-0005-0000-0000-0000A0050000}"/>
    <cellStyle name="Calculation 2 2 2 4 4 3 2" xfId="4866" xr:uid="{00000000-0005-0000-0000-0000A1050000}"/>
    <cellStyle name="Calculation 2 2 2 4 4 3 3" xfId="4867" xr:uid="{00000000-0005-0000-0000-0000A2050000}"/>
    <cellStyle name="Calculation 2 2 2 4 4 4" xfId="4868" xr:uid="{00000000-0005-0000-0000-0000A3050000}"/>
    <cellStyle name="Calculation 2 2 2 4 4 4 2" xfId="4869" xr:uid="{00000000-0005-0000-0000-0000A4050000}"/>
    <cellStyle name="Calculation 2 2 2 4 4 4 3" xfId="4870" xr:uid="{00000000-0005-0000-0000-0000A5050000}"/>
    <cellStyle name="Calculation 2 2 2 4 4 5" xfId="4871" xr:uid="{00000000-0005-0000-0000-0000A6050000}"/>
    <cellStyle name="Calculation 2 2 2 4 4 5 2" xfId="4872" xr:uid="{00000000-0005-0000-0000-0000A7050000}"/>
    <cellStyle name="Calculation 2 2 2 4 4 5 3" xfId="4873" xr:uid="{00000000-0005-0000-0000-0000A8050000}"/>
    <cellStyle name="Calculation 2 2 2 4 4 6" xfId="4874" xr:uid="{00000000-0005-0000-0000-0000A9050000}"/>
    <cellStyle name="Calculation 2 2 2 4 4 6 2" xfId="4875" xr:uid="{00000000-0005-0000-0000-0000AA050000}"/>
    <cellStyle name="Calculation 2 2 2 4 4 6 3" xfId="4876" xr:uid="{00000000-0005-0000-0000-0000AB050000}"/>
    <cellStyle name="Calculation 2 2 2 4 4 7" xfId="4877" xr:uid="{00000000-0005-0000-0000-0000AC050000}"/>
    <cellStyle name="Calculation 2 2 2 4 4 7 2" xfId="4878" xr:uid="{00000000-0005-0000-0000-0000AD050000}"/>
    <cellStyle name="Calculation 2 2 2 4 4 7 3" xfId="4879" xr:uid="{00000000-0005-0000-0000-0000AE050000}"/>
    <cellStyle name="Calculation 2 2 2 4 4 8" xfId="4880" xr:uid="{00000000-0005-0000-0000-0000AF050000}"/>
    <cellStyle name="Calculation 2 2 2 4 4 8 2" xfId="4881" xr:uid="{00000000-0005-0000-0000-0000B0050000}"/>
    <cellStyle name="Calculation 2 2 2 4 4 8 3" xfId="4882" xr:uid="{00000000-0005-0000-0000-0000B1050000}"/>
    <cellStyle name="Calculation 2 2 2 4 4 9" xfId="4883" xr:uid="{00000000-0005-0000-0000-0000B2050000}"/>
    <cellStyle name="Calculation 2 2 2 4 5" xfId="4884" xr:uid="{00000000-0005-0000-0000-0000B3050000}"/>
    <cellStyle name="Calculation 2 2 2 4 5 2" xfId="4885" xr:uid="{00000000-0005-0000-0000-0000B4050000}"/>
    <cellStyle name="Calculation 2 2 2 4 5 2 2" xfId="4886" xr:uid="{00000000-0005-0000-0000-0000B5050000}"/>
    <cellStyle name="Calculation 2 2 2 4 5 2 3" xfId="4887" xr:uid="{00000000-0005-0000-0000-0000B6050000}"/>
    <cellStyle name="Calculation 2 2 2 4 5 3" xfId="4888" xr:uid="{00000000-0005-0000-0000-0000B7050000}"/>
    <cellStyle name="Calculation 2 2 2 4 5 3 2" xfId="4889" xr:uid="{00000000-0005-0000-0000-0000B8050000}"/>
    <cellStyle name="Calculation 2 2 2 4 5 3 3" xfId="4890" xr:uid="{00000000-0005-0000-0000-0000B9050000}"/>
    <cellStyle name="Calculation 2 2 2 4 5 4" xfId="4891" xr:uid="{00000000-0005-0000-0000-0000BA050000}"/>
    <cellStyle name="Calculation 2 2 2 4 5 4 2" xfId="4892" xr:uid="{00000000-0005-0000-0000-0000BB050000}"/>
    <cellStyle name="Calculation 2 2 2 4 5 4 3" xfId="4893" xr:uid="{00000000-0005-0000-0000-0000BC050000}"/>
    <cellStyle name="Calculation 2 2 2 4 5 5" xfId="4894" xr:uid="{00000000-0005-0000-0000-0000BD050000}"/>
    <cellStyle name="Calculation 2 2 2 4 5 5 2" xfId="4895" xr:uid="{00000000-0005-0000-0000-0000BE050000}"/>
    <cellStyle name="Calculation 2 2 2 4 5 5 3" xfId="4896" xr:uid="{00000000-0005-0000-0000-0000BF050000}"/>
    <cellStyle name="Calculation 2 2 2 4 5 6" xfId="4897" xr:uid="{00000000-0005-0000-0000-0000C0050000}"/>
    <cellStyle name="Calculation 2 2 2 4 5 6 2" xfId="4898" xr:uid="{00000000-0005-0000-0000-0000C1050000}"/>
    <cellStyle name="Calculation 2 2 2 4 5 6 3" xfId="4899" xr:uid="{00000000-0005-0000-0000-0000C2050000}"/>
    <cellStyle name="Calculation 2 2 2 4 5 7" xfId="4900" xr:uid="{00000000-0005-0000-0000-0000C3050000}"/>
    <cellStyle name="Calculation 2 2 2 4 5 7 2" xfId="4901" xr:uid="{00000000-0005-0000-0000-0000C4050000}"/>
    <cellStyle name="Calculation 2 2 2 4 5 7 3" xfId="4902" xr:uid="{00000000-0005-0000-0000-0000C5050000}"/>
    <cellStyle name="Calculation 2 2 2 4 5 8" xfId="4903" xr:uid="{00000000-0005-0000-0000-0000C6050000}"/>
    <cellStyle name="Calculation 2 2 2 4 5 9" xfId="4904" xr:uid="{00000000-0005-0000-0000-0000C7050000}"/>
    <cellStyle name="Calculation 2 2 2 4 6" xfId="4905" xr:uid="{00000000-0005-0000-0000-0000C8050000}"/>
    <cellStyle name="Calculation 2 2 2 4 6 2" xfId="4906" xr:uid="{00000000-0005-0000-0000-0000C9050000}"/>
    <cellStyle name="Calculation 2 2 2 4 6 3" xfId="4907" xr:uid="{00000000-0005-0000-0000-0000CA050000}"/>
    <cellStyle name="Calculation 2 2 2 4 7" xfId="4908" xr:uid="{00000000-0005-0000-0000-0000CB050000}"/>
    <cellStyle name="Calculation 2 2 2 4 7 2" xfId="4909" xr:uid="{00000000-0005-0000-0000-0000CC050000}"/>
    <cellStyle name="Calculation 2 2 2 4 7 3" xfId="4910" xr:uid="{00000000-0005-0000-0000-0000CD050000}"/>
    <cellStyle name="Calculation 2 2 2 4 8" xfId="4911" xr:uid="{00000000-0005-0000-0000-0000CE050000}"/>
    <cellStyle name="Calculation 2 2 2 4 8 2" xfId="4912" xr:uid="{00000000-0005-0000-0000-0000CF050000}"/>
    <cellStyle name="Calculation 2 2 2 4 8 3" xfId="4913" xr:uid="{00000000-0005-0000-0000-0000D0050000}"/>
    <cellStyle name="Calculation 2 2 2 4 9" xfId="4914" xr:uid="{00000000-0005-0000-0000-0000D1050000}"/>
    <cellStyle name="Calculation 2 2 2 4 9 2" xfId="4915" xr:uid="{00000000-0005-0000-0000-0000D2050000}"/>
    <cellStyle name="Calculation 2 2 2 4 9 3" xfId="4916" xr:uid="{00000000-0005-0000-0000-0000D3050000}"/>
    <cellStyle name="Calculation 2 2 2 5" xfId="4917" xr:uid="{00000000-0005-0000-0000-0000D4050000}"/>
    <cellStyle name="Calculation 2 2 2 5 10" xfId="43971" xr:uid="{00000000-0005-0000-0000-0000D5050000}"/>
    <cellStyle name="Calculation 2 2 2 5 2" xfId="4918" xr:uid="{00000000-0005-0000-0000-0000D6050000}"/>
    <cellStyle name="Calculation 2 2 2 5 2 10" xfId="4919" xr:uid="{00000000-0005-0000-0000-0000D7050000}"/>
    <cellStyle name="Calculation 2 2 2 5 2 2" xfId="4920" xr:uid="{00000000-0005-0000-0000-0000D8050000}"/>
    <cellStyle name="Calculation 2 2 2 5 2 2 2" xfId="4921" xr:uid="{00000000-0005-0000-0000-0000D9050000}"/>
    <cellStyle name="Calculation 2 2 2 5 2 2 2 2" xfId="4922" xr:uid="{00000000-0005-0000-0000-0000DA050000}"/>
    <cellStyle name="Calculation 2 2 2 5 2 2 2 3" xfId="4923" xr:uid="{00000000-0005-0000-0000-0000DB050000}"/>
    <cellStyle name="Calculation 2 2 2 5 2 2 3" xfId="4924" xr:uid="{00000000-0005-0000-0000-0000DC050000}"/>
    <cellStyle name="Calculation 2 2 2 5 2 2 3 2" xfId="4925" xr:uid="{00000000-0005-0000-0000-0000DD050000}"/>
    <cellStyle name="Calculation 2 2 2 5 2 2 3 3" xfId="4926" xr:uid="{00000000-0005-0000-0000-0000DE050000}"/>
    <cellStyle name="Calculation 2 2 2 5 2 2 4" xfId="4927" xr:uid="{00000000-0005-0000-0000-0000DF050000}"/>
    <cellStyle name="Calculation 2 2 2 5 2 2 4 2" xfId="4928" xr:uid="{00000000-0005-0000-0000-0000E0050000}"/>
    <cellStyle name="Calculation 2 2 2 5 2 2 4 3" xfId="4929" xr:uid="{00000000-0005-0000-0000-0000E1050000}"/>
    <cellStyle name="Calculation 2 2 2 5 2 2 5" xfId="4930" xr:uid="{00000000-0005-0000-0000-0000E2050000}"/>
    <cellStyle name="Calculation 2 2 2 5 2 2 5 2" xfId="4931" xr:uid="{00000000-0005-0000-0000-0000E3050000}"/>
    <cellStyle name="Calculation 2 2 2 5 2 2 5 3" xfId="4932" xr:uid="{00000000-0005-0000-0000-0000E4050000}"/>
    <cellStyle name="Calculation 2 2 2 5 2 2 6" xfId="4933" xr:uid="{00000000-0005-0000-0000-0000E5050000}"/>
    <cellStyle name="Calculation 2 2 2 5 2 2 6 2" xfId="4934" xr:uid="{00000000-0005-0000-0000-0000E6050000}"/>
    <cellStyle name="Calculation 2 2 2 5 2 2 6 3" xfId="4935" xr:uid="{00000000-0005-0000-0000-0000E7050000}"/>
    <cellStyle name="Calculation 2 2 2 5 2 2 7" xfId="4936" xr:uid="{00000000-0005-0000-0000-0000E8050000}"/>
    <cellStyle name="Calculation 2 2 2 5 2 2 7 2" xfId="4937" xr:uid="{00000000-0005-0000-0000-0000E9050000}"/>
    <cellStyle name="Calculation 2 2 2 5 2 2 7 3" xfId="4938" xr:uid="{00000000-0005-0000-0000-0000EA050000}"/>
    <cellStyle name="Calculation 2 2 2 5 2 2 8" xfId="4939" xr:uid="{00000000-0005-0000-0000-0000EB050000}"/>
    <cellStyle name="Calculation 2 2 2 5 2 2 9" xfId="4940" xr:uid="{00000000-0005-0000-0000-0000EC050000}"/>
    <cellStyle name="Calculation 2 2 2 5 2 3" xfId="4941" xr:uid="{00000000-0005-0000-0000-0000ED050000}"/>
    <cellStyle name="Calculation 2 2 2 5 2 3 2" xfId="4942" xr:uid="{00000000-0005-0000-0000-0000EE050000}"/>
    <cellStyle name="Calculation 2 2 2 5 2 3 3" xfId="4943" xr:uid="{00000000-0005-0000-0000-0000EF050000}"/>
    <cellStyle name="Calculation 2 2 2 5 2 4" xfId="4944" xr:uid="{00000000-0005-0000-0000-0000F0050000}"/>
    <cellStyle name="Calculation 2 2 2 5 2 4 2" xfId="4945" xr:uid="{00000000-0005-0000-0000-0000F1050000}"/>
    <cellStyle name="Calculation 2 2 2 5 2 4 3" xfId="4946" xr:uid="{00000000-0005-0000-0000-0000F2050000}"/>
    <cellStyle name="Calculation 2 2 2 5 2 5" xfId="4947" xr:uid="{00000000-0005-0000-0000-0000F3050000}"/>
    <cellStyle name="Calculation 2 2 2 5 2 5 2" xfId="4948" xr:uid="{00000000-0005-0000-0000-0000F4050000}"/>
    <cellStyle name="Calculation 2 2 2 5 2 5 3" xfId="4949" xr:uid="{00000000-0005-0000-0000-0000F5050000}"/>
    <cellStyle name="Calculation 2 2 2 5 2 6" xfId="4950" xr:uid="{00000000-0005-0000-0000-0000F6050000}"/>
    <cellStyle name="Calculation 2 2 2 5 2 6 2" xfId="4951" xr:uid="{00000000-0005-0000-0000-0000F7050000}"/>
    <cellStyle name="Calculation 2 2 2 5 2 6 3" xfId="4952" xr:uid="{00000000-0005-0000-0000-0000F8050000}"/>
    <cellStyle name="Calculation 2 2 2 5 2 7" xfId="4953" xr:uid="{00000000-0005-0000-0000-0000F9050000}"/>
    <cellStyle name="Calculation 2 2 2 5 2 7 2" xfId="4954" xr:uid="{00000000-0005-0000-0000-0000FA050000}"/>
    <cellStyle name="Calculation 2 2 2 5 2 7 3" xfId="4955" xr:uid="{00000000-0005-0000-0000-0000FB050000}"/>
    <cellStyle name="Calculation 2 2 2 5 2 8" xfId="4956" xr:uid="{00000000-0005-0000-0000-0000FC050000}"/>
    <cellStyle name="Calculation 2 2 2 5 2 8 2" xfId="4957" xr:uid="{00000000-0005-0000-0000-0000FD050000}"/>
    <cellStyle name="Calculation 2 2 2 5 2 8 3" xfId="4958" xr:uid="{00000000-0005-0000-0000-0000FE050000}"/>
    <cellStyle name="Calculation 2 2 2 5 2 9" xfId="4959" xr:uid="{00000000-0005-0000-0000-0000FF050000}"/>
    <cellStyle name="Calculation 2 2 2 5 3" xfId="4960" xr:uid="{00000000-0005-0000-0000-000000060000}"/>
    <cellStyle name="Calculation 2 2 2 5 3 10" xfId="4961" xr:uid="{00000000-0005-0000-0000-000001060000}"/>
    <cellStyle name="Calculation 2 2 2 5 3 2" xfId="4962" xr:uid="{00000000-0005-0000-0000-000002060000}"/>
    <cellStyle name="Calculation 2 2 2 5 3 2 2" xfId="4963" xr:uid="{00000000-0005-0000-0000-000003060000}"/>
    <cellStyle name="Calculation 2 2 2 5 3 2 2 2" xfId="4964" xr:uid="{00000000-0005-0000-0000-000004060000}"/>
    <cellStyle name="Calculation 2 2 2 5 3 2 2 3" xfId="4965" xr:uid="{00000000-0005-0000-0000-000005060000}"/>
    <cellStyle name="Calculation 2 2 2 5 3 2 3" xfId="4966" xr:uid="{00000000-0005-0000-0000-000006060000}"/>
    <cellStyle name="Calculation 2 2 2 5 3 2 3 2" xfId="4967" xr:uid="{00000000-0005-0000-0000-000007060000}"/>
    <cellStyle name="Calculation 2 2 2 5 3 2 3 3" xfId="4968" xr:uid="{00000000-0005-0000-0000-000008060000}"/>
    <cellStyle name="Calculation 2 2 2 5 3 2 4" xfId="4969" xr:uid="{00000000-0005-0000-0000-000009060000}"/>
    <cellStyle name="Calculation 2 2 2 5 3 2 4 2" xfId="4970" xr:uid="{00000000-0005-0000-0000-00000A060000}"/>
    <cellStyle name="Calculation 2 2 2 5 3 2 4 3" xfId="4971" xr:uid="{00000000-0005-0000-0000-00000B060000}"/>
    <cellStyle name="Calculation 2 2 2 5 3 2 5" xfId="4972" xr:uid="{00000000-0005-0000-0000-00000C060000}"/>
    <cellStyle name="Calculation 2 2 2 5 3 2 5 2" xfId="4973" xr:uid="{00000000-0005-0000-0000-00000D060000}"/>
    <cellStyle name="Calculation 2 2 2 5 3 2 5 3" xfId="4974" xr:uid="{00000000-0005-0000-0000-00000E060000}"/>
    <cellStyle name="Calculation 2 2 2 5 3 2 6" xfId="4975" xr:uid="{00000000-0005-0000-0000-00000F060000}"/>
    <cellStyle name="Calculation 2 2 2 5 3 2 6 2" xfId="4976" xr:uid="{00000000-0005-0000-0000-000010060000}"/>
    <cellStyle name="Calculation 2 2 2 5 3 2 6 3" xfId="4977" xr:uid="{00000000-0005-0000-0000-000011060000}"/>
    <cellStyle name="Calculation 2 2 2 5 3 2 7" xfId="4978" xr:uid="{00000000-0005-0000-0000-000012060000}"/>
    <cellStyle name="Calculation 2 2 2 5 3 2 7 2" xfId="4979" xr:uid="{00000000-0005-0000-0000-000013060000}"/>
    <cellStyle name="Calculation 2 2 2 5 3 2 7 3" xfId="4980" xr:uid="{00000000-0005-0000-0000-000014060000}"/>
    <cellStyle name="Calculation 2 2 2 5 3 2 8" xfId="4981" xr:uid="{00000000-0005-0000-0000-000015060000}"/>
    <cellStyle name="Calculation 2 2 2 5 3 2 9" xfId="4982" xr:uid="{00000000-0005-0000-0000-000016060000}"/>
    <cellStyle name="Calculation 2 2 2 5 3 3" xfId="4983" xr:uid="{00000000-0005-0000-0000-000017060000}"/>
    <cellStyle name="Calculation 2 2 2 5 3 3 2" xfId="4984" xr:uid="{00000000-0005-0000-0000-000018060000}"/>
    <cellStyle name="Calculation 2 2 2 5 3 3 3" xfId="4985" xr:uid="{00000000-0005-0000-0000-000019060000}"/>
    <cellStyle name="Calculation 2 2 2 5 3 4" xfId="4986" xr:uid="{00000000-0005-0000-0000-00001A060000}"/>
    <cellStyle name="Calculation 2 2 2 5 3 4 2" xfId="4987" xr:uid="{00000000-0005-0000-0000-00001B060000}"/>
    <cellStyle name="Calculation 2 2 2 5 3 4 3" xfId="4988" xr:uid="{00000000-0005-0000-0000-00001C060000}"/>
    <cellStyle name="Calculation 2 2 2 5 3 5" xfId="4989" xr:uid="{00000000-0005-0000-0000-00001D060000}"/>
    <cellStyle name="Calculation 2 2 2 5 3 5 2" xfId="4990" xr:uid="{00000000-0005-0000-0000-00001E060000}"/>
    <cellStyle name="Calculation 2 2 2 5 3 5 3" xfId="4991" xr:uid="{00000000-0005-0000-0000-00001F060000}"/>
    <cellStyle name="Calculation 2 2 2 5 3 6" xfId="4992" xr:uid="{00000000-0005-0000-0000-000020060000}"/>
    <cellStyle name="Calculation 2 2 2 5 3 6 2" xfId="4993" xr:uid="{00000000-0005-0000-0000-000021060000}"/>
    <cellStyle name="Calculation 2 2 2 5 3 6 3" xfId="4994" xr:uid="{00000000-0005-0000-0000-000022060000}"/>
    <cellStyle name="Calculation 2 2 2 5 3 7" xfId="4995" xr:uid="{00000000-0005-0000-0000-000023060000}"/>
    <cellStyle name="Calculation 2 2 2 5 3 7 2" xfId="4996" xr:uid="{00000000-0005-0000-0000-000024060000}"/>
    <cellStyle name="Calculation 2 2 2 5 3 7 3" xfId="4997" xr:uid="{00000000-0005-0000-0000-000025060000}"/>
    <cellStyle name="Calculation 2 2 2 5 3 8" xfId="4998" xr:uid="{00000000-0005-0000-0000-000026060000}"/>
    <cellStyle name="Calculation 2 2 2 5 3 8 2" xfId="4999" xr:uid="{00000000-0005-0000-0000-000027060000}"/>
    <cellStyle name="Calculation 2 2 2 5 3 8 3" xfId="5000" xr:uid="{00000000-0005-0000-0000-000028060000}"/>
    <cellStyle name="Calculation 2 2 2 5 3 9" xfId="5001" xr:uid="{00000000-0005-0000-0000-000029060000}"/>
    <cellStyle name="Calculation 2 2 2 5 4" xfId="5002" xr:uid="{00000000-0005-0000-0000-00002A060000}"/>
    <cellStyle name="Calculation 2 2 2 5 4 10" xfId="5003" xr:uid="{00000000-0005-0000-0000-00002B060000}"/>
    <cellStyle name="Calculation 2 2 2 5 4 2" xfId="5004" xr:uid="{00000000-0005-0000-0000-00002C060000}"/>
    <cellStyle name="Calculation 2 2 2 5 4 2 2" xfId="5005" xr:uid="{00000000-0005-0000-0000-00002D060000}"/>
    <cellStyle name="Calculation 2 2 2 5 4 2 2 2" xfId="5006" xr:uid="{00000000-0005-0000-0000-00002E060000}"/>
    <cellStyle name="Calculation 2 2 2 5 4 2 2 3" xfId="5007" xr:uid="{00000000-0005-0000-0000-00002F060000}"/>
    <cellStyle name="Calculation 2 2 2 5 4 2 3" xfId="5008" xr:uid="{00000000-0005-0000-0000-000030060000}"/>
    <cellStyle name="Calculation 2 2 2 5 4 2 3 2" xfId="5009" xr:uid="{00000000-0005-0000-0000-000031060000}"/>
    <cellStyle name="Calculation 2 2 2 5 4 2 3 3" xfId="5010" xr:uid="{00000000-0005-0000-0000-000032060000}"/>
    <cellStyle name="Calculation 2 2 2 5 4 2 4" xfId="5011" xr:uid="{00000000-0005-0000-0000-000033060000}"/>
    <cellStyle name="Calculation 2 2 2 5 4 2 4 2" xfId="5012" xr:uid="{00000000-0005-0000-0000-000034060000}"/>
    <cellStyle name="Calculation 2 2 2 5 4 2 4 3" xfId="5013" xr:uid="{00000000-0005-0000-0000-000035060000}"/>
    <cellStyle name="Calculation 2 2 2 5 4 2 5" xfId="5014" xr:uid="{00000000-0005-0000-0000-000036060000}"/>
    <cellStyle name="Calculation 2 2 2 5 4 2 5 2" xfId="5015" xr:uid="{00000000-0005-0000-0000-000037060000}"/>
    <cellStyle name="Calculation 2 2 2 5 4 2 5 3" xfId="5016" xr:uid="{00000000-0005-0000-0000-000038060000}"/>
    <cellStyle name="Calculation 2 2 2 5 4 2 6" xfId="5017" xr:uid="{00000000-0005-0000-0000-000039060000}"/>
    <cellStyle name="Calculation 2 2 2 5 4 2 6 2" xfId="5018" xr:uid="{00000000-0005-0000-0000-00003A060000}"/>
    <cellStyle name="Calculation 2 2 2 5 4 2 6 3" xfId="5019" xr:uid="{00000000-0005-0000-0000-00003B060000}"/>
    <cellStyle name="Calculation 2 2 2 5 4 2 7" xfId="5020" xr:uid="{00000000-0005-0000-0000-00003C060000}"/>
    <cellStyle name="Calculation 2 2 2 5 4 2 7 2" xfId="5021" xr:uid="{00000000-0005-0000-0000-00003D060000}"/>
    <cellStyle name="Calculation 2 2 2 5 4 2 7 3" xfId="5022" xr:uid="{00000000-0005-0000-0000-00003E060000}"/>
    <cellStyle name="Calculation 2 2 2 5 4 2 8" xfId="5023" xr:uid="{00000000-0005-0000-0000-00003F060000}"/>
    <cellStyle name="Calculation 2 2 2 5 4 2 9" xfId="5024" xr:uid="{00000000-0005-0000-0000-000040060000}"/>
    <cellStyle name="Calculation 2 2 2 5 4 3" xfId="5025" xr:uid="{00000000-0005-0000-0000-000041060000}"/>
    <cellStyle name="Calculation 2 2 2 5 4 3 2" xfId="5026" xr:uid="{00000000-0005-0000-0000-000042060000}"/>
    <cellStyle name="Calculation 2 2 2 5 4 3 3" xfId="5027" xr:uid="{00000000-0005-0000-0000-000043060000}"/>
    <cellStyle name="Calculation 2 2 2 5 4 4" xfId="5028" xr:uid="{00000000-0005-0000-0000-000044060000}"/>
    <cellStyle name="Calculation 2 2 2 5 4 4 2" xfId="5029" xr:uid="{00000000-0005-0000-0000-000045060000}"/>
    <cellStyle name="Calculation 2 2 2 5 4 4 3" xfId="5030" xr:uid="{00000000-0005-0000-0000-000046060000}"/>
    <cellStyle name="Calculation 2 2 2 5 4 5" xfId="5031" xr:uid="{00000000-0005-0000-0000-000047060000}"/>
    <cellStyle name="Calculation 2 2 2 5 4 5 2" xfId="5032" xr:uid="{00000000-0005-0000-0000-000048060000}"/>
    <cellStyle name="Calculation 2 2 2 5 4 5 3" xfId="5033" xr:uid="{00000000-0005-0000-0000-000049060000}"/>
    <cellStyle name="Calculation 2 2 2 5 4 6" xfId="5034" xr:uid="{00000000-0005-0000-0000-00004A060000}"/>
    <cellStyle name="Calculation 2 2 2 5 4 6 2" xfId="5035" xr:uid="{00000000-0005-0000-0000-00004B060000}"/>
    <cellStyle name="Calculation 2 2 2 5 4 6 3" xfId="5036" xr:uid="{00000000-0005-0000-0000-00004C060000}"/>
    <cellStyle name="Calculation 2 2 2 5 4 7" xfId="5037" xr:uid="{00000000-0005-0000-0000-00004D060000}"/>
    <cellStyle name="Calculation 2 2 2 5 4 7 2" xfId="5038" xr:uid="{00000000-0005-0000-0000-00004E060000}"/>
    <cellStyle name="Calculation 2 2 2 5 4 7 3" xfId="5039" xr:uid="{00000000-0005-0000-0000-00004F060000}"/>
    <cellStyle name="Calculation 2 2 2 5 4 8" xfId="5040" xr:uid="{00000000-0005-0000-0000-000050060000}"/>
    <cellStyle name="Calculation 2 2 2 5 4 8 2" xfId="5041" xr:uid="{00000000-0005-0000-0000-000051060000}"/>
    <cellStyle name="Calculation 2 2 2 5 4 8 3" xfId="5042" xr:uid="{00000000-0005-0000-0000-000052060000}"/>
    <cellStyle name="Calculation 2 2 2 5 4 9" xfId="5043" xr:uid="{00000000-0005-0000-0000-000053060000}"/>
    <cellStyle name="Calculation 2 2 2 5 5" xfId="5044" xr:uid="{00000000-0005-0000-0000-000054060000}"/>
    <cellStyle name="Calculation 2 2 2 5 5 2" xfId="5045" xr:uid="{00000000-0005-0000-0000-000055060000}"/>
    <cellStyle name="Calculation 2 2 2 5 5 2 2" xfId="5046" xr:uid="{00000000-0005-0000-0000-000056060000}"/>
    <cellStyle name="Calculation 2 2 2 5 5 2 3" xfId="5047" xr:uid="{00000000-0005-0000-0000-000057060000}"/>
    <cellStyle name="Calculation 2 2 2 5 5 3" xfId="5048" xr:uid="{00000000-0005-0000-0000-000058060000}"/>
    <cellStyle name="Calculation 2 2 2 5 5 3 2" xfId="5049" xr:uid="{00000000-0005-0000-0000-000059060000}"/>
    <cellStyle name="Calculation 2 2 2 5 5 3 3" xfId="5050" xr:uid="{00000000-0005-0000-0000-00005A060000}"/>
    <cellStyle name="Calculation 2 2 2 5 5 4" xfId="5051" xr:uid="{00000000-0005-0000-0000-00005B060000}"/>
    <cellStyle name="Calculation 2 2 2 5 5 4 2" xfId="5052" xr:uid="{00000000-0005-0000-0000-00005C060000}"/>
    <cellStyle name="Calculation 2 2 2 5 5 4 3" xfId="5053" xr:uid="{00000000-0005-0000-0000-00005D060000}"/>
    <cellStyle name="Calculation 2 2 2 5 5 5" xfId="5054" xr:uid="{00000000-0005-0000-0000-00005E060000}"/>
    <cellStyle name="Calculation 2 2 2 5 5 5 2" xfId="5055" xr:uid="{00000000-0005-0000-0000-00005F060000}"/>
    <cellStyle name="Calculation 2 2 2 5 5 5 3" xfId="5056" xr:uid="{00000000-0005-0000-0000-000060060000}"/>
    <cellStyle name="Calculation 2 2 2 5 5 6" xfId="5057" xr:uid="{00000000-0005-0000-0000-000061060000}"/>
    <cellStyle name="Calculation 2 2 2 5 5 6 2" xfId="5058" xr:uid="{00000000-0005-0000-0000-000062060000}"/>
    <cellStyle name="Calculation 2 2 2 5 5 6 3" xfId="5059" xr:uid="{00000000-0005-0000-0000-000063060000}"/>
    <cellStyle name="Calculation 2 2 2 5 5 7" xfId="5060" xr:uid="{00000000-0005-0000-0000-000064060000}"/>
    <cellStyle name="Calculation 2 2 2 5 5 7 2" xfId="5061" xr:uid="{00000000-0005-0000-0000-000065060000}"/>
    <cellStyle name="Calculation 2 2 2 5 5 7 3" xfId="5062" xr:uid="{00000000-0005-0000-0000-000066060000}"/>
    <cellStyle name="Calculation 2 2 2 5 5 8" xfId="5063" xr:uid="{00000000-0005-0000-0000-000067060000}"/>
    <cellStyle name="Calculation 2 2 2 5 5 9" xfId="5064" xr:uid="{00000000-0005-0000-0000-000068060000}"/>
    <cellStyle name="Calculation 2 2 2 5 6" xfId="5065" xr:uid="{00000000-0005-0000-0000-000069060000}"/>
    <cellStyle name="Calculation 2 2 2 5 6 2" xfId="5066" xr:uid="{00000000-0005-0000-0000-00006A060000}"/>
    <cellStyle name="Calculation 2 2 2 5 6 3" xfId="5067" xr:uid="{00000000-0005-0000-0000-00006B060000}"/>
    <cellStyle name="Calculation 2 2 2 5 7" xfId="5068" xr:uid="{00000000-0005-0000-0000-00006C060000}"/>
    <cellStyle name="Calculation 2 2 2 5 7 2" xfId="5069" xr:uid="{00000000-0005-0000-0000-00006D060000}"/>
    <cellStyle name="Calculation 2 2 2 5 7 3" xfId="5070" xr:uid="{00000000-0005-0000-0000-00006E060000}"/>
    <cellStyle name="Calculation 2 2 2 5 8" xfId="5071" xr:uid="{00000000-0005-0000-0000-00006F060000}"/>
    <cellStyle name="Calculation 2 2 2 5 8 2" xfId="5072" xr:uid="{00000000-0005-0000-0000-000070060000}"/>
    <cellStyle name="Calculation 2 2 2 5 8 3" xfId="5073" xr:uid="{00000000-0005-0000-0000-000071060000}"/>
    <cellStyle name="Calculation 2 2 2 5 9" xfId="5074" xr:uid="{00000000-0005-0000-0000-000072060000}"/>
    <cellStyle name="Calculation 2 2 2 5 9 2" xfId="5075" xr:uid="{00000000-0005-0000-0000-000073060000}"/>
    <cellStyle name="Calculation 2 2 2 5 9 3" xfId="5076" xr:uid="{00000000-0005-0000-0000-000074060000}"/>
    <cellStyle name="Calculation 2 2 2 6" xfId="5077" xr:uid="{00000000-0005-0000-0000-000075060000}"/>
    <cellStyle name="Calculation 2 2 2 6 10" xfId="5078" xr:uid="{00000000-0005-0000-0000-000076060000}"/>
    <cellStyle name="Calculation 2 2 2 6 2" xfId="5079" xr:uid="{00000000-0005-0000-0000-000077060000}"/>
    <cellStyle name="Calculation 2 2 2 6 2 2" xfId="5080" xr:uid="{00000000-0005-0000-0000-000078060000}"/>
    <cellStyle name="Calculation 2 2 2 6 2 2 2" xfId="5081" xr:uid="{00000000-0005-0000-0000-000079060000}"/>
    <cellStyle name="Calculation 2 2 2 6 2 2 3" xfId="5082" xr:uid="{00000000-0005-0000-0000-00007A060000}"/>
    <cellStyle name="Calculation 2 2 2 6 2 3" xfId="5083" xr:uid="{00000000-0005-0000-0000-00007B060000}"/>
    <cellStyle name="Calculation 2 2 2 6 2 3 2" xfId="5084" xr:uid="{00000000-0005-0000-0000-00007C060000}"/>
    <cellStyle name="Calculation 2 2 2 6 2 3 3" xfId="5085" xr:uid="{00000000-0005-0000-0000-00007D060000}"/>
    <cellStyle name="Calculation 2 2 2 6 2 4" xfId="5086" xr:uid="{00000000-0005-0000-0000-00007E060000}"/>
    <cellStyle name="Calculation 2 2 2 6 2 4 2" xfId="5087" xr:uid="{00000000-0005-0000-0000-00007F060000}"/>
    <cellStyle name="Calculation 2 2 2 6 2 4 3" xfId="5088" xr:uid="{00000000-0005-0000-0000-000080060000}"/>
    <cellStyle name="Calculation 2 2 2 6 2 5" xfId="5089" xr:uid="{00000000-0005-0000-0000-000081060000}"/>
    <cellStyle name="Calculation 2 2 2 6 2 5 2" xfId="5090" xr:uid="{00000000-0005-0000-0000-000082060000}"/>
    <cellStyle name="Calculation 2 2 2 6 2 5 3" xfId="5091" xr:uid="{00000000-0005-0000-0000-000083060000}"/>
    <cellStyle name="Calculation 2 2 2 6 2 6" xfId="5092" xr:uid="{00000000-0005-0000-0000-000084060000}"/>
    <cellStyle name="Calculation 2 2 2 6 2 6 2" xfId="5093" xr:uid="{00000000-0005-0000-0000-000085060000}"/>
    <cellStyle name="Calculation 2 2 2 6 2 6 3" xfId="5094" xr:uid="{00000000-0005-0000-0000-000086060000}"/>
    <cellStyle name="Calculation 2 2 2 6 2 7" xfId="5095" xr:uid="{00000000-0005-0000-0000-000087060000}"/>
    <cellStyle name="Calculation 2 2 2 6 2 7 2" xfId="5096" xr:uid="{00000000-0005-0000-0000-000088060000}"/>
    <cellStyle name="Calculation 2 2 2 6 2 7 3" xfId="5097" xr:uid="{00000000-0005-0000-0000-000089060000}"/>
    <cellStyle name="Calculation 2 2 2 6 2 8" xfId="5098" xr:uid="{00000000-0005-0000-0000-00008A060000}"/>
    <cellStyle name="Calculation 2 2 2 6 2 9" xfId="5099" xr:uid="{00000000-0005-0000-0000-00008B060000}"/>
    <cellStyle name="Calculation 2 2 2 6 3" xfId="5100" xr:uid="{00000000-0005-0000-0000-00008C060000}"/>
    <cellStyle name="Calculation 2 2 2 6 3 2" xfId="5101" xr:uid="{00000000-0005-0000-0000-00008D060000}"/>
    <cellStyle name="Calculation 2 2 2 6 3 3" xfId="5102" xr:uid="{00000000-0005-0000-0000-00008E060000}"/>
    <cellStyle name="Calculation 2 2 2 6 4" xfId="5103" xr:uid="{00000000-0005-0000-0000-00008F060000}"/>
    <cellStyle name="Calculation 2 2 2 6 4 2" xfId="5104" xr:uid="{00000000-0005-0000-0000-000090060000}"/>
    <cellStyle name="Calculation 2 2 2 6 4 3" xfId="5105" xr:uid="{00000000-0005-0000-0000-000091060000}"/>
    <cellStyle name="Calculation 2 2 2 6 5" xfId="5106" xr:uid="{00000000-0005-0000-0000-000092060000}"/>
    <cellStyle name="Calculation 2 2 2 6 5 2" xfId="5107" xr:uid="{00000000-0005-0000-0000-000093060000}"/>
    <cellStyle name="Calculation 2 2 2 6 5 3" xfId="5108" xr:uid="{00000000-0005-0000-0000-000094060000}"/>
    <cellStyle name="Calculation 2 2 2 6 6" xfId="5109" xr:uid="{00000000-0005-0000-0000-000095060000}"/>
    <cellStyle name="Calculation 2 2 2 6 6 2" xfId="5110" xr:uid="{00000000-0005-0000-0000-000096060000}"/>
    <cellStyle name="Calculation 2 2 2 6 6 3" xfId="5111" xr:uid="{00000000-0005-0000-0000-000097060000}"/>
    <cellStyle name="Calculation 2 2 2 6 7" xfId="5112" xr:uid="{00000000-0005-0000-0000-000098060000}"/>
    <cellStyle name="Calculation 2 2 2 6 7 2" xfId="5113" xr:uid="{00000000-0005-0000-0000-000099060000}"/>
    <cellStyle name="Calculation 2 2 2 6 7 3" xfId="5114" xr:uid="{00000000-0005-0000-0000-00009A060000}"/>
    <cellStyle name="Calculation 2 2 2 6 8" xfId="5115" xr:uid="{00000000-0005-0000-0000-00009B060000}"/>
    <cellStyle name="Calculation 2 2 2 6 8 2" xfId="5116" xr:uid="{00000000-0005-0000-0000-00009C060000}"/>
    <cellStyle name="Calculation 2 2 2 6 8 3" xfId="5117" xr:uid="{00000000-0005-0000-0000-00009D060000}"/>
    <cellStyle name="Calculation 2 2 2 6 9" xfId="5118" xr:uid="{00000000-0005-0000-0000-00009E060000}"/>
    <cellStyle name="Calculation 2 2 2 7" xfId="5119" xr:uid="{00000000-0005-0000-0000-00009F060000}"/>
    <cellStyle name="Calculation 2 2 2 7 10" xfId="5120" xr:uid="{00000000-0005-0000-0000-0000A0060000}"/>
    <cellStyle name="Calculation 2 2 2 7 2" xfId="5121" xr:uid="{00000000-0005-0000-0000-0000A1060000}"/>
    <cellStyle name="Calculation 2 2 2 7 2 2" xfId="5122" xr:uid="{00000000-0005-0000-0000-0000A2060000}"/>
    <cellStyle name="Calculation 2 2 2 7 2 2 2" xfId="5123" xr:uid="{00000000-0005-0000-0000-0000A3060000}"/>
    <cellStyle name="Calculation 2 2 2 7 2 2 3" xfId="5124" xr:uid="{00000000-0005-0000-0000-0000A4060000}"/>
    <cellStyle name="Calculation 2 2 2 7 2 3" xfId="5125" xr:uid="{00000000-0005-0000-0000-0000A5060000}"/>
    <cellStyle name="Calculation 2 2 2 7 2 3 2" xfId="5126" xr:uid="{00000000-0005-0000-0000-0000A6060000}"/>
    <cellStyle name="Calculation 2 2 2 7 2 3 3" xfId="5127" xr:uid="{00000000-0005-0000-0000-0000A7060000}"/>
    <cellStyle name="Calculation 2 2 2 7 2 4" xfId="5128" xr:uid="{00000000-0005-0000-0000-0000A8060000}"/>
    <cellStyle name="Calculation 2 2 2 7 2 4 2" xfId="5129" xr:uid="{00000000-0005-0000-0000-0000A9060000}"/>
    <cellStyle name="Calculation 2 2 2 7 2 4 3" xfId="5130" xr:uid="{00000000-0005-0000-0000-0000AA060000}"/>
    <cellStyle name="Calculation 2 2 2 7 2 5" xfId="5131" xr:uid="{00000000-0005-0000-0000-0000AB060000}"/>
    <cellStyle name="Calculation 2 2 2 7 2 5 2" xfId="5132" xr:uid="{00000000-0005-0000-0000-0000AC060000}"/>
    <cellStyle name="Calculation 2 2 2 7 2 5 3" xfId="5133" xr:uid="{00000000-0005-0000-0000-0000AD060000}"/>
    <cellStyle name="Calculation 2 2 2 7 2 6" xfId="5134" xr:uid="{00000000-0005-0000-0000-0000AE060000}"/>
    <cellStyle name="Calculation 2 2 2 7 2 6 2" xfId="5135" xr:uid="{00000000-0005-0000-0000-0000AF060000}"/>
    <cellStyle name="Calculation 2 2 2 7 2 6 3" xfId="5136" xr:uid="{00000000-0005-0000-0000-0000B0060000}"/>
    <cellStyle name="Calculation 2 2 2 7 2 7" xfId="5137" xr:uid="{00000000-0005-0000-0000-0000B1060000}"/>
    <cellStyle name="Calculation 2 2 2 7 2 7 2" xfId="5138" xr:uid="{00000000-0005-0000-0000-0000B2060000}"/>
    <cellStyle name="Calculation 2 2 2 7 2 7 3" xfId="5139" xr:uid="{00000000-0005-0000-0000-0000B3060000}"/>
    <cellStyle name="Calculation 2 2 2 7 2 8" xfId="5140" xr:uid="{00000000-0005-0000-0000-0000B4060000}"/>
    <cellStyle name="Calculation 2 2 2 7 2 9" xfId="5141" xr:uid="{00000000-0005-0000-0000-0000B5060000}"/>
    <cellStyle name="Calculation 2 2 2 7 3" xfId="5142" xr:uid="{00000000-0005-0000-0000-0000B6060000}"/>
    <cellStyle name="Calculation 2 2 2 7 3 2" xfId="5143" xr:uid="{00000000-0005-0000-0000-0000B7060000}"/>
    <cellStyle name="Calculation 2 2 2 7 3 3" xfId="5144" xr:uid="{00000000-0005-0000-0000-0000B8060000}"/>
    <cellStyle name="Calculation 2 2 2 7 4" xfId="5145" xr:uid="{00000000-0005-0000-0000-0000B9060000}"/>
    <cellStyle name="Calculation 2 2 2 7 4 2" xfId="5146" xr:uid="{00000000-0005-0000-0000-0000BA060000}"/>
    <cellStyle name="Calculation 2 2 2 7 4 3" xfId="5147" xr:uid="{00000000-0005-0000-0000-0000BB060000}"/>
    <cellStyle name="Calculation 2 2 2 7 5" xfId="5148" xr:uid="{00000000-0005-0000-0000-0000BC060000}"/>
    <cellStyle name="Calculation 2 2 2 7 5 2" xfId="5149" xr:uid="{00000000-0005-0000-0000-0000BD060000}"/>
    <cellStyle name="Calculation 2 2 2 7 5 3" xfId="5150" xr:uid="{00000000-0005-0000-0000-0000BE060000}"/>
    <cellStyle name="Calculation 2 2 2 7 6" xfId="5151" xr:uid="{00000000-0005-0000-0000-0000BF060000}"/>
    <cellStyle name="Calculation 2 2 2 7 6 2" xfId="5152" xr:uid="{00000000-0005-0000-0000-0000C0060000}"/>
    <cellStyle name="Calculation 2 2 2 7 6 3" xfId="5153" xr:uid="{00000000-0005-0000-0000-0000C1060000}"/>
    <cellStyle name="Calculation 2 2 2 7 7" xfId="5154" xr:uid="{00000000-0005-0000-0000-0000C2060000}"/>
    <cellStyle name="Calculation 2 2 2 7 7 2" xfId="5155" xr:uid="{00000000-0005-0000-0000-0000C3060000}"/>
    <cellStyle name="Calculation 2 2 2 7 7 3" xfId="5156" xr:uid="{00000000-0005-0000-0000-0000C4060000}"/>
    <cellStyle name="Calculation 2 2 2 7 8" xfId="5157" xr:uid="{00000000-0005-0000-0000-0000C5060000}"/>
    <cellStyle name="Calculation 2 2 2 7 8 2" xfId="5158" xr:uid="{00000000-0005-0000-0000-0000C6060000}"/>
    <cellStyle name="Calculation 2 2 2 7 8 3" xfId="5159" xr:uid="{00000000-0005-0000-0000-0000C7060000}"/>
    <cellStyle name="Calculation 2 2 2 7 9" xfId="5160" xr:uid="{00000000-0005-0000-0000-0000C8060000}"/>
    <cellStyle name="Calculation 2 2 2 8" xfId="5161" xr:uid="{00000000-0005-0000-0000-0000C9060000}"/>
    <cellStyle name="Calculation 2 2 2 8 10" xfId="5162" xr:uid="{00000000-0005-0000-0000-0000CA060000}"/>
    <cellStyle name="Calculation 2 2 2 8 2" xfId="5163" xr:uid="{00000000-0005-0000-0000-0000CB060000}"/>
    <cellStyle name="Calculation 2 2 2 8 2 2" xfId="5164" xr:uid="{00000000-0005-0000-0000-0000CC060000}"/>
    <cellStyle name="Calculation 2 2 2 8 2 2 2" xfId="5165" xr:uid="{00000000-0005-0000-0000-0000CD060000}"/>
    <cellStyle name="Calculation 2 2 2 8 2 2 3" xfId="5166" xr:uid="{00000000-0005-0000-0000-0000CE060000}"/>
    <cellStyle name="Calculation 2 2 2 8 2 3" xfId="5167" xr:uid="{00000000-0005-0000-0000-0000CF060000}"/>
    <cellStyle name="Calculation 2 2 2 8 2 3 2" xfId="5168" xr:uid="{00000000-0005-0000-0000-0000D0060000}"/>
    <cellStyle name="Calculation 2 2 2 8 2 3 3" xfId="5169" xr:uid="{00000000-0005-0000-0000-0000D1060000}"/>
    <cellStyle name="Calculation 2 2 2 8 2 4" xfId="5170" xr:uid="{00000000-0005-0000-0000-0000D2060000}"/>
    <cellStyle name="Calculation 2 2 2 8 2 4 2" xfId="5171" xr:uid="{00000000-0005-0000-0000-0000D3060000}"/>
    <cellStyle name="Calculation 2 2 2 8 2 4 3" xfId="5172" xr:uid="{00000000-0005-0000-0000-0000D4060000}"/>
    <cellStyle name="Calculation 2 2 2 8 2 5" xfId="5173" xr:uid="{00000000-0005-0000-0000-0000D5060000}"/>
    <cellStyle name="Calculation 2 2 2 8 2 5 2" xfId="5174" xr:uid="{00000000-0005-0000-0000-0000D6060000}"/>
    <cellStyle name="Calculation 2 2 2 8 2 5 3" xfId="5175" xr:uid="{00000000-0005-0000-0000-0000D7060000}"/>
    <cellStyle name="Calculation 2 2 2 8 2 6" xfId="5176" xr:uid="{00000000-0005-0000-0000-0000D8060000}"/>
    <cellStyle name="Calculation 2 2 2 8 2 6 2" xfId="5177" xr:uid="{00000000-0005-0000-0000-0000D9060000}"/>
    <cellStyle name="Calculation 2 2 2 8 2 6 3" xfId="5178" xr:uid="{00000000-0005-0000-0000-0000DA060000}"/>
    <cellStyle name="Calculation 2 2 2 8 2 7" xfId="5179" xr:uid="{00000000-0005-0000-0000-0000DB060000}"/>
    <cellStyle name="Calculation 2 2 2 8 2 7 2" xfId="5180" xr:uid="{00000000-0005-0000-0000-0000DC060000}"/>
    <cellStyle name="Calculation 2 2 2 8 2 7 3" xfId="5181" xr:uid="{00000000-0005-0000-0000-0000DD060000}"/>
    <cellStyle name="Calculation 2 2 2 8 2 8" xfId="5182" xr:uid="{00000000-0005-0000-0000-0000DE060000}"/>
    <cellStyle name="Calculation 2 2 2 8 2 9" xfId="5183" xr:uid="{00000000-0005-0000-0000-0000DF060000}"/>
    <cellStyle name="Calculation 2 2 2 8 3" xfId="5184" xr:uid="{00000000-0005-0000-0000-0000E0060000}"/>
    <cellStyle name="Calculation 2 2 2 8 3 2" xfId="5185" xr:uid="{00000000-0005-0000-0000-0000E1060000}"/>
    <cellStyle name="Calculation 2 2 2 8 3 3" xfId="5186" xr:uid="{00000000-0005-0000-0000-0000E2060000}"/>
    <cellStyle name="Calculation 2 2 2 8 4" xfId="5187" xr:uid="{00000000-0005-0000-0000-0000E3060000}"/>
    <cellStyle name="Calculation 2 2 2 8 4 2" xfId="5188" xr:uid="{00000000-0005-0000-0000-0000E4060000}"/>
    <cellStyle name="Calculation 2 2 2 8 4 3" xfId="5189" xr:uid="{00000000-0005-0000-0000-0000E5060000}"/>
    <cellStyle name="Calculation 2 2 2 8 5" xfId="5190" xr:uid="{00000000-0005-0000-0000-0000E6060000}"/>
    <cellStyle name="Calculation 2 2 2 8 5 2" xfId="5191" xr:uid="{00000000-0005-0000-0000-0000E7060000}"/>
    <cellStyle name="Calculation 2 2 2 8 5 3" xfId="5192" xr:uid="{00000000-0005-0000-0000-0000E8060000}"/>
    <cellStyle name="Calculation 2 2 2 8 6" xfId="5193" xr:uid="{00000000-0005-0000-0000-0000E9060000}"/>
    <cellStyle name="Calculation 2 2 2 8 6 2" xfId="5194" xr:uid="{00000000-0005-0000-0000-0000EA060000}"/>
    <cellStyle name="Calculation 2 2 2 8 6 3" xfId="5195" xr:uid="{00000000-0005-0000-0000-0000EB060000}"/>
    <cellStyle name="Calculation 2 2 2 8 7" xfId="5196" xr:uid="{00000000-0005-0000-0000-0000EC060000}"/>
    <cellStyle name="Calculation 2 2 2 8 7 2" xfId="5197" xr:uid="{00000000-0005-0000-0000-0000ED060000}"/>
    <cellStyle name="Calculation 2 2 2 8 7 3" xfId="5198" xr:uid="{00000000-0005-0000-0000-0000EE060000}"/>
    <cellStyle name="Calculation 2 2 2 8 8" xfId="5199" xr:uid="{00000000-0005-0000-0000-0000EF060000}"/>
    <cellStyle name="Calculation 2 2 2 8 8 2" xfId="5200" xr:uid="{00000000-0005-0000-0000-0000F0060000}"/>
    <cellStyle name="Calculation 2 2 2 8 8 3" xfId="5201" xr:uid="{00000000-0005-0000-0000-0000F1060000}"/>
    <cellStyle name="Calculation 2 2 2 8 9" xfId="5202" xr:uid="{00000000-0005-0000-0000-0000F2060000}"/>
    <cellStyle name="Calculation 2 2 2 9" xfId="5203" xr:uid="{00000000-0005-0000-0000-0000F3060000}"/>
    <cellStyle name="Calculation 2 2 2 9 2" xfId="5204" xr:uid="{00000000-0005-0000-0000-0000F4060000}"/>
    <cellStyle name="Calculation 2 2 2 9 2 2" xfId="5205" xr:uid="{00000000-0005-0000-0000-0000F5060000}"/>
    <cellStyle name="Calculation 2 2 2 9 2 3" xfId="5206" xr:uid="{00000000-0005-0000-0000-0000F6060000}"/>
    <cellStyle name="Calculation 2 2 2 9 3" xfId="5207" xr:uid="{00000000-0005-0000-0000-0000F7060000}"/>
    <cellStyle name="Calculation 2 2 2 9 3 2" xfId="5208" xr:uid="{00000000-0005-0000-0000-0000F8060000}"/>
    <cellStyle name="Calculation 2 2 2 9 3 3" xfId="5209" xr:uid="{00000000-0005-0000-0000-0000F9060000}"/>
    <cellStyle name="Calculation 2 2 2 9 4" xfId="5210" xr:uid="{00000000-0005-0000-0000-0000FA060000}"/>
    <cellStyle name="Calculation 2 2 2 9 4 2" xfId="5211" xr:uid="{00000000-0005-0000-0000-0000FB060000}"/>
    <cellStyle name="Calculation 2 2 2 9 4 3" xfId="5212" xr:uid="{00000000-0005-0000-0000-0000FC060000}"/>
    <cellStyle name="Calculation 2 2 2 9 5" xfId="5213" xr:uid="{00000000-0005-0000-0000-0000FD060000}"/>
    <cellStyle name="Calculation 2 2 2 9 5 2" xfId="5214" xr:uid="{00000000-0005-0000-0000-0000FE060000}"/>
    <cellStyle name="Calculation 2 2 2 9 5 3" xfId="5215" xr:uid="{00000000-0005-0000-0000-0000FF060000}"/>
    <cellStyle name="Calculation 2 2 2 9 6" xfId="5216" xr:uid="{00000000-0005-0000-0000-000000070000}"/>
    <cellStyle name="Calculation 2 2 2 9 6 2" xfId="5217" xr:uid="{00000000-0005-0000-0000-000001070000}"/>
    <cellStyle name="Calculation 2 2 2 9 6 3" xfId="5218" xr:uid="{00000000-0005-0000-0000-000002070000}"/>
    <cellStyle name="Calculation 2 2 2 9 7" xfId="5219" xr:uid="{00000000-0005-0000-0000-000003070000}"/>
    <cellStyle name="Calculation 2 2 2 9 7 2" xfId="5220" xr:uid="{00000000-0005-0000-0000-000004070000}"/>
    <cellStyle name="Calculation 2 2 2 9 7 3" xfId="5221" xr:uid="{00000000-0005-0000-0000-000005070000}"/>
    <cellStyle name="Calculation 2 2 2 9 8" xfId="5222" xr:uid="{00000000-0005-0000-0000-000006070000}"/>
    <cellStyle name="Calculation 2 2 2 9 9" xfId="5223" xr:uid="{00000000-0005-0000-0000-000007070000}"/>
    <cellStyle name="Calculation 2 2 3" xfId="5224" xr:uid="{00000000-0005-0000-0000-000008070000}"/>
    <cellStyle name="Calculation 2 2 3 10" xfId="5225" xr:uid="{00000000-0005-0000-0000-000009070000}"/>
    <cellStyle name="Calculation 2 2 3 10 2" xfId="5226" xr:uid="{00000000-0005-0000-0000-00000A070000}"/>
    <cellStyle name="Calculation 2 2 3 10 3" xfId="5227" xr:uid="{00000000-0005-0000-0000-00000B070000}"/>
    <cellStyle name="Calculation 2 2 3 11" xfId="5228" xr:uid="{00000000-0005-0000-0000-00000C070000}"/>
    <cellStyle name="Calculation 2 2 3 11 2" xfId="5229" xr:uid="{00000000-0005-0000-0000-00000D070000}"/>
    <cellStyle name="Calculation 2 2 3 11 3" xfId="5230" xr:uid="{00000000-0005-0000-0000-00000E070000}"/>
    <cellStyle name="Calculation 2 2 3 12" xfId="5231" xr:uid="{00000000-0005-0000-0000-00000F070000}"/>
    <cellStyle name="Calculation 2 2 3 12 2" xfId="5232" xr:uid="{00000000-0005-0000-0000-000010070000}"/>
    <cellStyle name="Calculation 2 2 3 12 3" xfId="5233" xr:uid="{00000000-0005-0000-0000-000011070000}"/>
    <cellStyle name="Calculation 2 2 3 13" xfId="5234" xr:uid="{00000000-0005-0000-0000-000012070000}"/>
    <cellStyle name="Calculation 2 2 3 13 2" xfId="5235" xr:uid="{00000000-0005-0000-0000-000013070000}"/>
    <cellStyle name="Calculation 2 2 3 13 3" xfId="5236" xr:uid="{00000000-0005-0000-0000-000014070000}"/>
    <cellStyle name="Calculation 2 2 3 14" xfId="43972" xr:uid="{00000000-0005-0000-0000-000015070000}"/>
    <cellStyle name="Calculation 2 2 3 2" xfId="5237" xr:uid="{00000000-0005-0000-0000-000016070000}"/>
    <cellStyle name="Calculation 2 2 3 2 10" xfId="43973" xr:uid="{00000000-0005-0000-0000-000017070000}"/>
    <cellStyle name="Calculation 2 2 3 2 2" xfId="5238" xr:uid="{00000000-0005-0000-0000-000018070000}"/>
    <cellStyle name="Calculation 2 2 3 2 2 10" xfId="5239" xr:uid="{00000000-0005-0000-0000-000019070000}"/>
    <cellStyle name="Calculation 2 2 3 2 2 2" xfId="5240" xr:uid="{00000000-0005-0000-0000-00001A070000}"/>
    <cellStyle name="Calculation 2 2 3 2 2 2 2" xfId="5241" xr:uid="{00000000-0005-0000-0000-00001B070000}"/>
    <cellStyle name="Calculation 2 2 3 2 2 2 2 2" xfId="5242" xr:uid="{00000000-0005-0000-0000-00001C070000}"/>
    <cellStyle name="Calculation 2 2 3 2 2 2 2 3" xfId="5243" xr:uid="{00000000-0005-0000-0000-00001D070000}"/>
    <cellStyle name="Calculation 2 2 3 2 2 2 3" xfId="5244" xr:uid="{00000000-0005-0000-0000-00001E070000}"/>
    <cellStyle name="Calculation 2 2 3 2 2 2 3 2" xfId="5245" xr:uid="{00000000-0005-0000-0000-00001F070000}"/>
    <cellStyle name="Calculation 2 2 3 2 2 2 3 3" xfId="5246" xr:uid="{00000000-0005-0000-0000-000020070000}"/>
    <cellStyle name="Calculation 2 2 3 2 2 2 4" xfId="5247" xr:uid="{00000000-0005-0000-0000-000021070000}"/>
    <cellStyle name="Calculation 2 2 3 2 2 2 4 2" xfId="5248" xr:uid="{00000000-0005-0000-0000-000022070000}"/>
    <cellStyle name="Calculation 2 2 3 2 2 2 4 3" xfId="5249" xr:uid="{00000000-0005-0000-0000-000023070000}"/>
    <cellStyle name="Calculation 2 2 3 2 2 2 5" xfId="5250" xr:uid="{00000000-0005-0000-0000-000024070000}"/>
    <cellStyle name="Calculation 2 2 3 2 2 2 5 2" xfId="5251" xr:uid="{00000000-0005-0000-0000-000025070000}"/>
    <cellStyle name="Calculation 2 2 3 2 2 2 5 3" xfId="5252" xr:uid="{00000000-0005-0000-0000-000026070000}"/>
    <cellStyle name="Calculation 2 2 3 2 2 2 6" xfId="5253" xr:uid="{00000000-0005-0000-0000-000027070000}"/>
    <cellStyle name="Calculation 2 2 3 2 2 2 6 2" xfId="5254" xr:uid="{00000000-0005-0000-0000-000028070000}"/>
    <cellStyle name="Calculation 2 2 3 2 2 2 6 3" xfId="5255" xr:uid="{00000000-0005-0000-0000-000029070000}"/>
    <cellStyle name="Calculation 2 2 3 2 2 2 7" xfId="5256" xr:uid="{00000000-0005-0000-0000-00002A070000}"/>
    <cellStyle name="Calculation 2 2 3 2 2 2 7 2" xfId="5257" xr:uid="{00000000-0005-0000-0000-00002B070000}"/>
    <cellStyle name="Calculation 2 2 3 2 2 2 7 3" xfId="5258" xr:uid="{00000000-0005-0000-0000-00002C070000}"/>
    <cellStyle name="Calculation 2 2 3 2 2 2 8" xfId="5259" xr:uid="{00000000-0005-0000-0000-00002D070000}"/>
    <cellStyle name="Calculation 2 2 3 2 2 2 9" xfId="5260" xr:uid="{00000000-0005-0000-0000-00002E070000}"/>
    <cellStyle name="Calculation 2 2 3 2 2 3" xfId="5261" xr:uid="{00000000-0005-0000-0000-00002F070000}"/>
    <cellStyle name="Calculation 2 2 3 2 2 3 2" xfId="5262" xr:uid="{00000000-0005-0000-0000-000030070000}"/>
    <cellStyle name="Calculation 2 2 3 2 2 3 3" xfId="5263" xr:uid="{00000000-0005-0000-0000-000031070000}"/>
    <cellStyle name="Calculation 2 2 3 2 2 4" xfId="5264" xr:uid="{00000000-0005-0000-0000-000032070000}"/>
    <cellStyle name="Calculation 2 2 3 2 2 4 2" xfId="5265" xr:uid="{00000000-0005-0000-0000-000033070000}"/>
    <cellStyle name="Calculation 2 2 3 2 2 4 3" xfId="5266" xr:uid="{00000000-0005-0000-0000-000034070000}"/>
    <cellStyle name="Calculation 2 2 3 2 2 5" xfId="5267" xr:uid="{00000000-0005-0000-0000-000035070000}"/>
    <cellStyle name="Calculation 2 2 3 2 2 5 2" xfId="5268" xr:uid="{00000000-0005-0000-0000-000036070000}"/>
    <cellStyle name="Calculation 2 2 3 2 2 5 3" xfId="5269" xr:uid="{00000000-0005-0000-0000-000037070000}"/>
    <cellStyle name="Calculation 2 2 3 2 2 6" xfId="5270" xr:uid="{00000000-0005-0000-0000-000038070000}"/>
    <cellStyle name="Calculation 2 2 3 2 2 6 2" xfId="5271" xr:uid="{00000000-0005-0000-0000-000039070000}"/>
    <cellStyle name="Calculation 2 2 3 2 2 6 3" xfId="5272" xr:uid="{00000000-0005-0000-0000-00003A070000}"/>
    <cellStyle name="Calculation 2 2 3 2 2 7" xfId="5273" xr:uid="{00000000-0005-0000-0000-00003B070000}"/>
    <cellStyle name="Calculation 2 2 3 2 2 7 2" xfId="5274" xr:uid="{00000000-0005-0000-0000-00003C070000}"/>
    <cellStyle name="Calculation 2 2 3 2 2 7 3" xfId="5275" xr:uid="{00000000-0005-0000-0000-00003D070000}"/>
    <cellStyle name="Calculation 2 2 3 2 2 8" xfId="5276" xr:uid="{00000000-0005-0000-0000-00003E070000}"/>
    <cellStyle name="Calculation 2 2 3 2 2 8 2" xfId="5277" xr:uid="{00000000-0005-0000-0000-00003F070000}"/>
    <cellStyle name="Calculation 2 2 3 2 2 8 3" xfId="5278" xr:uid="{00000000-0005-0000-0000-000040070000}"/>
    <cellStyle name="Calculation 2 2 3 2 2 9" xfId="5279" xr:uid="{00000000-0005-0000-0000-000041070000}"/>
    <cellStyle name="Calculation 2 2 3 2 3" xfId="5280" xr:uid="{00000000-0005-0000-0000-000042070000}"/>
    <cellStyle name="Calculation 2 2 3 2 3 10" xfId="5281" xr:uid="{00000000-0005-0000-0000-000043070000}"/>
    <cellStyle name="Calculation 2 2 3 2 3 2" xfId="5282" xr:uid="{00000000-0005-0000-0000-000044070000}"/>
    <cellStyle name="Calculation 2 2 3 2 3 2 2" xfId="5283" xr:uid="{00000000-0005-0000-0000-000045070000}"/>
    <cellStyle name="Calculation 2 2 3 2 3 2 2 2" xfId="5284" xr:uid="{00000000-0005-0000-0000-000046070000}"/>
    <cellStyle name="Calculation 2 2 3 2 3 2 2 3" xfId="5285" xr:uid="{00000000-0005-0000-0000-000047070000}"/>
    <cellStyle name="Calculation 2 2 3 2 3 2 3" xfId="5286" xr:uid="{00000000-0005-0000-0000-000048070000}"/>
    <cellStyle name="Calculation 2 2 3 2 3 2 3 2" xfId="5287" xr:uid="{00000000-0005-0000-0000-000049070000}"/>
    <cellStyle name="Calculation 2 2 3 2 3 2 3 3" xfId="5288" xr:uid="{00000000-0005-0000-0000-00004A070000}"/>
    <cellStyle name="Calculation 2 2 3 2 3 2 4" xfId="5289" xr:uid="{00000000-0005-0000-0000-00004B070000}"/>
    <cellStyle name="Calculation 2 2 3 2 3 2 4 2" xfId="5290" xr:uid="{00000000-0005-0000-0000-00004C070000}"/>
    <cellStyle name="Calculation 2 2 3 2 3 2 4 3" xfId="5291" xr:uid="{00000000-0005-0000-0000-00004D070000}"/>
    <cellStyle name="Calculation 2 2 3 2 3 2 5" xfId="5292" xr:uid="{00000000-0005-0000-0000-00004E070000}"/>
    <cellStyle name="Calculation 2 2 3 2 3 2 5 2" xfId="5293" xr:uid="{00000000-0005-0000-0000-00004F070000}"/>
    <cellStyle name="Calculation 2 2 3 2 3 2 5 3" xfId="5294" xr:uid="{00000000-0005-0000-0000-000050070000}"/>
    <cellStyle name="Calculation 2 2 3 2 3 2 6" xfId="5295" xr:uid="{00000000-0005-0000-0000-000051070000}"/>
    <cellStyle name="Calculation 2 2 3 2 3 2 6 2" xfId="5296" xr:uid="{00000000-0005-0000-0000-000052070000}"/>
    <cellStyle name="Calculation 2 2 3 2 3 2 6 3" xfId="5297" xr:uid="{00000000-0005-0000-0000-000053070000}"/>
    <cellStyle name="Calculation 2 2 3 2 3 2 7" xfId="5298" xr:uid="{00000000-0005-0000-0000-000054070000}"/>
    <cellStyle name="Calculation 2 2 3 2 3 2 7 2" xfId="5299" xr:uid="{00000000-0005-0000-0000-000055070000}"/>
    <cellStyle name="Calculation 2 2 3 2 3 2 7 3" xfId="5300" xr:uid="{00000000-0005-0000-0000-000056070000}"/>
    <cellStyle name="Calculation 2 2 3 2 3 2 8" xfId="5301" xr:uid="{00000000-0005-0000-0000-000057070000}"/>
    <cellStyle name="Calculation 2 2 3 2 3 2 9" xfId="5302" xr:uid="{00000000-0005-0000-0000-000058070000}"/>
    <cellStyle name="Calculation 2 2 3 2 3 3" xfId="5303" xr:uid="{00000000-0005-0000-0000-000059070000}"/>
    <cellStyle name="Calculation 2 2 3 2 3 3 2" xfId="5304" xr:uid="{00000000-0005-0000-0000-00005A070000}"/>
    <cellStyle name="Calculation 2 2 3 2 3 3 3" xfId="5305" xr:uid="{00000000-0005-0000-0000-00005B070000}"/>
    <cellStyle name="Calculation 2 2 3 2 3 4" xfId="5306" xr:uid="{00000000-0005-0000-0000-00005C070000}"/>
    <cellStyle name="Calculation 2 2 3 2 3 4 2" xfId="5307" xr:uid="{00000000-0005-0000-0000-00005D070000}"/>
    <cellStyle name="Calculation 2 2 3 2 3 4 3" xfId="5308" xr:uid="{00000000-0005-0000-0000-00005E070000}"/>
    <cellStyle name="Calculation 2 2 3 2 3 5" xfId="5309" xr:uid="{00000000-0005-0000-0000-00005F070000}"/>
    <cellStyle name="Calculation 2 2 3 2 3 5 2" xfId="5310" xr:uid="{00000000-0005-0000-0000-000060070000}"/>
    <cellStyle name="Calculation 2 2 3 2 3 5 3" xfId="5311" xr:uid="{00000000-0005-0000-0000-000061070000}"/>
    <cellStyle name="Calculation 2 2 3 2 3 6" xfId="5312" xr:uid="{00000000-0005-0000-0000-000062070000}"/>
    <cellStyle name="Calculation 2 2 3 2 3 6 2" xfId="5313" xr:uid="{00000000-0005-0000-0000-000063070000}"/>
    <cellStyle name="Calculation 2 2 3 2 3 6 3" xfId="5314" xr:uid="{00000000-0005-0000-0000-000064070000}"/>
    <cellStyle name="Calculation 2 2 3 2 3 7" xfId="5315" xr:uid="{00000000-0005-0000-0000-000065070000}"/>
    <cellStyle name="Calculation 2 2 3 2 3 7 2" xfId="5316" xr:uid="{00000000-0005-0000-0000-000066070000}"/>
    <cellStyle name="Calculation 2 2 3 2 3 7 3" xfId="5317" xr:uid="{00000000-0005-0000-0000-000067070000}"/>
    <cellStyle name="Calculation 2 2 3 2 3 8" xfId="5318" xr:uid="{00000000-0005-0000-0000-000068070000}"/>
    <cellStyle name="Calculation 2 2 3 2 3 8 2" xfId="5319" xr:uid="{00000000-0005-0000-0000-000069070000}"/>
    <cellStyle name="Calculation 2 2 3 2 3 8 3" xfId="5320" xr:uid="{00000000-0005-0000-0000-00006A070000}"/>
    <cellStyle name="Calculation 2 2 3 2 3 9" xfId="5321" xr:uid="{00000000-0005-0000-0000-00006B070000}"/>
    <cellStyle name="Calculation 2 2 3 2 4" xfId="5322" xr:uid="{00000000-0005-0000-0000-00006C070000}"/>
    <cellStyle name="Calculation 2 2 3 2 4 10" xfId="5323" xr:uid="{00000000-0005-0000-0000-00006D070000}"/>
    <cellStyle name="Calculation 2 2 3 2 4 2" xfId="5324" xr:uid="{00000000-0005-0000-0000-00006E070000}"/>
    <cellStyle name="Calculation 2 2 3 2 4 2 2" xfId="5325" xr:uid="{00000000-0005-0000-0000-00006F070000}"/>
    <cellStyle name="Calculation 2 2 3 2 4 2 2 2" xfId="5326" xr:uid="{00000000-0005-0000-0000-000070070000}"/>
    <cellStyle name="Calculation 2 2 3 2 4 2 2 3" xfId="5327" xr:uid="{00000000-0005-0000-0000-000071070000}"/>
    <cellStyle name="Calculation 2 2 3 2 4 2 3" xfId="5328" xr:uid="{00000000-0005-0000-0000-000072070000}"/>
    <cellStyle name="Calculation 2 2 3 2 4 2 3 2" xfId="5329" xr:uid="{00000000-0005-0000-0000-000073070000}"/>
    <cellStyle name="Calculation 2 2 3 2 4 2 3 3" xfId="5330" xr:uid="{00000000-0005-0000-0000-000074070000}"/>
    <cellStyle name="Calculation 2 2 3 2 4 2 4" xfId="5331" xr:uid="{00000000-0005-0000-0000-000075070000}"/>
    <cellStyle name="Calculation 2 2 3 2 4 2 4 2" xfId="5332" xr:uid="{00000000-0005-0000-0000-000076070000}"/>
    <cellStyle name="Calculation 2 2 3 2 4 2 4 3" xfId="5333" xr:uid="{00000000-0005-0000-0000-000077070000}"/>
    <cellStyle name="Calculation 2 2 3 2 4 2 5" xfId="5334" xr:uid="{00000000-0005-0000-0000-000078070000}"/>
    <cellStyle name="Calculation 2 2 3 2 4 2 5 2" xfId="5335" xr:uid="{00000000-0005-0000-0000-000079070000}"/>
    <cellStyle name="Calculation 2 2 3 2 4 2 5 3" xfId="5336" xr:uid="{00000000-0005-0000-0000-00007A070000}"/>
    <cellStyle name="Calculation 2 2 3 2 4 2 6" xfId="5337" xr:uid="{00000000-0005-0000-0000-00007B070000}"/>
    <cellStyle name="Calculation 2 2 3 2 4 2 6 2" xfId="5338" xr:uid="{00000000-0005-0000-0000-00007C070000}"/>
    <cellStyle name="Calculation 2 2 3 2 4 2 6 3" xfId="5339" xr:uid="{00000000-0005-0000-0000-00007D070000}"/>
    <cellStyle name="Calculation 2 2 3 2 4 2 7" xfId="5340" xr:uid="{00000000-0005-0000-0000-00007E070000}"/>
    <cellStyle name="Calculation 2 2 3 2 4 2 7 2" xfId="5341" xr:uid="{00000000-0005-0000-0000-00007F070000}"/>
    <cellStyle name="Calculation 2 2 3 2 4 2 7 3" xfId="5342" xr:uid="{00000000-0005-0000-0000-000080070000}"/>
    <cellStyle name="Calculation 2 2 3 2 4 2 8" xfId="5343" xr:uid="{00000000-0005-0000-0000-000081070000}"/>
    <cellStyle name="Calculation 2 2 3 2 4 2 9" xfId="5344" xr:uid="{00000000-0005-0000-0000-000082070000}"/>
    <cellStyle name="Calculation 2 2 3 2 4 3" xfId="5345" xr:uid="{00000000-0005-0000-0000-000083070000}"/>
    <cellStyle name="Calculation 2 2 3 2 4 3 2" xfId="5346" xr:uid="{00000000-0005-0000-0000-000084070000}"/>
    <cellStyle name="Calculation 2 2 3 2 4 3 3" xfId="5347" xr:uid="{00000000-0005-0000-0000-000085070000}"/>
    <cellStyle name="Calculation 2 2 3 2 4 4" xfId="5348" xr:uid="{00000000-0005-0000-0000-000086070000}"/>
    <cellStyle name="Calculation 2 2 3 2 4 4 2" xfId="5349" xr:uid="{00000000-0005-0000-0000-000087070000}"/>
    <cellStyle name="Calculation 2 2 3 2 4 4 3" xfId="5350" xr:uid="{00000000-0005-0000-0000-000088070000}"/>
    <cellStyle name="Calculation 2 2 3 2 4 5" xfId="5351" xr:uid="{00000000-0005-0000-0000-000089070000}"/>
    <cellStyle name="Calculation 2 2 3 2 4 5 2" xfId="5352" xr:uid="{00000000-0005-0000-0000-00008A070000}"/>
    <cellStyle name="Calculation 2 2 3 2 4 5 3" xfId="5353" xr:uid="{00000000-0005-0000-0000-00008B070000}"/>
    <cellStyle name="Calculation 2 2 3 2 4 6" xfId="5354" xr:uid="{00000000-0005-0000-0000-00008C070000}"/>
    <cellStyle name="Calculation 2 2 3 2 4 6 2" xfId="5355" xr:uid="{00000000-0005-0000-0000-00008D070000}"/>
    <cellStyle name="Calculation 2 2 3 2 4 6 3" xfId="5356" xr:uid="{00000000-0005-0000-0000-00008E070000}"/>
    <cellStyle name="Calculation 2 2 3 2 4 7" xfId="5357" xr:uid="{00000000-0005-0000-0000-00008F070000}"/>
    <cellStyle name="Calculation 2 2 3 2 4 7 2" xfId="5358" xr:uid="{00000000-0005-0000-0000-000090070000}"/>
    <cellStyle name="Calculation 2 2 3 2 4 7 3" xfId="5359" xr:uid="{00000000-0005-0000-0000-000091070000}"/>
    <cellStyle name="Calculation 2 2 3 2 4 8" xfId="5360" xr:uid="{00000000-0005-0000-0000-000092070000}"/>
    <cellStyle name="Calculation 2 2 3 2 4 8 2" xfId="5361" xr:uid="{00000000-0005-0000-0000-000093070000}"/>
    <cellStyle name="Calculation 2 2 3 2 4 8 3" xfId="5362" xr:uid="{00000000-0005-0000-0000-000094070000}"/>
    <cellStyle name="Calculation 2 2 3 2 4 9" xfId="5363" xr:uid="{00000000-0005-0000-0000-000095070000}"/>
    <cellStyle name="Calculation 2 2 3 2 5" xfId="5364" xr:uid="{00000000-0005-0000-0000-000096070000}"/>
    <cellStyle name="Calculation 2 2 3 2 5 2" xfId="5365" xr:uid="{00000000-0005-0000-0000-000097070000}"/>
    <cellStyle name="Calculation 2 2 3 2 5 2 2" xfId="5366" xr:uid="{00000000-0005-0000-0000-000098070000}"/>
    <cellStyle name="Calculation 2 2 3 2 5 2 3" xfId="5367" xr:uid="{00000000-0005-0000-0000-000099070000}"/>
    <cellStyle name="Calculation 2 2 3 2 5 3" xfId="5368" xr:uid="{00000000-0005-0000-0000-00009A070000}"/>
    <cellStyle name="Calculation 2 2 3 2 5 3 2" xfId="5369" xr:uid="{00000000-0005-0000-0000-00009B070000}"/>
    <cellStyle name="Calculation 2 2 3 2 5 3 3" xfId="5370" xr:uid="{00000000-0005-0000-0000-00009C070000}"/>
    <cellStyle name="Calculation 2 2 3 2 5 4" xfId="5371" xr:uid="{00000000-0005-0000-0000-00009D070000}"/>
    <cellStyle name="Calculation 2 2 3 2 5 4 2" xfId="5372" xr:uid="{00000000-0005-0000-0000-00009E070000}"/>
    <cellStyle name="Calculation 2 2 3 2 5 4 3" xfId="5373" xr:uid="{00000000-0005-0000-0000-00009F070000}"/>
    <cellStyle name="Calculation 2 2 3 2 5 5" xfId="5374" xr:uid="{00000000-0005-0000-0000-0000A0070000}"/>
    <cellStyle name="Calculation 2 2 3 2 5 5 2" xfId="5375" xr:uid="{00000000-0005-0000-0000-0000A1070000}"/>
    <cellStyle name="Calculation 2 2 3 2 5 5 3" xfId="5376" xr:uid="{00000000-0005-0000-0000-0000A2070000}"/>
    <cellStyle name="Calculation 2 2 3 2 5 6" xfId="5377" xr:uid="{00000000-0005-0000-0000-0000A3070000}"/>
    <cellStyle name="Calculation 2 2 3 2 5 6 2" xfId="5378" xr:uid="{00000000-0005-0000-0000-0000A4070000}"/>
    <cellStyle name="Calculation 2 2 3 2 5 6 3" xfId="5379" xr:uid="{00000000-0005-0000-0000-0000A5070000}"/>
    <cellStyle name="Calculation 2 2 3 2 5 7" xfId="5380" xr:uid="{00000000-0005-0000-0000-0000A6070000}"/>
    <cellStyle name="Calculation 2 2 3 2 5 7 2" xfId="5381" xr:uid="{00000000-0005-0000-0000-0000A7070000}"/>
    <cellStyle name="Calculation 2 2 3 2 5 7 3" xfId="5382" xr:uid="{00000000-0005-0000-0000-0000A8070000}"/>
    <cellStyle name="Calculation 2 2 3 2 5 8" xfId="5383" xr:uid="{00000000-0005-0000-0000-0000A9070000}"/>
    <cellStyle name="Calculation 2 2 3 2 5 9" xfId="5384" xr:uid="{00000000-0005-0000-0000-0000AA070000}"/>
    <cellStyle name="Calculation 2 2 3 2 6" xfId="5385" xr:uid="{00000000-0005-0000-0000-0000AB070000}"/>
    <cellStyle name="Calculation 2 2 3 2 6 2" xfId="5386" xr:uid="{00000000-0005-0000-0000-0000AC070000}"/>
    <cellStyle name="Calculation 2 2 3 2 6 3" xfId="5387" xr:uid="{00000000-0005-0000-0000-0000AD070000}"/>
    <cellStyle name="Calculation 2 2 3 2 7" xfId="5388" xr:uid="{00000000-0005-0000-0000-0000AE070000}"/>
    <cellStyle name="Calculation 2 2 3 2 7 2" xfId="5389" xr:uid="{00000000-0005-0000-0000-0000AF070000}"/>
    <cellStyle name="Calculation 2 2 3 2 7 3" xfId="5390" xr:uid="{00000000-0005-0000-0000-0000B0070000}"/>
    <cellStyle name="Calculation 2 2 3 2 8" xfId="5391" xr:uid="{00000000-0005-0000-0000-0000B1070000}"/>
    <cellStyle name="Calculation 2 2 3 2 8 2" xfId="5392" xr:uid="{00000000-0005-0000-0000-0000B2070000}"/>
    <cellStyle name="Calculation 2 2 3 2 8 3" xfId="5393" xr:uid="{00000000-0005-0000-0000-0000B3070000}"/>
    <cellStyle name="Calculation 2 2 3 2 9" xfId="5394" xr:uid="{00000000-0005-0000-0000-0000B4070000}"/>
    <cellStyle name="Calculation 2 2 3 2 9 2" xfId="5395" xr:uid="{00000000-0005-0000-0000-0000B5070000}"/>
    <cellStyle name="Calculation 2 2 3 2 9 3" xfId="5396" xr:uid="{00000000-0005-0000-0000-0000B6070000}"/>
    <cellStyle name="Calculation 2 2 3 3" xfId="5397" xr:uid="{00000000-0005-0000-0000-0000B7070000}"/>
    <cellStyle name="Calculation 2 2 3 3 10" xfId="43974" xr:uid="{00000000-0005-0000-0000-0000B8070000}"/>
    <cellStyle name="Calculation 2 2 3 3 2" xfId="5398" xr:uid="{00000000-0005-0000-0000-0000B9070000}"/>
    <cellStyle name="Calculation 2 2 3 3 2 10" xfId="5399" xr:uid="{00000000-0005-0000-0000-0000BA070000}"/>
    <cellStyle name="Calculation 2 2 3 3 2 2" xfId="5400" xr:uid="{00000000-0005-0000-0000-0000BB070000}"/>
    <cellStyle name="Calculation 2 2 3 3 2 2 2" xfId="5401" xr:uid="{00000000-0005-0000-0000-0000BC070000}"/>
    <cellStyle name="Calculation 2 2 3 3 2 2 2 2" xfId="5402" xr:uid="{00000000-0005-0000-0000-0000BD070000}"/>
    <cellStyle name="Calculation 2 2 3 3 2 2 2 3" xfId="5403" xr:uid="{00000000-0005-0000-0000-0000BE070000}"/>
    <cellStyle name="Calculation 2 2 3 3 2 2 3" xfId="5404" xr:uid="{00000000-0005-0000-0000-0000BF070000}"/>
    <cellStyle name="Calculation 2 2 3 3 2 2 3 2" xfId="5405" xr:uid="{00000000-0005-0000-0000-0000C0070000}"/>
    <cellStyle name="Calculation 2 2 3 3 2 2 3 3" xfId="5406" xr:uid="{00000000-0005-0000-0000-0000C1070000}"/>
    <cellStyle name="Calculation 2 2 3 3 2 2 4" xfId="5407" xr:uid="{00000000-0005-0000-0000-0000C2070000}"/>
    <cellStyle name="Calculation 2 2 3 3 2 2 4 2" xfId="5408" xr:uid="{00000000-0005-0000-0000-0000C3070000}"/>
    <cellStyle name="Calculation 2 2 3 3 2 2 4 3" xfId="5409" xr:uid="{00000000-0005-0000-0000-0000C4070000}"/>
    <cellStyle name="Calculation 2 2 3 3 2 2 5" xfId="5410" xr:uid="{00000000-0005-0000-0000-0000C5070000}"/>
    <cellStyle name="Calculation 2 2 3 3 2 2 5 2" xfId="5411" xr:uid="{00000000-0005-0000-0000-0000C6070000}"/>
    <cellStyle name="Calculation 2 2 3 3 2 2 5 3" xfId="5412" xr:uid="{00000000-0005-0000-0000-0000C7070000}"/>
    <cellStyle name="Calculation 2 2 3 3 2 2 6" xfId="5413" xr:uid="{00000000-0005-0000-0000-0000C8070000}"/>
    <cellStyle name="Calculation 2 2 3 3 2 2 6 2" xfId="5414" xr:uid="{00000000-0005-0000-0000-0000C9070000}"/>
    <cellStyle name="Calculation 2 2 3 3 2 2 6 3" xfId="5415" xr:uid="{00000000-0005-0000-0000-0000CA070000}"/>
    <cellStyle name="Calculation 2 2 3 3 2 2 7" xfId="5416" xr:uid="{00000000-0005-0000-0000-0000CB070000}"/>
    <cellStyle name="Calculation 2 2 3 3 2 2 7 2" xfId="5417" xr:uid="{00000000-0005-0000-0000-0000CC070000}"/>
    <cellStyle name="Calculation 2 2 3 3 2 2 7 3" xfId="5418" xr:uid="{00000000-0005-0000-0000-0000CD070000}"/>
    <cellStyle name="Calculation 2 2 3 3 2 2 8" xfId="5419" xr:uid="{00000000-0005-0000-0000-0000CE070000}"/>
    <cellStyle name="Calculation 2 2 3 3 2 2 9" xfId="5420" xr:uid="{00000000-0005-0000-0000-0000CF070000}"/>
    <cellStyle name="Calculation 2 2 3 3 2 3" xfId="5421" xr:uid="{00000000-0005-0000-0000-0000D0070000}"/>
    <cellStyle name="Calculation 2 2 3 3 2 3 2" xfId="5422" xr:uid="{00000000-0005-0000-0000-0000D1070000}"/>
    <cellStyle name="Calculation 2 2 3 3 2 3 3" xfId="5423" xr:uid="{00000000-0005-0000-0000-0000D2070000}"/>
    <cellStyle name="Calculation 2 2 3 3 2 4" xfId="5424" xr:uid="{00000000-0005-0000-0000-0000D3070000}"/>
    <cellStyle name="Calculation 2 2 3 3 2 4 2" xfId="5425" xr:uid="{00000000-0005-0000-0000-0000D4070000}"/>
    <cellStyle name="Calculation 2 2 3 3 2 4 3" xfId="5426" xr:uid="{00000000-0005-0000-0000-0000D5070000}"/>
    <cellStyle name="Calculation 2 2 3 3 2 5" xfId="5427" xr:uid="{00000000-0005-0000-0000-0000D6070000}"/>
    <cellStyle name="Calculation 2 2 3 3 2 5 2" xfId="5428" xr:uid="{00000000-0005-0000-0000-0000D7070000}"/>
    <cellStyle name="Calculation 2 2 3 3 2 5 3" xfId="5429" xr:uid="{00000000-0005-0000-0000-0000D8070000}"/>
    <cellStyle name="Calculation 2 2 3 3 2 6" xfId="5430" xr:uid="{00000000-0005-0000-0000-0000D9070000}"/>
    <cellStyle name="Calculation 2 2 3 3 2 6 2" xfId="5431" xr:uid="{00000000-0005-0000-0000-0000DA070000}"/>
    <cellStyle name="Calculation 2 2 3 3 2 6 3" xfId="5432" xr:uid="{00000000-0005-0000-0000-0000DB070000}"/>
    <cellStyle name="Calculation 2 2 3 3 2 7" xfId="5433" xr:uid="{00000000-0005-0000-0000-0000DC070000}"/>
    <cellStyle name="Calculation 2 2 3 3 2 7 2" xfId="5434" xr:uid="{00000000-0005-0000-0000-0000DD070000}"/>
    <cellStyle name="Calculation 2 2 3 3 2 7 3" xfId="5435" xr:uid="{00000000-0005-0000-0000-0000DE070000}"/>
    <cellStyle name="Calculation 2 2 3 3 2 8" xfId="5436" xr:uid="{00000000-0005-0000-0000-0000DF070000}"/>
    <cellStyle name="Calculation 2 2 3 3 2 8 2" xfId="5437" xr:uid="{00000000-0005-0000-0000-0000E0070000}"/>
    <cellStyle name="Calculation 2 2 3 3 2 8 3" xfId="5438" xr:uid="{00000000-0005-0000-0000-0000E1070000}"/>
    <cellStyle name="Calculation 2 2 3 3 2 9" xfId="5439" xr:uid="{00000000-0005-0000-0000-0000E2070000}"/>
    <cellStyle name="Calculation 2 2 3 3 3" xfId="5440" xr:uid="{00000000-0005-0000-0000-0000E3070000}"/>
    <cellStyle name="Calculation 2 2 3 3 3 10" xfId="5441" xr:uid="{00000000-0005-0000-0000-0000E4070000}"/>
    <cellStyle name="Calculation 2 2 3 3 3 2" xfId="5442" xr:uid="{00000000-0005-0000-0000-0000E5070000}"/>
    <cellStyle name="Calculation 2 2 3 3 3 2 2" xfId="5443" xr:uid="{00000000-0005-0000-0000-0000E6070000}"/>
    <cellStyle name="Calculation 2 2 3 3 3 2 2 2" xfId="5444" xr:uid="{00000000-0005-0000-0000-0000E7070000}"/>
    <cellStyle name="Calculation 2 2 3 3 3 2 2 3" xfId="5445" xr:uid="{00000000-0005-0000-0000-0000E8070000}"/>
    <cellStyle name="Calculation 2 2 3 3 3 2 3" xfId="5446" xr:uid="{00000000-0005-0000-0000-0000E9070000}"/>
    <cellStyle name="Calculation 2 2 3 3 3 2 3 2" xfId="5447" xr:uid="{00000000-0005-0000-0000-0000EA070000}"/>
    <cellStyle name="Calculation 2 2 3 3 3 2 3 3" xfId="5448" xr:uid="{00000000-0005-0000-0000-0000EB070000}"/>
    <cellStyle name="Calculation 2 2 3 3 3 2 4" xfId="5449" xr:uid="{00000000-0005-0000-0000-0000EC070000}"/>
    <cellStyle name="Calculation 2 2 3 3 3 2 4 2" xfId="5450" xr:uid="{00000000-0005-0000-0000-0000ED070000}"/>
    <cellStyle name="Calculation 2 2 3 3 3 2 4 3" xfId="5451" xr:uid="{00000000-0005-0000-0000-0000EE070000}"/>
    <cellStyle name="Calculation 2 2 3 3 3 2 5" xfId="5452" xr:uid="{00000000-0005-0000-0000-0000EF070000}"/>
    <cellStyle name="Calculation 2 2 3 3 3 2 5 2" xfId="5453" xr:uid="{00000000-0005-0000-0000-0000F0070000}"/>
    <cellStyle name="Calculation 2 2 3 3 3 2 5 3" xfId="5454" xr:uid="{00000000-0005-0000-0000-0000F1070000}"/>
    <cellStyle name="Calculation 2 2 3 3 3 2 6" xfId="5455" xr:uid="{00000000-0005-0000-0000-0000F2070000}"/>
    <cellStyle name="Calculation 2 2 3 3 3 2 6 2" xfId="5456" xr:uid="{00000000-0005-0000-0000-0000F3070000}"/>
    <cellStyle name="Calculation 2 2 3 3 3 2 6 3" xfId="5457" xr:uid="{00000000-0005-0000-0000-0000F4070000}"/>
    <cellStyle name="Calculation 2 2 3 3 3 2 7" xfId="5458" xr:uid="{00000000-0005-0000-0000-0000F5070000}"/>
    <cellStyle name="Calculation 2 2 3 3 3 2 7 2" xfId="5459" xr:uid="{00000000-0005-0000-0000-0000F6070000}"/>
    <cellStyle name="Calculation 2 2 3 3 3 2 7 3" xfId="5460" xr:uid="{00000000-0005-0000-0000-0000F7070000}"/>
    <cellStyle name="Calculation 2 2 3 3 3 2 8" xfId="5461" xr:uid="{00000000-0005-0000-0000-0000F8070000}"/>
    <cellStyle name="Calculation 2 2 3 3 3 2 9" xfId="5462" xr:uid="{00000000-0005-0000-0000-0000F9070000}"/>
    <cellStyle name="Calculation 2 2 3 3 3 3" xfId="5463" xr:uid="{00000000-0005-0000-0000-0000FA070000}"/>
    <cellStyle name="Calculation 2 2 3 3 3 3 2" xfId="5464" xr:uid="{00000000-0005-0000-0000-0000FB070000}"/>
    <cellStyle name="Calculation 2 2 3 3 3 3 3" xfId="5465" xr:uid="{00000000-0005-0000-0000-0000FC070000}"/>
    <cellStyle name="Calculation 2 2 3 3 3 4" xfId="5466" xr:uid="{00000000-0005-0000-0000-0000FD070000}"/>
    <cellStyle name="Calculation 2 2 3 3 3 4 2" xfId="5467" xr:uid="{00000000-0005-0000-0000-0000FE070000}"/>
    <cellStyle name="Calculation 2 2 3 3 3 4 3" xfId="5468" xr:uid="{00000000-0005-0000-0000-0000FF070000}"/>
    <cellStyle name="Calculation 2 2 3 3 3 5" xfId="5469" xr:uid="{00000000-0005-0000-0000-000000080000}"/>
    <cellStyle name="Calculation 2 2 3 3 3 5 2" xfId="5470" xr:uid="{00000000-0005-0000-0000-000001080000}"/>
    <cellStyle name="Calculation 2 2 3 3 3 5 3" xfId="5471" xr:uid="{00000000-0005-0000-0000-000002080000}"/>
    <cellStyle name="Calculation 2 2 3 3 3 6" xfId="5472" xr:uid="{00000000-0005-0000-0000-000003080000}"/>
    <cellStyle name="Calculation 2 2 3 3 3 6 2" xfId="5473" xr:uid="{00000000-0005-0000-0000-000004080000}"/>
    <cellStyle name="Calculation 2 2 3 3 3 6 3" xfId="5474" xr:uid="{00000000-0005-0000-0000-000005080000}"/>
    <cellStyle name="Calculation 2 2 3 3 3 7" xfId="5475" xr:uid="{00000000-0005-0000-0000-000006080000}"/>
    <cellStyle name="Calculation 2 2 3 3 3 7 2" xfId="5476" xr:uid="{00000000-0005-0000-0000-000007080000}"/>
    <cellStyle name="Calculation 2 2 3 3 3 7 3" xfId="5477" xr:uid="{00000000-0005-0000-0000-000008080000}"/>
    <cellStyle name="Calculation 2 2 3 3 3 8" xfId="5478" xr:uid="{00000000-0005-0000-0000-000009080000}"/>
    <cellStyle name="Calculation 2 2 3 3 3 8 2" xfId="5479" xr:uid="{00000000-0005-0000-0000-00000A080000}"/>
    <cellStyle name="Calculation 2 2 3 3 3 8 3" xfId="5480" xr:uid="{00000000-0005-0000-0000-00000B080000}"/>
    <cellStyle name="Calculation 2 2 3 3 3 9" xfId="5481" xr:uid="{00000000-0005-0000-0000-00000C080000}"/>
    <cellStyle name="Calculation 2 2 3 3 4" xfId="5482" xr:uid="{00000000-0005-0000-0000-00000D080000}"/>
    <cellStyle name="Calculation 2 2 3 3 4 10" xfId="5483" xr:uid="{00000000-0005-0000-0000-00000E080000}"/>
    <cellStyle name="Calculation 2 2 3 3 4 2" xfId="5484" xr:uid="{00000000-0005-0000-0000-00000F080000}"/>
    <cellStyle name="Calculation 2 2 3 3 4 2 2" xfId="5485" xr:uid="{00000000-0005-0000-0000-000010080000}"/>
    <cellStyle name="Calculation 2 2 3 3 4 2 2 2" xfId="5486" xr:uid="{00000000-0005-0000-0000-000011080000}"/>
    <cellStyle name="Calculation 2 2 3 3 4 2 2 3" xfId="5487" xr:uid="{00000000-0005-0000-0000-000012080000}"/>
    <cellStyle name="Calculation 2 2 3 3 4 2 3" xfId="5488" xr:uid="{00000000-0005-0000-0000-000013080000}"/>
    <cellStyle name="Calculation 2 2 3 3 4 2 3 2" xfId="5489" xr:uid="{00000000-0005-0000-0000-000014080000}"/>
    <cellStyle name="Calculation 2 2 3 3 4 2 3 3" xfId="5490" xr:uid="{00000000-0005-0000-0000-000015080000}"/>
    <cellStyle name="Calculation 2 2 3 3 4 2 4" xfId="5491" xr:uid="{00000000-0005-0000-0000-000016080000}"/>
    <cellStyle name="Calculation 2 2 3 3 4 2 4 2" xfId="5492" xr:uid="{00000000-0005-0000-0000-000017080000}"/>
    <cellStyle name="Calculation 2 2 3 3 4 2 4 3" xfId="5493" xr:uid="{00000000-0005-0000-0000-000018080000}"/>
    <cellStyle name="Calculation 2 2 3 3 4 2 5" xfId="5494" xr:uid="{00000000-0005-0000-0000-000019080000}"/>
    <cellStyle name="Calculation 2 2 3 3 4 2 5 2" xfId="5495" xr:uid="{00000000-0005-0000-0000-00001A080000}"/>
    <cellStyle name="Calculation 2 2 3 3 4 2 5 3" xfId="5496" xr:uid="{00000000-0005-0000-0000-00001B080000}"/>
    <cellStyle name="Calculation 2 2 3 3 4 2 6" xfId="5497" xr:uid="{00000000-0005-0000-0000-00001C080000}"/>
    <cellStyle name="Calculation 2 2 3 3 4 2 6 2" xfId="5498" xr:uid="{00000000-0005-0000-0000-00001D080000}"/>
    <cellStyle name="Calculation 2 2 3 3 4 2 6 3" xfId="5499" xr:uid="{00000000-0005-0000-0000-00001E080000}"/>
    <cellStyle name="Calculation 2 2 3 3 4 2 7" xfId="5500" xr:uid="{00000000-0005-0000-0000-00001F080000}"/>
    <cellStyle name="Calculation 2 2 3 3 4 2 7 2" xfId="5501" xr:uid="{00000000-0005-0000-0000-000020080000}"/>
    <cellStyle name="Calculation 2 2 3 3 4 2 7 3" xfId="5502" xr:uid="{00000000-0005-0000-0000-000021080000}"/>
    <cellStyle name="Calculation 2 2 3 3 4 2 8" xfId="5503" xr:uid="{00000000-0005-0000-0000-000022080000}"/>
    <cellStyle name="Calculation 2 2 3 3 4 2 9" xfId="5504" xr:uid="{00000000-0005-0000-0000-000023080000}"/>
    <cellStyle name="Calculation 2 2 3 3 4 3" xfId="5505" xr:uid="{00000000-0005-0000-0000-000024080000}"/>
    <cellStyle name="Calculation 2 2 3 3 4 3 2" xfId="5506" xr:uid="{00000000-0005-0000-0000-000025080000}"/>
    <cellStyle name="Calculation 2 2 3 3 4 3 3" xfId="5507" xr:uid="{00000000-0005-0000-0000-000026080000}"/>
    <cellStyle name="Calculation 2 2 3 3 4 4" xfId="5508" xr:uid="{00000000-0005-0000-0000-000027080000}"/>
    <cellStyle name="Calculation 2 2 3 3 4 4 2" xfId="5509" xr:uid="{00000000-0005-0000-0000-000028080000}"/>
    <cellStyle name="Calculation 2 2 3 3 4 4 3" xfId="5510" xr:uid="{00000000-0005-0000-0000-000029080000}"/>
    <cellStyle name="Calculation 2 2 3 3 4 5" xfId="5511" xr:uid="{00000000-0005-0000-0000-00002A080000}"/>
    <cellStyle name="Calculation 2 2 3 3 4 5 2" xfId="5512" xr:uid="{00000000-0005-0000-0000-00002B080000}"/>
    <cellStyle name="Calculation 2 2 3 3 4 5 3" xfId="5513" xr:uid="{00000000-0005-0000-0000-00002C080000}"/>
    <cellStyle name="Calculation 2 2 3 3 4 6" xfId="5514" xr:uid="{00000000-0005-0000-0000-00002D080000}"/>
    <cellStyle name="Calculation 2 2 3 3 4 6 2" xfId="5515" xr:uid="{00000000-0005-0000-0000-00002E080000}"/>
    <cellStyle name="Calculation 2 2 3 3 4 6 3" xfId="5516" xr:uid="{00000000-0005-0000-0000-00002F080000}"/>
    <cellStyle name="Calculation 2 2 3 3 4 7" xfId="5517" xr:uid="{00000000-0005-0000-0000-000030080000}"/>
    <cellStyle name="Calculation 2 2 3 3 4 7 2" xfId="5518" xr:uid="{00000000-0005-0000-0000-000031080000}"/>
    <cellStyle name="Calculation 2 2 3 3 4 7 3" xfId="5519" xr:uid="{00000000-0005-0000-0000-000032080000}"/>
    <cellStyle name="Calculation 2 2 3 3 4 8" xfId="5520" xr:uid="{00000000-0005-0000-0000-000033080000}"/>
    <cellStyle name="Calculation 2 2 3 3 4 8 2" xfId="5521" xr:uid="{00000000-0005-0000-0000-000034080000}"/>
    <cellStyle name="Calculation 2 2 3 3 4 8 3" xfId="5522" xr:uid="{00000000-0005-0000-0000-000035080000}"/>
    <cellStyle name="Calculation 2 2 3 3 4 9" xfId="5523" xr:uid="{00000000-0005-0000-0000-000036080000}"/>
    <cellStyle name="Calculation 2 2 3 3 5" xfId="5524" xr:uid="{00000000-0005-0000-0000-000037080000}"/>
    <cellStyle name="Calculation 2 2 3 3 5 2" xfId="5525" xr:uid="{00000000-0005-0000-0000-000038080000}"/>
    <cellStyle name="Calculation 2 2 3 3 5 2 2" xfId="5526" xr:uid="{00000000-0005-0000-0000-000039080000}"/>
    <cellStyle name="Calculation 2 2 3 3 5 2 3" xfId="5527" xr:uid="{00000000-0005-0000-0000-00003A080000}"/>
    <cellStyle name="Calculation 2 2 3 3 5 3" xfId="5528" xr:uid="{00000000-0005-0000-0000-00003B080000}"/>
    <cellStyle name="Calculation 2 2 3 3 5 3 2" xfId="5529" xr:uid="{00000000-0005-0000-0000-00003C080000}"/>
    <cellStyle name="Calculation 2 2 3 3 5 3 3" xfId="5530" xr:uid="{00000000-0005-0000-0000-00003D080000}"/>
    <cellStyle name="Calculation 2 2 3 3 5 4" xfId="5531" xr:uid="{00000000-0005-0000-0000-00003E080000}"/>
    <cellStyle name="Calculation 2 2 3 3 5 4 2" xfId="5532" xr:uid="{00000000-0005-0000-0000-00003F080000}"/>
    <cellStyle name="Calculation 2 2 3 3 5 4 3" xfId="5533" xr:uid="{00000000-0005-0000-0000-000040080000}"/>
    <cellStyle name="Calculation 2 2 3 3 5 5" xfId="5534" xr:uid="{00000000-0005-0000-0000-000041080000}"/>
    <cellStyle name="Calculation 2 2 3 3 5 5 2" xfId="5535" xr:uid="{00000000-0005-0000-0000-000042080000}"/>
    <cellStyle name="Calculation 2 2 3 3 5 5 3" xfId="5536" xr:uid="{00000000-0005-0000-0000-000043080000}"/>
    <cellStyle name="Calculation 2 2 3 3 5 6" xfId="5537" xr:uid="{00000000-0005-0000-0000-000044080000}"/>
    <cellStyle name="Calculation 2 2 3 3 5 6 2" xfId="5538" xr:uid="{00000000-0005-0000-0000-000045080000}"/>
    <cellStyle name="Calculation 2 2 3 3 5 6 3" xfId="5539" xr:uid="{00000000-0005-0000-0000-000046080000}"/>
    <cellStyle name="Calculation 2 2 3 3 5 7" xfId="5540" xr:uid="{00000000-0005-0000-0000-000047080000}"/>
    <cellStyle name="Calculation 2 2 3 3 5 7 2" xfId="5541" xr:uid="{00000000-0005-0000-0000-000048080000}"/>
    <cellStyle name="Calculation 2 2 3 3 5 7 3" xfId="5542" xr:uid="{00000000-0005-0000-0000-000049080000}"/>
    <cellStyle name="Calculation 2 2 3 3 5 8" xfId="5543" xr:uid="{00000000-0005-0000-0000-00004A080000}"/>
    <cellStyle name="Calculation 2 2 3 3 5 9" xfId="5544" xr:uid="{00000000-0005-0000-0000-00004B080000}"/>
    <cellStyle name="Calculation 2 2 3 3 6" xfId="5545" xr:uid="{00000000-0005-0000-0000-00004C080000}"/>
    <cellStyle name="Calculation 2 2 3 3 6 2" xfId="5546" xr:uid="{00000000-0005-0000-0000-00004D080000}"/>
    <cellStyle name="Calculation 2 2 3 3 6 3" xfId="5547" xr:uid="{00000000-0005-0000-0000-00004E080000}"/>
    <cellStyle name="Calculation 2 2 3 3 7" xfId="5548" xr:uid="{00000000-0005-0000-0000-00004F080000}"/>
    <cellStyle name="Calculation 2 2 3 3 7 2" xfId="5549" xr:uid="{00000000-0005-0000-0000-000050080000}"/>
    <cellStyle name="Calculation 2 2 3 3 7 3" xfId="5550" xr:uid="{00000000-0005-0000-0000-000051080000}"/>
    <cellStyle name="Calculation 2 2 3 3 8" xfId="5551" xr:uid="{00000000-0005-0000-0000-000052080000}"/>
    <cellStyle name="Calculation 2 2 3 3 8 2" xfId="5552" xr:uid="{00000000-0005-0000-0000-000053080000}"/>
    <cellStyle name="Calculation 2 2 3 3 8 3" xfId="5553" xr:uid="{00000000-0005-0000-0000-000054080000}"/>
    <cellStyle name="Calculation 2 2 3 3 9" xfId="5554" xr:uid="{00000000-0005-0000-0000-000055080000}"/>
    <cellStyle name="Calculation 2 2 3 3 9 2" xfId="5555" xr:uid="{00000000-0005-0000-0000-000056080000}"/>
    <cellStyle name="Calculation 2 2 3 3 9 3" xfId="5556" xr:uid="{00000000-0005-0000-0000-000057080000}"/>
    <cellStyle name="Calculation 2 2 3 4" xfId="5557" xr:uid="{00000000-0005-0000-0000-000058080000}"/>
    <cellStyle name="Calculation 2 2 3 4 10" xfId="43975" xr:uid="{00000000-0005-0000-0000-000059080000}"/>
    <cellStyle name="Calculation 2 2 3 4 2" xfId="5558" xr:uid="{00000000-0005-0000-0000-00005A080000}"/>
    <cellStyle name="Calculation 2 2 3 4 2 10" xfId="5559" xr:uid="{00000000-0005-0000-0000-00005B080000}"/>
    <cellStyle name="Calculation 2 2 3 4 2 2" xfId="5560" xr:uid="{00000000-0005-0000-0000-00005C080000}"/>
    <cellStyle name="Calculation 2 2 3 4 2 2 2" xfId="5561" xr:uid="{00000000-0005-0000-0000-00005D080000}"/>
    <cellStyle name="Calculation 2 2 3 4 2 2 2 2" xfId="5562" xr:uid="{00000000-0005-0000-0000-00005E080000}"/>
    <cellStyle name="Calculation 2 2 3 4 2 2 2 3" xfId="5563" xr:uid="{00000000-0005-0000-0000-00005F080000}"/>
    <cellStyle name="Calculation 2 2 3 4 2 2 3" xfId="5564" xr:uid="{00000000-0005-0000-0000-000060080000}"/>
    <cellStyle name="Calculation 2 2 3 4 2 2 3 2" xfId="5565" xr:uid="{00000000-0005-0000-0000-000061080000}"/>
    <cellStyle name="Calculation 2 2 3 4 2 2 3 3" xfId="5566" xr:uid="{00000000-0005-0000-0000-000062080000}"/>
    <cellStyle name="Calculation 2 2 3 4 2 2 4" xfId="5567" xr:uid="{00000000-0005-0000-0000-000063080000}"/>
    <cellStyle name="Calculation 2 2 3 4 2 2 4 2" xfId="5568" xr:uid="{00000000-0005-0000-0000-000064080000}"/>
    <cellStyle name="Calculation 2 2 3 4 2 2 4 3" xfId="5569" xr:uid="{00000000-0005-0000-0000-000065080000}"/>
    <cellStyle name="Calculation 2 2 3 4 2 2 5" xfId="5570" xr:uid="{00000000-0005-0000-0000-000066080000}"/>
    <cellStyle name="Calculation 2 2 3 4 2 2 5 2" xfId="5571" xr:uid="{00000000-0005-0000-0000-000067080000}"/>
    <cellStyle name="Calculation 2 2 3 4 2 2 5 3" xfId="5572" xr:uid="{00000000-0005-0000-0000-000068080000}"/>
    <cellStyle name="Calculation 2 2 3 4 2 2 6" xfId="5573" xr:uid="{00000000-0005-0000-0000-000069080000}"/>
    <cellStyle name="Calculation 2 2 3 4 2 2 6 2" xfId="5574" xr:uid="{00000000-0005-0000-0000-00006A080000}"/>
    <cellStyle name="Calculation 2 2 3 4 2 2 6 3" xfId="5575" xr:uid="{00000000-0005-0000-0000-00006B080000}"/>
    <cellStyle name="Calculation 2 2 3 4 2 2 7" xfId="5576" xr:uid="{00000000-0005-0000-0000-00006C080000}"/>
    <cellStyle name="Calculation 2 2 3 4 2 2 7 2" xfId="5577" xr:uid="{00000000-0005-0000-0000-00006D080000}"/>
    <cellStyle name="Calculation 2 2 3 4 2 2 7 3" xfId="5578" xr:uid="{00000000-0005-0000-0000-00006E080000}"/>
    <cellStyle name="Calculation 2 2 3 4 2 2 8" xfId="5579" xr:uid="{00000000-0005-0000-0000-00006F080000}"/>
    <cellStyle name="Calculation 2 2 3 4 2 2 9" xfId="5580" xr:uid="{00000000-0005-0000-0000-000070080000}"/>
    <cellStyle name="Calculation 2 2 3 4 2 3" xfId="5581" xr:uid="{00000000-0005-0000-0000-000071080000}"/>
    <cellStyle name="Calculation 2 2 3 4 2 3 2" xfId="5582" xr:uid="{00000000-0005-0000-0000-000072080000}"/>
    <cellStyle name="Calculation 2 2 3 4 2 3 3" xfId="5583" xr:uid="{00000000-0005-0000-0000-000073080000}"/>
    <cellStyle name="Calculation 2 2 3 4 2 4" xfId="5584" xr:uid="{00000000-0005-0000-0000-000074080000}"/>
    <cellStyle name="Calculation 2 2 3 4 2 4 2" xfId="5585" xr:uid="{00000000-0005-0000-0000-000075080000}"/>
    <cellStyle name="Calculation 2 2 3 4 2 4 3" xfId="5586" xr:uid="{00000000-0005-0000-0000-000076080000}"/>
    <cellStyle name="Calculation 2 2 3 4 2 5" xfId="5587" xr:uid="{00000000-0005-0000-0000-000077080000}"/>
    <cellStyle name="Calculation 2 2 3 4 2 5 2" xfId="5588" xr:uid="{00000000-0005-0000-0000-000078080000}"/>
    <cellStyle name="Calculation 2 2 3 4 2 5 3" xfId="5589" xr:uid="{00000000-0005-0000-0000-000079080000}"/>
    <cellStyle name="Calculation 2 2 3 4 2 6" xfId="5590" xr:uid="{00000000-0005-0000-0000-00007A080000}"/>
    <cellStyle name="Calculation 2 2 3 4 2 6 2" xfId="5591" xr:uid="{00000000-0005-0000-0000-00007B080000}"/>
    <cellStyle name="Calculation 2 2 3 4 2 6 3" xfId="5592" xr:uid="{00000000-0005-0000-0000-00007C080000}"/>
    <cellStyle name="Calculation 2 2 3 4 2 7" xfId="5593" xr:uid="{00000000-0005-0000-0000-00007D080000}"/>
    <cellStyle name="Calculation 2 2 3 4 2 7 2" xfId="5594" xr:uid="{00000000-0005-0000-0000-00007E080000}"/>
    <cellStyle name="Calculation 2 2 3 4 2 7 3" xfId="5595" xr:uid="{00000000-0005-0000-0000-00007F080000}"/>
    <cellStyle name="Calculation 2 2 3 4 2 8" xfId="5596" xr:uid="{00000000-0005-0000-0000-000080080000}"/>
    <cellStyle name="Calculation 2 2 3 4 2 8 2" xfId="5597" xr:uid="{00000000-0005-0000-0000-000081080000}"/>
    <cellStyle name="Calculation 2 2 3 4 2 8 3" xfId="5598" xr:uid="{00000000-0005-0000-0000-000082080000}"/>
    <cellStyle name="Calculation 2 2 3 4 2 9" xfId="5599" xr:uid="{00000000-0005-0000-0000-000083080000}"/>
    <cellStyle name="Calculation 2 2 3 4 3" xfId="5600" xr:uid="{00000000-0005-0000-0000-000084080000}"/>
    <cellStyle name="Calculation 2 2 3 4 3 10" xfId="5601" xr:uid="{00000000-0005-0000-0000-000085080000}"/>
    <cellStyle name="Calculation 2 2 3 4 3 2" xfId="5602" xr:uid="{00000000-0005-0000-0000-000086080000}"/>
    <cellStyle name="Calculation 2 2 3 4 3 2 2" xfId="5603" xr:uid="{00000000-0005-0000-0000-000087080000}"/>
    <cellStyle name="Calculation 2 2 3 4 3 2 2 2" xfId="5604" xr:uid="{00000000-0005-0000-0000-000088080000}"/>
    <cellStyle name="Calculation 2 2 3 4 3 2 2 3" xfId="5605" xr:uid="{00000000-0005-0000-0000-000089080000}"/>
    <cellStyle name="Calculation 2 2 3 4 3 2 3" xfId="5606" xr:uid="{00000000-0005-0000-0000-00008A080000}"/>
    <cellStyle name="Calculation 2 2 3 4 3 2 3 2" xfId="5607" xr:uid="{00000000-0005-0000-0000-00008B080000}"/>
    <cellStyle name="Calculation 2 2 3 4 3 2 3 3" xfId="5608" xr:uid="{00000000-0005-0000-0000-00008C080000}"/>
    <cellStyle name="Calculation 2 2 3 4 3 2 4" xfId="5609" xr:uid="{00000000-0005-0000-0000-00008D080000}"/>
    <cellStyle name="Calculation 2 2 3 4 3 2 4 2" xfId="5610" xr:uid="{00000000-0005-0000-0000-00008E080000}"/>
    <cellStyle name="Calculation 2 2 3 4 3 2 4 3" xfId="5611" xr:uid="{00000000-0005-0000-0000-00008F080000}"/>
    <cellStyle name="Calculation 2 2 3 4 3 2 5" xfId="5612" xr:uid="{00000000-0005-0000-0000-000090080000}"/>
    <cellStyle name="Calculation 2 2 3 4 3 2 5 2" xfId="5613" xr:uid="{00000000-0005-0000-0000-000091080000}"/>
    <cellStyle name="Calculation 2 2 3 4 3 2 5 3" xfId="5614" xr:uid="{00000000-0005-0000-0000-000092080000}"/>
    <cellStyle name="Calculation 2 2 3 4 3 2 6" xfId="5615" xr:uid="{00000000-0005-0000-0000-000093080000}"/>
    <cellStyle name="Calculation 2 2 3 4 3 2 6 2" xfId="5616" xr:uid="{00000000-0005-0000-0000-000094080000}"/>
    <cellStyle name="Calculation 2 2 3 4 3 2 6 3" xfId="5617" xr:uid="{00000000-0005-0000-0000-000095080000}"/>
    <cellStyle name="Calculation 2 2 3 4 3 2 7" xfId="5618" xr:uid="{00000000-0005-0000-0000-000096080000}"/>
    <cellStyle name="Calculation 2 2 3 4 3 2 7 2" xfId="5619" xr:uid="{00000000-0005-0000-0000-000097080000}"/>
    <cellStyle name="Calculation 2 2 3 4 3 2 7 3" xfId="5620" xr:uid="{00000000-0005-0000-0000-000098080000}"/>
    <cellStyle name="Calculation 2 2 3 4 3 2 8" xfId="5621" xr:uid="{00000000-0005-0000-0000-000099080000}"/>
    <cellStyle name="Calculation 2 2 3 4 3 2 9" xfId="5622" xr:uid="{00000000-0005-0000-0000-00009A080000}"/>
    <cellStyle name="Calculation 2 2 3 4 3 3" xfId="5623" xr:uid="{00000000-0005-0000-0000-00009B080000}"/>
    <cellStyle name="Calculation 2 2 3 4 3 3 2" xfId="5624" xr:uid="{00000000-0005-0000-0000-00009C080000}"/>
    <cellStyle name="Calculation 2 2 3 4 3 3 3" xfId="5625" xr:uid="{00000000-0005-0000-0000-00009D080000}"/>
    <cellStyle name="Calculation 2 2 3 4 3 4" xfId="5626" xr:uid="{00000000-0005-0000-0000-00009E080000}"/>
    <cellStyle name="Calculation 2 2 3 4 3 4 2" xfId="5627" xr:uid="{00000000-0005-0000-0000-00009F080000}"/>
    <cellStyle name="Calculation 2 2 3 4 3 4 3" xfId="5628" xr:uid="{00000000-0005-0000-0000-0000A0080000}"/>
    <cellStyle name="Calculation 2 2 3 4 3 5" xfId="5629" xr:uid="{00000000-0005-0000-0000-0000A1080000}"/>
    <cellStyle name="Calculation 2 2 3 4 3 5 2" xfId="5630" xr:uid="{00000000-0005-0000-0000-0000A2080000}"/>
    <cellStyle name="Calculation 2 2 3 4 3 5 3" xfId="5631" xr:uid="{00000000-0005-0000-0000-0000A3080000}"/>
    <cellStyle name="Calculation 2 2 3 4 3 6" xfId="5632" xr:uid="{00000000-0005-0000-0000-0000A4080000}"/>
    <cellStyle name="Calculation 2 2 3 4 3 6 2" xfId="5633" xr:uid="{00000000-0005-0000-0000-0000A5080000}"/>
    <cellStyle name="Calculation 2 2 3 4 3 6 3" xfId="5634" xr:uid="{00000000-0005-0000-0000-0000A6080000}"/>
    <cellStyle name="Calculation 2 2 3 4 3 7" xfId="5635" xr:uid="{00000000-0005-0000-0000-0000A7080000}"/>
    <cellStyle name="Calculation 2 2 3 4 3 7 2" xfId="5636" xr:uid="{00000000-0005-0000-0000-0000A8080000}"/>
    <cellStyle name="Calculation 2 2 3 4 3 7 3" xfId="5637" xr:uid="{00000000-0005-0000-0000-0000A9080000}"/>
    <cellStyle name="Calculation 2 2 3 4 3 8" xfId="5638" xr:uid="{00000000-0005-0000-0000-0000AA080000}"/>
    <cellStyle name="Calculation 2 2 3 4 3 8 2" xfId="5639" xr:uid="{00000000-0005-0000-0000-0000AB080000}"/>
    <cellStyle name="Calculation 2 2 3 4 3 8 3" xfId="5640" xr:uid="{00000000-0005-0000-0000-0000AC080000}"/>
    <cellStyle name="Calculation 2 2 3 4 3 9" xfId="5641" xr:uid="{00000000-0005-0000-0000-0000AD080000}"/>
    <cellStyle name="Calculation 2 2 3 4 4" xfId="5642" xr:uid="{00000000-0005-0000-0000-0000AE080000}"/>
    <cellStyle name="Calculation 2 2 3 4 4 10" xfId="5643" xr:uid="{00000000-0005-0000-0000-0000AF080000}"/>
    <cellStyle name="Calculation 2 2 3 4 4 2" xfId="5644" xr:uid="{00000000-0005-0000-0000-0000B0080000}"/>
    <cellStyle name="Calculation 2 2 3 4 4 2 2" xfId="5645" xr:uid="{00000000-0005-0000-0000-0000B1080000}"/>
    <cellStyle name="Calculation 2 2 3 4 4 2 2 2" xfId="5646" xr:uid="{00000000-0005-0000-0000-0000B2080000}"/>
    <cellStyle name="Calculation 2 2 3 4 4 2 2 3" xfId="5647" xr:uid="{00000000-0005-0000-0000-0000B3080000}"/>
    <cellStyle name="Calculation 2 2 3 4 4 2 3" xfId="5648" xr:uid="{00000000-0005-0000-0000-0000B4080000}"/>
    <cellStyle name="Calculation 2 2 3 4 4 2 3 2" xfId="5649" xr:uid="{00000000-0005-0000-0000-0000B5080000}"/>
    <cellStyle name="Calculation 2 2 3 4 4 2 3 3" xfId="5650" xr:uid="{00000000-0005-0000-0000-0000B6080000}"/>
    <cellStyle name="Calculation 2 2 3 4 4 2 4" xfId="5651" xr:uid="{00000000-0005-0000-0000-0000B7080000}"/>
    <cellStyle name="Calculation 2 2 3 4 4 2 4 2" xfId="5652" xr:uid="{00000000-0005-0000-0000-0000B8080000}"/>
    <cellStyle name="Calculation 2 2 3 4 4 2 4 3" xfId="5653" xr:uid="{00000000-0005-0000-0000-0000B9080000}"/>
    <cellStyle name="Calculation 2 2 3 4 4 2 5" xfId="5654" xr:uid="{00000000-0005-0000-0000-0000BA080000}"/>
    <cellStyle name="Calculation 2 2 3 4 4 2 5 2" xfId="5655" xr:uid="{00000000-0005-0000-0000-0000BB080000}"/>
    <cellStyle name="Calculation 2 2 3 4 4 2 5 3" xfId="5656" xr:uid="{00000000-0005-0000-0000-0000BC080000}"/>
    <cellStyle name="Calculation 2 2 3 4 4 2 6" xfId="5657" xr:uid="{00000000-0005-0000-0000-0000BD080000}"/>
    <cellStyle name="Calculation 2 2 3 4 4 2 6 2" xfId="5658" xr:uid="{00000000-0005-0000-0000-0000BE080000}"/>
    <cellStyle name="Calculation 2 2 3 4 4 2 6 3" xfId="5659" xr:uid="{00000000-0005-0000-0000-0000BF080000}"/>
    <cellStyle name="Calculation 2 2 3 4 4 2 7" xfId="5660" xr:uid="{00000000-0005-0000-0000-0000C0080000}"/>
    <cellStyle name="Calculation 2 2 3 4 4 2 7 2" xfId="5661" xr:uid="{00000000-0005-0000-0000-0000C1080000}"/>
    <cellStyle name="Calculation 2 2 3 4 4 2 7 3" xfId="5662" xr:uid="{00000000-0005-0000-0000-0000C2080000}"/>
    <cellStyle name="Calculation 2 2 3 4 4 2 8" xfId="5663" xr:uid="{00000000-0005-0000-0000-0000C3080000}"/>
    <cellStyle name="Calculation 2 2 3 4 4 2 9" xfId="5664" xr:uid="{00000000-0005-0000-0000-0000C4080000}"/>
    <cellStyle name="Calculation 2 2 3 4 4 3" xfId="5665" xr:uid="{00000000-0005-0000-0000-0000C5080000}"/>
    <cellStyle name="Calculation 2 2 3 4 4 3 2" xfId="5666" xr:uid="{00000000-0005-0000-0000-0000C6080000}"/>
    <cellStyle name="Calculation 2 2 3 4 4 3 3" xfId="5667" xr:uid="{00000000-0005-0000-0000-0000C7080000}"/>
    <cellStyle name="Calculation 2 2 3 4 4 4" xfId="5668" xr:uid="{00000000-0005-0000-0000-0000C8080000}"/>
    <cellStyle name="Calculation 2 2 3 4 4 4 2" xfId="5669" xr:uid="{00000000-0005-0000-0000-0000C9080000}"/>
    <cellStyle name="Calculation 2 2 3 4 4 4 3" xfId="5670" xr:uid="{00000000-0005-0000-0000-0000CA080000}"/>
    <cellStyle name="Calculation 2 2 3 4 4 5" xfId="5671" xr:uid="{00000000-0005-0000-0000-0000CB080000}"/>
    <cellStyle name="Calculation 2 2 3 4 4 5 2" xfId="5672" xr:uid="{00000000-0005-0000-0000-0000CC080000}"/>
    <cellStyle name="Calculation 2 2 3 4 4 5 3" xfId="5673" xr:uid="{00000000-0005-0000-0000-0000CD080000}"/>
    <cellStyle name="Calculation 2 2 3 4 4 6" xfId="5674" xr:uid="{00000000-0005-0000-0000-0000CE080000}"/>
    <cellStyle name="Calculation 2 2 3 4 4 6 2" xfId="5675" xr:uid="{00000000-0005-0000-0000-0000CF080000}"/>
    <cellStyle name="Calculation 2 2 3 4 4 6 3" xfId="5676" xr:uid="{00000000-0005-0000-0000-0000D0080000}"/>
    <cellStyle name="Calculation 2 2 3 4 4 7" xfId="5677" xr:uid="{00000000-0005-0000-0000-0000D1080000}"/>
    <cellStyle name="Calculation 2 2 3 4 4 7 2" xfId="5678" xr:uid="{00000000-0005-0000-0000-0000D2080000}"/>
    <cellStyle name="Calculation 2 2 3 4 4 7 3" xfId="5679" xr:uid="{00000000-0005-0000-0000-0000D3080000}"/>
    <cellStyle name="Calculation 2 2 3 4 4 8" xfId="5680" xr:uid="{00000000-0005-0000-0000-0000D4080000}"/>
    <cellStyle name="Calculation 2 2 3 4 4 8 2" xfId="5681" xr:uid="{00000000-0005-0000-0000-0000D5080000}"/>
    <cellStyle name="Calculation 2 2 3 4 4 8 3" xfId="5682" xr:uid="{00000000-0005-0000-0000-0000D6080000}"/>
    <cellStyle name="Calculation 2 2 3 4 4 9" xfId="5683" xr:uid="{00000000-0005-0000-0000-0000D7080000}"/>
    <cellStyle name="Calculation 2 2 3 4 5" xfId="5684" xr:uid="{00000000-0005-0000-0000-0000D8080000}"/>
    <cellStyle name="Calculation 2 2 3 4 5 2" xfId="5685" xr:uid="{00000000-0005-0000-0000-0000D9080000}"/>
    <cellStyle name="Calculation 2 2 3 4 5 2 2" xfId="5686" xr:uid="{00000000-0005-0000-0000-0000DA080000}"/>
    <cellStyle name="Calculation 2 2 3 4 5 2 3" xfId="5687" xr:uid="{00000000-0005-0000-0000-0000DB080000}"/>
    <cellStyle name="Calculation 2 2 3 4 5 3" xfId="5688" xr:uid="{00000000-0005-0000-0000-0000DC080000}"/>
    <cellStyle name="Calculation 2 2 3 4 5 3 2" xfId="5689" xr:uid="{00000000-0005-0000-0000-0000DD080000}"/>
    <cellStyle name="Calculation 2 2 3 4 5 3 3" xfId="5690" xr:uid="{00000000-0005-0000-0000-0000DE080000}"/>
    <cellStyle name="Calculation 2 2 3 4 5 4" xfId="5691" xr:uid="{00000000-0005-0000-0000-0000DF080000}"/>
    <cellStyle name="Calculation 2 2 3 4 5 4 2" xfId="5692" xr:uid="{00000000-0005-0000-0000-0000E0080000}"/>
    <cellStyle name="Calculation 2 2 3 4 5 4 3" xfId="5693" xr:uid="{00000000-0005-0000-0000-0000E1080000}"/>
    <cellStyle name="Calculation 2 2 3 4 5 5" xfId="5694" xr:uid="{00000000-0005-0000-0000-0000E2080000}"/>
    <cellStyle name="Calculation 2 2 3 4 5 5 2" xfId="5695" xr:uid="{00000000-0005-0000-0000-0000E3080000}"/>
    <cellStyle name="Calculation 2 2 3 4 5 5 3" xfId="5696" xr:uid="{00000000-0005-0000-0000-0000E4080000}"/>
    <cellStyle name="Calculation 2 2 3 4 5 6" xfId="5697" xr:uid="{00000000-0005-0000-0000-0000E5080000}"/>
    <cellStyle name="Calculation 2 2 3 4 5 6 2" xfId="5698" xr:uid="{00000000-0005-0000-0000-0000E6080000}"/>
    <cellStyle name="Calculation 2 2 3 4 5 6 3" xfId="5699" xr:uid="{00000000-0005-0000-0000-0000E7080000}"/>
    <cellStyle name="Calculation 2 2 3 4 5 7" xfId="5700" xr:uid="{00000000-0005-0000-0000-0000E8080000}"/>
    <cellStyle name="Calculation 2 2 3 4 5 7 2" xfId="5701" xr:uid="{00000000-0005-0000-0000-0000E9080000}"/>
    <cellStyle name="Calculation 2 2 3 4 5 7 3" xfId="5702" xr:uid="{00000000-0005-0000-0000-0000EA080000}"/>
    <cellStyle name="Calculation 2 2 3 4 5 8" xfId="5703" xr:uid="{00000000-0005-0000-0000-0000EB080000}"/>
    <cellStyle name="Calculation 2 2 3 4 5 9" xfId="5704" xr:uid="{00000000-0005-0000-0000-0000EC080000}"/>
    <cellStyle name="Calculation 2 2 3 4 6" xfId="5705" xr:uid="{00000000-0005-0000-0000-0000ED080000}"/>
    <cellStyle name="Calculation 2 2 3 4 6 2" xfId="5706" xr:uid="{00000000-0005-0000-0000-0000EE080000}"/>
    <cellStyle name="Calculation 2 2 3 4 6 3" xfId="5707" xr:uid="{00000000-0005-0000-0000-0000EF080000}"/>
    <cellStyle name="Calculation 2 2 3 4 7" xfId="5708" xr:uid="{00000000-0005-0000-0000-0000F0080000}"/>
    <cellStyle name="Calculation 2 2 3 4 7 2" xfId="5709" xr:uid="{00000000-0005-0000-0000-0000F1080000}"/>
    <cellStyle name="Calculation 2 2 3 4 7 3" xfId="5710" xr:uid="{00000000-0005-0000-0000-0000F2080000}"/>
    <cellStyle name="Calculation 2 2 3 4 8" xfId="5711" xr:uid="{00000000-0005-0000-0000-0000F3080000}"/>
    <cellStyle name="Calculation 2 2 3 4 8 2" xfId="5712" xr:uid="{00000000-0005-0000-0000-0000F4080000}"/>
    <cellStyle name="Calculation 2 2 3 4 8 3" xfId="5713" xr:uid="{00000000-0005-0000-0000-0000F5080000}"/>
    <cellStyle name="Calculation 2 2 3 4 9" xfId="5714" xr:uid="{00000000-0005-0000-0000-0000F6080000}"/>
    <cellStyle name="Calculation 2 2 3 4 9 2" xfId="5715" xr:uid="{00000000-0005-0000-0000-0000F7080000}"/>
    <cellStyle name="Calculation 2 2 3 4 9 3" xfId="5716" xr:uid="{00000000-0005-0000-0000-0000F8080000}"/>
    <cellStyle name="Calculation 2 2 3 5" xfId="5717" xr:uid="{00000000-0005-0000-0000-0000F9080000}"/>
    <cellStyle name="Calculation 2 2 3 5 10" xfId="43976" xr:uid="{00000000-0005-0000-0000-0000FA080000}"/>
    <cellStyle name="Calculation 2 2 3 5 2" xfId="5718" xr:uid="{00000000-0005-0000-0000-0000FB080000}"/>
    <cellStyle name="Calculation 2 2 3 5 2 10" xfId="5719" xr:uid="{00000000-0005-0000-0000-0000FC080000}"/>
    <cellStyle name="Calculation 2 2 3 5 2 2" xfId="5720" xr:uid="{00000000-0005-0000-0000-0000FD080000}"/>
    <cellStyle name="Calculation 2 2 3 5 2 2 2" xfId="5721" xr:uid="{00000000-0005-0000-0000-0000FE080000}"/>
    <cellStyle name="Calculation 2 2 3 5 2 2 2 2" xfId="5722" xr:uid="{00000000-0005-0000-0000-0000FF080000}"/>
    <cellStyle name="Calculation 2 2 3 5 2 2 2 3" xfId="5723" xr:uid="{00000000-0005-0000-0000-000000090000}"/>
    <cellStyle name="Calculation 2 2 3 5 2 2 3" xfId="5724" xr:uid="{00000000-0005-0000-0000-000001090000}"/>
    <cellStyle name="Calculation 2 2 3 5 2 2 3 2" xfId="5725" xr:uid="{00000000-0005-0000-0000-000002090000}"/>
    <cellStyle name="Calculation 2 2 3 5 2 2 3 3" xfId="5726" xr:uid="{00000000-0005-0000-0000-000003090000}"/>
    <cellStyle name="Calculation 2 2 3 5 2 2 4" xfId="5727" xr:uid="{00000000-0005-0000-0000-000004090000}"/>
    <cellStyle name="Calculation 2 2 3 5 2 2 4 2" xfId="5728" xr:uid="{00000000-0005-0000-0000-000005090000}"/>
    <cellStyle name="Calculation 2 2 3 5 2 2 4 3" xfId="5729" xr:uid="{00000000-0005-0000-0000-000006090000}"/>
    <cellStyle name="Calculation 2 2 3 5 2 2 5" xfId="5730" xr:uid="{00000000-0005-0000-0000-000007090000}"/>
    <cellStyle name="Calculation 2 2 3 5 2 2 5 2" xfId="5731" xr:uid="{00000000-0005-0000-0000-000008090000}"/>
    <cellStyle name="Calculation 2 2 3 5 2 2 5 3" xfId="5732" xr:uid="{00000000-0005-0000-0000-000009090000}"/>
    <cellStyle name="Calculation 2 2 3 5 2 2 6" xfId="5733" xr:uid="{00000000-0005-0000-0000-00000A090000}"/>
    <cellStyle name="Calculation 2 2 3 5 2 2 6 2" xfId="5734" xr:uid="{00000000-0005-0000-0000-00000B090000}"/>
    <cellStyle name="Calculation 2 2 3 5 2 2 6 3" xfId="5735" xr:uid="{00000000-0005-0000-0000-00000C090000}"/>
    <cellStyle name="Calculation 2 2 3 5 2 2 7" xfId="5736" xr:uid="{00000000-0005-0000-0000-00000D090000}"/>
    <cellStyle name="Calculation 2 2 3 5 2 2 7 2" xfId="5737" xr:uid="{00000000-0005-0000-0000-00000E090000}"/>
    <cellStyle name="Calculation 2 2 3 5 2 2 7 3" xfId="5738" xr:uid="{00000000-0005-0000-0000-00000F090000}"/>
    <cellStyle name="Calculation 2 2 3 5 2 2 8" xfId="5739" xr:uid="{00000000-0005-0000-0000-000010090000}"/>
    <cellStyle name="Calculation 2 2 3 5 2 2 9" xfId="5740" xr:uid="{00000000-0005-0000-0000-000011090000}"/>
    <cellStyle name="Calculation 2 2 3 5 2 3" xfId="5741" xr:uid="{00000000-0005-0000-0000-000012090000}"/>
    <cellStyle name="Calculation 2 2 3 5 2 3 2" xfId="5742" xr:uid="{00000000-0005-0000-0000-000013090000}"/>
    <cellStyle name="Calculation 2 2 3 5 2 3 3" xfId="5743" xr:uid="{00000000-0005-0000-0000-000014090000}"/>
    <cellStyle name="Calculation 2 2 3 5 2 4" xfId="5744" xr:uid="{00000000-0005-0000-0000-000015090000}"/>
    <cellStyle name="Calculation 2 2 3 5 2 4 2" xfId="5745" xr:uid="{00000000-0005-0000-0000-000016090000}"/>
    <cellStyle name="Calculation 2 2 3 5 2 4 3" xfId="5746" xr:uid="{00000000-0005-0000-0000-000017090000}"/>
    <cellStyle name="Calculation 2 2 3 5 2 5" xfId="5747" xr:uid="{00000000-0005-0000-0000-000018090000}"/>
    <cellStyle name="Calculation 2 2 3 5 2 5 2" xfId="5748" xr:uid="{00000000-0005-0000-0000-000019090000}"/>
    <cellStyle name="Calculation 2 2 3 5 2 5 3" xfId="5749" xr:uid="{00000000-0005-0000-0000-00001A090000}"/>
    <cellStyle name="Calculation 2 2 3 5 2 6" xfId="5750" xr:uid="{00000000-0005-0000-0000-00001B090000}"/>
    <cellStyle name="Calculation 2 2 3 5 2 6 2" xfId="5751" xr:uid="{00000000-0005-0000-0000-00001C090000}"/>
    <cellStyle name="Calculation 2 2 3 5 2 6 3" xfId="5752" xr:uid="{00000000-0005-0000-0000-00001D090000}"/>
    <cellStyle name="Calculation 2 2 3 5 2 7" xfId="5753" xr:uid="{00000000-0005-0000-0000-00001E090000}"/>
    <cellStyle name="Calculation 2 2 3 5 2 7 2" xfId="5754" xr:uid="{00000000-0005-0000-0000-00001F090000}"/>
    <cellStyle name="Calculation 2 2 3 5 2 7 3" xfId="5755" xr:uid="{00000000-0005-0000-0000-000020090000}"/>
    <cellStyle name="Calculation 2 2 3 5 2 8" xfId="5756" xr:uid="{00000000-0005-0000-0000-000021090000}"/>
    <cellStyle name="Calculation 2 2 3 5 2 8 2" xfId="5757" xr:uid="{00000000-0005-0000-0000-000022090000}"/>
    <cellStyle name="Calculation 2 2 3 5 2 8 3" xfId="5758" xr:uid="{00000000-0005-0000-0000-000023090000}"/>
    <cellStyle name="Calculation 2 2 3 5 2 9" xfId="5759" xr:uid="{00000000-0005-0000-0000-000024090000}"/>
    <cellStyle name="Calculation 2 2 3 5 3" xfId="5760" xr:uid="{00000000-0005-0000-0000-000025090000}"/>
    <cellStyle name="Calculation 2 2 3 5 3 10" xfId="5761" xr:uid="{00000000-0005-0000-0000-000026090000}"/>
    <cellStyle name="Calculation 2 2 3 5 3 2" xfId="5762" xr:uid="{00000000-0005-0000-0000-000027090000}"/>
    <cellStyle name="Calculation 2 2 3 5 3 2 2" xfId="5763" xr:uid="{00000000-0005-0000-0000-000028090000}"/>
    <cellStyle name="Calculation 2 2 3 5 3 2 2 2" xfId="5764" xr:uid="{00000000-0005-0000-0000-000029090000}"/>
    <cellStyle name="Calculation 2 2 3 5 3 2 2 3" xfId="5765" xr:uid="{00000000-0005-0000-0000-00002A090000}"/>
    <cellStyle name="Calculation 2 2 3 5 3 2 3" xfId="5766" xr:uid="{00000000-0005-0000-0000-00002B090000}"/>
    <cellStyle name="Calculation 2 2 3 5 3 2 3 2" xfId="5767" xr:uid="{00000000-0005-0000-0000-00002C090000}"/>
    <cellStyle name="Calculation 2 2 3 5 3 2 3 3" xfId="5768" xr:uid="{00000000-0005-0000-0000-00002D090000}"/>
    <cellStyle name="Calculation 2 2 3 5 3 2 4" xfId="5769" xr:uid="{00000000-0005-0000-0000-00002E090000}"/>
    <cellStyle name="Calculation 2 2 3 5 3 2 4 2" xfId="5770" xr:uid="{00000000-0005-0000-0000-00002F090000}"/>
    <cellStyle name="Calculation 2 2 3 5 3 2 4 3" xfId="5771" xr:uid="{00000000-0005-0000-0000-000030090000}"/>
    <cellStyle name="Calculation 2 2 3 5 3 2 5" xfId="5772" xr:uid="{00000000-0005-0000-0000-000031090000}"/>
    <cellStyle name="Calculation 2 2 3 5 3 2 5 2" xfId="5773" xr:uid="{00000000-0005-0000-0000-000032090000}"/>
    <cellStyle name="Calculation 2 2 3 5 3 2 5 3" xfId="5774" xr:uid="{00000000-0005-0000-0000-000033090000}"/>
    <cellStyle name="Calculation 2 2 3 5 3 2 6" xfId="5775" xr:uid="{00000000-0005-0000-0000-000034090000}"/>
    <cellStyle name="Calculation 2 2 3 5 3 2 6 2" xfId="5776" xr:uid="{00000000-0005-0000-0000-000035090000}"/>
    <cellStyle name="Calculation 2 2 3 5 3 2 6 3" xfId="5777" xr:uid="{00000000-0005-0000-0000-000036090000}"/>
    <cellStyle name="Calculation 2 2 3 5 3 2 7" xfId="5778" xr:uid="{00000000-0005-0000-0000-000037090000}"/>
    <cellStyle name="Calculation 2 2 3 5 3 2 7 2" xfId="5779" xr:uid="{00000000-0005-0000-0000-000038090000}"/>
    <cellStyle name="Calculation 2 2 3 5 3 2 7 3" xfId="5780" xr:uid="{00000000-0005-0000-0000-000039090000}"/>
    <cellStyle name="Calculation 2 2 3 5 3 2 8" xfId="5781" xr:uid="{00000000-0005-0000-0000-00003A090000}"/>
    <cellStyle name="Calculation 2 2 3 5 3 2 9" xfId="5782" xr:uid="{00000000-0005-0000-0000-00003B090000}"/>
    <cellStyle name="Calculation 2 2 3 5 3 3" xfId="5783" xr:uid="{00000000-0005-0000-0000-00003C090000}"/>
    <cellStyle name="Calculation 2 2 3 5 3 3 2" xfId="5784" xr:uid="{00000000-0005-0000-0000-00003D090000}"/>
    <cellStyle name="Calculation 2 2 3 5 3 3 3" xfId="5785" xr:uid="{00000000-0005-0000-0000-00003E090000}"/>
    <cellStyle name="Calculation 2 2 3 5 3 4" xfId="5786" xr:uid="{00000000-0005-0000-0000-00003F090000}"/>
    <cellStyle name="Calculation 2 2 3 5 3 4 2" xfId="5787" xr:uid="{00000000-0005-0000-0000-000040090000}"/>
    <cellStyle name="Calculation 2 2 3 5 3 4 3" xfId="5788" xr:uid="{00000000-0005-0000-0000-000041090000}"/>
    <cellStyle name="Calculation 2 2 3 5 3 5" xfId="5789" xr:uid="{00000000-0005-0000-0000-000042090000}"/>
    <cellStyle name="Calculation 2 2 3 5 3 5 2" xfId="5790" xr:uid="{00000000-0005-0000-0000-000043090000}"/>
    <cellStyle name="Calculation 2 2 3 5 3 5 3" xfId="5791" xr:uid="{00000000-0005-0000-0000-000044090000}"/>
    <cellStyle name="Calculation 2 2 3 5 3 6" xfId="5792" xr:uid="{00000000-0005-0000-0000-000045090000}"/>
    <cellStyle name="Calculation 2 2 3 5 3 6 2" xfId="5793" xr:uid="{00000000-0005-0000-0000-000046090000}"/>
    <cellStyle name="Calculation 2 2 3 5 3 6 3" xfId="5794" xr:uid="{00000000-0005-0000-0000-000047090000}"/>
    <cellStyle name="Calculation 2 2 3 5 3 7" xfId="5795" xr:uid="{00000000-0005-0000-0000-000048090000}"/>
    <cellStyle name="Calculation 2 2 3 5 3 7 2" xfId="5796" xr:uid="{00000000-0005-0000-0000-000049090000}"/>
    <cellStyle name="Calculation 2 2 3 5 3 7 3" xfId="5797" xr:uid="{00000000-0005-0000-0000-00004A090000}"/>
    <cellStyle name="Calculation 2 2 3 5 3 8" xfId="5798" xr:uid="{00000000-0005-0000-0000-00004B090000}"/>
    <cellStyle name="Calculation 2 2 3 5 3 8 2" xfId="5799" xr:uid="{00000000-0005-0000-0000-00004C090000}"/>
    <cellStyle name="Calculation 2 2 3 5 3 8 3" xfId="5800" xr:uid="{00000000-0005-0000-0000-00004D090000}"/>
    <cellStyle name="Calculation 2 2 3 5 3 9" xfId="5801" xr:uid="{00000000-0005-0000-0000-00004E090000}"/>
    <cellStyle name="Calculation 2 2 3 5 4" xfId="5802" xr:uid="{00000000-0005-0000-0000-00004F090000}"/>
    <cellStyle name="Calculation 2 2 3 5 4 10" xfId="5803" xr:uid="{00000000-0005-0000-0000-000050090000}"/>
    <cellStyle name="Calculation 2 2 3 5 4 2" xfId="5804" xr:uid="{00000000-0005-0000-0000-000051090000}"/>
    <cellStyle name="Calculation 2 2 3 5 4 2 2" xfId="5805" xr:uid="{00000000-0005-0000-0000-000052090000}"/>
    <cellStyle name="Calculation 2 2 3 5 4 2 2 2" xfId="5806" xr:uid="{00000000-0005-0000-0000-000053090000}"/>
    <cellStyle name="Calculation 2 2 3 5 4 2 2 3" xfId="5807" xr:uid="{00000000-0005-0000-0000-000054090000}"/>
    <cellStyle name="Calculation 2 2 3 5 4 2 3" xfId="5808" xr:uid="{00000000-0005-0000-0000-000055090000}"/>
    <cellStyle name="Calculation 2 2 3 5 4 2 3 2" xfId="5809" xr:uid="{00000000-0005-0000-0000-000056090000}"/>
    <cellStyle name="Calculation 2 2 3 5 4 2 3 3" xfId="5810" xr:uid="{00000000-0005-0000-0000-000057090000}"/>
    <cellStyle name="Calculation 2 2 3 5 4 2 4" xfId="5811" xr:uid="{00000000-0005-0000-0000-000058090000}"/>
    <cellStyle name="Calculation 2 2 3 5 4 2 4 2" xfId="5812" xr:uid="{00000000-0005-0000-0000-000059090000}"/>
    <cellStyle name="Calculation 2 2 3 5 4 2 4 3" xfId="5813" xr:uid="{00000000-0005-0000-0000-00005A090000}"/>
    <cellStyle name="Calculation 2 2 3 5 4 2 5" xfId="5814" xr:uid="{00000000-0005-0000-0000-00005B090000}"/>
    <cellStyle name="Calculation 2 2 3 5 4 2 5 2" xfId="5815" xr:uid="{00000000-0005-0000-0000-00005C090000}"/>
    <cellStyle name="Calculation 2 2 3 5 4 2 5 3" xfId="5816" xr:uid="{00000000-0005-0000-0000-00005D090000}"/>
    <cellStyle name="Calculation 2 2 3 5 4 2 6" xfId="5817" xr:uid="{00000000-0005-0000-0000-00005E090000}"/>
    <cellStyle name="Calculation 2 2 3 5 4 2 6 2" xfId="5818" xr:uid="{00000000-0005-0000-0000-00005F090000}"/>
    <cellStyle name="Calculation 2 2 3 5 4 2 6 3" xfId="5819" xr:uid="{00000000-0005-0000-0000-000060090000}"/>
    <cellStyle name="Calculation 2 2 3 5 4 2 7" xfId="5820" xr:uid="{00000000-0005-0000-0000-000061090000}"/>
    <cellStyle name="Calculation 2 2 3 5 4 2 7 2" xfId="5821" xr:uid="{00000000-0005-0000-0000-000062090000}"/>
    <cellStyle name="Calculation 2 2 3 5 4 2 7 3" xfId="5822" xr:uid="{00000000-0005-0000-0000-000063090000}"/>
    <cellStyle name="Calculation 2 2 3 5 4 2 8" xfId="5823" xr:uid="{00000000-0005-0000-0000-000064090000}"/>
    <cellStyle name="Calculation 2 2 3 5 4 2 9" xfId="5824" xr:uid="{00000000-0005-0000-0000-000065090000}"/>
    <cellStyle name="Calculation 2 2 3 5 4 3" xfId="5825" xr:uid="{00000000-0005-0000-0000-000066090000}"/>
    <cellStyle name="Calculation 2 2 3 5 4 3 2" xfId="5826" xr:uid="{00000000-0005-0000-0000-000067090000}"/>
    <cellStyle name="Calculation 2 2 3 5 4 3 3" xfId="5827" xr:uid="{00000000-0005-0000-0000-000068090000}"/>
    <cellStyle name="Calculation 2 2 3 5 4 4" xfId="5828" xr:uid="{00000000-0005-0000-0000-000069090000}"/>
    <cellStyle name="Calculation 2 2 3 5 4 4 2" xfId="5829" xr:uid="{00000000-0005-0000-0000-00006A090000}"/>
    <cellStyle name="Calculation 2 2 3 5 4 4 3" xfId="5830" xr:uid="{00000000-0005-0000-0000-00006B090000}"/>
    <cellStyle name="Calculation 2 2 3 5 4 5" xfId="5831" xr:uid="{00000000-0005-0000-0000-00006C090000}"/>
    <cellStyle name="Calculation 2 2 3 5 4 5 2" xfId="5832" xr:uid="{00000000-0005-0000-0000-00006D090000}"/>
    <cellStyle name="Calculation 2 2 3 5 4 5 3" xfId="5833" xr:uid="{00000000-0005-0000-0000-00006E090000}"/>
    <cellStyle name="Calculation 2 2 3 5 4 6" xfId="5834" xr:uid="{00000000-0005-0000-0000-00006F090000}"/>
    <cellStyle name="Calculation 2 2 3 5 4 6 2" xfId="5835" xr:uid="{00000000-0005-0000-0000-000070090000}"/>
    <cellStyle name="Calculation 2 2 3 5 4 6 3" xfId="5836" xr:uid="{00000000-0005-0000-0000-000071090000}"/>
    <cellStyle name="Calculation 2 2 3 5 4 7" xfId="5837" xr:uid="{00000000-0005-0000-0000-000072090000}"/>
    <cellStyle name="Calculation 2 2 3 5 4 7 2" xfId="5838" xr:uid="{00000000-0005-0000-0000-000073090000}"/>
    <cellStyle name="Calculation 2 2 3 5 4 7 3" xfId="5839" xr:uid="{00000000-0005-0000-0000-000074090000}"/>
    <cellStyle name="Calculation 2 2 3 5 4 8" xfId="5840" xr:uid="{00000000-0005-0000-0000-000075090000}"/>
    <cellStyle name="Calculation 2 2 3 5 4 8 2" xfId="5841" xr:uid="{00000000-0005-0000-0000-000076090000}"/>
    <cellStyle name="Calculation 2 2 3 5 4 8 3" xfId="5842" xr:uid="{00000000-0005-0000-0000-000077090000}"/>
    <cellStyle name="Calculation 2 2 3 5 4 9" xfId="5843" xr:uid="{00000000-0005-0000-0000-000078090000}"/>
    <cellStyle name="Calculation 2 2 3 5 5" xfId="5844" xr:uid="{00000000-0005-0000-0000-000079090000}"/>
    <cellStyle name="Calculation 2 2 3 5 5 2" xfId="5845" xr:uid="{00000000-0005-0000-0000-00007A090000}"/>
    <cellStyle name="Calculation 2 2 3 5 5 2 2" xfId="5846" xr:uid="{00000000-0005-0000-0000-00007B090000}"/>
    <cellStyle name="Calculation 2 2 3 5 5 2 3" xfId="5847" xr:uid="{00000000-0005-0000-0000-00007C090000}"/>
    <cellStyle name="Calculation 2 2 3 5 5 3" xfId="5848" xr:uid="{00000000-0005-0000-0000-00007D090000}"/>
    <cellStyle name="Calculation 2 2 3 5 5 3 2" xfId="5849" xr:uid="{00000000-0005-0000-0000-00007E090000}"/>
    <cellStyle name="Calculation 2 2 3 5 5 3 3" xfId="5850" xr:uid="{00000000-0005-0000-0000-00007F090000}"/>
    <cellStyle name="Calculation 2 2 3 5 5 4" xfId="5851" xr:uid="{00000000-0005-0000-0000-000080090000}"/>
    <cellStyle name="Calculation 2 2 3 5 5 4 2" xfId="5852" xr:uid="{00000000-0005-0000-0000-000081090000}"/>
    <cellStyle name="Calculation 2 2 3 5 5 4 3" xfId="5853" xr:uid="{00000000-0005-0000-0000-000082090000}"/>
    <cellStyle name="Calculation 2 2 3 5 5 5" xfId="5854" xr:uid="{00000000-0005-0000-0000-000083090000}"/>
    <cellStyle name="Calculation 2 2 3 5 5 5 2" xfId="5855" xr:uid="{00000000-0005-0000-0000-000084090000}"/>
    <cellStyle name="Calculation 2 2 3 5 5 5 3" xfId="5856" xr:uid="{00000000-0005-0000-0000-000085090000}"/>
    <cellStyle name="Calculation 2 2 3 5 5 6" xfId="5857" xr:uid="{00000000-0005-0000-0000-000086090000}"/>
    <cellStyle name="Calculation 2 2 3 5 5 6 2" xfId="5858" xr:uid="{00000000-0005-0000-0000-000087090000}"/>
    <cellStyle name="Calculation 2 2 3 5 5 6 3" xfId="5859" xr:uid="{00000000-0005-0000-0000-000088090000}"/>
    <cellStyle name="Calculation 2 2 3 5 5 7" xfId="5860" xr:uid="{00000000-0005-0000-0000-000089090000}"/>
    <cellStyle name="Calculation 2 2 3 5 5 7 2" xfId="5861" xr:uid="{00000000-0005-0000-0000-00008A090000}"/>
    <cellStyle name="Calculation 2 2 3 5 5 7 3" xfId="5862" xr:uid="{00000000-0005-0000-0000-00008B090000}"/>
    <cellStyle name="Calculation 2 2 3 5 5 8" xfId="5863" xr:uid="{00000000-0005-0000-0000-00008C090000}"/>
    <cellStyle name="Calculation 2 2 3 5 5 9" xfId="5864" xr:uid="{00000000-0005-0000-0000-00008D090000}"/>
    <cellStyle name="Calculation 2 2 3 5 6" xfId="5865" xr:uid="{00000000-0005-0000-0000-00008E090000}"/>
    <cellStyle name="Calculation 2 2 3 5 6 2" xfId="5866" xr:uid="{00000000-0005-0000-0000-00008F090000}"/>
    <cellStyle name="Calculation 2 2 3 5 6 3" xfId="5867" xr:uid="{00000000-0005-0000-0000-000090090000}"/>
    <cellStyle name="Calculation 2 2 3 5 7" xfId="5868" xr:uid="{00000000-0005-0000-0000-000091090000}"/>
    <cellStyle name="Calculation 2 2 3 5 7 2" xfId="5869" xr:uid="{00000000-0005-0000-0000-000092090000}"/>
    <cellStyle name="Calculation 2 2 3 5 7 3" xfId="5870" xr:uid="{00000000-0005-0000-0000-000093090000}"/>
    <cellStyle name="Calculation 2 2 3 5 8" xfId="5871" xr:uid="{00000000-0005-0000-0000-000094090000}"/>
    <cellStyle name="Calculation 2 2 3 5 8 2" xfId="5872" xr:uid="{00000000-0005-0000-0000-000095090000}"/>
    <cellStyle name="Calculation 2 2 3 5 8 3" xfId="5873" xr:uid="{00000000-0005-0000-0000-000096090000}"/>
    <cellStyle name="Calculation 2 2 3 5 9" xfId="5874" xr:uid="{00000000-0005-0000-0000-000097090000}"/>
    <cellStyle name="Calculation 2 2 3 5 9 2" xfId="5875" xr:uid="{00000000-0005-0000-0000-000098090000}"/>
    <cellStyle name="Calculation 2 2 3 5 9 3" xfId="5876" xr:uid="{00000000-0005-0000-0000-000099090000}"/>
    <cellStyle name="Calculation 2 2 3 6" xfId="5877" xr:uid="{00000000-0005-0000-0000-00009A090000}"/>
    <cellStyle name="Calculation 2 2 3 6 10" xfId="5878" xr:uid="{00000000-0005-0000-0000-00009B090000}"/>
    <cellStyle name="Calculation 2 2 3 6 2" xfId="5879" xr:uid="{00000000-0005-0000-0000-00009C090000}"/>
    <cellStyle name="Calculation 2 2 3 6 2 2" xfId="5880" xr:uid="{00000000-0005-0000-0000-00009D090000}"/>
    <cellStyle name="Calculation 2 2 3 6 2 2 2" xfId="5881" xr:uid="{00000000-0005-0000-0000-00009E090000}"/>
    <cellStyle name="Calculation 2 2 3 6 2 2 3" xfId="5882" xr:uid="{00000000-0005-0000-0000-00009F090000}"/>
    <cellStyle name="Calculation 2 2 3 6 2 3" xfId="5883" xr:uid="{00000000-0005-0000-0000-0000A0090000}"/>
    <cellStyle name="Calculation 2 2 3 6 2 3 2" xfId="5884" xr:uid="{00000000-0005-0000-0000-0000A1090000}"/>
    <cellStyle name="Calculation 2 2 3 6 2 3 3" xfId="5885" xr:uid="{00000000-0005-0000-0000-0000A2090000}"/>
    <cellStyle name="Calculation 2 2 3 6 2 4" xfId="5886" xr:uid="{00000000-0005-0000-0000-0000A3090000}"/>
    <cellStyle name="Calculation 2 2 3 6 2 4 2" xfId="5887" xr:uid="{00000000-0005-0000-0000-0000A4090000}"/>
    <cellStyle name="Calculation 2 2 3 6 2 4 3" xfId="5888" xr:uid="{00000000-0005-0000-0000-0000A5090000}"/>
    <cellStyle name="Calculation 2 2 3 6 2 5" xfId="5889" xr:uid="{00000000-0005-0000-0000-0000A6090000}"/>
    <cellStyle name="Calculation 2 2 3 6 2 5 2" xfId="5890" xr:uid="{00000000-0005-0000-0000-0000A7090000}"/>
    <cellStyle name="Calculation 2 2 3 6 2 5 3" xfId="5891" xr:uid="{00000000-0005-0000-0000-0000A8090000}"/>
    <cellStyle name="Calculation 2 2 3 6 2 6" xfId="5892" xr:uid="{00000000-0005-0000-0000-0000A9090000}"/>
    <cellStyle name="Calculation 2 2 3 6 2 6 2" xfId="5893" xr:uid="{00000000-0005-0000-0000-0000AA090000}"/>
    <cellStyle name="Calculation 2 2 3 6 2 6 3" xfId="5894" xr:uid="{00000000-0005-0000-0000-0000AB090000}"/>
    <cellStyle name="Calculation 2 2 3 6 2 7" xfId="5895" xr:uid="{00000000-0005-0000-0000-0000AC090000}"/>
    <cellStyle name="Calculation 2 2 3 6 2 7 2" xfId="5896" xr:uid="{00000000-0005-0000-0000-0000AD090000}"/>
    <cellStyle name="Calculation 2 2 3 6 2 7 3" xfId="5897" xr:uid="{00000000-0005-0000-0000-0000AE090000}"/>
    <cellStyle name="Calculation 2 2 3 6 2 8" xfId="5898" xr:uid="{00000000-0005-0000-0000-0000AF090000}"/>
    <cellStyle name="Calculation 2 2 3 6 2 9" xfId="5899" xr:uid="{00000000-0005-0000-0000-0000B0090000}"/>
    <cellStyle name="Calculation 2 2 3 6 3" xfId="5900" xr:uid="{00000000-0005-0000-0000-0000B1090000}"/>
    <cellStyle name="Calculation 2 2 3 6 3 2" xfId="5901" xr:uid="{00000000-0005-0000-0000-0000B2090000}"/>
    <cellStyle name="Calculation 2 2 3 6 3 3" xfId="5902" xr:uid="{00000000-0005-0000-0000-0000B3090000}"/>
    <cellStyle name="Calculation 2 2 3 6 4" xfId="5903" xr:uid="{00000000-0005-0000-0000-0000B4090000}"/>
    <cellStyle name="Calculation 2 2 3 6 4 2" xfId="5904" xr:uid="{00000000-0005-0000-0000-0000B5090000}"/>
    <cellStyle name="Calculation 2 2 3 6 4 3" xfId="5905" xr:uid="{00000000-0005-0000-0000-0000B6090000}"/>
    <cellStyle name="Calculation 2 2 3 6 5" xfId="5906" xr:uid="{00000000-0005-0000-0000-0000B7090000}"/>
    <cellStyle name="Calculation 2 2 3 6 5 2" xfId="5907" xr:uid="{00000000-0005-0000-0000-0000B8090000}"/>
    <cellStyle name="Calculation 2 2 3 6 5 3" xfId="5908" xr:uid="{00000000-0005-0000-0000-0000B9090000}"/>
    <cellStyle name="Calculation 2 2 3 6 6" xfId="5909" xr:uid="{00000000-0005-0000-0000-0000BA090000}"/>
    <cellStyle name="Calculation 2 2 3 6 6 2" xfId="5910" xr:uid="{00000000-0005-0000-0000-0000BB090000}"/>
    <cellStyle name="Calculation 2 2 3 6 6 3" xfId="5911" xr:uid="{00000000-0005-0000-0000-0000BC090000}"/>
    <cellStyle name="Calculation 2 2 3 6 7" xfId="5912" xr:uid="{00000000-0005-0000-0000-0000BD090000}"/>
    <cellStyle name="Calculation 2 2 3 6 7 2" xfId="5913" xr:uid="{00000000-0005-0000-0000-0000BE090000}"/>
    <cellStyle name="Calculation 2 2 3 6 7 3" xfId="5914" xr:uid="{00000000-0005-0000-0000-0000BF090000}"/>
    <cellStyle name="Calculation 2 2 3 6 8" xfId="5915" xr:uid="{00000000-0005-0000-0000-0000C0090000}"/>
    <cellStyle name="Calculation 2 2 3 6 8 2" xfId="5916" xr:uid="{00000000-0005-0000-0000-0000C1090000}"/>
    <cellStyle name="Calculation 2 2 3 6 8 3" xfId="5917" xr:uid="{00000000-0005-0000-0000-0000C2090000}"/>
    <cellStyle name="Calculation 2 2 3 6 9" xfId="5918" xr:uid="{00000000-0005-0000-0000-0000C3090000}"/>
    <cellStyle name="Calculation 2 2 3 7" xfId="5919" xr:uid="{00000000-0005-0000-0000-0000C4090000}"/>
    <cellStyle name="Calculation 2 2 3 7 10" xfId="5920" xr:uid="{00000000-0005-0000-0000-0000C5090000}"/>
    <cellStyle name="Calculation 2 2 3 7 2" xfId="5921" xr:uid="{00000000-0005-0000-0000-0000C6090000}"/>
    <cellStyle name="Calculation 2 2 3 7 2 2" xfId="5922" xr:uid="{00000000-0005-0000-0000-0000C7090000}"/>
    <cellStyle name="Calculation 2 2 3 7 2 2 2" xfId="5923" xr:uid="{00000000-0005-0000-0000-0000C8090000}"/>
    <cellStyle name="Calculation 2 2 3 7 2 2 3" xfId="5924" xr:uid="{00000000-0005-0000-0000-0000C9090000}"/>
    <cellStyle name="Calculation 2 2 3 7 2 3" xfId="5925" xr:uid="{00000000-0005-0000-0000-0000CA090000}"/>
    <cellStyle name="Calculation 2 2 3 7 2 3 2" xfId="5926" xr:uid="{00000000-0005-0000-0000-0000CB090000}"/>
    <cellStyle name="Calculation 2 2 3 7 2 3 3" xfId="5927" xr:uid="{00000000-0005-0000-0000-0000CC090000}"/>
    <cellStyle name="Calculation 2 2 3 7 2 4" xfId="5928" xr:uid="{00000000-0005-0000-0000-0000CD090000}"/>
    <cellStyle name="Calculation 2 2 3 7 2 4 2" xfId="5929" xr:uid="{00000000-0005-0000-0000-0000CE090000}"/>
    <cellStyle name="Calculation 2 2 3 7 2 4 3" xfId="5930" xr:uid="{00000000-0005-0000-0000-0000CF090000}"/>
    <cellStyle name="Calculation 2 2 3 7 2 5" xfId="5931" xr:uid="{00000000-0005-0000-0000-0000D0090000}"/>
    <cellStyle name="Calculation 2 2 3 7 2 5 2" xfId="5932" xr:uid="{00000000-0005-0000-0000-0000D1090000}"/>
    <cellStyle name="Calculation 2 2 3 7 2 5 3" xfId="5933" xr:uid="{00000000-0005-0000-0000-0000D2090000}"/>
    <cellStyle name="Calculation 2 2 3 7 2 6" xfId="5934" xr:uid="{00000000-0005-0000-0000-0000D3090000}"/>
    <cellStyle name="Calculation 2 2 3 7 2 6 2" xfId="5935" xr:uid="{00000000-0005-0000-0000-0000D4090000}"/>
    <cellStyle name="Calculation 2 2 3 7 2 6 3" xfId="5936" xr:uid="{00000000-0005-0000-0000-0000D5090000}"/>
    <cellStyle name="Calculation 2 2 3 7 2 7" xfId="5937" xr:uid="{00000000-0005-0000-0000-0000D6090000}"/>
    <cellStyle name="Calculation 2 2 3 7 2 7 2" xfId="5938" xr:uid="{00000000-0005-0000-0000-0000D7090000}"/>
    <cellStyle name="Calculation 2 2 3 7 2 7 3" xfId="5939" xr:uid="{00000000-0005-0000-0000-0000D8090000}"/>
    <cellStyle name="Calculation 2 2 3 7 2 8" xfId="5940" xr:uid="{00000000-0005-0000-0000-0000D9090000}"/>
    <cellStyle name="Calculation 2 2 3 7 2 9" xfId="5941" xr:uid="{00000000-0005-0000-0000-0000DA090000}"/>
    <cellStyle name="Calculation 2 2 3 7 3" xfId="5942" xr:uid="{00000000-0005-0000-0000-0000DB090000}"/>
    <cellStyle name="Calculation 2 2 3 7 3 2" xfId="5943" xr:uid="{00000000-0005-0000-0000-0000DC090000}"/>
    <cellStyle name="Calculation 2 2 3 7 3 3" xfId="5944" xr:uid="{00000000-0005-0000-0000-0000DD090000}"/>
    <cellStyle name="Calculation 2 2 3 7 4" xfId="5945" xr:uid="{00000000-0005-0000-0000-0000DE090000}"/>
    <cellStyle name="Calculation 2 2 3 7 4 2" xfId="5946" xr:uid="{00000000-0005-0000-0000-0000DF090000}"/>
    <cellStyle name="Calculation 2 2 3 7 4 3" xfId="5947" xr:uid="{00000000-0005-0000-0000-0000E0090000}"/>
    <cellStyle name="Calculation 2 2 3 7 5" xfId="5948" xr:uid="{00000000-0005-0000-0000-0000E1090000}"/>
    <cellStyle name="Calculation 2 2 3 7 5 2" xfId="5949" xr:uid="{00000000-0005-0000-0000-0000E2090000}"/>
    <cellStyle name="Calculation 2 2 3 7 5 3" xfId="5950" xr:uid="{00000000-0005-0000-0000-0000E3090000}"/>
    <cellStyle name="Calculation 2 2 3 7 6" xfId="5951" xr:uid="{00000000-0005-0000-0000-0000E4090000}"/>
    <cellStyle name="Calculation 2 2 3 7 6 2" xfId="5952" xr:uid="{00000000-0005-0000-0000-0000E5090000}"/>
    <cellStyle name="Calculation 2 2 3 7 6 3" xfId="5953" xr:uid="{00000000-0005-0000-0000-0000E6090000}"/>
    <cellStyle name="Calculation 2 2 3 7 7" xfId="5954" xr:uid="{00000000-0005-0000-0000-0000E7090000}"/>
    <cellStyle name="Calculation 2 2 3 7 7 2" xfId="5955" xr:uid="{00000000-0005-0000-0000-0000E8090000}"/>
    <cellStyle name="Calculation 2 2 3 7 7 3" xfId="5956" xr:uid="{00000000-0005-0000-0000-0000E9090000}"/>
    <cellStyle name="Calculation 2 2 3 7 8" xfId="5957" xr:uid="{00000000-0005-0000-0000-0000EA090000}"/>
    <cellStyle name="Calculation 2 2 3 7 8 2" xfId="5958" xr:uid="{00000000-0005-0000-0000-0000EB090000}"/>
    <cellStyle name="Calculation 2 2 3 7 8 3" xfId="5959" xr:uid="{00000000-0005-0000-0000-0000EC090000}"/>
    <cellStyle name="Calculation 2 2 3 7 9" xfId="5960" xr:uid="{00000000-0005-0000-0000-0000ED090000}"/>
    <cellStyle name="Calculation 2 2 3 8" xfId="5961" xr:uid="{00000000-0005-0000-0000-0000EE090000}"/>
    <cellStyle name="Calculation 2 2 3 8 10" xfId="5962" xr:uid="{00000000-0005-0000-0000-0000EF090000}"/>
    <cellStyle name="Calculation 2 2 3 8 2" xfId="5963" xr:uid="{00000000-0005-0000-0000-0000F0090000}"/>
    <cellStyle name="Calculation 2 2 3 8 2 2" xfId="5964" xr:uid="{00000000-0005-0000-0000-0000F1090000}"/>
    <cellStyle name="Calculation 2 2 3 8 2 2 2" xfId="5965" xr:uid="{00000000-0005-0000-0000-0000F2090000}"/>
    <cellStyle name="Calculation 2 2 3 8 2 2 3" xfId="5966" xr:uid="{00000000-0005-0000-0000-0000F3090000}"/>
    <cellStyle name="Calculation 2 2 3 8 2 3" xfId="5967" xr:uid="{00000000-0005-0000-0000-0000F4090000}"/>
    <cellStyle name="Calculation 2 2 3 8 2 3 2" xfId="5968" xr:uid="{00000000-0005-0000-0000-0000F5090000}"/>
    <cellStyle name="Calculation 2 2 3 8 2 3 3" xfId="5969" xr:uid="{00000000-0005-0000-0000-0000F6090000}"/>
    <cellStyle name="Calculation 2 2 3 8 2 4" xfId="5970" xr:uid="{00000000-0005-0000-0000-0000F7090000}"/>
    <cellStyle name="Calculation 2 2 3 8 2 4 2" xfId="5971" xr:uid="{00000000-0005-0000-0000-0000F8090000}"/>
    <cellStyle name="Calculation 2 2 3 8 2 4 3" xfId="5972" xr:uid="{00000000-0005-0000-0000-0000F9090000}"/>
    <cellStyle name="Calculation 2 2 3 8 2 5" xfId="5973" xr:uid="{00000000-0005-0000-0000-0000FA090000}"/>
    <cellStyle name="Calculation 2 2 3 8 2 5 2" xfId="5974" xr:uid="{00000000-0005-0000-0000-0000FB090000}"/>
    <cellStyle name="Calculation 2 2 3 8 2 5 3" xfId="5975" xr:uid="{00000000-0005-0000-0000-0000FC090000}"/>
    <cellStyle name="Calculation 2 2 3 8 2 6" xfId="5976" xr:uid="{00000000-0005-0000-0000-0000FD090000}"/>
    <cellStyle name="Calculation 2 2 3 8 2 6 2" xfId="5977" xr:uid="{00000000-0005-0000-0000-0000FE090000}"/>
    <cellStyle name="Calculation 2 2 3 8 2 6 3" xfId="5978" xr:uid="{00000000-0005-0000-0000-0000FF090000}"/>
    <cellStyle name="Calculation 2 2 3 8 2 7" xfId="5979" xr:uid="{00000000-0005-0000-0000-0000000A0000}"/>
    <cellStyle name="Calculation 2 2 3 8 2 7 2" xfId="5980" xr:uid="{00000000-0005-0000-0000-0000010A0000}"/>
    <cellStyle name="Calculation 2 2 3 8 2 7 3" xfId="5981" xr:uid="{00000000-0005-0000-0000-0000020A0000}"/>
    <cellStyle name="Calculation 2 2 3 8 2 8" xfId="5982" xr:uid="{00000000-0005-0000-0000-0000030A0000}"/>
    <cellStyle name="Calculation 2 2 3 8 2 9" xfId="5983" xr:uid="{00000000-0005-0000-0000-0000040A0000}"/>
    <cellStyle name="Calculation 2 2 3 8 3" xfId="5984" xr:uid="{00000000-0005-0000-0000-0000050A0000}"/>
    <cellStyle name="Calculation 2 2 3 8 3 2" xfId="5985" xr:uid="{00000000-0005-0000-0000-0000060A0000}"/>
    <cellStyle name="Calculation 2 2 3 8 3 3" xfId="5986" xr:uid="{00000000-0005-0000-0000-0000070A0000}"/>
    <cellStyle name="Calculation 2 2 3 8 4" xfId="5987" xr:uid="{00000000-0005-0000-0000-0000080A0000}"/>
    <cellStyle name="Calculation 2 2 3 8 4 2" xfId="5988" xr:uid="{00000000-0005-0000-0000-0000090A0000}"/>
    <cellStyle name="Calculation 2 2 3 8 4 3" xfId="5989" xr:uid="{00000000-0005-0000-0000-00000A0A0000}"/>
    <cellStyle name="Calculation 2 2 3 8 5" xfId="5990" xr:uid="{00000000-0005-0000-0000-00000B0A0000}"/>
    <cellStyle name="Calculation 2 2 3 8 5 2" xfId="5991" xr:uid="{00000000-0005-0000-0000-00000C0A0000}"/>
    <cellStyle name="Calculation 2 2 3 8 5 3" xfId="5992" xr:uid="{00000000-0005-0000-0000-00000D0A0000}"/>
    <cellStyle name="Calculation 2 2 3 8 6" xfId="5993" xr:uid="{00000000-0005-0000-0000-00000E0A0000}"/>
    <cellStyle name="Calculation 2 2 3 8 6 2" xfId="5994" xr:uid="{00000000-0005-0000-0000-00000F0A0000}"/>
    <cellStyle name="Calculation 2 2 3 8 6 3" xfId="5995" xr:uid="{00000000-0005-0000-0000-0000100A0000}"/>
    <cellStyle name="Calculation 2 2 3 8 7" xfId="5996" xr:uid="{00000000-0005-0000-0000-0000110A0000}"/>
    <cellStyle name="Calculation 2 2 3 8 7 2" xfId="5997" xr:uid="{00000000-0005-0000-0000-0000120A0000}"/>
    <cellStyle name="Calculation 2 2 3 8 7 3" xfId="5998" xr:uid="{00000000-0005-0000-0000-0000130A0000}"/>
    <cellStyle name="Calculation 2 2 3 8 8" xfId="5999" xr:uid="{00000000-0005-0000-0000-0000140A0000}"/>
    <cellStyle name="Calculation 2 2 3 8 8 2" xfId="6000" xr:uid="{00000000-0005-0000-0000-0000150A0000}"/>
    <cellStyle name="Calculation 2 2 3 8 8 3" xfId="6001" xr:uid="{00000000-0005-0000-0000-0000160A0000}"/>
    <cellStyle name="Calculation 2 2 3 8 9" xfId="6002" xr:uid="{00000000-0005-0000-0000-0000170A0000}"/>
    <cellStyle name="Calculation 2 2 3 9" xfId="6003" xr:uid="{00000000-0005-0000-0000-0000180A0000}"/>
    <cellStyle name="Calculation 2 2 3 9 2" xfId="6004" xr:uid="{00000000-0005-0000-0000-0000190A0000}"/>
    <cellStyle name="Calculation 2 2 3 9 2 2" xfId="6005" xr:uid="{00000000-0005-0000-0000-00001A0A0000}"/>
    <cellStyle name="Calculation 2 2 3 9 2 3" xfId="6006" xr:uid="{00000000-0005-0000-0000-00001B0A0000}"/>
    <cellStyle name="Calculation 2 2 3 9 3" xfId="6007" xr:uid="{00000000-0005-0000-0000-00001C0A0000}"/>
    <cellStyle name="Calculation 2 2 3 9 3 2" xfId="6008" xr:uid="{00000000-0005-0000-0000-00001D0A0000}"/>
    <cellStyle name="Calculation 2 2 3 9 3 3" xfId="6009" xr:uid="{00000000-0005-0000-0000-00001E0A0000}"/>
    <cellStyle name="Calculation 2 2 3 9 4" xfId="6010" xr:uid="{00000000-0005-0000-0000-00001F0A0000}"/>
    <cellStyle name="Calculation 2 2 3 9 4 2" xfId="6011" xr:uid="{00000000-0005-0000-0000-0000200A0000}"/>
    <cellStyle name="Calculation 2 2 3 9 4 3" xfId="6012" xr:uid="{00000000-0005-0000-0000-0000210A0000}"/>
    <cellStyle name="Calculation 2 2 3 9 5" xfId="6013" xr:uid="{00000000-0005-0000-0000-0000220A0000}"/>
    <cellStyle name="Calculation 2 2 3 9 5 2" xfId="6014" xr:uid="{00000000-0005-0000-0000-0000230A0000}"/>
    <cellStyle name="Calculation 2 2 3 9 5 3" xfId="6015" xr:uid="{00000000-0005-0000-0000-0000240A0000}"/>
    <cellStyle name="Calculation 2 2 3 9 6" xfId="6016" xr:uid="{00000000-0005-0000-0000-0000250A0000}"/>
    <cellStyle name="Calculation 2 2 3 9 6 2" xfId="6017" xr:uid="{00000000-0005-0000-0000-0000260A0000}"/>
    <cellStyle name="Calculation 2 2 3 9 6 3" xfId="6018" xr:uid="{00000000-0005-0000-0000-0000270A0000}"/>
    <cellStyle name="Calculation 2 2 3 9 7" xfId="6019" xr:uid="{00000000-0005-0000-0000-0000280A0000}"/>
    <cellStyle name="Calculation 2 2 3 9 7 2" xfId="6020" xr:uid="{00000000-0005-0000-0000-0000290A0000}"/>
    <cellStyle name="Calculation 2 2 3 9 7 3" xfId="6021" xr:uid="{00000000-0005-0000-0000-00002A0A0000}"/>
    <cellStyle name="Calculation 2 2 3 9 8" xfId="6022" xr:uid="{00000000-0005-0000-0000-00002B0A0000}"/>
    <cellStyle name="Calculation 2 2 3 9 9" xfId="6023" xr:uid="{00000000-0005-0000-0000-00002C0A0000}"/>
    <cellStyle name="Calculation 2 2 4" xfId="6024" xr:uid="{00000000-0005-0000-0000-00002D0A0000}"/>
    <cellStyle name="Calculation 2 2 4 2" xfId="6025" xr:uid="{00000000-0005-0000-0000-00002E0A0000}"/>
    <cellStyle name="Calculation 2 2 4 2 2" xfId="6026" xr:uid="{00000000-0005-0000-0000-00002F0A0000}"/>
    <cellStyle name="Calculation 2 2 4 2 2 2" xfId="6027" xr:uid="{00000000-0005-0000-0000-0000300A0000}"/>
    <cellStyle name="Calculation 2 2 4 2 2 3" xfId="6028" xr:uid="{00000000-0005-0000-0000-0000310A0000}"/>
    <cellStyle name="Calculation 2 2 4 2 3" xfId="6029" xr:uid="{00000000-0005-0000-0000-0000320A0000}"/>
    <cellStyle name="Calculation 2 2 4 2 3 2" xfId="6030" xr:uid="{00000000-0005-0000-0000-0000330A0000}"/>
    <cellStyle name="Calculation 2 2 4 2 3 3" xfId="6031" xr:uid="{00000000-0005-0000-0000-0000340A0000}"/>
    <cellStyle name="Calculation 2 2 4 2 4" xfId="6032" xr:uid="{00000000-0005-0000-0000-0000350A0000}"/>
    <cellStyle name="Calculation 2 2 4 2 4 2" xfId="6033" xr:uid="{00000000-0005-0000-0000-0000360A0000}"/>
    <cellStyle name="Calculation 2 2 4 2 4 3" xfId="6034" xr:uid="{00000000-0005-0000-0000-0000370A0000}"/>
    <cellStyle name="Calculation 2 2 4 2 5" xfId="6035" xr:uid="{00000000-0005-0000-0000-0000380A0000}"/>
    <cellStyle name="Calculation 2 2 4 2 5 2" xfId="6036" xr:uid="{00000000-0005-0000-0000-0000390A0000}"/>
    <cellStyle name="Calculation 2 2 4 2 5 3" xfId="6037" xr:uid="{00000000-0005-0000-0000-00003A0A0000}"/>
    <cellStyle name="Calculation 2 2 4 2 6" xfId="6038" xr:uid="{00000000-0005-0000-0000-00003B0A0000}"/>
    <cellStyle name="Calculation 2 2 4 2 6 2" xfId="6039" xr:uid="{00000000-0005-0000-0000-00003C0A0000}"/>
    <cellStyle name="Calculation 2 2 4 2 6 3" xfId="6040" xr:uid="{00000000-0005-0000-0000-00003D0A0000}"/>
    <cellStyle name="Calculation 2 2 4 2 7" xfId="6041" xr:uid="{00000000-0005-0000-0000-00003E0A0000}"/>
    <cellStyle name="Calculation 2 2 4 2 7 2" xfId="6042" xr:uid="{00000000-0005-0000-0000-00003F0A0000}"/>
    <cellStyle name="Calculation 2 2 4 2 7 3" xfId="6043" xr:uid="{00000000-0005-0000-0000-0000400A0000}"/>
    <cellStyle name="Calculation 2 2 4 2 8" xfId="6044" xr:uid="{00000000-0005-0000-0000-0000410A0000}"/>
    <cellStyle name="Calculation 2 2 4 2 9" xfId="6045" xr:uid="{00000000-0005-0000-0000-0000420A0000}"/>
    <cellStyle name="Calculation 2 2 4 3" xfId="6046" xr:uid="{00000000-0005-0000-0000-0000430A0000}"/>
    <cellStyle name="Calculation 2 2 4 3 2" xfId="6047" xr:uid="{00000000-0005-0000-0000-0000440A0000}"/>
    <cellStyle name="Calculation 2 2 4 3 3" xfId="6048" xr:uid="{00000000-0005-0000-0000-0000450A0000}"/>
    <cellStyle name="Calculation 2 2 4 4" xfId="6049" xr:uid="{00000000-0005-0000-0000-0000460A0000}"/>
    <cellStyle name="Calculation 2 2 4 4 2" xfId="6050" xr:uid="{00000000-0005-0000-0000-0000470A0000}"/>
    <cellStyle name="Calculation 2 2 4 4 3" xfId="6051" xr:uid="{00000000-0005-0000-0000-0000480A0000}"/>
    <cellStyle name="Calculation 2 2 4 5" xfId="6052" xr:uid="{00000000-0005-0000-0000-0000490A0000}"/>
    <cellStyle name="Calculation 2 2 4 5 2" xfId="6053" xr:uid="{00000000-0005-0000-0000-00004A0A0000}"/>
    <cellStyle name="Calculation 2 2 4 5 3" xfId="6054" xr:uid="{00000000-0005-0000-0000-00004B0A0000}"/>
    <cellStyle name="Calculation 2 2 4 6" xfId="6055" xr:uid="{00000000-0005-0000-0000-00004C0A0000}"/>
    <cellStyle name="Calculation 2 2 4 6 2" xfId="6056" xr:uid="{00000000-0005-0000-0000-00004D0A0000}"/>
    <cellStyle name="Calculation 2 2 4 6 3" xfId="6057" xr:uid="{00000000-0005-0000-0000-00004E0A0000}"/>
    <cellStyle name="Calculation 2 2 4 7" xfId="6058" xr:uid="{00000000-0005-0000-0000-00004F0A0000}"/>
    <cellStyle name="Calculation 2 2 4 7 2" xfId="6059" xr:uid="{00000000-0005-0000-0000-0000500A0000}"/>
    <cellStyle name="Calculation 2 2 4 7 3" xfId="6060" xr:uid="{00000000-0005-0000-0000-0000510A0000}"/>
    <cellStyle name="Calculation 2 2 4 8" xfId="6061" xr:uid="{00000000-0005-0000-0000-0000520A0000}"/>
    <cellStyle name="Calculation 2 2 4 8 2" xfId="6062" xr:uid="{00000000-0005-0000-0000-0000530A0000}"/>
    <cellStyle name="Calculation 2 2 4 8 3" xfId="6063" xr:uid="{00000000-0005-0000-0000-0000540A0000}"/>
    <cellStyle name="Calculation 2 2 4 9" xfId="43977" xr:uid="{00000000-0005-0000-0000-0000550A0000}"/>
    <cellStyle name="Calculation 2 2 5" xfId="6064" xr:uid="{00000000-0005-0000-0000-0000560A0000}"/>
    <cellStyle name="Calculation 2 2 5 10" xfId="6065" xr:uid="{00000000-0005-0000-0000-0000570A0000}"/>
    <cellStyle name="Calculation 2 2 5 2" xfId="6066" xr:uid="{00000000-0005-0000-0000-0000580A0000}"/>
    <cellStyle name="Calculation 2 2 5 2 2" xfId="6067" xr:uid="{00000000-0005-0000-0000-0000590A0000}"/>
    <cellStyle name="Calculation 2 2 5 2 2 2" xfId="6068" xr:uid="{00000000-0005-0000-0000-00005A0A0000}"/>
    <cellStyle name="Calculation 2 2 5 2 2 3" xfId="6069" xr:uid="{00000000-0005-0000-0000-00005B0A0000}"/>
    <cellStyle name="Calculation 2 2 5 2 3" xfId="6070" xr:uid="{00000000-0005-0000-0000-00005C0A0000}"/>
    <cellStyle name="Calculation 2 2 5 2 3 2" xfId="6071" xr:uid="{00000000-0005-0000-0000-00005D0A0000}"/>
    <cellStyle name="Calculation 2 2 5 2 3 3" xfId="6072" xr:uid="{00000000-0005-0000-0000-00005E0A0000}"/>
    <cellStyle name="Calculation 2 2 5 2 4" xfId="6073" xr:uid="{00000000-0005-0000-0000-00005F0A0000}"/>
    <cellStyle name="Calculation 2 2 5 2 4 2" xfId="6074" xr:uid="{00000000-0005-0000-0000-0000600A0000}"/>
    <cellStyle name="Calculation 2 2 5 2 4 3" xfId="6075" xr:uid="{00000000-0005-0000-0000-0000610A0000}"/>
    <cellStyle name="Calculation 2 2 5 2 5" xfId="6076" xr:uid="{00000000-0005-0000-0000-0000620A0000}"/>
    <cellStyle name="Calculation 2 2 5 2 5 2" xfId="6077" xr:uid="{00000000-0005-0000-0000-0000630A0000}"/>
    <cellStyle name="Calculation 2 2 5 2 5 3" xfId="6078" xr:uid="{00000000-0005-0000-0000-0000640A0000}"/>
    <cellStyle name="Calculation 2 2 5 2 6" xfId="6079" xr:uid="{00000000-0005-0000-0000-0000650A0000}"/>
    <cellStyle name="Calculation 2 2 5 2 6 2" xfId="6080" xr:uid="{00000000-0005-0000-0000-0000660A0000}"/>
    <cellStyle name="Calculation 2 2 5 2 6 3" xfId="6081" xr:uid="{00000000-0005-0000-0000-0000670A0000}"/>
    <cellStyle name="Calculation 2 2 5 2 7" xfId="6082" xr:uid="{00000000-0005-0000-0000-0000680A0000}"/>
    <cellStyle name="Calculation 2 2 5 2 7 2" xfId="6083" xr:uid="{00000000-0005-0000-0000-0000690A0000}"/>
    <cellStyle name="Calculation 2 2 5 2 7 3" xfId="6084" xr:uid="{00000000-0005-0000-0000-00006A0A0000}"/>
    <cellStyle name="Calculation 2 2 5 2 8" xfId="6085" xr:uid="{00000000-0005-0000-0000-00006B0A0000}"/>
    <cellStyle name="Calculation 2 2 5 2 9" xfId="6086" xr:uid="{00000000-0005-0000-0000-00006C0A0000}"/>
    <cellStyle name="Calculation 2 2 5 3" xfId="6087" xr:uid="{00000000-0005-0000-0000-00006D0A0000}"/>
    <cellStyle name="Calculation 2 2 5 3 2" xfId="6088" xr:uid="{00000000-0005-0000-0000-00006E0A0000}"/>
    <cellStyle name="Calculation 2 2 5 3 3" xfId="6089" xr:uid="{00000000-0005-0000-0000-00006F0A0000}"/>
    <cellStyle name="Calculation 2 2 5 4" xfId="6090" xr:uid="{00000000-0005-0000-0000-0000700A0000}"/>
    <cellStyle name="Calculation 2 2 5 4 2" xfId="6091" xr:uid="{00000000-0005-0000-0000-0000710A0000}"/>
    <cellStyle name="Calculation 2 2 5 4 3" xfId="6092" xr:uid="{00000000-0005-0000-0000-0000720A0000}"/>
    <cellStyle name="Calculation 2 2 5 5" xfId="6093" xr:uid="{00000000-0005-0000-0000-0000730A0000}"/>
    <cellStyle name="Calculation 2 2 5 5 2" xfId="6094" xr:uid="{00000000-0005-0000-0000-0000740A0000}"/>
    <cellStyle name="Calculation 2 2 5 5 3" xfId="6095" xr:uid="{00000000-0005-0000-0000-0000750A0000}"/>
    <cellStyle name="Calculation 2 2 5 6" xfId="6096" xr:uid="{00000000-0005-0000-0000-0000760A0000}"/>
    <cellStyle name="Calculation 2 2 5 6 2" xfId="6097" xr:uid="{00000000-0005-0000-0000-0000770A0000}"/>
    <cellStyle name="Calculation 2 2 5 6 3" xfId="6098" xr:uid="{00000000-0005-0000-0000-0000780A0000}"/>
    <cellStyle name="Calculation 2 2 5 7" xfId="6099" xr:uid="{00000000-0005-0000-0000-0000790A0000}"/>
    <cellStyle name="Calculation 2 2 5 7 2" xfId="6100" xr:uid="{00000000-0005-0000-0000-00007A0A0000}"/>
    <cellStyle name="Calculation 2 2 5 7 3" xfId="6101" xr:uid="{00000000-0005-0000-0000-00007B0A0000}"/>
    <cellStyle name="Calculation 2 2 5 8" xfId="6102" xr:uid="{00000000-0005-0000-0000-00007C0A0000}"/>
    <cellStyle name="Calculation 2 2 5 8 2" xfId="6103" xr:uid="{00000000-0005-0000-0000-00007D0A0000}"/>
    <cellStyle name="Calculation 2 2 5 8 3" xfId="6104" xr:uid="{00000000-0005-0000-0000-00007E0A0000}"/>
    <cellStyle name="Calculation 2 2 5 9" xfId="6105" xr:uid="{00000000-0005-0000-0000-00007F0A0000}"/>
    <cellStyle name="Calculation 2 2 6" xfId="6106" xr:uid="{00000000-0005-0000-0000-0000800A0000}"/>
    <cellStyle name="Calculation 2 2 6 10" xfId="6107" xr:uid="{00000000-0005-0000-0000-0000810A0000}"/>
    <cellStyle name="Calculation 2 2 6 2" xfId="6108" xr:uid="{00000000-0005-0000-0000-0000820A0000}"/>
    <cellStyle name="Calculation 2 2 6 2 2" xfId="6109" xr:uid="{00000000-0005-0000-0000-0000830A0000}"/>
    <cellStyle name="Calculation 2 2 6 2 2 2" xfId="6110" xr:uid="{00000000-0005-0000-0000-0000840A0000}"/>
    <cellStyle name="Calculation 2 2 6 2 2 3" xfId="6111" xr:uid="{00000000-0005-0000-0000-0000850A0000}"/>
    <cellStyle name="Calculation 2 2 6 2 3" xfId="6112" xr:uid="{00000000-0005-0000-0000-0000860A0000}"/>
    <cellStyle name="Calculation 2 2 6 2 3 2" xfId="6113" xr:uid="{00000000-0005-0000-0000-0000870A0000}"/>
    <cellStyle name="Calculation 2 2 6 2 3 3" xfId="6114" xr:uid="{00000000-0005-0000-0000-0000880A0000}"/>
    <cellStyle name="Calculation 2 2 6 2 4" xfId="6115" xr:uid="{00000000-0005-0000-0000-0000890A0000}"/>
    <cellStyle name="Calculation 2 2 6 2 4 2" xfId="6116" xr:uid="{00000000-0005-0000-0000-00008A0A0000}"/>
    <cellStyle name="Calculation 2 2 6 2 4 3" xfId="6117" xr:uid="{00000000-0005-0000-0000-00008B0A0000}"/>
    <cellStyle name="Calculation 2 2 6 2 5" xfId="6118" xr:uid="{00000000-0005-0000-0000-00008C0A0000}"/>
    <cellStyle name="Calculation 2 2 6 2 5 2" xfId="6119" xr:uid="{00000000-0005-0000-0000-00008D0A0000}"/>
    <cellStyle name="Calculation 2 2 6 2 5 3" xfId="6120" xr:uid="{00000000-0005-0000-0000-00008E0A0000}"/>
    <cellStyle name="Calculation 2 2 6 2 6" xfId="6121" xr:uid="{00000000-0005-0000-0000-00008F0A0000}"/>
    <cellStyle name="Calculation 2 2 6 2 6 2" xfId="6122" xr:uid="{00000000-0005-0000-0000-0000900A0000}"/>
    <cellStyle name="Calculation 2 2 6 2 6 3" xfId="6123" xr:uid="{00000000-0005-0000-0000-0000910A0000}"/>
    <cellStyle name="Calculation 2 2 6 2 7" xfId="6124" xr:uid="{00000000-0005-0000-0000-0000920A0000}"/>
    <cellStyle name="Calculation 2 2 6 2 7 2" xfId="6125" xr:uid="{00000000-0005-0000-0000-0000930A0000}"/>
    <cellStyle name="Calculation 2 2 6 2 7 3" xfId="6126" xr:uid="{00000000-0005-0000-0000-0000940A0000}"/>
    <cellStyle name="Calculation 2 2 6 2 8" xfId="6127" xr:uid="{00000000-0005-0000-0000-0000950A0000}"/>
    <cellStyle name="Calculation 2 2 6 2 9" xfId="6128" xr:uid="{00000000-0005-0000-0000-0000960A0000}"/>
    <cellStyle name="Calculation 2 2 6 3" xfId="6129" xr:uid="{00000000-0005-0000-0000-0000970A0000}"/>
    <cellStyle name="Calculation 2 2 6 3 2" xfId="6130" xr:uid="{00000000-0005-0000-0000-0000980A0000}"/>
    <cellStyle name="Calculation 2 2 6 3 3" xfId="6131" xr:uid="{00000000-0005-0000-0000-0000990A0000}"/>
    <cellStyle name="Calculation 2 2 6 4" xfId="6132" xr:uid="{00000000-0005-0000-0000-00009A0A0000}"/>
    <cellStyle name="Calculation 2 2 6 4 2" xfId="6133" xr:uid="{00000000-0005-0000-0000-00009B0A0000}"/>
    <cellStyle name="Calculation 2 2 6 4 3" xfId="6134" xr:uid="{00000000-0005-0000-0000-00009C0A0000}"/>
    <cellStyle name="Calculation 2 2 6 5" xfId="6135" xr:uid="{00000000-0005-0000-0000-00009D0A0000}"/>
    <cellStyle name="Calculation 2 2 6 5 2" xfId="6136" xr:uid="{00000000-0005-0000-0000-00009E0A0000}"/>
    <cellStyle name="Calculation 2 2 6 5 3" xfId="6137" xr:uid="{00000000-0005-0000-0000-00009F0A0000}"/>
    <cellStyle name="Calculation 2 2 6 6" xfId="6138" xr:uid="{00000000-0005-0000-0000-0000A00A0000}"/>
    <cellStyle name="Calculation 2 2 6 6 2" xfId="6139" xr:uid="{00000000-0005-0000-0000-0000A10A0000}"/>
    <cellStyle name="Calculation 2 2 6 6 3" xfId="6140" xr:uid="{00000000-0005-0000-0000-0000A20A0000}"/>
    <cellStyle name="Calculation 2 2 6 7" xfId="6141" xr:uid="{00000000-0005-0000-0000-0000A30A0000}"/>
    <cellStyle name="Calculation 2 2 6 7 2" xfId="6142" xr:uid="{00000000-0005-0000-0000-0000A40A0000}"/>
    <cellStyle name="Calculation 2 2 6 7 3" xfId="6143" xr:uid="{00000000-0005-0000-0000-0000A50A0000}"/>
    <cellStyle name="Calculation 2 2 6 8" xfId="6144" xr:uid="{00000000-0005-0000-0000-0000A60A0000}"/>
    <cellStyle name="Calculation 2 2 6 8 2" xfId="6145" xr:uid="{00000000-0005-0000-0000-0000A70A0000}"/>
    <cellStyle name="Calculation 2 2 6 8 3" xfId="6146" xr:uid="{00000000-0005-0000-0000-0000A80A0000}"/>
    <cellStyle name="Calculation 2 2 6 9" xfId="6147" xr:uid="{00000000-0005-0000-0000-0000A90A0000}"/>
    <cellStyle name="Calculation 2 2 7" xfId="6148" xr:uid="{00000000-0005-0000-0000-0000AA0A0000}"/>
    <cellStyle name="Calculation 2 2 7 2" xfId="6149" xr:uid="{00000000-0005-0000-0000-0000AB0A0000}"/>
    <cellStyle name="Calculation 2 2 7 2 2" xfId="6150" xr:uid="{00000000-0005-0000-0000-0000AC0A0000}"/>
    <cellStyle name="Calculation 2 2 7 2 3" xfId="6151" xr:uid="{00000000-0005-0000-0000-0000AD0A0000}"/>
    <cellStyle name="Calculation 2 2 7 3" xfId="6152" xr:uid="{00000000-0005-0000-0000-0000AE0A0000}"/>
    <cellStyle name="Calculation 2 2 7 3 2" xfId="6153" xr:uid="{00000000-0005-0000-0000-0000AF0A0000}"/>
    <cellStyle name="Calculation 2 2 7 3 3" xfId="6154" xr:uid="{00000000-0005-0000-0000-0000B00A0000}"/>
    <cellStyle name="Calculation 2 2 7 4" xfId="6155" xr:uid="{00000000-0005-0000-0000-0000B10A0000}"/>
    <cellStyle name="Calculation 2 2 7 4 2" xfId="6156" xr:uid="{00000000-0005-0000-0000-0000B20A0000}"/>
    <cellStyle name="Calculation 2 2 7 4 3" xfId="6157" xr:uid="{00000000-0005-0000-0000-0000B30A0000}"/>
    <cellStyle name="Calculation 2 2 7 5" xfId="6158" xr:uid="{00000000-0005-0000-0000-0000B40A0000}"/>
    <cellStyle name="Calculation 2 2 7 5 2" xfId="6159" xr:uid="{00000000-0005-0000-0000-0000B50A0000}"/>
    <cellStyle name="Calculation 2 2 7 5 3" xfId="6160" xr:uid="{00000000-0005-0000-0000-0000B60A0000}"/>
    <cellStyle name="Calculation 2 2 7 6" xfId="6161" xr:uid="{00000000-0005-0000-0000-0000B70A0000}"/>
    <cellStyle name="Calculation 2 2 7 6 2" xfId="6162" xr:uid="{00000000-0005-0000-0000-0000B80A0000}"/>
    <cellStyle name="Calculation 2 2 7 6 3" xfId="6163" xr:uid="{00000000-0005-0000-0000-0000B90A0000}"/>
    <cellStyle name="Calculation 2 2 7 7" xfId="6164" xr:uid="{00000000-0005-0000-0000-0000BA0A0000}"/>
    <cellStyle name="Calculation 2 2 7 7 2" xfId="6165" xr:uid="{00000000-0005-0000-0000-0000BB0A0000}"/>
    <cellStyle name="Calculation 2 2 7 7 3" xfId="6166" xr:uid="{00000000-0005-0000-0000-0000BC0A0000}"/>
    <cellStyle name="Calculation 2 2 7 8" xfId="6167" xr:uid="{00000000-0005-0000-0000-0000BD0A0000}"/>
    <cellStyle name="Calculation 2 2 7 9" xfId="6168" xr:uid="{00000000-0005-0000-0000-0000BE0A0000}"/>
    <cellStyle name="Calculation 2 2 8" xfId="6169" xr:uid="{00000000-0005-0000-0000-0000BF0A0000}"/>
    <cellStyle name="Calculation 2 2 8 2" xfId="6170" xr:uid="{00000000-0005-0000-0000-0000C00A0000}"/>
    <cellStyle name="Calculation 2 2 8 2 2" xfId="6171" xr:uid="{00000000-0005-0000-0000-0000C10A0000}"/>
    <cellStyle name="Calculation 2 2 8 2 3" xfId="6172" xr:uid="{00000000-0005-0000-0000-0000C20A0000}"/>
    <cellStyle name="Calculation 2 2 8 3" xfId="6173" xr:uid="{00000000-0005-0000-0000-0000C30A0000}"/>
    <cellStyle name="Calculation 2 2 8 3 2" xfId="6174" xr:uid="{00000000-0005-0000-0000-0000C40A0000}"/>
    <cellStyle name="Calculation 2 2 8 3 3" xfId="6175" xr:uid="{00000000-0005-0000-0000-0000C50A0000}"/>
    <cellStyle name="Calculation 2 2 8 4" xfId="6176" xr:uid="{00000000-0005-0000-0000-0000C60A0000}"/>
    <cellStyle name="Calculation 2 2 8 4 2" xfId="6177" xr:uid="{00000000-0005-0000-0000-0000C70A0000}"/>
    <cellStyle name="Calculation 2 2 8 4 3" xfId="6178" xr:uid="{00000000-0005-0000-0000-0000C80A0000}"/>
    <cellStyle name="Calculation 2 2 8 5" xfId="6179" xr:uid="{00000000-0005-0000-0000-0000C90A0000}"/>
    <cellStyle name="Calculation 2 2 8 5 2" xfId="6180" xr:uid="{00000000-0005-0000-0000-0000CA0A0000}"/>
    <cellStyle name="Calculation 2 2 8 5 3" xfId="6181" xr:uid="{00000000-0005-0000-0000-0000CB0A0000}"/>
    <cellStyle name="Calculation 2 2 8 6" xfId="6182" xr:uid="{00000000-0005-0000-0000-0000CC0A0000}"/>
    <cellStyle name="Calculation 2 2 8 6 2" xfId="6183" xr:uid="{00000000-0005-0000-0000-0000CD0A0000}"/>
    <cellStyle name="Calculation 2 2 8 6 3" xfId="6184" xr:uid="{00000000-0005-0000-0000-0000CE0A0000}"/>
    <cellStyle name="Calculation 2 2 8 7" xfId="6185" xr:uid="{00000000-0005-0000-0000-0000CF0A0000}"/>
    <cellStyle name="Calculation 2 2 8 7 2" xfId="6186" xr:uid="{00000000-0005-0000-0000-0000D00A0000}"/>
    <cellStyle name="Calculation 2 2 8 7 3" xfId="6187" xr:uid="{00000000-0005-0000-0000-0000D10A0000}"/>
    <cellStyle name="Calculation 2 2 8 8" xfId="6188" xr:uid="{00000000-0005-0000-0000-0000D20A0000}"/>
    <cellStyle name="Calculation 2 2 8 9" xfId="6189" xr:uid="{00000000-0005-0000-0000-0000D30A0000}"/>
    <cellStyle name="Calculation 2 2 9" xfId="6190" xr:uid="{00000000-0005-0000-0000-0000D40A0000}"/>
    <cellStyle name="Calculation 2 3" xfId="200" xr:uid="{00000000-0005-0000-0000-0000D50A0000}"/>
    <cellStyle name="Calculation 2 3 10" xfId="6191" xr:uid="{00000000-0005-0000-0000-0000D60A0000}"/>
    <cellStyle name="Calculation 2 3 10 2" xfId="6192" xr:uid="{00000000-0005-0000-0000-0000D70A0000}"/>
    <cellStyle name="Calculation 2 3 10 3" xfId="6193" xr:uid="{00000000-0005-0000-0000-0000D80A0000}"/>
    <cellStyle name="Calculation 2 3 11" xfId="6194" xr:uid="{00000000-0005-0000-0000-0000D90A0000}"/>
    <cellStyle name="Calculation 2 3 11 2" xfId="6195" xr:uid="{00000000-0005-0000-0000-0000DA0A0000}"/>
    <cellStyle name="Calculation 2 3 11 3" xfId="6196" xr:uid="{00000000-0005-0000-0000-0000DB0A0000}"/>
    <cellStyle name="Calculation 2 3 12" xfId="6197" xr:uid="{00000000-0005-0000-0000-0000DC0A0000}"/>
    <cellStyle name="Calculation 2 3 13" xfId="6198" xr:uid="{00000000-0005-0000-0000-0000DD0A0000}"/>
    <cellStyle name="Calculation 2 3 2" xfId="6199" xr:uid="{00000000-0005-0000-0000-0000DE0A0000}"/>
    <cellStyle name="Calculation 2 3 2 10" xfId="6200" xr:uid="{00000000-0005-0000-0000-0000DF0A0000}"/>
    <cellStyle name="Calculation 2 3 2 10 2" xfId="6201" xr:uid="{00000000-0005-0000-0000-0000E00A0000}"/>
    <cellStyle name="Calculation 2 3 2 10 3" xfId="6202" xr:uid="{00000000-0005-0000-0000-0000E10A0000}"/>
    <cellStyle name="Calculation 2 3 2 11" xfId="6203" xr:uid="{00000000-0005-0000-0000-0000E20A0000}"/>
    <cellStyle name="Calculation 2 3 2 11 2" xfId="6204" xr:uid="{00000000-0005-0000-0000-0000E30A0000}"/>
    <cellStyle name="Calculation 2 3 2 11 3" xfId="6205" xr:uid="{00000000-0005-0000-0000-0000E40A0000}"/>
    <cellStyle name="Calculation 2 3 2 12" xfId="6206" xr:uid="{00000000-0005-0000-0000-0000E50A0000}"/>
    <cellStyle name="Calculation 2 3 2 12 2" xfId="6207" xr:uid="{00000000-0005-0000-0000-0000E60A0000}"/>
    <cellStyle name="Calculation 2 3 2 12 3" xfId="6208" xr:uid="{00000000-0005-0000-0000-0000E70A0000}"/>
    <cellStyle name="Calculation 2 3 2 13" xfId="6209" xr:uid="{00000000-0005-0000-0000-0000E80A0000}"/>
    <cellStyle name="Calculation 2 3 2 13 2" xfId="6210" xr:uid="{00000000-0005-0000-0000-0000E90A0000}"/>
    <cellStyle name="Calculation 2 3 2 13 3" xfId="6211" xr:uid="{00000000-0005-0000-0000-0000EA0A0000}"/>
    <cellStyle name="Calculation 2 3 2 14" xfId="43978" xr:uid="{00000000-0005-0000-0000-0000EB0A0000}"/>
    <cellStyle name="Calculation 2 3 2 2" xfId="6212" xr:uid="{00000000-0005-0000-0000-0000EC0A0000}"/>
    <cellStyle name="Calculation 2 3 2 2 10" xfId="43979" xr:uid="{00000000-0005-0000-0000-0000ED0A0000}"/>
    <cellStyle name="Calculation 2 3 2 2 2" xfId="6213" xr:uid="{00000000-0005-0000-0000-0000EE0A0000}"/>
    <cellStyle name="Calculation 2 3 2 2 2 10" xfId="6214" xr:uid="{00000000-0005-0000-0000-0000EF0A0000}"/>
    <cellStyle name="Calculation 2 3 2 2 2 2" xfId="6215" xr:uid="{00000000-0005-0000-0000-0000F00A0000}"/>
    <cellStyle name="Calculation 2 3 2 2 2 2 2" xfId="6216" xr:uid="{00000000-0005-0000-0000-0000F10A0000}"/>
    <cellStyle name="Calculation 2 3 2 2 2 2 2 2" xfId="6217" xr:uid="{00000000-0005-0000-0000-0000F20A0000}"/>
    <cellStyle name="Calculation 2 3 2 2 2 2 2 3" xfId="6218" xr:uid="{00000000-0005-0000-0000-0000F30A0000}"/>
    <cellStyle name="Calculation 2 3 2 2 2 2 3" xfId="6219" xr:uid="{00000000-0005-0000-0000-0000F40A0000}"/>
    <cellStyle name="Calculation 2 3 2 2 2 2 3 2" xfId="6220" xr:uid="{00000000-0005-0000-0000-0000F50A0000}"/>
    <cellStyle name="Calculation 2 3 2 2 2 2 3 3" xfId="6221" xr:uid="{00000000-0005-0000-0000-0000F60A0000}"/>
    <cellStyle name="Calculation 2 3 2 2 2 2 4" xfId="6222" xr:uid="{00000000-0005-0000-0000-0000F70A0000}"/>
    <cellStyle name="Calculation 2 3 2 2 2 2 4 2" xfId="6223" xr:uid="{00000000-0005-0000-0000-0000F80A0000}"/>
    <cellStyle name="Calculation 2 3 2 2 2 2 4 3" xfId="6224" xr:uid="{00000000-0005-0000-0000-0000F90A0000}"/>
    <cellStyle name="Calculation 2 3 2 2 2 2 5" xfId="6225" xr:uid="{00000000-0005-0000-0000-0000FA0A0000}"/>
    <cellStyle name="Calculation 2 3 2 2 2 2 5 2" xfId="6226" xr:uid="{00000000-0005-0000-0000-0000FB0A0000}"/>
    <cellStyle name="Calculation 2 3 2 2 2 2 5 3" xfId="6227" xr:uid="{00000000-0005-0000-0000-0000FC0A0000}"/>
    <cellStyle name="Calculation 2 3 2 2 2 2 6" xfId="6228" xr:uid="{00000000-0005-0000-0000-0000FD0A0000}"/>
    <cellStyle name="Calculation 2 3 2 2 2 2 6 2" xfId="6229" xr:uid="{00000000-0005-0000-0000-0000FE0A0000}"/>
    <cellStyle name="Calculation 2 3 2 2 2 2 6 3" xfId="6230" xr:uid="{00000000-0005-0000-0000-0000FF0A0000}"/>
    <cellStyle name="Calculation 2 3 2 2 2 2 7" xfId="6231" xr:uid="{00000000-0005-0000-0000-0000000B0000}"/>
    <cellStyle name="Calculation 2 3 2 2 2 2 7 2" xfId="6232" xr:uid="{00000000-0005-0000-0000-0000010B0000}"/>
    <cellStyle name="Calculation 2 3 2 2 2 2 7 3" xfId="6233" xr:uid="{00000000-0005-0000-0000-0000020B0000}"/>
    <cellStyle name="Calculation 2 3 2 2 2 2 8" xfId="6234" xr:uid="{00000000-0005-0000-0000-0000030B0000}"/>
    <cellStyle name="Calculation 2 3 2 2 2 2 9" xfId="6235" xr:uid="{00000000-0005-0000-0000-0000040B0000}"/>
    <cellStyle name="Calculation 2 3 2 2 2 3" xfId="6236" xr:uid="{00000000-0005-0000-0000-0000050B0000}"/>
    <cellStyle name="Calculation 2 3 2 2 2 3 2" xfId="6237" xr:uid="{00000000-0005-0000-0000-0000060B0000}"/>
    <cellStyle name="Calculation 2 3 2 2 2 3 3" xfId="6238" xr:uid="{00000000-0005-0000-0000-0000070B0000}"/>
    <cellStyle name="Calculation 2 3 2 2 2 4" xfId="6239" xr:uid="{00000000-0005-0000-0000-0000080B0000}"/>
    <cellStyle name="Calculation 2 3 2 2 2 4 2" xfId="6240" xr:uid="{00000000-0005-0000-0000-0000090B0000}"/>
    <cellStyle name="Calculation 2 3 2 2 2 4 3" xfId="6241" xr:uid="{00000000-0005-0000-0000-00000A0B0000}"/>
    <cellStyle name="Calculation 2 3 2 2 2 5" xfId="6242" xr:uid="{00000000-0005-0000-0000-00000B0B0000}"/>
    <cellStyle name="Calculation 2 3 2 2 2 5 2" xfId="6243" xr:uid="{00000000-0005-0000-0000-00000C0B0000}"/>
    <cellStyle name="Calculation 2 3 2 2 2 5 3" xfId="6244" xr:uid="{00000000-0005-0000-0000-00000D0B0000}"/>
    <cellStyle name="Calculation 2 3 2 2 2 6" xfId="6245" xr:uid="{00000000-0005-0000-0000-00000E0B0000}"/>
    <cellStyle name="Calculation 2 3 2 2 2 6 2" xfId="6246" xr:uid="{00000000-0005-0000-0000-00000F0B0000}"/>
    <cellStyle name="Calculation 2 3 2 2 2 6 3" xfId="6247" xr:uid="{00000000-0005-0000-0000-0000100B0000}"/>
    <cellStyle name="Calculation 2 3 2 2 2 7" xfId="6248" xr:uid="{00000000-0005-0000-0000-0000110B0000}"/>
    <cellStyle name="Calculation 2 3 2 2 2 7 2" xfId="6249" xr:uid="{00000000-0005-0000-0000-0000120B0000}"/>
    <cellStyle name="Calculation 2 3 2 2 2 7 3" xfId="6250" xr:uid="{00000000-0005-0000-0000-0000130B0000}"/>
    <cellStyle name="Calculation 2 3 2 2 2 8" xfId="6251" xr:uid="{00000000-0005-0000-0000-0000140B0000}"/>
    <cellStyle name="Calculation 2 3 2 2 2 8 2" xfId="6252" xr:uid="{00000000-0005-0000-0000-0000150B0000}"/>
    <cellStyle name="Calculation 2 3 2 2 2 8 3" xfId="6253" xr:uid="{00000000-0005-0000-0000-0000160B0000}"/>
    <cellStyle name="Calculation 2 3 2 2 2 9" xfId="6254" xr:uid="{00000000-0005-0000-0000-0000170B0000}"/>
    <cellStyle name="Calculation 2 3 2 2 3" xfId="6255" xr:uid="{00000000-0005-0000-0000-0000180B0000}"/>
    <cellStyle name="Calculation 2 3 2 2 3 10" xfId="6256" xr:uid="{00000000-0005-0000-0000-0000190B0000}"/>
    <cellStyle name="Calculation 2 3 2 2 3 2" xfId="6257" xr:uid="{00000000-0005-0000-0000-00001A0B0000}"/>
    <cellStyle name="Calculation 2 3 2 2 3 2 2" xfId="6258" xr:uid="{00000000-0005-0000-0000-00001B0B0000}"/>
    <cellStyle name="Calculation 2 3 2 2 3 2 2 2" xfId="6259" xr:uid="{00000000-0005-0000-0000-00001C0B0000}"/>
    <cellStyle name="Calculation 2 3 2 2 3 2 2 3" xfId="6260" xr:uid="{00000000-0005-0000-0000-00001D0B0000}"/>
    <cellStyle name="Calculation 2 3 2 2 3 2 3" xfId="6261" xr:uid="{00000000-0005-0000-0000-00001E0B0000}"/>
    <cellStyle name="Calculation 2 3 2 2 3 2 3 2" xfId="6262" xr:uid="{00000000-0005-0000-0000-00001F0B0000}"/>
    <cellStyle name="Calculation 2 3 2 2 3 2 3 3" xfId="6263" xr:uid="{00000000-0005-0000-0000-0000200B0000}"/>
    <cellStyle name="Calculation 2 3 2 2 3 2 4" xfId="6264" xr:uid="{00000000-0005-0000-0000-0000210B0000}"/>
    <cellStyle name="Calculation 2 3 2 2 3 2 4 2" xfId="6265" xr:uid="{00000000-0005-0000-0000-0000220B0000}"/>
    <cellStyle name="Calculation 2 3 2 2 3 2 4 3" xfId="6266" xr:uid="{00000000-0005-0000-0000-0000230B0000}"/>
    <cellStyle name="Calculation 2 3 2 2 3 2 5" xfId="6267" xr:uid="{00000000-0005-0000-0000-0000240B0000}"/>
    <cellStyle name="Calculation 2 3 2 2 3 2 5 2" xfId="6268" xr:uid="{00000000-0005-0000-0000-0000250B0000}"/>
    <cellStyle name="Calculation 2 3 2 2 3 2 5 3" xfId="6269" xr:uid="{00000000-0005-0000-0000-0000260B0000}"/>
    <cellStyle name="Calculation 2 3 2 2 3 2 6" xfId="6270" xr:uid="{00000000-0005-0000-0000-0000270B0000}"/>
    <cellStyle name="Calculation 2 3 2 2 3 2 6 2" xfId="6271" xr:uid="{00000000-0005-0000-0000-0000280B0000}"/>
    <cellStyle name="Calculation 2 3 2 2 3 2 6 3" xfId="6272" xr:uid="{00000000-0005-0000-0000-0000290B0000}"/>
    <cellStyle name="Calculation 2 3 2 2 3 2 7" xfId="6273" xr:uid="{00000000-0005-0000-0000-00002A0B0000}"/>
    <cellStyle name="Calculation 2 3 2 2 3 2 7 2" xfId="6274" xr:uid="{00000000-0005-0000-0000-00002B0B0000}"/>
    <cellStyle name="Calculation 2 3 2 2 3 2 7 3" xfId="6275" xr:uid="{00000000-0005-0000-0000-00002C0B0000}"/>
    <cellStyle name="Calculation 2 3 2 2 3 2 8" xfId="6276" xr:uid="{00000000-0005-0000-0000-00002D0B0000}"/>
    <cellStyle name="Calculation 2 3 2 2 3 2 9" xfId="6277" xr:uid="{00000000-0005-0000-0000-00002E0B0000}"/>
    <cellStyle name="Calculation 2 3 2 2 3 3" xfId="6278" xr:uid="{00000000-0005-0000-0000-00002F0B0000}"/>
    <cellStyle name="Calculation 2 3 2 2 3 3 2" xfId="6279" xr:uid="{00000000-0005-0000-0000-0000300B0000}"/>
    <cellStyle name="Calculation 2 3 2 2 3 3 3" xfId="6280" xr:uid="{00000000-0005-0000-0000-0000310B0000}"/>
    <cellStyle name="Calculation 2 3 2 2 3 4" xfId="6281" xr:uid="{00000000-0005-0000-0000-0000320B0000}"/>
    <cellStyle name="Calculation 2 3 2 2 3 4 2" xfId="6282" xr:uid="{00000000-0005-0000-0000-0000330B0000}"/>
    <cellStyle name="Calculation 2 3 2 2 3 4 3" xfId="6283" xr:uid="{00000000-0005-0000-0000-0000340B0000}"/>
    <cellStyle name="Calculation 2 3 2 2 3 5" xfId="6284" xr:uid="{00000000-0005-0000-0000-0000350B0000}"/>
    <cellStyle name="Calculation 2 3 2 2 3 5 2" xfId="6285" xr:uid="{00000000-0005-0000-0000-0000360B0000}"/>
    <cellStyle name="Calculation 2 3 2 2 3 5 3" xfId="6286" xr:uid="{00000000-0005-0000-0000-0000370B0000}"/>
    <cellStyle name="Calculation 2 3 2 2 3 6" xfId="6287" xr:uid="{00000000-0005-0000-0000-0000380B0000}"/>
    <cellStyle name="Calculation 2 3 2 2 3 6 2" xfId="6288" xr:uid="{00000000-0005-0000-0000-0000390B0000}"/>
    <cellStyle name="Calculation 2 3 2 2 3 6 3" xfId="6289" xr:uid="{00000000-0005-0000-0000-00003A0B0000}"/>
    <cellStyle name="Calculation 2 3 2 2 3 7" xfId="6290" xr:uid="{00000000-0005-0000-0000-00003B0B0000}"/>
    <cellStyle name="Calculation 2 3 2 2 3 7 2" xfId="6291" xr:uid="{00000000-0005-0000-0000-00003C0B0000}"/>
    <cellStyle name="Calculation 2 3 2 2 3 7 3" xfId="6292" xr:uid="{00000000-0005-0000-0000-00003D0B0000}"/>
    <cellStyle name="Calculation 2 3 2 2 3 8" xfId="6293" xr:uid="{00000000-0005-0000-0000-00003E0B0000}"/>
    <cellStyle name="Calculation 2 3 2 2 3 8 2" xfId="6294" xr:uid="{00000000-0005-0000-0000-00003F0B0000}"/>
    <cellStyle name="Calculation 2 3 2 2 3 8 3" xfId="6295" xr:uid="{00000000-0005-0000-0000-0000400B0000}"/>
    <cellStyle name="Calculation 2 3 2 2 3 9" xfId="6296" xr:uid="{00000000-0005-0000-0000-0000410B0000}"/>
    <cellStyle name="Calculation 2 3 2 2 4" xfId="6297" xr:uid="{00000000-0005-0000-0000-0000420B0000}"/>
    <cellStyle name="Calculation 2 3 2 2 4 10" xfId="6298" xr:uid="{00000000-0005-0000-0000-0000430B0000}"/>
    <cellStyle name="Calculation 2 3 2 2 4 2" xfId="6299" xr:uid="{00000000-0005-0000-0000-0000440B0000}"/>
    <cellStyle name="Calculation 2 3 2 2 4 2 2" xfId="6300" xr:uid="{00000000-0005-0000-0000-0000450B0000}"/>
    <cellStyle name="Calculation 2 3 2 2 4 2 2 2" xfId="6301" xr:uid="{00000000-0005-0000-0000-0000460B0000}"/>
    <cellStyle name="Calculation 2 3 2 2 4 2 2 3" xfId="6302" xr:uid="{00000000-0005-0000-0000-0000470B0000}"/>
    <cellStyle name="Calculation 2 3 2 2 4 2 3" xfId="6303" xr:uid="{00000000-0005-0000-0000-0000480B0000}"/>
    <cellStyle name="Calculation 2 3 2 2 4 2 3 2" xfId="6304" xr:uid="{00000000-0005-0000-0000-0000490B0000}"/>
    <cellStyle name="Calculation 2 3 2 2 4 2 3 3" xfId="6305" xr:uid="{00000000-0005-0000-0000-00004A0B0000}"/>
    <cellStyle name="Calculation 2 3 2 2 4 2 4" xfId="6306" xr:uid="{00000000-0005-0000-0000-00004B0B0000}"/>
    <cellStyle name="Calculation 2 3 2 2 4 2 4 2" xfId="6307" xr:uid="{00000000-0005-0000-0000-00004C0B0000}"/>
    <cellStyle name="Calculation 2 3 2 2 4 2 4 3" xfId="6308" xr:uid="{00000000-0005-0000-0000-00004D0B0000}"/>
    <cellStyle name="Calculation 2 3 2 2 4 2 5" xfId="6309" xr:uid="{00000000-0005-0000-0000-00004E0B0000}"/>
    <cellStyle name="Calculation 2 3 2 2 4 2 5 2" xfId="6310" xr:uid="{00000000-0005-0000-0000-00004F0B0000}"/>
    <cellStyle name="Calculation 2 3 2 2 4 2 5 3" xfId="6311" xr:uid="{00000000-0005-0000-0000-0000500B0000}"/>
    <cellStyle name="Calculation 2 3 2 2 4 2 6" xfId="6312" xr:uid="{00000000-0005-0000-0000-0000510B0000}"/>
    <cellStyle name="Calculation 2 3 2 2 4 2 6 2" xfId="6313" xr:uid="{00000000-0005-0000-0000-0000520B0000}"/>
    <cellStyle name="Calculation 2 3 2 2 4 2 6 3" xfId="6314" xr:uid="{00000000-0005-0000-0000-0000530B0000}"/>
    <cellStyle name="Calculation 2 3 2 2 4 2 7" xfId="6315" xr:uid="{00000000-0005-0000-0000-0000540B0000}"/>
    <cellStyle name="Calculation 2 3 2 2 4 2 7 2" xfId="6316" xr:uid="{00000000-0005-0000-0000-0000550B0000}"/>
    <cellStyle name="Calculation 2 3 2 2 4 2 7 3" xfId="6317" xr:uid="{00000000-0005-0000-0000-0000560B0000}"/>
    <cellStyle name="Calculation 2 3 2 2 4 2 8" xfId="6318" xr:uid="{00000000-0005-0000-0000-0000570B0000}"/>
    <cellStyle name="Calculation 2 3 2 2 4 2 9" xfId="6319" xr:uid="{00000000-0005-0000-0000-0000580B0000}"/>
    <cellStyle name="Calculation 2 3 2 2 4 3" xfId="6320" xr:uid="{00000000-0005-0000-0000-0000590B0000}"/>
    <cellStyle name="Calculation 2 3 2 2 4 3 2" xfId="6321" xr:uid="{00000000-0005-0000-0000-00005A0B0000}"/>
    <cellStyle name="Calculation 2 3 2 2 4 3 3" xfId="6322" xr:uid="{00000000-0005-0000-0000-00005B0B0000}"/>
    <cellStyle name="Calculation 2 3 2 2 4 4" xfId="6323" xr:uid="{00000000-0005-0000-0000-00005C0B0000}"/>
    <cellStyle name="Calculation 2 3 2 2 4 4 2" xfId="6324" xr:uid="{00000000-0005-0000-0000-00005D0B0000}"/>
    <cellStyle name="Calculation 2 3 2 2 4 4 3" xfId="6325" xr:uid="{00000000-0005-0000-0000-00005E0B0000}"/>
    <cellStyle name="Calculation 2 3 2 2 4 5" xfId="6326" xr:uid="{00000000-0005-0000-0000-00005F0B0000}"/>
    <cellStyle name="Calculation 2 3 2 2 4 5 2" xfId="6327" xr:uid="{00000000-0005-0000-0000-0000600B0000}"/>
    <cellStyle name="Calculation 2 3 2 2 4 5 3" xfId="6328" xr:uid="{00000000-0005-0000-0000-0000610B0000}"/>
    <cellStyle name="Calculation 2 3 2 2 4 6" xfId="6329" xr:uid="{00000000-0005-0000-0000-0000620B0000}"/>
    <cellStyle name="Calculation 2 3 2 2 4 6 2" xfId="6330" xr:uid="{00000000-0005-0000-0000-0000630B0000}"/>
    <cellStyle name="Calculation 2 3 2 2 4 6 3" xfId="6331" xr:uid="{00000000-0005-0000-0000-0000640B0000}"/>
    <cellStyle name="Calculation 2 3 2 2 4 7" xfId="6332" xr:uid="{00000000-0005-0000-0000-0000650B0000}"/>
    <cellStyle name="Calculation 2 3 2 2 4 7 2" xfId="6333" xr:uid="{00000000-0005-0000-0000-0000660B0000}"/>
    <cellStyle name="Calculation 2 3 2 2 4 7 3" xfId="6334" xr:uid="{00000000-0005-0000-0000-0000670B0000}"/>
    <cellStyle name="Calculation 2 3 2 2 4 8" xfId="6335" xr:uid="{00000000-0005-0000-0000-0000680B0000}"/>
    <cellStyle name="Calculation 2 3 2 2 4 8 2" xfId="6336" xr:uid="{00000000-0005-0000-0000-0000690B0000}"/>
    <cellStyle name="Calculation 2 3 2 2 4 8 3" xfId="6337" xr:uid="{00000000-0005-0000-0000-00006A0B0000}"/>
    <cellStyle name="Calculation 2 3 2 2 4 9" xfId="6338" xr:uid="{00000000-0005-0000-0000-00006B0B0000}"/>
    <cellStyle name="Calculation 2 3 2 2 5" xfId="6339" xr:uid="{00000000-0005-0000-0000-00006C0B0000}"/>
    <cellStyle name="Calculation 2 3 2 2 5 2" xfId="6340" xr:uid="{00000000-0005-0000-0000-00006D0B0000}"/>
    <cellStyle name="Calculation 2 3 2 2 5 2 2" xfId="6341" xr:uid="{00000000-0005-0000-0000-00006E0B0000}"/>
    <cellStyle name="Calculation 2 3 2 2 5 2 3" xfId="6342" xr:uid="{00000000-0005-0000-0000-00006F0B0000}"/>
    <cellStyle name="Calculation 2 3 2 2 5 3" xfId="6343" xr:uid="{00000000-0005-0000-0000-0000700B0000}"/>
    <cellStyle name="Calculation 2 3 2 2 5 3 2" xfId="6344" xr:uid="{00000000-0005-0000-0000-0000710B0000}"/>
    <cellStyle name="Calculation 2 3 2 2 5 3 3" xfId="6345" xr:uid="{00000000-0005-0000-0000-0000720B0000}"/>
    <cellStyle name="Calculation 2 3 2 2 5 4" xfId="6346" xr:uid="{00000000-0005-0000-0000-0000730B0000}"/>
    <cellStyle name="Calculation 2 3 2 2 5 4 2" xfId="6347" xr:uid="{00000000-0005-0000-0000-0000740B0000}"/>
    <cellStyle name="Calculation 2 3 2 2 5 4 3" xfId="6348" xr:uid="{00000000-0005-0000-0000-0000750B0000}"/>
    <cellStyle name="Calculation 2 3 2 2 5 5" xfId="6349" xr:uid="{00000000-0005-0000-0000-0000760B0000}"/>
    <cellStyle name="Calculation 2 3 2 2 5 5 2" xfId="6350" xr:uid="{00000000-0005-0000-0000-0000770B0000}"/>
    <cellStyle name="Calculation 2 3 2 2 5 5 3" xfId="6351" xr:uid="{00000000-0005-0000-0000-0000780B0000}"/>
    <cellStyle name="Calculation 2 3 2 2 5 6" xfId="6352" xr:uid="{00000000-0005-0000-0000-0000790B0000}"/>
    <cellStyle name="Calculation 2 3 2 2 5 6 2" xfId="6353" xr:uid="{00000000-0005-0000-0000-00007A0B0000}"/>
    <cellStyle name="Calculation 2 3 2 2 5 6 3" xfId="6354" xr:uid="{00000000-0005-0000-0000-00007B0B0000}"/>
    <cellStyle name="Calculation 2 3 2 2 5 7" xfId="6355" xr:uid="{00000000-0005-0000-0000-00007C0B0000}"/>
    <cellStyle name="Calculation 2 3 2 2 5 7 2" xfId="6356" xr:uid="{00000000-0005-0000-0000-00007D0B0000}"/>
    <cellStyle name="Calculation 2 3 2 2 5 7 3" xfId="6357" xr:uid="{00000000-0005-0000-0000-00007E0B0000}"/>
    <cellStyle name="Calculation 2 3 2 2 5 8" xfId="6358" xr:uid="{00000000-0005-0000-0000-00007F0B0000}"/>
    <cellStyle name="Calculation 2 3 2 2 5 9" xfId="6359" xr:uid="{00000000-0005-0000-0000-0000800B0000}"/>
    <cellStyle name="Calculation 2 3 2 2 6" xfId="6360" xr:uid="{00000000-0005-0000-0000-0000810B0000}"/>
    <cellStyle name="Calculation 2 3 2 2 6 2" xfId="6361" xr:uid="{00000000-0005-0000-0000-0000820B0000}"/>
    <cellStyle name="Calculation 2 3 2 2 6 3" xfId="6362" xr:uid="{00000000-0005-0000-0000-0000830B0000}"/>
    <cellStyle name="Calculation 2 3 2 2 7" xfId="6363" xr:uid="{00000000-0005-0000-0000-0000840B0000}"/>
    <cellStyle name="Calculation 2 3 2 2 7 2" xfId="6364" xr:uid="{00000000-0005-0000-0000-0000850B0000}"/>
    <cellStyle name="Calculation 2 3 2 2 7 3" xfId="6365" xr:uid="{00000000-0005-0000-0000-0000860B0000}"/>
    <cellStyle name="Calculation 2 3 2 2 8" xfId="6366" xr:uid="{00000000-0005-0000-0000-0000870B0000}"/>
    <cellStyle name="Calculation 2 3 2 2 8 2" xfId="6367" xr:uid="{00000000-0005-0000-0000-0000880B0000}"/>
    <cellStyle name="Calculation 2 3 2 2 8 3" xfId="6368" xr:uid="{00000000-0005-0000-0000-0000890B0000}"/>
    <cellStyle name="Calculation 2 3 2 2 9" xfId="6369" xr:uid="{00000000-0005-0000-0000-00008A0B0000}"/>
    <cellStyle name="Calculation 2 3 2 2 9 2" xfId="6370" xr:uid="{00000000-0005-0000-0000-00008B0B0000}"/>
    <cellStyle name="Calculation 2 3 2 2 9 3" xfId="6371" xr:uid="{00000000-0005-0000-0000-00008C0B0000}"/>
    <cellStyle name="Calculation 2 3 2 3" xfId="6372" xr:uid="{00000000-0005-0000-0000-00008D0B0000}"/>
    <cellStyle name="Calculation 2 3 2 3 10" xfId="43980" xr:uid="{00000000-0005-0000-0000-00008E0B0000}"/>
    <cellStyle name="Calculation 2 3 2 3 2" xfId="6373" xr:uid="{00000000-0005-0000-0000-00008F0B0000}"/>
    <cellStyle name="Calculation 2 3 2 3 2 10" xfId="6374" xr:uid="{00000000-0005-0000-0000-0000900B0000}"/>
    <cellStyle name="Calculation 2 3 2 3 2 2" xfId="6375" xr:uid="{00000000-0005-0000-0000-0000910B0000}"/>
    <cellStyle name="Calculation 2 3 2 3 2 2 2" xfId="6376" xr:uid="{00000000-0005-0000-0000-0000920B0000}"/>
    <cellStyle name="Calculation 2 3 2 3 2 2 2 2" xfId="6377" xr:uid="{00000000-0005-0000-0000-0000930B0000}"/>
    <cellStyle name="Calculation 2 3 2 3 2 2 2 3" xfId="6378" xr:uid="{00000000-0005-0000-0000-0000940B0000}"/>
    <cellStyle name="Calculation 2 3 2 3 2 2 3" xfId="6379" xr:uid="{00000000-0005-0000-0000-0000950B0000}"/>
    <cellStyle name="Calculation 2 3 2 3 2 2 3 2" xfId="6380" xr:uid="{00000000-0005-0000-0000-0000960B0000}"/>
    <cellStyle name="Calculation 2 3 2 3 2 2 3 3" xfId="6381" xr:uid="{00000000-0005-0000-0000-0000970B0000}"/>
    <cellStyle name="Calculation 2 3 2 3 2 2 4" xfId="6382" xr:uid="{00000000-0005-0000-0000-0000980B0000}"/>
    <cellStyle name="Calculation 2 3 2 3 2 2 4 2" xfId="6383" xr:uid="{00000000-0005-0000-0000-0000990B0000}"/>
    <cellStyle name="Calculation 2 3 2 3 2 2 4 3" xfId="6384" xr:uid="{00000000-0005-0000-0000-00009A0B0000}"/>
    <cellStyle name="Calculation 2 3 2 3 2 2 5" xfId="6385" xr:uid="{00000000-0005-0000-0000-00009B0B0000}"/>
    <cellStyle name="Calculation 2 3 2 3 2 2 5 2" xfId="6386" xr:uid="{00000000-0005-0000-0000-00009C0B0000}"/>
    <cellStyle name="Calculation 2 3 2 3 2 2 5 3" xfId="6387" xr:uid="{00000000-0005-0000-0000-00009D0B0000}"/>
    <cellStyle name="Calculation 2 3 2 3 2 2 6" xfId="6388" xr:uid="{00000000-0005-0000-0000-00009E0B0000}"/>
    <cellStyle name="Calculation 2 3 2 3 2 2 6 2" xfId="6389" xr:uid="{00000000-0005-0000-0000-00009F0B0000}"/>
    <cellStyle name="Calculation 2 3 2 3 2 2 6 3" xfId="6390" xr:uid="{00000000-0005-0000-0000-0000A00B0000}"/>
    <cellStyle name="Calculation 2 3 2 3 2 2 7" xfId="6391" xr:uid="{00000000-0005-0000-0000-0000A10B0000}"/>
    <cellStyle name="Calculation 2 3 2 3 2 2 7 2" xfId="6392" xr:uid="{00000000-0005-0000-0000-0000A20B0000}"/>
    <cellStyle name="Calculation 2 3 2 3 2 2 7 3" xfId="6393" xr:uid="{00000000-0005-0000-0000-0000A30B0000}"/>
    <cellStyle name="Calculation 2 3 2 3 2 2 8" xfId="6394" xr:uid="{00000000-0005-0000-0000-0000A40B0000}"/>
    <cellStyle name="Calculation 2 3 2 3 2 2 9" xfId="6395" xr:uid="{00000000-0005-0000-0000-0000A50B0000}"/>
    <cellStyle name="Calculation 2 3 2 3 2 3" xfId="6396" xr:uid="{00000000-0005-0000-0000-0000A60B0000}"/>
    <cellStyle name="Calculation 2 3 2 3 2 3 2" xfId="6397" xr:uid="{00000000-0005-0000-0000-0000A70B0000}"/>
    <cellStyle name="Calculation 2 3 2 3 2 3 3" xfId="6398" xr:uid="{00000000-0005-0000-0000-0000A80B0000}"/>
    <cellStyle name="Calculation 2 3 2 3 2 4" xfId="6399" xr:uid="{00000000-0005-0000-0000-0000A90B0000}"/>
    <cellStyle name="Calculation 2 3 2 3 2 4 2" xfId="6400" xr:uid="{00000000-0005-0000-0000-0000AA0B0000}"/>
    <cellStyle name="Calculation 2 3 2 3 2 4 3" xfId="6401" xr:uid="{00000000-0005-0000-0000-0000AB0B0000}"/>
    <cellStyle name="Calculation 2 3 2 3 2 5" xfId="6402" xr:uid="{00000000-0005-0000-0000-0000AC0B0000}"/>
    <cellStyle name="Calculation 2 3 2 3 2 5 2" xfId="6403" xr:uid="{00000000-0005-0000-0000-0000AD0B0000}"/>
    <cellStyle name="Calculation 2 3 2 3 2 5 3" xfId="6404" xr:uid="{00000000-0005-0000-0000-0000AE0B0000}"/>
    <cellStyle name="Calculation 2 3 2 3 2 6" xfId="6405" xr:uid="{00000000-0005-0000-0000-0000AF0B0000}"/>
    <cellStyle name="Calculation 2 3 2 3 2 6 2" xfId="6406" xr:uid="{00000000-0005-0000-0000-0000B00B0000}"/>
    <cellStyle name="Calculation 2 3 2 3 2 6 3" xfId="6407" xr:uid="{00000000-0005-0000-0000-0000B10B0000}"/>
    <cellStyle name="Calculation 2 3 2 3 2 7" xfId="6408" xr:uid="{00000000-0005-0000-0000-0000B20B0000}"/>
    <cellStyle name="Calculation 2 3 2 3 2 7 2" xfId="6409" xr:uid="{00000000-0005-0000-0000-0000B30B0000}"/>
    <cellStyle name="Calculation 2 3 2 3 2 7 3" xfId="6410" xr:uid="{00000000-0005-0000-0000-0000B40B0000}"/>
    <cellStyle name="Calculation 2 3 2 3 2 8" xfId="6411" xr:uid="{00000000-0005-0000-0000-0000B50B0000}"/>
    <cellStyle name="Calculation 2 3 2 3 2 8 2" xfId="6412" xr:uid="{00000000-0005-0000-0000-0000B60B0000}"/>
    <cellStyle name="Calculation 2 3 2 3 2 8 3" xfId="6413" xr:uid="{00000000-0005-0000-0000-0000B70B0000}"/>
    <cellStyle name="Calculation 2 3 2 3 2 9" xfId="6414" xr:uid="{00000000-0005-0000-0000-0000B80B0000}"/>
    <cellStyle name="Calculation 2 3 2 3 3" xfId="6415" xr:uid="{00000000-0005-0000-0000-0000B90B0000}"/>
    <cellStyle name="Calculation 2 3 2 3 3 10" xfId="6416" xr:uid="{00000000-0005-0000-0000-0000BA0B0000}"/>
    <cellStyle name="Calculation 2 3 2 3 3 2" xfId="6417" xr:uid="{00000000-0005-0000-0000-0000BB0B0000}"/>
    <cellStyle name="Calculation 2 3 2 3 3 2 2" xfId="6418" xr:uid="{00000000-0005-0000-0000-0000BC0B0000}"/>
    <cellStyle name="Calculation 2 3 2 3 3 2 2 2" xfId="6419" xr:uid="{00000000-0005-0000-0000-0000BD0B0000}"/>
    <cellStyle name="Calculation 2 3 2 3 3 2 2 3" xfId="6420" xr:uid="{00000000-0005-0000-0000-0000BE0B0000}"/>
    <cellStyle name="Calculation 2 3 2 3 3 2 3" xfId="6421" xr:uid="{00000000-0005-0000-0000-0000BF0B0000}"/>
    <cellStyle name="Calculation 2 3 2 3 3 2 3 2" xfId="6422" xr:uid="{00000000-0005-0000-0000-0000C00B0000}"/>
    <cellStyle name="Calculation 2 3 2 3 3 2 3 3" xfId="6423" xr:uid="{00000000-0005-0000-0000-0000C10B0000}"/>
    <cellStyle name="Calculation 2 3 2 3 3 2 4" xfId="6424" xr:uid="{00000000-0005-0000-0000-0000C20B0000}"/>
    <cellStyle name="Calculation 2 3 2 3 3 2 4 2" xfId="6425" xr:uid="{00000000-0005-0000-0000-0000C30B0000}"/>
    <cellStyle name="Calculation 2 3 2 3 3 2 4 3" xfId="6426" xr:uid="{00000000-0005-0000-0000-0000C40B0000}"/>
    <cellStyle name="Calculation 2 3 2 3 3 2 5" xfId="6427" xr:uid="{00000000-0005-0000-0000-0000C50B0000}"/>
    <cellStyle name="Calculation 2 3 2 3 3 2 5 2" xfId="6428" xr:uid="{00000000-0005-0000-0000-0000C60B0000}"/>
    <cellStyle name="Calculation 2 3 2 3 3 2 5 3" xfId="6429" xr:uid="{00000000-0005-0000-0000-0000C70B0000}"/>
    <cellStyle name="Calculation 2 3 2 3 3 2 6" xfId="6430" xr:uid="{00000000-0005-0000-0000-0000C80B0000}"/>
    <cellStyle name="Calculation 2 3 2 3 3 2 6 2" xfId="6431" xr:uid="{00000000-0005-0000-0000-0000C90B0000}"/>
    <cellStyle name="Calculation 2 3 2 3 3 2 6 3" xfId="6432" xr:uid="{00000000-0005-0000-0000-0000CA0B0000}"/>
    <cellStyle name="Calculation 2 3 2 3 3 2 7" xfId="6433" xr:uid="{00000000-0005-0000-0000-0000CB0B0000}"/>
    <cellStyle name="Calculation 2 3 2 3 3 2 7 2" xfId="6434" xr:uid="{00000000-0005-0000-0000-0000CC0B0000}"/>
    <cellStyle name="Calculation 2 3 2 3 3 2 7 3" xfId="6435" xr:uid="{00000000-0005-0000-0000-0000CD0B0000}"/>
    <cellStyle name="Calculation 2 3 2 3 3 2 8" xfId="6436" xr:uid="{00000000-0005-0000-0000-0000CE0B0000}"/>
    <cellStyle name="Calculation 2 3 2 3 3 2 9" xfId="6437" xr:uid="{00000000-0005-0000-0000-0000CF0B0000}"/>
    <cellStyle name="Calculation 2 3 2 3 3 3" xfId="6438" xr:uid="{00000000-0005-0000-0000-0000D00B0000}"/>
    <cellStyle name="Calculation 2 3 2 3 3 3 2" xfId="6439" xr:uid="{00000000-0005-0000-0000-0000D10B0000}"/>
    <cellStyle name="Calculation 2 3 2 3 3 3 3" xfId="6440" xr:uid="{00000000-0005-0000-0000-0000D20B0000}"/>
    <cellStyle name="Calculation 2 3 2 3 3 4" xfId="6441" xr:uid="{00000000-0005-0000-0000-0000D30B0000}"/>
    <cellStyle name="Calculation 2 3 2 3 3 4 2" xfId="6442" xr:uid="{00000000-0005-0000-0000-0000D40B0000}"/>
    <cellStyle name="Calculation 2 3 2 3 3 4 3" xfId="6443" xr:uid="{00000000-0005-0000-0000-0000D50B0000}"/>
    <cellStyle name="Calculation 2 3 2 3 3 5" xfId="6444" xr:uid="{00000000-0005-0000-0000-0000D60B0000}"/>
    <cellStyle name="Calculation 2 3 2 3 3 5 2" xfId="6445" xr:uid="{00000000-0005-0000-0000-0000D70B0000}"/>
    <cellStyle name="Calculation 2 3 2 3 3 5 3" xfId="6446" xr:uid="{00000000-0005-0000-0000-0000D80B0000}"/>
    <cellStyle name="Calculation 2 3 2 3 3 6" xfId="6447" xr:uid="{00000000-0005-0000-0000-0000D90B0000}"/>
    <cellStyle name="Calculation 2 3 2 3 3 6 2" xfId="6448" xr:uid="{00000000-0005-0000-0000-0000DA0B0000}"/>
    <cellStyle name="Calculation 2 3 2 3 3 6 3" xfId="6449" xr:uid="{00000000-0005-0000-0000-0000DB0B0000}"/>
    <cellStyle name="Calculation 2 3 2 3 3 7" xfId="6450" xr:uid="{00000000-0005-0000-0000-0000DC0B0000}"/>
    <cellStyle name="Calculation 2 3 2 3 3 7 2" xfId="6451" xr:uid="{00000000-0005-0000-0000-0000DD0B0000}"/>
    <cellStyle name="Calculation 2 3 2 3 3 7 3" xfId="6452" xr:uid="{00000000-0005-0000-0000-0000DE0B0000}"/>
    <cellStyle name="Calculation 2 3 2 3 3 8" xfId="6453" xr:uid="{00000000-0005-0000-0000-0000DF0B0000}"/>
    <cellStyle name="Calculation 2 3 2 3 3 8 2" xfId="6454" xr:uid="{00000000-0005-0000-0000-0000E00B0000}"/>
    <cellStyle name="Calculation 2 3 2 3 3 8 3" xfId="6455" xr:uid="{00000000-0005-0000-0000-0000E10B0000}"/>
    <cellStyle name="Calculation 2 3 2 3 3 9" xfId="6456" xr:uid="{00000000-0005-0000-0000-0000E20B0000}"/>
    <cellStyle name="Calculation 2 3 2 3 4" xfId="6457" xr:uid="{00000000-0005-0000-0000-0000E30B0000}"/>
    <cellStyle name="Calculation 2 3 2 3 4 10" xfId="6458" xr:uid="{00000000-0005-0000-0000-0000E40B0000}"/>
    <cellStyle name="Calculation 2 3 2 3 4 2" xfId="6459" xr:uid="{00000000-0005-0000-0000-0000E50B0000}"/>
    <cellStyle name="Calculation 2 3 2 3 4 2 2" xfId="6460" xr:uid="{00000000-0005-0000-0000-0000E60B0000}"/>
    <cellStyle name="Calculation 2 3 2 3 4 2 2 2" xfId="6461" xr:uid="{00000000-0005-0000-0000-0000E70B0000}"/>
    <cellStyle name="Calculation 2 3 2 3 4 2 2 3" xfId="6462" xr:uid="{00000000-0005-0000-0000-0000E80B0000}"/>
    <cellStyle name="Calculation 2 3 2 3 4 2 3" xfId="6463" xr:uid="{00000000-0005-0000-0000-0000E90B0000}"/>
    <cellStyle name="Calculation 2 3 2 3 4 2 3 2" xfId="6464" xr:uid="{00000000-0005-0000-0000-0000EA0B0000}"/>
    <cellStyle name="Calculation 2 3 2 3 4 2 3 3" xfId="6465" xr:uid="{00000000-0005-0000-0000-0000EB0B0000}"/>
    <cellStyle name="Calculation 2 3 2 3 4 2 4" xfId="6466" xr:uid="{00000000-0005-0000-0000-0000EC0B0000}"/>
    <cellStyle name="Calculation 2 3 2 3 4 2 4 2" xfId="6467" xr:uid="{00000000-0005-0000-0000-0000ED0B0000}"/>
    <cellStyle name="Calculation 2 3 2 3 4 2 4 3" xfId="6468" xr:uid="{00000000-0005-0000-0000-0000EE0B0000}"/>
    <cellStyle name="Calculation 2 3 2 3 4 2 5" xfId="6469" xr:uid="{00000000-0005-0000-0000-0000EF0B0000}"/>
    <cellStyle name="Calculation 2 3 2 3 4 2 5 2" xfId="6470" xr:uid="{00000000-0005-0000-0000-0000F00B0000}"/>
    <cellStyle name="Calculation 2 3 2 3 4 2 5 3" xfId="6471" xr:uid="{00000000-0005-0000-0000-0000F10B0000}"/>
    <cellStyle name="Calculation 2 3 2 3 4 2 6" xfId="6472" xr:uid="{00000000-0005-0000-0000-0000F20B0000}"/>
    <cellStyle name="Calculation 2 3 2 3 4 2 6 2" xfId="6473" xr:uid="{00000000-0005-0000-0000-0000F30B0000}"/>
    <cellStyle name="Calculation 2 3 2 3 4 2 6 3" xfId="6474" xr:uid="{00000000-0005-0000-0000-0000F40B0000}"/>
    <cellStyle name="Calculation 2 3 2 3 4 2 7" xfId="6475" xr:uid="{00000000-0005-0000-0000-0000F50B0000}"/>
    <cellStyle name="Calculation 2 3 2 3 4 2 7 2" xfId="6476" xr:uid="{00000000-0005-0000-0000-0000F60B0000}"/>
    <cellStyle name="Calculation 2 3 2 3 4 2 7 3" xfId="6477" xr:uid="{00000000-0005-0000-0000-0000F70B0000}"/>
    <cellStyle name="Calculation 2 3 2 3 4 2 8" xfId="6478" xr:uid="{00000000-0005-0000-0000-0000F80B0000}"/>
    <cellStyle name="Calculation 2 3 2 3 4 2 9" xfId="6479" xr:uid="{00000000-0005-0000-0000-0000F90B0000}"/>
    <cellStyle name="Calculation 2 3 2 3 4 3" xfId="6480" xr:uid="{00000000-0005-0000-0000-0000FA0B0000}"/>
    <cellStyle name="Calculation 2 3 2 3 4 3 2" xfId="6481" xr:uid="{00000000-0005-0000-0000-0000FB0B0000}"/>
    <cellStyle name="Calculation 2 3 2 3 4 3 3" xfId="6482" xr:uid="{00000000-0005-0000-0000-0000FC0B0000}"/>
    <cellStyle name="Calculation 2 3 2 3 4 4" xfId="6483" xr:uid="{00000000-0005-0000-0000-0000FD0B0000}"/>
    <cellStyle name="Calculation 2 3 2 3 4 4 2" xfId="6484" xr:uid="{00000000-0005-0000-0000-0000FE0B0000}"/>
    <cellStyle name="Calculation 2 3 2 3 4 4 3" xfId="6485" xr:uid="{00000000-0005-0000-0000-0000FF0B0000}"/>
    <cellStyle name="Calculation 2 3 2 3 4 5" xfId="6486" xr:uid="{00000000-0005-0000-0000-0000000C0000}"/>
    <cellStyle name="Calculation 2 3 2 3 4 5 2" xfId="6487" xr:uid="{00000000-0005-0000-0000-0000010C0000}"/>
    <cellStyle name="Calculation 2 3 2 3 4 5 3" xfId="6488" xr:uid="{00000000-0005-0000-0000-0000020C0000}"/>
    <cellStyle name="Calculation 2 3 2 3 4 6" xfId="6489" xr:uid="{00000000-0005-0000-0000-0000030C0000}"/>
    <cellStyle name="Calculation 2 3 2 3 4 6 2" xfId="6490" xr:uid="{00000000-0005-0000-0000-0000040C0000}"/>
    <cellStyle name="Calculation 2 3 2 3 4 6 3" xfId="6491" xr:uid="{00000000-0005-0000-0000-0000050C0000}"/>
    <cellStyle name="Calculation 2 3 2 3 4 7" xfId="6492" xr:uid="{00000000-0005-0000-0000-0000060C0000}"/>
    <cellStyle name="Calculation 2 3 2 3 4 7 2" xfId="6493" xr:uid="{00000000-0005-0000-0000-0000070C0000}"/>
    <cellStyle name="Calculation 2 3 2 3 4 7 3" xfId="6494" xr:uid="{00000000-0005-0000-0000-0000080C0000}"/>
    <cellStyle name="Calculation 2 3 2 3 4 8" xfId="6495" xr:uid="{00000000-0005-0000-0000-0000090C0000}"/>
    <cellStyle name="Calculation 2 3 2 3 4 8 2" xfId="6496" xr:uid="{00000000-0005-0000-0000-00000A0C0000}"/>
    <cellStyle name="Calculation 2 3 2 3 4 8 3" xfId="6497" xr:uid="{00000000-0005-0000-0000-00000B0C0000}"/>
    <cellStyle name="Calculation 2 3 2 3 4 9" xfId="6498" xr:uid="{00000000-0005-0000-0000-00000C0C0000}"/>
    <cellStyle name="Calculation 2 3 2 3 5" xfId="6499" xr:uid="{00000000-0005-0000-0000-00000D0C0000}"/>
    <cellStyle name="Calculation 2 3 2 3 5 2" xfId="6500" xr:uid="{00000000-0005-0000-0000-00000E0C0000}"/>
    <cellStyle name="Calculation 2 3 2 3 5 2 2" xfId="6501" xr:uid="{00000000-0005-0000-0000-00000F0C0000}"/>
    <cellStyle name="Calculation 2 3 2 3 5 2 3" xfId="6502" xr:uid="{00000000-0005-0000-0000-0000100C0000}"/>
    <cellStyle name="Calculation 2 3 2 3 5 3" xfId="6503" xr:uid="{00000000-0005-0000-0000-0000110C0000}"/>
    <cellStyle name="Calculation 2 3 2 3 5 3 2" xfId="6504" xr:uid="{00000000-0005-0000-0000-0000120C0000}"/>
    <cellStyle name="Calculation 2 3 2 3 5 3 3" xfId="6505" xr:uid="{00000000-0005-0000-0000-0000130C0000}"/>
    <cellStyle name="Calculation 2 3 2 3 5 4" xfId="6506" xr:uid="{00000000-0005-0000-0000-0000140C0000}"/>
    <cellStyle name="Calculation 2 3 2 3 5 4 2" xfId="6507" xr:uid="{00000000-0005-0000-0000-0000150C0000}"/>
    <cellStyle name="Calculation 2 3 2 3 5 4 3" xfId="6508" xr:uid="{00000000-0005-0000-0000-0000160C0000}"/>
    <cellStyle name="Calculation 2 3 2 3 5 5" xfId="6509" xr:uid="{00000000-0005-0000-0000-0000170C0000}"/>
    <cellStyle name="Calculation 2 3 2 3 5 5 2" xfId="6510" xr:uid="{00000000-0005-0000-0000-0000180C0000}"/>
    <cellStyle name="Calculation 2 3 2 3 5 5 3" xfId="6511" xr:uid="{00000000-0005-0000-0000-0000190C0000}"/>
    <cellStyle name="Calculation 2 3 2 3 5 6" xfId="6512" xr:uid="{00000000-0005-0000-0000-00001A0C0000}"/>
    <cellStyle name="Calculation 2 3 2 3 5 6 2" xfId="6513" xr:uid="{00000000-0005-0000-0000-00001B0C0000}"/>
    <cellStyle name="Calculation 2 3 2 3 5 6 3" xfId="6514" xr:uid="{00000000-0005-0000-0000-00001C0C0000}"/>
    <cellStyle name="Calculation 2 3 2 3 5 7" xfId="6515" xr:uid="{00000000-0005-0000-0000-00001D0C0000}"/>
    <cellStyle name="Calculation 2 3 2 3 5 7 2" xfId="6516" xr:uid="{00000000-0005-0000-0000-00001E0C0000}"/>
    <cellStyle name="Calculation 2 3 2 3 5 7 3" xfId="6517" xr:uid="{00000000-0005-0000-0000-00001F0C0000}"/>
    <cellStyle name="Calculation 2 3 2 3 5 8" xfId="6518" xr:uid="{00000000-0005-0000-0000-0000200C0000}"/>
    <cellStyle name="Calculation 2 3 2 3 5 9" xfId="6519" xr:uid="{00000000-0005-0000-0000-0000210C0000}"/>
    <cellStyle name="Calculation 2 3 2 3 6" xfId="6520" xr:uid="{00000000-0005-0000-0000-0000220C0000}"/>
    <cellStyle name="Calculation 2 3 2 3 6 2" xfId="6521" xr:uid="{00000000-0005-0000-0000-0000230C0000}"/>
    <cellStyle name="Calculation 2 3 2 3 6 3" xfId="6522" xr:uid="{00000000-0005-0000-0000-0000240C0000}"/>
    <cellStyle name="Calculation 2 3 2 3 7" xfId="6523" xr:uid="{00000000-0005-0000-0000-0000250C0000}"/>
    <cellStyle name="Calculation 2 3 2 3 7 2" xfId="6524" xr:uid="{00000000-0005-0000-0000-0000260C0000}"/>
    <cellStyle name="Calculation 2 3 2 3 7 3" xfId="6525" xr:uid="{00000000-0005-0000-0000-0000270C0000}"/>
    <cellStyle name="Calculation 2 3 2 3 8" xfId="6526" xr:uid="{00000000-0005-0000-0000-0000280C0000}"/>
    <cellStyle name="Calculation 2 3 2 3 8 2" xfId="6527" xr:uid="{00000000-0005-0000-0000-0000290C0000}"/>
    <cellStyle name="Calculation 2 3 2 3 8 3" xfId="6528" xr:uid="{00000000-0005-0000-0000-00002A0C0000}"/>
    <cellStyle name="Calculation 2 3 2 3 9" xfId="6529" xr:uid="{00000000-0005-0000-0000-00002B0C0000}"/>
    <cellStyle name="Calculation 2 3 2 3 9 2" xfId="6530" xr:uid="{00000000-0005-0000-0000-00002C0C0000}"/>
    <cellStyle name="Calculation 2 3 2 3 9 3" xfId="6531" xr:uid="{00000000-0005-0000-0000-00002D0C0000}"/>
    <cellStyle name="Calculation 2 3 2 4" xfId="6532" xr:uid="{00000000-0005-0000-0000-00002E0C0000}"/>
    <cellStyle name="Calculation 2 3 2 4 10" xfId="43981" xr:uid="{00000000-0005-0000-0000-00002F0C0000}"/>
    <cellStyle name="Calculation 2 3 2 4 2" xfId="6533" xr:uid="{00000000-0005-0000-0000-0000300C0000}"/>
    <cellStyle name="Calculation 2 3 2 4 2 10" xfId="6534" xr:uid="{00000000-0005-0000-0000-0000310C0000}"/>
    <cellStyle name="Calculation 2 3 2 4 2 2" xfId="6535" xr:uid="{00000000-0005-0000-0000-0000320C0000}"/>
    <cellStyle name="Calculation 2 3 2 4 2 2 2" xfId="6536" xr:uid="{00000000-0005-0000-0000-0000330C0000}"/>
    <cellStyle name="Calculation 2 3 2 4 2 2 2 2" xfId="6537" xr:uid="{00000000-0005-0000-0000-0000340C0000}"/>
    <cellStyle name="Calculation 2 3 2 4 2 2 2 3" xfId="6538" xr:uid="{00000000-0005-0000-0000-0000350C0000}"/>
    <cellStyle name="Calculation 2 3 2 4 2 2 3" xfId="6539" xr:uid="{00000000-0005-0000-0000-0000360C0000}"/>
    <cellStyle name="Calculation 2 3 2 4 2 2 3 2" xfId="6540" xr:uid="{00000000-0005-0000-0000-0000370C0000}"/>
    <cellStyle name="Calculation 2 3 2 4 2 2 3 3" xfId="6541" xr:uid="{00000000-0005-0000-0000-0000380C0000}"/>
    <cellStyle name="Calculation 2 3 2 4 2 2 4" xfId="6542" xr:uid="{00000000-0005-0000-0000-0000390C0000}"/>
    <cellStyle name="Calculation 2 3 2 4 2 2 4 2" xfId="6543" xr:uid="{00000000-0005-0000-0000-00003A0C0000}"/>
    <cellStyle name="Calculation 2 3 2 4 2 2 4 3" xfId="6544" xr:uid="{00000000-0005-0000-0000-00003B0C0000}"/>
    <cellStyle name="Calculation 2 3 2 4 2 2 5" xfId="6545" xr:uid="{00000000-0005-0000-0000-00003C0C0000}"/>
    <cellStyle name="Calculation 2 3 2 4 2 2 5 2" xfId="6546" xr:uid="{00000000-0005-0000-0000-00003D0C0000}"/>
    <cellStyle name="Calculation 2 3 2 4 2 2 5 3" xfId="6547" xr:uid="{00000000-0005-0000-0000-00003E0C0000}"/>
    <cellStyle name="Calculation 2 3 2 4 2 2 6" xfId="6548" xr:uid="{00000000-0005-0000-0000-00003F0C0000}"/>
    <cellStyle name="Calculation 2 3 2 4 2 2 6 2" xfId="6549" xr:uid="{00000000-0005-0000-0000-0000400C0000}"/>
    <cellStyle name="Calculation 2 3 2 4 2 2 6 3" xfId="6550" xr:uid="{00000000-0005-0000-0000-0000410C0000}"/>
    <cellStyle name="Calculation 2 3 2 4 2 2 7" xfId="6551" xr:uid="{00000000-0005-0000-0000-0000420C0000}"/>
    <cellStyle name="Calculation 2 3 2 4 2 2 7 2" xfId="6552" xr:uid="{00000000-0005-0000-0000-0000430C0000}"/>
    <cellStyle name="Calculation 2 3 2 4 2 2 7 3" xfId="6553" xr:uid="{00000000-0005-0000-0000-0000440C0000}"/>
    <cellStyle name="Calculation 2 3 2 4 2 2 8" xfId="6554" xr:uid="{00000000-0005-0000-0000-0000450C0000}"/>
    <cellStyle name="Calculation 2 3 2 4 2 2 9" xfId="6555" xr:uid="{00000000-0005-0000-0000-0000460C0000}"/>
    <cellStyle name="Calculation 2 3 2 4 2 3" xfId="6556" xr:uid="{00000000-0005-0000-0000-0000470C0000}"/>
    <cellStyle name="Calculation 2 3 2 4 2 3 2" xfId="6557" xr:uid="{00000000-0005-0000-0000-0000480C0000}"/>
    <cellStyle name="Calculation 2 3 2 4 2 3 3" xfId="6558" xr:uid="{00000000-0005-0000-0000-0000490C0000}"/>
    <cellStyle name="Calculation 2 3 2 4 2 4" xfId="6559" xr:uid="{00000000-0005-0000-0000-00004A0C0000}"/>
    <cellStyle name="Calculation 2 3 2 4 2 4 2" xfId="6560" xr:uid="{00000000-0005-0000-0000-00004B0C0000}"/>
    <cellStyle name="Calculation 2 3 2 4 2 4 3" xfId="6561" xr:uid="{00000000-0005-0000-0000-00004C0C0000}"/>
    <cellStyle name="Calculation 2 3 2 4 2 5" xfId="6562" xr:uid="{00000000-0005-0000-0000-00004D0C0000}"/>
    <cellStyle name="Calculation 2 3 2 4 2 5 2" xfId="6563" xr:uid="{00000000-0005-0000-0000-00004E0C0000}"/>
    <cellStyle name="Calculation 2 3 2 4 2 5 3" xfId="6564" xr:uid="{00000000-0005-0000-0000-00004F0C0000}"/>
    <cellStyle name="Calculation 2 3 2 4 2 6" xfId="6565" xr:uid="{00000000-0005-0000-0000-0000500C0000}"/>
    <cellStyle name="Calculation 2 3 2 4 2 6 2" xfId="6566" xr:uid="{00000000-0005-0000-0000-0000510C0000}"/>
    <cellStyle name="Calculation 2 3 2 4 2 6 3" xfId="6567" xr:uid="{00000000-0005-0000-0000-0000520C0000}"/>
    <cellStyle name="Calculation 2 3 2 4 2 7" xfId="6568" xr:uid="{00000000-0005-0000-0000-0000530C0000}"/>
    <cellStyle name="Calculation 2 3 2 4 2 7 2" xfId="6569" xr:uid="{00000000-0005-0000-0000-0000540C0000}"/>
    <cellStyle name="Calculation 2 3 2 4 2 7 3" xfId="6570" xr:uid="{00000000-0005-0000-0000-0000550C0000}"/>
    <cellStyle name="Calculation 2 3 2 4 2 8" xfId="6571" xr:uid="{00000000-0005-0000-0000-0000560C0000}"/>
    <cellStyle name="Calculation 2 3 2 4 2 8 2" xfId="6572" xr:uid="{00000000-0005-0000-0000-0000570C0000}"/>
    <cellStyle name="Calculation 2 3 2 4 2 8 3" xfId="6573" xr:uid="{00000000-0005-0000-0000-0000580C0000}"/>
    <cellStyle name="Calculation 2 3 2 4 2 9" xfId="6574" xr:uid="{00000000-0005-0000-0000-0000590C0000}"/>
    <cellStyle name="Calculation 2 3 2 4 3" xfId="6575" xr:uid="{00000000-0005-0000-0000-00005A0C0000}"/>
    <cellStyle name="Calculation 2 3 2 4 3 10" xfId="6576" xr:uid="{00000000-0005-0000-0000-00005B0C0000}"/>
    <cellStyle name="Calculation 2 3 2 4 3 2" xfId="6577" xr:uid="{00000000-0005-0000-0000-00005C0C0000}"/>
    <cellStyle name="Calculation 2 3 2 4 3 2 2" xfId="6578" xr:uid="{00000000-0005-0000-0000-00005D0C0000}"/>
    <cellStyle name="Calculation 2 3 2 4 3 2 2 2" xfId="6579" xr:uid="{00000000-0005-0000-0000-00005E0C0000}"/>
    <cellStyle name="Calculation 2 3 2 4 3 2 2 3" xfId="6580" xr:uid="{00000000-0005-0000-0000-00005F0C0000}"/>
    <cellStyle name="Calculation 2 3 2 4 3 2 3" xfId="6581" xr:uid="{00000000-0005-0000-0000-0000600C0000}"/>
    <cellStyle name="Calculation 2 3 2 4 3 2 3 2" xfId="6582" xr:uid="{00000000-0005-0000-0000-0000610C0000}"/>
    <cellStyle name="Calculation 2 3 2 4 3 2 3 3" xfId="6583" xr:uid="{00000000-0005-0000-0000-0000620C0000}"/>
    <cellStyle name="Calculation 2 3 2 4 3 2 4" xfId="6584" xr:uid="{00000000-0005-0000-0000-0000630C0000}"/>
    <cellStyle name="Calculation 2 3 2 4 3 2 4 2" xfId="6585" xr:uid="{00000000-0005-0000-0000-0000640C0000}"/>
    <cellStyle name="Calculation 2 3 2 4 3 2 4 3" xfId="6586" xr:uid="{00000000-0005-0000-0000-0000650C0000}"/>
    <cellStyle name="Calculation 2 3 2 4 3 2 5" xfId="6587" xr:uid="{00000000-0005-0000-0000-0000660C0000}"/>
    <cellStyle name="Calculation 2 3 2 4 3 2 5 2" xfId="6588" xr:uid="{00000000-0005-0000-0000-0000670C0000}"/>
    <cellStyle name="Calculation 2 3 2 4 3 2 5 3" xfId="6589" xr:uid="{00000000-0005-0000-0000-0000680C0000}"/>
    <cellStyle name="Calculation 2 3 2 4 3 2 6" xfId="6590" xr:uid="{00000000-0005-0000-0000-0000690C0000}"/>
    <cellStyle name="Calculation 2 3 2 4 3 2 6 2" xfId="6591" xr:uid="{00000000-0005-0000-0000-00006A0C0000}"/>
    <cellStyle name="Calculation 2 3 2 4 3 2 6 3" xfId="6592" xr:uid="{00000000-0005-0000-0000-00006B0C0000}"/>
    <cellStyle name="Calculation 2 3 2 4 3 2 7" xfId="6593" xr:uid="{00000000-0005-0000-0000-00006C0C0000}"/>
    <cellStyle name="Calculation 2 3 2 4 3 2 7 2" xfId="6594" xr:uid="{00000000-0005-0000-0000-00006D0C0000}"/>
    <cellStyle name="Calculation 2 3 2 4 3 2 7 3" xfId="6595" xr:uid="{00000000-0005-0000-0000-00006E0C0000}"/>
    <cellStyle name="Calculation 2 3 2 4 3 2 8" xfId="6596" xr:uid="{00000000-0005-0000-0000-00006F0C0000}"/>
    <cellStyle name="Calculation 2 3 2 4 3 2 9" xfId="6597" xr:uid="{00000000-0005-0000-0000-0000700C0000}"/>
    <cellStyle name="Calculation 2 3 2 4 3 3" xfId="6598" xr:uid="{00000000-0005-0000-0000-0000710C0000}"/>
    <cellStyle name="Calculation 2 3 2 4 3 3 2" xfId="6599" xr:uid="{00000000-0005-0000-0000-0000720C0000}"/>
    <cellStyle name="Calculation 2 3 2 4 3 3 3" xfId="6600" xr:uid="{00000000-0005-0000-0000-0000730C0000}"/>
    <cellStyle name="Calculation 2 3 2 4 3 4" xfId="6601" xr:uid="{00000000-0005-0000-0000-0000740C0000}"/>
    <cellStyle name="Calculation 2 3 2 4 3 4 2" xfId="6602" xr:uid="{00000000-0005-0000-0000-0000750C0000}"/>
    <cellStyle name="Calculation 2 3 2 4 3 4 3" xfId="6603" xr:uid="{00000000-0005-0000-0000-0000760C0000}"/>
    <cellStyle name="Calculation 2 3 2 4 3 5" xfId="6604" xr:uid="{00000000-0005-0000-0000-0000770C0000}"/>
    <cellStyle name="Calculation 2 3 2 4 3 5 2" xfId="6605" xr:uid="{00000000-0005-0000-0000-0000780C0000}"/>
    <cellStyle name="Calculation 2 3 2 4 3 5 3" xfId="6606" xr:uid="{00000000-0005-0000-0000-0000790C0000}"/>
    <cellStyle name="Calculation 2 3 2 4 3 6" xfId="6607" xr:uid="{00000000-0005-0000-0000-00007A0C0000}"/>
    <cellStyle name="Calculation 2 3 2 4 3 6 2" xfId="6608" xr:uid="{00000000-0005-0000-0000-00007B0C0000}"/>
    <cellStyle name="Calculation 2 3 2 4 3 6 3" xfId="6609" xr:uid="{00000000-0005-0000-0000-00007C0C0000}"/>
    <cellStyle name="Calculation 2 3 2 4 3 7" xfId="6610" xr:uid="{00000000-0005-0000-0000-00007D0C0000}"/>
    <cellStyle name="Calculation 2 3 2 4 3 7 2" xfId="6611" xr:uid="{00000000-0005-0000-0000-00007E0C0000}"/>
    <cellStyle name="Calculation 2 3 2 4 3 7 3" xfId="6612" xr:uid="{00000000-0005-0000-0000-00007F0C0000}"/>
    <cellStyle name="Calculation 2 3 2 4 3 8" xfId="6613" xr:uid="{00000000-0005-0000-0000-0000800C0000}"/>
    <cellStyle name="Calculation 2 3 2 4 3 8 2" xfId="6614" xr:uid="{00000000-0005-0000-0000-0000810C0000}"/>
    <cellStyle name="Calculation 2 3 2 4 3 8 3" xfId="6615" xr:uid="{00000000-0005-0000-0000-0000820C0000}"/>
    <cellStyle name="Calculation 2 3 2 4 3 9" xfId="6616" xr:uid="{00000000-0005-0000-0000-0000830C0000}"/>
    <cellStyle name="Calculation 2 3 2 4 4" xfId="6617" xr:uid="{00000000-0005-0000-0000-0000840C0000}"/>
    <cellStyle name="Calculation 2 3 2 4 4 10" xfId="6618" xr:uid="{00000000-0005-0000-0000-0000850C0000}"/>
    <cellStyle name="Calculation 2 3 2 4 4 2" xfId="6619" xr:uid="{00000000-0005-0000-0000-0000860C0000}"/>
    <cellStyle name="Calculation 2 3 2 4 4 2 2" xfId="6620" xr:uid="{00000000-0005-0000-0000-0000870C0000}"/>
    <cellStyle name="Calculation 2 3 2 4 4 2 2 2" xfId="6621" xr:uid="{00000000-0005-0000-0000-0000880C0000}"/>
    <cellStyle name="Calculation 2 3 2 4 4 2 2 3" xfId="6622" xr:uid="{00000000-0005-0000-0000-0000890C0000}"/>
    <cellStyle name="Calculation 2 3 2 4 4 2 3" xfId="6623" xr:uid="{00000000-0005-0000-0000-00008A0C0000}"/>
    <cellStyle name="Calculation 2 3 2 4 4 2 3 2" xfId="6624" xr:uid="{00000000-0005-0000-0000-00008B0C0000}"/>
    <cellStyle name="Calculation 2 3 2 4 4 2 3 3" xfId="6625" xr:uid="{00000000-0005-0000-0000-00008C0C0000}"/>
    <cellStyle name="Calculation 2 3 2 4 4 2 4" xfId="6626" xr:uid="{00000000-0005-0000-0000-00008D0C0000}"/>
    <cellStyle name="Calculation 2 3 2 4 4 2 4 2" xfId="6627" xr:uid="{00000000-0005-0000-0000-00008E0C0000}"/>
    <cellStyle name="Calculation 2 3 2 4 4 2 4 3" xfId="6628" xr:uid="{00000000-0005-0000-0000-00008F0C0000}"/>
    <cellStyle name="Calculation 2 3 2 4 4 2 5" xfId="6629" xr:uid="{00000000-0005-0000-0000-0000900C0000}"/>
    <cellStyle name="Calculation 2 3 2 4 4 2 5 2" xfId="6630" xr:uid="{00000000-0005-0000-0000-0000910C0000}"/>
    <cellStyle name="Calculation 2 3 2 4 4 2 5 3" xfId="6631" xr:uid="{00000000-0005-0000-0000-0000920C0000}"/>
    <cellStyle name="Calculation 2 3 2 4 4 2 6" xfId="6632" xr:uid="{00000000-0005-0000-0000-0000930C0000}"/>
    <cellStyle name="Calculation 2 3 2 4 4 2 6 2" xfId="6633" xr:uid="{00000000-0005-0000-0000-0000940C0000}"/>
    <cellStyle name="Calculation 2 3 2 4 4 2 6 3" xfId="6634" xr:uid="{00000000-0005-0000-0000-0000950C0000}"/>
    <cellStyle name="Calculation 2 3 2 4 4 2 7" xfId="6635" xr:uid="{00000000-0005-0000-0000-0000960C0000}"/>
    <cellStyle name="Calculation 2 3 2 4 4 2 7 2" xfId="6636" xr:uid="{00000000-0005-0000-0000-0000970C0000}"/>
    <cellStyle name="Calculation 2 3 2 4 4 2 7 3" xfId="6637" xr:uid="{00000000-0005-0000-0000-0000980C0000}"/>
    <cellStyle name="Calculation 2 3 2 4 4 2 8" xfId="6638" xr:uid="{00000000-0005-0000-0000-0000990C0000}"/>
    <cellStyle name="Calculation 2 3 2 4 4 2 9" xfId="6639" xr:uid="{00000000-0005-0000-0000-00009A0C0000}"/>
    <cellStyle name="Calculation 2 3 2 4 4 3" xfId="6640" xr:uid="{00000000-0005-0000-0000-00009B0C0000}"/>
    <cellStyle name="Calculation 2 3 2 4 4 3 2" xfId="6641" xr:uid="{00000000-0005-0000-0000-00009C0C0000}"/>
    <cellStyle name="Calculation 2 3 2 4 4 3 3" xfId="6642" xr:uid="{00000000-0005-0000-0000-00009D0C0000}"/>
    <cellStyle name="Calculation 2 3 2 4 4 4" xfId="6643" xr:uid="{00000000-0005-0000-0000-00009E0C0000}"/>
    <cellStyle name="Calculation 2 3 2 4 4 4 2" xfId="6644" xr:uid="{00000000-0005-0000-0000-00009F0C0000}"/>
    <cellStyle name="Calculation 2 3 2 4 4 4 3" xfId="6645" xr:uid="{00000000-0005-0000-0000-0000A00C0000}"/>
    <cellStyle name="Calculation 2 3 2 4 4 5" xfId="6646" xr:uid="{00000000-0005-0000-0000-0000A10C0000}"/>
    <cellStyle name="Calculation 2 3 2 4 4 5 2" xfId="6647" xr:uid="{00000000-0005-0000-0000-0000A20C0000}"/>
    <cellStyle name="Calculation 2 3 2 4 4 5 3" xfId="6648" xr:uid="{00000000-0005-0000-0000-0000A30C0000}"/>
    <cellStyle name="Calculation 2 3 2 4 4 6" xfId="6649" xr:uid="{00000000-0005-0000-0000-0000A40C0000}"/>
    <cellStyle name="Calculation 2 3 2 4 4 6 2" xfId="6650" xr:uid="{00000000-0005-0000-0000-0000A50C0000}"/>
    <cellStyle name="Calculation 2 3 2 4 4 6 3" xfId="6651" xr:uid="{00000000-0005-0000-0000-0000A60C0000}"/>
    <cellStyle name="Calculation 2 3 2 4 4 7" xfId="6652" xr:uid="{00000000-0005-0000-0000-0000A70C0000}"/>
    <cellStyle name="Calculation 2 3 2 4 4 7 2" xfId="6653" xr:uid="{00000000-0005-0000-0000-0000A80C0000}"/>
    <cellStyle name="Calculation 2 3 2 4 4 7 3" xfId="6654" xr:uid="{00000000-0005-0000-0000-0000A90C0000}"/>
    <cellStyle name="Calculation 2 3 2 4 4 8" xfId="6655" xr:uid="{00000000-0005-0000-0000-0000AA0C0000}"/>
    <cellStyle name="Calculation 2 3 2 4 4 8 2" xfId="6656" xr:uid="{00000000-0005-0000-0000-0000AB0C0000}"/>
    <cellStyle name="Calculation 2 3 2 4 4 8 3" xfId="6657" xr:uid="{00000000-0005-0000-0000-0000AC0C0000}"/>
    <cellStyle name="Calculation 2 3 2 4 4 9" xfId="6658" xr:uid="{00000000-0005-0000-0000-0000AD0C0000}"/>
    <cellStyle name="Calculation 2 3 2 4 5" xfId="6659" xr:uid="{00000000-0005-0000-0000-0000AE0C0000}"/>
    <cellStyle name="Calculation 2 3 2 4 5 2" xfId="6660" xr:uid="{00000000-0005-0000-0000-0000AF0C0000}"/>
    <cellStyle name="Calculation 2 3 2 4 5 2 2" xfId="6661" xr:uid="{00000000-0005-0000-0000-0000B00C0000}"/>
    <cellStyle name="Calculation 2 3 2 4 5 2 3" xfId="6662" xr:uid="{00000000-0005-0000-0000-0000B10C0000}"/>
    <cellStyle name="Calculation 2 3 2 4 5 3" xfId="6663" xr:uid="{00000000-0005-0000-0000-0000B20C0000}"/>
    <cellStyle name="Calculation 2 3 2 4 5 3 2" xfId="6664" xr:uid="{00000000-0005-0000-0000-0000B30C0000}"/>
    <cellStyle name="Calculation 2 3 2 4 5 3 3" xfId="6665" xr:uid="{00000000-0005-0000-0000-0000B40C0000}"/>
    <cellStyle name="Calculation 2 3 2 4 5 4" xfId="6666" xr:uid="{00000000-0005-0000-0000-0000B50C0000}"/>
    <cellStyle name="Calculation 2 3 2 4 5 4 2" xfId="6667" xr:uid="{00000000-0005-0000-0000-0000B60C0000}"/>
    <cellStyle name="Calculation 2 3 2 4 5 4 3" xfId="6668" xr:uid="{00000000-0005-0000-0000-0000B70C0000}"/>
    <cellStyle name="Calculation 2 3 2 4 5 5" xfId="6669" xr:uid="{00000000-0005-0000-0000-0000B80C0000}"/>
    <cellStyle name="Calculation 2 3 2 4 5 5 2" xfId="6670" xr:uid="{00000000-0005-0000-0000-0000B90C0000}"/>
    <cellStyle name="Calculation 2 3 2 4 5 5 3" xfId="6671" xr:uid="{00000000-0005-0000-0000-0000BA0C0000}"/>
    <cellStyle name="Calculation 2 3 2 4 5 6" xfId="6672" xr:uid="{00000000-0005-0000-0000-0000BB0C0000}"/>
    <cellStyle name="Calculation 2 3 2 4 5 6 2" xfId="6673" xr:uid="{00000000-0005-0000-0000-0000BC0C0000}"/>
    <cellStyle name="Calculation 2 3 2 4 5 6 3" xfId="6674" xr:uid="{00000000-0005-0000-0000-0000BD0C0000}"/>
    <cellStyle name="Calculation 2 3 2 4 5 7" xfId="6675" xr:uid="{00000000-0005-0000-0000-0000BE0C0000}"/>
    <cellStyle name="Calculation 2 3 2 4 5 7 2" xfId="6676" xr:uid="{00000000-0005-0000-0000-0000BF0C0000}"/>
    <cellStyle name="Calculation 2 3 2 4 5 7 3" xfId="6677" xr:uid="{00000000-0005-0000-0000-0000C00C0000}"/>
    <cellStyle name="Calculation 2 3 2 4 5 8" xfId="6678" xr:uid="{00000000-0005-0000-0000-0000C10C0000}"/>
    <cellStyle name="Calculation 2 3 2 4 5 9" xfId="6679" xr:uid="{00000000-0005-0000-0000-0000C20C0000}"/>
    <cellStyle name="Calculation 2 3 2 4 6" xfId="6680" xr:uid="{00000000-0005-0000-0000-0000C30C0000}"/>
    <cellStyle name="Calculation 2 3 2 4 6 2" xfId="6681" xr:uid="{00000000-0005-0000-0000-0000C40C0000}"/>
    <cellStyle name="Calculation 2 3 2 4 6 3" xfId="6682" xr:uid="{00000000-0005-0000-0000-0000C50C0000}"/>
    <cellStyle name="Calculation 2 3 2 4 7" xfId="6683" xr:uid="{00000000-0005-0000-0000-0000C60C0000}"/>
    <cellStyle name="Calculation 2 3 2 4 7 2" xfId="6684" xr:uid="{00000000-0005-0000-0000-0000C70C0000}"/>
    <cellStyle name="Calculation 2 3 2 4 7 3" xfId="6685" xr:uid="{00000000-0005-0000-0000-0000C80C0000}"/>
    <cellStyle name="Calculation 2 3 2 4 8" xfId="6686" xr:uid="{00000000-0005-0000-0000-0000C90C0000}"/>
    <cellStyle name="Calculation 2 3 2 4 8 2" xfId="6687" xr:uid="{00000000-0005-0000-0000-0000CA0C0000}"/>
    <cellStyle name="Calculation 2 3 2 4 8 3" xfId="6688" xr:uid="{00000000-0005-0000-0000-0000CB0C0000}"/>
    <cellStyle name="Calculation 2 3 2 4 9" xfId="6689" xr:uid="{00000000-0005-0000-0000-0000CC0C0000}"/>
    <cellStyle name="Calculation 2 3 2 4 9 2" xfId="6690" xr:uid="{00000000-0005-0000-0000-0000CD0C0000}"/>
    <cellStyle name="Calculation 2 3 2 4 9 3" xfId="6691" xr:uid="{00000000-0005-0000-0000-0000CE0C0000}"/>
    <cellStyle name="Calculation 2 3 2 5" xfId="6692" xr:uid="{00000000-0005-0000-0000-0000CF0C0000}"/>
    <cellStyle name="Calculation 2 3 2 5 10" xfId="43982" xr:uid="{00000000-0005-0000-0000-0000D00C0000}"/>
    <cellStyle name="Calculation 2 3 2 5 2" xfId="6693" xr:uid="{00000000-0005-0000-0000-0000D10C0000}"/>
    <cellStyle name="Calculation 2 3 2 5 2 10" xfId="6694" xr:uid="{00000000-0005-0000-0000-0000D20C0000}"/>
    <cellStyle name="Calculation 2 3 2 5 2 2" xfId="6695" xr:uid="{00000000-0005-0000-0000-0000D30C0000}"/>
    <cellStyle name="Calculation 2 3 2 5 2 2 2" xfId="6696" xr:uid="{00000000-0005-0000-0000-0000D40C0000}"/>
    <cellStyle name="Calculation 2 3 2 5 2 2 2 2" xfId="6697" xr:uid="{00000000-0005-0000-0000-0000D50C0000}"/>
    <cellStyle name="Calculation 2 3 2 5 2 2 2 3" xfId="6698" xr:uid="{00000000-0005-0000-0000-0000D60C0000}"/>
    <cellStyle name="Calculation 2 3 2 5 2 2 3" xfId="6699" xr:uid="{00000000-0005-0000-0000-0000D70C0000}"/>
    <cellStyle name="Calculation 2 3 2 5 2 2 3 2" xfId="6700" xr:uid="{00000000-0005-0000-0000-0000D80C0000}"/>
    <cellStyle name="Calculation 2 3 2 5 2 2 3 3" xfId="6701" xr:uid="{00000000-0005-0000-0000-0000D90C0000}"/>
    <cellStyle name="Calculation 2 3 2 5 2 2 4" xfId="6702" xr:uid="{00000000-0005-0000-0000-0000DA0C0000}"/>
    <cellStyle name="Calculation 2 3 2 5 2 2 4 2" xfId="6703" xr:uid="{00000000-0005-0000-0000-0000DB0C0000}"/>
    <cellStyle name="Calculation 2 3 2 5 2 2 4 3" xfId="6704" xr:uid="{00000000-0005-0000-0000-0000DC0C0000}"/>
    <cellStyle name="Calculation 2 3 2 5 2 2 5" xfId="6705" xr:uid="{00000000-0005-0000-0000-0000DD0C0000}"/>
    <cellStyle name="Calculation 2 3 2 5 2 2 5 2" xfId="6706" xr:uid="{00000000-0005-0000-0000-0000DE0C0000}"/>
    <cellStyle name="Calculation 2 3 2 5 2 2 5 3" xfId="6707" xr:uid="{00000000-0005-0000-0000-0000DF0C0000}"/>
    <cellStyle name="Calculation 2 3 2 5 2 2 6" xfId="6708" xr:uid="{00000000-0005-0000-0000-0000E00C0000}"/>
    <cellStyle name="Calculation 2 3 2 5 2 2 6 2" xfId="6709" xr:uid="{00000000-0005-0000-0000-0000E10C0000}"/>
    <cellStyle name="Calculation 2 3 2 5 2 2 6 3" xfId="6710" xr:uid="{00000000-0005-0000-0000-0000E20C0000}"/>
    <cellStyle name="Calculation 2 3 2 5 2 2 7" xfId="6711" xr:uid="{00000000-0005-0000-0000-0000E30C0000}"/>
    <cellStyle name="Calculation 2 3 2 5 2 2 7 2" xfId="6712" xr:uid="{00000000-0005-0000-0000-0000E40C0000}"/>
    <cellStyle name="Calculation 2 3 2 5 2 2 7 3" xfId="6713" xr:uid="{00000000-0005-0000-0000-0000E50C0000}"/>
    <cellStyle name="Calculation 2 3 2 5 2 2 8" xfId="6714" xr:uid="{00000000-0005-0000-0000-0000E60C0000}"/>
    <cellStyle name="Calculation 2 3 2 5 2 2 9" xfId="6715" xr:uid="{00000000-0005-0000-0000-0000E70C0000}"/>
    <cellStyle name="Calculation 2 3 2 5 2 3" xfId="6716" xr:uid="{00000000-0005-0000-0000-0000E80C0000}"/>
    <cellStyle name="Calculation 2 3 2 5 2 3 2" xfId="6717" xr:uid="{00000000-0005-0000-0000-0000E90C0000}"/>
    <cellStyle name="Calculation 2 3 2 5 2 3 3" xfId="6718" xr:uid="{00000000-0005-0000-0000-0000EA0C0000}"/>
    <cellStyle name="Calculation 2 3 2 5 2 4" xfId="6719" xr:uid="{00000000-0005-0000-0000-0000EB0C0000}"/>
    <cellStyle name="Calculation 2 3 2 5 2 4 2" xfId="6720" xr:uid="{00000000-0005-0000-0000-0000EC0C0000}"/>
    <cellStyle name="Calculation 2 3 2 5 2 4 3" xfId="6721" xr:uid="{00000000-0005-0000-0000-0000ED0C0000}"/>
    <cellStyle name="Calculation 2 3 2 5 2 5" xfId="6722" xr:uid="{00000000-0005-0000-0000-0000EE0C0000}"/>
    <cellStyle name="Calculation 2 3 2 5 2 5 2" xfId="6723" xr:uid="{00000000-0005-0000-0000-0000EF0C0000}"/>
    <cellStyle name="Calculation 2 3 2 5 2 5 3" xfId="6724" xr:uid="{00000000-0005-0000-0000-0000F00C0000}"/>
    <cellStyle name="Calculation 2 3 2 5 2 6" xfId="6725" xr:uid="{00000000-0005-0000-0000-0000F10C0000}"/>
    <cellStyle name="Calculation 2 3 2 5 2 6 2" xfId="6726" xr:uid="{00000000-0005-0000-0000-0000F20C0000}"/>
    <cellStyle name="Calculation 2 3 2 5 2 6 3" xfId="6727" xr:uid="{00000000-0005-0000-0000-0000F30C0000}"/>
    <cellStyle name="Calculation 2 3 2 5 2 7" xfId="6728" xr:uid="{00000000-0005-0000-0000-0000F40C0000}"/>
    <cellStyle name="Calculation 2 3 2 5 2 7 2" xfId="6729" xr:uid="{00000000-0005-0000-0000-0000F50C0000}"/>
    <cellStyle name="Calculation 2 3 2 5 2 7 3" xfId="6730" xr:uid="{00000000-0005-0000-0000-0000F60C0000}"/>
    <cellStyle name="Calculation 2 3 2 5 2 8" xfId="6731" xr:uid="{00000000-0005-0000-0000-0000F70C0000}"/>
    <cellStyle name="Calculation 2 3 2 5 2 8 2" xfId="6732" xr:uid="{00000000-0005-0000-0000-0000F80C0000}"/>
    <cellStyle name="Calculation 2 3 2 5 2 8 3" xfId="6733" xr:uid="{00000000-0005-0000-0000-0000F90C0000}"/>
    <cellStyle name="Calculation 2 3 2 5 2 9" xfId="6734" xr:uid="{00000000-0005-0000-0000-0000FA0C0000}"/>
    <cellStyle name="Calculation 2 3 2 5 3" xfId="6735" xr:uid="{00000000-0005-0000-0000-0000FB0C0000}"/>
    <cellStyle name="Calculation 2 3 2 5 3 10" xfId="6736" xr:uid="{00000000-0005-0000-0000-0000FC0C0000}"/>
    <cellStyle name="Calculation 2 3 2 5 3 2" xfId="6737" xr:uid="{00000000-0005-0000-0000-0000FD0C0000}"/>
    <cellStyle name="Calculation 2 3 2 5 3 2 2" xfId="6738" xr:uid="{00000000-0005-0000-0000-0000FE0C0000}"/>
    <cellStyle name="Calculation 2 3 2 5 3 2 2 2" xfId="6739" xr:uid="{00000000-0005-0000-0000-0000FF0C0000}"/>
    <cellStyle name="Calculation 2 3 2 5 3 2 2 3" xfId="6740" xr:uid="{00000000-0005-0000-0000-0000000D0000}"/>
    <cellStyle name="Calculation 2 3 2 5 3 2 3" xfId="6741" xr:uid="{00000000-0005-0000-0000-0000010D0000}"/>
    <cellStyle name="Calculation 2 3 2 5 3 2 3 2" xfId="6742" xr:uid="{00000000-0005-0000-0000-0000020D0000}"/>
    <cellStyle name="Calculation 2 3 2 5 3 2 3 3" xfId="6743" xr:uid="{00000000-0005-0000-0000-0000030D0000}"/>
    <cellStyle name="Calculation 2 3 2 5 3 2 4" xfId="6744" xr:uid="{00000000-0005-0000-0000-0000040D0000}"/>
    <cellStyle name="Calculation 2 3 2 5 3 2 4 2" xfId="6745" xr:uid="{00000000-0005-0000-0000-0000050D0000}"/>
    <cellStyle name="Calculation 2 3 2 5 3 2 4 3" xfId="6746" xr:uid="{00000000-0005-0000-0000-0000060D0000}"/>
    <cellStyle name="Calculation 2 3 2 5 3 2 5" xfId="6747" xr:uid="{00000000-0005-0000-0000-0000070D0000}"/>
    <cellStyle name="Calculation 2 3 2 5 3 2 5 2" xfId="6748" xr:uid="{00000000-0005-0000-0000-0000080D0000}"/>
    <cellStyle name="Calculation 2 3 2 5 3 2 5 3" xfId="6749" xr:uid="{00000000-0005-0000-0000-0000090D0000}"/>
    <cellStyle name="Calculation 2 3 2 5 3 2 6" xfId="6750" xr:uid="{00000000-0005-0000-0000-00000A0D0000}"/>
    <cellStyle name="Calculation 2 3 2 5 3 2 6 2" xfId="6751" xr:uid="{00000000-0005-0000-0000-00000B0D0000}"/>
    <cellStyle name="Calculation 2 3 2 5 3 2 6 3" xfId="6752" xr:uid="{00000000-0005-0000-0000-00000C0D0000}"/>
    <cellStyle name="Calculation 2 3 2 5 3 2 7" xfId="6753" xr:uid="{00000000-0005-0000-0000-00000D0D0000}"/>
    <cellStyle name="Calculation 2 3 2 5 3 2 7 2" xfId="6754" xr:uid="{00000000-0005-0000-0000-00000E0D0000}"/>
    <cellStyle name="Calculation 2 3 2 5 3 2 7 3" xfId="6755" xr:uid="{00000000-0005-0000-0000-00000F0D0000}"/>
    <cellStyle name="Calculation 2 3 2 5 3 2 8" xfId="6756" xr:uid="{00000000-0005-0000-0000-0000100D0000}"/>
    <cellStyle name="Calculation 2 3 2 5 3 2 9" xfId="6757" xr:uid="{00000000-0005-0000-0000-0000110D0000}"/>
    <cellStyle name="Calculation 2 3 2 5 3 3" xfId="6758" xr:uid="{00000000-0005-0000-0000-0000120D0000}"/>
    <cellStyle name="Calculation 2 3 2 5 3 3 2" xfId="6759" xr:uid="{00000000-0005-0000-0000-0000130D0000}"/>
    <cellStyle name="Calculation 2 3 2 5 3 3 3" xfId="6760" xr:uid="{00000000-0005-0000-0000-0000140D0000}"/>
    <cellStyle name="Calculation 2 3 2 5 3 4" xfId="6761" xr:uid="{00000000-0005-0000-0000-0000150D0000}"/>
    <cellStyle name="Calculation 2 3 2 5 3 4 2" xfId="6762" xr:uid="{00000000-0005-0000-0000-0000160D0000}"/>
    <cellStyle name="Calculation 2 3 2 5 3 4 3" xfId="6763" xr:uid="{00000000-0005-0000-0000-0000170D0000}"/>
    <cellStyle name="Calculation 2 3 2 5 3 5" xfId="6764" xr:uid="{00000000-0005-0000-0000-0000180D0000}"/>
    <cellStyle name="Calculation 2 3 2 5 3 5 2" xfId="6765" xr:uid="{00000000-0005-0000-0000-0000190D0000}"/>
    <cellStyle name="Calculation 2 3 2 5 3 5 3" xfId="6766" xr:uid="{00000000-0005-0000-0000-00001A0D0000}"/>
    <cellStyle name="Calculation 2 3 2 5 3 6" xfId="6767" xr:uid="{00000000-0005-0000-0000-00001B0D0000}"/>
    <cellStyle name="Calculation 2 3 2 5 3 6 2" xfId="6768" xr:uid="{00000000-0005-0000-0000-00001C0D0000}"/>
    <cellStyle name="Calculation 2 3 2 5 3 6 3" xfId="6769" xr:uid="{00000000-0005-0000-0000-00001D0D0000}"/>
    <cellStyle name="Calculation 2 3 2 5 3 7" xfId="6770" xr:uid="{00000000-0005-0000-0000-00001E0D0000}"/>
    <cellStyle name="Calculation 2 3 2 5 3 7 2" xfId="6771" xr:uid="{00000000-0005-0000-0000-00001F0D0000}"/>
    <cellStyle name="Calculation 2 3 2 5 3 7 3" xfId="6772" xr:uid="{00000000-0005-0000-0000-0000200D0000}"/>
    <cellStyle name="Calculation 2 3 2 5 3 8" xfId="6773" xr:uid="{00000000-0005-0000-0000-0000210D0000}"/>
    <cellStyle name="Calculation 2 3 2 5 3 8 2" xfId="6774" xr:uid="{00000000-0005-0000-0000-0000220D0000}"/>
    <cellStyle name="Calculation 2 3 2 5 3 8 3" xfId="6775" xr:uid="{00000000-0005-0000-0000-0000230D0000}"/>
    <cellStyle name="Calculation 2 3 2 5 3 9" xfId="6776" xr:uid="{00000000-0005-0000-0000-0000240D0000}"/>
    <cellStyle name="Calculation 2 3 2 5 4" xfId="6777" xr:uid="{00000000-0005-0000-0000-0000250D0000}"/>
    <cellStyle name="Calculation 2 3 2 5 4 10" xfId="6778" xr:uid="{00000000-0005-0000-0000-0000260D0000}"/>
    <cellStyle name="Calculation 2 3 2 5 4 2" xfId="6779" xr:uid="{00000000-0005-0000-0000-0000270D0000}"/>
    <cellStyle name="Calculation 2 3 2 5 4 2 2" xfId="6780" xr:uid="{00000000-0005-0000-0000-0000280D0000}"/>
    <cellStyle name="Calculation 2 3 2 5 4 2 2 2" xfId="6781" xr:uid="{00000000-0005-0000-0000-0000290D0000}"/>
    <cellStyle name="Calculation 2 3 2 5 4 2 2 3" xfId="6782" xr:uid="{00000000-0005-0000-0000-00002A0D0000}"/>
    <cellStyle name="Calculation 2 3 2 5 4 2 3" xfId="6783" xr:uid="{00000000-0005-0000-0000-00002B0D0000}"/>
    <cellStyle name="Calculation 2 3 2 5 4 2 3 2" xfId="6784" xr:uid="{00000000-0005-0000-0000-00002C0D0000}"/>
    <cellStyle name="Calculation 2 3 2 5 4 2 3 3" xfId="6785" xr:uid="{00000000-0005-0000-0000-00002D0D0000}"/>
    <cellStyle name="Calculation 2 3 2 5 4 2 4" xfId="6786" xr:uid="{00000000-0005-0000-0000-00002E0D0000}"/>
    <cellStyle name="Calculation 2 3 2 5 4 2 4 2" xfId="6787" xr:uid="{00000000-0005-0000-0000-00002F0D0000}"/>
    <cellStyle name="Calculation 2 3 2 5 4 2 4 3" xfId="6788" xr:uid="{00000000-0005-0000-0000-0000300D0000}"/>
    <cellStyle name="Calculation 2 3 2 5 4 2 5" xfId="6789" xr:uid="{00000000-0005-0000-0000-0000310D0000}"/>
    <cellStyle name="Calculation 2 3 2 5 4 2 5 2" xfId="6790" xr:uid="{00000000-0005-0000-0000-0000320D0000}"/>
    <cellStyle name="Calculation 2 3 2 5 4 2 5 3" xfId="6791" xr:uid="{00000000-0005-0000-0000-0000330D0000}"/>
    <cellStyle name="Calculation 2 3 2 5 4 2 6" xfId="6792" xr:uid="{00000000-0005-0000-0000-0000340D0000}"/>
    <cellStyle name="Calculation 2 3 2 5 4 2 6 2" xfId="6793" xr:uid="{00000000-0005-0000-0000-0000350D0000}"/>
    <cellStyle name="Calculation 2 3 2 5 4 2 6 3" xfId="6794" xr:uid="{00000000-0005-0000-0000-0000360D0000}"/>
    <cellStyle name="Calculation 2 3 2 5 4 2 7" xfId="6795" xr:uid="{00000000-0005-0000-0000-0000370D0000}"/>
    <cellStyle name="Calculation 2 3 2 5 4 2 7 2" xfId="6796" xr:uid="{00000000-0005-0000-0000-0000380D0000}"/>
    <cellStyle name="Calculation 2 3 2 5 4 2 7 3" xfId="6797" xr:uid="{00000000-0005-0000-0000-0000390D0000}"/>
    <cellStyle name="Calculation 2 3 2 5 4 2 8" xfId="6798" xr:uid="{00000000-0005-0000-0000-00003A0D0000}"/>
    <cellStyle name="Calculation 2 3 2 5 4 2 9" xfId="6799" xr:uid="{00000000-0005-0000-0000-00003B0D0000}"/>
    <cellStyle name="Calculation 2 3 2 5 4 3" xfId="6800" xr:uid="{00000000-0005-0000-0000-00003C0D0000}"/>
    <cellStyle name="Calculation 2 3 2 5 4 3 2" xfId="6801" xr:uid="{00000000-0005-0000-0000-00003D0D0000}"/>
    <cellStyle name="Calculation 2 3 2 5 4 3 3" xfId="6802" xr:uid="{00000000-0005-0000-0000-00003E0D0000}"/>
    <cellStyle name="Calculation 2 3 2 5 4 4" xfId="6803" xr:uid="{00000000-0005-0000-0000-00003F0D0000}"/>
    <cellStyle name="Calculation 2 3 2 5 4 4 2" xfId="6804" xr:uid="{00000000-0005-0000-0000-0000400D0000}"/>
    <cellStyle name="Calculation 2 3 2 5 4 4 3" xfId="6805" xr:uid="{00000000-0005-0000-0000-0000410D0000}"/>
    <cellStyle name="Calculation 2 3 2 5 4 5" xfId="6806" xr:uid="{00000000-0005-0000-0000-0000420D0000}"/>
    <cellStyle name="Calculation 2 3 2 5 4 5 2" xfId="6807" xr:uid="{00000000-0005-0000-0000-0000430D0000}"/>
    <cellStyle name="Calculation 2 3 2 5 4 5 3" xfId="6808" xr:uid="{00000000-0005-0000-0000-0000440D0000}"/>
    <cellStyle name="Calculation 2 3 2 5 4 6" xfId="6809" xr:uid="{00000000-0005-0000-0000-0000450D0000}"/>
    <cellStyle name="Calculation 2 3 2 5 4 6 2" xfId="6810" xr:uid="{00000000-0005-0000-0000-0000460D0000}"/>
    <cellStyle name="Calculation 2 3 2 5 4 6 3" xfId="6811" xr:uid="{00000000-0005-0000-0000-0000470D0000}"/>
    <cellStyle name="Calculation 2 3 2 5 4 7" xfId="6812" xr:uid="{00000000-0005-0000-0000-0000480D0000}"/>
    <cellStyle name="Calculation 2 3 2 5 4 7 2" xfId="6813" xr:uid="{00000000-0005-0000-0000-0000490D0000}"/>
    <cellStyle name="Calculation 2 3 2 5 4 7 3" xfId="6814" xr:uid="{00000000-0005-0000-0000-00004A0D0000}"/>
    <cellStyle name="Calculation 2 3 2 5 4 8" xfId="6815" xr:uid="{00000000-0005-0000-0000-00004B0D0000}"/>
    <cellStyle name="Calculation 2 3 2 5 4 8 2" xfId="6816" xr:uid="{00000000-0005-0000-0000-00004C0D0000}"/>
    <cellStyle name="Calculation 2 3 2 5 4 8 3" xfId="6817" xr:uid="{00000000-0005-0000-0000-00004D0D0000}"/>
    <cellStyle name="Calculation 2 3 2 5 4 9" xfId="6818" xr:uid="{00000000-0005-0000-0000-00004E0D0000}"/>
    <cellStyle name="Calculation 2 3 2 5 5" xfId="6819" xr:uid="{00000000-0005-0000-0000-00004F0D0000}"/>
    <cellStyle name="Calculation 2 3 2 5 5 2" xfId="6820" xr:uid="{00000000-0005-0000-0000-0000500D0000}"/>
    <cellStyle name="Calculation 2 3 2 5 5 2 2" xfId="6821" xr:uid="{00000000-0005-0000-0000-0000510D0000}"/>
    <cellStyle name="Calculation 2 3 2 5 5 2 3" xfId="6822" xr:uid="{00000000-0005-0000-0000-0000520D0000}"/>
    <cellStyle name="Calculation 2 3 2 5 5 3" xfId="6823" xr:uid="{00000000-0005-0000-0000-0000530D0000}"/>
    <cellStyle name="Calculation 2 3 2 5 5 3 2" xfId="6824" xr:uid="{00000000-0005-0000-0000-0000540D0000}"/>
    <cellStyle name="Calculation 2 3 2 5 5 3 3" xfId="6825" xr:uid="{00000000-0005-0000-0000-0000550D0000}"/>
    <cellStyle name="Calculation 2 3 2 5 5 4" xfId="6826" xr:uid="{00000000-0005-0000-0000-0000560D0000}"/>
    <cellStyle name="Calculation 2 3 2 5 5 4 2" xfId="6827" xr:uid="{00000000-0005-0000-0000-0000570D0000}"/>
    <cellStyle name="Calculation 2 3 2 5 5 4 3" xfId="6828" xr:uid="{00000000-0005-0000-0000-0000580D0000}"/>
    <cellStyle name="Calculation 2 3 2 5 5 5" xfId="6829" xr:uid="{00000000-0005-0000-0000-0000590D0000}"/>
    <cellStyle name="Calculation 2 3 2 5 5 5 2" xfId="6830" xr:uid="{00000000-0005-0000-0000-00005A0D0000}"/>
    <cellStyle name="Calculation 2 3 2 5 5 5 3" xfId="6831" xr:uid="{00000000-0005-0000-0000-00005B0D0000}"/>
    <cellStyle name="Calculation 2 3 2 5 5 6" xfId="6832" xr:uid="{00000000-0005-0000-0000-00005C0D0000}"/>
    <cellStyle name="Calculation 2 3 2 5 5 6 2" xfId="6833" xr:uid="{00000000-0005-0000-0000-00005D0D0000}"/>
    <cellStyle name="Calculation 2 3 2 5 5 6 3" xfId="6834" xr:uid="{00000000-0005-0000-0000-00005E0D0000}"/>
    <cellStyle name="Calculation 2 3 2 5 5 7" xfId="6835" xr:uid="{00000000-0005-0000-0000-00005F0D0000}"/>
    <cellStyle name="Calculation 2 3 2 5 5 7 2" xfId="6836" xr:uid="{00000000-0005-0000-0000-0000600D0000}"/>
    <cellStyle name="Calculation 2 3 2 5 5 7 3" xfId="6837" xr:uid="{00000000-0005-0000-0000-0000610D0000}"/>
    <cellStyle name="Calculation 2 3 2 5 5 8" xfId="6838" xr:uid="{00000000-0005-0000-0000-0000620D0000}"/>
    <cellStyle name="Calculation 2 3 2 5 5 9" xfId="6839" xr:uid="{00000000-0005-0000-0000-0000630D0000}"/>
    <cellStyle name="Calculation 2 3 2 5 6" xfId="6840" xr:uid="{00000000-0005-0000-0000-0000640D0000}"/>
    <cellStyle name="Calculation 2 3 2 5 6 2" xfId="6841" xr:uid="{00000000-0005-0000-0000-0000650D0000}"/>
    <cellStyle name="Calculation 2 3 2 5 6 3" xfId="6842" xr:uid="{00000000-0005-0000-0000-0000660D0000}"/>
    <cellStyle name="Calculation 2 3 2 5 7" xfId="6843" xr:uid="{00000000-0005-0000-0000-0000670D0000}"/>
    <cellStyle name="Calculation 2 3 2 5 7 2" xfId="6844" xr:uid="{00000000-0005-0000-0000-0000680D0000}"/>
    <cellStyle name="Calculation 2 3 2 5 7 3" xfId="6845" xr:uid="{00000000-0005-0000-0000-0000690D0000}"/>
    <cellStyle name="Calculation 2 3 2 5 8" xfId="6846" xr:uid="{00000000-0005-0000-0000-00006A0D0000}"/>
    <cellStyle name="Calculation 2 3 2 5 8 2" xfId="6847" xr:uid="{00000000-0005-0000-0000-00006B0D0000}"/>
    <cellStyle name="Calculation 2 3 2 5 8 3" xfId="6848" xr:uid="{00000000-0005-0000-0000-00006C0D0000}"/>
    <cellStyle name="Calculation 2 3 2 5 9" xfId="6849" xr:uid="{00000000-0005-0000-0000-00006D0D0000}"/>
    <cellStyle name="Calculation 2 3 2 5 9 2" xfId="6850" xr:uid="{00000000-0005-0000-0000-00006E0D0000}"/>
    <cellStyle name="Calculation 2 3 2 5 9 3" xfId="6851" xr:uid="{00000000-0005-0000-0000-00006F0D0000}"/>
    <cellStyle name="Calculation 2 3 2 6" xfId="6852" xr:uid="{00000000-0005-0000-0000-0000700D0000}"/>
    <cellStyle name="Calculation 2 3 2 6 10" xfId="6853" xr:uid="{00000000-0005-0000-0000-0000710D0000}"/>
    <cellStyle name="Calculation 2 3 2 6 2" xfId="6854" xr:uid="{00000000-0005-0000-0000-0000720D0000}"/>
    <cellStyle name="Calculation 2 3 2 6 2 2" xfId="6855" xr:uid="{00000000-0005-0000-0000-0000730D0000}"/>
    <cellStyle name="Calculation 2 3 2 6 2 2 2" xfId="6856" xr:uid="{00000000-0005-0000-0000-0000740D0000}"/>
    <cellStyle name="Calculation 2 3 2 6 2 2 3" xfId="6857" xr:uid="{00000000-0005-0000-0000-0000750D0000}"/>
    <cellStyle name="Calculation 2 3 2 6 2 3" xfId="6858" xr:uid="{00000000-0005-0000-0000-0000760D0000}"/>
    <cellStyle name="Calculation 2 3 2 6 2 3 2" xfId="6859" xr:uid="{00000000-0005-0000-0000-0000770D0000}"/>
    <cellStyle name="Calculation 2 3 2 6 2 3 3" xfId="6860" xr:uid="{00000000-0005-0000-0000-0000780D0000}"/>
    <cellStyle name="Calculation 2 3 2 6 2 4" xfId="6861" xr:uid="{00000000-0005-0000-0000-0000790D0000}"/>
    <cellStyle name="Calculation 2 3 2 6 2 4 2" xfId="6862" xr:uid="{00000000-0005-0000-0000-00007A0D0000}"/>
    <cellStyle name="Calculation 2 3 2 6 2 4 3" xfId="6863" xr:uid="{00000000-0005-0000-0000-00007B0D0000}"/>
    <cellStyle name="Calculation 2 3 2 6 2 5" xfId="6864" xr:uid="{00000000-0005-0000-0000-00007C0D0000}"/>
    <cellStyle name="Calculation 2 3 2 6 2 5 2" xfId="6865" xr:uid="{00000000-0005-0000-0000-00007D0D0000}"/>
    <cellStyle name="Calculation 2 3 2 6 2 5 3" xfId="6866" xr:uid="{00000000-0005-0000-0000-00007E0D0000}"/>
    <cellStyle name="Calculation 2 3 2 6 2 6" xfId="6867" xr:uid="{00000000-0005-0000-0000-00007F0D0000}"/>
    <cellStyle name="Calculation 2 3 2 6 2 6 2" xfId="6868" xr:uid="{00000000-0005-0000-0000-0000800D0000}"/>
    <cellStyle name="Calculation 2 3 2 6 2 6 3" xfId="6869" xr:uid="{00000000-0005-0000-0000-0000810D0000}"/>
    <cellStyle name="Calculation 2 3 2 6 2 7" xfId="6870" xr:uid="{00000000-0005-0000-0000-0000820D0000}"/>
    <cellStyle name="Calculation 2 3 2 6 2 7 2" xfId="6871" xr:uid="{00000000-0005-0000-0000-0000830D0000}"/>
    <cellStyle name="Calculation 2 3 2 6 2 7 3" xfId="6872" xr:uid="{00000000-0005-0000-0000-0000840D0000}"/>
    <cellStyle name="Calculation 2 3 2 6 2 8" xfId="6873" xr:uid="{00000000-0005-0000-0000-0000850D0000}"/>
    <cellStyle name="Calculation 2 3 2 6 2 9" xfId="6874" xr:uid="{00000000-0005-0000-0000-0000860D0000}"/>
    <cellStyle name="Calculation 2 3 2 6 3" xfId="6875" xr:uid="{00000000-0005-0000-0000-0000870D0000}"/>
    <cellStyle name="Calculation 2 3 2 6 3 2" xfId="6876" xr:uid="{00000000-0005-0000-0000-0000880D0000}"/>
    <cellStyle name="Calculation 2 3 2 6 3 3" xfId="6877" xr:uid="{00000000-0005-0000-0000-0000890D0000}"/>
    <cellStyle name="Calculation 2 3 2 6 4" xfId="6878" xr:uid="{00000000-0005-0000-0000-00008A0D0000}"/>
    <cellStyle name="Calculation 2 3 2 6 4 2" xfId="6879" xr:uid="{00000000-0005-0000-0000-00008B0D0000}"/>
    <cellStyle name="Calculation 2 3 2 6 4 3" xfId="6880" xr:uid="{00000000-0005-0000-0000-00008C0D0000}"/>
    <cellStyle name="Calculation 2 3 2 6 5" xfId="6881" xr:uid="{00000000-0005-0000-0000-00008D0D0000}"/>
    <cellStyle name="Calculation 2 3 2 6 5 2" xfId="6882" xr:uid="{00000000-0005-0000-0000-00008E0D0000}"/>
    <cellStyle name="Calculation 2 3 2 6 5 3" xfId="6883" xr:uid="{00000000-0005-0000-0000-00008F0D0000}"/>
    <cellStyle name="Calculation 2 3 2 6 6" xfId="6884" xr:uid="{00000000-0005-0000-0000-0000900D0000}"/>
    <cellStyle name="Calculation 2 3 2 6 6 2" xfId="6885" xr:uid="{00000000-0005-0000-0000-0000910D0000}"/>
    <cellStyle name="Calculation 2 3 2 6 6 3" xfId="6886" xr:uid="{00000000-0005-0000-0000-0000920D0000}"/>
    <cellStyle name="Calculation 2 3 2 6 7" xfId="6887" xr:uid="{00000000-0005-0000-0000-0000930D0000}"/>
    <cellStyle name="Calculation 2 3 2 6 7 2" xfId="6888" xr:uid="{00000000-0005-0000-0000-0000940D0000}"/>
    <cellStyle name="Calculation 2 3 2 6 7 3" xfId="6889" xr:uid="{00000000-0005-0000-0000-0000950D0000}"/>
    <cellStyle name="Calculation 2 3 2 6 8" xfId="6890" xr:uid="{00000000-0005-0000-0000-0000960D0000}"/>
    <cellStyle name="Calculation 2 3 2 6 8 2" xfId="6891" xr:uid="{00000000-0005-0000-0000-0000970D0000}"/>
    <cellStyle name="Calculation 2 3 2 6 8 3" xfId="6892" xr:uid="{00000000-0005-0000-0000-0000980D0000}"/>
    <cellStyle name="Calculation 2 3 2 6 9" xfId="6893" xr:uid="{00000000-0005-0000-0000-0000990D0000}"/>
    <cellStyle name="Calculation 2 3 2 7" xfId="6894" xr:uid="{00000000-0005-0000-0000-00009A0D0000}"/>
    <cellStyle name="Calculation 2 3 2 7 10" xfId="6895" xr:uid="{00000000-0005-0000-0000-00009B0D0000}"/>
    <cellStyle name="Calculation 2 3 2 7 2" xfId="6896" xr:uid="{00000000-0005-0000-0000-00009C0D0000}"/>
    <cellStyle name="Calculation 2 3 2 7 2 2" xfId="6897" xr:uid="{00000000-0005-0000-0000-00009D0D0000}"/>
    <cellStyle name="Calculation 2 3 2 7 2 2 2" xfId="6898" xr:uid="{00000000-0005-0000-0000-00009E0D0000}"/>
    <cellStyle name="Calculation 2 3 2 7 2 2 3" xfId="6899" xr:uid="{00000000-0005-0000-0000-00009F0D0000}"/>
    <cellStyle name="Calculation 2 3 2 7 2 3" xfId="6900" xr:uid="{00000000-0005-0000-0000-0000A00D0000}"/>
    <cellStyle name="Calculation 2 3 2 7 2 3 2" xfId="6901" xr:uid="{00000000-0005-0000-0000-0000A10D0000}"/>
    <cellStyle name="Calculation 2 3 2 7 2 3 3" xfId="6902" xr:uid="{00000000-0005-0000-0000-0000A20D0000}"/>
    <cellStyle name="Calculation 2 3 2 7 2 4" xfId="6903" xr:uid="{00000000-0005-0000-0000-0000A30D0000}"/>
    <cellStyle name="Calculation 2 3 2 7 2 4 2" xfId="6904" xr:uid="{00000000-0005-0000-0000-0000A40D0000}"/>
    <cellStyle name="Calculation 2 3 2 7 2 4 3" xfId="6905" xr:uid="{00000000-0005-0000-0000-0000A50D0000}"/>
    <cellStyle name="Calculation 2 3 2 7 2 5" xfId="6906" xr:uid="{00000000-0005-0000-0000-0000A60D0000}"/>
    <cellStyle name="Calculation 2 3 2 7 2 5 2" xfId="6907" xr:uid="{00000000-0005-0000-0000-0000A70D0000}"/>
    <cellStyle name="Calculation 2 3 2 7 2 5 3" xfId="6908" xr:uid="{00000000-0005-0000-0000-0000A80D0000}"/>
    <cellStyle name="Calculation 2 3 2 7 2 6" xfId="6909" xr:uid="{00000000-0005-0000-0000-0000A90D0000}"/>
    <cellStyle name="Calculation 2 3 2 7 2 6 2" xfId="6910" xr:uid="{00000000-0005-0000-0000-0000AA0D0000}"/>
    <cellStyle name="Calculation 2 3 2 7 2 6 3" xfId="6911" xr:uid="{00000000-0005-0000-0000-0000AB0D0000}"/>
    <cellStyle name="Calculation 2 3 2 7 2 7" xfId="6912" xr:uid="{00000000-0005-0000-0000-0000AC0D0000}"/>
    <cellStyle name="Calculation 2 3 2 7 2 7 2" xfId="6913" xr:uid="{00000000-0005-0000-0000-0000AD0D0000}"/>
    <cellStyle name="Calculation 2 3 2 7 2 7 3" xfId="6914" xr:uid="{00000000-0005-0000-0000-0000AE0D0000}"/>
    <cellStyle name="Calculation 2 3 2 7 2 8" xfId="6915" xr:uid="{00000000-0005-0000-0000-0000AF0D0000}"/>
    <cellStyle name="Calculation 2 3 2 7 2 9" xfId="6916" xr:uid="{00000000-0005-0000-0000-0000B00D0000}"/>
    <cellStyle name="Calculation 2 3 2 7 3" xfId="6917" xr:uid="{00000000-0005-0000-0000-0000B10D0000}"/>
    <cellStyle name="Calculation 2 3 2 7 3 2" xfId="6918" xr:uid="{00000000-0005-0000-0000-0000B20D0000}"/>
    <cellStyle name="Calculation 2 3 2 7 3 3" xfId="6919" xr:uid="{00000000-0005-0000-0000-0000B30D0000}"/>
    <cellStyle name="Calculation 2 3 2 7 4" xfId="6920" xr:uid="{00000000-0005-0000-0000-0000B40D0000}"/>
    <cellStyle name="Calculation 2 3 2 7 4 2" xfId="6921" xr:uid="{00000000-0005-0000-0000-0000B50D0000}"/>
    <cellStyle name="Calculation 2 3 2 7 4 3" xfId="6922" xr:uid="{00000000-0005-0000-0000-0000B60D0000}"/>
    <cellStyle name="Calculation 2 3 2 7 5" xfId="6923" xr:uid="{00000000-0005-0000-0000-0000B70D0000}"/>
    <cellStyle name="Calculation 2 3 2 7 5 2" xfId="6924" xr:uid="{00000000-0005-0000-0000-0000B80D0000}"/>
    <cellStyle name="Calculation 2 3 2 7 5 3" xfId="6925" xr:uid="{00000000-0005-0000-0000-0000B90D0000}"/>
    <cellStyle name="Calculation 2 3 2 7 6" xfId="6926" xr:uid="{00000000-0005-0000-0000-0000BA0D0000}"/>
    <cellStyle name="Calculation 2 3 2 7 6 2" xfId="6927" xr:uid="{00000000-0005-0000-0000-0000BB0D0000}"/>
    <cellStyle name="Calculation 2 3 2 7 6 3" xfId="6928" xr:uid="{00000000-0005-0000-0000-0000BC0D0000}"/>
    <cellStyle name="Calculation 2 3 2 7 7" xfId="6929" xr:uid="{00000000-0005-0000-0000-0000BD0D0000}"/>
    <cellStyle name="Calculation 2 3 2 7 7 2" xfId="6930" xr:uid="{00000000-0005-0000-0000-0000BE0D0000}"/>
    <cellStyle name="Calculation 2 3 2 7 7 3" xfId="6931" xr:uid="{00000000-0005-0000-0000-0000BF0D0000}"/>
    <cellStyle name="Calculation 2 3 2 7 8" xfId="6932" xr:uid="{00000000-0005-0000-0000-0000C00D0000}"/>
    <cellStyle name="Calculation 2 3 2 7 8 2" xfId="6933" xr:uid="{00000000-0005-0000-0000-0000C10D0000}"/>
    <cellStyle name="Calculation 2 3 2 7 8 3" xfId="6934" xr:uid="{00000000-0005-0000-0000-0000C20D0000}"/>
    <cellStyle name="Calculation 2 3 2 7 9" xfId="6935" xr:uid="{00000000-0005-0000-0000-0000C30D0000}"/>
    <cellStyle name="Calculation 2 3 2 8" xfId="6936" xr:uid="{00000000-0005-0000-0000-0000C40D0000}"/>
    <cellStyle name="Calculation 2 3 2 8 10" xfId="6937" xr:uid="{00000000-0005-0000-0000-0000C50D0000}"/>
    <cellStyle name="Calculation 2 3 2 8 2" xfId="6938" xr:uid="{00000000-0005-0000-0000-0000C60D0000}"/>
    <cellStyle name="Calculation 2 3 2 8 2 2" xfId="6939" xr:uid="{00000000-0005-0000-0000-0000C70D0000}"/>
    <cellStyle name="Calculation 2 3 2 8 2 2 2" xfId="6940" xr:uid="{00000000-0005-0000-0000-0000C80D0000}"/>
    <cellStyle name="Calculation 2 3 2 8 2 2 3" xfId="6941" xr:uid="{00000000-0005-0000-0000-0000C90D0000}"/>
    <cellStyle name="Calculation 2 3 2 8 2 3" xfId="6942" xr:uid="{00000000-0005-0000-0000-0000CA0D0000}"/>
    <cellStyle name="Calculation 2 3 2 8 2 3 2" xfId="6943" xr:uid="{00000000-0005-0000-0000-0000CB0D0000}"/>
    <cellStyle name="Calculation 2 3 2 8 2 3 3" xfId="6944" xr:uid="{00000000-0005-0000-0000-0000CC0D0000}"/>
    <cellStyle name="Calculation 2 3 2 8 2 4" xfId="6945" xr:uid="{00000000-0005-0000-0000-0000CD0D0000}"/>
    <cellStyle name="Calculation 2 3 2 8 2 4 2" xfId="6946" xr:uid="{00000000-0005-0000-0000-0000CE0D0000}"/>
    <cellStyle name="Calculation 2 3 2 8 2 4 3" xfId="6947" xr:uid="{00000000-0005-0000-0000-0000CF0D0000}"/>
    <cellStyle name="Calculation 2 3 2 8 2 5" xfId="6948" xr:uid="{00000000-0005-0000-0000-0000D00D0000}"/>
    <cellStyle name="Calculation 2 3 2 8 2 5 2" xfId="6949" xr:uid="{00000000-0005-0000-0000-0000D10D0000}"/>
    <cellStyle name="Calculation 2 3 2 8 2 5 3" xfId="6950" xr:uid="{00000000-0005-0000-0000-0000D20D0000}"/>
    <cellStyle name="Calculation 2 3 2 8 2 6" xfId="6951" xr:uid="{00000000-0005-0000-0000-0000D30D0000}"/>
    <cellStyle name="Calculation 2 3 2 8 2 6 2" xfId="6952" xr:uid="{00000000-0005-0000-0000-0000D40D0000}"/>
    <cellStyle name="Calculation 2 3 2 8 2 6 3" xfId="6953" xr:uid="{00000000-0005-0000-0000-0000D50D0000}"/>
    <cellStyle name="Calculation 2 3 2 8 2 7" xfId="6954" xr:uid="{00000000-0005-0000-0000-0000D60D0000}"/>
    <cellStyle name="Calculation 2 3 2 8 2 7 2" xfId="6955" xr:uid="{00000000-0005-0000-0000-0000D70D0000}"/>
    <cellStyle name="Calculation 2 3 2 8 2 7 3" xfId="6956" xr:uid="{00000000-0005-0000-0000-0000D80D0000}"/>
    <cellStyle name="Calculation 2 3 2 8 2 8" xfId="6957" xr:uid="{00000000-0005-0000-0000-0000D90D0000}"/>
    <cellStyle name="Calculation 2 3 2 8 2 9" xfId="6958" xr:uid="{00000000-0005-0000-0000-0000DA0D0000}"/>
    <cellStyle name="Calculation 2 3 2 8 3" xfId="6959" xr:uid="{00000000-0005-0000-0000-0000DB0D0000}"/>
    <cellStyle name="Calculation 2 3 2 8 3 2" xfId="6960" xr:uid="{00000000-0005-0000-0000-0000DC0D0000}"/>
    <cellStyle name="Calculation 2 3 2 8 3 3" xfId="6961" xr:uid="{00000000-0005-0000-0000-0000DD0D0000}"/>
    <cellStyle name="Calculation 2 3 2 8 4" xfId="6962" xr:uid="{00000000-0005-0000-0000-0000DE0D0000}"/>
    <cellStyle name="Calculation 2 3 2 8 4 2" xfId="6963" xr:uid="{00000000-0005-0000-0000-0000DF0D0000}"/>
    <cellStyle name="Calculation 2 3 2 8 4 3" xfId="6964" xr:uid="{00000000-0005-0000-0000-0000E00D0000}"/>
    <cellStyle name="Calculation 2 3 2 8 5" xfId="6965" xr:uid="{00000000-0005-0000-0000-0000E10D0000}"/>
    <cellStyle name="Calculation 2 3 2 8 5 2" xfId="6966" xr:uid="{00000000-0005-0000-0000-0000E20D0000}"/>
    <cellStyle name="Calculation 2 3 2 8 5 3" xfId="6967" xr:uid="{00000000-0005-0000-0000-0000E30D0000}"/>
    <cellStyle name="Calculation 2 3 2 8 6" xfId="6968" xr:uid="{00000000-0005-0000-0000-0000E40D0000}"/>
    <cellStyle name="Calculation 2 3 2 8 6 2" xfId="6969" xr:uid="{00000000-0005-0000-0000-0000E50D0000}"/>
    <cellStyle name="Calculation 2 3 2 8 6 3" xfId="6970" xr:uid="{00000000-0005-0000-0000-0000E60D0000}"/>
    <cellStyle name="Calculation 2 3 2 8 7" xfId="6971" xr:uid="{00000000-0005-0000-0000-0000E70D0000}"/>
    <cellStyle name="Calculation 2 3 2 8 7 2" xfId="6972" xr:uid="{00000000-0005-0000-0000-0000E80D0000}"/>
    <cellStyle name="Calculation 2 3 2 8 7 3" xfId="6973" xr:uid="{00000000-0005-0000-0000-0000E90D0000}"/>
    <cellStyle name="Calculation 2 3 2 8 8" xfId="6974" xr:uid="{00000000-0005-0000-0000-0000EA0D0000}"/>
    <cellStyle name="Calculation 2 3 2 8 8 2" xfId="6975" xr:uid="{00000000-0005-0000-0000-0000EB0D0000}"/>
    <cellStyle name="Calculation 2 3 2 8 8 3" xfId="6976" xr:uid="{00000000-0005-0000-0000-0000EC0D0000}"/>
    <cellStyle name="Calculation 2 3 2 8 9" xfId="6977" xr:uid="{00000000-0005-0000-0000-0000ED0D0000}"/>
    <cellStyle name="Calculation 2 3 2 9" xfId="6978" xr:uid="{00000000-0005-0000-0000-0000EE0D0000}"/>
    <cellStyle name="Calculation 2 3 2 9 2" xfId="6979" xr:uid="{00000000-0005-0000-0000-0000EF0D0000}"/>
    <cellStyle name="Calculation 2 3 2 9 2 2" xfId="6980" xr:uid="{00000000-0005-0000-0000-0000F00D0000}"/>
    <cellStyle name="Calculation 2 3 2 9 2 3" xfId="6981" xr:uid="{00000000-0005-0000-0000-0000F10D0000}"/>
    <cellStyle name="Calculation 2 3 2 9 3" xfId="6982" xr:uid="{00000000-0005-0000-0000-0000F20D0000}"/>
    <cellStyle name="Calculation 2 3 2 9 3 2" xfId="6983" xr:uid="{00000000-0005-0000-0000-0000F30D0000}"/>
    <cellStyle name="Calculation 2 3 2 9 3 3" xfId="6984" xr:uid="{00000000-0005-0000-0000-0000F40D0000}"/>
    <cellStyle name="Calculation 2 3 2 9 4" xfId="6985" xr:uid="{00000000-0005-0000-0000-0000F50D0000}"/>
    <cellStyle name="Calculation 2 3 2 9 4 2" xfId="6986" xr:uid="{00000000-0005-0000-0000-0000F60D0000}"/>
    <cellStyle name="Calculation 2 3 2 9 4 3" xfId="6987" xr:uid="{00000000-0005-0000-0000-0000F70D0000}"/>
    <cellStyle name="Calculation 2 3 2 9 5" xfId="6988" xr:uid="{00000000-0005-0000-0000-0000F80D0000}"/>
    <cellStyle name="Calculation 2 3 2 9 5 2" xfId="6989" xr:uid="{00000000-0005-0000-0000-0000F90D0000}"/>
    <cellStyle name="Calculation 2 3 2 9 5 3" xfId="6990" xr:uid="{00000000-0005-0000-0000-0000FA0D0000}"/>
    <cellStyle name="Calculation 2 3 2 9 6" xfId="6991" xr:uid="{00000000-0005-0000-0000-0000FB0D0000}"/>
    <cellStyle name="Calculation 2 3 2 9 6 2" xfId="6992" xr:uid="{00000000-0005-0000-0000-0000FC0D0000}"/>
    <cellStyle name="Calculation 2 3 2 9 6 3" xfId="6993" xr:uid="{00000000-0005-0000-0000-0000FD0D0000}"/>
    <cellStyle name="Calculation 2 3 2 9 7" xfId="6994" xr:uid="{00000000-0005-0000-0000-0000FE0D0000}"/>
    <cellStyle name="Calculation 2 3 2 9 7 2" xfId="6995" xr:uid="{00000000-0005-0000-0000-0000FF0D0000}"/>
    <cellStyle name="Calculation 2 3 2 9 7 3" xfId="6996" xr:uid="{00000000-0005-0000-0000-0000000E0000}"/>
    <cellStyle name="Calculation 2 3 2 9 8" xfId="6997" xr:uid="{00000000-0005-0000-0000-0000010E0000}"/>
    <cellStyle name="Calculation 2 3 2 9 9" xfId="6998" xr:uid="{00000000-0005-0000-0000-0000020E0000}"/>
    <cellStyle name="Calculation 2 3 3" xfId="6999" xr:uid="{00000000-0005-0000-0000-0000030E0000}"/>
    <cellStyle name="Calculation 2 3 3 10" xfId="7000" xr:uid="{00000000-0005-0000-0000-0000040E0000}"/>
    <cellStyle name="Calculation 2 3 3 10 2" xfId="7001" xr:uid="{00000000-0005-0000-0000-0000050E0000}"/>
    <cellStyle name="Calculation 2 3 3 10 3" xfId="7002" xr:uid="{00000000-0005-0000-0000-0000060E0000}"/>
    <cellStyle name="Calculation 2 3 3 11" xfId="7003" xr:uid="{00000000-0005-0000-0000-0000070E0000}"/>
    <cellStyle name="Calculation 2 3 3 11 2" xfId="7004" xr:uid="{00000000-0005-0000-0000-0000080E0000}"/>
    <cellStyle name="Calculation 2 3 3 11 3" xfId="7005" xr:uid="{00000000-0005-0000-0000-0000090E0000}"/>
    <cellStyle name="Calculation 2 3 3 12" xfId="43983" xr:uid="{00000000-0005-0000-0000-00000A0E0000}"/>
    <cellStyle name="Calculation 2 3 3 2" xfId="7006" xr:uid="{00000000-0005-0000-0000-00000B0E0000}"/>
    <cellStyle name="Calculation 2 3 3 2 10" xfId="7007" xr:uid="{00000000-0005-0000-0000-00000C0E0000}"/>
    <cellStyle name="Calculation 2 3 3 2 2" xfId="7008" xr:uid="{00000000-0005-0000-0000-00000D0E0000}"/>
    <cellStyle name="Calculation 2 3 3 2 2 2" xfId="7009" xr:uid="{00000000-0005-0000-0000-00000E0E0000}"/>
    <cellStyle name="Calculation 2 3 3 2 2 2 2" xfId="7010" xr:uid="{00000000-0005-0000-0000-00000F0E0000}"/>
    <cellStyle name="Calculation 2 3 3 2 2 2 3" xfId="7011" xr:uid="{00000000-0005-0000-0000-0000100E0000}"/>
    <cellStyle name="Calculation 2 3 3 2 2 3" xfId="7012" xr:uid="{00000000-0005-0000-0000-0000110E0000}"/>
    <cellStyle name="Calculation 2 3 3 2 2 3 2" xfId="7013" xr:uid="{00000000-0005-0000-0000-0000120E0000}"/>
    <cellStyle name="Calculation 2 3 3 2 2 3 3" xfId="7014" xr:uid="{00000000-0005-0000-0000-0000130E0000}"/>
    <cellStyle name="Calculation 2 3 3 2 2 4" xfId="7015" xr:uid="{00000000-0005-0000-0000-0000140E0000}"/>
    <cellStyle name="Calculation 2 3 3 2 2 4 2" xfId="7016" xr:uid="{00000000-0005-0000-0000-0000150E0000}"/>
    <cellStyle name="Calculation 2 3 3 2 2 4 3" xfId="7017" xr:uid="{00000000-0005-0000-0000-0000160E0000}"/>
    <cellStyle name="Calculation 2 3 3 2 2 5" xfId="7018" xr:uid="{00000000-0005-0000-0000-0000170E0000}"/>
    <cellStyle name="Calculation 2 3 3 2 2 5 2" xfId="7019" xr:uid="{00000000-0005-0000-0000-0000180E0000}"/>
    <cellStyle name="Calculation 2 3 3 2 2 5 3" xfId="7020" xr:uid="{00000000-0005-0000-0000-0000190E0000}"/>
    <cellStyle name="Calculation 2 3 3 2 2 6" xfId="7021" xr:uid="{00000000-0005-0000-0000-00001A0E0000}"/>
    <cellStyle name="Calculation 2 3 3 2 2 6 2" xfId="7022" xr:uid="{00000000-0005-0000-0000-00001B0E0000}"/>
    <cellStyle name="Calculation 2 3 3 2 2 6 3" xfId="7023" xr:uid="{00000000-0005-0000-0000-00001C0E0000}"/>
    <cellStyle name="Calculation 2 3 3 2 2 7" xfId="7024" xr:uid="{00000000-0005-0000-0000-00001D0E0000}"/>
    <cellStyle name="Calculation 2 3 3 2 2 7 2" xfId="7025" xr:uid="{00000000-0005-0000-0000-00001E0E0000}"/>
    <cellStyle name="Calculation 2 3 3 2 2 7 3" xfId="7026" xr:uid="{00000000-0005-0000-0000-00001F0E0000}"/>
    <cellStyle name="Calculation 2 3 3 2 2 8" xfId="7027" xr:uid="{00000000-0005-0000-0000-0000200E0000}"/>
    <cellStyle name="Calculation 2 3 3 2 2 9" xfId="7028" xr:uid="{00000000-0005-0000-0000-0000210E0000}"/>
    <cellStyle name="Calculation 2 3 3 2 3" xfId="7029" xr:uid="{00000000-0005-0000-0000-0000220E0000}"/>
    <cellStyle name="Calculation 2 3 3 2 3 2" xfId="7030" xr:uid="{00000000-0005-0000-0000-0000230E0000}"/>
    <cellStyle name="Calculation 2 3 3 2 3 3" xfId="7031" xr:uid="{00000000-0005-0000-0000-0000240E0000}"/>
    <cellStyle name="Calculation 2 3 3 2 4" xfId="7032" xr:uid="{00000000-0005-0000-0000-0000250E0000}"/>
    <cellStyle name="Calculation 2 3 3 2 4 2" xfId="7033" xr:uid="{00000000-0005-0000-0000-0000260E0000}"/>
    <cellStyle name="Calculation 2 3 3 2 4 3" xfId="7034" xr:uid="{00000000-0005-0000-0000-0000270E0000}"/>
    <cellStyle name="Calculation 2 3 3 2 5" xfId="7035" xr:uid="{00000000-0005-0000-0000-0000280E0000}"/>
    <cellStyle name="Calculation 2 3 3 2 5 2" xfId="7036" xr:uid="{00000000-0005-0000-0000-0000290E0000}"/>
    <cellStyle name="Calculation 2 3 3 2 5 3" xfId="7037" xr:uid="{00000000-0005-0000-0000-00002A0E0000}"/>
    <cellStyle name="Calculation 2 3 3 2 6" xfId="7038" xr:uid="{00000000-0005-0000-0000-00002B0E0000}"/>
    <cellStyle name="Calculation 2 3 3 2 6 2" xfId="7039" xr:uid="{00000000-0005-0000-0000-00002C0E0000}"/>
    <cellStyle name="Calculation 2 3 3 2 6 3" xfId="7040" xr:uid="{00000000-0005-0000-0000-00002D0E0000}"/>
    <cellStyle name="Calculation 2 3 3 2 7" xfId="7041" xr:uid="{00000000-0005-0000-0000-00002E0E0000}"/>
    <cellStyle name="Calculation 2 3 3 2 7 2" xfId="7042" xr:uid="{00000000-0005-0000-0000-00002F0E0000}"/>
    <cellStyle name="Calculation 2 3 3 2 7 3" xfId="7043" xr:uid="{00000000-0005-0000-0000-0000300E0000}"/>
    <cellStyle name="Calculation 2 3 3 2 8" xfId="7044" xr:uid="{00000000-0005-0000-0000-0000310E0000}"/>
    <cellStyle name="Calculation 2 3 3 2 8 2" xfId="7045" xr:uid="{00000000-0005-0000-0000-0000320E0000}"/>
    <cellStyle name="Calculation 2 3 3 2 8 3" xfId="7046" xr:uid="{00000000-0005-0000-0000-0000330E0000}"/>
    <cellStyle name="Calculation 2 3 3 2 9" xfId="7047" xr:uid="{00000000-0005-0000-0000-0000340E0000}"/>
    <cellStyle name="Calculation 2 3 3 3" xfId="7048" xr:uid="{00000000-0005-0000-0000-0000350E0000}"/>
    <cellStyle name="Calculation 2 3 3 3 10" xfId="7049" xr:uid="{00000000-0005-0000-0000-0000360E0000}"/>
    <cellStyle name="Calculation 2 3 3 3 2" xfId="7050" xr:uid="{00000000-0005-0000-0000-0000370E0000}"/>
    <cellStyle name="Calculation 2 3 3 3 2 2" xfId="7051" xr:uid="{00000000-0005-0000-0000-0000380E0000}"/>
    <cellStyle name="Calculation 2 3 3 3 2 2 2" xfId="7052" xr:uid="{00000000-0005-0000-0000-0000390E0000}"/>
    <cellStyle name="Calculation 2 3 3 3 2 2 3" xfId="7053" xr:uid="{00000000-0005-0000-0000-00003A0E0000}"/>
    <cellStyle name="Calculation 2 3 3 3 2 3" xfId="7054" xr:uid="{00000000-0005-0000-0000-00003B0E0000}"/>
    <cellStyle name="Calculation 2 3 3 3 2 3 2" xfId="7055" xr:uid="{00000000-0005-0000-0000-00003C0E0000}"/>
    <cellStyle name="Calculation 2 3 3 3 2 3 3" xfId="7056" xr:uid="{00000000-0005-0000-0000-00003D0E0000}"/>
    <cellStyle name="Calculation 2 3 3 3 2 4" xfId="7057" xr:uid="{00000000-0005-0000-0000-00003E0E0000}"/>
    <cellStyle name="Calculation 2 3 3 3 2 4 2" xfId="7058" xr:uid="{00000000-0005-0000-0000-00003F0E0000}"/>
    <cellStyle name="Calculation 2 3 3 3 2 4 3" xfId="7059" xr:uid="{00000000-0005-0000-0000-0000400E0000}"/>
    <cellStyle name="Calculation 2 3 3 3 2 5" xfId="7060" xr:uid="{00000000-0005-0000-0000-0000410E0000}"/>
    <cellStyle name="Calculation 2 3 3 3 2 5 2" xfId="7061" xr:uid="{00000000-0005-0000-0000-0000420E0000}"/>
    <cellStyle name="Calculation 2 3 3 3 2 5 3" xfId="7062" xr:uid="{00000000-0005-0000-0000-0000430E0000}"/>
    <cellStyle name="Calculation 2 3 3 3 2 6" xfId="7063" xr:uid="{00000000-0005-0000-0000-0000440E0000}"/>
    <cellStyle name="Calculation 2 3 3 3 2 6 2" xfId="7064" xr:uid="{00000000-0005-0000-0000-0000450E0000}"/>
    <cellStyle name="Calculation 2 3 3 3 2 6 3" xfId="7065" xr:uid="{00000000-0005-0000-0000-0000460E0000}"/>
    <cellStyle name="Calculation 2 3 3 3 2 7" xfId="7066" xr:uid="{00000000-0005-0000-0000-0000470E0000}"/>
    <cellStyle name="Calculation 2 3 3 3 2 7 2" xfId="7067" xr:uid="{00000000-0005-0000-0000-0000480E0000}"/>
    <cellStyle name="Calculation 2 3 3 3 2 7 3" xfId="7068" xr:uid="{00000000-0005-0000-0000-0000490E0000}"/>
    <cellStyle name="Calculation 2 3 3 3 2 8" xfId="7069" xr:uid="{00000000-0005-0000-0000-00004A0E0000}"/>
    <cellStyle name="Calculation 2 3 3 3 2 9" xfId="7070" xr:uid="{00000000-0005-0000-0000-00004B0E0000}"/>
    <cellStyle name="Calculation 2 3 3 3 3" xfId="7071" xr:uid="{00000000-0005-0000-0000-00004C0E0000}"/>
    <cellStyle name="Calculation 2 3 3 3 3 2" xfId="7072" xr:uid="{00000000-0005-0000-0000-00004D0E0000}"/>
    <cellStyle name="Calculation 2 3 3 3 3 3" xfId="7073" xr:uid="{00000000-0005-0000-0000-00004E0E0000}"/>
    <cellStyle name="Calculation 2 3 3 3 4" xfId="7074" xr:uid="{00000000-0005-0000-0000-00004F0E0000}"/>
    <cellStyle name="Calculation 2 3 3 3 4 2" xfId="7075" xr:uid="{00000000-0005-0000-0000-0000500E0000}"/>
    <cellStyle name="Calculation 2 3 3 3 4 3" xfId="7076" xr:uid="{00000000-0005-0000-0000-0000510E0000}"/>
    <cellStyle name="Calculation 2 3 3 3 5" xfId="7077" xr:uid="{00000000-0005-0000-0000-0000520E0000}"/>
    <cellStyle name="Calculation 2 3 3 3 5 2" xfId="7078" xr:uid="{00000000-0005-0000-0000-0000530E0000}"/>
    <cellStyle name="Calculation 2 3 3 3 5 3" xfId="7079" xr:uid="{00000000-0005-0000-0000-0000540E0000}"/>
    <cellStyle name="Calculation 2 3 3 3 6" xfId="7080" xr:uid="{00000000-0005-0000-0000-0000550E0000}"/>
    <cellStyle name="Calculation 2 3 3 3 6 2" xfId="7081" xr:uid="{00000000-0005-0000-0000-0000560E0000}"/>
    <cellStyle name="Calculation 2 3 3 3 6 3" xfId="7082" xr:uid="{00000000-0005-0000-0000-0000570E0000}"/>
    <cellStyle name="Calculation 2 3 3 3 7" xfId="7083" xr:uid="{00000000-0005-0000-0000-0000580E0000}"/>
    <cellStyle name="Calculation 2 3 3 3 7 2" xfId="7084" xr:uid="{00000000-0005-0000-0000-0000590E0000}"/>
    <cellStyle name="Calculation 2 3 3 3 7 3" xfId="7085" xr:uid="{00000000-0005-0000-0000-00005A0E0000}"/>
    <cellStyle name="Calculation 2 3 3 3 8" xfId="7086" xr:uid="{00000000-0005-0000-0000-00005B0E0000}"/>
    <cellStyle name="Calculation 2 3 3 3 8 2" xfId="7087" xr:uid="{00000000-0005-0000-0000-00005C0E0000}"/>
    <cellStyle name="Calculation 2 3 3 3 8 3" xfId="7088" xr:uid="{00000000-0005-0000-0000-00005D0E0000}"/>
    <cellStyle name="Calculation 2 3 3 3 9" xfId="7089" xr:uid="{00000000-0005-0000-0000-00005E0E0000}"/>
    <cellStyle name="Calculation 2 3 3 4" xfId="7090" xr:uid="{00000000-0005-0000-0000-00005F0E0000}"/>
    <cellStyle name="Calculation 2 3 3 4 10" xfId="7091" xr:uid="{00000000-0005-0000-0000-0000600E0000}"/>
    <cellStyle name="Calculation 2 3 3 4 2" xfId="7092" xr:uid="{00000000-0005-0000-0000-0000610E0000}"/>
    <cellStyle name="Calculation 2 3 3 4 2 2" xfId="7093" xr:uid="{00000000-0005-0000-0000-0000620E0000}"/>
    <cellStyle name="Calculation 2 3 3 4 2 2 2" xfId="7094" xr:uid="{00000000-0005-0000-0000-0000630E0000}"/>
    <cellStyle name="Calculation 2 3 3 4 2 2 3" xfId="7095" xr:uid="{00000000-0005-0000-0000-0000640E0000}"/>
    <cellStyle name="Calculation 2 3 3 4 2 3" xfId="7096" xr:uid="{00000000-0005-0000-0000-0000650E0000}"/>
    <cellStyle name="Calculation 2 3 3 4 2 3 2" xfId="7097" xr:uid="{00000000-0005-0000-0000-0000660E0000}"/>
    <cellStyle name="Calculation 2 3 3 4 2 3 3" xfId="7098" xr:uid="{00000000-0005-0000-0000-0000670E0000}"/>
    <cellStyle name="Calculation 2 3 3 4 2 4" xfId="7099" xr:uid="{00000000-0005-0000-0000-0000680E0000}"/>
    <cellStyle name="Calculation 2 3 3 4 2 4 2" xfId="7100" xr:uid="{00000000-0005-0000-0000-0000690E0000}"/>
    <cellStyle name="Calculation 2 3 3 4 2 4 3" xfId="7101" xr:uid="{00000000-0005-0000-0000-00006A0E0000}"/>
    <cellStyle name="Calculation 2 3 3 4 2 5" xfId="7102" xr:uid="{00000000-0005-0000-0000-00006B0E0000}"/>
    <cellStyle name="Calculation 2 3 3 4 2 5 2" xfId="7103" xr:uid="{00000000-0005-0000-0000-00006C0E0000}"/>
    <cellStyle name="Calculation 2 3 3 4 2 5 3" xfId="7104" xr:uid="{00000000-0005-0000-0000-00006D0E0000}"/>
    <cellStyle name="Calculation 2 3 3 4 2 6" xfId="7105" xr:uid="{00000000-0005-0000-0000-00006E0E0000}"/>
    <cellStyle name="Calculation 2 3 3 4 2 6 2" xfId="7106" xr:uid="{00000000-0005-0000-0000-00006F0E0000}"/>
    <cellStyle name="Calculation 2 3 3 4 2 6 3" xfId="7107" xr:uid="{00000000-0005-0000-0000-0000700E0000}"/>
    <cellStyle name="Calculation 2 3 3 4 2 7" xfId="7108" xr:uid="{00000000-0005-0000-0000-0000710E0000}"/>
    <cellStyle name="Calculation 2 3 3 4 2 7 2" xfId="7109" xr:uid="{00000000-0005-0000-0000-0000720E0000}"/>
    <cellStyle name="Calculation 2 3 3 4 2 7 3" xfId="7110" xr:uid="{00000000-0005-0000-0000-0000730E0000}"/>
    <cellStyle name="Calculation 2 3 3 4 2 8" xfId="7111" xr:uid="{00000000-0005-0000-0000-0000740E0000}"/>
    <cellStyle name="Calculation 2 3 3 4 2 9" xfId="7112" xr:uid="{00000000-0005-0000-0000-0000750E0000}"/>
    <cellStyle name="Calculation 2 3 3 4 3" xfId="7113" xr:uid="{00000000-0005-0000-0000-0000760E0000}"/>
    <cellStyle name="Calculation 2 3 3 4 3 2" xfId="7114" xr:uid="{00000000-0005-0000-0000-0000770E0000}"/>
    <cellStyle name="Calculation 2 3 3 4 3 3" xfId="7115" xr:uid="{00000000-0005-0000-0000-0000780E0000}"/>
    <cellStyle name="Calculation 2 3 3 4 4" xfId="7116" xr:uid="{00000000-0005-0000-0000-0000790E0000}"/>
    <cellStyle name="Calculation 2 3 3 4 4 2" xfId="7117" xr:uid="{00000000-0005-0000-0000-00007A0E0000}"/>
    <cellStyle name="Calculation 2 3 3 4 4 3" xfId="7118" xr:uid="{00000000-0005-0000-0000-00007B0E0000}"/>
    <cellStyle name="Calculation 2 3 3 4 5" xfId="7119" xr:uid="{00000000-0005-0000-0000-00007C0E0000}"/>
    <cellStyle name="Calculation 2 3 3 4 5 2" xfId="7120" xr:uid="{00000000-0005-0000-0000-00007D0E0000}"/>
    <cellStyle name="Calculation 2 3 3 4 5 3" xfId="7121" xr:uid="{00000000-0005-0000-0000-00007E0E0000}"/>
    <cellStyle name="Calculation 2 3 3 4 6" xfId="7122" xr:uid="{00000000-0005-0000-0000-00007F0E0000}"/>
    <cellStyle name="Calculation 2 3 3 4 6 2" xfId="7123" xr:uid="{00000000-0005-0000-0000-0000800E0000}"/>
    <cellStyle name="Calculation 2 3 3 4 6 3" xfId="7124" xr:uid="{00000000-0005-0000-0000-0000810E0000}"/>
    <cellStyle name="Calculation 2 3 3 4 7" xfId="7125" xr:uid="{00000000-0005-0000-0000-0000820E0000}"/>
    <cellStyle name="Calculation 2 3 3 4 7 2" xfId="7126" xr:uid="{00000000-0005-0000-0000-0000830E0000}"/>
    <cellStyle name="Calculation 2 3 3 4 7 3" xfId="7127" xr:uid="{00000000-0005-0000-0000-0000840E0000}"/>
    <cellStyle name="Calculation 2 3 3 4 8" xfId="7128" xr:uid="{00000000-0005-0000-0000-0000850E0000}"/>
    <cellStyle name="Calculation 2 3 3 4 8 2" xfId="7129" xr:uid="{00000000-0005-0000-0000-0000860E0000}"/>
    <cellStyle name="Calculation 2 3 3 4 8 3" xfId="7130" xr:uid="{00000000-0005-0000-0000-0000870E0000}"/>
    <cellStyle name="Calculation 2 3 3 4 9" xfId="7131" xr:uid="{00000000-0005-0000-0000-0000880E0000}"/>
    <cellStyle name="Calculation 2 3 3 5" xfId="7132" xr:uid="{00000000-0005-0000-0000-0000890E0000}"/>
    <cellStyle name="Calculation 2 3 3 5 2" xfId="7133" xr:uid="{00000000-0005-0000-0000-00008A0E0000}"/>
    <cellStyle name="Calculation 2 3 3 5 2 2" xfId="7134" xr:uid="{00000000-0005-0000-0000-00008B0E0000}"/>
    <cellStyle name="Calculation 2 3 3 5 2 3" xfId="7135" xr:uid="{00000000-0005-0000-0000-00008C0E0000}"/>
    <cellStyle name="Calculation 2 3 3 5 3" xfId="7136" xr:uid="{00000000-0005-0000-0000-00008D0E0000}"/>
    <cellStyle name="Calculation 2 3 3 5 3 2" xfId="7137" xr:uid="{00000000-0005-0000-0000-00008E0E0000}"/>
    <cellStyle name="Calculation 2 3 3 5 3 3" xfId="7138" xr:uid="{00000000-0005-0000-0000-00008F0E0000}"/>
    <cellStyle name="Calculation 2 3 3 5 4" xfId="7139" xr:uid="{00000000-0005-0000-0000-0000900E0000}"/>
    <cellStyle name="Calculation 2 3 3 5 4 2" xfId="7140" xr:uid="{00000000-0005-0000-0000-0000910E0000}"/>
    <cellStyle name="Calculation 2 3 3 5 4 3" xfId="7141" xr:uid="{00000000-0005-0000-0000-0000920E0000}"/>
    <cellStyle name="Calculation 2 3 3 5 5" xfId="7142" xr:uid="{00000000-0005-0000-0000-0000930E0000}"/>
    <cellStyle name="Calculation 2 3 3 5 5 2" xfId="7143" xr:uid="{00000000-0005-0000-0000-0000940E0000}"/>
    <cellStyle name="Calculation 2 3 3 5 5 3" xfId="7144" xr:uid="{00000000-0005-0000-0000-0000950E0000}"/>
    <cellStyle name="Calculation 2 3 3 5 6" xfId="7145" xr:uid="{00000000-0005-0000-0000-0000960E0000}"/>
    <cellStyle name="Calculation 2 3 3 5 6 2" xfId="7146" xr:uid="{00000000-0005-0000-0000-0000970E0000}"/>
    <cellStyle name="Calculation 2 3 3 5 6 3" xfId="7147" xr:uid="{00000000-0005-0000-0000-0000980E0000}"/>
    <cellStyle name="Calculation 2 3 3 5 7" xfId="7148" xr:uid="{00000000-0005-0000-0000-0000990E0000}"/>
    <cellStyle name="Calculation 2 3 3 5 7 2" xfId="7149" xr:uid="{00000000-0005-0000-0000-00009A0E0000}"/>
    <cellStyle name="Calculation 2 3 3 5 7 3" xfId="7150" xr:uid="{00000000-0005-0000-0000-00009B0E0000}"/>
    <cellStyle name="Calculation 2 3 3 5 8" xfId="7151" xr:uid="{00000000-0005-0000-0000-00009C0E0000}"/>
    <cellStyle name="Calculation 2 3 3 5 9" xfId="7152" xr:uid="{00000000-0005-0000-0000-00009D0E0000}"/>
    <cellStyle name="Calculation 2 3 3 6" xfId="7153" xr:uid="{00000000-0005-0000-0000-00009E0E0000}"/>
    <cellStyle name="Calculation 2 3 3 6 2" xfId="7154" xr:uid="{00000000-0005-0000-0000-00009F0E0000}"/>
    <cellStyle name="Calculation 2 3 3 6 3" xfId="7155" xr:uid="{00000000-0005-0000-0000-0000A00E0000}"/>
    <cellStyle name="Calculation 2 3 3 7" xfId="7156" xr:uid="{00000000-0005-0000-0000-0000A10E0000}"/>
    <cellStyle name="Calculation 2 3 3 7 2" xfId="7157" xr:uid="{00000000-0005-0000-0000-0000A20E0000}"/>
    <cellStyle name="Calculation 2 3 3 7 3" xfId="7158" xr:uid="{00000000-0005-0000-0000-0000A30E0000}"/>
    <cellStyle name="Calculation 2 3 3 8" xfId="7159" xr:uid="{00000000-0005-0000-0000-0000A40E0000}"/>
    <cellStyle name="Calculation 2 3 3 8 2" xfId="7160" xr:uid="{00000000-0005-0000-0000-0000A50E0000}"/>
    <cellStyle name="Calculation 2 3 3 8 3" xfId="7161" xr:uid="{00000000-0005-0000-0000-0000A60E0000}"/>
    <cellStyle name="Calculation 2 3 3 9" xfId="7162" xr:uid="{00000000-0005-0000-0000-0000A70E0000}"/>
    <cellStyle name="Calculation 2 3 3 9 2" xfId="7163" xr:uid="{00000000-0005-0000-0000-0000A80E0000}"/>
    <cellStyle name="Calculation 2 3 3 9 3" xfId="7164" xr:uid="{00000000-0005-0000-0000-0000A90E0000}"/>
    <cellStyle name="Calculation 2 3 4" xfId="7165" xr:uid="{00000000-0005-0000-0000-0000AA0E0000}"/>
    <cellStyle name="Calculation 2 3 4 10" xfId="7166" xr:uid="{00000000-0005-0000-0000-0000AB0E0000}"/>
    <cellStyle name="Calculation 2 3 4 2" xfId="7167" xr:uid="{00000000-0005-0000-0000-0000AC0E0000}"/>
    <cellStyle name="Calculation 2 3 4 2 2" xfId="7168" xr:uid="{00000000-0005-0000-0000-0000AD0E0000}"/>
    <cellStyle name="Calculation 2 3 4 2 2 2" xfId="7169" xr:uid="{00000000-0005-0000-0000-0000AE0E0000}"/>
    <cellStyle name="Calculation 2 3 4 2 2 3" xfId="7170" xr:uid="{00000000-0005-0000-0000-0000AF0E0000}"/>
    <cellStyle name="Calculation 2 3 4 2 3" xfId="7171" xr:uid="{00000000-0005-0000-0000-0000B00E0000}"/>
    <cellStyle name="Calculation 2 3 4 2 3 2" xfId="7172" xr:uid="{00000000-0005-0000-0000-0000B10E0000}"/>
    <cellStyle name="Calculation 2 3 4 2 3 3" xfId="7173" xr:uid="{00000000-0005-0000-0000-0000B20E0000}"/>
    <cellStyle name="Calculation 2 3 4 2 4" xfId="7174" xr:uid="{00000000-0005-0000-0000-0000B30E0000}"/>
    <cellStyle name="Calculation 2 3 4 2 4 2" xfId="7175" xr:uid="{00000000-0005-0000-0000-0000B40E0000}"/>
    <cellStyle name="Calculation 2 3 4 2 4 3" xfId="7176" xr:uid="{00000000-0005-0000-0000-0000B50E0000}"/>
    <cellStyle name="Calculation 2 3 4 2 5" xfId="7177" xr:uid="{00000000-0005-0000-0000-0000B60E0000}"/>
    <cellStyle name="Calculation 2 3 4 2 5 2" xfId="7178" xr:uid="{00000000-0005-0000-0000-0000B70E0000}"/>
    <cellStyle name="Calculation 2 3 4 2 5 3" xfId="7179" xr:uid="{00000000-0005-0000-0000-0000B80E0000}"/>
    <cellStyle name="Calculation 2 3 4 2 6" xfId="7180" xr:uid="{00000000-0005-0000-0000-0000B90E0000}"/>
    <cellStyle name="Calculation 2 3 4 2 6 2" xfId="7181" xr:uid="{00000000-0005-0000-0000-0000BA0E0000}"/>
    <cellStyle name="Calculation 2 3 4 2 6 3" xfId="7182" xr:uid="{00000000-0005-0000-0000-0000BB0E0000}"/>
    <cellStyle name="Calculation 2 3 4 2 7" xfId="7183" xr:uid="{00000000-0005-0000-0000-0000BC0E0000}"/>
    <cellStyle name="Calculation 2 3 4 2 7 2" xfId="7184" xr:uid="{00000000-0005-0000-0000-0000BD0E0000}"/>
    <cellStyle name="Calculation 2 3 4 2 7 3" xfId="7185" xr:uid="{00000000-0005-0000-0000-0000BE0E0000}"/>
    <cellStyle name="Calculation 2 3 4 2 8" xfId="7186" xr:uid="{00000000-0005-0000-0000-0000BF0E0000}"/>
    <cellStyle name="Calculation 2 3 4 2 9" xfId="7187" xr:uid="{00000000-0005-0000-0000-0000C00E0000}"/>
    <cellStyle name="Calculation 2 3 4 3" xfId="7188" xr:uid="{00000000-0005-0000-0000-0000C10E0000}"/>
    <cellStyle name="Calculation 2 3 4 3 2" xfId="7189" xr:uid="{00000000-0005-0000-0000-0000C20E0000}"/>
    <cellStyle name="Calculation 2 3 4 3 3" xfId="7190" xr:uid="{00000000-0005-0000-0000-0000C30E0000}"/>
    <cellStyle name="Calculation 2 3 4 4" xfId="7191" xr:uid="{00000000-0005-0000-0000-0000C40E0000}"/>
    <cellStyle name="Calculation 2 3 4 4 2" xfId="7192" xr:uid="{00000000-0005-0000-0000-0000C50E0000}"/>
    <cellStyle name="Calculation 2 3 4 4 3" xfId="7193" xr:uid="{00000000-0005-0000-0000-0000C60E0000}"/>
    <cellStyle name="Calculation 2 3 4 5" xfId="7194" xr:uid="{00000000-0005-0000-0000-0000C70E0000}"/>
    <cellStyle name="Calculation 2 3 4 5 2" xfId="7195" xr:uid="{00000000-0005-0000-0000-0000C80E0000}"/>
    <cellStyle name="Calculation 2 3 4 5 3" xfId="7196" xr:uid="{00000000-0005-0000-0000-0000C90E0000}"/>
    <cellStyle name="Calculation 2 3 4 6" xfId="7197" xr:uid="{00000000-0005-0000-0000-0000CA0E0000}"/>
    <cellStyle name="Calculation 2 3 4 6 2" xfId="7198" xr:uid="{00000000-0005-0000-0000-0000CB0E0000}"/>
    <cellStyle name="Calculation 2 3 4 6 3" xfId="7199" xr:uid="{00000000-0005-0000-0000-0000CC0E0000}"/>
    <cellStyle name="Calculation 2 3 4 7" xfId="7200" xr:uid="{00000000-0005-0000-0000-0000CD0E0000}"/>
    <cellStyle name="Calculation 2 3 4 7 2" xfId="7201" xr:uid="{00000000-0005-0000-0000-0000CE0E0000}"/>
    <cellStyle name="Calculation 2 3 4 7 3" xfId="7202" xr:uid="{00000000-0005-0000-0000-0000CF0E0000}"/>
    <cellStyle name="Calculation 2 3 4 8" xfId="7203" xr:uid="{00000000-0005-0000-0000-0000D00E0000}"/>
    <cellStyle name="Calculation 2 3 4 8 2" xfId="7204" xr:uid="{00000000-0005-0000-0000-0000D10E0000}"/>
    <cellStyle name="Calculation 2 3 4 8 3" xfId="7205" xr:uid="{00000000-0005-0000-0000-0000D20E0000}"/>
    <cellStyle name="Calculation 2 3 4 9" xfId="7206" xr:uid="{00000000-0005-0000-0000-0000D30E0000}"/>
    <cellStyle name="Calculation 2 3 5" xfId="7207" xr:uid="{00000000-0005-0000-0000-0000D40E0000}"/>
    <cellStyle name="Calculation 2 3 5 10" xfId="7208" xr:uid="{00000000-0005-0000-0000-0000D50E0000}"/>
    <cellStyle name="Calculation 2 3 5 2" xfId="7209" xr:uid="{00000000-0005-0000-0000-0000D60E0000}"/>
    <cellStyle name="Calculation 2 3 5 2 2" xfId="7210" xr:uid="{00000000-0005-0000-0000-0000D70E0000}"/>
    <cellStyle name="Calculation 2 3 5 2 2 2" xfId="7211" xr:uid="{00000000-0005-0000-0000-0000D80E0000}"/>
    <cellStyle name="Calculation 2 3 5 2 2 3" xfId="7212" xr:uid="{00000000-0005-0000-0000-0000D90E0000}"/>
    <cellStyle name="Calculation 2 3 5 2 3" xfId="7213" xr:uid="{00000000-0005-0000-0000-0000DA0E0000}"/>
    <cellStyle name="Calculation 2 3 5 2 3 2" xfId="7214" xr:uid="{00000000-0005-0000-0000-0000DB0E0000}"/>
    <cellStyle name="Calculation 2 3 5 2 3 3" xfId="7215" xr:uid="{00000000-0005-0000-0000-0000DC0E0000}"/>
    <cellStyle name="Calculation 2 3 5 2 4" xfId="7216" xr:uid="{00000000-0005-0000-0000-0000DD0E0000}"/>
    <cellStyle name="Calculation 2 3 5 2 4 2" xfId="7217" xr:uid="{00000000-0005-0000-0000-0000DE0E0000}"/>
    <cellStyle name="Calculation 2 3 5 2 4 3" xfId="7218" xr:uid="{00000000-0005-0000-0000-0000DF0E0000}"/>
    <cellStyle name="Calculation 2 3 5 2 5" xfId="7219" xr:uid="{00000000-0005-0000-0000-0000E00E0000}"/>
    <cellStyle name="Calculation 2 3 5 2 5 2" xfId="7220" xr:uid="{00000000-0005-0000-0000-0000E10E0000}"/>
    <cellStyle name="Calculation 2 3 5 2 5 3" xfId="7221" xr:uid="{00000000-0005-0000-0000-0000E20E0000}"/>
    <cellStyle name="Calculation 2 3 5 2 6" xfId="7222" xr:uid="{00000000-0005-0000-0000-0000E30E0000}"/>
    <cellStyle name="Calculation 2 3 5 2 6 2" xfId="7223" xr:uid="{00000000-0005-0000-0000-0000E40E0000}"/>
    <cellStyle name="Calculation 2 3 5 2 6 3" xfId="7224" xr:uid="{00000000-0005-0000-0000-0000E50E0000}"/>
    <cellStyle name="Calculation 2 3 5 2 7" xfId="7225" xr:uid="{00000000-0005-0000-0000-0000E60E0000}"/>
    <cellStyle name="Calculation 2 3 5 2 7 2" xfId="7226" xr:uid="{00000000-0005-0000-0000-0000E70E0000}"/>
    <cellStyle name="Calculation 2 3 5 2 7 3" xfId="7227" xr:uid="{00000000-0005-0000-0000-0000E80E0000}"/>
    <cellStyle name="Calculation 2 3 5 2 8" xfId="7228" xr:uid="{00000000-0005-0000-0000-0000E90E0000}"/>
    <cellStyle name="Calculation 2 3 5 2 9" xfId="7229" xr:uid="{00000000-0005-0000-0000-0000EA0E0000}"/>
    <cellStyle name="Calculation 2 3 5 3" xfId="7230" xr:uid="{00000000-0005-0000-0000-0000EB0E0000}"/>
    <cellStyle name="Calculation 2 3 5 3 2" xfId="7231" xr:uid="{00000000-0005-0000-0000-0000EC0E0000}"/>
    <cellStyle name="Calculation 2 3 5 3 3" xfId="7232" xr:uid="{00000000-0005-0000-0000-0000ED0E0000}"/>
    <cellStyle name="Calculation 2 3 5 4" xfId="7233" xr:uid="{00000000-0005-0000-0000-0000EE0E0000}"/>
    <cellStyle name="Calculation 2 3 5 4 2" xfId="7234" xr:uid="{00000000-0005-0000-0000-0000EF0E0000}"/>
    <cellStyle name="Calculation 2 3 5 4 3" xfId="7235" xr:uid="{00000000-0005-0000-0000-0000F00E0000}"/>
    <cellStyle name="Calculation 2 3 5 5" xfId="7236" xr:uid="{00000000-0005-0000-0000-0000F10E0000}"/>
    <cellStyle name="Calculation 2 3 5 5 2" xfId="7237" xr:uid="{00000000-0005-0000-0000-0000F20E0000}"/>
    <cellStyle name="Calculation 2 3 5 5 3" xfId="7238" xr:uid="{00000000-0005-0000-0000-0000F30E0000}"/>
    <cellStyle name="Calculation 2 3 5 6" xfId="7239" xr:uid="{00000000-0005-0000-0000-0000F40E0000}"/>
    <cellStyle name="Calculation 2 3 5 6 2" xfId="7240" xr:uid="{00000000-0005-0000-0000-0000F50E0000}"/>
    <cellStyle name="Calculation 2 3 5 6 3" xfId="7241" xr:uid="{00000000-0005-0000-0000-0000F60E0000}"/>
    <cellStyle name="Calculation 2 3 5 7" xfId="7242" xr:uid="{00000000-0005-0000-0000-0000F70E0000}"/>
    <cellStyle name="Calculation 2 3 5 7 2" xfId="7243" xr:uid="{00000000-0005-0000-0000-0000F80E0000}"/>
    <cellStyle name="Calculation 2 3 5 7 3" xfId="7244" xr:uid="{00000000-0005-0000-0000-0000F90E0000}"/>
    <cellStyle name="Calculation 2 3 5 8" xfId="7245" xr:uid="{00000000-0005-0000-0000-0000FA0E0000}"/>
    <cellStyle name="Calculation 2 3 5 8 2" xfId="7246" xr:uid="{00000000-0005-0000-0000-0000FB0E0000}"/>
    <cellStyle name="Calculation 2 3 5 8 3" xfId="7247" xr:uid="{00000000-0005-0000-0000-0000FC0E0000}"/>
    <cellStyle name="Calculation 2 3 5 9" xfId="7248" xr:uid="{00000000-0005-0000-0000-0000FD0E0000}"/>
    <cellStyle name="Calculation 2 3 6" xfId="7249" xr:uid="{00000000-0005-0000-0000-0000FE0E0000}"/>
    <cellStyle name="Calculation 2 3 6 10" xfId="7250" xr:uid="{00000000-0005-0000-0000-0000FF0E0000}"/>
    <cellStyle name="Calculation 2 3 6 2" xfId="7251" xr:uid="{00000000-0005-0000-0000-0000000F0000}"/>
    <cellStyle name="Calculation 2 3 6 2 2" xfId="7252" xr:uid="{00000000-0005-0000-0000-0000010F0000}"/>
    <cellStyle name="Calculation 2 3 6 2 2 2" xfId="7253" xr:uid="{00000000-0005-0000-0000-0000020F0000}"/>
    <cellStyle name="Calculation 2 3 6 2 2 3" xfId="7254" xr:uid="{00000000-0005-0000-0000-0000030F0000}"/>
    <cellStyle name="Calculation 2 3 6 2 3" xfId="7255" xr:uid="{00000000-0005-0000-0000-0000040F0000}"/>
    <cellStyle name="Calculation 2 3 6 2 3 2" xfId="7256" xr:uid="{00000000-0005-0000-0000-0000050F0000}"/>
    <cellStyle name="Calculation 2 3 6 2 3 3" xfId="7257" xr:uid="{00000000-0005-0000-0000-0000060F0000}"/>
    <cellStyle name="Calculation 2 3 6 2 4" xfId="7258" xr:uid="{00000000-0005-0000-0000-0000070F0000}"/>
    <cellStyle name="Calculation 2 3 6 2 4 2" xfId="7259" xr:uid="{00000000-0005-0000-0000-0000080F0000}"/>
    <cellStyle name="Calculation 2 3 6 2 4 3" xfId="7260" xr:uid="{00000000-0005-0000-0000-0000090F0000}"/>
    <cellStyle name="Calculation 2 3 6 2 5" xfId="7261" xr:uid="{00000000-0005-0000-0000-00000A0F0000}"/>
    <cellStyle name="Calculation 2 3 6 2 5 2" xfId="7262" xr:uid="{00000000-0005-0000-0000-00000B0F0000}"/>
    <cellStyle name="Calculation 2 3 6 2 5 3" xfId="7263" xr:uid="{00000000-0005-0000-0000-00000C0F0000}"/>
    <cellStyle name="Calculation 2 3 6 2 6" xfId="7264" xr:uid="{00000000-0005-0000-0000-00000D0F0000}"/>
    <cellStyle name="Calculation 2 3 6 2 6 2" xfId="7265" xr:uid="{00000000-0005-0000-0000-00000E0F0000}"/>
    <cellStyle name="Calculation 2 3 6 2 6 3" xfId="7266" xr:uid="{00000000-0005-0000-0000-00000F0F0000}"/>
    <cellStyle name="Calculation 2 3 6 2 7" xfId="7267" xr:uid="{00000000-0005-0000-0000-0000100F0000}"/>
    <cellStyle name="Calculation 2 3 6 2 7 2" xfId="7268" xr:uid="{00000000-0005-0000-0000-0000110F0000}"/>
    <cellStyle name="Calculation 2 3 6 2 7 3" xfId="7269" xr:uid="{00000000-0005-0000-0000-0000120F0000}"/>
    <cellStyle name="Calculation 2 3 6 2 8" xfId="7270" xr:uid="{00000000-0005-0000-0000-0000130F0000}"/>
    <cellStyle name="Calculation 2 3 6 2 9" xfId="7271" xr:uid="{00000000-0005-0000-0000-0000140F0000}"/>
    <cellStyle name="Calculation 2 3 6 3" xfId="7272" xr:uid="{00000000-0005-0000-0000-0000150F0000}"/>
    <cellStyle name="Calculation 2 3 6 3 2" xfId="7273" xr:uid="{00000000-0005-0000-0000-0000160F0000}"/>
    <cellStyle name="Calculation 2 3 6 3 3" xfId="7274" xr:uid="{00000000-0005-0000-0000-0000170F0000}"/>
    <cellStyle name="Calculation 2 3 6 4" xfId="7275" xr:uid="{00000000-0005-0000-0000-0000180F0000}"/>
    <cellStyle name="Calculation 2 3 6 4 2" xfId="7276" xr:uid="{00000000-0005-0000-0000-0000190F0000}"/>
    <cellStyle name="Calculation 2 3 6 4 3" xfId="7277" xr:uid="{00000000-0005-0000-0000-00001A0F0000}"/>
    <cellStyle name="Calculation 2 3 6 5" xfId="7278" xr:uid="{00000000-0005-0000-0000-00001B0F0000}"/>
    <cellStyle name="Calculation 2 3 6 5 2" xfId="7279" xr:uid="{00000000-0005-0000-0000-00001C0F0000}"/>
    <cellStyle name="Calculation 2 3 6 5 3" xfId="7280" xr:uid="{00000000-0005-0000-0000-00001D0F0000}"/>
    <cellStyle name="Calculation 2 3 6 6" xfId="7281" xr:uid="{00000000-0005-0000-0000-00001E0F0000}"/>
    <cellStyle name="Calculation 2 3 6 6 2" xfId="7282" xr:uid="{00000000-0005-0000-0000-00001F0F0000}"/>
    <cellStyle name="Calculation 2 3 6 6 3" xfId="7283" xr:uid="{00000000-0005-0000-0000-0000200F0000}"/>
    <cellStyle name="Calculation 2 3 6 7" xfId="7284" xr:uid="{00000000-0005-0000-0000-0000210F0000}"/>
    <cellStyle name="Calculation 2 3 6 7 2" xfId="7285" xr:uid="{00000000-0005-0000-0000-0000220F0000}"/>
    <cellStyle name="Calculation 2 3 6 7 3" xfId="7286" xr:uid="{00000000-0005-0000-0000-0000230F0000}"/>
    <cellStyle name="Calculation 2 3 6 8" xfId="7287" xr:uid="{00000000-0005-0000-0000-0000240F0000}"/>
    <cellStyle name="Calculation 2 3 6 8 2" xfId="7288" xr:uid="{00000000-0005-0000-0000-0000250F0000}"/>
    <cellStyle name="Calculation 2 3 6 8 3" xfId="7289" xr:uid="{00000000-0005-0000-0000-0000260F0000}"/>
    <cellStyle name="Calculation 2 3 6 9" xfId="7290" xr:uid="{00000000-0005-0000-0000-0000270F0000}"/>
    <cellStyle name="Calculation 2 3 7" xfId="7291" xr:uid="{00000000-0005-0000-0000-0000280F0000}"/>
    <cellStyle name="Calculation 2 3 7 2" xfId="7292" xr:uid="{00000000-0005-0000-0000-0000290F0000}"/>
    <cellStyle name="Calculation 2 3 7 2 2" xfId="7293" xr:uid="{00000000-0005-0000-0000-00002A0F0000}"/>
    <cellStyle name="Calculation 2 3 7 2 3" xfId="7294" xr:uid="{00000000-0005-0000-0000-00002B0F0000}"/>
    <cellStyle name="Calculation 2 3 7 3" xfId="7295" xr:uid="{00000000-0005-0000-0000-00002C0F0000}"/>
    <cellStyle name="Calculation 2 3 7 3 2" xfId="7296" xr:uid="{00000000-0005-0000-0000-00002D0F0000}"/>
    <cellStyle name="Calculation 2 3 7 3 3" xfId="7297" xr:uid="{00000000-0005-0000-0000-00002E0F0000}"/>
    <cellStyle name="Calculation 2 3 7 4" xfId="7298" xr:uid="{00000000-0005-0000-0000-00002F0F0000}"/>
    <cellStyle name="Calculation 2 3 7 4 2" xfId="7299" xr:uid="{00000000-0005-0000-0000-0000300F0000}"/>
    <cellStyle name="Calculation 2 3 7 4 3" xfId="7300" xr:uid="{00000000-0005-0000-0000-0000310F0000}"/>
    <cellStyle name="Calculation 2 3 7 5" xfId="7301" xr:uid="{00000000-0005-0000-0000-0000320F0000}"/>
    <cellStyle name="Calculation 2 3 7 5 2" xfId="7302" xr:uid="{00000000-0005-0000-0000-0000330F0000}"/>
    <cellStyle name="Calculation 2 3 7 5 3" xfId="7303" xr:uid="{00000000-0005-0000-0000-0000340F0000}"/>
    <cellStyle name="Calculation 2 3 7 6" xfId="7304" xr:uid="{00000000-0005-0000-0000-0000350F0000}"/>
    <cellStyle name="Calculation 2 3 7 6 2" xfId="7305" xr:uid="{00000000-0005-0000-0000-0000360F0000}"/>
    <cellStyle name="Calculation 2 3 7 6 3" xfId="7306" xr:uid="{00000000-0005-0000-0000-0000370F0000}"/>
    <cellStyle name="Calculation 2 3 7 7" xfId="7307" xr:uid="{00000000-0005-0000-0000-0000380F0000}"/>
    <cellStyle name="Calculation 2 3 7 7 2" xfId="7308" xr:uid="{00000000-0005-0000-0000-0000390F0000}"/>
    <cellStyle name="Calculation 2 3 7 7 3" xfId="7309" xr:uid="{00000000-0005-0000-0000-00003A0F0000}"/>
    <cellStyle name="Calculation 2 3 7 8" xfId="7310" xr:uid="{00000000-0005-0000-0000-00003B0F0000}"/>
    <cellStyle name="Calculation 2 3 7 9" xfId="7311" xr:uid="{00000000-0005-0000-0000-00003C0F0000}"/>
    <cellStyle name="Calculation 2 3 8" xfId="7312" xr:uid="{00000000-0005-0000-0000-00003D0F0000}"/>
    <cellStyle name="Calculation 2 3 8 2" xfId="7313" xr:uid="{00000000-0005-0000-0000-00003E0F0000}"/>
    <cellStyle name="Calculation 2 3 8 3" xfId="7314" xr:uid="{00000000-0005-0000-0000-00003F0F0000}"/>
    <cellStyle name="Calculation 2 3 9" xfId="7315" xr:uid="{00000000-0005-0000-0000-0000400F0000}"/>
    <cellStyle name="Calculation 2 3 9 2" xfId="7316" xr:uid="{00000000-0005-0000-0000-0000410F0000}"/>
    <cellStyle name="Calculation 2 3 9 3" xfId="7317" xr:uid="{00000000-0005-0000-0000-0000420F0000}"/>
    <cellStyle name="Calculation 2 4" xfId="786" xr:uid="{00000000-0005-0000-0000-0000430F0000}"/>
    <cellStyle name="Calculation 2 4 10" xfId="7318" xr:uid="{00000000-0005-0000-0000-0000440F0000}"/>
    <cellStyle name="Calculation 2 4 10 2" xfId="7319" xr:uid="{00000000-0005-0000-0000-0000450F0000}"/>
    <cellStyle name="Calculation 2 4 10 3" xfId="7320" xr:uid="{00000000-0005-0000-0000-0000460F0000}"/>
    <cellStyle name="Calculation 2 4 11" xfId="7321" xr:uid="{00000000-0005-0000-0000-0000470F0000}"/>
    <cellStyle name="Calculation 2 4 11 2" xfId="7322" xr:uid="{00000000-0005-0000-0000-0000480F0000}"/>
    <cellStyle name="Calculation 2 4 11 3" xfId="7323" xr:uid="{00000000-0005-0000-0000-0000490F0000}"/>
    <cellStyle name="Calculation 2 4 12" xfId="7324" xr:uid="{00000000-0005-0000-0000-00004A0F0000}"/>
    <cellStyle name="Calculation 2 4 13" xfId="7325" xr:uid="{00000000-0005-0000-0000-00004B0F0000}"/>
    <cellStyle name="Calculation 2 4 2" xfId="7326" xr:uid="{00000000-0005-0000-0000-00004C0F0000}"/>
    <cellStyle name="Calculation 2 4 2 10" xfId="7327" xr:uid="{00000000-0005-0000-0000-00004D0F0000}"/>
    <cellStyle name="Calculation 2 4 2 10 2" xfId="7328" xr:uid="{00000000-0005-0000-0000-00004E0F0000}"/>
    <cellStyle name="Calculation 2 4 2 10 3" xfId="7329" xr:uid="{00000000-0005-0000-0000-00004F0F0000}"/>
    <cellStyle name="Calculation 2 4 2 11" xfId="7330" xr:uid="{00000000-0005-0000-0000-0000500F0000}"/>
    <cellStyle name="Calculation 2 4 2 11 2" xfId="7331" xr:uid="{00000000-0005-0000-0000-0000510F0000}"/>
    <cellStyle name="Calculation 2 4 2 11 3" xfId="7332" xr:uid="{00000000-0005-0000-0000-0000520F0000}"/>
    <cellStyle name="Calculation 2 4 2 12" xfId="7333" xr:uid="{00000000-0005-0000-0000-0000530F0000}"/>
    <cellStyle name="Calculation 2 4 2 12 2" xfId="7334" xr:uid="{00000000-0005-0000-0000-0000540F0000}"/>
    <cellStyle name="Calculation 2 4 2 12 3" xfId="7335" xr:uid="{00000000-0005-0000-0000-0000550F0000}"/>
    <cellStyle name="Calculation 2 4 2 13" xfId="7336" xr:uid="{00000000-0005-0000-0000-0000560F0000}"/>
    <cellStyle name="Calculation 2 4 2 13 2" xfId="7337" xr:uid="{00000000-0005-0000-0000-0000570F0000}"/>
    <cellStyle name="Calculation 2 4 2 13 3" xfId="7338" xr:uid="{00000000-0005-0000-0000-0000580F0000}"/>
    <cellStyle name="Calculation 2 4 2 14" xfId="43984" xr:uid="{00000000-0005-0000-0000-0000590F0000}"/>
    <cellStyle name="Calculation 2 4 2 2" xfId="7339" xr:uid="{00000000-0005-0000-0000-00005A0F0000}"/>
    <cellStyle name="Calculation 2 4 2 2 10" xfId="43985" xr:uid="{00000000-0005-0000-0000-00005B0F0000}"/>
    <cellStyle name="Calculation 2 4 2 2 2" xfId="7340" xr:uid="{00000000-0005-0000-0000-00005C0F0000}"/>
    <cellStyle name="Calculation 2 4 2 2 2 10" xfId="7341" xr:uid="{00000000-0005-0000-0000-00005D0F0000}"/>
    <cellStyle name="Calculation 2 4 2 2 2 2" xfId="7342" xr:uid="{00000000-0005-0000-0000-00005E0F0000}"/>
    <cellStyle name="Calculation 2 4 2 2 2 2 2" xfId="7343" xr:uid="{00000000-0005-0000-0000-00005F0F0000}"/>
    <cellStyle name="Calculation 2 4 2 2 2 2 2 2" xfId="7344" xr:uid="{00000000-0005-0000-0000-0000600F0000}"/>
    <cellStyle name="Calculation 2 4 2 2 2 2 2 3" xfId="7345" xr:uid="{00000000-0005-0000-0000-0000610F0000}"/>
    <cellStyle name="Calculation 2 4 2 2 2 2 3" xfId="7346" xr:uid="{00000000-0005-0000-0000-0000620F0000}"/>
    <cellStyle name="Calculation 2 4 2 2 2 2 3 2" xfId="7347" xr:uid="{00000000-0005-0000-0000-0000630F0000}"/>
    <cellStyle name="Calculation 2 4 2 2 2 2 3 3" xfId="7348" xr:uid="{00000000-0005-0000-0000-0000640F0000}"/>
    <cellStyle name="Calculation 2 4 2 2 2 2 4" xfId="7349" xr:uid="{00000000-0005-0000-0000-0000650F0000}"/>
    <cellStyle name="Calculation 2 4 2 2 2 2 4 2" xfId="7350" xr:uid="{00000000-0005-0000-0000-0000660F0000}"/>
    <cellStyle name="Calculation 2 4 2 2 2 2 4 3" xfId="7351" xr:uid="{00000000-0005-0000-0000-0000670F0000}"/>
    <cellStyle name="Calculation 2 4 2 2 2 2 5" xfId="7352" xr:uid="{00000000-0005-0000-0000-0000680F0000}"/>
    <cellStyle name="Calculation 2 4 2 2 2 2 5 2" xfId="7353" xr:uid="{00000000-0005-0000-0000-0000690F0000}"/>
    <cellStyle name="Calculation 2 4 2 2 2 2 5 3" xfId="7354" xr:uid="{00000000-0005-0000-0000-00006A0F0000}"/>
    <cellStyle name="Calculation 2 4 2 2 2 2 6" xfId="7355" xr:uid="{00000000-0005-0000-0000-00006B0F0000}"/>
    <cellStyle name="Calculation 2 4 2 2 2 2 6 2" xfId="7356" xr:uid="{00000000-0005-0000-0000-00006C0F0000}"/>
    <cellStyle name="Calculation 2 4 2 2 2 2 6 3" xfId="7357" xr:uid="{00000000-0005-0000-0000-00006D0F0000}"/>
    <cellStyle name="Calculation 2 4 2 2 2 2 7" xfId="7358" xr:uid="{00000000-0005-0000-0000-00006E0F0000}"/>
    <cellStyle name="Calculation 2 4 2 2 2 2 7 2" xfId="7359" xr:uid="{00000000-0005-0000-0000-00006F0F0000}"/>
    <cellStyle name="Calculation 2 4 2 2 2 2 7 3" xfId="7360" xr:uid="{00000000-0005-0000-0000-0000700F0000}"/>
    <cellStyle name="Calculation 2 4 2 2 2 2 8" xfId="7361" xr:uid="{00000000-0005-0000-0000-0000710F0000}"/>
    <cellStyle name="Calculation 2 4 2 2 2 2 9" xfId="7362" xr:uid="{00000000-0005-0000-0000-0000720F0000}"/>
    <cellStyle name="Calculation 2 4 2 2 2 3" xfId="7363" xr:uid="{00000000-0005-0000-0000-0000730F0000}"/>
    <cellStyle name="Calculation 2 4 2 2 2 3 2" xfId="7364" xr:uid="{00000000-0005-0000-0000-0000740F0000}"/>
    <cellStyle name="Calculation 2 4 2 2 2 3 3" xfId="7365" xr:uid="{00000000-0005-0000-0000-0000750F0000}"/>
    <cellStyle name="Calculation 2 4 2 2 2 4" xfId="7366" xr:uid="{00000000-0005-0000-0000-0000760F0000}"/>
    <cellStyle name="Calculation 2 4 2 2 2 4 2" xfId="7367" xr:uid="{00000000-0005-0000-0000-0000770F0000}"/>
    <cellStyle name="Calculation 2 4 2 2 2 4 3" xfId="7368" xr:uid="{00000000-0005-0000-0000-0000780F0000}"/>
    <cellStyle name="Calculation 2 4 2 2 2 5" xfId="7369" xr:uid="{00000000-0005-0000-0000-0000790F0000}"/>
    <cellStyle name="Calculation 2 4 2 2 2 5 2" xfId="7370" xr:uid="{00000000-0005-0000-0000-00007A0F0000}"/>
    <cellStyle name="Calculation 2 4 2 2 2 5 3" xfId="7371" xr:uid="{00000000-0005-0000-0000-00007B0F0000}"/>
    <cellStyle name="Calculation 2 4 2 2 2 6" xfId="7372" xr:uid="{00000000-0005-0000-0000-00007C0F0000}"/>
    <cellStyle name="Calculation 2 4 2 2 2 6 2" xfId="7373" xr:uid="{00000000-0005-0000-0000-00007D0F0000}"/>
    <cellStyle name="Calculation 2 4 2 2 2 6 3" xfId="7374" xr:uid="{00000000-0005-0000-0000-00007E0F0000}"/>
    <cellStyle name="Calculation 2 4 2 2 2 7" xfId="7375" xr:uid="{00000000-0005-0000-0000-00007F0F0000}"/>
    <cellStyle name="Calculation 2 4 2 2 2 7 2" xfId="7376" xr:uid="{00000000-0005-0000-0000-0000800F0000}"/>
    <cellStyle name="Calculation 2 4 2 2 2 7 3" xfId="7377" xr:uid="{00000000-0005-0000-0000-0000810F0000}"/>
    <cellStyle name="Calculation 2 4 2 2 2 8" xfId="7378" xr:uid="{00000000-0005-0000-0000-0000820F0000}"/>
    <cellStyle name="Calculation 2 4 2 2 2 8 2" xfId="7379" xr:uid="{00000000-0005-0000-0000-0000830F0000}"/>
    <cellStyle name="Calculation 2 4 2 2 2 8 3" xfId="7380" xr:uid="{00000000-0005-0000-0000-0000840F0000}"/>
    <cellStyle name="Calculation 2 4 2 2 2 9" xfId="7381" xr:uid="{00000000-0005-0000-0000-0000850F0000}"/>
    <cellStyle name="Calculation 2 4 2 2 3" xfId="7382" xr:uid="{00000000-0005-0000-0000-0000860F0000}"/>
    <cellStyle name="Calculation 2 4 2 2 3 10" xfId="7383" xr:uid="{00000000-0005-0000-0000-0000870F0000}"/>
    <cellStyle name="Calculation 2 4 2 2 3 2" xfId="7384" xr:uid="{00000000-0005-0000-0000-0000880F0000}"/>
    <cellStyle name="Calculation 2 4 2 2 3 2 2" xfId="7385" xr:uid="{00000000-0005-0000-0000-0000890F0000}"/>
    <cellStyle name="Calculation 2 4 2 2 3 2 2 2" xfId="7386" xr:uid="{00000000-0005-0000-0000-00008A0F0000}"/>
    <cellStyle name="Calculation 2 4 2 2 3 2 2 3" xfId="7387" xr:uid="{00000000-0005-0000-0000-00008B0F0000}"/>
    <cellStyle name="Calculation 2 4 2 2 3 2 3" xfId="7388" xr:uid="{00000000-0005-0000-0000-00008C0F0000}"/>
    <cellStyle name="Calculation 2 4 2 2 3 2 3 2" xfId="7389" xr:uid="{00000000-0005-0000-0000-00008D0F0000}"/>
    <cellStyle name="Calculation 2 4 2 2 3 2 3 3" xfId="7390" xr:uid="{00000000-0005-0000-0000-00008E0F0000}"/>
    <cellStyle name="Calculation 2 4 2 2 3 2 4" xfId="7391" xr:uid="{00000000-0005-0000-0000-00008F0F0000}"/>
    <cellStyle name="Calculation 2 4 2 2 3 2 4 2" xfId="7392" xr:uid="{00000000-0005-0000-0000-0000900F0000}"/>
    <cellStyle name="Calculation 2 4 2 2 3 2 4 3" xfId="7393" xr:uid="{00000000-0005-0000-0000-0000910F0000}"/>
    <cellStyle name="Calculation 2 4 2 2 3 2 5" xfId="7394" xr:uid="{00000000-0005-0000-0000-0000920F0000}"/>
    <cellStyle name="Calculation 2 4 2 2 3 2 5 2" xfId="7395" xr:uid="{00000000-0005-0000-0000-0000930F0000}"/>
    <cellStyle name="Calculation 2 4 2 2 3 2 5 3" xfId="7396" xr:uid="{00000000-0005-0000-0000-0000940F0000}"/>
    <cellStyle name="Calculation 2 4 2 2 3 2 6" xfId="7397" xr:uid="{00000000-0005-0000-0000-0000950F0000}"/>
    <cellStyle name="Calculation 2 4 2 2 3 2 6 2" xfId="7398" xr:uid="{00000000-0005-0000-0000-0000960F0000}"/>
    <cellStyle name="Calculation 2 4 2 2 3 2 6 3" xfId="7399" xr:uid="{00000000-0005-0000-0000-0000970F0000}"/>
    <cellStyle name="Calculation 2 4 2 2 3 2 7" xfId="7400" xr:uid="{00000000-0005-0000-0000-0000980F0000}"/>
    <cellStyle name="Calculation 2 4 2 2 3 2 7 2" xfId="7401" xr:uid="{00000000-0005-0000-0000-0000990F0000}"/>
    <cellStyle name="Calculation 2 4 2 2 3 2 7 3" xfId="7402" xr:uid="{00000000-0005-0000-0000-00009A0F0000}"/>
    <cellStyle name="Calculation 2 4 2 2 3 2 8" xfId="7403" xr:uid="{00000000-0005-0000-0000-00009B0F0000}"/>
    <cellStyle name="Calculation 2 4 2 2 3 2 9" xfId="7404" xr:uid="{00000000-0005-0000-0000-00009C0F0000}"/>
    <cellStyle name="Calculation 2 4 2 2 3 3" xfId="7405" xr:uid="{00000000-0005-0000-0000-00009D0F0000}"/>
    <cellStyle name="Calculation 2 4 2 2 3 3 2" xfId="7406" xr:uid="{00000000-0005-0000-0000-00009E0F0000}"/>
    <cellStyle name="Calculation 2 4 2 2 3 3 3" xfId="7407" xr:uid="{00000000-0005-0000-0000-00009F0F0000}"/>
    <cellStyle name="Calculation 2 4 2 2 3 4" xfId="7408" xr:uid="{00000000-0005-0000-0000-0000A00F0000}"/>
    <cellStyle name="Calculation 2 4 2 2 3 4 2" xfId="7409" xr:uid="{00000000-0005-0000-0000-0000A10F0000}"/>
    <cellStyle name="Calculation 2 4 2 2 3 4 3" xfId="7410" xr:uid="{00000000-0005-0000-0000-0000A20F0000}"/>
    <cellStyle name="Calculation 2 4 2 2 3 5" xfId="7411" xr:uid="{00000000-0005-0000-0000-0000A30F0000}"/>
    <cellStyle name="Calculation 2 4 2 2 3 5 2" xfId="7412" xr:uid="{00000000-0005-0000-0000-0000A40F0000}"/>
    <cellStyle name="Calculation 2 4 2 2 3 5 3" xfId="7413" xr:uid="{00000000-0005-0000-0000-0000A50F0000}"/>
    <cellStyle name="Calculation 2 4 2 2 3 6" xfId="7414" xr:uid="{00000000-0005-0000-0000-0000A60F0000}"/>
    <cellStyle name="Calculation 2 4 2 2 3 6 2" xfId="7415" xr:uid="{00000000-0005-0000-0000-0000A70F0000}"/>
    <cellStyle name="Calculation 2 4 2 2 3 6 3" xfId="7416" xr:uid="{00000000-0005-0000-0000-0000A80F0000}"/>
    <cellStyle name="Calculation 2 4 2 2 3 7" xfId="7417" xr:uid="{00000000-0005-0000-0000-0000A90F0000}"/>
    <cellStyle name="Calculation 2 4 2 2 3 7 2" xfId="7418" xr:uid="{00000000-0005-0000-0000-0000AA0F0000}"/>
    <cellStyle name="Calculation 2 4 2 2 3 7 3" xfId="7419" xr:uid="{00000000-0005-0000-0000-0000AB0F0000}"/>
    <cellStyle name="Calculation 2 4 2 2 3 8" xfId="7420" xr:uid="{00000000-0005-0000-0000-0000AC0F0000}"/>
    <cellStyle name="Calculation 2 4 2 2 3 8 2" xfId="7421" xr:uid="{00000000-0005-0000-0000-0000AD0F0000}"/>
    <cellStyle name="Calculation 2 4 2 2 3 8 3" xfId="7422" xr:uid="{00000000-0005-0000-0000-0000AE0F0000}"/>
    <cellStyle name="Calculation 2 4 2 2 3 9" xfId="7423" xr:uid="{00000000-0005-0000-0000-0000AF0F0000}"/>
    <cellStyle name="Calculation 2 4 2 2 4" xfId="7424" xr:uid="{00000000-0005-0000-0000-0000B00F0000}"/>
    <cellStyle name="Calculation 2 4 2 2 4 10" xfId="7425" xr:uid="{00000000-0005-0000-0000-0000B10F0000}"/>
    <cellStyle name="Calculation 2 4 2 2 4 2" xfId="7426" xr:uid="{00000000-0005-0000-0000-0000B20F0000}"/>
    <cellStyle name="Calculation 2 4 2 2 4 2 2" xfId="7427" xr:uid="{00000000-0005-0000-0000-0000B30F0000}"/>
    <cellStyle name="Calculation 2 4 2 2 4 2 2 2" xfId="7428" xr:uid="{00000000-0005-0000-0000-0000B40F0000}"/>
    <cellStyle name="Calculation 2 4 2 2 4 2 2 3" xfId="7429" xr:uid="{00000000-0005-0000-0000-0000B50F0000}"/>
    <cellStyle name="Calculation 2 4 2 2 4 2 3" xfId="7430" xr:uid="{00000000-0005-0000-0000-0000B60F0000}"/>
    <cellStyle name="Calculation 2 4 2 2 4 2 3 2" xfId="7431" xr:uid="{00000000-0005-0000-0000-0000B70F0000}"/>
    <cellStyle name="Calculation 2 4 2 2 4 2 3 3" xfId="7432" xr:uid="{00000000-0005-0000-0000-0000B80F0000}"/>
    <cellStyle name="Calculation 2 4 2 2 4 2 4" xfId="7433" xr:uid="{00000000-0005-0000-0000-0000B90F0000}"/>
    <cellStyle name="Calculation 2 4 2 2 4 2 4 2" xfId="7434" xr:uid="{00000000-0005-0000-0000-0000BA0F0000}"/>
    <cellStyle name="Calculation 2 4 2 2 4 2 4 3" xfId="7435" xr:uid="{00000000-0005-0000-0000-0000BB0F0000}"/>
    <cellStyle name="Calculation 2 4 2 2 4 2 5" xfId="7436" xr:uid="{00000000-0005-0000-0000-0000BC0F0000}"/>
    <cellStyle name="Calculation 2 4 2 2 4 2 5 2" xfId="7437" xr:uid="{00000000-0005-0000-0000-0000BD0F0000}"/>
    <cellStyle name="Calculation 2 4 2 2 4 2 5 3" xfId="7438" xr:uid="{00000000-0005-0000-0000-0000BE0F0000}"/>
    <cellStyle name="Calculation 2 4 2 2 4 2 6" xfId="7439" xr:uid="{00000000-0005-0000-0000-0000BF0F0000}"/>
    <cellStyle name="Calculation 2 4 2 2 4 2 6 2" xfId="7440" xr:uid="{00000000-0005-0000-0000-0000C00F0000}"/>
    <cellStyle name="Calculation 2 4 2 2 4 2 6 3" xfId="7441" xr:uid="{00000000-0005-0000-0000-0000C10F0000}"/>
    <cellStyle name="Calculation 2 4 2 2 4 2 7" xfId="7442" xr:uid="{00000000-0005-0000-0000-0000C20F0000}"/>
    <cellStyle name="Calculation 2 4 2 2 4 2 7 2" xfId="7443" xr:uid="{00000000-0005-0000-0000-0000C30F0000}"/>
    <cellStyle name="Calculation 2 4 2 2 4 2 7 3" xfId="7444" xr:uid="{00000000-0005-0000-0000-0000C40F0000}"/>
    <cellStyle name="Calculation 2 4 2 2 4 2 8" xfId="7445" xr:uid="{00000000-0005-0000-0000-0000C50F0000}"/>
    <cellStyle name="Calculation 2 4 2 2 4 2 9" xfId="7446" xr:uid="{00000000-0005-0000-0000-0000C60F0000}"/>
    <cellStyle name="Calculation 2 4 2 2 4 3" xfId="7447" xr:uid="{00000000-0005-0000-0000-0000C70F0000}"/>
    <cellStyle name="Calculation 2 4 2 2 4 3 2" xfId="7448" xr:uid="{00000000-0005-0000-0000-0000C80F0000}"/>
    <cellStyle name="Calculation 2 4 2 2 4 3 3" xfId="7449" xr:uid="{00000000-0005-0000-0000-0000C90F0000}"/>
    <cellStyle name="Calculation 2 4 2 2 4 4" xfId="7450" xr:uid="{00000000-0005-0000-0000-0000CA0F0000}"/>
    <cellStyle name="Calculation 2 4 2 2 4 4 2" xfId="7451" xr:uid="{00000000-0005-0000-0000-0000CB0F0000}"/>
    <cellStyle name="Calculation 2 4 2 2 4 4 3" xfId="7452" xr:uid="{00000000-0005-0000-0000-0000CC0F0000}"/>
    <cellStyle name="Calculation 2 4 2 2 4 5" xfId="7453" xr:uid="{00000000-0005-0000-0000-0000CD0F0000}"/>
    <cellStyle name="Calculation 2 4 2 2 4 5 2" xfId="7454" xr:uid="{00000000-0005-0000-0000-0000CE0F0000}"/>
    <cellStyle name="Calculation 2 4 2 2 4 5 3" xfId="7455" xr:uid="{00000000-0005-0000-0000-0000CF0F0000}"/>
    <cellStyle name="Calculation 2 4 2 2 4 6" xfId="7456" xr:uid="{00000000-0005-0000-0000-0000D00F0000}"/>
    <cellStyle name="Calculation 2 4 2 2 4 6 2" xfId="7457" xr:uid="{00000000-0005-0000-0000-0000D10F0000}"/>
    <cellStyle name="Calculation 2 4 2 2 4 6 3" xfId="7458" xr:uid="{00000000-0005-0000-0000-0000D20F0000}"/>
    <cellStyle name="Calculation 2 4 2 2 4 7" xfId="7459" xr:uid="{00000000-0005-0000-0000-0000D30F0000}"/>
    <cellStyle name="Calculation 2 4 2 2 4 7 2" xfId="7460" xr:uid="{00000000-0005-0000-0000-0000D40F0000}"/>
    <cellStyle name="Calculation 2 4 2 2 4 7 3" xfId="7461" xr:uid="{00000000-0005-0000-0000-0000D50F0000}"/>
    <cellStyle name="Calculation 2 4 2 2 4 8" xfId="7462" xr:uid="{00000000-0005-0000-0000-0000D60F0000}"/>
    <cellStyle name="Calculation 2 4 2 2 4 8 2" xfId="7463" xr:uid="{00000000-0005-0000-0000-0000D70F0000}"/>
    <cellStyle name="Calculation 2 4 2 2 4 8 3" xfId="7464" xr:uid="{00000000-0005-0000-0000-0000D80F0000}"/>
    <cellStyle name="Calculation 2 4 2 2 4 9" xfId="7465" xr:uid="{00000000-0005-0000-0000-0000D90F0000}"/>
    <cellStyle name="Calculation 2 4 2 2 5" xfId="7466" xr:uid="{00000000-0005-0000-0000-0000DA0F0000}"/>
    <cellStyle name="Calculation 2 4 2 2 5 2" xfId="7467" xr:uid="{00000000-0005-0000-0000-0000DB0F0000}"/>
    <cellStyle name="Calculation 2 4 2 2 5 2 2" xfId="7468" xr:uid="{00000000-0005-0000-0000-0000DC0F0000}"/>
    <cellStyle name="Calculation 2 4 2 2 5 2 3" xfId="7469" xr:uid="{00000000-0005-0000-0000-0000DD0F0000}"/>
    <cellStyle name="Calculation 2 4 2 2 5 3" xfId="7470" xr:uid="{00000000-0005-0000-0000-0000DE0F0000}"/>
    <cellStyle name="Calculation 2 4 2 2 5 3 2" xfId="7471" xr:uid="{00000000-0005-0000-0000-0000DF0F0000}"/>
    <cellStyle name="Calculation 2 4 2 2 5 3 3" xfId="7472" xr:uid="{00000000-0005-0000-0000-0000E00F0000}"/>
    <cellStyle name="Calculation 2 4 2 2 5 4" xfId="7473" xr:uid="{00000000-0005-0000-0000-0000E10F0000}"/>
    <cellStyle name="Calculation 2 4 2 2 5 4 2" xfId="7474" xr:uid="{00000000-0005-0000-0000-0000E20F0000}"/>
    <cellStyle name="Calculation 2 4 2 2 5 4 3" xfId="7475" xr:uid="{00000000-0005-0000-0000-0000E30F0000}"/>
    <cellStyle name="Calculation 2 4 2 2 5 5" xfId="7476" xr:uid="{00000000-0005-0000-0000-0000E40F0000}"/>
    <cellStyle name="Calculation 2 4 2 2 5 5 2" xfId="7477" xr:uid="{00000000-0005-0000-0000-0000E50F0000}"/>
    <cellStyle name="Calculation 2 4 2 2 5 5 3" xfId="7478" xr:uid="{00000000-0005-0000-0000-0000E60F0000}"/>
    <cellStyle name="Calculation 2 4 2 2 5 6" xfId="7479" xr:uid="{00000000-0005-0000-0000-0000E70F0000}"/>
    <cellStyle name="Calculation 2 4 2 2 5 6 2" xfId="7480" xr:uid="{00000000-0005-0000-0000-0000E80F0000}"/>
    <cellStyle name="Calculation 2 4 2 2 5 6 3" xfId="7481" xr:uid="{00000000-0005-0000-0000-0000E90F0000}"/>
    <cellStyle name="Calculation 2 4 2 2 5 7" xfId="7482" xr:uid="{00000000-0005-0000-0000-0000EA0F0000}"/>
    <cellStyle name="Calculation 2 4 2 2 5 7 2" xfId="7483" xr:uid="{00000000-0005-0000-0000-0000EB0F0000}"/>
    <cellStyle name="Calculation 2 4 2 2 5 7 3" xfId="7484" xr:uid="{00000000-0005-0000-0000-0000EC0F0000}"/>
    <cellStyle name="Calculation 2 4 2 2 5 8" xfId="7485" xr:uid="{00000000-0005-0000-0000-0000ED0F0000}"/>
    <cellStyle name="Calculation 2 4 2 2 5 9" xfId="7486" xr:uid="{00000000-0005-0000-0000-0000EE0F0000}"/>
    <cellStyle name="Calculation 2 4 2 2 6" xfId="7487" xr:uid="{00000000-0005-0000-0000-0000EF0F0000}"/>
    <cellStyle name="Calculation 2 4 2 2 6 2" xfId="7488" xr:uid="{00000000-0005-0000-0000-0000F00F0000}"/>
    <cellStyle name="Calculation 2 4 2 2 6 3" xfId="7489" xr:uid="{00000000-0005-0000-0000-0000F10F0000}"/>
    <cellStyle name="Calculation 2 4 2 2 7" xfId="7490" xr:uid="{00000000-0005-0000-0000-0000F20F0000}"/>
    <cellStyle name="Calculation 2 4 2 2 7 2" xfId="7491" xr:uid="{00000000-0005-0000-0000-0000F30F0000}"/>
    <cellStyle name="Calculation 2 4 2 2 7 3" xfId="7492" xr:uid="{00000000-0005-0000-0000-0000F40F0000}"/>
    <cellStyle name="Calculation 2 4 2 2 8" xfId="7493" xr:uid="{00000000-0005-0000-0000-0000F50F0000}"/>
    <cellStyle name="Calculation 2 4 2 2 8 2" xfId="7494" xr:uid="{00000000-0005-0000-0000-0000F60F0000}"/>
    <cellStyle name="Calculation 2 4 2 2 8 3" xfId="7495" xr:uid="{00000000-0005-0000-0000-0000F70F0000}"/>
    <cellStyle name="Calculation 2 4 2 2 9" xfId="7496" xr:uid="{00000000-0005-0000-0000-0000F80F0000}"/>
    <cellStyle name="Calculation 2 4 2 2 9 2" xfId="7497" xr:uid="{00000000-0005-0000-0000-0000F90F0000}"/>
    <cellStyle name="Calculation 2 4 2 2 9 3" xfId="7498" xr:uid="{00000000-0005-0000-0000-0000FA0F0000}"/>
    <cellStyle name="Calculation 2 4 2 3" xfId="7499" xr:uid="{00000000-0005-0000-0000-0000FB0F0000}"/>
    <cellStyle name="Calculation 2 4 2 3 10" xfId="43986" xr:uid="{00000000-0005-0000-0000-0000FC0F0000}"/>
    <cellStyle name="Calculation 2 4 2 3 2" xfId="7500" xr:uid="{00000000-0005-0000-0000-0000FD0F0000}"/>
    <cellStyle name="Calculation 2 4 2 3 2 10" xfId="7501" xr:uid="{00000000-0005-0000-0000-0000FE0F0000}"/>
    <cellStyle name="Calculation 2 4 2 3 2 2" xfId="7502" xr:uid="{00000000-0005-0000-0000-0000FF0F0000}"/>
    <cellStyle name="Calculation 2 4 2 3 2 2 2" xfId="7503" xr:uid="{00000000-0005-0000-0000-000000100000}"/>
    <cellStyle name="Calculation 2 4 2 3 2 2 2 2" xfId="7504" xr:uid="{00000000-0005-0000-0000-000001100000}"/>
    <cellStyle name="Calculation 2 4 2 3 2 2 2 3" xfId="7505" xr:uid="{00000000-0005-0000-0000-000002100000}"/>
    <cellStyle name="Calculation 2 4 2 3 2 2 3" xfId="7506" xr:uid="{00000000-0005-0000-0000-000003100000}"/>
    <cellStyle name="Calculation 2 4 2 3 2 2 3 2" xfId="7507" xr:uid="{00000000-0005-0000-0000-000004100000}"/>
    <cellStyle name="Calculation 2 4 2 3 2 2 3 3" xfId="7508" xr:uid="{00000000-0005-0000-0000-000005100000}"/>
    <cellStyle name="Calculation 2 4 2 3 2 2 4" xfId="7509" xr:uid="{00000000-0005-0000-0000-000006100000}"/>
    <cellStyle name="Calculation 2 4 2 3 2 2 4 2" xfId="7510" xr:uid="{00000000-0005-0000-0000-000007100000}"/>
    <cellStyle name="Calculation 2 4 2 3 2 2 4 3" xfId="7511" xr:uid="{00000000-0005-0000-0000-000008100000}"/>
    <cellStyle name="Calculation 2 4 2 3 2 2 5" xfId="7512" xr:uid="{00000000-0005-0000-0000-000009100000}"/>
    <cellStyle name="Calculation 2 4 2 3 2 2 5 2" xfId="7513" xr:uid="{00000000-0005-0000-0000-00000A100000}"/>
    <cellStyle name="Calculation 2 4 2 3 2 2 5 3" xfId="7514" xr:uid="{00000000-0005-0000-0000-00000B100000}"/>
    <cellStyle name="Calculation 2 4 2 3 2 2 6" xfId="7515" xr:uid="{00000000-0005-0000-0000-00000C100000}"/>
    <cellStyle name="Calculation 2 4 2 3 2 2 6 2" xfId="7516" xr:uid="{00000000-0005-0000-0000-00000D100000}"/>
    <cellStyle name="Calculation 2 4 2 3 2 2 6 3" xfId="7517" xr:uid="{00000000-0005-0000-0000-00000E100000}"/>
    <cellStyle name="Calculation 2 4 2 3 2 2 7" xfId="7518" xr:uid="{00000000-0005-0000-0000-00000F100000}"/>
    <cellStyle name="Calculation 2 4 2 3 2 2 7 2" xfId="7519" xr:uid="{00000000-0005-0000-0000-000010100000}"/>
    <cellStyle name="Calculation 2 4 2 3 2 2 7 3" xfId="7520" xr:uid="{00000000-0005-0000-0000-000011100000}"/>
    <cellStyle name="Calculation 2 4 2 3 2 2 8" xfId="7521" xr:uid="{00000000-0005-0000-0000-000012100000}"/>
    <cellStyle name="Calculation 2 4 2 3 2 2 9" xfId="7522" xr:uid="{00000000-0005-0000-0000-000013100000}"/>
    <cellStyle name="Calculation 2 4 2 3 2 3" xfId="7523" xr:uid="{00000000-0005-0000-0000-000014100000}"/>
    <cellStyle name="Calculation 2 4 2 3 2 3 2" xfId="7524" xr:uid="{00000000-0005-0000-0000-000015100000}"/>
    <cellStyle name="Calculation 2 4 2 3 2 3 3" xfId="7525" xr:uid="{00000000-0005-0000-0000-000016100000}"/>
    <cellStyle name="Calculation 2 4 2 3 2 4" xfId="7526" xr:uid="{00000000-0005-0000-0000-000017100000}"/>
    <cellStyle name="Calculation 2 4 2 3 2 4 2" xfId="7527" xr:uid="{00000000-0005-0000-0000-000018100000}"/>
    <cellStyle name="Calculation 2 4 2 3 2 4 3" xfId="7528" xr:uid="{00000000-0005-0000-0000-000019100000}"/>
    <cellStyle name="Calculation 2 4 2 3 2 5" xfId="7529" xr:uid="{00000000-0005-0000-0000-00001A100000}"/>
    <cellStyle name="Calculation 2 4 2 3 2 5 2" xfId="7530" xr:uid="{00000000-0005-0000-0000-00001B100000}"/>
    <cellStyle name="Calculation 2 4 2 3 2 5 3" xfId="7531" xr:uid="{00000000-0005-0000-0000-00001C100000}"/>
    <cellStyle name="Calculation 2 4 2 3 2 6" xfId="7532" xr:uid="{00000000-0005-0000-0000-00001D100000}"/>
    <cellStyle name="Calculation 2 4 2 3 2 6 2" xfId="7533" xr:uid="{00000000-0005-0000-0000-00001E100000}"/>
    <cellStyle name="Calculation 2 4 2 3 2 6 3" xfId="7534" xr:uid="{00000000-0005-0000-0000-00001F100000}"/>
    <cellStyle name="Calculation 2 4 2 3 2 7" xfId="7535" xr:uid="{00000000-0005-0000-0000-000020100000}"/>
    <cellStyle name="Calculation 2 4 2 3 2 7 2" xfId="7536" xr:uid="{00000000-0005-0000-0000-000021100000}"/>
    <cellStyle name="Calculation 2 4 2 3 2 7 3" xfId="7537" xr:uid="{00000000-0005-0000-0000-000022100000}"/>
    <cellStyle name="Calculation 2 4 2 3 2 8" xfId="7538" xr:uid="{00000000-0005-0000-0000-000023100000}"/>
    <cellStyle name="Calculation 2 4 2 3 2 8 2" xfId="7539" xr:uid="{00000000-0005-0000-0000-000024100000}"/>
    <cellStyle name="Calculation 2 4 2 3 2 8 3" xfId="7540" xr:uid="{00000000-0005-0000-0000-000025100000}"/>
    <cellStyle name="Calculation 2 4 2 3 2 9" xfId="7541" xr:uid="{00000000-0005-0000-0000-000026100000}"/>
    <cellStyle name="Calculation 2 4 2 3 3" xfId="7542" xr:uid="{00000000-0005-0000-0000-000027100000}"/>
    <cellStyle name="Calculation 2 4 2 3 3 10" xfId="7543" xr:uid="{00000000-0005-0000-0000-000028100000}"/>
    <cellStyle name="Calculation 2 4 2 3 3 2" xfId="7544" xr:uid="{00000000-0005-0000-0000-000029100000}"/>
    <cellStyle name="Calculation 2 4 2 3 3 2 2" xfId="7545" xr:uid="{00000000-0005-0000-0000-00002A100000}"/>
    <cellStyle name="Calculation 2 4 2 3 3 2 2 2" xfId="7546" xr:uid="{00000000-0005-0000-0000-00002B100000}"/>
    <cellStyle name="Calculation 2 4 2 3 3 2 2 3" xfId="7547" xr:uid="{00000000-0005-0000-0000-00002C100000}"/>
    <cellStyle name="Calculation 2 4 2 3 3 2 3" xfId="7548" xr:uid="{00000000-0005-0000-0000-00002D100000}"/>
    <cellStyle name="Calculation 2 4 2 3 3 2 3 2" xfId="7549" xr:uid="{00000000-0005-0000-0000-00002E100000}"/>
    <cellStyle name="Calculation 2 4 2 3 3 2 3 3" xfId="7550" xr:uid="{00000000-0005-0000-0000-00002F100000}"/>
    <cellStyle name="Calculation 2 4 2 3 3 2 4" xfId="7551" xr:uid="{00000000-0005-0000-0000-000030100000}"/>
    <cellStyle name="Calculation 2 4 2 3 3 2 4 2" xfId="7552" xr:uid="{00000000-0005-0000-0000-000031100000}"/>
    <cellStyle name="Calculation 2 4 2 3 3 2 4 3" xfId="7553" xr:uid="{00000000-0005-0000-0000-000032100000}"/>
    <cellStyle name="Calculation 2 4 2 3 3 2 5" xfId="7554" xr:uid="{00000000-0005-0000-0000-000033100000}"/>
    <cellStyle name="Calculation 2 4 2 3 3 2 5 2" xfId="7555" xr:uid="{00000000-0005-0000-0000-000034100000}"/>
    <cellStyle name="Calculation 2 4 2 3 3 2 5 3" xfId="7556" xr:uid="{00000000-0005-0000-0000-000035100000}"/>
    <cellStyle name="Calculation 2 4 2 3 3 2 6" xfId="7557" xr:uid="{00000000-0005-0000-0000-000036100000}"/>
    <cellStyle name="Calculation 2 4 2 3 3 2 6 2" xfId="7558" xr:uid="{00000000-0005-0000-0000-000037100000}"/>
    <cellStyle name="Calculation 2 4 2 3 3 2 6 3" xfId="7559" xr:uid="{00000000-0005-0000-0000-000038100000}"/>
    <cellStyle name="Calculation 2 4 2 3 3 2 7" xfId="7560" xr:uid="{00000000-0005-0000-0000-000039100000}"/>
    <cellStyle name="Calculation 2 4 2 3 3 2 7 2" xfId="7561" xr:uid="{00000000-0005-0000-0000-00003A100000}"/>
    <cellStyle name="Calculation 2 4 2 3 3 2 7 3" xfId="7562" xr:uid="{00000000-0005-0000-0000-00003B100000}"/>
    <cellStyle name="Calculation 2 4 2 3 3 2 8" xfId="7563" xr:uid="{00000000-0005-0000-0000-00003C100000}"/>
    <cellStyle name="Calculation 2 4 2 3 3 2 9" xfId="7564" xr:uid="{00000000-0005-0000-0000-00003D100000}"/>
    <cellStyle name="Calculation 2 4 2 3 3 3" xfId="7565" xr:uid="{00000000-0005-0000-0000-00003E100000}"/>
    <cellStyle name="Calculation 2 4 2 3 3 3 2" xfId="7566" xr:uid="{00000000-0005-0000-0000-00003F100000}"/>
    <cellStyle name="Calculation 2 4 2 3 3 3 3" xfId="7567" xr:uid="{00000000-0005-0000-0000-000040100000}"/>
    <cellStyle name="Calculation 2 4 2 3 3 4" xfId="7568" xr:uid="{00000000-0005-0000-0000-000041100000}"/>
    <cellStyle name="Calculation 2 4 2 3 3 4 2" xfId="7569" xr:uid="{00000000-0005-0000-0000-000042100000}"/>
    <cellStyle name="Calculation 2 4 2 3 3 4 3" xfId="7570" xr:uid="{00000000-0005-0000-0000-000043100000}"/>
    <cellStyle name="Calculation 2 4 2 3 3 5" xfId="7571" xr:uid="{00000000-0005-0000-0000-000044100000}"/>
    <cellStyle name="Calculation 2 4 2 3 3 5 2" xfId="7572" xr:uid="{00000000-0005-0000-0000-000045100000}"/>
    <cellStyle name="Calculation 2 4 2 3 3 5 3" xfId="7573" xr:uid="{00000000-0005-0000-0000-000046100000}"/>
    <cellStyle name="Calculation 2 4 2 3 3 6" xfId="7574" xr:uid="{00000000-0005-0000-0000-000047100000}"/>
    <cellStyle name="Calculation 2 4 2 3 3 6 2" xfId="7575" xr:uid="{00000000-0005-0000-0000-000048100000}"/>
    <cellStyle name="Calculation 2 4 2 3 3 6 3" xfId="7576" xr:uid="{00000000-0005-0000-0000-000049100000}"/>
    <cellStyle name="Calculation 2 4 2 3 3 7" xfId="7577" xr:uid="{00000000-0005-0000-0000-00004A100000}"/>
    <cellStyle name="Calculation 2 4 2 3 3 7 2" xfId="7578" xr:uid="{00000000-0005-0000-0000-00004B100000}"/>
    <cellStyle name="Calculation 2 4 2 3 3 7 3" xfId="7579" xr:uid="{00000000-0005-0000-0000-00004C100000}"/>
    <cellStyle name="Calculation 2 4 2 3 3 8" xfId="7580" xr:uid="{00000000-0005-0000-0000-00004D100000}"/>
    <cellStyle name="Calculation 2 4 2 3 3 8 2" xfId="7581" xr:uid="{00000000-0005-0000-0000-00004E100000}"/>
    <cellStyle name="Calculation 2 4 2 3 3 8 3" xfId="7582" xr:uid="{00000000-0005-0000-0000-00004F100000}"/>
    <cellStyle name="Calculation 2 4 2 3 3 9" xfId="7583" xr:uid="{00000000-0005-0000-0000-000050100000}"/>
    <cellStyle name="Calculation 2 4 2 3 4" xfId="7584" xr:uid="{00000000-0005-0000-0000-000051100000}"/>
    <cellStyle name="Calculation 2 4 2 3 4 10" xfId="7585" xr:uid="{00000000-0005-0000-0000-000052100000}"/>
    <cellStyle name="Calculation 2 4 2 3 4 2" xfId="7586" xr:uid="{00000000-0005-0000-0000-000053100000}"/>
    <cellStyle name="Calculation 2 4 2 3 4 2 2" xfId="7587" xr:uid="{00000000-0005-0000-0000-000054100000}"/>
    <cellStyle name="Calculation 2 4 2 3 4 2 2 2" xfId="7588" xr:uid="{00000000-0005-0000-0000-000055100000}"/>
    <cellStyle name="Calculation 2 4 2 3 4 2 2 3" xfId="7589" xr:uid="{00000000-0005-0000-0000-000056100000}"/>
    <cellStyle name="Calculation 2 4 2 3 4 2 3" xfId="7590" xr:uid="{00000000-0005-0000-0000-000057100000}"/>
    <cellStyle name="Calculation 2 4 2 3 4 2 3 2" xfId="7591" xr:uid="{00000000-0005-0000-0000-000058100000}"/>
    <cellStyle name="Calculation 2 4 2 3 4 2 3 3" xfId="7592" xr:uid="{00000000-0005-0000-0000-000059100000}"/>
    <cellStyle name="Calculation 2 4 2 3 4 2 4" xfId="7593" xr:uid="{00000000-0005-0000-0000-00005A100000}"/>
    <cellStyle name="Calculation 2 4 2 3 4 2 4 2" xfId="7594" xr:uid="{00000000-0005-0000-0000-00005B100000}"/>
    <cellStyle name="Calculation 2 4 2 3 4 2 4 3" xfId="7595" xr:uid="{00000000-0005-0000-0000-00005C100000}"/>
    <cellStyle name="Calculation 2 4 2 3 4 2 5" xfId="7596" xr:uid="{00000000-0005-0000-0000-00005D100000}"/>
    <cellStyle name="Calculation 2 4 2 3 4 2 5 2" xfId="7597" xr:uid="{00000000-0005-0000-0000-00005E100000}"/>
    <cellStyle name="Calculation 2 4 2 3 4 2 5 3" xfId="7598" xr:uid="{00000000-0005-0000-0000-00005F100000}"/>
    <cellStyle name="Calculation 2 4 2 3 4 2 6" xfId="7599" xr:uid="{00000000-0005-0000-0000-000060100000}"/>
    <cellStyle name="Calculation 2 4 2 3 4 2 6 2" xfId="7600" xr:uid="{00000000-0005-0000-0000-000061100000}"/>
    <cellStyle name="Calculation 2 4 2 3 4 2 6 3" xfId="7601" xr:uid="{00000000-0005-0000-0000-000062100000}"/>
    <cellStyle name="Calculation 2 4 2 3 4 2 7" xfId="7602" xr:uid="{00000000-0005-0000-0000-000063100000}"/>
    <cellStyle name="Calculation 2 4 2 3 4 2 7 2" xfId="7603" xr:uid="{00000000-0005-0000-0000-000064100000}"/>
    <cellStyle name="Calculation 2 4 2 3 4 2 7 3" xfId="7604" xr:uid="{00000000-0005-0000-0000-000065100000}"/>
    <cellStyle name="Calculation 2 4 2 3 4 2 8" xfId="7605" xr:uid="{00000000-0005-0000-0000-000066100000}"/>
    <cellStyle name="Calculation 2 4 2 3 4 2 9" xfId="7606" xr:uid="{00000000-0005-0000-0000-000067100000}"/>
    <cellStyle name="Calculation 2 4 2 3 4 3" xfId="7607" xr:uid="{00000000-0005-0000-0000-000068100000}"/>
    <cellStyle name="Calculation 2 4 2 3 4 3 2" xfId="7608" xr:uid="{00000000-0005-0000-0000-000069100000}"/>
    <cellStyle name="Calculation 2 4 2 3 4 3 3" xfId="7609" xr:uid="{00000000-0005-0000-0000-00006A100000}"/>
    <cellStyle name="Calculation 2 4 2 3 4 4" xfId="7610" xr:uid="{00000000-0005-0000-0000-00006B100000}"/>
    <cellStyle name="Calculation 2 4 2 3 4 4 2" xfId="7611" xr:uid="{00000000-0005-0000-0000-00006C100000}"/>
    <cellStyle name="Calculation 2 4 2 3 4 4 3" xfId="7612" xr:uid="{00000000-0005-0000-0000-00006D100000}"/>
    <cellStyle name="Calculation 2 4 2 3 4 5" xfId="7613" xr:uid="{00000000-0005-0000-0000-00006E100000}"/>
    <cellStyle name="Calculation 2 4 2 3 4 5 2" xfId="7614" xr:uid="{00000000-0005-0000-0000-00006F100000}"/>
    <cellStyle name="Calculation 2 4 2 3 4 5 3" xfId="7615" xr:uid="{00000000-0005-0000-0000-000070100000}"/>
    <cellStyle name="Calculation 2 4 2 3 4 6" xfId="7616" xr:uid="{00000000-0005-0000-0000-000071100000}"/>
    <cellStyle name="Calculation 2 4 2 3 4 6 2" xfId="7617" xr:uid="{00000000-0005-0000-0000-000072100000}"/>
    <cellStyle name="Calculation 2 4 2 3 4 6 3" xfId="7618" xr:uid="{00000000-0005-0000-0000-000073100000}"/>
    <cellStyle name="Calculation 2 4 2 3 4 7" xfId="7619" xr:uid="{00000000-0005-0000-0000-000074100000}"/>
    <cellStyle name="Calculation 2 4 2 3 4 7 2" xfId="7620" xr:uid="{00000000-0005-0000-0000-000075100000}"/>
    <cellStyle name="Calculation 2 4 2 3 4 7 3" xfId="7621" xr:uid="{00000000-0005-0000-0000-000076100000}"/>
    <cellStyle name="Calculation 2 4 2 3 4 8" xfId="7622" xr:uid="{00000000-0005-0000-0000-000077100000}"/>
    <cellStyle name="Calculation 2 4 2 3 4 8 2" xfId="7623" xr:uid="{00000000-0005-0000-0000-000078100000}"/>
    <cellStyle name="Calculation 2 4 2 3 4 8 3" xfId="7624" xr:uid="{00000000-0005-0000-0000-000079100000}"/>
    <cellStyle name="Calculation 2 4 2 3 4 9" xfId="7625" xr:uid="{00000000-0005-0000-0000-00007A100000}"/>
    <cellStyle name="Calculation 2 4 2 3 5" xfId="7626" xr:uid="{00000000-0005-0000-0000-00007B100000}"/>
    <cellStyle name="Calculation 2 4 2 3 5 2" xfId="7627" xr:uid="{00000000-0005-0000-0000-00007C100000}"/>
    <cellStyle name="Calculation 2 4 2 3 5 2 2" xfId="7628" xr:uid="{00000000-0005-0000-0000-00007D100000}"/>
    <cellStyle name="Calculation 2 4 2 3 5 2 3" xfId="7629" xr:uid="{00000000-0005-0000-0000-00007E100000}"/>
    <cellStyle name="Calculation 2 4 2 3 5 3" xfId="7630" xr:uid="{00000000-0005-0000-0000-00007F100000}"/>
    <cellStyle name="Calculation 2 4 2 3 5 3 2" xfId="7631" xr:uid="{00000000-0005-0000-0000-000080100000}"/>
    <cellStyle name="Calculation 2 4 2 3 5 3 3" xfId="7632" xr:uid="{00000000-0005-0000-0000-000081100000}"/>
    <cellStyle name="Calculation 2 4 2 3 5 4" xfId="7633" xr:uid="{00000000-0005-0000-0000-000082100000}"/>
    <cellStyle name="Calculation 2 4 2 3 5 4 2" xfId="7634" xr:uid="{00000000-0005-0000-0000-000083100000}"/>
    <cellStyle name="Calculation 2 4 2 3 5 4 3" xfId="7635" xr:uid="{00000000-0005-0000-0000-000084100000}"/>
    <cellStyle name="Calculation 2 4 2 3 5 5" xfId="7636" xr:uid="{00000000-0005-0000-0000-000085100000}"/>
    <cellStyle name="Calculation 2 4 2 3 5 5 2" xfId="7637" xr:uid="{00000000-0005-0000-0000-000086100000}"/>
    <cellStyle name="Calculation 2 4 2 3 5 5 3" xfId="7638" xr:uid="{00000000-0005-0000-0000-000087100000}"/>
    <cellStyle name="Calculation 2 4 2 3 5 6" xfId="7639" xr:uid="{00000000-0005-0000-0000-000088100000}"/>
    <cellStyle name="Calculation 2 4 2 3 5 6 2" xfId="7640" xr:uid="{00000000-0005-0000-0000-000089100000}"/>
    <cellStyle name="Calculation 2 4 2 3 5 6 3" xfId="7641" xr:uid="{00000000-0005-0000-0000-00008A100000}"/>
    <cellStyle name="Calculation 2 4 2 3 5 7" xfId="7642" xr:uid="{00000000-0005-0000-0000-00008B100000}"/>
    <cellStyle name="Calculation 2 4 2 3 5 7 2" xfId="7643" xr:uid="{00000000-0005-0000-0000-00008C100000}"/>
    <cellStyle name="Calculation 2 4 2 3 5 7 3" xfId="7644" xr:uid="{00000000-0005-0000-0000-00008D100000}"/>
    <cellStyle name="Calculation 2 4 2 3 5 8" xfId="7645" xr:uid="{00000000-0005-0000-0000-00008E100000}"/>
    <cellStyle name="Calculation 2 4 2 3 5 9" xfId="7646" xr:uid="{00000000-0005-0000-0000-00008F100000}"/>
    <cellStyle name="Calculation 2 4 2 3 6" xfId="7647" xr:uid="{00000000-0005-0000-0000-000090100000}"/>
    <cellStyle name="Calculation 2 4 2 3 6 2" xfId="7648" xr:uid="{00000000-0005-0000-0000-000091100000}"/>
    <cellStyle name="Calculation 2 4 2 3 6 3" xfId="7649" xr:uid="{00000000-0005-0000-0000-000092100000}"/>
    <cellStyle name="Calculation 2 4 2 3 7" xfId="7650" xr:uid="{00000000-0005-0000-0000-000093100000}"/>
    <cellStyle name="Calculation 2 4 2 3 7 2" xfId="7651" xr:uid="{00000000-0005-0000-0000-000094100000}"/>
    <cellStyle name="Calculation 2 4 2 3 7 3" xfId="7652" xr:uid="{00000000-0005-0000-0000-000095100000}"/>
    <cellStyle name="Calculation 2 4 2 3 8" xfId="7653" xr:uid="{00000000-0005-0000-0000-000096100000}"/>
    <cellStyle name="Calculation 2 4 2 3 8 2" xfId="7654" xr:uid="{00000000-0005-0000-0000-000097100000}"/>
    <cellStyle name="Calculation 2 4 2 3 8 3" xfId="7655" xr:uid="{00000000-0005-0000-0000-000098100000}"/>
    <cellStyle name="Calculation 2 4 2 3 9" xfId="7656" xr:uid="{00000000-0005-0000-0000-000099100000}"/>
    <cellStyle name="Calculation 2 4 2 3 9 2" xfId="7657" xr:uid="{00000000-0005-0000-0000-00009A100000}"/>
    <cellStyle name="Calculation 2 4 2 3 9 3" xfId="7658" xr:uid="{00000000-0005-0000-0000-00009B100000}"/>
    <cellStyle name="Calculation 2 4 2 4" xfId="7659" xr:uid="{00000000-0005-0000-0000-00009C100000}"/>
    <cellStyle name="Calculation 2 4 2 4 10" xfId="43987" xr:uid="{00000000-0005-0000-0000-00009D100000}"/>
    <cellStyle name="Calculation 2 4 2 4 2" xfId="7660" xr:uid="{00000000-0005-0000-0000-00009E100000}"/>
    <cellStyle name="Calculation 2 4 2 4 2 10" xfId="7661" xr:uid="{00000000-0005-0000-0000-00009F100000}"/>
    <cellStyle name="Calculation 2 4 2 4 2 2" xfId="7662" xr:uid="{00000000-0005-0000-0000-0000A0100000}"/>
    <cellStyle name="Calculation 2 4 2 4 2 2 2" xfId="7663" xr:uid="{00000000-0005-0000-0000-0000A1100000}"/>
    <cellStyle name="Calculation 2 4 2 4 2 2 2 2" xfId="7664" xr:uid="{00000000-0005-0000-0000-0000A2100000}"/>
    <cellStyle name="Calculation 2 4 2 4 2 2 2 3" xfId="7665" xr:uid="{00000000-0005-0000-0000-0000A3100000}"/>
    <cellStyle name="Calculation 2 4 2 4 2 2 3" xfId="7666" xr:uid="{00000000-0005-0000-0000-0000A4100000}"/>
    <cellStyle name="Calculation 2 4 2 4 2 2 3 2" xfId="7667" xr:uid="{00000000-0005-0000-0000-0000A5100000}"/>
    <cellStyle name="Calculation 2 4 2 4 2 2 3 3" xfId="7668" xr:uid="{00000000-0005-0000-0000-0000A6100000}"/>
    <cellStyle name="Calculation 2 4 2 4 2 2 4" xfId="7669" xr:uid="{00000000-0005-0000-0000-0000A7100000}"/>
    <cellStyle name="Calculation 2 4 2 4 2 2 4 2" xfId="7670" xr:uid="{00000000-0005-0000-0000-0000A8100000}"/>
    <cellStyle name="Calculation 2 4 2 4 2 2 4 3" xfId="7671" xr:uid="{00000000-0005-0000-0000-0000A9100000}"/>
    <cellStyle name="Calculation 2 4 2 4 2 2 5" xfId="7672" xr:uid="{00000000-0005-0000-0000-0000AA100000}"/>
    <cellStyle name="Calculation 2 4 2 4 2 2 5 2" xfId="7673" xr:uid="{00000000-0005-0000-0000-0000AB100000}"/>
    <cellStyle name="Calculation 2 4 2 4 2 2 5 3" xfId="7674" xr:uid="{00000000-0005-0000-0000-0000AC100000}"/>
    <cellStyle name="Calculation 2 4 2 4 2 2 6" xfId="7675" xr:uid="{00000000-0005-0000-0000-0000AD100000}"/>
    <cellStyle name="Calculation 2 4 2 4 2 2 6 2" xfId="7676" xr:uid="{00000000-0005-0000-0000-0000AE100000}"/>
    <cellStyle name="Calculation 2 4 2 4 2 2 6 3" xfId="7677" xr:uid="{00000000-0005-0000-0000-0000AF100000}"/>
    <cellStyle name="Calculation 2 4 2 4 2 2 7" xfId="7678" xr:uid="{00000000-0005-0000-0000-0000B0100000}"/>
    <cellStyle name="Calculation 2 4 2 4 2 2 7 2" xfId="7679" xr:uid="{00000000-0005-0000-0000-0000B1100000}"/>
    <cellStyle name="Calculation 2 4 2 4 2 2 7 3" xfId="7680" xr:uid="{00000000-0005-0000-0000-0000B2100000}"/>
    <cellStyle name="Calculation 2 4 2 4 2 2 8" xfId="7681" xr:uid="{00000000-0005-0000-0000-0000B3100000}"/>
    <cellStyle name="Calculation 2 4 2 4 2 2 9" xfId="7682" xr:uid="{00000000-0005-0000-0000-0000B4100000}"/>
    <cellStyle name="Calculation 2 4 2 4 2 3" xfId="7683" xr:uid="{00000000-0005-0000-0000-0000B5100000}"/>
    <cellStyle name="Calculation 2 4 2 4 2 3 2" xfId="7684" xr:uid="{00000000-0005-0000-0000-0000B6100000}"/>
    <cellStyle name="Calculation 2 4 2 4 2 3 3" xfId="7685" xr:uid="{00000000-0005-0000-0000-0000B7100000}"/>
    <cellStyle name="Calculation 2 4 2 4 2 4" xfId="7686" xr:uid="{00000000-0005-0000-0000-0000B8100000}"/>
    <cellStyle name="Calculation 2 4 2 4 2 4 2" xfId="7687" xr:uid="{00000000-0005-0000-0000-0000B9100000}"/>
    <cellStyle name="Calculation 2 4 2 4 2 4 3" xfId="7688" xr:uid="{00000000-0005-0000-0000-0000BA100000}"/>
    <cellStyle name="Calculation 2 4 2 4 2 5" xfId="7689" xr:uid="{00000000-0005-0000-0000-0000BB100000}"/>
    <cellStyle name="Calculation 2 4 2 4 2 5 2" xfId="7690" xr:uid="{00000000-0005-0000-0000-0000BC100000}"/>
    <cellStyle name="Calculation 2 4 2 4 2 5 3" xfId="7691" xr:uid="{00000000-0005-0000-0000-0000BD100000}"/>
    <cellStyle name="Calculation 2 4 2 4 2 6" xfId="7692" xr:uid="{00000000-0005-0000-0000-0000BE100000}"/>
    <cellStyle name="Calculation 2 4 2 4 2 6 2" xfId="7693" xr:uid="{00000000-0005-0000-0000-0000BF100000}"/>
    <cellStyle name="Calculation 2 4 2 4 2 6 3" xfId="7694" xr:uid="{00000000-0005-0000-0000-0000C0100000}"/>
    <cellStyle name="Calculation 2 4 2 4 2 7" xfId="7695" xr:uid="{00000000-0005-0000-0000-0000C1100000}"/>
    <cellStyle name="Calculation 2 4 2 4 2 7 2" xfId="7696" xr:uid="{00000000-0005-0000-0000-0000C2100000}"/>
    <cellStyle name="Calculation 2 4 2 4 2 7 3" xfId="7697" xr:uid="{00000000-0005-0000-0000-0000C3100000}"/>
    <cellStyle name="Calculation 2 4 2 4 2 8" xfId="7698" xr:uid="{00000000-0005-0000-0000-0000C4100000}"/>
    <cellStyle name="Calculation 2 4 2 4 2 8 2" xfId="7699" xr:uid="{00000000-0005-0000-0000-0000C5100000}"/>
    <cellStyle name="Calculation 2 4 2 4 2 8 3" xfId="7700" xr:uid="{00000000-0005-0000-0000-0000C6100000}"/>
    <cellStyle name="Calculation 2 4 2 4 2 9" xfId="7701" xr:uid="{00000000-0005-0000-0000-0000C7100000}"/>
    <cellStyle name="Calculation 2 4 2 4 3" xfId="7702" xr:uid="{00000000-0005-0000-0000-0000C8100000}"/>
    <cellStyle name="Calculation 2 4 2 4 3 10" xfId="7703" xr:uid="{00000000-0005-0000-0000-0000C9100000}"/>
    <cellStyle name="Calculation 2 4 2 4 3 2" xfId="7704" xr:uid="{00000000-0005-0000-0000-0000CA100000}"/>
    <cellStyle name="Calculation 2 4 2 4 3 2 2" xfId="7705" xr:uid="{00000000-0005-0000-0000-0000CB100000}"/>
    <cellStyle name="Calculation 2 4 2 4 3 2 2 2" xfId="7706" xr:uid="{00000000-0005-0000-0000-0000CC100000}"/>
    <cellStyle name="Calculation 2 4 2 4 3 2 2 3" xfId="7707" xr:uid="{00000000-0005-0000-0000-0000CD100000}"/>
    <cellStyle name="Calculation 2 4 2 4 3 2 3" xfId="7708" xr:uid="{00000000-0005-0000-0000-0000CE100000}"/>
    <cellStyle name="Calculation 2 4 2 4 3 2 3 2" xfId="7709" xr:uid="{00000000-0005-0000-0000-0000CF100000}"/>
    <cellStyle name="Calculation 2 4 2 4 3 2 3 3" xfId="7710" xr:uid="{00000000-0005-0000-0000-0000D0100000}"/>
    <cellStyle name="Calculation 2 4 2 4 3 2 4" xfId="7711" xr:uid="{00000000-0005-0000-0000-0000D1100000}"/>
    <cellStyle name="Calculation 2 4 2 4 3 2 4 2" xfId="7712" xr:uid="{00000000-0005-0000-0000-0000D2100000}"/>
    <cellStyle name="Calculation 2 4 2 4 3 2 4 3" xfId="7713" xr:uid="{00000000-0005-0000-0000-0000D3100000}"/>
    <cellStyle name="Calculation 2 4 2 4 3 2 5" xfId="7714" xr:uid="{00000000-0005-0000-0000-0000D4100000}"/>
    <cellStyle name="Calculation 2 4 2 4 3 2 5 2" xfId="7715" xr:uid="{00000000-0005-0000-0000-0000D5100000}"/>
    <cellStyle name="Calculation 2 4 2 4 3 2 5 3" xfId="7716" xr:uid="{00000000-0005-0000-0000-0000D6100000}"/>
    <cellStyle name="Calculation 2 4 2 4 3 2 6" xfId="7717" xr:uid="{00000000-0005-0000-0000-0000D7100000}"/>
    <cellStyle name="Calculation 2 4 2 4 3 2 6 2" xfId="7718" xr:uid="{00000000-0005-0000-0000-0000D8100000}"/>
    <cellStyle name="Calculation 2 4 2 4 3 2 6 3" xfId="7719" xr:uid="{00000000-0005-0000-0000-0000D9100000}"/>
    <cellStyle name="Calculation 2 4 2 4 3 2 7" xfId="7720" xr:uid="{00000000-0005-0000-0000-0000DA100000}"/>
    <cellStyle name="Calculation 2 4 2 4 3 2 7 2" xfId="7721" xr:uid="{00000000-0005-0000-0000-0000DB100000}"/>
    <cellStyle name="Calculation 2 4 2 4 3 2 7 3" xfId="7722" xr:uid="{00000000-0005-0000-0000-0000DC100000}"/>
    <cellStyle name="Calculation 2 4 2 4 3 2 8" xfId="7723" xr:uid="{00000000-0005-0000-0000-0000DD100000}"/>
    <cellStyle name="Calculation 2 4 2 4 3 2 9" xfId="7724" xr:uid="{00000000-0005-0000-0000-0000DE100000}"/>
    <cellStyle name="Calculation 2 4 2 4 3 3" xfId="7725" xr:uid="{00000000-0005-0000-0000-0000DF100000}"/>
    <cellStyle name="Calculation 2 4 2 4 3 3 2" xfId="7726" xr:uid="{00000000-0005-0000-0000-0000E0100000}"/>
    <cellStyle name="Calculation 2 4 2 4 3 3 3" xfId="7727" xr:uid="{00000000-0005-0000-0000-0000E1100000}"/>
    <cellStyle name="Calculation 2 4 2 4 3 4" xfId="7728" xr:uid="{00000000-0005-0000-0000-0000E2100000}"/>
    <cellStyle name="Calculation 2 4 2 4 3 4 2" xfId="7729" xr:uid="{00000000-0005-0000-0000-0000E3100000}"/>
    <cellStyle name="Calculation 2 4 2 4 3 4 3" xfId="7730" xr:uid="{00000000-0005-0000-0000-0000E4100000}"/>
    <cellStyle name="Calculation 2 4 2 4 3 5" xfId="7731" xr:uid="{00000000-0005-0000-0000-0000E5100000}"/>
    <cellStyle name="Calculation 2 4 2 4 3 5 2" xfId="7732" xr:uid="{00000000-0005-0000-0000-0000E6100000}"/>
    <cellStyle name="Calculation 2 4 2 4 3 5 3" xfId="7733" xr:uid="{00000000-0005-0000-0000-0000E7100000}"/>
    <cellStyle name="Calculation 2 4 2 4 3 6" xfId="7734" xr:uid="{00000000-0005-0000-0000-0000E8100000}"/>
    <cellStyle name="Calculation 2 4 2 4 3 6 2" xfId="7735" xr:uid="{00000000-0005-0000-0000-0000E9100000}"/>
    <cellStyle name="Calculation 2 4 2 4 3 6 3" xfId="7736" xr:uid="{00000000-0005-0000-0000-0000EA100000}"/>
    <cellStyle name="Calculation 2 4 2 4 3 7" xfId="7737" xr:uid="{00000000-0005-0000-0000-0000EB100000}"/>
    <cellStyle name="Calculation 2 4 2 4 3 7 2" xfId="7738" xr:uid="{00000000-0005-0000-0000-0000EC100000}"/>
    <cellStyle name="Calculation 2 4 2 4 3 7 3" xfId="7739" xr:uid="{00000000-0005-0000-0000-0000ED100000}"/>
    <cellStyle name="Calculation 2 4 2 4 3 8" xfId="7740" xr:uid="{00000000-0005-0000-0000-0000EE100000}"/>
    <cellStyle name="Calculation 2 4 2 4 3 8 2" xfId="7741" xr:uid="{00000000-0005-0000-0000-0000EF100000}"/>
    <cellStyle name="Calculation 2 4 2 4 3 8 3" xfId="7742" xr:uid="{00000000-0005-0000-0000-0000F0100000}"/>
    <cellStyle name="Calculation 2 4 2 4 3 9" xfId="7743" xr:uid="{00000000-0005-0000-0000-0000F1100000}"/>
    <cellStyle name="Calculation 2 4 2 4 4" xfId="7744" xr:uid="{00000000-0005-0000-0000-0000F2100000}"/>
    <cellStyle name="Calculation 2 4 2 4 4 10" xfId="7745" xr:uid="{00000000-0005-0000-0000-0000F3100000}"/>
    <cellStyle name="Calculation 2 4 2 4 4 2" xfId="7746" xr:uid="{00000000-0005-0000-0000-0000F4100000}"/>
    <cellStyle name="Calculation 2 4 2 4 4 2 2" xfId="7747" xr:uid="{00000000-0005-0000-0000-0000F5100000}"/>
    <cellStyle name="Calculation 2 4 2 4 4 2 2 2" xfId="7748" xr:uid="{00000000-0005-0000-0000-0000F6100000}"/>
    <cellStyle name="Calculation 2 4 2 4 4 2 2 3" xfId="7749" xr:uid="{00000000-0005-0000-0000-0000F7100000}"/>
    <cellStyle name="Calculation 2 4 2 4 4 2 3" xfId="7750" xr:uid="{00000000-0005-0000-0000-0000F8100000}"/>
    <cellStyle name="Calculation 2 4 2 4 4 2 3 2" xfId="7751" xr:uid="{00000000-0005-0000-0000-0000F9100000}"/>
    <cellStyle name="Calculation 2 4 2 4 4 2 3 3" xfId="7752" xr:uid="{00000000-0005-0000-0000-0000FA100000}"/>
    <cellStyle name="Calculation 2 4 2 4 4 2 4" xfId="7753" xr:uid="{00000000-0005-0000-0000-0000FB100000}"/>
    <cellStyle name="Calculation 2 4 2 4 4 2 4 2" xfId="7754" xr:uid="{00000000-0005-0000-0000-0000FC100000}"/>
    <cellStyle name="Calculation 2 4 2 4 4 2 4 3" xfId="7755" xr:uid="{00000000-0005-0000-0000-0000FD100000}"/>
    <cellStyle name="Calculation 2 4 2 4 4 2 5" xfId="7756" xr:uid="{00000000-0005-0000-0000-0000FE100000}"/>
    <cellStyle name="Calculation 2 4 2 4 4 2 5 2" xfId="7757" xr:uid="{00000000-0005-0000-0000-0000FF100000}"/>
    <cellStyle name="Calculation 2 4 2 4 4 2 5 3" xfId="7758" xr:uid="{00000000-0005-0000-0000-000000110000}"/>
    <cellStyle name="Calculation 2 4 2 4 4 2 6" xfId="7759" xr:uid="{00000000-0005-0000-0000-000001110000}"/>
    <cellStyle name="Calculation 2 4 2 4 4 2 6 2" xfId="7760" xr:uid="{00000000-0005-0000-0000-000002110000}"/>
    <cellStyle name="Calculation 2 4 2 4 4 2 6 3" xfId="7761" xr:uid="{00000000-0005-0000-0000-000003110000}"/>
    <cellStyle name="Calculation 2 4 2 4 4 2 7" xfId="7762" xr:uid="{00000000-0005-0000-0000-000004110000}"/>
    <cellStyle name="Calculation 2 4 2 4 4 2 7 2" xfId="7763" xr:uid="{00000000-0005-0000-0000-000005110000}"/>
    <cellStyle name="Calculation 2 4 2 4 4 2 7 3" xfId="7764" xr:uid="{00000000-0005-0000-0000-000006110000}"/>
    <cellStyle name="Calculation 2 4 2 4 4 2 8" xfId="7765" xr:uid="{00000000-0005-0000-0000-000007110000}"/>
    <cellStyle name="Calculation 2 4 2 4 4 2 9" xfId="7766" xr:uid="{00000000-0005-0000-0000-000008110000}"/>
    <cellStyle name="Calculation 2 4 2 4 4 3" xfId="7767" xr:uid="{00000000-0005-0000-0000-000009110000}"/>
    <cellStyle name="Calculation 2 4 2 4 4 3 2" xfId="7768" xr:uid="{00000000-0005-0000-0000-00000A110000}"/>
    <cellStyle name="Calculation 2 4 2 4 4 3 3" xfId="7769" xr:uid="{00000000-0005-0000-0000-00000B110000}"/>
    <cellStyle name="Calculation 2 4 2 4 4 4" xfId="7770" xr:uid="{00000000-0005-0000-0000-00000C110000}"/>
    <cellStyle name="Calculation 2 4 2 4 4 4 2" xfId="7771" xr:uid="{00000000-0005-0000-0000-00000D110000}"/>
    <cellStyle name="Calculation 2 4 2 4 4 4 3" xfId="7772" xr:uid="{00000000-0005-0000-0000-00000E110000}"/>
    <cellStyle name="Calculation 2 4 2 4 4 5" xfId="7773" xr:uid="{00000000-0005-0000-0000-00000F110000}"/>
    <cellStyle name="Calculation 2 4 2 4 4 5 2" xfId="7774" xr:uid="{00000000-0005-0000-0000-000010110000}"/>
    <cellStyle name="Calculation 2 4 2 4 4 5 3" xfId="7775" xr:uid="{00000000-0005-0000-0000-000011110000}"/>
    <cellStyle name="Calculation 2 4 2 4 4 6" xfId="7776" xr:uid="{00000000-0005-0000-0000-000012110000}"/>
    <cellStyle name="Calculation 2 4 2 4 4 6 2" xfId="7777" xr:uid="{00000000-0005-0000-0000-000013110000}"/>
    <cellStyle name="Calculation 2 4 2 4 4 6 3" xfId="7778" xr:uid="{00000000-0005-0000-0000-000014110000}"/>
    <cellStyle name="Calculation 2 4 2 4 4 7" xfId="7779" xr:uid="{00000000-0005-0000-0000-000015110000}"/>
    <cellStyle name="Calculation 2 4 2 4 4 7 2" xfId="7780" xr:uid="{00000000-0005-0000-0000-000016110000}"/>
    <cellStyle name="Calculation 2 4 2 4 4 7 3" xfId="7781" xr:uid="{00000000-0005-0000-0000-000017110000}"/>
    <cellStyle name="Calculation 2 4 2 4 4 8" xfId="7782" xr:uid="{00000000-0005-0000-0000-000018110000}"/>
    <cellStyle name="Calculation 2 4 2 4 4 8 2" xfId="7783" xr:uid="{00000000-0005-0000-0000-000019110000}"/>
    <cellStyle name="Calculation 2 4 2 4 4 8 3" xfId="7784" xr:uid="{00000000-0005-0000-0000-00001A110000}"/>
    <cellStyle name="Calculation 2 4 2 4 4 9" xfId="7785" xr:uid="{00000000-0005-0000-0000-00001B110000}"/>
    <cellStyle name="Calculation 2 4 2 4 5" xfId="7786" xr:uid="{00000000-0005-0000-0000-00001C110000}"/>
    <cellStyle name="Calculation 2 4 2 4 5 2" xfId="7787" xr:uid="{00000000-0005-0000-0000-00001D110000}"/>
    <cellStyle name="Calculation 2 4 2 4 5 2 2" xfId="7788" xr:uid="{00000000-0005-0000-0000-00001E110000}"/>
    <cellStyle name="Calculation 2 4 2 4 5 2 3" xfId="7789" xr:uid="{00000000-0005-0000-0000-00001F110000}"/>
    <cellStyle name="Calculation 2 4 2 4 5 3" xfId="7790" xr:uid="{00000000-0005-0000-0000-000020110000}"/>
    <cellStyle name="Calculation 2 4 2 4 5 3 2" xfId="7791" xr:uid="{00000000-0005-0000-0000-000021110000}"/>
    <cellStyle name="Calculation 2 4 2 4 5 3 3" xfId="7792" xr:uid="{00000000-0005-0000-0000-000022110000}"/>
    <cellStyle name="Calculation 2 4 2 4 5 4" xfId="7793" xr:uid="{00000000-0005-0000-0000-000023110000}"/>
    <cellStyle name="Calculation 2 4 2 4 5 4 2" xfId="7794" xr:uid="{00000000-0005-0000-0000-000024110000}"/>
    <cellStyle name="Calculation 2 4 2 4 5 4 3" xfId="7795" xr:uid="{00000000-0005-0000-0000-000025110000}"/>
    <cellStyle name="Calculation 2 4 2 4 5 5" xfId="7796" xr:uid="{00000000-0005-0000-0000-000026110000}"/>
    <cellStyle name="Calculation 2 4 2 4 5 5 2" xfId="7797" xr:uid="{00000000-0005-0000-0000-000027110000}"/>
    <cellStyle name="Calculation 2 4 2 4 5 5 3" xfId="7798" xr:uid="{00000000-0005-0000-0000-000028110000}"/>
    <cellStyle name="Calculation 2 4 2 4 5 6" xfId="7799" xr:uid="{00000000-0005-0000-0000-000029110000}"/>
    <cellStyle name="Calculation 2 4 2 4 5 6 2" xfId="7800" xr:uid="{00000000-0005-0000-0000-00002A110000}"/>
    <cellStyle name="Calculation 2 4 2 4 5 6 3" xfId="7801" xr:uid="{00000000-0005-0000-0000-00002B110000}"/>
    <cellStyle name="Calculation 2 4 2 4 5 7" xfId="7802" xr:uid="{00000000-0005-0000-0000-00002C110000}"/>
    <cellStyle name="Calculation 2 4 2 4 5 7 2" xfId="7803" xr:uid="{00000000-0005-0000-0000-00002D110000}"/>
    <cellStyle name="Calculation 2 4 2 4 5 7 3" xfId="7804" xr:uid="{00000000-0005-0000-0000-00002E110000}"/>
    <cellStyle name="Calculation 2 4 2 4 5 8" xfId="7805" xr:uid="{00000000-0005-0000-0000-00002F110000}"/>
    <cellStyle name="Calculation 2 4 2 4 5 9" xfId="7806" xr:uid="{00000000-0005-0000-0000-000030110000}"/>
    <cellStyle name="Calculation 2 4 2 4 6" xfId="7807" xr:uid="{00000000-0005-0000-0000-000031110000}"/>
    <cellStyle name="Calculation 2 4 2 4 6 2" xfId="7808" xr:uid="{00000000-0005-0000-0000-000032110000}"/>
    <cellStyle name="Calculation 2 4 2 4 6 3" xfId="7809" xr:uid="{00000000-0005-0000-0000-000033110000}"/>
    <cellStyle name="Calculation 2 4 2 4 7" xfId="7810" xr:uid="{00000000-0005-0000-0000-000034110000}"/>
    <cellStyle name="Calculation 2 4 2 4 7 2" xfId="7811" xr:uid="{00000000-0005-0000-0000-000035110000}"/>
    <cellStyle name="Calculation 2 4 2 4 7 3" xfId="7812" xr:uid="{00000000-0005-0000-0000-000036110000}"/>
    <cellStyle name="Calculation 2 4 2 4 8" xfId="7813" xr:uid="{00000000-0005-0000-0000-000037110000}"/>
    <cellStyle name="Calculation 2 4 2 4 8 2" xfId="7814" xr:uid="{00000000-0005-0000-0000-000038110000}"/>
    <cellStyle name="Calculation 2 4 2 4 8 3" xfId="7815" xr:uid="{00000000-0005-0000-0000-000039110000}"/>
    <cellStyle name="Calculation 2 4 2 4 9" xfId="7816" xr:uid="{00000000-0005-0000-0000-00003A110000}"/>
    <cellStyle name="Calculation 2 4 2 4 9 2" xfId="7817" xr:uid="{00000000-0005-0000-0000-00003B110000}"/>
    <cellStyle name="Calculation 2 4 2 4 9 3" xfId="7818" xr:uid="{00000000-0005-0000-0000-00003C110000}"/>
    <cellStyle name="Calculation 2 4 2 5" xfId="7819" xr:uid="{00000000-0005-0000-0000-00003D110000}"/>
    <cellStyle name="Calculation 2 4 2 5 10" xfId="43988" xr:uid="{00000000-0005-0000-0000-00003E110000}"/>
    <cellStyle name="Calculation 2 4 2 5 2" xfId="7820" xr:uid="{00000000-0005-0000-0000-00003F110000}"/>
    <cellStyle name="Calculation 2 4 2 5 2 10" xfId="7821" xr:uid="{00000000-0005-0000-0000-000040110000}"/>
    <cellStyle name="Calculation 2 4 2 5 2 2" xfId="7822" xr:uid="{00000000-0005-0000-0000-000041110000}"/>
    <cellStyle name="Calculation 2 4 2 5 2 2 2" xfId="7823" xr:uid="{00000000-0005-0000-0000-000042110000}"/>
    <cellStyle name="Calculation 2 4 2 5 2 2 2 2" xfId="7824" xr:uid="{00000000-0005-0000-0000-000043110000}"/>
    <cellStyle name="Calculation 2 4 2 5 2 2 2 3" xfId="7825" xr:uid="{00000000-0005-0000-0000-000044110000}"/>
    <cellStyle name="Calculation 2 4 2 5 2 2 3" xfId="7826" xr:uid="{00000000-0005-0000-0000-000045110000}"/>
    <cellStyle name="Calculation 2 4 2 5 2 2 3 2" xfId="7827" xr:uid="{00000000-0005-0000-0000-000046110000}"/>
    <cellStyle name="Calculation 2 4 2 5 2 2 3 3" xfId="7828" xr:uid="{00000000-0005-0000-0000-000047110000}"/>
    <cellStyle name="Calculation 2 4 2 5 2 2 4" xfId="7829" xr:uid="{00000000-0005-0000-0000-000048110000}"/>
    <cellStyle name="Calculation 2 4 2 5 2 2 4 2" xfId="7830" xr:uid="{00000000-0005-0000-0000-000049110000}"/>
    <cellStyle name="Calculation 2 4 2 5 2 2 4 3" xfId="7831" xr:uid="{00000000-0005-0000-0000-00004A110000}"/>
    <cellStyle name="Calculation 2 4 2 5 2 2 5" xfId="7832" xr:uid="{00000000-0005-0000-0000-00004B110000}"/>
    <cellStyle name="Calculation 2 4 2 5 2 2 5 2" xfId="7833" xr:uid="{00000000-0005-0000-0000-00004C110000}"/>
    <cellStyle name="Calculation 2 4 2 5 2 2 5 3" xfId="7834" xr:uid="{00000000-0005-0000-0000-00004D110000}"/>
    <cellStyle name="Calculation 2 4 2 5 2 2 6" xfId="7835" xr:uid="{00000000-0005-0000-0000-00004E110000}"/>
    <cellStyle name="Calculation 2 4 2 5 2 2 6 2" xfId="7836" xr:uid="{00000000-0005-0000-0000-00004F110000}"/>
    <cellStyle name="Calculation 2 4 2 5 2 2 6 3" xfId="7837" xr:uid="{00000000-0005-0000-0000-000050110000}"/>
    <cellStyle name="Calculation 2 4 2 5 2 2 7" xfId="7838" xr:uid="{00000000-0005-0000-0000-000051110000}"/>
    <cellStyle name="Calculation 2 4 2 5 2 2 7 2" xfId="7839" xr:uid="{00000000-0005-0000-0000-000052110000}"/>
    <cellStyle name="Calculation 2 4 2 5 2 2 7 3" xfId="7840" xr:uid="{00000000-0005-0000-0000-000053110000}"/>
    <cellStyle name="Calculation 2 4 2 5 2 2 8" xfId="7841" xr:uid="{00000000-0005-0000-0000-000054110000}"/>
    <cellStyle name="Calculation 2 4 2 5 2 2 9" xfId="7842" xr:uid="{00000000-0005-0000-0000-000055110000}"/>
    <cellStyle name="Calculation 2 4 2 5 2 3" xfId="7843" xr:uid="{00000000-0005-0000-0000-000056110000}"/>
    <cellStyle name="Calculation 2 4 2 5 2 3 2" xfId="7844" xr:uid="{00000000-0005-0000-0000-000057110000}"/>
    <cellStyle name="Calculation 2 4 2 5 2 3 3" xfId="7845" xr:uid="{00000000-0005-0000-0000-000058110000}"/>
    <cellStyle name="Calculation 2 4 2 5 2 4" xfId="7846" xr:uid="{00000000-0005-0000-0000-000059110000}"/>
    <cellStyle name="Calculation 2 4 2 5 2 4 2" xfId="7847" xr:uid="{00000000-0005-0000-0000-00005A110000}"/>
    <cellStyle name="Calculation 2 4 2 5 2 4 3" xfId="7848" xr:uid="{00000000-0005-0000-0000-00005B110000}"/>
    <cellStyle name="Calculation 2 4 2 5 2 5" xfId="7849" xr:uid="{00000000-0005-0000-0000-00005C110000}"/>
    <cellStyle name="Calculation 2 4 2 5 2 5 2" xfId="7850" xr:uid="{00000000-0005-0000-0000-00005D110000}"/>
    <cellStyle name="Calculation 2 4 2 5 2 5 3" xfId="7851" xr:uid="{00000000-0005-0000-0000-00005E110000}"/>
    <cellStyle name="Calculation 2 4 2 5 2 6" xfId="7852" xr:uid="{00000000-0005-0000-0000-00005F110000}"/>
    <cellStyle name="Calculation 2 4 2 5 2 6 2" xfId="7853" xr:uid="{00000000-0005-0000-0000-000060110000}"/>
    <cellStyle name="Calculation 2 4 2 5 2 6 3" xfId="7854" xr:uid="{00000000-0005-0000-0000-000061110000}"/>
    <cellStyle name="Calculation 2 4 2 5 2 7" xfId="7855" xr:uid="{00000000-0005-0000-0000-000062110000}"/>
    <cellStyle name="Calculation 2 4 2 5 2 7 2" xfId="7856" xr:uid="{00000000-0005-0000-0000-000063110000}"/>
    <cellStyle name="Calculation 2 4 2 5 2 7 3" xfId="7857" xr:uid="{00000000-0005-0000-0000-000064110000}"/>
    <cellStyle name="Calculation 2 4 2 5 2 8" xfId="7858" xr:uid="{00000000-0005-0000-0000-000065110000}"/>
    <cellStyle name="Calculation 2 4 2 5 2 8 2" xfId="7859" xr:uid="{00000000-0005-0000-0000-000066110000}"/>
    <cellStyle name="Calculation 2 4 2 5 2 8 3" xfId="7860" xr:uid="{00000000-0005-0000-0000-000067110000}"/>
    <cellStyle name="Calculation 2 4 2 5 2 9" xfId="7861" xr:uid="{00000000-0005-0000-0000-000068110000}"/>
    <cellStyle name="Calculation 2 4 2 5 3" xfId="7862" xr:uid="{00000000-0005-0000-0000-000069110000}"/>
    <cellStyle name="Calculation 2 4 2 5 3 10" xfId="7863" xr:uid="{00000000-0005-0000-0000-00006A110000}"/>
    <cellStyle name="Calculation 2 4 2 5 3 2" xfId="7864" xr:uid="{00000000-0005-0000-0000-00006B110000}"/>
    <cellStyle name="Calculation 2 4 2 5 3 2 2" xfId="7865" xr:uid="{00000000-0005-0000-0000-00006C110000}"/>
    <cellStyle name="Calculation 2 4 2 5 3 2 2 2" xfId="7866" xr:uid="{00000000-0005-0000-0000-00006D110000}"/>
    <cellStyle name="Calculation 2 4 2 5 3 2 2 3" xfId="7867" xr:uid="{00000000-0005-0000-0000-00006E110000}"/>
    <cellStyle name="Calculation 2 4 2 5 3 2 3" xfId="7868" xr:uid="{00000000-0005-0000-0000-00006F110000}"/>
    <cellStyle name="Calculation 2 4 2 5 3 2 3 2" xfId="7869" xr:uid="{00000000-0005-0000-0000-000070110000}"/>
    <cellStyle name="Calculation 2 4 2 5 3 2 3 3" xfId="7870" xr:uid="{00000000-0005-0000-0000-000071110000}"/>
    <cellStyle name="Calculation 2 4 2 5 3 2 4" xfId="7871" xr:uid="{00000000-0005-0000-0000-000072110000}"/>
    <cellStyle name="Calculation 2 4 2 5 3 2 4 2" xfId="7872" xr:uid="{00000000-0005-0000-0000-000073110000}"/>
    <cellStyle name="Calculation 2 4 2 5 3 2 4 3" xfId="7873" xr:uid="{00000000-0005-0000-0000-000074110000}"/>
    <cellStyle name="Calculation 2 4 2 5 3 2 5" xfId="7874" xr:uid="{00000000-0005-0000-0000-000075110000}"/>
    <cellStyle name="Calculation 2 4 2 5 3 2 5 2" xfId="7875" xr:uid="{00000000-0005-0000-0000-000076110000}"/>
    <cellStyle name="Calculation 2 4 2 5 3 2 5 3" xfId="7876" xr:uid="{00000000-0005-0000-0000-000077110000}"/>
    <cellStyle name="Calculation 2 4 2 5 3 2 6" xfId="7877" xr:uid="{00000000-0005-0000-0000-000078110000}"/>
    <cellStyle name="Calculation 2 4 2 5 3 2 6 2" xfId="7878" xr:uid="{00000000-0005-0000-0000-000079110000}"/>
    <cellStyle name="Calculation 2 4 2 5 3 2 6 3" xfId="7879" xr:uid="{00000000-0005-0000-0000-00007A110000}"/>
    <cellStyle name="Calculation 2 4 2 5 3 2 7" xfId="7880" xr:uid="{00000000-0005-0000-0000-00007B110000}"/>
    <cellStyle name="Calculation 2 4 2 5 3 2 7 2" xfId="7881" xr:uid="{00000000-0005-0000-0000-00007C110000}"/>
    <cellStyle name="Calculation 2 4 2 5 3 2 7 3" xfId="7882" xr:uid="{00000000-0005-0000-0000-00007D110000}"/>
    <cellStyle name="Calculation 2 4 2 5 3 2 8" xfId="7883" xr:uid="{00000000-0005-0000-0000-00007E110000}"/>
    <cellStyle name="Calculation 2 4 2 5 3 2 9" xfId="7884" xr:uid="{00000000-0005-0000-0000-00007F110000}"/>
    <cellStyle name="Calculation 2 4 2 5 3 3" xfId="7885" xr:uid="{00000000-0005-0000-0000-000080110000}"/>
    <cellStyle name="Calculation 2 4 2 5 3 3 2" xfId="7886" xr:uid="{00000000-0005-0000-0000-000081110000}"/>
    <cellStyle name="Calculation 2 4 2 5 3 3 3" xfId="7887" xr:uid="{00000000-0005-0000-0000-000082110000}"/>
    <cellStyle name="Calculation 2 4 2 5 3 4" xfId="7888" xr:uid="{00000000-0005-0000-0000-000083110000}"/>
    <cellStyle name="Calculation 2 4 2 5 3 4 2" xfId="7889" xr:uid="{00000000-0005-0000-0000-000084110000}"/>
    <cellStyle name="Calculation 2 4 2 5 3 4 3" xfId="7890" xr:uid="{00000000-0005-0000-0000-000085110000}"/>
    <cellStyle name="Calculation 2 4 2 5 3 5" xfId="7891" xr:uid="{00000000-0005-0000-0000-000086110000}"/>
    <cellStyle name="Calculation 2 4 2 5 3 5 2" xfId="7892" xr:uid="{00000000-0005-0000-0000-000087110000}"/>
    <cellStyle name="Calculation 2 4 2 5 3 5 3" xfId="7893" xr:uid="{00000000-0005-0000-0000-000088110000}"/>
    <cellStyle name="Calculation 2 4 2 5 3 6" xfId="7894" xr:uid="{00000000-0005-0000-0000-000089110000}"/>
    <cellStyle name="Calculation 2 4 2 5 3 6 2" xfId="7895" xr:uid="{00000000-0005-0000-0000-00008A110000}"/>
    <cellStyle name="Calculation 2 4 2 5 3 6 3" xfId="7896" xr:uid="{00000000-0005-0000-0000-00008B110000}"/>
    <cellStyle name="Calculation 2 4 2 5 3 7" xfId="7897" xr:uid="{00000000-0005-0000-0000-00008C110000}"/>
    <cellStyle name="Calculation 2 4 2 5 3 7 2" xfId="7898" xr:uid="{00000000-0005-0000-0000-00008D110000}"/>
    <cellStyle name="Calculation 2 4 2 5 3 7 3" xfId="7899" xr:uid="{00000000-0005-0000-0000-00008E110000}"/>
    <cellStyle name="Calculation 2 4 2 5 3 8" xfId="7900" xr:uid="{00000000-0005-0000-0000-00008F110000}"/>
    <cellStyle name="Calculation 2 4 2 5 3 8 2" xfId="7901" xr:uid="{00000000-0005-0000-0000-000090110000}"/>
    <cellStyle name="Calculation 2 4 2 5 3 8 3" xfId="7902" xr:uid="{00000000-0005-0000-0000-000091110000}"/>
    <cellStyle name="Calculation 2 4 2 5 3 9" xfId="7903" xr:uid="{00000000-0005-0000-0000-000092110000}"/>
    <cellStyle name="Calculation 2 4 2 5 4" xfId="7904" xr:uid="{00000000-0005-0000-0000-000093110000}"/>
    <cellStyle name="Calculation 2 4 2 5 4 10" xfId="7905" xr:uid="{00000000-0005-0000-0000-000094110000}"/>
    <cellStyle name="Calculation 2 4 2 5 4 2" xfId="7906" xr:uid="{00000000-0005-0000-0000-000095110000}"/>
    <cellStyle name="Calculation 2 4 2 5 4 2 2" xfId="7907" xr:uid="{00000000-0005-0000-0000-000096110000}"/>
    <cellStyle name="Calculation 2 4 2 5 4 2 2 2" xfId="7908" xr:uid="{00000000-0005-0000-0000-000097110000}"/>
    <cellStyle name="Calculation 2 4 2 5 4 2 2 3" xfId="7909" xr:uid="{00000000-0005-0000-0000-000098110000}"/>
    <cellStyle name="Calculation 2 4 2 5 4 2 3" xfId="7910" xr:uid="{00000000-0005-0000-0000-000099110000}"/>
    <cellStyle name="Calculation 2 4 2 5 4 2 3 2" xfId="7911" xr:uid="{00000000-0005-0000-0000-00009A110000}"/>
    <cellStyle name="Calculation 2 4 2 5 4 2 3 3" xfId="7912" xr:uid="{00000000-0005-0000-0000-00009B110000}"/>
    <cellStyle name="Calculation 2 4 2 5 4 2 4" xfId="7913" xr:uid="{00000000-0005-0000-0000-00009C110000}"/>
    <cellStyle name="Calculation 2 4 2 5 4 2 4 2" xfId="7914" xr:uid="{00000000-0005-0000-0000-00009D110000}"/>
    <cellStyle name="Calculation 2 4 2 5 4 2 4 3" xfId="7915" xr:uid="{00000000-0005-0000-0000-00009E110000}"/>
    <cellStyle name="Calculation 2 4 2 5 4 2 5" xfId="7916" xr:uid="{00000000-0005-0000-0000-00009F110000}"/>
    <cellStyle name="Calculation 2 4 2 5 4 2 5 2" xfId="7917" xr:uid="{00000000-0005-0000-0000-0000A0110000}"/>
    <cellStyle name="Calculation 2 4 2 5 4 2 5 3" xfId="7918" xr:uid="{00000000-0005-0000-0000-0000A1110000}"/>
    <cellStyle name="Calculation 2 4 2 5 4 2 6" xfId="7919" xr:uid="{00000000-0005-0000-0000-0000A2110000}"/>
    <cellStyle name="Calculation 2 4 2 5 4 2 6 2" xfId="7920" xr:uid="{00000000-0005-0000-0000-0000A3110000}"/>
    <cellStyle name="Calculation 2 4 2 5 4 2 6 3" xfId="7921" xr:uid="{00000000-0005-0000-0000-0000A4110000}"/>
    <cellStyle name="Calculation 2 4 2 5 4 2 7" xfId="7922" xr:uid="{00000000-0005-0000-0000-0000A5110000}"/>
    <cellStyle name="Calculation 2 4 2 5 4 2 7 2" xfId="7923" xr:uid="{00000000-0005-0000-0000-0000A6110000}"/>
    <cellStyle name="Calculation 2 4 2 5 4 2 7 3" xfId="7924" xr:uid="{00000000-0005-0000-0000-0000A7110000}"/>
    <cellStyle name="Calculation 2 4 2 5 4 2 8" xfId="7925" xr:uid="{00000000-0005-0000-0000-0000A8110000}"/>
    <cellStyle name="Calculation 2 4 2 5 4 2 9" xfId="7926" xr:uid="{00000000-0005-0000-0000-0000A9110000}"/>
    <cellStyle name="Calculation 2 4 2 5 4 3" xfId="7927" xr:uid="{00000000-0005-0000-0000-0000AA110000}"/>
    <cellStyle name="Calculation 2 4 2 5 4 3 2" xfId="7928" xr:uid="{00000000-0005-0000-0000-0000AB110000}"/>
    <cellStyle name="Calculation 2 4 2 5 4 3 3" xfId="7929" xr:uid="{00000000-0005-0000-0000-0000AC110000}"/>
    <cellStyle name="Calculation 2 4 2 5 4 4" xfId="7930" xr:uid="{00000000-0005-0000-0000-0000AD110000}"/>
    <cellStyle name="Calculation 2 4 2 5 4 4 2" xfId="7931" xr:uid="{00000000-0005-0000-0000-0000AE110000}"/>
    <cellStyle name="Calculation 2 4 2 5 4 4 3" xfId="7932" xr:uid="{00000000-0005-0000-0000-0000AF110000}"/>
    <cellStyle name="Calculation 2 4 2 5 4 5" xfId="7933" xr:uid="{00000000-0005-0000-0000-0000B0110000}"/>
    <cellStyle name="Calculation 2 4 2 5 4 5 2" xfId="7934" xr:uid="{00000000-0005-0000-0000-0000B1110000}"/>
    <cellStyle name="Calculation 2 4 2 5 4 5 3" xfId="7935" xr:uid="{00000000-0005-0000-0000-0000B2110000}"/>
    <cellStyle name="Calculation 2 4 2 5 4 6" xfId="7936" xr:uid="{00000000-0005-0000-0000-0000B3110000}"/>
    <cellStyle name="Calculation 2 4 2 5 4 6 2" xfId="7937" xr:uid="{00000000-0005-0000-0000-0000B4110000}"/>
    <cellStyle name="Calculation 2 4 2 5 4 6 3" xfId="7938" xr:uid="{00000000-0005-0000-0000-0000B5110000}"/>
    <cellStyle name="Calculation 2 4 2 5 4 7" xfId="7939" xr:uid="{00000000-0005-0000-0000-0000B6110000}"/>
    <cellStyle name="Calculation 2 4 2 5 4 7 2" xfId="7940" xr:uid="{00000000-0005-0000-0000-0000B7110000}"/>
    <cellStyle name="Calculation 2 4 2 5 4 7 3" xfId="7941" xr:uid="{00000000-0005-0000-0000-0000B8110000}"/>
    <cellStyle name="Calculation 2 4 2 5 4 8" xfId="7942" xr:uid="{00000000-0005-0000-0000-0000B9110000}"/>
    <cellStyle name="Calculation 2 4 2 5 4 8 2" xfId="7943" xr:uid="{00000000-0005-0000-0000-0000BA110000}"/>
    <cellStyle name="Calculation 2 4 2 5 4 8 3" xfId="7944" xr:uid="{00000000-0005-0000-0000-0000BB110000}"/>
    <cellStyle name="Calculation 2 4 2 5 4 9" xfId="7945" xr:uid="{00000000-0005-0000-0000-0000BC110000}"/>
    <cellStyle name="Calculation 2 4 2 5 5" xfId="7946" xr:uid="{00000000-0005-0000-0000-0000BD110000}"/>
    <cellStyle name="Calculation 2 4 2 5 5 2" xfId="7947" xr:uid="{00000000-0005-0000-0000-0000BE110000}"/>
    <cellStyle name="Calculation 2 4 2 5 5 2 2" xfId="7948" xr:uid="{00000000-0005-0000-0000-0000BF110000}"/>
    <cellStyle name="Calculation 2 4 2 5 5 2 3" xfId="7949" xr:uid="{00000000-0005-0000-0000-0000C0110000}"/>
    <cellStyle name="Calculation 2 4 2 5 5 3" xfId="7950" xr:uid="{00000000-0005-0000-0000-0000C1110000}"/>
    <cellStyle name="Calculation 2 4 2 5 5 3 2" xfId="7951" xr:uid="{00000000-0005-0000-0000-0000C2110000}"/>
    <cellStyle name="Calculation 2 4 2 5 5 3 3" xfId="7952" xr:uid="{00000000-0005-0000-0000-0000C3110000}"/>
    <cellStyle name="Calculation 2 4 2 5 5 4" xfId="7953" xr:uid="{00000000-0005-0000-0000-0000C4110000}"/>
    <cellStyle name="Calculation 2 4 2 5 5 4 2" xfId="7954" xr:uid="{00000000-0005-0000-0000-0000C5110000}"/>
    <cellStyle name="Calculation 2 4 2 5 5 4 3" xfId="7955" xr:uid="{00000000-0005-0000-0000-0000C6110000}"/>
    <cellStyle name="Calculation 2 4 2 5 5 5" xfId="7956" xr:uid="{00000000-0005-0000-0000-0000C7110000}"/>
    <cellStyle name="Calculation 2 4 2 5 5 5 2" xfId="7957" xr:uid="{00000000-0005-0000-0000-0000C8110000}"/>
    <cellStyle name="Calculation 2 4 2 5 5 5 3" xfId="7958" xr:uid="{00000000-0005-0000-0000-0000C9110000}"/>
    <cellStyle name="Calculation 2 4 2 5 5 6" xfId="7959" xr:uid="{00000000-0005-0000-0000-0000CA110000}"/>
    <cellStyle name="Calculation 2 4 2 5 5 6 2" xfId="7960" xr:uid="{00000000-0005-0000-0000-0000CB110000}"/>
    <cellStyle name="Calculation 2 4 2 5 5 6 3" xfId="7961" xr:uid="{00000000-0005-0000-0000-0000CC110000}"/>
    <cellStyle name="Calculation 2 4 2 5 5 7" xfId="7962" xr:uid="{00000000-0005-0000-0000-0000CD110000}"/>
    <cellStyle name="Calculation 2 4 2 5 5 7 2" xfId="7963" xr:uid="{00000000-0005-0000-0000-0000CE110000}"/>
    <cellStyle name="Calculation 2 4 2 5 5 7 3" xfId="7964" xr:uid="{00000000-0005-0000-0000-0000CF110000}"/>
    <cellStyle name="Calculation 2 4 2 5 5 8" xfId="7965" xr:uid="{00000000-0005-0000-0000-0000D0110000}"/>
    <cellStyle name="Calculation 2 4 2 5 5 9" xfId="7966" xr:uid="{00000000-0005-0000-0000-0000D1110000}"/>
    <cellStyle name="Calculation 2 4 2 5 6" xfId="7967" xr:uid="{00000000-0005-0000-0000-0000D2110000}"/>
    <cellStyle name="Calculation 2 4 2 5 6 2" xfId="7968" xr:uid="{00000000-0005-0000-0000-0000D3110000}"/>
    <cellStyle name="Calculation 2 4 2 5 6 3" xfId="7969" xr:uid="{00000000-0005-0000-0000-0000D4110000}"/>
    <cellStyle name="Calculation 2 4 2 5 7" xfId="7970" xr:uid="{00000000-0005-0000-0000-0000D5110000}"/>
    <cellStyle name="Calculation 2 4 2 5 7 2" xfId="7971" xr:uid="{00000000-0005-0000-0000-0000D6110000}"/>
    <cellStyle name="Calculation 2 4 2 5 7 3" xfId="7972" xr:uid="{00000000-0005-0000-0000-0000D7110000}"/>
    <cellStyle name="Calculation 2 4 2 5 8" xfId="7973" xr:uid="{00000000-0005-0000-0000-0000D8110000}"/>
    <cellStyle name="Calculation 2 4 2 5 8 2" xfId="7974" xr:uid="{00000000-0005-0000-0000-0000D9110000}"/>
    <cellStyle name="Calculation 2 4 2 5 8 3" xfId="7975" xr:uid="{00000000-0005-0000-0000-0000DA110000}"/>
    <cellStyle name="Calculation 2 4 2 5 9" xfId="7976" xr:uid="{00000000-0005-0000-0000-0000DB110000}"/>
    <cellStyle name="Calculation 2 4 2 5 9 2" xfId="7977" xr:uid="{00000000-0005-0000-0000-0000DC110000}"/>
    <cellStyle name="Calculation 2 4 2 5 9 3" xfId="7978" xr:uid="{00000000-0005-0000-0000-0000DD110000}"/>
    <cellStyle name="Calculation 2 4 2 6" xfId="7979" xr:uid="{00000000-0005-0000-0000-0000DE110000}"/>
    <cellStyle name="Calculation 2 4 2 6 10" xfId="7980" xr:uid="{00000000-0005-0000-0000-0000DF110000}"/>
    <cellStyle name="Calculation 2 4 2 6 2" xfId="7981" xr:uid="{00000000-0005-0000-0000-0000E0110000}"/>
    <cellStyle name="Calculation 2 4 2 6 2 2" xfId="7982" xr:uid="{00000000-0005-0000-0000-0000E1110000}"/>
    <cellStyle name="Calculation 2 4 2 6 2 2 2" xfId="7983" xr:uid="{00000000-0005-0000-0000-0000E2110000}"/>
    <cellStyle name="Calculation 2 4 2 6 2 2 3" xfId="7984" xr:uid="{00000000-0005-0000-0000-0000E3110000}"/>
    <cellStyle name="Calculation 2 4 2 6 2 3" xfId="7985" xr:uid="{00000000-0005-0000-0000-0000E4110000}"/>
    <cellStyle name="Calculation 2 4 2 6 2 3 2" xfId="7986" xr:uid="{00000000-0005-0000-0000-0000E5110000}"/>
    <cellStyle name="Calculation 2 4 2 6 2 3 3" xfId="7987" xr:uid="{00000000-0005-0000-0000-0000E6110000}"/>
    <cellStyle name="Calculation 2 4 2 6 2 4" xfId="7988" xr:uid="{00000000-0005-0000-0000-0000E7110000}"/>
    <cellStyle name="Calculation 2 4 2 6 2 4 2" xfId="7989" xr:uid="{00000000-0005-0000-0000-0000E8110000}"/>
    <cellStyle name="Calculation 2 4 2 6 2 4 3" xfId="7990" xr:uid="{00000000-0005-0000-0000-0000E9110000}"/>
    <cellStyle name="Calculation 2 4 2 6 2 5" xfId="7991" xr:uid="{00000000-0005-0000-0000-0000EA110000}"/>
    <cellStyle name="Calculation 2 4 2 6 2 5 2" xfId="7992" xr:uid="{00000000-0005-0000-0000-0000EB110000}"/>
    <cellStyle name="Calculation 2 4 2 6 2 5 3" xfId="7993" xr:uid="{00000000-0005-0000-0000-0000EC110000}"/>
    <cellStyle name="Calculation 2 4 2 6 2 6" xfId="7994" xr:uid="{00000000-0005-0000-0000-0000ED110000}"/>
    <cellStyle name="Calculation 2 4 2 6 2 6 2" xfId="7995" xr:uid="{00000000-0005-0000-0000-0000EE110000}"/>
    <cellStyle name="Calculation 2 4 2 6 2 6 3" xfId="7996" xr:uid="{00000000-0005-0000-0000-0000EF110000}"/>
    <cellStyle name="Calculation 2 4 2 6 2 7" xfId="7997" xr:uid="{00000000-0005-0000-0000-0000F0110000}"/>
    <cellStyle name="Calculation 2 4 2 6 2 7 2" xfId="7998" xr:uid="{00000000-0005-0000-0000-0000F1110000}"/>
    <cellStyle name="Calculation 2 4 2 6 2 7 3" xfId="7999" xr:uid="{00000000-0005-0000-0000-0000F2110000}"/>
    <cellStyle name="Calculation 2 4 2 6 2 8" xfId="8000" xr:uid="{00000000-0005-0000-0000-0000F3110000}"/>
    <cellStyle name="Calculation 2 4 2 6 2 9" xfId="8001" xr:uid="{00000000-0005-0000-0000-0000F4110000}"/>
    <cellStyle name="Calculation 2 4 2 6 3" xfId="8002" xr:uid="{00000000-0005-0000-0000-0000F5110000}"/>
    <cellStyle name="Calculation 2 4 2 6 3 2" xfId="8003" xr:uid="{00000000-0005-0000-0000-0000F6110000}"/>
    <cellStyle name="Calculation 2 4 2 6 3 3" xfId="8004" xr:uid="{00000000-0005-0000-0000-0000F7110000}"/>
    <cellStyle name="Calculation 2 4 2 6 4" xfId="8005" xr:uid="{00000000-0005-0000-0000-0000F8110000}"/>
    <cellStyle name="Calculation 2 4 2 6 4 2" xfId="8006" xr:uid="{00000000-0005-0000-0000-0000F9110000}"/>
    <cellStyle name="Calculation 2 4 2 6 4 3" xfId="8007" xr:uid="{00000000-0005-0000-0000-0000FA110000}"/>
    <cellStyle name="Calculation 2 4 2 6 5" xfId="8008" xr:uid="{00000000-0005-0000-0000-0000FB110000}"/>
    <cellStyle name="Calculation 2 4 2 6 5 2" xfId="8009" xr:uid="{00000000-0005-0000-0000-0000FC110000}"/>
    <cellStyle name="Calculation 2 4 2 6 5 3" xfId="8010" xr:uid="{00000000-0005-0000-0000-0000FD110000}"/>
    <cellStyle name="Calculation 2 4 2 6 6" xfId="8011" xr:uid="{00000000-0005-0000-0000-0000FE110000}"/>
    <cellStyle name="Calculation 2 4 2 6 6 2" xfId="8012" xr:uid="{00000000-0005-0000-0000-0000FF110000}"/>
    <cellStyle name="Calculation 2 4 2 6 6 3" xfId="8013" xr:uid="{00000000-0005-0000-0000-000000120000}"/>
    <cellStyle name="Calculation 2 4 2 6 7" xfId="8014" xr:uid="{00000000-0005-0000-0000-000001120000}"/>
    <cellStyle name="Calculation 2 4 2 6 7 2" xfId="8015" xr:uid="{00000000-0005-0000-0000-000002120000}"/>
    <cellStyle name="Calculation 2 4 2 6 7 3" xfId="8016" xr:uid="{00000000-0005-0000-0000-000003120000}"/>
    <cellStyle name="Calculation 2 4 2 6 8" xfId="8017" xr:uid="{00000000-0005-0000-0000-000004120000}"/>
    <cellStyle name="Calculation 2 4 2 6 8 2" xfId="8018" xr:uid="{00000000-0005-0000-0000-000005120000}"/>
    <cellStyle name="Calculation 2 4 2 6 8 3" xfId="8019" xr:uid="{00000000-0005-0000-0000-000006120000}"/>
    <cellStyle name="Calculation 2 4 2 6 9" xfId="8020" xr:uid="{00000000-0005-0000-0000-000007120000}"/>
    <cellStyle name="Calculation 2 4 2 7" xfId="8021" xr:uid="{00000000-0005-0000-0000-000008120000}"/>
    <cellStyle name="Calculation 2 4 2 7 10" xfId="8022" xr:uid="{00000000-0005-0000-0000-000009120000}"/>
    <cellStyle name="Calculation 2 4 2 7 2" xfId="8023" xr:uid="{00000000-0005-0000-0000-00000A120000}"/>
    <cellStyle name="Calculation 2 4 2 7 2 2" xfId="8024" xr:uid="{00000000-0005-0000-0000-00000B120000}"/>
    <cellStyle name="Calculation 2 4 2 7 2 2 2" xfId="8025" xr:uid="{00000000-0005-0000-0000-00000C120000}"/>
    <cellStyle name="Calculation 2 4 2 7 2 2 3" xfId="8026" xr:uid="{00000000-0005-0000-0000-00000D120000}"/>
    <cellStyle name="Calculation 2 4 2 7 2 3" xfId="8027" xr:uid="{00000000-0005-0000-0000-00000E120000}"/>
    <cellStyle name="Calculation 2 4 2 7 2 3 2" xfId="8028" xr:uid="{00000000-0005-0000-0000-00000F120000}"/>
    <cellStyle name="Calculation 2 4 2 7 2 3 3" xfId="8029" xr:uid="{00000000-0005-0000-0000-000010120000}"/>
    <cellStyle name="Calculation 2 4 2 7 2 4" xfId="8030" xr:uid="{00000000-0005-0000-0000-000011120000}"/>
    <cellStyle name="Calculation 2 4 2 7 2 4 2" xfId="8031" xr:uid="{00000000-0005-0000-0000-000012120000}"/>
    <cellStyle name="Calculation 2 4 2 7 2 4 3" xfId="8032" xr:uid="{00000000-0005-0000-0000-000013120000}"/>
    <cellStyle name="Calculation 2 4 2 7 2 5" xfId="8033" xr:uid="{00000000-0005-0000-0000-000014120000}"/>
    <cellStyle name="Calculation 2 4 2 7 2 5 2" xfId="8034" xr:uid="{00000000-0005-0000-0000-000015120000}"/>
    <cellStyle name="Calculation 2 4 2 7 2 5 3" xfId="8035" xr:uid="{00000000-0005-0000-0000-000016120000}"/>
    <cellStyle name="Calculation 2 4 2 7 2 6" xfId="8036" xr:uid="{00000000-0005-0000-0000-000017120000}"/>
    <cellStyle name="Calculation 2 4 2 7 2 6 2" xfId="8037" xr:uid="{00000000-0005-0000-0000-000018120000}"/>
    <cellStyle name="Calculation 2 4 2 7 2 6 3" xfId="8038" xr:uid="{00000000-0005-0000-0000-000019120000}"/>
    <cellStyle name="Calculation 2 4 2 7 2 7" xfId="8039" xr:uid="{00000000-0005-0000-0000-00001A120000}"/>
    <cellStyle name="Calculation 2 4 2 7 2 7 2" xfId="8040" xr:uid="{00000000-0005-0000-0000-00001B120000}"/>
    <cellStyle name="Calculation 2 4 2 7 2 7 3" xfId="8041" xr:uid="{00000000-0005-0000-0000-00001C120000}"/>
    <cellStyle name="Calculation 2 4 2 7 2 8" xfId="8042" xr:uid="{00000000-0005-0000-0000-00001D120000}"/>
    <cellStyle name="Calculation 2 4 2 7 2 9" xfId="8043" xr:uid="{00000000-0005-0000-0000-00001E120000}"/>
    <cellStyle name="Calculation 2 4 2 7 3" xfId="8044" xr:uid="{00000000-0005-0000-0000-00001F120000}"/>
    <cellStyle name="Calculation 2 4 2 7 3 2" xfId="8045" xr:uid="{00000000-0005-0000-0000-000020120000}"/>
    <cellStyle name="Calculation 2 4 2 7 3 3" xfId="8046" xr:uid="{00000000-0005-0000-0000-000021120000}"/>
    <cellStyle name="Calculation 2 4 2 7 4" xfId="8047" xr:uid="{00000000-0005-0000-0000-000022120000}"/>
    <cellStyle name="Calculation 2 4 2 7 4 2" xfId="8048" xr:uid="{00000000-0005-0000-0000-000023120000}"/>
    <cellStyle name="Calculation 2 4 2 7 4 3" xfId="8049" xr:uid="{00000000-0005-0000-0000-000024120000}"/>
    <cellStyle name="Calculation 2 4 2 7 5" xfId="8050" xr:uid="{00000000-0005-0000-0000-000025120000}"/>
    <cellStyle name="Calculation 2 4 2 7 5 2" xfId="8051" xr:uid="{00000000-0005-0000-0000-000026120000}"/>
    <cellStyle name="Calculation 2 4 2 7 5 3" xfId="8052" xr:uid="{00000000-0005-0000-0000-000027120000}"/>
    <cellStyle name="Calculation 2 4 2 7 6" xfId="8053" xr:uid="{00000000-0005-0000-0000-000028120000}"/>
    <cellStyle name="Calculation 2 4 2 7 6 2" xfId="8054" xr:uid="{00000000-0005-0000-0000-000029120000}"/>
    <cellStyle name="Calculation 2 4 2 7 6 3" xfId="8055" xr:uid="{00000000-0005-0000-0000-00002A120000}"/>
    <cellStyle name="Calculation 2 4 2 7 7" xfId="8056" xr:uid="{00000000-0005-0000-0000-00002B120000}"/>
    <cellStyle name="Calculation 2 4 2 7 7 2" xfId="8057" xr:uid="{00000000-0005-0000-0000-00002C120000}"/>
    <cellStyle name="Calculation 2 4 2 7 7 3" xfId="8058" xr:uid="{00000000-0005-0000-0000-00002D120000}"/>
    <cellStyle name="Calculation 2 4 2 7 8" xfId="8059" xr:uid="{00000000-0005-0000-0000-00002E120000}"/>
    <cellStyle name="Calculation 2 4 2 7 8 2" xfId="8060" xr:uid="{00000000-0005-0000-0000-00002F120000}"/>
    <cellStyle name="Calculation 2 4 2 7 8 3" xfId="8061" xr:uid="{00000000-0005-0000-0000-000030120000}"/>
    <cellStyle name="Calculation 2 4 2 7 9" xfId="8062" xr:uid="{00000000-0005-0000-0000-000031120000}"/>
    <cellStyle name="Calculation 2 4 2 8" xfId="8063" xr:uid="{00000000-0005-0000-0000-000032120000}"/>
    <cellStyle name="Calculation 2 4 2 8 10" xfId="8064" xr:uid="{00000000-0005-0000-0000-000033120000}"/>
    <cellStyle name="Calculation 2 4 2 8 2" xfId="8065" xr:uid="{00000000-0005-0000-0000-000034120000}"/>
    <cellStyle name="Calculation 2 4 2 8 2 2" xfId="8066" xr:uid="{00000000-0005-0000-0000-000035120000}"/>
    <cellStyle name="Calculation 2 4 2 8 2 2 2" xfId="8067" xr:uid="{00000000-0005-0000-0000-000036120000}"/>
    <cellStyle name="Calculation 2 4 2 8 2 2 3" xfId="8068" xr:uid="{00000000-0005-0000-0000-000037120000}"/>
    <cellStyle name="Calculation 2 4 2 8 2 3" xfId="8069" xr:uid="{00000000-0005-0000-0000-000038120000}"/>
    <cellStyle name="Calculation 2 4 2 8 2 3 2" xfId="8070" xr:uid="{00000000-0005-0000-0000-000039120000}"/>
    <cellStyle name="Calculation 2 4 2 8 2 3 3" xfId="8071" xr:uid="{00000000-0005-0000-0000-00003A120000}"/>
    <cellStyle name="Calculation 2 4 2 8 2 4" xfId="8072" xr:uid="{00000000-0005-0000-0000-00003B120000}"/>
    <cellStyle name="Calculation 2 4 2 8 2 4 2" xfId="8073" xr:uid="{00000000-0005-0000-0000-00003C120000}"/>
    <cellStyle name="Calculation 2 4 2 8 2 4 3" xfId="8074" xr:uid="{00000000-0005-0000-0000-00003D120000}"/>
    <cellStyle name="Calculation 2 4 2 8 2 5" xfId="8075" xr:uid="{00000000-0005-0000-0000-00003E120000}"/>
    <cellStyle name="Calculation 2 4 2 8 2 5 2" xfId="8076" xr:uid="{00000000-0005-0000-0000-00003F120000}"/>
    <cellStyle name="Calculation 2 4 2 8 2 5 3" xfId="8077" xr:uid="{00000000-0005-0000-0000-000040120000}"/>
    <cellStyle name="Calculation 2 4 2 8 2 6" xfId="8078" xr:uid="{00000000-0005-0000-0000-000041120000}"/>
    <cellStyle name="Calculation 2 4 2 8 2 6 2" xfId="8079" xr:uid="{00000000-0005-0000-0000-000042120000}"/>
    <cellStyle name="Calculation 2 4 2 8 2 6 3" xfId="8080" xr:uid="{00000000-0005-0000-0000-000043120000}"/>
    <cellStyle name="Calculation 2 4 2 8 2 7" xfId="8081" xr:uid="{00000000-0005-0000-0000-000044120000}"/>
    <cellStyle name="Calculation 2 4 2 8 2 7 2" xfId="8082" xr:uid="{00000000-0005-0000-0000-000045120000}"/>
    <cellStyle name="Calculation 2 4 2 8 2 7 3" xfId="8083" xr:uid="{00000000-0005-0000-0000-000046120000}"/>
    <cellStyle name="Calculation 2 4 2 8 2 8" xfId="8084" xr:uid="{00000000-0005-0000-0000-000047120000}"/>
    <cellStyle name="Calculation 2 4 2 8 2 9" xfId="8085" xr:uid="{00000000-0005-0000-0000-000048120000}"/>
    <cellStyle name="Calculation 2 4 2 8 3" xfId="8086" xr:uid="{00000000-0005-0000-0000-000049120000}"/>
    <cellStyle name="Calculation 2 4 2 8 3 2" xfId="8087" xr:uid="{00000000-0005-0000-0000-00004A120000}"/>
    <cellStyle name="Calculation 2 4 2 8 3 3" xfId="8088" xr:uid="{00000000-0005-0000-0000-00004B120000}"/>
    <cellStyle name="Calculation 2 4 2 8 4" xfId="8089" xr:uid="{00000000-0005-0000-0000-00004C120000}"/>
    <cellStyle name="Calculation 2 4 2 8 4 2" xfId="8090" xr:uid="{00000000-0005-0000-0000-00004D120000}"/>
    <cellStyle name="Calculation 2 4 2 8 4 3" xfId="8091" xr:uid="{00000000-0005-0000-0000-00004E120000}"/>
    <cellStyle name="Calculation 2 4 2 8 5" xfId="8092" xr:uid="{00000000-0005-0000-0000-00004F120000}"/>
    <cellStyle name="Calculation 2 4 2 8 5 2" xfId="8093" xr:uid="{00000000-0005-0000-0000-000050120000}"/>
    <cellStyle name="Calculation 2 4 2 8 5 3" xfId="8094" xr:uid="{00000000-0005-0000-0000-000051120000}"/>
    <cellStyle name="Calculation 2 4 2 8 6" xfId="8095" xr:uid="{00000000-0005-0000-0000-000052120000}"/>
    <cellStyle name="Calculation 2 4 2 8 6 2" xfId="8096" xr:uid="{00000000-0005-0000-0000-000053120000}"/>
    <cellStyle name="Calculation 2 4 2 8 6 3" xfId="8097" xr:uid="{00000000-0005-0000-0000-000054120000}"/>
    <cellStyle name="Calculation 2 4 2 8 7" xfId="8098" xr:uid="{00000000-0005-0000-0000-000055120000}"/>
    <cellStyle name="Calculation 2 4 2 8 7 2" xfId="8099" xr:uid="{00000000-0005-0000-0000-000056120000}"/>
    <cellStyle name="Calculation 2 4 2 8 7 3" xfId="8100" xr:uid="{00000000-0005-0000-0000-000057120000}"/>
    <cellStyle name="Calculation 2 4 2 8 8" xfId="8101" xr:uid="{00000000-0005-0000-0000-000058120000}"/>
    <cellStyle name="Calculation 2 4 2 8 8 2" xfId="8102" xr:uid="{00000000-0005-0000-0000-000059120000}"/>
    <cellStyle name="Calculation 2 4 2 8 8 3" xfId="8103" xr:uid="{00000000-0005-0000-0000-00005A120000}"/>
    <cellStyle name="Calculation 2 4 2 8 9" xfId="8104" xr:uid="{00000000-0005-0000-0000-00005B120000}"/>
    <cellStyle name="Calculation 2 4 2 9" xfId="8105" xr:uid="{00000000-0005-0000-0000-00005C120000}"/>
    <cellStyle name="Calculation 2 4 2 9 2" xfId="8106" xr:uid="{00000000-0005-0000-0000-00005D120000}"/>
    <cellStyle name="Calculation 2 4 2 9 2 2" xfId="8107" xr:uid="{00000000-0005-0000-0000-00005E120000}"/>
    <cellStyle name="Calculation 2 4 2 9 2 3" xfId="8108" xr:uid="{00000000-0005-0000-0000-00005F120000}"/>
    <cellStyle name="Calculation 2 4 2 9 3" xfId="8109" xr:uid="{00000000-0005-0000-0000-000060120000}"/>
    <cellStyle name="Calculation 2 4 2 9 3 2" xfId="8110" xr:uid="{00000000-0005-0000-0000-000061120000}"/>
    <cellStyle name="Calculation 2 4 2 9 3 3" xfId="8111" xr:uid="{00000000-0005-0000-0000-000062120000}"/>
    <cellStyle name="Calculation 2 4 2 9 4" xfId="8112" xr:uid="{00000000-0005-0000-0000-000063120000}"/>
    <cellStyle name="Calculation 2 4 2 9 4 2" xfId="8113" xr:uid="{00000000-0005-0000-0000-000064120000}"/>
    <cellStyle name="Calculation 2 4 2 9 4 3" xfId="8114" xr:uid="{00000000-0005-0000-0000-000065120000}"/>
    <cellStyle name="Calculation 2 4 2 9 5" xfId="8115" xr:uid="{00000000-0005-0000-0000-000066120000}"/>
    <cellStyle name="Calculation 2 4 2 9 5 2" xfId="8116" xr:uid="{00000000-0005-0000-0000-000067120000}"/>
    <cellStyle name="Calculation 2 4 2 9 5 3" xfId="8117" xr:uid="{00000000-0005-0000-0000-000068120000}"/>
    <cellStyle name="Calculation 2 4 2 9 6" xfId="8118" xr:uid="{00000000-0005-0000-0000-000069120000}"/>
    <cellStyle name="Calculation 2 4 2 9 6 2" xfId="8119" xr:uid="{00000000-0005-0000-0000-00006A120000}"/>
    <cellStyle name="Calculation 2 4 2 9 6 3" xfId="8120" xr:uid="{00000000-0005-0000-0000-00006B120000}"/>
    <cellStyle name="Calculation 2 4 2 9 7" xfId="8121" xr:uid="{00000000-0005-0000-0000-00006C120000}"/>
    <cellStyle name="Calculation 2 4 2 9 7 2" xfId="8122" xr:uid="{00000000-0005-0000-0000-00006D120000}"/>
    <cellStyle name="Calculation 2 4 2 9 7 3" xfId="8123" xr:uid="{00000000-0005-0000-0000-00006E120000}"/>
    <cellStyle name="Calculation 2 4 2 9 8" xfId="8124" xr:uid="{00000000-0005-0000-0000-00006F120000}"/>
    <cellStyle name="Calculation 2 4 2 9 9" xfId="8125" xr:uid="{00000000-0005-0000-0000-000070120000}"/>
    <cellStyle name="Calculation 2 4 3" xfId="8126" xr:uid="{00000000-0005-0000-0000-000071120000}"/>
    <cellStyle name="Calculation 2 4 3 10" xfId="8127" xr:uid="{00000000-0005-0000-0000-000072120000}"/>
    <cellStyle name="Calculation 2 4 3 10 2" xfId="8128" xr:uid="{00000000-0005-0000-0000-000073120000}"/>
    <cellStyle name="Calculation 2 4 3 10 3" xfId="8129" xr:uid="{00000000-0005-0000-0000-000074120000}"/>
    <cellStyle name="Calculation 2 4 3 11" xfId="8130" xr:uid="{00000000-0005-0000-0000-000075120000}"/>
    <cellStyle name="Calculation 2 4 3 11 2" xfId="8131" xr:uid="{00000000-0005-0000-0000-000076120000}"/>
    <cellStyle name="Calculation 2 4 3 11 3" xfId="8132" xr:uid="{00000000-0005-0000-0000-000077120000}"/>
    <cellStyle name="Calculation 2 4 3 12" xfId="43989" xr:uid="{00000000-0005-0000-0000-000078120000}"/>
    <cellStyle name="Calculation 2 4 3 2" xfId="8133" xr:uid="{00000000-0005-0000-0000-000079120000}"/>
    <cellStyle name="Calculation 2 4 3 2 10" xfId="8134" xr:uid="{00000000-0005-0000-0000-00007A120000}"/>
    <cellStyle name="Calculation 2 4 3 2 2" xfId="8135" xr:uid="{00000000-0005-0000-0000-00007B120000}"/>
    <cellStyle name="Calculation 2 4 3 2 2 2" xfId="8136" xr:uid="{00000000-0005-0000-0000-00007C120000}"/>
    <cellStyle name="Calculation 2 4 3 2 2 2 2" xfId="8137" xr:uid="{00000000-0005-0000-0000-00007D120000}"/>
    <cellStyle name="Calculation 2 4 3 2 2 2 3" xfId="8138" xr:uid="{00000000-0005-0000-0000-00007E120000}"/>
    <cellStyle name="Calculation 2 4 3 2 2 3" xfId="8139" xr:uid="{00000000-0005-0000-0000-00007F120000}"/>
    <cellStyle name="Calculation 2 4 3 2 2 3 2" xfId="8140" xr:uid="{00000000-0005-0000-0000-000080120000}"/>
    <cellStyle name="Calculation 2 4 3 2 2 3 3" xfId="8141" xr:uid="{00000000-0005-0000-0000-000081120000}"/>
    <cellStyle name="Calculation 2 4 3 2 2 4" xfId="8142" xr:uid="{00000000-0005-0000-0000-000082120000}"/>
    <cellStyle name="Calculation 2 4 3 2 2 4 2" xfId="8143" xr:uid="{00000000-0005-0000-0000-000083120000}"/>
    <cellStyle name="Calculation 2 4 3 2 2 4 3" xfId="8144" xr:uid="{00000000-0005-0000-0000-000084120000}"/>
    <cellStyle name="Calculation 2 4 3 2 2 5" xfId="8145" xr:uid="{00000000-0005-0000-0000-000085120000}"/>
    <cellStyle name="Calculation 2 4 3 2 2 5 2" xfId="8146" xr:uid="{00000000-0005-0000-0000-000086120000}"/>
    <cellStyle name="Calculation 2 4 3 2 2 5 3" xfId="8147" xr:uid="{00000000-0005-0000-0000-000087120000}"/>
    <cellStyle name="Calculation 2 4 3 2 2 6" xfId="8148" xr:uid="{00000000-0005-0000-0000-000088120000}"/>
    <cellStyle name="Calculation 2 4 3 2 2 6 2" xfId="8149" xr:uid="{00000000-0005-0000-0000-000089120000}"/>
    <cellStyle name="Calculation 2 4 3 2 2 6 3" xfId="8150" xr:uid="{00000000-0005-0000-0000-00008A120000}"/>
    <cellStyle name="Calculation 2 4 3 2 2 7" xfId="8151" xr:uid="{00000000-0005-0000-0000-00008B120000}"/>
    <cellStyle name="Calculation 2 4 3 2 2 7 2" xfId="8152" xr:uid="{00000000-0005-0000-0000-00008C120000}"/>
    <cellStyle name="Calculation 2 4 3 2 2 7 3" xfId="8153" xr:uid="{00000000-0005-0000-0000-00008D120000}"/>
    <cellStyle name="Calculation 2 4 3 2 2 8" xfId="8154" xr:uid="{00000000-0005-0000-0000-00008E120000}"/>
    <cellStyle name="Calculation 2 4 3 2 2 9" xfId="8155" xr:uid="{00000000-0005-0000-0000-00008F120000}"/>
    <cellStyle name="Calculation 2 4 3 2 3" xfId="8156" xr:uid="{00000000-0005-0000-0000-000090120000}"/>
    <cellStyle name="Calculation 2 4 3 2 3 2" xfId="8157" xr:uid="{00000000-0005-0000-0000-000091120000}"/>
    <cellStyle name="Calculation 2 4 3 2 3 3" xfId="8158" xr:uid="{00000000-0005-0000-0000-000092120000}"/>
    <cellStyle name="Calculation 2 4 3 2 4" xfId="8159" xr:uid="{00000000-0005-0000-0000-000093120000}"/>
    <cellStyle name="Calculation 2 4 3 2 4 2" xfId="8160" xr:uid="{00000000-0005-0000-0000-000094120000}"/>
    <cellStyle name="Calculation 2 4 3 2 4 3" xfId="8161" xr:uid="{00000000-0005-0000-0000-000095120000}"/>
    <cellStyle name="Calculation 2 4 3 2 5" xfId="8162" xr:uid="{00000000-0005-0000-0000-000096120000}"/>
    <cellStyle name="Calculation 2 4 3 2 5 2" xfId="8163" xr:uid="{00000000-0005-0000-0000-000097120000}"/>
    <cellStyle name="Calculation 2 4 3 2 5 3" xfId="8164" xr:uid="{00000000-0005-0000-0000-000098120000}"/>
    <cellStyle name="Calculation 2 4 3 2 6" xfId="8165" xr:uid="{00000000-0005-0000-0000-000099120000}"/>
    <cellStyle name="Calculation 2 4 3 2 6 2" xfId="8166" xr:uid="{00000000-0005-0000-0000-00009A120000}"/>
    <cellStyle name="Calculation 2 4 3 2 6 3" xfId="8167" xr:uid="{00000000-0005-0000-0000-00009B120000}"/>
    <cellStyle name="Calculation 2 4 3 2 7" xfId="8168" xr:uid="{00000000-0005-0000-0000-00009C120000}"/>
    <cellStyle name="Calculation 2 4 3 2 7 2" xfId="8169" xr:uid="{00000000-0005-0000-0000-00009D120000}"/>
    <cellStyle name="Calculation 2 4 3 2 7 3" xfId="8170" xr:uid="{00000000-0005-0000-0000-00009E120000}"/>
    <cellStyle name="Calculation 2 4 3 2 8" xfId="8171" xr:uid="{00000000-0005-0000-0000-00009F120000}"/>
    <cellStyle name="Calculation 2 4 3 2 8 2" xfId="8172" xr:uid="{00000000-0005-0000-0000-0000A0120000}"/>
    <cellStyle name="Calculation 2 4 3 2 8 3" xfId="8173" xr:uid="{00000000-0005-0000-0000-0000A1120000}"/>
    <cellStyle name="Calculation 2 4 3 2 9" xfId="8174" xr:uid="{00000000-0005-0000-0000-0000A2120000}"/>
    <cellStyle name="Calculation 2 4 3 3" xfId="8175" xr:uid="{00000000-0005-0000-0000-0000A3120000}"/>
    <cellStyle name="Calculation 2 4 3 3 10" xfId="8176" xr:uid="{00000000-0005-0000-0000-0000A4120000}"/>
    <cellStyle name="Calculation 2 4 3 3 2" xfId="8177" xr:uid="{00000000-0005-0000-0000-0000A5120000}"/>
    <cellStyle name="Calculation 2 4 3 3 2 2" xfId="8178" xr:uid="{00000000-0005-0000-0000-0000A6120000}"/>
    <cellStyle name="Calculation 2 4 3 3 2 2 2" xfId="8179" xr:uid="{00000000-0005-0000-0000-0000A7120000}"/>
    <cellStyle name="Calculation 2 4 3 3 2 2 3" xfId="8180" xr:uid="{00000000-0005-0000-0000-0000A8120000}"/>
    <cellStyle name="Calculation 2 4 3 3 2 3" xfId="8181" xr:uid="{00000000-0005-0000-0000-0000A9120000}"/>
    <cellStyle name="Calculation 2 4 3 3 2 3 2" xfId="8182" xr:uid="{00000000-0005-0000-0000-0000AA120000}"/>
    <cellStyle name="Calculation 2 4 3 3 2 3 3" xfId="8183" xr:uid="{00000000-0005-0000-0000-0000AB120000}"/>
    <cellStyle name="Calculation 2 4 3 3 2 4" xfId="8184" xr:uid="{00000000-0005-0000-0000-0000AC120000}"/>
    <cellStyle name="Calculation 2 4 3 3 2 4 2" xfId="8185" xr:uid="{00000000-0005-0000-0000-0000AD120000}"/>
    <cellStyle name="Calculation 2 4 3 3 2 4 3" xfId="8186" xr:uid="{00000000-0005-0000-0000-0000AE120000}"/>
    <cellStyle name="Calculation 2 4 3 3 2 5" xfId="8187" xr:uid="{00000000-0005-0000-0000-0000AF120000}"/>
    <cellStyle name="Calculation 2 4 3 3 2 5 2" xfId="8188" xr:uid="{00000000-0005-0000-0000-0000B0120000}"/>
    <cellStyle name="Calculation 2 4 3 3 2 5 3" xfId="8189" xr:uid="{00000000-0005-0000-0000-0000B1120000}"/>
    <cellStyle name="Calculation 2 4 3 3 2 6" xfId="8190" xr:uid="{00000000-0005-0000-0000-0000B2120000}"/>
    <cellStyle name="Calculation 2 4 3 3 2 6 2" xfId="8191" xr:uid="{00000000-0005-0000-0000-0000B3120000}"/>
    <cellStyle name="Calculation 2 4 3 3 2 6 3" xfId="8192" xr:uid="{00000000-0005-0000-0000-0000B4120000}"/>
    <cellStyle name="Calculation 2 4 3 3 2 7" xfId="8193" xr:uid="{00000000-0005-0000-0000-0000B5120000}"/>
    <cellStyle name="Calculation 2 4 3 3 2 7 2" xfId="8194" xr:uid="{00000000-0005-0000-0000-0000B6120000}"/>
    <cellStyle name="Calculation 2 4 3 3 2 7 3" xfId="8195" xr:uid="{00000000-0005-0000-0000-0000B7120000}"/>
    <cellStyle name="Calculation 2 4 3 3 2 8" xfId="8196" xr:uid="{00000000-0005-0000-0000-0000B8120000}"/>
    <cellStyle name="Calculation 2 4 3 3 2 9" xfId="8197" xr:uid="{00000000-0005-0000-0000-0000B9120000}"/>
    <cellStyle name="Calculation 2 4 3 3 3" xfId="8198" xr:uid="{00000000-0005-0000-0000-0000BA120000}"/>
    <cellStyle name="Calculation 2 4 3 3 3 2" xfId="8199" xr:uid="{00000000-0005-0000-0000-0000BB120000}"/>
    <cellStyle name="Calculation 2 4 3 3 3 3" xfId="8200" xr:uid="{00000000-0005-0000-0000-0000BC120000}"/>
    <cellStyle name="Calculation 2 4 3 3 4" xfId="8201" xr:uid="{00000000-0005-0000-0000-0000BD120000}"/>
    <cellStyle name="Calculation 2 4 3 3 4 2" xfId="8202" xr:uid="{00000000-0005-0000-0000-0000BE120000}"/>
    <cellStyle name="Calculation 2 4 3 3 4 3" xfId="8203" xr:uid="{00000000-0005-0000-0000-0000BF120000}"/>
    <cellStyle name="Calculation 2 4 3 3 5" xfId="8204" xr:uid="{00000000-0005-0000-0000-0000C0120000}"/>
    <cellStyle name="Calculation 2 4 3 3 5 2" xfId="8205" xr:uid="{00000000-0005-0000-0000-0000C1120000}"/>
    <cellStyle name="Calculation 2 4 3 3 5 3" xfId="8206" xr:uid="{00000000-0005-0000-0000-0000C2120000}"/>
    <cellStyle name="Calculation 2 4 3 3 6" xfId="8207" xr:uid="{00000000-0005-0000-0000-0000C3120000}"/>
    <cellStyle name="Calculation 2 4 3 3 6 2" xfId="8208" xr:uid="{00000000-0005-0000-0000-0000C4120000}"/>
    <cellStyle name="Calculation 2 4 3 3 6 3" xfId="8209" xr:uid="{00000000-0005-0000-0000-0000C5120000}"/>
    <cellStyle name="Calculation 2 4 3 3 7" xfId="8210" xr:uid="{00000000-0005-0000-0000-0000C6120000}"/>
    <cellStyle name="Calculation 2 4 3 3 7 2" xfId="8211" xr:uid="{00000000-0005-0000-0000-0000C7120000}"/>
    <cellStyle name="Calculation 2 4 3 3 7 3" xfId="8212" xr:uid="{00000000-0005-0000-0000-0000C8120000}"/>
    <cellStyle name="Calculation 2 4 3 3 8" xfId="8213" xr:uid="{00000000-0005-0000-0000-0000C9120000}"/>
    <cellStyle name="Calculation 2 4 3 3 8 2" xfId="8214" xr:uid="{00000000-0005-0000-0000-0000CA120000}"/>
    <cellStyle name="Calculation 2 4 3 3 8 3" xfId="8215" xr:uid="{00000000-0005-0000-0000-0000CB120000}"/>
    <cellStyle name="Calculation 2 4 3 3 9" xfId="8216" xr:uid="{00000000-0005-0000-0000-0000CC120000}"/>
    <cellStyle name="Calculation 2 4 3 4" xfId="8217" xr:uid="{00000000-0005-0000-0000-0000CD120000}"/>
    <cellStyle name="Calculation 2 4 3 4 10" xfId="8218" xr:uid="{00000000-0005-0000-0000-0000CE120000}"/>
    <cellStyle name="Calculation 2 4 3 4 2" xfId="8219" xr:uid="{00000000-0005-0000-0000-0000CF120000}"/>
    <cellStyle name="Calculation 2 4 3 4 2 2" xfId="8220" xr:uid="{00000000-0005-0000-0000-0000D0120000}"/>
    <cellStyle name="Calculation 2 4 3 4 2 2 2" xfId="8221" xr:uid="{00000000-0005-0000-0000-0000D1120000}"/>
    <cellStyle name="Calculation 2 4 3 4 2 2 3" xfId="8222" xr:uid="{00000000-0005-0000-0000-0000D2120000}"/>
    <cellStyle name="Calculation 2 4 3 4 2 3" xfId="8223" xr:uid="{00000000-0005-0000-0000-0000D3120000}"/>
    <cellStyle name="Calculation 2 4 3 4 2 3 2" xfId="8224" xr:uid="{00000000-0005-0000-0000-0000D4120000}"/>
    <cellStyle name="Calculation 2 4 3 4 2 3 3" xfId="8225" xr:uid="{00000000-0005-0000-0000-0000D5120000}"/>
    <cellStyle name="Calculation 2 4 3 4 2 4" xfId="8226" xr:uid="{00000000-0005-0000-0000-0000D6120000}"/>
    <cellStyle name="Calculation 2 4 3 4 2 4 2" xfId="8227" xr:uid="{00000000-0005-0000-0000-0000D7120000}"/>
    <cellStyle name="Calculation 2 4 3 4 2 4 3" xfId="8228" xr:uid="{00000000-0005-0000-0000-0000D8120000}"/>
    <cellStyle name="Calculation 2 4 3 4 2 5" xfId="8229" xr:uid="{00000000-0005-0000-0000-0000D9120000}"/>
    <cellStyle name="Calculation 2 4 3 4 2 5 2" xfId="8230" xr:uid="{00000000-0005-0000-0000-0000DA120000}"/>
    <cellStyle name="Calculation 2 4 3 4 2 5 3" xfId="8231" xr:uid="{00000000-0005-0000-0000-0000DB120000}"/>
    <cellStyle name="Calculation 2 4 3 4 2 6" xfId="8232" xr:uid="{00000000-0005-0000-0000-0000DC120000}"/>
    <cellStyle name="Calculation 2 4 3 4 2 6 2" xfId="8233" xr:uid="{00000000-0005-0000-0000-0000DD120000}"/>
    <cellStyle name="Calculation 2 4 3 4 2 6 3" xfId="8234" xr:uid="{00000000-0005-0000-0000-0000DE120000}"/>
    <cellStyle name="Calculation 2 4 3 4 2 7" xfId="8235" xr:uid="{00000000-0005-0000-0000-0000DF120000}"/>
    <cellStyle name="Calculation 2 4 3 4 2 7 2" xfId="8236" xr:uid="{00000000-0005-0000-0000-0000E0120000}"/>
    <cellStyle name="Calculation 2 4 3 4 2 7 3" xfId="8237" xr:uid="{00000000-0005-0000-0000-0000E1120000}"/>
    <cellStyle name="Calculation 2 4 3 4 2 8" xfId="8238" xr:uid="{00000000-0005-0000-0000-0000E2120000}"/>
    <cellStyle name="Calculation 2 4 3 4 2 9" xfId="8239" xr:uid="{00000000-0005-0000-0000-0000E3120000}"/>
    <cellStyle name="Calculation 2 4 3 4 3" xfId="8240" xr:uid="{00000000-0005-0000-0000-0000E4120000}"/>
    <cellStyle name="Calculation 2 4 3 4 3 2" xfId="8241" xr:uid="{00000000-0005-0000-0000-0000E5120000}"/>
    <cellStyle name="Calculation 2 4 3 4 3 3" xfId="8242" xr:uid="{00000000-0005-0000-0000-0000E6120000}"/>
    <cellStyle name="Calculation 2 4 3 4 4" xfId="8243" xr:uid="{00000000-0005-0000-0000-0000E7120000}"/>
    <cellStyle name="Calculation 2 4 3 4 4 2" xfId="8244" xr:uid="{00000000-0005-0000-0000-0000E8120000}"/>
    <cellStyle name="Calculation 2 4 3 4 4 3" xfId="8245" xr:uid="{00000000-0005-0000-0000-0000E9120000}"/>
    <cellStyle name="Calculation 2 4 3 4 5" xfId="8246" xr:uid="{00000000-0005-0000-0000-0000EA120000}"/>
    <cellStyle name="Calculation 2 4 3 4 5 2" xfId="8247" xr:uid="{00000000-0005-0000-0000-0000EB120000}"/>
    <cellStyle name="Calculation 2 4 3 4 5 3" xfId="8248" xr:uid="{00000000-0005-0000-0000-0000EC120000}"/>
    <cellStyle name="Calculation 2 4 3 4 6" xfId="8249" xr:uid="{00000000-0005-0000-0000-0000ED120000}"/>
    <cellStyle name="Calculation 2 4 3 4 6 2" xfId="8250" xr:uid="{00000000-0005-0000-0000-0000EE120000}"/>
    <cellStyle name="Calculation 2 4 3 4 6 3" xfId="8251" xr:uid="{00000000-0005-0000-0000-0000EF120000}"/>
    <cellStyle name="Calculation 2 4 3 4 7" xfId="8252" xr:uid="{00000000-0005-0000-0000-0000F0120000}"/>
    <cellStyle name="Calculation 2 4 3 4 7 2" xfId="8253" xr:uid="{00000000-0005-0000-0000-0000F1120000}"/>
    <cellStyle name="Calculation 2 4 3 4 7 3" xfId="8254" xr:uid="{00000000-0005-0000-0000-0000F2120000}"/>
    <cellStyle name="Calculation 2 4 3 4 8" xfId="8255" xr:uid="{00000000-0005-0000-0000-0000F3120000}"/>
    <cellStyle name="Calculation 2 4 3 4 8 2" xfId="8256" xr:uid="{00000000-0005-0000-0000-0000F4120000}"/>
    <cellStyle name="Calculation 2 4 3 4 8 3" xfId="8257" xr:uid="{00000000-0005-0000-0000-0000F5120000}"/>
    <cellStyle name="Calculation 2 4 3 4 9" xfId="8258" xr:uid="{00000000-0005-0000-0000-0000F6120000}"/>
    <cellStyle name="Calculation 2 4 3 5" xfId="8259" xr:uid="{00000000-0005-0000-0000-0000F7120000}"/>
    <cellStyle name="Calculation 2 4 3 5 2" xfId="8260" xr:uid="{00000000-0005-0000-0000-0000F8120000}"/>
    <cellStyle name="Calculation 2 4 3 5 2 2" xfId="8261" xr:uid="{00000000-0005-0000-0000-0000F9120000}"/>
    <cellStyle name="Calculation 2 4 3 5 2 3" xfId="8262" xr:uid="{00000000-0005-0000-0000-0000FA120000}"/>
    <cellStyle name="Calculation 2 4 3 5 3" xfId="8263" xr:uid="{00000000-0005-0000-0000-0000FB120000}"/>
    <cellStyle name="Calculation 2 4 3 5 3 2" xfId="8264" xr:uid="{00000000-0005-0000-0000-0000FC120000}"/>
    <cellStyle name="Calculation 2 4 3 5 3 3" xfId="8265" xr:uid="{00000000-0005-0000-0000-0000FD120000}"/>
    <cellStyle name="Calculation 2 4 3 5 4" xfId="8266" xr:uid="{00000000-0005-0000-0000-0000FE120000}"/>
    <cellStyle name="Calculation 2 4 3 5 4 2" xfId="8267" xr:uid="{00000000-0005-0000-0000-0000FF120000}"/>
    <cellStyle name="Calculation 2 4 3 5 4 3" xfId="8268" xr:uid="{00000000-0005-0000-0000-000000130000}"/>
    <cellStyle name="Calculation 2 4 3 5 5" xfId="8269" xr:uid="{00000000-0005-0000-0000-000001130000}"/>
    <cellStyle name="Calculation 2 4 3 5 5 2" xfId="8270" xr:uid="{00000000-0005-0000-0000-000002130000}"/>
    <cellStyle name="Calculation 2 4 3 5 5 3" xfId="8271" xr:uid="{00000000-0005-0000-0000-000003130000}"/>
    <cellStyle name="Calculation 2 4 3 5 6" xfId="8272" xr:uid="{00000000-0005-0000-0000-000004130000}"/>
    <cellStyle name="Calculation 2 4 3 5 6 2" xfId="8273" xr:uid="{00000000-0005-0000-0000-000005130000}"/>
    <cellStyle name="Calculation 2 4 3 5 6 3" xfId="8274" xr:uid="{00000000-0005-0000-0000-000006130000}"/>
    <cellStyle name="Calculation 2 4 3 5 7" xfId="8275" xr:uid="{00000000-0005-0000-0000-000007130000}"/>
    <cellStyle name="Calculation 2 4 3 5 7 2" xfId="8276" xr:uid="{00000000-0005-0000-0000-000008130000}"/>
    <cellStyle name="Calculation 2 4 3 5 7 3" xfId="8277" xr:uid="{00000000-0005-0000-0000-000009130000}"/>
    <cellStyle name="Calculation 2 4 3 5 8" xfId="8278" xr:uid="{00000000-0005-0000-0000-00000A130000}"/>
    <cellStyle name="Calculation 2 4 3 5 9" xfId="8279" xr:uid="{00000000-0005-0000-0000-00000B130000}"/>
    <cellStyle name="Calculation 2 4 3 6" xfId="8280" xr:uid="{00000000-0005-0000-0000-00000C130000}"/>
    <cellStyle name="Calculation 2 4 3 6 2" xfId="8281" xr:uid="{00000000-0005-0000-0000-00000D130000}"/>
    <cellStyle name="Calculation 2 4 3 6 3" xfId="8282" xr:uid="{00000000-0005-0000-0000-00000E130000}"/>
    <cellStyle name="Calculation 2 4 3 7" xfId="8283" xr:uid="{00000000-0005-0000-0000-00000F130000}"/>
    <cellStyle name="Calculation 2 4 3 7 2" xfId="8284" xr:uid="{00000000-0005-0000-0000-000010130000}"/>
    <cellStyle name="Calculation 2 4 3 7 3" xfId="8285" xr:uid="{00000000-0005-0000-0000-000011130000}"/>
    <cellStyle name="Calculation 2 4 3 8" xfId="8286" xr:uid="{00000000-0005-0000-0000-000012130000}"/>
    <cellStyle name="Calculation 2 4 3 8 2" xfId="8287" xr:uid="{00000000-0005-0000-0000-000013130000}"/>
    <cellStyle name="Calculation 2 4 3 8 3" xfId="8288" xr:uid="{00000000-0005-0000-0000-000014130000}"/>
    <cellStyle name="Calculation 2 4 3 9" xfId="8289" xr:uid="{00000000-0005-0000-0000-000015130000}"/>
    <cellStyle name="Calculation 2 4 3 9 2" xfId="8290" xr:uid="{00000000-0005-0000-0000-000016130000}"/>
    <cellStyle name="Calculation 2 4 3 9 3" xfId="8291" xr:uid="{00000000-0005-0000-0000-000017130000}"/>
    <cellStyle name="Calculation 2 4 4" xfId="8292" xr:uid="{00000000-0005-0000-0000-000018130000}"/>
    <cellStyle name="Calculation 2 4 4 10" xfId="8293" xr:uid="{00000000-0005-0000-0000-000019130000}"/>
    <cellStyle name="Calculation 2 4 4 2" xfId="8294" xr:uid="{00000000-0005-0000-0000-00001A130000}"/>
    <cellStyle name="Calculation 2 4 4 2 2" xfId="8295" xr:uid="{00000000-0005-0000-0000-00001B130000}"/>
    <cellStyle name="Calculation 2 4 4 2 2 2" xfId="8296" xr:uid="{00000000-0005-0000-0000-00001C130000}"/>
    <cellStyle name="Calculation 2 4 4 2 2 3" xfId="8297" xr:uid="{00000000-0005-0000-0000-00001D130000}"/>
    <cellStyle name="Calculation 2 4 4 2 3" xfId="8298" xr:uid="{00000000-0005-0000-0000-00001E130000}"/>
    <cellStyle name="Calculation 2 4 4 2 3 2" xfId="8299" xr:uid="{00000000-0005-0000-0000-00001F130000}"/>
    <cellStyle name="Calculation 2 4 4 2 3 3" xfId="8300" xr:uid="{00000000-0005-0000-0000-000020130000}"/>
    <cellStyle name="Calculation 2 4 4 2 4" xfId="8301" xr:uid="{00000000-0005-0000-0000-000021130000}"/>
    <cellStyle name="Calculation 2 4 4 2 4 2" xfId="8302" xr:uid="{00000000-0005-0000-0000-000022130000}"/>
    <cellStyle name="Calculation 2 4 4 2 4 3" xfId="8303" xr:uid="{00000000-0005-0000-0000-000023130000}"/>
    <cellStyle name="Calculation 2 4 4 2 5" xfId="8304" xr:uid="{00000000-0005-0000-0000-000024130000}"/>
    <cellStyle name="Calculation 2 4 4 2 5 2" xfId="8305" xr:uid="{00000000-0005-0000-0000-000025130000}"/>
    <cellStyle name="Calculation 2 4 4 2 5 3" xfId="8306" xr:uid="{00000000-0005-0000-0000-000026130000}"/>
    <cellStyle name="Calculation 2 4 4 2 6" xfId="8307" xr:uid="{00000000-0005-0000-0000-000027130000}"/>
    <cellStyle name="Calculation 2 4 4 2 6 2" xfId="8308" xr:uid="{00000000-0005-0000-0000-000028130000}"/>
    <cellStyle name="Calculation 2 4 4 2 6 3" xfId="8309" xr:uid="{00000000-0005-0000-0000-000029130000}"/>
    <cellStyle name="Calculation 2 4 4 2 7" xfId="8310" xr:uid="{00000000-0005-0000-0000-00002A130000}"/>
    <cellStyle name="Calculation 2 4 4 2 7 2" xfId="8311" xr:uid="{00000000-0005-0000-0000-00002B130000}"/>
    <cellStyle name="Calculation 2 4 4 2 7 3" xfId="8312" xr:uid="{00000000-0005-0000-0000-00002C130000}"/>
    <cellStyle name="Calculation 2 4 4 2 8" xfId="8313" xr:uid="{00000000-0005-0000-0000-00002D130000}"/>
    <cellStyle name="Calculation 2 4 4 2 9" xfId="8314" xr:uid="{00000000-0005-0000-0000-00002E130000}"/>
    <cellStyle name="Calculation 2 4 4 3" xfId="8315" xr:uid="{00000000-0005-0000-0000-00002F130000}"/>
    <cellStyle name="Calculation 2 4 4 3 2" xfId="8316" xr:uid="{00000000-0005-0000-0000-000030130000}"/>
    <cellStyle name="Calculation 2 4 4 3 3" xfId="8317" xr:uid="{00000000-0005-0000-0000-000031130000}"/>
    <cellStyle name="Calculation 2 4 4 4" xfId="8318" xr:uid="{00000000-0005-0000-0000-000032130000}"/>
    <cellStyle name="Calculation 2 4 4 4 2" xfId="8319" xr:uid="{00000000-0005-0000-0000-000033130000}"/>
    <cellStyle name="Calculation 2 4 4 4 3" xfId="8320" xr:uid="{00000000-0005-0000-0000-000034130000}"/>
    <cellStyle name="Calculation 2 4 4 5" xfId="8321" xr:uid="{00000000-0005-0000-0000-000035130000}"/>
    <cellStyle name="Calculation 2 4 4 5 2" xfId="8322" xr:uid="{00000000-0005-0000-0000-000036130000}"/>
    <cellStyle name="Calculation 2 4 4 5 3" xfId="8323" xr:uid="{00000000-0005-0000-0000-000037130000}"/>
    <cellStyle name="Calculation 2 4 4 6" xfId="8324" xr:uid="{00000000-0005-0000-0000-000038130000}"/>
    <cellStyle name="Calculation 2 4 4 6 2" xfId="8325" xr:uid="{00000000-0005-0000-0000-000039130000}"/>
    <cellStyle name="Calculation 2 4 4 6 3" xfId="8326" xr:uid="{00000000-0005-0000-0000-00003A130000}"/>
    <cellStyle name="Calculation 2 4 4 7" xfId="8327" xr:uid="{00000000-0005-0000-0000-00003B130000}"/>
    <cellStyle name="Calculation 2 4 4 7 2" xfId="8328" xr:uid="{00000000-0005-0000-0000-00003C130000}"/>
    <cellStyle name="Calculation 2 4 4 7 3" xfId="8329" xr:uid="{00000000-0005-0000-0000-00003D130000}"/>
    <cellStyle name="Calculation 2 4 4 8" xfId="8330" xr:uid="{00000000-0005-0000-0000-00003E130000}"/>
    <cellStyle name="Calculation 2 4 4 8 2" xfId="8331" xr:uid="{00000000-0005-0000-0000-00003F130000}"/>
    <cellStyle name="Calculation 2 4 4 8 3" xfId="8332" xr:uid="{00000000-0005-0000-0000-000040130000}"/>
    <cellStyle name="Calculation 2 4 4 9" xfId="8333" xr:uid="{00000000-0005-0000-0000-000041130000}"/>
    <cellStyle name="Calculation 2 4 5" xfId="8334" xr:uid="{00000000-0005-0000-0000-000042130000}"/>
    <cellStyle name="Calculation 2 4 5 10" xfId="8335" xr:uid="{00000000-0005-0000-0000-000043130000}"/>
    <cellStyle name="Calculation 2 4 5 2" xfId="8336" xr:uid="{00000000-0005-0000-0000-000044130000}"/>
    <cellStyle name="Calculation 2 4 5 2 2" xfId="8337" xr:uid="{00000000-0005-0000-0000-000045130000}"/>
    <cellStyle name="Calculation 2 4 5 2 2 2" xfId="8338" xr:uid="{00000000-0005-0000-0000-000046130000}"/>
    <cellStyle name="Calculation 2 4 5 2 2 3" xfId="8339" xr:uid="{00000000-0005-0000-0000-000047130000}"/>
    <cellStyle name="Calculation 2 4 5 2 3" xfId="8340" xr:uid="{00000000-0005-0000-0000-000048130000}"/>
    <cellStyle name="Calculation 2 4 5 2 3 2" xfId="8341" xr:uid="{00000000-0005-0000-0000-000049130000}"/>
    <cellStyle name="Calculation 2 4 5 2 3 3" xfId="8342" xr:uid="{00000000-0005-0000-0000-00004A130000}"/>
    <cellStyle name="Calculation 2 4 5 2 4" xfId="8343" xr:uid="{00000000-0005-0000-0000-00004B130000}"/>
    <cellStyle name="Calculation 2 4 5 2 4 2" xfId="8344" xr:uid="{00000000-0005-0000-0000-00004C130000}"/>
    <cellStyle name="Calculation 2 4 5 2 4 3" xfId="8345" xr:uid="{00000000-0005-0000-0000-00004D130000}"/>
    <cellStyle name="Calculation 2 4 5 2 5" xfId="8346" xr:uid="{00000000-0005-0000-0000-00004E130000}"/>
    <cellStyle name="Calculation 2 4 5 2 5 2" xfId="8347" xr:uid="{00000000-0005-0000-0000-00004F130000}"/>
    <cellStyle name="Calculation 2 4 5 2 5 3" xfId="8348" xr:uid="{00000000-0005-0000-0000-000050130000}"/>
    <cellStyle name="Calculation 2 4 5 2 6" xfId="8349" xr:uid="{00000000-0005-0000-0000-000051130000}"/>
    <cellStyle name="Calculation 2 4 5 2 6 2" xfId="8350" xr:uid="{00000000-0005-0000-0000-000052130000}"/>
    <cellStyle name="Calculation 2 4 5 2 6 3" xfId="8351" xr:uid="{00000000-0005-0000-0000-000053130000}"/>
    <cellStyle name="Calculation 2 4 5 2 7" xfId="8352" xr:uid="{00000000-0005-0000-0000-000054130000}"/>
    <cellStyle name="Calculation 2 4 5 2 7 2" xfId="8353" xr:uid="{00000000-0005-0000-0000-000055130000}"/>
    <cellStyle name="Calculation 2 4 5 2 7 3" xfId="8354" xr:uid="{00000000-0005-0000-0000-000056130000}"/>
    <cellStyle name="Calculation 2 4 5 2 8" xfId="8355" xr:uid="{00000000-0005-0000-0000-000057130000}"/>
    <cellStyle name="Calculation 2 4 5 2 9" xfId="8356" xr:uid="{00000000-0005-0000-0000-000058130000}"/>
    <cellStyle name="Calculation 2 4 5 3" xfId="8357" xr:uid="{00000000-0005-0000-0000-000059130000}"/>
    <cellStyle name="Calculation 2 4 5 3 2" xfId="8358" xr:uid="{00000000-0005-0000-0000-00005A130000}"/>
    <cellStyle name="Calculation 2 4 5 3 3" xfId="8359" xr:uid="{00000000-0005-0000-0000-00005B130000}"/>
    <cellStyle name="Calculation 2 4 5 4" xfId="8360" xr:uid="{00000000-0005-0000-0000-00005C130000}"/>
    <cellStyle name="Calculation 2 4 5 4 2" xfId="8361" xr:uid="{00000000-0005-0000-0000-00005D130000}"/>
    <cellStyle name="Calculation 2 4 5 4 3" xfId="8362" xr:uid="{00000000-0005-0000-0000-00005E130000}"/>
    <cellStyle name="Calculation 2 4 5 5" xfId="8363" xr:uid="{00000000-0005-0000-0000-00005F130000}"/>
    <cellStyle name="Calculation 2 4 5 5 2" xfId="8364" xr:uid="{00000000-0005-0000-0000-000060130000}"/>
    <cellStyle name="Calculation 2 4 5 5 3" xfId="8365" xr:uid="{00000000-0005-0000-0000-000061130000}"/>
    <cellStyle name="Calculation 2 4 5 6" xfId="8366" xr:uid="{00000000-0005-0000-0000-000062130000}"/>
    <cellStyle name="Calculation 2 4 5 6 2" xfId="8367" xr:uid="{00000000-0005-0000-0000-000063130000}"/>
    <cellStyle name="Calculation 2 4 5 6 3" xfId="8368" xr:uid="{00000000-0005-0000-0000-000064130000}"/>
    <cellStyle name="Calculation 2 4 5 7" xfId="8369" xr:uid="{00000000-0005-0000-0000-000065130000}"/>
    <cellStyle name="Calculation 2 4 5 7 2" xfId="8370" xr:uid="{00000000-0005-0000-0000-000066130000}"/>
    <cellStyle name="Calculation 2 4 5 7 3" xfId="8371" xr:uid="{00000000-0005-0000-0000-000067130000}"/>
    <cellStyle name="Calculation 2 4 5 8" xfId="8372" xr:uid="{00000000-0005-0000-0000-000068130000}"/>
    <cellStyle name="Calculation 2 4 5 8 2" xfId="8373" xr:uid="{00000000-0005-0000-0000-000069130000}"/>
    <cellStyle name="Calculation 2 4 5 8 3" xfId="8374" xr:uid="{00000000-0005-0000-0000-00006A130000}"/>
    <cellStyle name="Calculation 2 4 5 9" xfId="8375" xr:uid="{00000000-0005-0000-0000-00006B130000}"/>
    <cellStyle name="Calculation 2 4 6" xfId="8376" xr:uid="{00000000-0005-0000-0000-00006C130000}"/>
    <cellStyle name="Calculation 2 4 6 10" xfId="8377" xr:uid="{00000000-0005-0000-0000-00006D130000}"/>
    <cellStyle name="Calculation 2 4 6 2" xfId="8378" xr:uid="{00000000-0005-0000-0000-00006E130000}"/>
    <cellStyle name="Calculation 2 4 6 2 2" xfId="8379" xr:uid="{00000000-0005-0000-0000-00006F130000}"/>
    <cellStyle name="Calculation 2 4 6 2 2 2" xfId="8380" xr:uid="{00000000-0005-0000-0000-000070130000}"/>
    <cellStyle name="Calculation 2 4 6 2 2 3" xfId="8381" xr:uid="{00000000-0005-0000-0000-000071130000}"/>
    <cellStyle name="Calculation 2 4 6 2 3" xfId="8382" xr:uid="{00000000-0005-0000-0000-000072130000}"/>
    <cellStyle name="Calculation 2 4 6 2 3 2" xfId="8383" xr:uid="{00000000-0005-0000-0000-000073130000}"/>
    <cellStyle name="Calculation 2 4 6 2 3 3" xfId="8384" xr:uid="{00000000-0005-0000-0000-000074130000}"/>
    <cellStyle name="Calculation 2 4 6 2 4" xfId="8385" xr:uid="{00000000-0005-0000-0000-000075130000}"/>
    <cellStyle name="Calculation 2 4 6 2 4 2" xfId="8386" xr:uid="{00000000-0005-0000-0000-000076130000}"/>
    <cellStyle name="Calculation 2 4 6 2 4 3" xfId="8387" xr:uid="{00000000-0005-0000-0000-000077130000}"/>
    <cellStyle name="Calculation 2 4 6 2 5" xfId="8388" xr:uid="{00000000-0005-0000-0000-000078130000}"/>
    <cellStyle name="Calculation 2 4 6 2 5 2" xfId="8389" xr:uid="{00000000-0005-0000-0000-000079130000}"/>
    <cellStyle name="Calculation 2 4 6 2 5 3" xfId="8390" xr:uid="{00000000-0005-0000-0000-00007A130000}"/>
    <cellStyle name="Calculation 2 4 6 2 6" xfId="8391" xr:uid="{00000000-0005-0000-0000-00007B130000}"/>
    <cellStyle name="Calculation 2 4 6 2 6 2" xfId="8392" xr:uid="{00000000-0005-0000-0000-00007C130000}"/>
    <cellStyle name="Calculation 2 4 6 2 6 3" xfId="8393" xr:uid="{00000000-0005-0000-0000-00007D130000}"/>
    <cellStyle name="Calculation 2 4 6 2 7" xfId="8394" xr:uid="{00000000-0005-0000-0000-00007E130000}"/>
    <cellStyle name="Calculation 2 4 6 2 7 2" xfId="8395" xr:uid="{00000000-0005-0000-0000-00007F130000}"/>
    <cellStyle name="Calculation 2 4 6 2 7 3" xfId="8396" xr:uid="{00000000-0005-0000-0000-000080130000}"/>
    <cellStyle name="Calculation 2 4 6 2 8" xfId="8397" xr:uid="{00000000-0005-0000-0000-000081130000}"/>
    <cellStyle name="Calculation 2 4 6 2 9" xfId="8398" xr:uid="{00000000-0005-0000-0000-000082130000}"/>
    <cellStyle name="Calculation 2 4 6 3" xfId="8399" xr:uid="{00000000-0005-0000-0000-000083130000}"/>
    <cellStyle name="Calculation 2 4 6 3 2" xfId="8400" xr:uid="{00000000-0005-0000-0000-000084130000}"/>
    <cellStyle name="Calculation 2 4 6 3 3" xfId="8401" xr:uid="{00000000-0005-0000-0000-000085130000}"/>
    <cellStyle name="Calculation 2 4 6 4" xfId="8402" xr:uid="{00000000-0005-0000-0000-000086130000}"/>
    <cellStyle name="Calculation 2 4 6 4 2" xfId="8403" xr:uid="{00000000-0005-0000-0000-000087130000}"/>
    <cellStyle name="Calculation 2 4 6 4 3" xfId="8404" xr:uid="{00000000-0005-0000-0000-000088130000}"/>
    <cellStyle name="Calculation 2 4 6 5" xfId="8405" xr:uid="{00000000-0005-0000-0000-000089130000}"/>
    <cellStyle name="Calculation 2 4 6 5 2" xfId="8406" xr:uid="{00000000-0005-0000-0000-00008A130000}"/>
    <cellStyle name="Calculation 2 4 6 5 3" xfId="8407" xr:uid="{00000000-0005-0000-0000-00008B130000}"/>
    <cellStyle name="Calculation 2 4 6 6" xfId="8408" xr:uid="{00000000-0005-0000-0000-00008C130000}"/>
    <cellStyle name="Calculation 2 4 6 6 2" xfId="8409" xr:uid="{00000000-0005-0000-0000-00008D130000}"/>
    <cellStyle name="Calculation 2 4 6 6 3" xfId="8410" xr:uid="{00000000-0005-0000-0000-00008E130000}"/>
    <cellStyle name="Calculation 2 4 6 7" xfId="8411" xr:uid="{00000000-0005-0000-0000-00008F130000}"/>
    <cellStyle name="Calculation 2 4 6 7 2" xfId="8412" xr:uid="{00000000-0005-0000-0000-000090130000}"/>
    <cellStyle name="Calculation 2 4 6 7 3" xfId="8413" xr:uid="{00000000-0005-0000-0000-000091130000}"/>
    <cellStyle name="Calculation 2 4 6 8" xfId="8414" xr:uid="{00000000-0005-0000-0000-000092130000}"/>
    <cellStyle name="Calculation 2 4 6 8 2" xfId="8415" xr:uid="{00000000-0005-0000-0000-000093130000}"/>
    <cellStyle name="Calculation 2 4 6 8 3" xfId="8416" xr:uid="{00000000-0005-0000-0000-000094130000}"/>
    <cellStyle name="Calculation 2 4 6 9" xfId="8417" xr:uid="{00000000-0005-0000-0000-000095130000}"/>
    <cellStyle name="Calculation 2 4 7" xfId="8418" xr:uid="{00000000-0005-0000-0000-000096130000}"/>
    <cellStyle name="Calculation 2 4 7 2" xfId="8419" xr:uid="{00000000-0005-0000-0000-000097130000}"/>
    <cellStyle name="Calculation 2 4 7 2 2" xfId="8420" xr:uid="{00000000-0005-0000-0000-000098130000}"/>
    <cellStyle name="Calculation 2 4 7 2 3" xfId="8421" xr:uid="{00000000-0005-0000-0000-000099130000}"/>
    <cellStyle name="Calculation 2 4 7 3" xfId="8422" xr:uid="{00000000-0005-0000-0000-00009A130000}"/>
    <cellStyle name="Calculation 2 4 7 3 2" xfId="8423" xr:uid="{00000000-0005-0000-0000-00009B130000}"/>
    <cellStyle name="Calculation 2 4 7 3 3" xfId="8424" xr:uid="{00000000-0005-0000-0000-00009C130000}"/>
    <cellStyle name="Calculation 2 4 7 4" xfId="8425" xr:uid="{00000000-0005-0000-0000-00009D130000}"/>
    <cellStyle name="Calculation 2 4 7 4 2" xfId="8426" xr:uid="{00000000-0005-0000-0000-00009E130000}"/>
    <cellStyle name="Calculation 2 4 7 4 3" xfId="8427" xr:uid="{00000000-0005-0000-0000-00009F130000}"/>
    <cellStyle name="Calculation 2 4 7 5" xfId="8428" xr:uid="{00000000-0005-0000-0000-0000A0130000}"/>
    <cellStyle name="Calculation 2 4 7 5 2" xfId="8429" xr:uid="{00000000-0005-0000-0000-0000A1130000}"/>
    <cellStyle name="Calculation 2 4 7 5 3" xfId="8430" xr:uid="{00000000-0005-0000-0000-0000A2130000}"/>
    <cellStyle name="Calculation 2 4 7 6" xfId="8431" xr:uid="{00000000-0005-0000-0000-0000A3130000}"/>
    <cellStyle name="Calculation 2 4 7 6 2" xfId="8432" xr:uid="{00000000-0005-0000-0000-0000A4130000}"/>
    <cellStyle name="Calculation 2 4 7 6 3" xfId="8433" xr:uid="{00000000-0005-0000-0000-0000A5130000}"/>
    <cellStyle name="Calculation 2 4 7 7" xfId="8434" xr:uid="{00000000-0005-0000-0000-0000A6130000}"/>
    <cellStyle name="Calculation 2 4 7 7 2" xfId="8435" xr:uid="{00000000-0005-0000-0000-0000A7130000}"/>
    <cellStyle name="Calculation 2 4 7 7 3" xfId="8436" xr:uid="{00000000-0005-0000-0000-0000A8130000}"/>
    <cellStyle name="Calculation 2 4 7 8" xfId="8437" xr:uid="{00000000-0005-0000-0000-0000A9130000}"/>
    <cellStyle name="Calculation 2 4 7 9" xfId="8438" xr:uid="{00000000-0005-0000-0000-0000AA130000}"/>
    <cellStyle name="Calculation 2 4 8" xfId="8439" xr:uid="{00000000-0005-0000-0000-0000AB130000}"/>
    <cellStyle name="Calculation 2 4 8 2" xfId="8440" xr:uid="{00000000-0005-0000-0000-0000AC130000}"/>
    <cellStyle name="Calculation 2 4 8 3" xfId="8441" xr:uid="{00000000-0005-0000-0000-0000AD130000}"/>
    <cellStyle name="Calculation 2 4 9" xfId="8442" xr:uid="{00000000-0005-0000-0000-0000AE130000}"/>
    <cellStyle name="Calculation 2 4 9 2" xfId="8443" xr:uid="{00000000-0005-0000-0000-0000AF130000}"/>
    <cellStyle name="Calculation 2 4 9 3" xfId="8444" xr:uid="{00000000-0005-0000-0000-0000B0130000}"/>
    <cellStyle name="Calculation 2 5" xfId="2369" xr:uid="{00000000-0005-0000-0000-0000B1130000}"/>
    <cellStyle name="Calculation 2 5 10" xfId="8445" xr:uid="{00000000-0005-0000-0000-0000B2130000}"/>
    <cellStyle name="Calculation 2 5 10 2" xfId="8446" xr:uid="{00000000-0005-0000-0000-0000B3130000}"/>
    <cellStyle name="Calculation 2 5 10 3" xfId="8447" xr:uid="{00000000-0005-0000-0000-0000B4130000}"/>
    <cellStyle name="Calculation 2 5 11" xfId="8448" xr:uid="{00000000-0005-0000-0000-0000B5130000}"/>
    <cellStyle name="Calculation 2 5 11 2" xfId="8449" xr:uid="{00000000-0005-0000-0000-0000B6130000}"/>
    <cellStyle name="Calculation 2 5 11 3" xfId="8450" xr:uid="{00000000-0005-0000-0000-0000B7130000}"/>
    <cellStyle name="Calculation 2 5 12" xfId="8451" xr:uid="{00000000-0005-0000-0000-0000B8130000}"/>
    <cellStyle name="Calculation 2 5 12 2" xfId="8452" xr:uid="{00000000-0005-0000-0000-0000B9130000}"/>
    <cellStyle name="Calculation 2 5 12 3" xfId="8453" xr:uid="{00000000-0005-0000-0000-0000BA130000}"/>
    <cellStyle name="Calculation 2 5 13" xfId="8454" xr:uid="{00000000-0005-0000-0000-0000BB130000}"/>
    <cellStyle name="Calculation 2 5 13 2" xfId="8455" xr:uid="{00000000-0005-0000-0000-0000BC130000}"/>
    <cellStyle name="Calculation 2 5 13 3" xfId="8456" xr:uid="{00000000-0005-0000-0000-0000BD130000}"/>
    <cellStyle name="Calculation 2 5 14" xfId="43990" xr:uid="{00000000-0005-0000-0000-0000BE130000}"/>
    <cellStyle name="Calculation 2 5 2" xfId="8457" xr:uid="{00000000-0005-0000-0000-0000BF130000}"/>
    <cellStyle name="Calculation 2 5 2 10" xfId="43991" xr:uid="{00000000-0005-0000-0000-0000C0130000}"/>
    <cellStyle name="Calculation 2 5 2 2" xfId="8458" xr:uid="{00000000-0005-0000-0000-0000C1130000}"/>
    <cellStyle name="Calculation 2 5 2 2 10" xfId="8459" xr:uid="{00000000-0005-0000-0000-0000C2130000}"/>
    <cellStyle name="Calculation 2 5 2 2 2" xfId="8460" xr:uid="{00000000-0005-0000-0000-0000C3130000}"/>
    <cellStyle name="Calculation 2 5 2 2 2 2" xfId="8461" xr:uid="{00000000-0005-0000-0000-0000C4130000}"/>
    <cellStyle name="Calculation 2 5 2 2 2 2 2" xfId="8462" xr:uid="{00000000-0005-0000-0000-0000C5130000}"/>
    <cellStyle name="Calculation 2 5 2 2 2 2 3" xfId="8463" xr:uid="{00000000-0005-0000-0000-0000C6130000}"/>
    <cellStyle name="Calculation 2 5 2 2 2 3" xfId="8464" xr:uid="{00000000-0005-0000-0000-0000C7130000}"/>
    <cellStyle name="Calculation 2 5 2 2 2 3 2" xfId="8465" xr:uid="{00000000-0005-0000-0000-0000C8130000}"/>
    <cellStyle name="Calculation 2 5 2 2 2 3 3" xfId="8466" xr:uid="{00000000-0005-0000-0000-0000C9130000}"/>
    <cellStyle name="Calculation 2 5 2 2 2 4" xfId="8467" xr:uid="{00000000-0005-0000-0000-0000CA130000}"/>
    <cellStyle name="Calculation 2 5 2 2 2 4 2" xfId="8468" xr:uid="{00000000-0005-0000-0000-0000CB130000}"/>
    <cellStyle name="Calculation 2 5 2 2 2 4 3" xfId="8469" xr:uid="{00000000-0005-0000-0000-0000CC130000}"/>
    <cellStyle name="Calculation 2 5 2 2 2 5" xfId="8470" xr:uid="{00000000-0005-0000-0000-0000CD130000}"/>
    <cellStyle name="Calculation 2 5 2 2 2 5 2" xfId="8471" xr:uid="{00000000-0005-0000-0000-0000CE130000}"/>
    <cellStyle name="Calculation 2 5 2 2 2 5 3" xfId="8472" xr:uid="{00000000-0005-0000-0000-0000CF130000}"/>
    <cellStyle name="Calculation 2 5 2 2 2 6" xfId="8473" xr:uid="{00000000-0005-0000-0000-0000D0130000}"/>
    <cellStyle name="Calculation 2 5 2 2 2 6 2" xfId="8474" xr:uid="{00000000-0005-0000-0000-0000D1130000}"/>
    <cellStyle name="Calculation 2 5 2 2 2 6 3" xfId="8475" xr:uid="{00000000-0005-0000-0000-0000D2130000}"/>
    <cellStyle name="Calculation 2 5 2 2 2 7" xfId="8476" xr:uid="{00000000-0005-0000-0000-0000D3130000}"/>
    <cellStyle name="Calculation 2 5 2 2 2 7 2" xfId="8477" xr:uid="{00000000-0005-0000-0000-0000D4130000}"/>
    <cellStyle name="Calculation 2 5 2 2 2 7 3" xfId="8478" xr:uid="{00000000-0005-0000-0000-0000D5130000}"/>
    <cellStyle name="Calculation 2 5 2 2 2 8" xfId="8479" xr:uid="{00000000-0005-0000-0000-0000D6130000}"/>
    <cellStyle name="Calculation 2 5 2 2 2 9" xfId="8480" xr:uid="{00000000-0005-0000-0000-0000D7130000}"/>
    <cellStyle name="Calculation 2 5 2 2 3" xfId="8481" xr:uid="{00000000-0005-0000-0000-0000D8130000}"/>
    <cellStyle name="Calculation 2 5 2 2 3 2" xfId="8482" xr:uid="{00000000-0005-0000-0000-0000D9130000}"/>
    <cellStyle name="Calculation 2 5 2 2 3 3" xfId="8483" xr:uid="{00000000-0005-0000-0000-0000DA130000}"/>
    <cellStyle name="Calculation 2 5 2 2 4" xfId="8484" xr:uid="{00000000-0005-0000-0000-0000DB130000}"/>
    <cellStyle name="Calculation 2 5 2 2 4 2" xfId="8485" xr:uid="{00000000-0005-0000-0000-0000DC130000}"/>
    <cellStyle name="Calculation 2 5 2 2 4 3" xfId="8486" xr:uid="{00000000-0005-0000-0000-0000DD130000}"/>
    <cellStyle name="Calculation 2 5 2 2 5" xfId="8487" xr:uid="{00000000-0005-0000-0000-0000DE130000}"/>
    <cellStyle name="Calculation 2 5 2 2 5 2" xfId="8488" xr:uid="{00000000-0005-0000-0000-0000DF130000}"/>
    <cellStyle name="Calculation 2 5 2 2 5 3" xfId="8489" xr:uid="{00000000-0005-0000-0000-0000E0130000}"/>
    <cellStyle name="Calculation 2 5 2 2 6" xfId="8490" xr:uid="{00000000-0005-0000-0000-0000E1130000}"/>
    <cellStyle name="Calculation 2 5 2 2 6 2" xfId="8491" xr:uid="{00000000-0005-0000-0000-0000E2130000}"/>
    <cellStyle name="Calculation 2 5 2 2 6 3" xfId="8492" xr:uid="{00000000-0005-0000-0000-0000E3130000}"/>
    <cellStyle name="Calculation 2 5 2 2 7" xfId="8493" xr:uid="{00000000-0005-0000-0000-0000E4130000}"/>
    <cellStyle name="Calculation 2 5 2 2 7 2" xfId="8494" xr:uid="{00000000-0005-0000-0000-0000E5130000}"/>
    <cellStyle name="Calculation 2 5 2 2 7 3" xfId="8495" xr:uid="{00000000-0005-0000-0000-0000E6130000}"/>
    <cellStyle name="Calculation 2 5 2 2 8" xfId="8496" xr:uid="{00000000-0005-0000-0000-0000E7130000}"/>
    <cellStyle name="Calculation 2 5 2 2 8 2" xfId="8497" xr:uid="{00000000-0005-0000-0000-0000E8130000}"/>
    <cellStyle name="Calculation 2 5 2 2 8 3" xfId="8498" xr:uid="{00000000-0005-0000-0000-0000E9130000}"/>
    <cellStyle name="Calculation 2 5 2 2 9" xfId="8499" xr:uid="{00000000-0005-0000-0000-0000EA130000}"/>
    <cellStyle name="Calculation 2 5 2 3" xfId="8500" xr:uid="{00000000-0005-0000-0000-0000EB130000}"/>
    <cellStyle name="Calculation 2 5 2 3 10" xfId="8501" xr:uid="{00000000-0005-0000-0000-0000EC130000}"/>
    <cellStyle name="Calculation 2 5 2 3 2" xfId="8502" xr:uid="{00000000-0005-0000-0000-0000ED130000}"/>
    <cellStyle name="Calculation 2 5 2 3 2 2" xfId="8503" xr:uid="{00000000-0005-0000-0000-0000EE130000}"/>
    <cellStyle name="Calculation 2 5 2 3 2 2 2" xfId="8504" xr:uid="{00000000-0005-0000-0000-0000EF130000}"/>
    <cellStyle name="Calculation 2 5 2 3 2 2 3" xfId="8505" xr:uid="{00000000-0005-0000-0000-0000F0130000}"/>
    <cellStyle name="Calculation 2 5 2 3 2 3" xfId="8506" xr:uid="{00000000-0005-0000-0000-0000F1130000}"/>
    <cellStyle name="Calculation 2 5 2 3 2 3 2" xfId="8507" xr:uid="{00000000-0005-0000-0000-0000F2130000}"/>
    <cellStyle name="Calculation 2 5 2 3 2 3 3" xfId="8508" xr:uid="{00000000-0005-0000-0000-0000F3130000}"/>
    <cellStyle name="Calculation 2 5 2 3 2 4" xfId="8509" xr:uid="{00000000-0005-0000-0000-0000F4130000}"/>
    <cellStyle name="Calculation 2 5 2 3 2 4 2" xfId="8510" xr:uid="{00000000-0005-0000-0000-0000F5130000}"/>
    <cellStyle name="Calculation 2 5 2 3 2 4 3" xfId="8511" xr:uid="{00000000-0005-0000-0000-0000F6130000}"/>
    <cellStyle name="Calculation 2 5 2 3 2 5" xfId="8512" xr:uid="{00000000-0005-0000-0000-0000F7130000}"/>
    <cellStyle name="Calculation 2 5 2 3 2 5 2" xfId="8513" xr:uid="{00000000-0005-0000-0000-0000F8130000}"/>
    <cellStyle name="Calculation 2 5 2 3 2 5 3" xfId="8514" xr:uid="{00000000-0005-0000-0000-0000F9130000}"/>
    <cellStyle name="Calculation 2 5 2 3 2 6" xfId="8515" xr:uid="{00000000-0005-0000-0000-0000FA130000}"/>
    <cellStyle name="Calculation 2 5 2 3 2 6 2" xfId="8516" xr:uid="{00000000-0005-0000-0000-0000FB130000}"/>
    <cellStyle name="Calculation 2 5 2 3 2 6 3" xfId="8517" xr:uid="{00000000-0005-0000-0000-0000FC130000}"/>
    <cellStyle name="Calculation 2 5 2 3 2 7" xfId="8518" xr:uid="{00000000-0005-0000-0000-0000FD130000}"/>
    <cellStyle name="Calculation 2 5 2 3 2 7 2" xfId="8519" xr:uid="{00000000-0005-0000-0000-0000FE130000}"/>
    <cellStyle name="Calculation 2 5 2 3 2 7 3" xfId="8520" xr:uid="{00000000-0005-0000-0000-0000FF130000}"/>
    <cellStyle name="Calculation 2 5 2 3 2 8" xfId="8521" xr:uid="{00000000-0005-0000-0000-000000140000}"/>
    <cellStyle name="Calculation 2 5 2 3 2 9" xfId="8522" xr:uid="{00000000-0005-0000-0000-000001140000}"/>
    <cellStyle name="Calculation 2 5 2 3 3" xfId="8523" xr:uid="{00000000-0005-0000-0000-000002140000}"/>
    <cellStyle name="Calculation 2 5 2 3 3 2" xfId="8524" xr:uid="{00000000-0005-0000-0000-000003140000}"/>
    <cellStyle name="Calculation 2 5 2 3 3 3" xfId="8525" xr:uid="{00000000-0005-0000-0000-000004140000}"/>
    <cellStyle name="Calculation 2 5 2 3 4" xfId="8526" xr:uid="{00000000-0005-0000-0000-000005140000}"/>
    <cellStyle name="Calculation 2 5 2 3 4 2" xfId="8527" xr:uid="{00000000-0005-0000-0000-000006140000}"/>
    <cellStyle name="Calculation 2 5 2 3 4 3" xfId="8528" xr:uid="{00000000-0005-0000-0000-000007140000}"/>
    <cellStyle name="Calculation 2 5 2 3 5" xfId="8529" xr:uid="{00000000-0005-0000-0000-000008140000}"/>
    <cellStyle name="Calculation 2 5 2 3 5 2" xfId="8530" xr:uid="{00000000-0005-0000-0000-000009140000}"/>
    <cellStyle name="Calculation 2 5 2 3 5 3" xfId="8531" xr:uid="{00000000-0005-0000-0000-00000A140000}"/>
    <cellStyle name="Calculation 2 5 2 3 6" xfId="8532" xr:uid="{00000000-0005-0000-0000-00000B140000}"/>
    <cellStyle name="Calculation 2 5 2 3 6 2" xfId="8533" xr:uid="{00000000-0005-0000-0000-00000C140000}"/>
    <cellStyle name="Calculation 2 5 2 3 6 3" xfId="8534" xr:uid="{00000000-0005-0000-0000-00000D140000}"/>
    <cellStyle name="Calculation 2 5 2 3 7" xfId="8535" xr:uid="{00000000-0005-0000-0000-00000E140000}"/>
    <cellStyle name="Calculation 2 5 2 3 7 2" xfId="8536" xr:uid="{00000000-0005-0000-0000-00000F140000}"/>
    <cellStyle name="Calculation 2 5 2 3 7 3" xfId="8537" xr:uid="{00000000-0005-0000-0000-000010140000}"/>
    <cellStyle name="Calculation 2 5 2 3 8" xfId="8538" xr:uid="{00000000-0005-0000-0000-000011140000}"/>
    <cellStyle name="Calculation 2 5 2 3 8 2" xfId="8539" xr:uid="{00000000-0005-0000-0000-000012140000}"/>
    <cellStyle name="Calculation 2 5 2 3 8 3" xfId="8540" xr:uid="{00000000-0005-0000-0000-000013140000}"/>
    <cellStyle name="Calculation 2 5 2 3 9" xfId="8541" xr:uid="{00000000-0005-0000-0000-000014140000}"/>
    <cellStyle name="Calculation 2 5 2 4" xfId="8542" xr:uid="{00000000-0005-0000-0000-000015140000}"/>
    <cellStyle name="Calculation 2 5 2 4 10" xfId="8543" xr:uid="{00000000-0005-0000-0000-000016140000}"/>
    <cellStyle name="Calculation 2 5 2 4 2" xfId="8544" xr:uid="{00000000-0005-0000-0000-000017140000}"/>
    <cellStyle name="Calculation 2 5 2 4 2 2" xfId="8545" xr:uid="{00000000-0005-0000-0000-000018140000}"/>
    <cellStyle name="Calculation 2 5 2 4 2 2 2" xfId="8546" xr:uid="{00000000-0005-0000-0000-000019140000}"/>
    <cellStyle name="Calculation 2 5 2 4 2 2 3" xfId="8547" xr:uid="{00000000-0005-0000-0000-00001A140000}"/>
    <cellStyle name="Calculation 2 5 2 4 2 3" xfId="8548" xr:uid="{00000000-0005-0000-0000-00001B140000}"/>
    <cellStyle name="Calculation 2 5 2 4 2 3 2" xfId="8549" xr:uid="{00000000-0005-0000-0000-00001C140000}"/>
    <cellStyle name="Calculation 2 5 2 4 2 3 3" xfId="8550" xr:uid="{00000000-0005-0000-0000-00001D140000}"/>
    <cellStyle name="Calculation 2 5 2 4 2 4" xfId="8551" xr:uid="{00000000-0005-0000-0000-00001E140000}"/>
    <cellStyle name="Calculation 2 5 2 4 2 4 2" xfId="8552" xr:uid="{00000000-0005-0000-0000-00001F140000}"/>
    <cellStyle name="Calculation 2 5 2 4 2 4 3" xfId="8553" xr:uid="{00000000-0005-0000-0000-000020140000}"/>
    <cellStyle name="Calculation 2 5 2 4 2 5" xfId="8554" xr:uid="{00000000-0005-0000-0000-000021140000}"/>
    <cellStyle name="Calculation 2 5 2 4 2 5 2" xfId="8555" xr:uid="{00000000-0005-0000-0000-000022140000}"/>
    <cellStyle name="Calculation 2 5 2 4 2 5 3" xfId="8556" xr:uid="{00000000-0005-0000-0000-000023140000}"/>
    <cellStyle name="Calculation 2 5 2 4 2 6" xfId="8557" xr:uid="{00000000-0005-0000-0000-000024140000}"/>
    <cellStyle name="Calculation 2 5 2 4 2 6 2" xfId="8558" xr:uid="{00000000-0005-0000-0000-000025140000}"/>
    <cellStyle name="Calculation 2 5 2 4 2 6 3" xfId="8559" xr:uid="{00000000-0005-0000-0000-000026140000}"/>
    <cellStyle name="Calculation 2 5 2 4 2 7" xfId="8560" xr:uid="{00000000-0005-0000-0000-000027140000}"/>
    <cellStyle name="Calculation 2 5 2 4 2 7 2" xfId="8561" xr:uid="{00000000-0005-0000-0000-000028140000}"/>
    <cellStyle name="Calculation 2 5 2 4 2 7 3" xfId="8562" xr:uid="{00000000-0005-0000-0000-000029140000}"/>
    <cellStyle name="Calculation 2 5 2 4 2 8" xfId="8563" xr:uid="{00000000-0005-0000-0000-00002A140000}"/>
    <cellStyle name="Calculation 2 5 2 4 2 9" xfId="8564" xr:uid="{00000000-0005-0000-0000-00002B140000}"/>
    <cellStyle name="Calculation 2 5 2 4 3" xfId="8565" xr:uid="{00000000-0005-0000-0000-00002C140000}"/>
    <cellStyle name="Calculation 2 5 2 4 3 2" xfId="8566" xr:uid="{00000000-0005-0000-0000-00002D140000}"/>
    <cellStyle name="Calculation 2 5 2 4 3 3" xfId="8567" xr:uid="{00000000-0005-0000-0000-00002E140000}"/>
    <cellStyle name="Calculation 2 5 2 4 4" xfId="8568" xr:uid="{00000000-0005-0000-0000-00002F140000}"/>
    <cellStyle name="Calculation 2 5 2 4 4 2" xfId="8569" xr:uid="{00000000-0005-0000-0000-000030140000}"/>
    <cellStyle name="Calculation 2 5 2 4 4 3" xfId="8570" xr:uid="{00000000-0005-0000-0000-000031140000}"/>
    <cellStyle name="Calculation 2 5 2 4 5" xfId="8571" xr:uid="{00000000-0005-0000-0000-000032140000}"/>
    <cellStyle name="Calculation 2 5 2 4 5 2" xfId="8572" xr:uid="{00000000-0005-0000-0000-000033140000}"/>
    <cellStyle name="Calculation 2 5 2 4 5 3" xfId="8573" xr:uid="{00000000-0005-0000-0000-000034140000}"/>
    <cellStyle name="Calculation 2 5 2 4 6" xfId="8574" xr:uid="{00000000-0005-0000-0000-000035140000}"/>
    <cellStyle name="Calculation 2 5 2 4 6 2" xfId="8575" xr:uid="{00000000-0005-0000-0000-000036140000}"/>
    <cellStyle name="Calculation 2 5 2 4 6 3" xfId="8576" xr:uid="{00000000-0005-0000-0000-000037140000}"/>
    <cellStyle name="Calculation 2 5 2 4 7" xfId="8577" xr:uid="{00000000-0005-0000-0000-000038140000}"/>
    <cellStyle name="Calculation 2 5 2 4 7 2" xfId="8578" xr:uid="{00000000-0005-0000-0000-000039140000}"/>
    <cellStyle name="Calculation 2 5 2 4 7 3" xfId="8579" xr:uid="{00000000-0005-0000-0000-00003A140000}"/>
    <cellStyle name="Calculation 2 5 2 4 8" xfId="8580" xr:uid="{00000000-0005-0000-0000-00003B140000}"/>
    <cellStyle name="Calculation 2 5 2 4 8 2" xfId="8581" xr:uid="{00000000-0005-0000-0000-00003C140000}"/>
    <cellStyle name="Calculation 2 5 2 4 8 3" xfId="8582" xr:uid="{00000000-0005-0000-0000-00003D140000}"/>
    <cellStyle name="Calculation 2 5 2 4 9" xfId="8583" xr:uid="{00000000-0005-0000-0000-00003E140000}"/>
    <cellStyle name="Calculation 2 5 2 5" xfId="8584" xr:uid="{00000000-0005-0000-0000-00003F140000}"/>
    <cellStyle name="Calculation 2 5 2 5 2" xfId="8585" xr:uid="{00000000-0005-0000-0000-000040140000}"/>
    <cellStyle name="Calculation 2 5 2 5 2 2" xfId="8586" xr:uid="{00000000-0005-0000-0000-000041140000}"/>
    <cellStyle name="Calculation 2 5 2 5 2 3" xfId="8587" xr:uid="{00000000-0005-0000-0000-000042140000}"/>
    <cellStyle name="Calculation 2 5 2 5 3" xfId="8588" xr:uid="{00000000-0005-0000-0000-000043140000}"/>
    <cellStyle name="Calculation 2 5 2 5 3 2" xfId="8589" xr:uid="{00000000-0005-0000-0000-000044140000}"/>
    <cellStyle name="Calculation 2 5 2 5 3 3" xfId="8590" xr:uid="{00000000-0005-0000-0000-000045140000}"/>
    <cellStyle name="Calculation 2 5 2 5 4" xfId="8591" xr:uid="{00000000-0005-0000-0000-000046140000}"/>
    <cellStyle name="Calculation 2 5 2 5 4 2" xfId="8592" xr:uid="{00000000-0005-0000-0000-000047140000}"/>
    <cellStyle name="Calculation 2 5 2 5 4 3" xfId="8593" xr:uid="{00000000-0005-0000-0000-000048140000}"/>
    <cellStyle name="Calculation 2 5 2 5 5" xfId="8594" xr:uid="{00000000-0005-0000-0000-000049140000}"/>
    <cellStyle name="Calculation 2 5 2 5 5 2" xfId="8595" xr:uid="{00000000-0005-0000-0000-00004A140000}"/>
    <cellStyle name="Calculation 2 5 2 5 5 3" xfId="8596" xr:uid="{00000000-0005-0000-0000-00004B140000}"/>
    <cellStyle name="Calculation 2 5 2 5 6" xfId="8597" xr:uid="{00000000-0005-0000-0000-00004C140000}"/>
    <cellStyle name="Calculation 2 5 2 5 6 2" xfId="8598" xr:uid="{00000000-0005-0000-0000-00004D140000}"/>
    <cellStyle name="Calculation 2 5 2 5 6 3" xfId="8599" xr:uid="{00000000-0005-0000-0000-00004E140000}"/>
    <cellStyle name="Calculation 2 5 2 5 7" xfId="8600" xr:uid="{00000000-0005-0000-0000-00004F140000}"/>
    <cellStyle name="Calculation 2 5 2 5 7 2" xfId="8601" xr:uid="{00000000-0005-0000-0000-000050140000}"/>
    <cellStyle name="Calculation 2 5 2 5 7 3" xfId="8602" xr:uid="{00000000-0005-0000-0000-000051140000}"/>
    <cellStyle name="Calculation 2 5 2 5 8" xfId="8603" xr:uid="{00000000-0005-0000-0000-000052140000}"/>
    <cellStyle name="Calculation 2 5 2 5 9" xfId="8604" xr:uid="{00000000-0005-0000-0000-000053140000}"/>
    <cellStyle name="Calculation 2 5 2 6" xfId="8605" xr:uid="{00000000-0005-0000-0000-000054140000}"/>
    <cellStyle name="Calculation 2 5 2 6 2" xfId="8606" xr:uid="{00000000-0005-0000-0000-000055140000}"/>
    <cellStyle name="Calculation 2 5 2 6 3" xfId="8607" xr:uid="{00000000-0005-0000-0000-000056140000}"/>
    <cellStyle name="Calculation 2 5 2 7" xfId="8608" xr:uid="{00000000-0005-0000-0000-000057140000}"/>
    <cellStyle name="Calculation 2 5 2 7 2" xfId="8609" xr:uid="{00000000-0005-0000-0000-000058140000}"/>
    <cellStyle name="Calculation 2 5 2 7 3" xfId="8610" xr:uid="{00000000-0005-0000-0000-000059140000}"/>
    <cellStyle name="Calculation 2 5 2 8" xfId="8611" xr:uid="{00000000-0005-0000-0000-00005A140000}"/>
    <cellStyle name="Calculation 2 5 2 8 2" xfId="8612" xr:uid="{00000000-0005-0000-0000-00005B140000}"/>
    <cellStyle name="Calculation 2 5 2 8 3" xfId="8613" xr:uid="{00000000-0005-0000-0000-00005C140000}"/>
    <cellStyle name="Calculation 2 5 2 9" xfId="8614" xr:uid="{00000000-0005-0000-0000-00005D140000}"/>
    <cellStyle name="Calculation 2 5 2 9 2" xfId="8615" xr:uid="{00000000-0005-0000-0000-00005E140000}"/>
    <cellStyle name="Calculation 2 5 2 9 3" xfId="8616" xr:uid="{00000000-0005-0000-0000-00005F140000}"/>
    <cellStyle name="Calculation 2 5 3" xfId="8617" xr:uid="{00000000-0005-0000-0000-000060140000}"/>
    <cellStyle name="Calculation 2 5 3 10" xfId="43992" xr:uid="{00000000-0005-0000-0000-000061140000}"/>
    <cellStyle name="Calculation 2 5 3 2" xfId="8618" xr:uid="{00000000-0005-0000-0000-000062140000}"/>
    <cellStyle name="Calculation 2 5 3 2 10" xfId="8619" xr:uid="{00000000-0005-0000-0000-000063140000}"/>
    <cellStyle name="Calculation 2 5 3 2 2" xfId="8620" xr:uid="{00000000-0005-0000-0000-000064140000}"/>
    <cellStyle name="Calculation 2 5 3 2 2 2" xfId="8621" xr:uid="{00000000-0005-0000-0000-000065140000}"/>
    <cellStyle name="Calculation 2 5 3 2 2 2 2" xfId="8622" xr:uid="{00000000-0005-0000-0000-000066140000}"/>
    <cellStyle name="Calculation 2 5 3 2 2 2 3" xfId="8623" xr:uid="{00000000-0005-0000-0000-000067140000}"/>
    <cellStyle name="Calculation 2 5 3 2 2 3" xfId="8624" xr:uid="{00000000-0005-0000-0000-000068140000}"/>
    <cellStyle name="Calculation 2 5 3 2 2 3 2" xfId="8625" xr:uid="{00000000-0005-0000-0000-000069140000}"/>
    <cellStyle name="Calculation 2 5 3 2 2 3 3" xfId="8626" xr:uid="{00000000-0005-0000-0000-00006A140000}"/>
    <cellStyle name="Calculation 2 5 3 2 2 4" xfId="8627" xr:uid="{00000000-0005-0000-0000-00006B140000}"/>
    <cellStyle name="Calculation 2 5 3 2 2 4 2" xfId="8628" xr:uid="{00000000-0005-0000-0000-00006C140000}"/>
    <cellStyle name="Calculation 2 5 3 2 2 4 3" xfId="8629" xr:uid="{00000000-0005-0000-0000-00006D140000}"/>
    <cellStyle name="Calculation 2 5 3 2 2 5" xfId="8630" xr:uid="{00000000-0005-0000-0000-00006E140000}"/>
    <cellStyle name="Calculation 2 5 3 2 2 5 2" xfId="8631" xr:uid="{00000000-0005-0000-0000-00006F140000}"/>
    <cellStyle name="Calculation 2 5 3 2 2 5 3" xfId="8632" xr:uid="{00000000-0005-0000-0000-000070140000}"/>
    <cellStyle name="Calculation 2 5 3 2 2 6" xfId="8633" xr:uid="{00000000-0005-0000-0000-000071140000}"/>
    <cellStyle name="Calculation 2 5 3 2 2 6 2" xfId="8634" xr:uid="{00000000-0005-0000-0000-000072140000}"/>
    <cellStyle name="Calculation 2 5 3 2 2 6 3" xfId="8635" xr:uid="{00000000-0005-0000-0000-000073140000}"/>
    <cellStyle name="Calculation 2 5 3 2 2 7" xfId="8636" xr:uid="{00000000-0005-0000-0000-000074140000}"/>
    <cellStyle name="Calculation 2 5 3 2 2 7 2" xfId="8637" xr:uid="{00000000-0005-0000-0000-000075140000}"/>
    <cellStyle name="Calculation 2 5 3 2 2 7 3" xfId="8638" xr:uid="{00000000-0005-0000-0000-000076140000}"/>
    <cellStyle name="Calculation 2 5 3 2 2 8" xfId="8639" xr:uid="{00000000-0005-0000-0000-000077140000}"/>
    <cellStyle name="Calculation 2 5 3 2 2 9" xfId="8640" xr:uid="{00000000-0005-0000-0000-000078140000}"/>
    <cellStyle name="Calculation 2 5 3 2 3" xfId="8641" xr:uid="{00000000-0005-0000-0000-000079140000}"/>
    <cellStyle name="Calculation 2 5 3 2 3 2" xfId="8642" xr:uid="{00000000-0005-0000-0000-00007A140000}"/>
    <cellStyle name="Calculation 2 5 3 2 3 3" xfId="8643" xr:uid="{00000000-0005-0000-0000-00007B140000}"/>
    <cellStyle name="Calculation 2 5 3 2 4" xfId="8644" xr:uid="{00000000-0005-0000-0000-00007C140000}"/>
    <cellStyle name="Calculation 2 5 3 2 4 2" xfId="8645" xr:uid="{00000000-0005-0000-0000-00007D140000}"/>
    <cellStyle name="Calculation 2 5 3 2 4 3" xfId="8646" xr:uid="{00000000-0005-0000-0000-00007E140000}"/>
    <cellStyle name="Calculation 2 5 3 2 5" xfId="8647" xr:uid="{00000000-0005-0000-0000-00007F140000}"/>
    <cellStyle name="Calculation 2 5 3 2 5 2" xfId="8648" xr:uid="{00000000-0005-0000-0000-000080140000}"/>
    <cellStyle name="Calculation 2 5 3 2 5 3" xfId="8649" xr:uid="{00000000-0005-0000-0000-000081140000}"/>
    <cellStyle name="Calculation 2 5 3 2 6" xfId="8650" xr:uid="{00000000-0005-0000-0000-000082140000}"/>
    <cellStyle name="Calculation 2 5 3 2 6 2" xfId="8651" xr:uid="{00000000-0005-0000-0000-000083140000}"/>
    <cellStyle name="Calculation 2 5 3 2 6 3" xfId="8652" xr:uid="{00000000-0005-0000-0000-000084140000}"/>
    <cellStyle name="Calculation 2 5 3 2 7" xfId="8653" xr:uid="{00000000-0005-0000-0000-000085140000}"/>
    <cellStyle name="Calculation 2 5 3 2 7 2" xfId="8654" xr:uid="{00000000-0005-0000-0000-000086140000}"/>
    <cellStyle name="Calculation 2 5 3 2 7 3" xfId="8655" xr:uid="{00000000-0005-0000-0000-000087140000}"/>
    <cellStyle name="Calculation 2 5 3 2 8" xfId="8656" xr:uid="{00000000-0005-0000-0000-000088140000}"/>
    <cellStyle name="Calculation 2 5 3 2 8 2" xfId="8657" xr:uid="{00000000-0005-0000-0000-000089140000}"/>
    <cellStyle name="Calculation 2 5 3 2 8 3" xfId="8658" xr:uid="{00000000-0005-0000-0000-00008A140000}"/>
    <cellStyle name="Calculation 2 5 3 2 9" xfId="8659" xr:uid="{00000000-0005-0000-0000-00008B140000}"/>
    <cellStyle name="Calculation 2 5 3 3" xfId="8660" xr:uid="{00000000-0005-0000-0000-00008C140000}"/>
    <cellStyle name="Calculation 2 5 3 3 10" xfId="8661" xr:uid="{00000000-0005-0000-0000-00008D140000}"/>
    <cellStyle name="Calculation 2 5 3 3 2" xfId="8662" xr:uid="{00000000-0005-0000-0000-00008E140000}"/>
    <cellStyle name="Calculation 2 5 3 3 2 2" xfId="8663" xr:uid="{00000000-0005-0000-0000-00008F140000}"/>
    <cellStyle name="Calculation 2 5 3 3 2 2 2" xfId="8664" xr:uid="{00000000-0005-0000-0000-000090140000}"/>
    <cellStyle name="Calculation 2 5 3 3 2 2 3" xfId="8665" xr:uid="{00000000-0005-0000-0000-000091140000}"/>
    <cellStyle name="Calculation 2 5 3 3 2 3" xfId="8666" xr:uid="{00000000-0005-0000-0000-000092140000}"/>
    <cellStyle name="Calculation 2 5 3 3 2 3 2" xfId="8667" xr:uid="{00000000-0005-0000-0000-000093140000}"/>
    <cellStyle name="Calculation 2 5 3 3 2 3 3" xfId="8668" xr:uid="{00000000-0005-0000-0000-000094140000}"/>
    <cellStyle name="Calculation 2 5 3 3 2 4" xfId="8669" xr:uid="{00000000-0005-0000-0000-000095140000}"/>
    <cellStyle name="Calculation 2 5 3 3 2 4 2" xfId="8670" xr:uid="{00000000-0005-0000-0000-000096140000}"/>
    <cellStyle name="Calculation 2 5 3 3 2 4 3" xfId="8671" xr:uid="{00000000-0005-0000-0000-000097140000}"/>
    <cellStyle name="Calculation 2 5 3 3 2 5" xfId="8672" xr:uid="{00000000-0005-0000-0000-000098140000}"/>
    <cellStyle name="Calculation 2 5 3 3 2 5 2" xfId="8673" xr:uid="{00000000-0005-0000-0000-000099140000}"/>
    <cellStyle name="Calculation 2 5 3 3 2 5 3" xfId="8674" xr:uid="{00000000-0005-0000-0000-00009A140000}"/>
    <cellStyle name="Calculation 2 5 3 3 2 6" xfId="8675" xr:uid="{00000000-0005-0000-0000-00009B140000}"/>
    <cellStyle name="Calculation 2 5 3 3 2 6 2" xfId="8676" xr:uid="{00000000-0005-0000-0000-00009C140000}"/>
    <cellStyle name="Calculation 2 5 3 3 2 6 3" xfId="8677" xr:uid="{00000000-0005-0000-0000-00009D140000}"/>
    <cellStyle name="Calculation 2 5 3 3 2 7" xfId="8678" xr:uid="{00000000-0005-0000-0000-00009E140000}"/>
    <cellStyle name="Calculation 2 5 3 3 2 7 2" xfId="8679" xr:uid="{00000000-0005-0000-0000-00009F140000}"/>
    <cellStyle name="Calculation 2 5 3 3 2 7 3" xfId="8680" xr:uid="{00000000-0005-0000-0000-0000A0140000}"/>
    <cellStyle name="Calculation 2 5 3 3 2 8" xfId="8681" xr:uid="{00000000-0005-0000-0000-0000A1140000}"/>
    <cellStyle name="Calculation 2 5 3 3 2 9" xfId="8682" xr:uid="{00000000-0005-0000-0000-0000A2140000}"/>
    <cellStyle name="Calculation 2 5 3 3 3" xfId="8683" xr:uid="{00000000-0005-0000-0000-0000A3140000}"/>
    <cellStyle name="Calculation 2 5 3 3 3 2" xfId="8684" xr:uid="{00000000-0005-0000-0000-0000A4140000}"/>
    <cellStyle name="Calculation 2 5 3 3 3 3" xfId="8685" xr:uid="{00000000-0005-0000-0000-0000A5140000}"/>
    <cellStyle name="Calculation 2 5 3 3 4" xfId="8686" xr:uid="{00000000-0005-0000-0000-0000A6140000}"/>
    <cellStyle name="Calculation 2 5 3 3 4 2" xfId="8687" xr:uid="{00000000-0005-0000-0000-0000A7140000}"/>
    <cellStyle name="Calculation 2 5 3 3 4 3" xfId="8688" xr:uid="{00000000-0005-0000-0000-0000A8140000}"/>
    <cellStyle name="Calculation 2 5 3 3 5" xfId="8689" xr:uid="{00000000-0005-0000-0000-0000A9140000}"/>
    <cellStyle name="Calculation 2 5 3 3 5 2" xfId="8690" xr:uid="{00000000-0005-0000-0000-0000AA140000}"/>
    <cellStyle name="Calculation 2 5 3 3 5 3" xfId="8691" xr:uid="{00000000-0005-0000-0000-0000AB140000}"/>
    <cellStyle name="Calculation 2 5 3 3 6" xfId="8692" xr:uid="{00000000-0005-0000-0000-0000AC140000}"/>
    <cellStyle name="Calculation 2 5 3 3 6 2" xfId="8693" xr:uid="{00000000-0005-0000-0000-0000AD140000}"/>
    <cellStyle name="Calculation 2 5 3 3 6 3" xfId="8694" xr:uid="{00000000-0005-0000-0000-0000AE140000}"/>
    <cellStyle name="Calculation 2 5 3 3 7" xfId="8695" xr:uid="{00000000-0005-0000-0000-0000AF140000}"/>
    <cellStyle name="Calculation 2 5 3 3 7 2" xfId="8696" xr:uid="{00000000-0005-0000-0000-0000B0140000}"/>
    <cellStyle name="Calculation 2 5 3 3 7 3" xfId="8697" xr:uid="{00000000-0005-0000-0000-0000B1140000}"/>
    <cellStyle name="Calculation 2 5 3 3 8" xfId="8698" xr:uid="{00000000-0005-0000-0000-0000B2140000}"/>
    <cellStyle name="Calculation 2 5 3 3 8 2" xfId="8699" xr:uid="{00000000-0005-0000-0000-0000B3140000}"/>
    <cellStyle name="Calculation 2 5 3 3 8 3" xfId="8700" xr:uid="{00000000-0005-0000-0000-0000B4140000}"/>
    <cellStyle name="Calculation 2 5 3 3 9" xfId="8701" xr:uid="{00000000-0005-0000-0000-0000B5140000}"/>
    <cellStyle name="Calculation 2 5 3 4" xfId="8702" xr:uid="{00000000-0005-0000-0000-0000B6140000}"/>
    <cellStyle name="Calculation 2 5 3 4 10" xfId="8703" xr:uid="{00000000-0005-0000-0000-0000B7140000}"/>
    <cellStyle name="Calculation 2 5 3 4 2" xfId="8704" xr:uid="{00000000-0005-0000-0000-0000B8140000}"/>
    <cellStyle name="Calculation 2 5 3 4 2 2" xfId="8705" xr:uid="{00000000-0005-0000-0000-0000B9140000}"/>
    <cellStyle name="Calculation 2 5 3 4 2 2 2" xfId="8706" xr:uid="{00000000-0005-0000-0000-0000BA140000}"/>
    <cellStyle name="Calculation 2 5 3 4 2 2 3" xfId="8707" xr:uid="{00000000-0005-0000-0000-0000BB140000}"/>
    <cellStyle name="Calculation 2 5 3 4 2 3" xfId="8708" xr:uid="{00000000-0005-0000-0000-0000BC140000}"/>
    <cellStyle name="Calculation 2 5 3 4 2 3 2" xfId="8709" xr:uid="{00000000-0005-0000-0000-0000BD140000}"/>
    <cellStyle name="Calculation 2 5 3 4 2 3 3" xfId="8710" xr:uid="{00000000-0005-0000-0000-0000BE140000}"/>
    <cellStyle name="Calculation 2 5 3 4 2 4" xfId="8711" xr:uid="{00000000-0005-0000-0000-0000BF140000}"/>
    <cellStyle name="Calculation 2 5 3 4 2 4 2" xfId="8712" xr:uid="{00000000-0005-0000-0000-0000C0140000}"/>
    <cellStyle name="Calculation 2 5 3 4 2 4 3" xfId="8713" xr:uid="{00000000-0005-0000-0000-0000C1140000}"/>
    <cellStyle name="Calculation 2 5 3 4 2 5" xfId="8714" xr:uid="{00000000-0005-0000-0000-0000C2140000}"/>
    <cellStyle name="Calculation 2 5 3 4 2 5 2" xfId="8715" xr:uid="{00000000-0005-0000-0000-0000C3140000}"/>
    <cellStyle name="Calculation 2 5 3 4 2 5 3" xfId="8716" xr:uid="{00000000-0005-0000-0000-0000C4140000}"/>
    <cellStyle name="Calculation 2 5 3 4 2 6" xfId="8717" xr:uid="{00000000-0005-0000-0000-0000C5140000}"/>
    <cellStyle name="Calculation 2 5 3 4 2 6 2" xfId="8718" xr:uid="{00000000-0005-0000-0000-0000C6140000}"/>
    <cellStyle name="Calculation 2 5 3 4 2 6 3" xfId="8719" xr:uid="{00000000-0005-0000-0000-0000C7140000}"/>
    <cellStyle name="Calculation 2 5 3 4 2 7" xfId="8720" xr:uid="{00000000-0005-0000-0000-0000C8140000}"/>
    <cellStyle name="Calculation 2 5 3 4 2 7 2" xfId="8721" xr:uid="{00000000-0005-0000-0000-0000C9140000}"/>
    <cellStyle name="Calculation 2 5 3 4 2 7 3" xfId="8722" xr:uid="{00000000-0005-0000-0000-0000CA140000}"/>
    <cellStyle name="Calculation 2 5 3 4 2 8" xfId="8723" xr:uid="{00000000-0005-0000-0000-0000CB140000}"/>
    <cellStyle name="Calculation 2 5 3 4 2 9" xfId="8724" xr:uid="{00000000-0005-0000-0000-0000CC140000}"/>
    <cellStyle name="Calculation 2 5 3 4 3" xfId="8725" xr:uid="{00000000-0005-0000-0000-0000CD140000}"/>
    <cellStyle name="Calculation 2 5 3 4 3 2" xfId="8726" xr:uid="{00000000-0005-0000-0000-0000CE140000}"/>
    <cellStyle name="Calculation 2 5 3 4 3 3" xfId="8727" xr:uid="{00000000-0005-0000-0000-0000CF140000}"/>
    <cellStyle name="Calculation 2 5 3 4 4" xfId="8728" xr:uid="{00000000-0005-0000-0000-0000D0140000}"/>
    <cellStyle name="Calculation 2 5 3 4 4 2" xfId="8729" xr:uid="{00000000-0005-0000-0000-0000D1140000}"/>
    <cellStyle name="Calculation 2 5 3 4 4 3" xfId="8730" xr:uid="{00000000-0005-0000-0000-0000D2140000}"/>
    <cellStyle name="Calculation 2 5 3 4 5" xfId="8731" xr:uid="{00000000-0005-0000-0000-0000D3140000}"/>
    <cellStyle name="Calculation 2 5 3 4 5 2" xfId="8732" xr:uid="{00000000-0005-0000-0000-0000D4140000}"/>
    <cellStyle name="Calculation 2 5 3 4 5 3" xfId="8733" xr:uid="{00000000-0005-0000-0000-0000D5140000}"/>
    <cellStyle name="Calculation 2 5 3 4 6" xfId="8734" xr:uid="{00000000-0005-0000-0000-0000D6140000}"/>
    <cellStyle name="Calculation 2 5 3 4 6 2" xfId="8735" xr:uid="{00000000-0005-0000-0000-0000D7140000}"/>
    <cellStyle name="Calculation 2 5 3 4 6 3" xfId="8736" xr:uid="{00000000-0005-0000-0000-0000D8140000}"/>
    <cellStyle name="Calculation 2 5 3 4 7" xfId="8737" xr:uid="{00000000-0005-0000-0000-0000D9140000}"/>
    <cellStyle name="Calculation 2 5 3 4 7 2" xfId="8738" xr:uid="{00000000-0005-0000-0000-0000DA140000}"/>
    <cellStyle name="Calculation 2 5 3 4 7 3" xfId="8739" xr:uid="{00000000-0005-0000-0000-0000DB140000}"/>
    <cellStyle name="Calculation 2 5 3 4 8" xfId="8740" xr:uid="{00000000-0005-0000-0000-0000DC140000}"/>
    <cellStyle name="Calculation 2 5 3 4 8 2" xfId="8741" xr:uid="{00000000-0005-0000-0000-0000DD140000}"/>
    <cellStyle name="Calculation 2 5 3 4 8 3" xfId="8742" xr:uid="{00000000-0005-0000-0000-0000DE140000}"/>
    <cellStyle name="Calculation 2 5 3 4 9" xfId="8743" xr:uid="{00000000-0005-0000-0000-0000DF140000}"/>
    <cellStyle name="Calculation 2 5 3 5" xfId="8744" xr:uid="{00000000-0005-0000-0000-0000E0140000}"/>
    <cellStyle name="Calculation 2 5 3 5 2" xfId="8745" xr:uid="{00000000-0005-0000-0000-0000E1140000}"/>
    <cellStyle name="Calculation 2 5 3 5 2 2" xfId="8746" xr:uid="{00000000-0005-0000-0000-0000E2140000}"/>
    <cellStyle name="Calculation 2 5 3 5 2 3" xfId="8747" xr:uid="{00000000-0005-0000-0000-0000E3140000}"/>
    <cellStyle name="Calculation 2 5 3 5 3" xfId="8748" xr:uid="{00000000-0005-0000-0000-0000E4140000}"/>
    <cellStyle name="Calculation 2 5 3 5 3 2" xfId="8749" xr:uid="{00000000-0005-0000-0000-0000E5140000}"/>
    <cellStyle name="Calculation 2 5 3 5 3 3" xfId="8750" xr:uid="{00000000-0005-0000-0000-0000E6140000}"/>
    <cellStyle name="Calculation 2 5 3 5 4" xfId="8751" xr:uid="{00000000-0005-0000-0000-0000E7140000}"/>
    <cellStyle name="Calculation 2 5 3 5 4 2" xfId="8752" xr:uid="{00000000-0005-0000-0000-0000E8140000}"/>
    <cellStyle name="Calculation 2 5 3 5 4 3" xfId="8753" xr:uid="{00000000-0005-0000-0000-0000E9140000}"/>
    <cellStyle name="Calculation 2 5 3 5 5" xfId="8754" xr:uid="{00000000-0005-0000-0000-0000EA140000}"/>
    <cellStyle name="Calculation 2 5 3 5 5 2" xfId="8755" xr:uid="{00000000-0005-0000-0000-0000EB140000}"/>
    <cellStyle name="Calculation 2 5 3 5 5 3" xfId="8756" xr:uid="{00000000-0005-0000-0000-0000EC140000}"/>
    <cellStyle name="Calculation 2 5 3 5 6" xfId="8757" xr:uid="{00000000-0005-0000-0000-0000ED140000}"/>
    <cellStyle name="Calculation 2 5 3 5 6 2" xfId="8758" xr:uid="{00000000-0005-0000-0000-0000EE140000}"/>
    <cellStyle name="Calculation 2 5 3 5 6 3" xfId="8759" xr:uid="{00000000-0005-0000-0000-0000EF140000}"/>
    <cellStyle name="Calculation 2 5 3 5 7" xfId="8760" xr:uid="{00000000-0005-0000-0000-0000F0140000}"/>
    <cellStyle name="Calculation 2 5 3 5 7 2" xfId="8761" xr:uid="{00000000-0005-0000-0000-0000F1140000}"/>
    <cellStyle name="Calculation 2 5 3 5 7 3" xfId="8762" xr:uid="{00000000-0005-0000-0000-0000F2140000}"/>
    <cellStyle name="Calculation 2 5 3 5 8" xfId="8763" xr:uid="{00000000-0005-0000-0000-0000F3140000}"/>
    <cellStyle name="Calculation 2 5 3 5 9" xfId="8764" xr:uid="{00000000-0005-0000-0000-0000F4140000}"/>
    <cellStyle name="Calculation 2 5 3 6" xfId="8765" xr:uid="{00000000-0005-0000-0000-0000F5140000}"/>
    <cellStyle name="Calculation 2 5 3 6 2" xfId="8766" xr:uid="{00000000-0005-0000-0000-0000F6140000}"/>
    <cellStyle name="Calculation 2 5 3 6 3" xfId="8767" xr:uid="{00000000-0005-0000-0000-0000F7140000}"/>
    <cellStyle name="Calculation 2 5 3 7" xfId="8768" xr:uid="{00000000-0005-0000-0000-0000F8140000}"/>
    <cellStyle name="Calculation 2 5 3 7 2" xfId="8769" xr:uid="{00000000-0005-0000-0000-0000F9140000}"/>
    <cellStyle name="Calculation 2 5 3 7 3" xfId="8770" xr:uid="{00000000-0005-0000-0000-0000FA140000}"/>
    <cellStyle name="Calculation 2 5 3 8" xfId="8771" xr:uid="{00000000-0005-0000-0000-0000FB140000}"/>
    <cellStyle name="Calculation 2 5 3 8 2" xfId="8772" xr:uid="{00000000-0005-0000-0000-0000FC140000}"/>
    <cellStyle name="Calculation 2 5 3 8 3" xfId="8773" xr:uid="{00000000-0005-0000-0000-0000FD140000}"/>
    <cellStyle name="Calculation 2 5 3 9" xfId="8774" xr:uid="{00000000-0005-0000-0000-0000FE140000}"/>
    <cellStyle name="Calculation 2 5 3 9 2" xfId="8775" xr:uid="{00000000-0005-0000-0000-0000FF140000}"/>
    <cellStyle name="Calculation 2 5 3 9 3" xfId="8776" xr:uid="{00000000-0005-0000-0000-000000150000}"/>
    <cellStyle name="Calculation 2 5 4" xfId="8777" xr:uid="{00000000-0005-0000-0000-000001150000}"/>
    <cellStyle name="Calculation 2 5 4 10" xfId="43993" xr:uid="{00000000-0005-0000-0000-000002150000}"/>
    <cellStyle name="Calculation 2 5 4 2" xfId="8778" xr:uid="{00000000-0005-0000-0000-000003150000}"/>
    <cellStyle name="Calculation 2 5 4 2 10" xfId="8779" xr:uid="{00000000-0005-0000-0000-000004150000}"/>
    <cellStyle name="Calculation 2 5 4 2 2" xfId="8780" xr:uid="{00000000-0005-0000-0000-000005150000}"/>
    <cellStyle name="Calculation 2 5 4 2 2 2" xfId="8781" xr:uid="{00000000-0005-0000-0000-000006150000}"/>
    <cellStyle name="Calculation 2 5 4 2 2 2 2" xfId="8782" xr:uid="{00000000-0005-0000-0000-000007150000}"/>
    <cellStyle name="Calculation 2 5 4 2 2 2 3" xfId="8783" xr:uid="{00000000-0005-0000-0000-000008150000}"/>
    <cellStyle name="Calculation 2 5 4 2 2 3" xfId="8784" xr:uid="{00000000-0005-0000-0000-000009150000}"/>
    <cellStyle name="Calculation 2 5 4 2 2 3 2" xfId="8785" xr:uid="{00000000-0005-0000-0000-00000A150000}"/>
    <cellStyle name="Calculation 2 5 4 2 2 3 3" xfId="8786" xr:uid="{00000000-0005-0000-0000-00000B150000}"/>
    <cellStyle name="Calculation 2 5 4 2 2 4" xfId="8787" xr:uid="{00000000-0005-0000-0000-00000C150000}"/>
    <cellStyle name="Calculation 2 5 4 2 2 4 2" xfId="8788" xr:uid="{00000000-0005-0000-0000-00000D150000}"/>
    <cellStyle name="Calculation 2 5 4 2 2 4 3" xfId="8789" xr:uid="{00000000-0005-0000-0000-00000E150000}"/>
    <cellStyle name="Calculation 2 5 4 2 2 5" xfId="8790" xr:uid="{00000000-0005-0000-0000-00000F150000}"/>
    <cellStyle name="Calculation 2 5 4 2 2 5 2" xfId="8791" xr:uid="{00000000-0005-0000-0000-000010150000}"/>
    <cellStyle name="Calculation 2 5 4 2 2 5 3" xfId="8792" xr:uid="{00000000-0005-0000-0000-000011150000}"/>
    <cellStyle name="Calculation 2 5 4 2 2 6" xfId="8793" xr:uid="{00000000-0005-0000-0000-000012150000}"/>
    <cellStyle name="Calculation 2 5 4 2 2 6 2" xfId="8794" xr:uid="{00000000-0005-0000-0000-000013150000}"/>
    <cellStyle name="Calculation 2 5 4 2 2 6 3" xfId="8795" xr:uid="{00000000-0005-0000-0000-000014150000}"/>
    <cellStyle name="Calculation 2 5 4 2 2 7" xfId="8796" xr:uid="{00000000-0005-0000-0000-000015150000}"/>
    <cellStyle name="Calculation 2 5 4 2 2 7 2" xfId="8797" xr:uid="{00000000-0005-0000-0000-000016150000}"/>
    <cellStyle name="Calculation 2 5 4 2 2 7 3" xfId="8798" xr:uid="{00000000-0005-0000-0000-000017150000}"/>
    <cellStyle name="Calculation 2 5 4 2 2 8" xfId="8799" xr:uid="{00000000-0005-0000-0000-000018150000}"/>
    <cellStyle name="Calculation 2 5 4 2 2 9" xfId="8800" xr:uid="{00000000-0005-0000-0000-000019150000}"/>
    <cellStyle name="Calculation 2 5 4 2 3" xfId="8801" xr:uid="{00000000-0005-0000-0000-00001A150000}"/>
    <cellStyle name="Calculation 2 5 4 2 3 2" xfId="8802" xr:uid="{00000000-0005-0000-0000-00001B150000}"/>
    <cellStyle name="Calculation 2 5 4 2 3 3" xfId="8803" xr:uid="{00000000-0005-0000-0000-00001C150000}"/>
    <cellStyle name="Calculation 2 5 4 2 4" xfId="8804" xr:uid="{00000000-0005-0000-0000-00001D150000}"/>
    <cellStyle name="Calculation 2 5 4 2 4 2" xfId="8805" xr:uid="{00000000-0005-0000-0000-00001E150000}"/>
    <cellStyle name="Calculation 2 5 4 2 4 3" xfId="8806" xr:uid="{00000000-0005-0000-0000-00001F150000}"/>
    <cellStyle name="Calculation 2 5 4 2 5" xfId="8807" xr:uid="{00000000-0005-0000-0000-000020150000}"/>
    <cellStyle name="Calculation 2 5 4 2 5 2" xfId="8808" xr:uid="{00000000-0005-0000-0000-000021150000}"/>
    <cellStyle name="Calculation 2 5 4 2 5 3" xfId="8809" xr:uid="{00000000-0005-0000-0000-000022150000}"/>
    <cellStyle name="Calculation 2 5 4 2 6" xfId="8810" xr:uid="{00000000-0005-0000-0000-000023150000}"/>
    <cellStyle name="Calculation 2 5 4 2 6 2" xfId="8811" xr:uid="{00000000-0005-0000-0000-000024150000}"/>
    <cellStyle name="Calculation 2 5 4 2 6 3" xfId="8812" xr:uid="{00000000-0005-0000-0000-000025150000}"/>
    <cellStyle name="Calculation 2 5 4 2 7" xfId="8813" xr:uid="{00000000-0005-0000-0000-000026150000}"/>
    <cellStyle name="Calculation 2 5 4 2 7 2" xfId="8814" xr:uid="{00000000-0005-0000-0000-000027150000}"/>
    <cellStyle name="Calculation 2 5 4 2 7 3" xfId="8815" xr:uid="{00000000-0005-0000-0000-000028150000}"/>
    <cellStyle name="Calculation 2 5 4 2 8" xfId="8816" xr:uid="{00000000-0005-0000-0000-000029150000}"/>
    <cellStyle name="Calculation 2 5 4 2 8 2" xfId="8817" xr:uid="{00000000-0005-0000-0000-00002A150000}"/>
    <cellStyle name="Calculation 2 5 4 2 8 3" xfId="8818" xr:uid="{00000000-0005-0000-0000-00002B150000}"/>
    <cellStyle name="Calculation 2 5 4 2 9" xfId="8819" xr:uid="{00000000-0005-0000-0000-00002C150000}"/>
    <cellStyle name="Calculation 2 5 4 3" xfId="8820" xr:uid="{00000000-0005-0000-0000-00002D150000}"/>
    <cellStyle name="Calculation 2 5 4 3 10" xfId="8821" xr:uid="{00000000-0005-0000-0000-00002E150000}"/>
    <cellStyle name="Calculation 2 5 4 3 2" xfId="8822" xr:uid="{00000000-0005-0000-0000-00002F150000}"/>
    <cellStyle name="Calculation 2 5 4 3 2 2" xfId="8823" xr:uid="{00000000-0005-0000-0000-000030150000}"/>
    <cellStyle name="Calculation 2 5 4 3 2 2 2" xfId="8824" xr:uid="{00000000-0005-0000-0000-000031150000}"/>
    <cellStyle name="Calculation 2 5 4 3 2 2 3" xfId="8825" xr:uid="{00000000-0005-0000-0000-000032150000}"/>
    <cellStyle name="Calculation 2 5 4 3 2 3" xfId="8826" xr:uid="{00000000-0005-0000-0000-000033150000}"/>
    <cellStyle name="Calculation 2 5 4 3 2 3 2" xfId="8827" xr:uid="{00000000-0005-0000-0000-000034150000}"/>
    <cellStyle name="Calculation 2 5 4 3 2 3 3" xfId="8828" xr:uid="{00000000-0005-0000-0000-000035150000}"/>
    <cellStyle name="Calculation 2 5 4 3 2 4" xfId="8829" xr:uid="{00000000-0005-0000-0000-000036150000}"/>
    <cellStyle name="Calculation 2 5 4 3 2 4 2" xfId="8830" xr:uid="{00000000-0005-0000-0000-000037150000}"/>
    <cellStyle name="Calculation 2 5 4 3 2 4 3" xfId="8831" xr:uid="{00000000-0005-0000-0000-000038150000}"/>
    <cellStyle name="Calculation 2 5 4 3 2 5" xfId="8832" xr:uid="{00000000-0005-0000-0000-000039150000}"/>
    <cellStyle name="Calculation 2 5 4 3 2 5 2" xfId="8833" xr:uid="{00000000-0005-0000-0000-00003A150000}"/>
    <cellStyle name="Calculation 2 5 4 3 2 5 3" xfId="8834" xr:uid="{00000000-0005-0000-0000-00003B150000}"/>
    <cellStyle name="Calculation 2 5 4 3 2 6" xfId="8835" xr:uid="{00000000-0005-0000-0000-00003C150000}"/>
    <cellStyle name="Calculation 2 5 4 3 2 6 2" xfId="8836" xr:uid="{00000000-0005-0000-0000-00003D150000}"/>
    <cellStyle name="Calculation 2 5 4 3 2 6 3" xfId="8837" xr:uid="{00000000-0005-0000-0000-00003E150000}"/>
    <cellStyle name="Calculation 2 5 4 3 2 7" xfId="8838" xr:uid="{00000000-0005-0000-0000-00003F150000}"/>
    <cellStyle name="Calculation 2 5 4 3 2 7 2" xfId="8839" xr:uid="{00000000-0005-0000-0000-000040150000}"/>
    <cellStyle name="Calculation 2 5 4 3 2 7 3" xfId="8840" xr:uid="{00000000-0005-0000-0000-000041150000}"/>
    <cellStyle name="Calculation 2 5 4 3 2 8" xfId="8841" xr:uid="{00000000-0005-0000-0000-000042150000}"/>
    <cellStyle name="Calculation 2 5 4 3 2 9" xfId="8842" xr:uid="{00000000-0005-0000-0000-000043150000}"/>
    <cellStyle name="Calculation 2 5 4 3 3" xfId="8843" xr:uid="{00000000-0005-0000-0000-000044150000}"/>
    <cellStyle name="Calculation 2 5 4 3 3 2" xfId="8844" xr:uid="{00000000-0005-0000-0000-000045150000}"/>
    <cellStyle name="Calculation 2 5 4 3 3 3" xfId="8845" xr:uid="{00000000-0005-0000-0000-000046150000}"/>
    <cellStyle name="Calculation 2 5 4 3 4" xfId="8846" xr:uid="{00000000-0005-0000-0000-000047150000}"/>
    <cellStyle name="Calculation 2 5 4 3 4 2" xfId="8847" xr:uid="{00000000-0005-0000-0000-000048150000}"/>
    <cellStyle name="Calculation 2 5 4 3 4 3" xfId="8848" xr:uid="{00000000-0005-0000-0000-000049150000}"/>
    <cellStyle name="Calculation 2 5 4 3 5" xfId="8849" xr:uid="{00000000-0005-0000-0000-00004A150000}"/>
    <cellStyle name="Calculation 2 5 4 3 5 2" xfId="8850" xr:uid="{00000000-0005-0000-0000-00004B150000}"/>
    <cellStyle name="Calculation 2 5 4 3 5 3" xfId="8851" xr:uid="{00000000-0005-0000-0000-00004C150000}"/>
    <cellStyle name="Calculation 2 5 4 3 6" xfId="8852" xr:uid="{00000000-0005-0000-0000-00004D150000}"/>
    <cellStyle name="Calculation 2 5 4 3 6 2" xfId="8853" xr:uid="{00000000-0005-0000-0000-00004E150000}"/>
    <cellStyle name="Calculation 2 5 4 3 6 3" xfId="8854" xr:uid="{00000000-0005-0000-0000-00004F150000}"/>
    <cellStyle name="Calculation 2 5 4 3 7" xfId="8855" xr:uid="{00000000-0005-0000-0000-000050150000}"/>
    <cellStyle name="Calculation 2 5 4 3 7 2" xfId="8856" xr:uid="{00000000-0005-0000-0000-000051150000}"/>
    <cellStyle name="Calculation 2 5 4 3 7 3" xfId="8857" xr:uid="{00000000-0005-0000-0000-000052150000}"/>
    <cellStyle name="Calculation 2 5 4 3 8" xfId="8858" xr:uid="{00000000-0005-0000-0000-000053150000}"/>
    <cellStyle name="Calculation 2 5 4 3 8 2" xfId="8859" xr:uid="{00000000-0005-0000-0000-000054150000}"/>
    <cellStyle name="Calculation 2 5 4 3 8 3" xfId="8860" xr:uid="{00000000-0005-0000-0000-000055150000}"/>
    <cellStyle name="Calculation 2 5 4 3 9" xfId="8861" xr:uid="{00000000-0005-0000-0000-000056150000}"/>
    <cellStyle name="Calculation 2 5 4 4" xfId="8862" xr:uid="{00000000-0005-0000-0000-000057150000}"/>
    <cellStyle name="Calculation 2 5 4 4 10" xfId="8863" xr:uid="{00000000-0005-0000-0000-000058150000}"/>
    <cellStyle name="Calculation 2 5 4 4 2" xfId="8864" xr:uid="{00000000-0005-0000-0000-000059150000}"/>
    <cellStyle name="Calculation 2 5 4 4 2 2" xfId="8865" xr:uid="{00000000-0005-0000-0000-00005A150000}"/>
    <cellStyle name="Calculation 2 5 4 4 2 2 2" xfId="8866" xr:uid="{00000000-0005-0000-0000-00005B150000}"/>
    <cellStyle name="Calculation 2 5 4 4 2 2 3" xfId="8867" xr:uid="{00000000-0005-0000-0000-00005C150000}"/>
    <cellStyle name="Calculation 2 5 4 4 2 3" xfId="8868" xr:uid="{00000000-0005-0000-0000-00005D150000}"/>
    <cellStyle name="Calculation 2 5 4 4 2 3 2" xfId="8869" xr:uid="{00000000-0005-0000-0000-00005E150000}"/>
    <cellStyle name="Calculation 2 5 4 4 2 3 3" xfId="8870" xr:uid="{00000000-0005-0000-0000-00005F150000}"/>
    <cellStyle name="Calculation 2 5 4 4 2 4" xfId="8871" xr:uid="{00000000-0005-0000-0000-000060150000}"/>
    <cellStyle name="Calculation 2 5 4 4 2 4 2" xfId="8872" xr:uid="{00000000-0005-0000-0000-000061150000}"/>
    <cellStyle name="Calculation 2 5 4 4 2 4 3" xfId="8873" xr:uid="{00000000-0005-0000-0000-000062150000}"/>
    <cellStyle name="Calculation 2 5 4 4 2 5" xfId="8874" xr:uid="{00000000-0005-0000-0000-000063150000}"/>
    <cellStyle name="Calculation 2 5 4 4 2 5 2" xfId="8875" xr:uid="{00000000-0005-0000-0000-000064150000}"/>
    <cellStyle name="Calculation 2 5 4 4 2 5 3" xfId="8876" xr:uid="{00000000-0005-0000-0000-000065150000}"/>
    <cellStyle name="Calculation 2 5 4 4 2 6" xfId="8877" xr:uid="{00000000-0005-0000-0000-000066150000}"/>
    <cellStyle name="Calculation 2 5 4 4 2 6 2" xfId="8878" xr:uid="{00000000-0005-0000-0000-000067150000}"/>
    <cellStyle name="Calculation 2 5 4 4 2 6 3" xfId="8879" xr:uid="{00000000-0005-0000-0000-000068150000}"/>
    <cellStyle name="Calculation 2 5 4 4 2 7" xfId="8880" xr:uid="{00000000-0005-0000-0000-000069150000}"/>
    <cellStyle name="Calculation 2 5 4 4 2 7 2" xfId="8881" xr:uid="{00000000-0005-0000-0000-00006A150000}"/>
    <cellStyle name="Calculation 2 5 4 4 2 7 3" xfId="8882" xr:uid="{00000000-0005-0000-0000-00006B150000}"/>
    <cellStyle name="Calculation 2 5 4 4 2 8" xfId="8883" xr:uid="{00000000-0005-0000-0000-00006C150000}"/>
    <cellStyle name="Calculation 2 5 4 4 2 9" xfId="8884" xr:uid="{00000000-0005-0000-0000-00006D150000}"/>
    <cellStyle name="Calculation 2 5 4 4 3" xfId="8885" xr:uid="{00000000-0005-0000-0000-00006E150000}"/>
    <cellStyle name="Calculation 2 5 4 4 3 2" xfId="8886" xr:uid="{00000000-0005-0000-0000-00006F150000}"/>
    <cellStyle name="Calculation 2 5 4 4 3 3" xfId="8887" xr:uid="{00000000-0005-0000-0000-000070150000}"/>
    <cellStyle name="Calculation 2 5 4 4 4" xfId="8888" xr:uid="{00000000-0005-0000-0000-000071150000}"/>
    <cellStyle name="Calculation 2 5 4 4 4 2" xfId="8889" xr:uid="{00000000-0005-0000-0000-000072150000}"/>
    <cellStyle name="Calculation 2 5 4 4 4 3" xfId="8890" xr:uid="{00000000-0005-0000-0000-000073150000}"/>
    <cellStyle name="Calculation 2 5 4 4 5" xfId="8891" xr:uid="{00000000-0005-0000-0000-000074150000}"/>
    <cellStyle name="Calculation 2 5 4 4 5 2" xfId="8892" xr:uid="{00000000-0005-0000-0000-000075150000}"/>
    <cellStyle name="Calculation 2 5 4 4 5 3" xfId="8893" xr:uid="{00000000-0005-0000-0000-000076150000}"/>
    <cellStyle name="Calculation 2 5 4 4 6" xfId="8894" xr:uid="{00000000-0005-0000-0000-000077150000}"/>
    <cellStyle name="Calculation 2 5 4 4 6 2" xfId="8895" xr:uid="{00000000-0005-0000-0000-000078150000}"/>
    <cellStyle name="Calculation 2 5 4 4 6 3" xfId="8896" xr:uid="{00000000-0005-0000-0000-000079150000}"/>
    <cellStyle name="Calculation 2 5 4 4 7" xfId="8897" xr:uid="{00000000-0005-0000-0000-00007A150000}"/>
    <cellStyle name="Calculation 2 5 4 4 7 2" xfId="8898" xr:uid="{00000000-0005-0000-0000-00007B150000}"/>
    <cellStyle name="Calculation 2 5 4 4 7 3" xfId="8899" xr:uid="{00000000-0005-0000-0000-00007C150000}"/>
    <cellStyle name="Calculation 2 5 4 4 8" xfId="8900" xr:uid="{00000000-0005-0000-0000-00007D150000}"/>
    <cellStyle name="Calculation 2 5 4 4 8 2" xfId="8901" xr:uid="{00000000-0005-0000-0000-00007E150000}"/>
    <cellStyle name="Calculation 2 5 4 4 8 3" xfId="8902" xr:uid="{00000000-0005-0000-0000-00007F150000}"/>
    <cellStyle name="Calculation 2 5 4 4 9" xfId="8903" xr:uid="{00000000-0005-0000-0000-000080150000}"/>
    <cellStyle name="Calculation 2 5 4 5" xfId="8904" xr:uid="{00000000-0005-0000-0000-000081150000}"/>
    <cellStyle name="Calculation 2 5 4 5 2" xfId="8905" xr:uid="{00000000-0005-0000-0000-000082150000}"/>
    <cellStyle name="Calculation 2 5 4 5 2 2" xfId="8906" xr:uid="{00000000-0005-0000-0000-000083150000}"/>
    <cellStyle name="Calculation 2 5 4 5 2 3" xfId="8907" xr:uid="{00000000-0005-0000-0000-000084150000}"/>
    <cellStyle name="Calculation 2 5 4 5 3" xfId="8908" xr:uid="{00000000-0005-0000-0000-000085150000}"/>
    <cellStyle name="Calculation 2 5 4 5 3 2" xfId="8909" xr:uid="{00000000-0005-0000-0000-000086150000}"/>
    <cellStyle name="Calculation 2 5 4 5 3 3" xfId="8910" xr:uid="{00000000-0005-0000-0000-000087150000}"/>
    <cellStyle name="Calculation 2 5 4 5 4" xfId="8911" xr:uid="{00000000-0005-0000-0000-000088150000}"/>
    <cellStyle name="Calculation 2 5 4 5 4 2" xfId="8912" xr:uid="{00000000-0005-0000-0000-000089150000}"/>
    <cellStyle name="Calculation 2 5 4 5 4 3" xfId="8913" xr:uid="{00000000-0005-0000-0000-00008A150000}"/>
    <cellStyle name="Calculation 2 5 4 5 5" xfId="8914" xr:uid="{00000000-0005-0000-0000-00008B150000}"/>
    <cellStyle name="Calculation 2 5 4 5 5 2" xfId="8915" xr:uid="{00000000-0005-0000-0000-00008C150000}"/>
    <cellStyle name="Calculation 2 5 4 5 5 3" xfId="8916" xr:uid="{00000000-0005-0000-0000-00008D150000}"/>
    <cellStyle name="Calculation 2 5 4 5 6" xfId="8917" xr:uid="{00000000-0005-0000-0000-00008E150000}"/>
    <cellStyle name="Calculation 2 5 4 5 6 2" xfId="8918" xr:uid="{00000000-0005-0000-0000-00008F150000}"/>
    <cellStyle name="Calculation 2 5 4 5 6 3" xfId="8919" xr:uid="{00000000-0005-0000-0000-000090150000}"/>
    <cellStyle name="Calculation 2 5 4 5 7" xfId="8920" xr:uid="{00000000-0005-0000-0000-000091150000}"/>
    <cellStyle name="Calculation 2 5 4 5 7 2" xfId="8921" xr:uid="{00000000-0005-0000-0000-000092150000}"/>
    <cellStyle name="Calculation 2 5 4 5 7 3" xfId="8922" xr:uid="{00000000-0005-0000-0000-000093150000}"/>
    <cellStyle name="Calculation 2 5 4 5 8" xfId="8923" xr:uid="{00000000-0005-0000-0000-000094150000}"/>
    <cellStyle name="Calculation 2 5 4 5 9" xfId="8924" xr:uid="{00000000-0005-0000-0000-000095150000}"/>
    <cellStyle name="Calculation 2 5 4 6" xfId="8925" xr:uid="{00000000-0005-0000-0000-000096150000}"/>
    <cellStyle name="Calculation 2 5 4 6 2" xfId="8926" xr:uid="{00000000-0005-0000-0000-000097150000}"/>
    <cellStyle name="Calculation 2 5 4 6 3" xfId="8927" xr:uid="{00000000-0005-0000-0000-000098150000}"/>
    <cellStyle name="Calculation 2 5 4 7" xfId="8928" xr:uid="{00000000-0005-0000-0000-000099150000}"/>
    <cellStyle name="Calculation 2 5 4 7 2" xfId="8929" xr:uid="{00000000-0005-0000-0000-00009A150000}"/>
    <cellStyle name="Calculation 2 5 4 7 3" xfId="8930" xr:uid="{00000000-0005-0000-0000-00009B150000}"/>
    <cellStyle name="Calculation 2 5 4 8" xfId="8931" xr:uid="{00000000-0005-0000-0000-00009C150000}"/>
    <cellStyle name="Calculation 2 5 4 8 2" xfId="8932" xr:uid="{00000000-0005-0000-0000-00009D150000}"/>
    <cellStyle name="Calculation 2 5 4 8 3" xfId="8933" xr:uid="{00000000-0005-0000-0000-00009E150000}"/>
    <cellStyle name="Calculation 2 5 4 9" xfId="8934" xr:uid="{00000000-0005-0000-0000-00009F150000}"/>
    <cellStyle name="Calculation 2 5 4 9 2" xfId="8935" xr:uid="{00000000-0005-0000-0000-0000A0150000}"/>
    <cellStyle name="Calculation 2 5 4 9 3" xfId="8936" xr:uid="{00000000-0005-0000-0000-0000A1150000}"/>
    <cellStyle name="Calculation 2 5 5" xfId="8937" xr:uid="{00000000-0005-0000-0000-0000A2150000}"/>
    <cellStyle name="Calculation 2 5 5 10" xfId="43994" xr:uid="{00000000-0005-0000-0000-0000A3150000}"/>
    <cellStyle name="Calculation 2 5 5 2" xfId="8938" xr:uid="{00000000-0005-0000-0000-0000A4150000}"/>
    <cellStyle name="Calculation 2 5 5 2 10" xfId="8939" xr:uid="{00000000-0005-0000-0000-0000A5150000}"/>
    <cellStyle name="Calculation 2 5 5 2 2" xfId="8940" xr:uid="{00000000-0005-0000-0000-0000A6150000}"/>
    <cellStyle name="Calculation 2 5 5 2 2 2" xfId="8941" xr:uid="{00000000-0005-0000-0000-0000A7150000}"/>
    <cellStyle name="Calculation 2 5 5 2 2 2 2" xfId="8942" xr:uid="{00000000-0005-0000-0000-0000A8150000}"/>
    <cellStyle name="Calculation 2 5 5 2 2 2 3" xfId="8943" xr:uid="{00000000-0005-0000-0000-0000A9150000}"/>
    <cellStyle name="Calculation 2 5 5 2 2 3" xfId="8944" xr:uid="{00000000-0005-0000-0000-0000AA150000}"/>
    <cellStyle name="Calculation 2 5 5 2 2 3 2" xfId="8945" xr:uid="{00000000-0005-0000-0000-0000AB150000}"/>
    <cellStyle name="Calculation 2 5 5 2 2 3 3" xfId="8946" xr:uid="{00000000-0005-0000-0000-0000AC150000}"/>
    <cellStyle name="Calculation 2 5 5 2 2 4" xfId="8947" xr:uid="{00000000-0005-0000-0000-0000AD150000}"/>
    <cellStyle name="Calculation 2 5 5 2 2 4 2" xfId="8948" xr:uid="{00000000-0005-0000-0000-0000AE150000}"/>
    <cellStyle name="Calculation 2 5 5 2 2 4 3" xfId="8949" xr:uid="{00000000-0005-0000-0000-0000AF150000}"/>
    <cellStyle name="Calculation 2 5 5 2 2 5" xfId="8950" xr:uid="{00000000-0005-0000-0000-0000B0150000}"/>
    <cellStyle name="Calculation 2 5 5 2 2 5 2" xfId="8951" xr:uid="{00000000-0005-0000-0000-0000B1150000}"/>
    <cellStyle name="Calculation 2 5 5 2 2 5 3" xfId="8952" xr:uid="{00000000-0005-0000-0000-0000B2150000}"/>
    <cellStyle name="Calculation 2 5 5 2 2 6" xfId="8953" xr:uid="{00000000-0005-0000-0000-0000B3150000}"/>
    <cellStyle name="Calculation 2 5 5 2 2 6 2" xfId="8954" xr:uid="{00000000-0005-0000-0000-0000B4150000}"/>
    <cellStyle name="Calculation 2 5 5 2 2 6 3" xfId="8955" xr:uid="{00000000-0005-0000-0000-0000B5150000}"/>
    <cellStyle name="Calculation 2 5 5 2 2 7" xfId="8956" xr:uid="{00000000-0005-0000-0000-0000B6150000}"/>
    <cellStyle name="Calculation 2 5 5 2 2 7 2" xfId="8957" xr:uid="{00000000-0005-0000-0000-0000B7150000}"/>
    <cellStyle name="Calculation 2 5 5 2 2 7 3" xfId="8958" xr:uid="{00000000-0005-0000-0000-0000B8150000}"/>
    <cellStyle name="Calculation 2 5 5 2 2 8" xfId="8959" xr:uid="{00000000-0005-0000-0000-0000B9150000}"/>
    <cellStyle name="Calculation 2 5 5 2 2 9" xfId="8960" xr:uid="{00000000-0005-0000-0000-0000BA150000}"/>
    <cellStyle name="Calculation 2 5 5 2 3" xfId="8961" xr:uid="{00000000-0005-0000-0000-0000BB150000}"/>
    <cellStyle name="Calculation 2 5 5 2 3 2" xfId="8962" xr:uid="{00000000-0005-0000-0000-0000BC150000}"/>
    <cellStyle name="Calculation 2 5 5 2 3 3" xfId="8963" xr:uid="{00000000-0005-0000-0000-0000BD150000}"/>
    <cellStyle name="Calculation 2 5 5 2 4" xfId="8964" xr:uid="{00000000-0005-0000-0000-0000BE150000}"/>
    <cellStyle name="Calculation 2 5 5 2 4 2" xfId="8965" xr:uid="{00000000-0005-0000-0000-0000BF150000}"/>
    <cellStyle name="Calculation 2 5 5 2 4 3" xfId="8966" xr:uid="{00000000-0005-0000-0000-0000C0150000}"/>
    <cellStyle name="Calculation 2 5 5 2 5" xfId="8967" xr:uid="{00000000-0005-0000-0000-0000C1150000}"/>
    <cellStyle name="Calculation 2 5 5 2 5 2" xfId="8968" xr:uid="{00000000-0005-0000-0000-0000C2150000}"/>
    <cellStyle name="Calculation 2 5 5 2 5 3" xfId="8969" xr:uid="{00000000-0005-0000-0000-0000C3150000}"/>
    <cellStyle name="Calculation 2 5 5 2 6" xfId="8970" xr:uid="{00000000-0005-0000-0000-0000C4150000}"/>
    <cellStyle name="Calculation 2 5 5 2 6 2" xfId="8971" xr:uid="{00000000-0005-0000-0000-0000C5150000}"/>
    <cellStyle name="Calculation 2 5 5 2 6 3" xfId="8972" xr:uid="{00000000-0005-0000-0000-0000C6150000}"/>
    <cellStyle name="Calculation 2 5 5 2 7" xfId="8973" xr:uid="{00000000-0005-0000-0000-0000C7150000}"/>
    <cellStyle name="Calculation 2 5 5 2 7 2" xfId="8974" xr:uid="{00000000-0005-0000-0000-0000C8150000}"/>
    <cellStyle name="Calculation 2 5 5 2 7 3" xfId="8975" xr:uid="{00000000-0005-0000-0000-0000C9150000}"/>
    <cellStyle name="Calculation 2 5 5 2 8" xfId="8976" xr:uid="{00000000-0005-0000-0000-0000CA150000}"/>
    <cellStyle name="Calculation 2 5 5 2 8 2" xfId="8977" xr:uid="{00000000-0005-0000-0000-0000CB150000}"/>
    <cellStyle name="Calculation 2 5 5 2 8 3" xfId="8978" xr:uid="{00000000-0005-0000-0000-0000CC150000}"/>
    <cellStyle name="Calculation 2 5 5 2 9" xfId="8979" xr:uid="{00000000-0005-0000-0000-0000CD150000}"/>
    <cellStyle name="Calculation 2 5 5 3" xfId="8980" xr:uid="{00000000-0005-0000-0000-0000CE150000}"/>
    <cellStyle name="Calculation 2 5 5 3 10" xfId="8981" xr:uid="{00000000-0005-0000-0000-0000CF150000}"/>
    <cellStyle name="Calculation 2 5 5 3 2" xfId="8982" xr:uid="{00000000-0005-0000-0000-0000D0150000}"/>
    <cellStyle name="Calculation 2 5 5 3 2 2" xfId="8983" xr:uid="{00000000-0005-0000-0000-0000D1150000}"/>
    <cellStyle name="Calculation 2 5 5 3 2 2 2" xfId="8984" xr:uid="{00000000-0005-0000-0000-0000D2150000}"/>
    <cellStyle name="Calculation 2 5 5 3 2 2 3" xfId="8985" xr:uid="{00000000-0005-0000-0000-0000D3150000}"/>
    <cellStyle name="Calculation 2 5 5 3 2 3" xfId="8986" xr:uid="{00000000-0005-0000-0000-0000D4150000}"/>
    <cellStyle name="Calculation 2 5 5 3 2 3 2" xfId="8987" xr:uid="{00000000-0005-0000-0000-0000D5150000}"/>
    <cellStyle name="Calculation 2 5 5 3 2 3 3" xfId="8988" xr:uid="{00000000-0005-0000-0000-0000D6150000}"/>
    <cellStyle name="Calculation 2 5 5 3 2 4" xfId="8989" xr:uid="{00000000-0005-0000-0000-0000D7150000}"/>
    <cellStyle name="Calculation 2 5 5 3 2 4 2" xfId="8990" xr:uid="{00000000-0005-0000-0000-0000D8150000}"/>
    <cellStyle name="Calculation 2 5 5 3 2 4 3" xfId="8991" xr:uid="{00000000-0005-0000-0000-0000D9150000}"/>
    <cellStyle name="Calculation 2 5 5 3 2 5" xfId="8992" xr:uid="{00000000-0005-0000-0000-0000DA150000}"/>
    <cellStyle name="Calculation 2 5 5 3 2 5 2" xfId="8993" xr:uid="{00000000-0005-0000-0000-0000DB150000}"/>
    <cellStyle name="Calculation 2 5 5 3 2 5 3" xfId="8994" xr:uid="{00000000-0005-0000-0000-0000DC150000}"/>
    <cellStyle name="Calculation 2 5 5 3 2 6" xfId="8995" xr:uid="{00000000-0005-0000-0000-0000DD150000}"/>
    <cellStyle name="Calculation 2 5 5 3 2 6 2" xfId="8996" xr:uid="{00000000-0005-0000-0000-0000DE150000}"/>
    <cellStyle name="Calculation 2 5 5 3 2 6 3" xfId="8997" xr:uid="{00000000-0005-0000-0000-0000DF150000}"/>
    <cellStyle name="Calculation 2 5 5 3 2 7" xfId="8998" xr:uid="{00000000-0005-0000-0000-0000E0150000}"/>
    <cellStyle name="Calculation 2 5 5 3 2 7 2" xfId="8999" xr:uid="{00000000-0005-0000-0000-0000E1150000}"/>
    <cellStyle name="Calculation 2 5 5 3 2 7 3" xfId="9000" xr:uid="{00000000-0005-0000-0000-0000E2150000}"/>
    <cellStyle name="Calculation 2 5 5 3 2 8" xfId="9001" xr:uid="{00000000-0005-0000-0000-0000E3150000}"/>
    <cellStyle name="Calculation 2 5 5 3 2 9" xfId="9002" xr:uid="{00000000-0005-0000-0000-0000E4150000}"/>
    <cellStyle name="Calculation 2 5 5 3 3" xfId="9003" xr:uid="{00000000-0005-0000-0000-0000E5150000}"/>
    <cellStyle name="Calculation 2 5 5 3 3 2" xfId="9004" xr:uid="{00000000-0005-0000-0000-0000E6150000}"/>
    <cellStyle name="Calculation 2 5 5 3 3 3" xfId="9005" xr:uid="{00000000-0005-0000-0000-0000E7150000}"/>
    <cellStyle name="Calculation 2 5 5 3 4" xfId="9006" xr:uid="{00000000-0005-0000-0000-0000E8150000}"/>
    <cellStyle name="Calculation 2 5 5 3 4 2" xfId="9007" xr:uid="{00000000-0005-0000-0000-0000E9150000}"/>
    <cellStyle name="Calculation 2 5 5 3 4 3" xfId="9008" xr:uid="{00000000-0005-0000-0000-0000EA150000}"/>
    <cellStyle name="Calculation 2 5 5 3 5" xfId="9009" xr:uid="{00000000-0005-0000-0000-0000EB150000}"/>
    <cellStyle name="Calculation 2 5 5 3 5 2" xfId="9010" xr:uid="{00000000-0005-0000-0000-0000EC150000}"/>
    <cellStyle name="Calculation 2 5 5 3 5 3" xfId="9011" xr:uid="{00000000-0005-0000-0000-0000ED150000}"/>
    <cellStyle name="Calculation 2 5 5 3 6" xfId="9012" xr:uid="{00000000-0005-0000-0000-0000EE150000}"/>
    <cellStyle name="Calculation 2 5 5 3 6 2" xfId="9013" xr:uid="{00000000-0005-0000-0000-0000EF150000}"/>
    <cellStyle name="Calculation 2 5 5 3 6 3" xfId="9014" xr:uid="{00000000-0005-0000-0000-0000F0150000}"/>
    <cellStyle name="Calculation 2 5 5 3 7" xfId="9015" xr:uid="{00000000-0005-0000-0000-0000F1150000}"/>
    <cellStyle name="Calculation 2 5 5 3 7 2" xfId="9016" xr:uid="{00000000-0005-0000-0000-0000F2150000}"/>
    <cellStyle name="Calculation 2 5 5 3 7 3" xfId="9017" xr:uid="{00000000-0005-0000-0000-0000F3150000}"/>
    <cellStyle name="Calculation 2 5 5 3 8" xfId="9018" xr:uid="{00000000-0005-0000-0000-0000F4150000}"/>
    <cellStyle name="Calculation 2 5 5 3 8 2" xfId="9019" xr:uid="{00000000-0005-0000-0000-0000F5150000}"/>
    <cellStyle name="Calculation 2 5 5 3 8 3" xfId="9020" xr:uid="{00000000-0005-0000-0000-0000F6150000}"/>
    <cellStyle name="Calculation 2 5 5 3 9" xfId="9021" xr:uid="{00000000-0005-0000-0000-0000F7150000}"/>
    <cellStyle name="Calculation 2 5 5 4" xfId="9022" xr:uid="{00000000-0005-0000-0000-0000F8150000}"/>
    <cellStyle name="Calculation 2 5 5 4 10" xfId="9023" xr:uid="{00000000-0005-0000-0000-0000F9150000}"/>
    <cellStyle name="Calculation 2 5 5 4 2" xfId="9024" xr:uid="{00000000-0005-0000-0000-0000FA150000}"/>
    <cellStyle name="Calculation 2 5 5 4 2 2" xfId="9025" xr:uid="{00000000-0005-0000-0000-0000FB150000}"/>
    <cellStyle name="Calculation 2 5 5 4 2 2 2" xfId="9026" xr:uid="{00000000-0005-0000-0000-0000FC150000}"/>
    <cellStyle name="Calculation 2 5 5 4 2 2 3" xfId="9027" xr:uid="{00000000-0005-0000-0000-0000FD150000}"/>
    <cellStyle name="Calculation 2 5 5 4 2 3" xfId="9028" xr:uid="{00000000-0005-0000-0000-0000FE150000}"/>
    <cellStyle name="Calculation 2 5 5 4 2 3 2" xfId="9029" xr:uid="{00000000-0005-0000-0000-0000FF150000}"/>
    <cellStyle name="Calculation 2 5 5 4 2 3 3" xfId="9030" xr:uid="{00000000-0005-0000-0000-000000160000}"/>
    <cellStyle name="Calculation 2 5 5 4 2 4" xfId="9031" xr:uid="{00000000-0005-0000-0000-000001160000}"/>
    <cellStyle name="Calculation 2 5 5 4 2 4 2" xfId="9032" xr:uid="{00000000-0005-0000-0000-000002160000}"/>
    <cellStyle name="Calculation 2 5 5 4 2 4 3" xfId="9033" xr:uid="{00000000-0005-0000-0000-000003160000}"/>
    <cellStyle name="Calculation 2 5 5 4 2 5" xfId="9034" xr:uid="{00000000-0005-0000-0000-000004160000}"/>
    <cellStyle name="Calculation 2 5 5 4 2 5 2" xfId="9035" xr:uid="{00000000-0005-0000-0000-000005160000}"/>
    <cellStyle name="Calculation 2 5 5 4 2 5 3" xfId="9036" xr:uid="{00000000-0005-0000-0000-000006160000}"/>
    <cellStyle name="Calculation 2 5 5 4 2 6" xfId="9037" xr:uid="{00000000-0005-0000-0000-000007160000}"/>
    <cellStyle name="Calculation 2 5 5 4 2 6 2" xfId="9038" xr:uid="{00000000-0005-0000-0000-000008160000}"/>
    <cellStyle name="Calculation 2 5 5 4 2 6 3" xfId="9039" xr:uid="{00000000-0005-0000-0000-000009160000}"/>
    <cellStyle name="Calculation 2 5 5 4 2 7" xfId="9040" xr:uid="{00000000-0005-0000-0000-00000A160000}"/>
    <cellStyle name="Calculation 2 5 5 4 2 7 2" xfId="9041" xr:uid="{00000000-0005-0000-0000-00000B160000}"/>
    <cellStyle name="Calculation 2 5 5 4 2 7 3" xfId="9042" xr:uid="{00000000-0005-0000-0000-00000C160000}"/>
    <cellStyle name="Calculation 2 5 5 4 2 8" xfId="9043" xr:uid="{00000000-0005-0000-0000-00000D160000}"/>
    <cellStyle name="Calculation 2 5 5 4 2 9" xfId="9044" xr:uid="{00000000-0005-0000-0000-00000E160000}"/>
    <cellStyle name="Calculation 2 5 5 4 3" xfId="9045" xr:uid="{00000000-0005-0000-0000-00000F160000}"/>
    <cellStyle name="Calculation 2 5 5 4 3 2" xfId="9046" xr:uid="{00000000-0005-0000-0000-000010160000}"/>
    <cellStyle name="Calculation 2 5 5 4 3 3" xfId="9047" xr:uid="{00000000-0005-0000-0000-000011160000}"/>
    <cellStyle name="Calculation 2 5 5 4 4" xfId="9048" xr:uid="{00000000-0005-0000-0000-000012160000}"/>
    <cellStyle name="Calculation 2 5 5 4 4 2" xfId="9049" xr:uid="{00000000-0005-0000-0000-000013160000}"/>
    <cellStyle name="Calculation 2 5 5 4 4 3" xfId="9050" xr:uid="{00000000-0005-0000-0000-000014160000}"/>
    <cellStyle name="Calculation 2 5 5 4 5" xfId="9051" xr:uid="{00000000-0005-0000-0000-000015160000}"/>
    <cellStyle name="Calculation 2 5 5 4 5 2" xfId="9052" xr:uid="{00000000-0005-0000-0000-000016160000}"/>
    <cellStyle name="Calculation 2 5 5 4 5 3" xfId="9053" xr:uid="{00000000-0005-0000-0000-000017160000}"/>
    <cellStyle name="Calculation 2 5 5 4 6" xfId="9054" xr:uid="{00000000-0005-0000-0000-000018160000}"/>
    <cellStyle name="Calculation 2 5 5 4 6 2" xfId="9055" xr:uid="{00000000-0005-0000-0000-000019160000}"/>
    <cellStyle name="Calculation 2 5 5 4 6 3" xfId="9056" xr:uid="{00000000-0005-0000-0000-00001A160000}"/>
    <cellStyle name="Calculation 2 5 5 4 7" xfId="9057" xr:uid="{00000000-0005-0000-0000-00001B160000}"/>
    <cellStyle name="Calculation 2 5 5 4 7 2" xfId="9058" xr:uid="{00000000-0005-0000-0000-00001C160000}"/>
    <cellStyle name="Calculation 2 5 5 4 7 3" xfId="9059" xr:uid="{00000000-0005-0000-0000-00001D160000}"/>
    <cellStyle name="Calculation 2 5 5 4 8" xfId="9060" xr:uid="{00000000-0005-0000-0000-00001E160000}"/>
    <cellStyle name="Calculation 2 5 5 4 8 2" xfId="9061" xr:uid="{00000000-0005-0000-0000-00001F160000}"/>
    <cellStyle name="Calculation 2 5 5 4 8 3" xfId="9062" xr:uid="{00000000-0005-0000-0000-000020160000}"/>
    <cellStyle name="Calculation 2 5 5 4 9" xfId="9063" xr:uid="{00000000-0005-0000-0000-000021160000}"/>
    <cellStyle name="Calculation 2 5 5 5" xfId="9064" xr:uid="{00000000-0005-0000-0000-000022160000}"/>
    <cellStyle name="Calculation 2 5 5 5 2" xfId="9065" xr:uid="{00000000-0005-0000-0000-000023160000}"/>
    <cellStyle name="Calculation 2 5 5 5 2 2" xfId="9066" xr:uid="{00000000-0005-0000-0000-000024160000}"/>
    <cellStyle name="Calculation 2 5 5 5 2 3" xfId="9067" xr:uid="{00000000-0005-0000-0000-000025160000}"/>
    <cellStyle name="Calculation 2 5 5 5 3" xfId="9068" xr:uid="{00000000-0005-0000-0000-000026160000}"/>
    <cellStyle name="Calculation 2 5 5 5 3 2" xfId="9069" xr:uid="{00000000-0005-0000-0000-000027160000}"/>
    <cellStyle name="Calculation 2 5 5 5 3 3" xfId="9070" xr:uid="{00000000-0005-0000-0000-000028160000}"/>
    <cellStyle name="Calculation 2 5 5 5 4" xfId="9071" xr:uid="{00000000-0005-0000-0000-000029160000}"/>
    <cellStyle name="Calculation 2 5 5 5 4 2" xfId="9072" xr:uid="{00000000-0005-0000-0000-00002A160000}"/>
    <cellStyle name="Calculation 2 5 5 5 4 3" xfId="9073" xr:uid="{00000000-0005-0000-0000-00002B160000}"/>
    <cellStyle name="Calculation 2 5 5 5 5" xfId="9074" xr:uid="{00000000-0005-0000-0000-00002C160000}"/>
    <cellStyle name="Calculation 2 5 5 5 5 2" xfId="9075" xr:uid="{00000000-0005-0000-0000-00002D160000}"/>
    <cellStyle name="Calculation 2 5 5 5 5 3" xfId="9076" xr:uid="{00000000-0005-0000-0000-00002E160000}"/>
    <cellStyle name="Calculation 2 5 5 5 6" xfId="9077" xr:uid="{00000000-0005-0000-0000-00002F160000}"/>
    <cellStyle name="Calculation 2 5 5 5 6 2" xfId="9078" xr:uid="{00000000-0005-0000-0000-000030160000}"/>
    <cellStyle name="Calculation 2 5 5 5 6 3" xfId="9079" xr:uid="{00000000-0005-0000-0000-000031160000}"/>
    <cellStyle name="Calculation 2 5 5 5 7" xfId="9080" xr:uid="{00000000-0005-0000-0000-000032160000}"/>
    <cellStyle name="Calculation 2 5 5 5 7 2" xfId="9081" xr:uid="{00000000-0005-0000-0000-000033160000}"/>
    <cellStyle name="Calculation 2 5 5 5 7 3" xfId="9082" xr:uid="{00000000-0005-0000-0000-000034160000}"/>
    <cellStyle name="Calculation 2 5 5 5 8" xfId="9083" xr:uid="{00000000-0005-0000-0000-000035160000}"/>
    <cellStyle name="Calculation 2 5 5 5 9" xfId="9084" xr:uid="{00000000-0005-0000-0000-000036160000}"/>
    <cellStyle name="Calculation 2 5 5 6" xfId="9085" xr:uid="{00000000-0005-0000-0000-000037160000}"/>
    <cellStyle name="Calculation 2 5 5 6 2" xfId="9086" xr:uid="{00000000-0005-0000-0000-000038160000}"/>
    <cellStyle name="Calculation 2 5 5 6 3" xfId="9087" xr:uid="{00000000-0005-0000-0000-000039160000}"/>
    <cellStyle name="Calculation 2 5 5 7" xfId="9088" xr:uid="{00000000-0005-0000-0000-00003A160000}"/>
    <cellStyle name="Calculation 2 5 5 7 2" xfId="9089" xr:uid="{00000000-0005-0000-0000-00003B160000}"/>
    <cellStyle name="Calculation 2 5 5 7 3" xfId="9090" xr:uid="{00000000-0005-0000-0000-00003C160000}"/>
    <cellStyle name="Calculation 2 5 5 8" xfId="9091" xr:uid="{00000000-0005-0000-0000-00003D160000}"/>
    <cellStyle name="Calculation 2 5 5 8 2" xfId="9092" xr:uid="{00000000-0005-0000-0000-00003E160000}"/>
    <cellStyle name="Calculation 2 5 5 8 3" xfId="9093" xr:uid="{00000000-0005-0000-0000-00003F160000}"/>
    <cellStyle name="Calculation 2 5 5 9" xfId="9094" xr:uid="{00000000-0005-0000-0000-000040160000}"/>
    <cellStyle name="Calculation 2 5 5 9 2" xfId="9095" xr:uid="{00000000-0005-0000-0000-000041160000}"/>
    <cellStyle name="Calculation 2 5 5 9 3" xfId="9096" xr:uid="{00000000-0005-0000-0000-000042160000}"/>
    <cellStyle name="Calculation 2 5 6" xfId="9097" xr:uid="{00000000-0005-0000-0000-000043160000}"/>
    <cellStyle name="Calculation 2 5 6 10" xfId="9098" xr:uid="{00000000-0005-0000-0000-000044160000}"/>
    <cellStyle name="Calculation 2 5 6 2" xfId="9099" xr:uid="{00000000-0005-0000-0000-000045160000}"/>
    <cellStyle name="Calculation 2 5 6 2 2" xfId="9100" xr:uid="{00000000-0005-0000-0000-000046160000}"/>
    <cellStyle name="Calculation 2 5 6 2 2 2" xfId="9101" xr:uid="{00000000-0005-0000-0000-000047160000}"/>
    <cellStyle name="Calculation 2 5 6 2 2 3" xfId="9102" xr:uid="{00000000-0005-0000-0000-000048160000}"/>
    <cellStyle name="Calculation 2 5 6 2 3" xfId="9103" xr:uid="{00000000-0005-0000-0000-000049160000}"/>
    <cellStyle name="Calculation 2 5 6 2 3 2" xfId="9104" xr:uid="{00000000-0005-0000-0000-00004A160000}"/>
    <cellStyle name="Calculation 2 5 6 2 3 3" xfId="9105" xr:uid="{00000000-0005-0000-0000-00004B160000}"/>
    <cellStyle name="Calculation 2 5 6 2 4" xfId="9106" xr:uid="{00000000-0005-0000-0000-00004C160000}"/>
    <cellStyle name="Calculation 2 5 6 2 4 2" xfId="9107" xr:uid="{00000000-0005-0000-0000-00004D160000}"/>
    <cellStyle name="Calculation 2 5 6 2 4 3" xfId="9108" xr:uid="{00000000-0005-0000-0000-00004E160000}"/>
    <cellStyle name="Calculation 2 5 6 2 5" xfId="9109" xr:uid="{00000000-0005-0000-0000-00004F160000}"/>
    <cellStyle name="Calculation 2 5 6 2 5 2" xfId="9110" xr:uid="{00000000-0005-0000-0000-000050160000}"/>
    <cellStyle name="Calculation 2 5 6 2 5 3" xfId="9111" xr:uid="{00000000-0005-0000-0000-000051160000}"/>
    <cellStyle name="Calculation 2 5 6 2 6" xfId="9112" xr:uid="{00000000-0005-0000-0000-000052160000}"/>
    <cellStyle name="Calculation 2 5 6 2 6 2" xfId="9113" xr:uid="{00000000-0005-0000-0000-000053160000}"/>
    <cellStyle name="Calculation 2 5 6 2 6 3" xfId="9114" xr:uid="{00000000-0005-0000-0000-000054160000}"/>
    <cellStyle name="Calculation 2 5 6 2 7" xfId="9115" xr:uid="{00000000-0005-0000-0000-000055160000}"/>
    <cellStyle name="Calculation 2 5 6 2 7 2" xfId="9116" xr:uid="{00000000-0005-0000-0000-000056160000}"/>
    <cellStyle name="Calculation 2 5 6 2 7 3" xfId="9117" xr:uid="{00000000-0005-0000-0000-000057160000}"/>
    <cellStyle name="Calculation 2 5 6 2 8" xfId="9118" xr:uid="{00000000-0005-0000-0000-000058160000}"/>
    <cellStyle name="Calculation 2 5 6 2 9" xfId="9119" xr:uid="{00000000-0005-0000-0000-000059160000}"/>
    <cellStyle name="Calculation 2 5 6 3" xfId="9120" xr:uid="{00000000-0005-0000-0000-00005A160000}"/>
    <cellStyle name="Calculation 2 5 6 3 2" xfId="9121" xr:uid="{00000000-0005-0000-0000-00005B160000}"/>
    <cellStyle name="Calculation 2 5 6 3 3" xfId="9122" xr:uid="{00000000-0005-0000-0000-00005C160000}"/>
    <cellStyle name="Calculation 2 5 6 4" xfId="9123" xr:uid="{00000000-0005-0000-0000-00005D160000}"/>
    <cellStyle name="Calculation 2 5 6 4 2" xfId="9124" xr:uid="{00000000-0005-0000-0000-00005E160000}"/>
    <cellStyle name="Calculation 2 5 6 4 3" xfId="9125" xr:uid="{00000000-0005-0000-0000-00005F160000}"/>
    <cellStyle name="Calculation 2 5 6 5" xfId="9126" xr:uid="{00000000-0005-0000-0000-000060160000}"/>
    <cellStyle name="Calculation 2 5 6 5 2" xfId="9127" xr:uid="{00000000-0005-0000-0000-000061160000}"/>
    <cellStyle name="Calculation 2 5 6 5 3" xfId="9128" xr:uid="{00000000-0005-0000-0000-000062160000}"/>
    <cellStyle name="Calculation 2 5 6 6" xfId="9129" xr:uid="{00000000-0005-0000-0000-000063160000}"/>
    <cellStyle name="Calculation 2 5 6 6 2" xfId="9130" xr:uid="{00000000-0005-0000-0000-000064160000}"/>
    <cellStyle name="Calculation 2 5 6 6 3" xfId="9131" xr:uid="{00000000-0005-0000-0000-000065160000}"/>
    <cellStyle name="Calculation 2 5 6 7" xfId="9132" xr:uid="{00000000-0005-0000-0000-000066160000}"/>
    <cellStyle name="Calculation 2 5 6 7 2" xfId="9133" xr:uid="{00000000-0005-0000-0000-000067160000}"/>
    <cellStyle name="Calculation 2 5 6 7 3" xfId="9134" xr:uid="{00000000-0005-0000-0000-000068160000}"/>
    <cellStyle name="Calculation 2 5 6 8" xfId="9135" xr:uid="{00000000-0005-0000-0000-000069160000}"/>
    <cellStyle name="Calculation 2 5 6 8 2" xfId="9136" xr:uid="{00000000-0005-0000-0000-00006A160000}"/>
    <cellStyle name="Calculation 2 5 6 8 3" xfId="9137" xr:uid="{00000000-0005-0000-0000-00006B160000}"/>
    <cellStyle name="Calculation 2 5 6 9" xfId="9138" xr:uid="{00000000-0005-0000-0000-00006C160000}"/>
    <cellStyle name="Calculation 2 5 7" xfId="9139" xr:uid="{00000000-0005-0000-0000-00006D160000}"/>
    <cellStyle name="Calculation 2 5 7 10" xfId="9140" xr:uid="{00000000-0005-0000-0000-00006E160000}"/>
    <cellStyle name="Calculation 2 5 7 2" xfId="9141" xr:uid="{00000000-0005-0000-0000-00006F160000}"/>
    <cellStyle name="Calculation 2 5 7 2 2" xfId="9142" xr:uid="{00000000-0005-0000-0000-000070160000}"/>
    <cellStyle name="Calculation 2 5 7 2 2 2" xfId="9143" xr:uid="{00000000-0005-0000-0000-000071160000}"/>
    <cellStyle name="Calculation 2 5 7 2 2 3" xfId="9144" xr:uid="{00000000-0005-0000-0000-000072160000}"/>
    <cellStyle name="Calculation 2 5 7 2 3" xfId="9145" xr:uid="{00000000-0005-0000-0000-000073160000}"/>
    <cellStyle name="Calculation 2 5 7 2 3 2" xfId="9146" xr:uid="{00000000-0005-0000-0000-000074160000}"/>
    <cellStyle name="Calculation 2 5 7 2 3 3" xfId="9147" xr:uid="{00000000-0005-0000-0000-000075160000}"/>
    <cellStyle name="Calculation 2 5 7 2 4" xfId="9148" xr:uid="{00000000-0005-0000-0000-000076160000}"/>
    <cellStyle name="Calculation 2 5 7 2 4 2" xfId="9149" xr:uid="{00000000-0005-0000-0000-000077160000}"/>
    <cellStyle name="Calculation 2 5 7 2 4 3" xfId="9150" xr:uid="{00000000-0005-0000-0000-000078160000}"/>
    <cellStyle name="Calculation 2 5 7 2 5" xfId="9151" xr:uid="{00000000-0005-0000-0000-000079160000}"/>
    <cellStyle name="Calculation 2 5 7 2 5 2" xfId="9152" xr:uid="{00000000-0005-0000-0000-00007A160000}"/>
    <cellStyle name="Calculation 2 5 7 2 5 3" xfId="9153" xr:uid="{00000000-0005-0000-0000-00007B160000}"/>
    <cellStyle name="Calculation 2 5 7 2 6" xfId="9154" xr:uid="{00000000-0005-0000-0000-00007C160000}"/>
    <cellStyle name="Calculation 2 5 7 2 6 2" xfId="9155" xr:uid="{00000000-0005-0000-0000-00007D160000}"/>
    <cellStyle name="Calculation 2 5 7 2 6 3" xfId="9156" xr:uid="{00000000-0005-0000-0000-00007E160000}"/>
    <cellStyle name="Calculation 2 5 7 2 7" xfId="9157" xr:uid="{00000000-0005-0000-0000-00007F160000}"/>
    <cellStyle name="Calculation 2 5 7 2 7 2" xfId="9158" xr:uid="{00000000-0005-0000-0000-000080160000}"/>
    <cellStyle name="Calculation 2 5 7 2 7 3" xfId="9159" xr:uid="{00000000-0005-0000-0000-000081160000}"/>
    <cellStyle name="Calculation 2 5 7 2 8" xfId="9160" xr:uid="{00000000-0005-0000-0000-000082160000}"/>
    <cellStyle name="Calculation 2 5 7 2 9" xfId="9161" xr:uid="{00000000-0005-0000-0000-000083160000}"/>
    <cellStyle name="Calculation 2 5 7 3" xfId="9162" xr:uid="{00000000-0005-0000-0000-000084160000}"/>
    <cellStyle name="Calculation 2 5 7 3 2" xfId="9163" xr:uid="{00000000-0005-0000-0000-000085160000}"/>
    <cellStyle name="Calculation 2 5 7 3 3" xfId="9164" xr:uid="{00000000-0005-0000-0000-000086160000}"/>
    <cellStyle name="Calculation 2 5 7 4" xfId="9165" xr:uid="{00000000-0005-0000-0000-000087160000}"/>
    <cellStyle name="Calculation 2 5 7 4 2" xfId="9166" xr:uid="{00000000-0005-0000-0000-000088160000}"/>
    <cellStyle name="Calculation 2 5 7 4 3" xfId="9167" xr:uid="{00000000-0005-0000-0000-000089160000}"/>
    <cellStyle name="Calculation 2 5 7 5" xfId="9168" xr:uid="{00000000-0005-0000-0000-00008A160000}"/>
    <cellStyle name="Calculation 2 5 7 5 2" xfId="9169" xr:uid="{00000000-0005-0000-0000-00008B160000}"/>
    <cellStyle name="Calculation 2 5 7 5 3" xfId="9170" xr:uid="{00000000-0005-0000-0000-00008C160000}"/>
    <cellStyle name="Calculation 2 5 7 6" xfId="9171" xr:uid="{00000000-0005-0000-0000-00008D160000}"/>
    <cellStyle name="Calculation 2 5 7 6 2" xfId="9172" xr:uid="{00000000-0005-0000-0000-00008E160000}"/>
    <cellStyle name="Calculation 2 5 7 6 3" xfId="9173" xr:uid="{00000000-0005-0000-0000-00008F160000}"/>
    <cellStyle name="Calculation 2 5 7 7" xfId="9174" xr:uid="{00000000-0005-0000-0000-000090160000}"/>
    <cellStyle name="Calculation 2 5 7 7 2" xfId="9175" xr:uid="{00000000-0005-0000-0000-000091160000}"/>
    <cellStyle name="Calculation 2 5 7 7 3" xfId="9176" xr:uid="{00000000-0005-0000-0000-000092160000}"/>
    <cellStyle name="Calculation 2 5 7 8" xfId="9177" xr:uid="{00000000-0005-0000-0000-000093160000}"/>
    <cellStyle name="Calculation 2 5 7 8 2" xfId="9178" xr:uid="{00000000-0005-0000-0000-000094160000}"/>
    <cellStyle name="Calculation 2 5 7 8 3" xfId="9179" xr:uid="{00000000-0005-0000-0000-000095160000}"/>
    <cellStyle name="Calculation 2 5 7 9" xfId="9180" xr:uid="{00000000-0005-0000-0000-000096160000}"/>
    <cellStyle name="Calculation 2 5 8" xfId="9181" xr:uid="{00000000-0005-0000-0000-000097160000}"/>
    <cellStyle name="Calculation 2 5 8 10" xfId="9182" xr:uid="{00000000-0005-0000-0000-000098160000}"/>
    <cellStyle name="Calculation 2 5 8 2" xfId="9183" xr:uid="{00000000-0005-0000-0000-000099160000}"/>
    <cellStyle name="Calculation 2 5 8 2 2" xfId="9184" xr:uid="{00000000-0005-0000-0000-00009A160000}"/>
    <cellStyle name="Calculation 2 5 8 2 2 2" xfId="9185" xr:uid="{00000000-0005-0000-0000-00009B160000}"/>
    <cellStyle name="Calculation 2 5 8 2 2 3" xfId="9186" xr:uid="{00000000-0005-0000-0000-00009C160000}"/>
    <cellStyle name="Calculation 2 5 8 2 3" xfId="9187" xr:uid="{00000000-0005-0000-0000-00009D160000}"/>
    <cellStyle name="Calculation 2 5 8 2 3 2" xfId="9188" xr:uid="{00000000-0005-0000-0000-00009E160000}"/>
    <cellStyle name="Calculation 2 5 8 2 3 3" xfId="9189" xr:uid="{00000000-0005-0000-0000-00009F160000}"/>
    <cellStyle name="Calculation 2 5 8 2 4" xfId="9190" xr:uid="{00000000-0005-0000-0000-0000A0160000}"/>
    <cellStyle name="Calculation 2 5 8 2 4 2" xfId="9191" xr:uid="{00000000-0005-0000-0000-0000A1160000}"/>
    <cellStyle name="Calculation 2 5 8 2 4 3" xfId="9192" xr:uid="{00000000-0005-0000-0000-0000A2160000}"/>
    <cellStyle name="Calculation 2 5 8 2 5" xfId="9193" xr:uid="{00000000-0005-0000-0000-0000A3160000}"/>
    <cellStyle name="Calculation 2 5 8 2 5 2" xfId="9194" xr:uid="{00000000-0005-0000-0000-0000A4160000}"/>
    <cellStyle name="Calculation 2 5 8 2 5 3" xfId="9195" xr:uid="{00000000-0005-0000-0000-0000A5160000}"/>
    <cellStyle name="Calculation 2 5 8 2 6" xfId="9196" xr:uid="{00000000-0005-0000-0000-0000A6160000}"/>
    <cellStyle name="Calculation 2 5 8 2 6 2" xfId="9197" xr:uid="{00000000-0005-0000-0000-0000A7160000}"/>
    <cellStyle name="Calculation 2 5 8 2 6 3" xfId="9198" xr:uid="{00000000-0005-0000-0000-0000A8160000}"/>
    <cellStyle name="Calculation 2 5 8 2 7" xfId="9199" xr:uid="{00000000-0005-0000-0000-0000A9160000}"/>
    <cellStyle name="Calculation 2 5 8 2 7 2" xfId="9200" xr:uid="{00000000-0005-0000-0000-0000AA160000}"/>
    <cellStyle name="Calculation 2 5 8 2 7 3" xfId="9201" xr:uid="{00000000-0005-0000-0000-0000AB160000}"/>
    <cellStyle name="Calculation 2 5 8 2 8" xfId="9202" xr:uid="{00000000-0005-0000-0000-0000AC160000}"/>
    <cellStyle name="Calculation 2 5 8 2 9" xfId="9203" xr:uid="{00000000-0005-0000-0000-0000AD160000}"/>
    <cellStyle name="Calculation 2 5 8 3" xfId="9204" xr:uid="{00000000-0005-0000-0000-0000AE160000}"/>
    <cellStyle name="Calculation 2 5 8 3 2" xfId="9205" xr:uid="{00000000-0005-0000-0000-0000AF160000}"/>
    <cellStyle name="Calculation 2 5 8 3 3" xfId="9206" xr:uid="{00000000-0005-0000-0000-0000B0160000}"/>
    <cellStyle name="Calculation 2 5 8 4" xfId="9207" xr:uid="{00000000-0005-0000-0000-0000B1160000}"/>
    <cellStyle name="Calculation 2 5 8 4 2" xfId="9208" xr:uid="{00000000-0005-0000-0000-0000B2160000}"/>
    <cellStyle name="Calculation 2 5 8 4 3" xfId="9209" xr:uid="{00000000-0005-0000-0000-0000B3160000}"/>
    <cellStyle name="Calculation 2 5 8 5" xfId="9210" xr:uid="{00000000-0005-0000-0000-0000B4160000}"/>
    <cellStyle name="Calculation 2 5 8 5 2" xfId="9211" xr:uid="{00000000-0005-0000-0000-0000B5160000}"/>
    <cellStyle name="Calculation 2 5 8 5 3" xfId="9212" xr:uid="{00000000-0005-0000-0000-0000B6160000}"/>
    <cellStyle name="Calculation 2 5 8 6" xfId="9213" xr:uid="{00000000-0005-0000-0000-0000B7160000}"/>
    <cellStyle name="Calculation 2 5 8 6 2" xfId="9214" xr:uid="{00000000-0005-0000-0000-0000B8160000}"/>
    <cellStyle name="Calculation 2 5 8 6 3" xfId="9215" xr:uid="{00000000-0005-0000-0000-0000B9160000}"/>
    <cellStyle name="Calculation 2 5 8 7" xfId="9216" xr:uid="{00000000-0005-0000-0000-0000BA160000}"/>
    <cellStyle name="Calculation 2 5 8 7 2" xfId="9217" xr:uid="{00000000-0005-0000-0000-0000BB160000}"/>
    <cellStyle name="Calculation 2 5 8 7 3" xfId="9218" xr:uid="{00000000-0005-0000-0000-0000BC160000}"/>
    <cellStyle name="Calculation 2 5 8 8" xfId="9219" xr:uid="{00000000-0005-0000-0000-0000BD160000}"/>
    <cellStyle name="Calculation 2 5 8 8 2" xfId="9220" xr:uid="{00000000-0005-0000-0000-0000BE160000}"/>
    <cellStyle name="Calculation 2 5 8 8 3" xfId="9221" xr:uid="{00000000-0005-0000-0000-0000BF160000}"/>
    <cellStyle name="Calculation 2 5 8 9" xfId="9222" xr:uid="{00000000-0005-0000-0000-0000C0160000}"/>
    <cellStyle name="Calculation 2 5 9" xfId="9223" xr:uid="{00000000-0005-0000-0000-0000C1160000}"/>
    <cellStyle name="Calculation 2 5 9 2" xfId="9224" xr:uid="{00000000-0005-0000-0000-0000C2160000}"/>
    <cellStyle name="Calculation 2 5 9 2 2" xfId="9225" xr:uid="{00000000-0005-0000-0000-0000C3160000}"/>
    <cellStyle name="Calculation 2 5 9 2 3" xfId="9226" xr:uid="{00000000-0005-0000-0000-0000C4160000}"/>
    <cellStyle name="Calculation 2 5 9 3" xfId="9227" xr:uid="{00000000-0005-0000-0000-0000C5160000}"/>
    <cellStyle name="Calculation 2 5 9 3 2" xfId="9228" xr:uid="{00000000-0005-0000-0000-0000C6160000}"/>
    <cellStyle name="Calculation 2 5 9 3 3" xfId="9229" xr:uid="{00000000-0005-0000-0000-0000C7160000}"/>
    <cellStyle name="Calculation 2 5 9 4" xfId="9230" xr:uid="{00000000-0005-0000-0000-0000C8160000}"/>
    <cellStyle name="Calculation 2 5 9 4 2" xfId="9231" xr:uid="{00000000-0005-0000-0000-0000C9160000}"/>
    <cellStyle name="Calculation 2 5 9 4 3" xfId="9232" xr:uid="{00000000-0005-0000-0000-0000CA160000}"/>
    <cellStyle name="Calculation 2 5 9 5" xfId="9233" xr:uid="{00000000-0005-0000-0000-0000CB160000}"/>
    <cellStyle name="Calculation 2 5 9 5 2" xfId="9234" xr:uid="{00000000-0005-0000-0000-0000CC160000}"/>
    <cellStyle name="Calculation 2 5 9 5 3" xfId="9235" xr:uid="{00000000-0005-0000-0000-0000CD160000}"/>
    <cellStyle name="Calculation 2 5 9 6" xfId="9236" xr:uid="{00000000-0005-0000-0000-0000CE160000}"/>
    <cellStyle name="Calculation 2 5 9 6 2" xfId="9237" xr:uid="{00000000-0005-0000-0000-0000CF160000}"/>
    <cellStyle name="Calculation 2 5 9 6 3" xfId="9238" xr:uid="{00000000-0005-0000-0000-0000D0160000}"/>
    <cellStyle name="Calculation 2 5 9 7" xfId="9239" xr:uid="{00000000-0005-0000-0000-0000D1160000}"/>
    <cellStyle name="Calculation 2 5 9 7 2" xfId="9240" xr:uid="{00000000-0005-0000-0000-0000D2160000}"/>
    <cellStyle name="Calculation 2 5 9 7 3" xfId="9241" xr:uid="{00000000-0005-0000-0000-0000D3160000}"/>
    <cellStyle name="Calculation 2 5 9 8" xfId="9242" xr:uid="{00000000-0005-0000-0000-0000D4160000}"/>
    <cellStyle name="Calculation 2 5 9 9" xfId="9243" xr:uid="{00000000-0005-0000-0000-0000D5160000}"/>
    <cellStyle name="Calculation 2 6" xfId="9244" xr:uid="{00000000-0005-0000-0000-0000D6160000}"/>
    <cellStyle name="Calculation 2 6 10" xfId="9245" xr:uid="{00000000-0005-0000-0000-0000D7160000}"/>
    <cellStyle name="Calculation 2 6 10 2" xfId="9246" xr:uid="{00000000-0005-0000-0000-0000D8160000}"/>
    <cellStyle name="Calculation 2 6 10 3" xfId="9247" xr:uid="{00000000-0005-0000-0000-0000D9160000}"/>
    <cellStyle name="Calculation 2 6 11" xfId="9248" xr:uid="{00000000-0005-0000-0000-0000DA160000}"/>
    <cellStyle name="Calculation 2 6 11 2" xfId="9249" xr:uid="{00000000-0005-0000-0000-0000DB160000}"/>
    <cellStyle name="Calculation 2 6 11 3" xfId="9250" xr:uid="{00000000-0005-0000-0000-0000DC160000}"/>
    <cellStyle name="Calculation 2 6 12" xfId="43995" xr:uid="{00000000-0005-0000-0000-0000DD160000}"/>
    <cellStyle name="Calculation 2 6 2" xfId="9251" xr:uid="{00000000-0005-0000-0000-0000DE160000}"/>
    <cellStyle name="Calculation 2 6 2 10" xfId="9252" xr:uid="{00000000-0005-0000-0000-0000DF160000}"/>
    <cellStyle name="Calculation 2 6 2 2" xfId="9253" xr:uid="{00000000-0005-0000-0000-0000E0160000}"/>
    <cellStyle name="Calculation 2 6 2 2 2" xfId="9254" xr:uid="{00000000-0005-0000-0000-0000E1160000}"/>
    <cellStyle name="Calculation 2 6 2 2 2 2" xfId="9255" xr:uid="{00000000-0005-0000-0000-0000E2160000}"/>
    <cellStyle name="Calculation 2 6 2 2 2 3" xfId="9256" xr:uid="{00000000-0005-0000-0000-0000E3160000}"/>
    <cellStyle name="Calculation 2 6 2 2 3" xfId="9257" xr:uid="{00000000-0005-0000-0000-0000E4160000}"/>
    <cellStyle name="Calculation 2 6 2 2 3 2" xfId="9258" xr:uid="{00000000-0005-0000-0000-0000E5160000}"/>
    <cellStyle name="Calculation 2 6 2 2 3 3" xfId="9259" xr:uid="{00000000-0005-0000-0000-0000E6160000}"/>
    <cellStyle name="Calculation 2 6 2 2 4" xfId="9260" xr:uid="{00000000-0005-0000-0000-0000E7160000}"/>
    <cellStyle name="Calculation 2 6 2 2 4 2" xfId="9261" xr:uid="{00000000-0005-0000-0000-0000E8160000}"/>
    <cellStyle name="Calculation 2 6 2 2 4 3" xfId="9262" xr:uid="{00000000-0005-0000-0000-0000E9160000}"/>
    <cellStyle name="Calculation 2 6 2 2 5" xfId="9263" xr:uid="{00000000-0005-0000-0000-0000EA160000}"/>
    <cellStyle name="Calculation 2 6 2 2 5 2" xfId="9264" xr:uid="{00000000-0005-0000-0000-0000EB160000}"/>
    <cellStyle name="Calculation 2 6 2 2 5 3" xfId="9265" xr:uid="{00000000-0005-0000-0000-0000EC160000}"/>
    <cellStyle name="Calculation 2 6 2 2 6" xfId="9266" xr:uid="{00000000-0005-0000-0000-0000ED160000}"/>
    <cellStyle name="Calculation 2 6 2 2 6 2" xfId="9267" xr:uid="{00000000-0005-0000-0000-0000EE160000}"/>
    <cellStyle name="Calculation 2 6 2 2 6 3" xfId="9268" xr:uid="{00000000-0005-0000-0000-0000EF160000}"/>
    <cellStyle name="Calculation 2 6 2 2 7" xfId="9269" xr:uid="{00000000-0005-0000-0000-0000F0160000}"/>
    <cellStyle name="Calculation 2 6 2 2 7 2" xfId="9270" xr:uid="{00000000-0005-0000-0000-0000F1160000}"/>
    <cellStyle name="Calculation 2 6 2 2 7 3" xfId="9271" xr:uid="{00000000-0005-0000-0000-0000F2160000}"/>
    <cellStyle name="Calculation 2 6 2 2 8" xfId="9272" xr:uid="{00000000-0005-0000-0000-0000F3160000}"/>
    <cellStyle name="Calculation 2 6 2 2 9" xfId="9273" xr:uid="{00000000-0005-0000-0000-0000F4160000}"/>
    <cellStyle name="Calculation 2 6 2 3" xfId="9274" xr:uid="{00000000-0005-0000-0000-0000F5160000}"/>
    <cellStyle name="Calculation 2 6 2 3 2" xfId="9275" xr:uid="{00000000-0005-0000-0000-0000F6160000}"/>
    <cellStyle name="Calculation 2 6 2 3 3" xfId="9276" xr:uid="{00000000-0005-0000-0000-0000F7160000}"/>
    <cellStyle name="Calculation 2 6 2 4" xfId="9277" xr:uid="{00000000-0005-0000-0000-0000F8160000}"/>
    <cellStyle name="Calculation 2 6 2 4 2" xfId="9278" xr:uid="{00000000-0005-0000-0000-0000F9160000}"/>
    <cellStyle name="Calculation 2 6 2 4 3" xfId="9279" xr:uid="{00000000-0005-0000-0000-0000FA160000}"/>
    <cellStyle name="Calculation 2 6 2 5" xfId="9280" xr:uid="{00000000-0005-0000-0000-0000FB160000}"/>
    <cellStyle name="Calculation 2 6 2 5 2" xfId="9281" xr:uid="{00000000-0005-0000-0000-0000FC160000}"/>
    <cellStyle name="Calculation 2 6 2 5 3" xfId="9282" xr:uid="{00000000-0005-0000-0000-0000FD160000}"/>
    <cellStyle name="Calculation 2 6 2 6" xfId="9283" xr:uid="{00000000-0005-0000-0000-0000FE160000}"/>
    <cellStyle name="Calculation 2 6 2 6 2" xfId="9284" xr:uid="{00000000-0005-0000-0000-0000FF160000}"/>
    <cellStyle name="Calculation 2 6 2 6 3" xfId="9285" xr:uid="{00000000-0005-0000-0000-000000170000}"/>
    <cellStyle name="Calculation 2 6 2 7" xfId="9286" xr:uid="{00000000-0005-0000-0000-000001170000}"/>
    <cellStyle name="Calculation 2 6 2 7 2" xfId="9287" xr:uid="{00000000-0005-0000-0000-000002170000}"/>
    <cellStyle name="Calculation 2 6 2 7 3" xfId="9288" xr:uid="{00000000-0005-0000-0000-000003170000}"/>
    <cellStyle name="Calculation 2 6 2 8" xfId="9289" xr:uid="{00000000-0005-0000-0000-000004170000}"/>
    <cellStyle name="Calculation 2 6 2 8 2" xfId="9290" xr:uid="{00000000-0005-0000-0000-000005170000}"/>
    <cellStyle name="Calculation 2 6 2 8 3" xfId="9291" xr:uid="{00000000-0005-0000-0000-000006170000}"/>
    <cellStyle name="Calculation 2 6 2 9" xfId="9292" xr:uid="{00000000-0005-0000-0000-000007170000}"/>
    <cellStyle name="Calculation 2 6 3" xfId="9293" xr:uid="{00000000-0005-0000-0000-000008170000}"/>
    <cellStyle name="Calculation 2 6 3 10" xfId="9294" xr:uid="{00000000-0005-0000-0000-000009170000}"/>
    <cellStyle name="Calculation 2 6 3 2" xfId="9295" xr:uid="{00000000-0005-0000-0000-00000A170000}"/>
    <cellStyle name="Calculation 2 6 3 2 2" xfId="9296" xr:uid="{00000000-0005-0000-0000-00000B170000}"/>
    <cellStyle name="Calculation 2 6 3 2 2 2" xfId="9297" xr:uid="{00000000-0005-0000-0000-00000C170000}"/>
    <cellStyle name="Calculation 2 6 3 2 2 3" xfId="9298" xr:uid="{00000000-0005-0000-0000-00000D170000}"/>
    <cellStyle name="Calculation 2 6 3 2 3" xfId="9299" xr:uid="{00000000-0005-0000-0000-00000E170000}"/>
    <cellStyle name="Calculation 2 6 3 2 3 2" xfId="9300" xr:uid="{00000000-0005-0000-0000-00000F170000}"/>
    <cellStyle name="Calculation 2 6 3 2 3 3" xfId="9301" xr:uid="{00000000-0005-0000-0000-000010170000}"/>
    <cellStyle name="Calculation 2 6 3 2 4" xfId="9302" xr:uid="{00000000-0005-0000-0000-000011170000}"/>
    <cellStyle name="Calculation 2 6 3 2 4 2" xfId="9303" xr:uid="{00000000-0005-0000-0000-000012170000}"/>
    <cellStyle name="Calculation 2 6 3 2 4 3" xfId="9304" xr:uid="{00000000-0005-0000-0000-000013170000}"/>
    <cellStyle name="Calculation 2 6 3 2 5" xfId="9305" xr:uid="{00000000-0005-0000-0000-000014170000}"/>
    <cellStyle name="Calculation 2 6 3 2 5 2" xfId="9306" xr:uid="{00000000-0005-0000-0000-000015170000}"/>
    <cellStyle name="Calculation 2 6 3 2 5 3" xfId="9307" xr:uid="{00000000-0005-0000-0000-000016170000}"/>
    <cellStyle name="Calculation 2 6 3 2 6" xfId="9308" xr:uid="{00000000-0005-0000-0000-000017170000}"/>
    <cellStyle name="Calculation 2 6 3 2 6 2" xfId="9309" xr:uid="{00000000-0005-0000-0000-000018170000}"/>
    <cellStyle name="Calculation 2 6 3 2 6 3" xfId="9310" xr:uid="{00000000-0005-0000-0000-000019170000}"/>
    <cellStyle name="Calculation 2 6 3 2 7" xfId="9311" xr:uid="{00000000-0005-0000-0000-00001A170000}"/>
    <cellStyle name="Calculation 2 6 3 2 7 2" xfId="9312" xr:uid="{00000000-0005-0000-0000-00001B170000}"/>
    <cellStyle name="Calculation 2 6 3 2 7 3" xfId="9313" xr:uid="{00000000-0005-0000-0000-00001C170000}"/>
    <cellStyle name="Calculation 2 6 3 2 8" xfId="9314" xr:uid="{00000000-0005-0000-0000-00001D170000}"/>
    <cellStyle name="Calculation 2 6 3 2 9" xfId="9315" xr:uid="{00000000-0005-0000-0000-00001E170000}"/>
    <cellStyle name="Calculation 2 6 3 3" xfId="9316" xr:uid="{00000000-0005-0000-0000-00001F170000}"/>
    <cellStyle name="Calculation 2 6 3 3 2" xfId="9317" xr:uid="{00000000-0005-0000-0000-000020170000}"/>
    <cellStyle name="Calculation 2 6 3 3 3" xfId="9318" xr:uid="{00000000-0005-0000-0000-000021170000}"/>
    <cellStyle name="Calculation 2 6 3 4" xfId="9319" xr:uid="{00000000-0005-0000-0000-000022170000}"/>
    <cellStyle name="Calculation 2 6 3 4 2" xfId="9320" xr:uid="{00000000-0005-0000-0000-000023170000}"/>
    <cellStyle name="Calculation 2 6 3 4 3" xfId="9321" xr:uid="{00000000-0005-0000-0000-000024170000}"/>
    <cellStyle name="Calculation 2 6 3 5" xfId="9322" xr:uid="{00000000-0005-0000-0000-000025170000}"/>
    <cellStyle name="Calculation 2 6 3 5 2" xfId="9323" xr:uid="{00000000-0005-0000-0000-000026170000}"/>
    <cellStyle name="Calculation 2 6 3 5 3" xfId="9324" xr:uid="{00000000-0005-0000-0000-000027170000}"/>
    <cellStyle name="Calculation 2 6 3 6" xfId="9325" xr:uid="{00000000-0005-0000-0000-000028170000}"/>
    <cellStyle name="Calculation 2 6 3 6 2" xfId="9326" xr:uid="{00000000-0005-0000-0000-000029170000}"/>
    <cellStyle name="Calculation 2 6 3 6 3" xfId="9327" xr:uid="{00000000-0005-0000-0000-00002A170000}"/>
    <cellStyle name="Calculation 2 6 3 7" xfId="9328" xr:uid="{00000000-0005-0000-0000-00002B170000}"/>
    <cellStyle name="Calculation 2 6 3 7 2" xfId="9329" xr:uid="{00000000-0005-0000-0000-00002C170000}"/>
    <cellStyle name="Calculation 2 6 3 7 3" xfId="9330" xr:uid="{00000000-0005-0000-0000-00002D170000}"/>
    <cellStyle name="Calculation 2 6 3 8" xfId="9331" xr:uid="{00000000-0005-0000-0000-00002E170000}"/>
    <cellStyle name="Calculation 2 6 3 8 2" xfId="9332" xr:uid="{00000000-0005-0000-0000-00002F170000}"/>
    <cellStyle name="Calculation 2 6 3 8 3" xfId="9333" xr:uid="{00000000-0005-0000-0000-000030170000}"/>
    <cellStyle name="Calculation 2 6 3 9" xfId="9334" xr:uid="{00000000-0005-0000-0000-000031170000}"/>
    <cellStyle name="Calculation 2 6 4" xfId="9335" xr:uid="{00000000-0005-0000-0000-000032170000}"/>
    <cellStyle name="Calculation 2 6 4 10" xfId="9336" xr:uid="{00000000-0005-0000-0000-000033170000}"/>
    <cellStyle name="Calculation 2 6 4 2" xfId="9337" xr:uid="{00000000-0005-0000-0000-000034170000}"/>
    <cellStyle name="Calculation 2 6 4 2 2" xfId="9338" xr:uid="{00000000-0005-0000-0000-000035170000}"/>
    <cellStyle name="Calculation 2 6 4 2 2 2" xfId="9339" xr:uid="{00000000-0005-0000-0000-000036170000}"/>
    <cellStyle name="Calculation 2 6 4 2 2 3" xfId="9340" xr:uid="{00000000-0005-0000-0000-000037170000}"/>
    <cellStyle name="Calculation 2 6 4 2 3" xfId="9341" xr:uid="{00000000-0005-0000-0000-000038170000}"/>
    <cellStyle name="Calculation 2 6 4 2 3 2" xfId="9342" xr:uid="{00000000-0005-0000-0000-000039170000}"/>
    <cellStyle name="Calculation 2 6 4 2 3 3" xfId="9343" xr:uid="{00000000-0005-0000-0000-00003A170000}"/>
    <cellStyle name="Calculation 2 6 4 2 4" xfId="9344" xr:uid="{00000000-0005-0000-0000-00003B170000}"/>
    <cellStyle name="Calculation 2 6 4 2 4 2" xfId="9345" xr:uid="{00000000-0005-0000-0000-00003C170000}"/>
    <cellStyle name="Calculation 2 6 4 2 4 3" xfId="9346" xr:uid="{00000000-0005-0000-0000-00003D170000}"/>
    <cellStyle name="Calculation 2 6 4 2 5" xfId="9347" xr:uid="{00000000-0005-0000-0000-00003E170000}"/>
    <cellStyle name="Calculation 2 6 4 2 5 2" xfId="9348" xr:uid="{00000000-0005-0000-0000-00003F170000}"/>
    <cellStyle name="Calculation 2 6 4 2 5 3" xfId="9349" xr:uid="{00000000-0005-0000-0000-000040170000}"/>
    <cellStyle name="Calculation 2 6 4 2 6" xfId="9350" xr:uid="{00000000-0005-0000-0000-000041170000}"/>
    <cellStyle name="Calculation 2 6 4 2 6 2" xfId="9351" xr:uid="{00000000-0005-0000-0000-000042170000}"/>
    <cellStyle name="Calculation 2 6 4 2 6 3" xfId="9352" xr:uid="{00000000-0005-0000-0000-000043170000}"/>
    <cellStyle name="Calculation 2 6 4 2 7" xfId="9353" xr:uid="{00000000-0005-0000-0000-000044170000}"/>
    <cellStyle name="Calculation 2 6 4 2 7 2" xfId="9354" xr:uid="{00000000-0005-0000-0000-000045170000}"/>
    <cellStyle name="Calculation 2 6 4 2 7 3" xfId="9355" xr:uid="{00000000-0005-0000-0000-000046170000}"/>
    <cellStyle name="Calculation 2 6 4 2 8" xfId="9356" xr:uid="{00000000-0005-0000-0000-000047170000}"/>
    <cellStyle name="Calculation 2 6 4 2 9" xfId="9357" xr:uid="{00000000-0005-0000-0000-000048170000}"/>
    <cellStyle name="Calculation 2 6 4 3" xfId="9358" xr:uid="{00000000-0005-0000-0000-000049170000}"/>
    <cellStyle name="Calculation 2 6 4 3 2" xfId="9359" xr:uid="{00000000-0005-0000-0000-00004A170000}"/>
    <cellStyle name="Calculation 2 6 4 3 3" xfId="9360" xr:uid="{00000000-0005-0000-0000-00004B170000}"/>
    <cellStyle name="Calculation 2 6 4 4" xfId="9361" xr:uid="{00000000-0005-0000-0000-00004C170000}"/>
    <cellStyle name="Calculation 2 6 4 4 2" xfId="9362" xr:uid="{00000000-0005-0000-0000-00004D170000}"/>
    <cellStyle name="Calculation 2 6 4 4 3" xfId="9363" xr:uid="{00000000-0005-0000-0000-00004E170000}"/>
    <cellStyle name="Calculation 2 6 4 5" xfId="9364" xr:uid="{00000000-0005-0000-0000-00004F170000}"/>
    <cellStyle name="Calculation 2 6 4 5 2" xfId="9365" xr:uid="{00000000-0005-0000-0000-000050170000}"/>
    <cellStyle name="Calculation 2 6 4 5 3" xfId="9366" xr:uid="{00000000-0005-0000-0000-000051170000}"/>
    <cellStyle name="Calculation 2 6 4 6" xfId="9367" xr:uid="{00000000-0005-0000-0000-000052170000}"/>
    <cellStyle name="Calculation 2 6 4 6 2" xfId="9368" xr:uid="{00000000-0005-0000-0000-000053170000}"/>
    <cellStyle name="Calculation 2 6 4 6 3" xfId="9369" xr:uid="{00000000-0005-0000-0000-000054170000}"/>
    <cellStyle name="Calculation 2 6 4 7" xfId="9370" xr:uid="{00000000-0005-0000-0000-000055170000}"/>
    <cellStyle name="Calculation 2 6 4 7 2" xfId="9371" xr:uid="{00000000-0005-0000-0000-000056170000}"/>
    <cellStyle name="Calculation 2 6 4 7 3" xfId="9372" xr:uid="{00000000-0005-0000-0000-000057170000}"/>
    <cellStyle name="Calculation 2 6 4 8" xfId="9373" xr:uid="{00000000-0005-0000-0000-000058170000}"/>
    <cellStyle name="Calculation 2 6 4 8 2" xfId="9374" xr:uid="{00000000-0005-0000-0000-000059170000}"/>
    <cellStyle name="Calculation 2 6 4 8 3" xfId="9375" xr:uid="{00000000-0005-0000-0000-00005A170000}"/>
    <cellStyle name="Calculation 2 6 4 9" xfId="9376" xr:uid="{00000000-0005-0000-0000-00005B170000}"/>
    <cellStyle name="Calculation 2 6 5" xfId="9377" xr:uid="{00000000-0005-0000-0000-00005C170000}"/>
    <cellStyle name="Calculation 2 6 5 2" xfId="9378" xr:uid="{00000000-0005-0000-0000-00005D170000}"/>
    <cellStyle name="Calculation 2 6 5 2 2" xfId="9379" xr:uid="{00000000-0005-0000-0000-00005E170000}"/>
    <cellStyle name="Calculation 2 6 5 2 3" xfId="9380" xr:uid="{00000000-0005-0000-0000-00005F170000}"/>
    <cellStyle name="Calculation 2 6 5 3" xfId="9381" xr:uid="{00000000-0005-0000-0000-000060170000}"/>
    <cellStyle name="Calculation 2 6 5 3 2" xfId="9382" xr:uid="{00000000-0005-0000-0000-000061170000}"/>
    <cellStyle name="Calculation 2 6 5 3 3" xfId="9383" xr:uid="{00000000-0005-0000-0000-000062170000}"/>
    <cellStyle name="Calculation 2 6 5 4" xfId="9384" xr:uid="{00000000-0005-0000-0000-000063170000}"/>
    <cellStyle name="Calculation 2 6 5 4 2" xfId="9385" xr:uid="{00000000-0005-0000-0000-000064170000}"/>
    <cellStyle name="Calculation 2 6 5 4 3" xfId="9386" xr:uid="{00000000-0005-0000-0000-000065170000}"/>
    <cellStyle name="Calculation 2 6 5 5" xfId="9387" xr:uid="{00000000-0005-0000-0000-000066170000}"/>
    <cellStyle name="Calculation 2 6 5 5 2" xfId="9388" xr:uid="{00000000-0005-0000-0000-000067170000}"/>
    <cellStyle name="Calculation 2 6 5 5 3" xfId="9389" xr:uid="{00000000-0005-0000-0000-000068170000}"/>
    <cellStyle name="Calculation 2 6 5 6" xfId="9390" xr:uid="{00000000-0005-0000-0000-000069170000}"/>
    <cellStyle name="Calculation 2 6 5 6 2" xfId="9391" xr:uid="{00000000-0005-0000-0000-00006A170000}"/>
    <cellStyle name="Calculation 2 6 5 6 3" xfId="9392" xr:uid="{00000000-0005-0000-0000-00006B170000}"/>
    <cellStyle name="Calculation 2 6 5 7" xfId="9393" xr:uid="{00000000-0005-0000-0000-00006C170000}"/>
    <cellStyle name="Calculation 2 6 5 7 2" xfId="9394" xr:uid="{00000000-0005-0000-0000-00006D170000}"/>
    <cellStyle name="Calculation 2 6 5 7 3" xfId="9395" xr:uid="{00000000-0005-0000-0000-00006E170000}"/>
    <cellStyle name="Calculation 2 6 5 8" xfId="9396" xr:uid="{00000000-0005-0000-0000-00006F170000}"/>
    <cellStyle name="Calculation 2 6 5 9" xfId="9397" xr:uid="{00000000-0005-0000-0000-000070170000}"/>
    <cellStyle name="Calculation 2 6 6" xfId="9398" xr:uid="{00000000-0005-0000-0000-000071170000}"/>
    <cellStyle name="Calculation 2 6 6 2" xfId="9399" xr:uid="{00000000-0005-0000-0000-000072170000}"/>
    <cellStyle name="Calculation 2 6 6 3" xfId="9400" xr:uid="{00000000-0005-0000-0000-000073170000}"/>
    <cellStyle name="Calculation 2 6 7" xfId="9401" xr:uid="{00000000-0005-0000-0000-000074170000}"/>
    <cellStyle name="Calculation 2 6 7 2" xfId="9402" xr:uid="{00000000-0005-0000-0000-000075170000}"/>
    <cellStyle name="Calculation 2 6 7 3" xfId="9403" xr:uid="{00000000-0005-0000-0000-000076170000}"/>
    <cellStyle name="Calculation 2 6 8" xfId="9404" xr:uid="{00000000-0005-0000-0000-000077170000}"/>
    <cellStyle name="Calculation 2 6 8 2" xfId="9405" xr:uid="{00000000-0005-0000-0000-000078170000}"/>
    <cellStyle name="Calculation 2 6 8 3" xfId="9406" xr:uid="{00000000-0005-0000-0000-000079170000}"/>
    <cellStyle name="Calculation 2 6 9" xfId="9407" xr:uid="{00000000-0005-0000-0000-00007A170000}"/>
    <cellStyle name="Calculation 2 6 9 2" xfId="9408" xr:uid="{00000000-0005-0000-0000-00007B170000}"/>
    <cellStyle name="Calculation 2 6 9 3" xfId="9409" xr:uid="{00000000-0005-0000-0000-00007C170000}"/>
    <cellStyle name="Calculation 2 7" xfId="9410" xr:uid="{00000000-0005-0000-0000-00007D170000}"/>
    <cellStyle name="Calculation 2 7 10" xfId="9411" xr:uid="{00000000-0005-0000-0000-00007E170000}"/>
    <cellStyle name="Calculation 2 7 2" xfId="9412" xr:uid="{00000000-0005-0000-0000-00007F170000}"/>
    <cellStyle name="Calculation 2 7 2 2" xfId="9413" xr:uid="{00000000-0005-0000-0000-000080170000}"/>
    <cellStyle name="Calculation 2 7 2 2 2" xfId="9414" xr:uid="{00000000-0005-0000-0000-000081170000}"/>
    <cellStyle name="Calculation 2 7 2 2 3" xfId="9415" xr:uid="{00000000-0005-0000-0000-000082170000}"/>
    <cellStyle name="Calculation 2 7 2 3" xfId="9416" xr:uid="{00000000-0005-0000-0000-000083170000}"/>
    <cellStyle name="Calculation 2 7 2 3 2" xfId="9417" xr:uid="{00000000-0005-0000-0000-000084170000}"/>
    <cellStyle name="Calculation 2 7 2 3 3" xfId="9418" xr:uid="{00000000-0005-0000-0000-000085170000}"/>
    <cellStyle name="Calculation 2 7 2 4" xfId="9419" xr:uid="{00000000-0005-0000-0000-000086170000}"/>
    <cellStyle name="Calculation 2 7 2 4 2" xfId="9420" xr:uid="{00000000-0005-0000-0000-000087170000}"/>
    <cellStyle name="Calculation 2 7 2 4 3" xfId="9421" xr:uid="{00000000-0005-0000-0000-000088170000}"/>
    <cellStyle name="Calculation 2 7 2 5" xfId="9422" xr:uid="{00000000-0005-0000-0000-000089170000}"/>
    <cellStyle name="Calculation 2 7 2 5 2" xfId="9423" xr:uid="{00000000-0005-0000-0000-00008A170000}"/>
    <cellStyle name="Calculation 2 7 2 5 3" xfId="9424" xr:uid="{00000000-0005-0000-0000-00008B170000}"/>
    <cellStyle name="Calculation 2 7 2 6" xfId="9425" xr:uid="{00000000-0005-0000-0000-00008C170000}"/>
    <cellStyle name="Calculation 2 7 2 6 2" xfId="9426" xr:uid="{00000000-0005-0000-0000-00008D170000}"/>
    <cellStyle name="Calculation 2 7 2 6 3" xfId="9427" xr:uid="{00000000-0005-0000-0000-00008E170000}"/>
    <cellStyle name="Calculation 2 7 2 7" xfId="9428" xr:uid="{00000000-0005-0000-0000-00008F170000}"/>
    <cellStyle name="Calculation 2 7 2 7 2" xfId="9429" xr:uid="{00000000-0005-0000-0000-000090170000}"/>
    <cellStyle name="Calculation 2 7 2 7 3" xfId="9430" xr:uid="{00000000-0005-0000-0000-000091170000}"/>
    <cellStyle name="Calculation 2 7 2 8" xfId="9431" xr:uid="{00000000-0005-0000-0000-000092170000}"/>
    <cellStyle name="Calculation 2 7 2 9" xfId="9432" xr:uid="{00000000-0005-0000-0000-000093170000}"/>
    <cellStyle name="Calculation 2 7 3" xfId="9433" xr:uid="{00000000-0005-0000-0000-000094170000}"/>
    <cellStyle name="Calculation 2 7 3 2" xfId="9434" xr:uid="{00000000-0005-0000-0000-000095170000}"/>
    <cellStyle name="Calculation 2 7 3 3" xfId="9435" xr:uid="{00000000-0005-0000-0000-000096170000}"/>
    <cellStyle name="Calculation 2 7 4" xfId="9436" xr:uid="{00000000-0005-0000-0000-000097170000}"/>
    <cellStyle name="Calculation 2 7 4 2" xfId="9437" xr:uid="{00000000-0005-0000-0000-000098170000}"/>
    <cellStyle name="Calculation 2 7 4 3" xfId="9438" xr:uid="{00000000-0005-0000-0000-000099170000}"/>
    <cellStyle name="Calculation 2 7 5" xfId="9439" xr:uid="{00000000-0005-0000-0000-00009A170000}"/>
    <cellStyle name="Calculation 2 7 5 2" xfId="9440" xr:uid="{00000000-0005-0000-0000-00009B170000}"/>
    <cellStyle name="Calculation 2 7 5 3" xfId="9441" xr:uid="{00000000-0005-0000-0000-00009C170000}"/>
    <cellStyle name="Calculation 2 7 6" xfId="9442" xr:uid="{00000000-0005-0000-0000-00009D170000}"/>
    <cellStyle name="Calculation 2 7 6 2" xfId="9443" xr:uid="{00000000-0005-0000-0000-00009E170000}"/>
    <cellStyle name="Calculation 2 7 6 3" xfId="9444" xr:uid="{00000000-0005-0000-0000-00009F170000}"/>
    <cellStyle name="Calculation 2 7 7" xfId="9445" xr:uid="{00000000-0005-0000-0000-0000A0170000}"/>
    <cellStyle name="Calculation 2 7 7 2" xfId="9446" xr:uid="{00000000-0005-0000-0000-0000A1170000}"/>
    <cellStyle name="Calculation 2 7 7 3" xfId="9447" xr:uid="{00000000-0005-0000-0000-0000A2170000}"/>
    <cellStyle name="Calculation 2 7 8" xfId="9448" xr:uid="{00000000-0005-0000-0000-0000A3170000}"/>
    <cellStyle name="Calculation 2 7 8 2" xfId="9449" xr:uid="{00000000-0005-0000-0000-0000A4170000}"/>
    <cellStyle name="Calculation 2 7 8 3" xfId="9450" xr:uid="{00000000-0005-0000-0000-0000A5170000}"/>
    <cellStyle name="Calculation 2 7 9" xfId="9451" xr:uid="{00000000-0005-0000-0000-0000A6170000}"/>
    <cellStyle name="Calculation 2 8" xfId="9452" xr:uid="{00000000-0005-0000-0000-0000A7170000}"/>
    <cellStyle name="Calculation 2 8 10" xfId="9453" xr:uid="{00000000-0005-0000-0000-0000A8170000}"/>
    <cellStyle name="Calculation 2 8 2" xfId="9454" xr:uid="{00000000-0005-0000-0000-0000A9170000}"/>
    <cellStyle name="Calculation 2 8 2 2" xfId="9455" xr:uid="{00000000-0005-0000-0000-0000AA170000}"/>
    <cellStyle name="Calculation 2 8 2 2 2" xfId="9456" xr:uid="{00000000-0005-0000-0000-0000AB170000}"/>
    <cellStyle name="Calculation 2 8 2 2 3" xfId="9457" xr:uid="{00000000-0005-0000-0000-0000AC170000}"/>
    <cellStyle name="Calculation 2 8 2 3" xfId="9458" xr:uid="{00000000-0005-0000-0000-0000AD170000}"/>
    <cellStyle name="Calculation 2 8 2 3 2" xfId="9459" xr:uid="{00000000-0005-0000-0000-0000AE170000}"/>
    <cellStyle name="Calculation 2 8 2 3 3" xfId="9460" xr:uid="{00000000-0005-0000-0000-0000AF170000}"/>
    <cellStyle name="Calculation 2 8 2 4" xfId="9461" xr:uid="{00000000-0005-0000-0000-0000B0170000}"/>
    <cellStyle name="Calculation 2 8 2 4 2" xfId="9462" xr:uid="{00000000-0005-0000-0000-0000B1170000}"/>
    <cellStyle name="Calculation 2 8 2 4 3" xfId="9463" xr:uid="{00000000-0005-0000-0000-0000B2170000}"/>
    <cellStyle name="Calculation 2 8 2 5" xfId="9464" xr:uid="{00000000-0005-0000-0000-0000B3170000}"/>
    <cellStyle name="Calculation 2 8 2 5 2" xfId="9465" xr:uid="{00000000-0005-0000-0000-0000B4170000}"/>
    <cellStyle name="Calculation 2 8 2 5 3" xfId="9466" xr:uid="{00000000-0005-0000-0000-0000B5170000}"/>
    <cellStyle name="Calculation 2 8 2 6" xfId="9467" xr:uid="{00000000-0005-0000-0000-0000B6170000}"/>
    <cellStyle name="Calculation 2 8 2 6 2" xfId="9468" xr:uid="{00000000-0005-0000-0000-0000B7170000}"/>
    <cellStyle name="Calculation 2 8 2 6 3" xfId="9469" xr:uid="{00000000-0005-0000-0000-0000B8170000}"/>
    <cellStyle name="Calculation 2 8 2 7" xfId="9470" xr:uid="{00000000-0005-0000-0000-0000B9170000}"/>
    <cellStyle name="Calculation 2 8 2 7 2" xfId="9471" xr:uid="{00000000-0005-0000-0000-0000BA170000}"/>
    <cellStyle name="Calculation 2 8 2 7 3" xfId="9472" xr:uid="{00000000-0005-0000-0000-0000BB170000}"/>
    <cellStyle name="Calculation 2 8 2 8" xfId="9473" xr:uid="{00000000-0005-0000-0000-0000BC170000}"/>
    <cellStyle name="Calculation 2 8 2 9" xfId="9474" xr:uid="{00000000-0005-0000-0000-0000BD170000}"/>
    <cellStyle name="Calculation 2 8 3" xfId="9475" xr:uid="{00000000-0005-0000-0000-0000BE170000}"/>
    <cellStyle name="Calculation 2 8 3 2" xfId="9476" xr:uid="{00000000-0005-0000-0000-0000BF170000}"/>
    <cellStyle name="Calculation 2 8 3 3" xfId="9477" xr:uid="{00000000-0005-0000-0000-0000C0170000}"/>
    <cellStyle name="Calculation 2 8 4" xfId="9478" xr:uid="{00000000-0005-0000-0000-0000C1170000}"/>
    <cellStyle name="Calculation 2 8 4 2" xfId="9479" xr:uid="{00000000-0005-0000-0000-0000C2170000}"/>
    <cellStyle name="Calculation 2 8 4 3" xfId="9480" xr:uid="{00000000-0005-0000-0000-0000C3170000}"/>
    <cellStyle name="Calculation 2 8 5" xfId="9481" xr:uid="{00000000-0005-0000-0000-0000C4170000}"/>
    <cellStyle name="Calculation 2 8 5 2" xfId="9482" xr:uid="{00000000-0005-0000-0000-0000C5170000}"/>
    <cellStyle name="Calculation 2 8 5 3" xfId="9483" xr:uid="{00000000-0005-0000-0000-0000C6170000}"/>
    <cellStyle name="Calculation 2 8 6" xfId="9484" xr:uid="{00000000-0005-0000-0000-0000C7170000}"/>
    <cellStyle name="Calculation 2 8 6 2" xfId="9485" xr:uid="{00000000-0005-0000-0000-0000C8170000}"/>
    <cellStyle name="Calculation 2 8 6 3" xfId="9486" xr:uid="{00000000-0005-0000-0000-0000C9170000}"/>
    <cellStyle name="Calculation 2 8 7" xfId="9487" xr:uid="{00000000-0005-0000-0000-0000CA170000}"/>
    <cellStyle name="Calculation 2 8 7 2" xfId="9488" xr:uid="{00000000-0005-0000-0000-0000CB170000}"/>
    <cellStyle name="Calculation 2 8 7 3" xfId="9489" xr:uid="{00000000-0005-0000-0000-0000CC170000}"/>
    <cellStyle name="Calculation 2 8 8" xfId="9490" xr:uid="{00000000-0005-0000-0000-0000CD170000}"/>
    <cellStyle name="Calculation 2 8 8 2" xfId="9491" xr:uid="{00000000-0005-0000-0000-0000CE170000}"/>
    <cellStyle name="Calculation 2 8 8 3" xfId="9492" xr:uid="{00000000-0005-0000-0000-0000CF170000}"/>
    <cellStyle name="Calculation 2 8 9" xfId="9493" xr:uid="{00000000-0005-0000-0000-0000D0170000}"/>
    <cellStyle name="Calculation 2 9" xfId="9494" xr:uid="{00000000-0005-0000-0000-0000D1170000}"/>
    <cellStyle name="Calculation 2 9 10" xfId="9495" xr:uid="{00000000-0005-0000-0000-0000D2170000}"/>
    <cellStyle name="Calculation 2 9 2" xfId="9496" xr:uid="{00000000-0005-0000-0000-0000D3170000}"/>
    <cellStyle name="Calculation 2 9 2 2" xfId="9497" xr:uid="{00000000-0005-0000-0000-0000D4170000}"/>
    <cellStyle name="Calculation 2 9 2 2 2" xfId="9498" xr:uid="{00000000-0005-0000-0000-0000D5170000}"/>
    <cellStyle name="Calculation 2 9 2 2 3" xfId="9499" xr:uid="{00000000-0005-0000-0000-0000D6170000}"/>
    <cellStyle name="Calculation 2 9 2 3" xfId="9500" xr:uid="{00000000-0005-0000-0000-0000D7170000}"/>
    <cellStyle name="Calculation 2 9 2 3 2" xfId="9501" xr:uid="{00000000-0005-0000-0000-0000D8170000}"/>
    <cellStyle name="Calculation 2 9 2 3 3" xfId="9502" xr:uid="{00000000-0005-0000-0000-0000D9170000}"/>
    <cellStyle name="Calculation 2 9 2 4" xfId="9503" xr:uid="{00000000-0005-0000-0000-0000DA170000}"/>
    <cellStyle name="Calculation 2 9 2 4 2" xfId="9504" xr:uid="{00000000-0005-0000-0000-0000DB170000}"/>
    <cellStyle name="Calculation 2 9 2 4 3" xfId="9505" xr:uid="{00000000-0005-0000-0000-0000DC170000}"/>
    <cellStyle name="Calculation 2 9 2 5" xfId="9506" xr:uid="{00000000-0005-0000-0000-0000DD170000}"/>
    <cellStyle name="Calculation 2 9 2 5 2" xfId="9507" xr:uid="{00000000-0005-0000-0000-0000DE170000}"/>
    <cellStyle name="Calculation 2 9 2 5 3" xfId="9508" xr:uid="{00000000-0005-0000-0000-0000DF170000}"/>
    <cellStyle name="Calculation 2 9 2 6" xfId="9509" xr:uid="{00000000-0005-0000-0000-0000E0170000}"/>
    <cellStyle name="Calculation 2 9 2 6 2" xfId="9510" xr:uid="{00000000-0005-0000-0000-0000E1170000}"/>
    <cellStyle name="Calculation 2 9 2 6 3" xfId="9511" xr:uid="{00000000-0005-0000-0000-0000E2170000}"/>
    <cellStyle name="Calculation 2 9 2 7" xfId="9512" xr:uid="{00000000-0005-0000-0000-0000E3170000}"/>
    <cellStyle name="Calculation 2 9 2 7 2" xfId="9513" xr:uid="{00000000-0005-0000-0000-0000E4170000}"/>
    <cellStyle name="Calculation 2 9 2 7 3" xfId="9514" xr:uid="{00000000-0005-0000-0000-0000E5170000}"/>
    <cellStyle name="Calculation 2 9 2 8" xfId="9515" xr:uid="{00000000-0005-0000-0000-0000E6170000}"/>
    <cellStyle name="Calculation 2 9 2 9" xfId="9516" xr:uid="{00000000-0005-0000-0000-0000E7170000}"/>
    <cellStyle name="Calculation 2 9 3" xfId="9517" xr:uid="{00000000-0005-0000-0000-0000E8170000}"/>
    <cellStyle name="Calculation 2 9 3 2" xfId="9518" xr:uid="{00000000-0005-0000-0000-0000E9170000}"/>
    <cellStyle name="Calculation 2 9 3 3" xfId="9519" xr:uid="{00000000-0005-0000-0000-0000EA170000}"/>
    <cellStyle name="Calculation 2 9 4" xfId="9520" xr:uid="{00000000-0005-0000-0000-0000EB170000}"/>
    <cellStyle name="Calculation 2 9 4 2" xfId="9521" xr:uid="{00000000-0005-0000-0000-0000EC170000}"/>
    <cellStyle name="Calculation 2 9 4 3" xfId="9522" xr:uid="{00000000-0005-0000-0000-0000ED170000}"/>
    <cellStyle name="Calculation 2 9 5" xfId="9523" xr:uid="{00000000-0005-0000-0000-0000EE170000}"/>
    <cellStyle name="Calculation 2 9 5 2" xfId="9524" xr:uid="{00000000-0005-0000-0000-0000EF170000}"/>
    <cellStyle name="Calculation 2 9 5 3" xfId="9525" xr:uid="{00000000-0005-0000-0000-0000F0170000}"/>
    <cellStyle name="Calculation 2 9 6" xfId="9526" xr:uid="{00000000-0005-0000-0000-0000F1170000}"/>
    <cellStyle name="Calculation 2 9 6 2" xfId="9527" xr:uid="{00000000-0005-0000-0000-0000F2170000}"/>
    <cellStyle name="Calculation 2 9 6 3" xfId="9528" xr:uid="{00000000-0005-0000-0000-0000F3170000}"/>
    <cellStyle name="Calculation 2 9 7" xfId="9529" xr:uid="{00000000-0005-0000-0000-0000F4170000}"/>
    <cellStyle name="Calculation 2 9 7 2" xfId="9530" xr:uid="{00000000-0005-0000-0000-0000F5170000}"/>
    <cellStyle name="Calculation 2 9 7 3" xfId="9531" xr:uid="{00000000-0005-0000-0000-0000F6170000}"/>
    <cellStyle name="Calculation 2 9 8" xfId="9532" xr:uid="{00000000-0005-0000-0000-0000F7170000}"/>
    <cellStyle name="Calculation 2 9 8 2" xfId="9533" xr:uid="{00000000-0005-0000-0000-0000F8170000}"/>
    <cellStyle name="Calculation 2 9 8 3" xfId="9534" xr:uid="{00000000-0005-0000-0000-0000F9170000}"/>
    <cellStyle name="Calculation 2 9 9" xfId="9535" xr:uid="{00000000-0005-0000-0000-0000FA170000}"/>
    <cellStyle name="Calculation 3" xfId="201" xr:uid="{00000000-0005-0000-0000-0000FB170000}"/>
    <cellStyle name="Calculation 3 10" xfId="9536" xr:uid="{00000000-0005-0000-0000-0000FC170000}"/>
    <cellStyle name="Calculation 3 10 2" xfId="9537" xr:uid="{00000000-0005-0000-0000-0000FD170000}"/>
    <cellStyle name="Calculation 3 10 2 2" xfId="9538" xr:uid="{00000000-0005-0000-0000-0000FE170000}"/>
    <cellStyle name="Calculation 3 10 2 3" xfId="9539" xr:uid="{00000000-0005-0000-0000-0000FF170000}"/>
    <cellStyle name="Calculation 3 10 3" xfId="9540" xr:uid="{00000000-0005-0000-0000-000000180000}"/>
    <cellStyle name="Calculation 3 10 3 2" xfId="9541" xr:uid="{00000000-0005-0000-0000-000001180000}"/>
    <cellStyle name="Calculation 3 10 3 3" xfId="9542" xr:uid="{00000000-0005-0000-0000-000002180000}"/>
    <cellStyle name="Calculation 3 10 4" xfId="9543" xr:uid="{00000000-0005-0000-0000-000003180000}"/>
    <cellStyle name="Calculation 3 10 4 2" xfId="9544" xr:uid="{00000000-0005-0000-0000-000004180000}"/>
    <cellStyle name="Calculation 3 10 4 3" xfId="9545" xr:uid="{00000000-0005-0000-0000-000005180000}"/>
    <cellStyle name="Calculation 3 10 5" xfId="9546" xr:uid="{00000000-0005-0000-0000-000006180000}"/>
    <cellStyle name="Calculation 3 10 5 2" xfId="9547" xr:uid="{00000000-0005-0000-0000-000007180000}"/>
    <cellStyle name="Calculation 3 10 5 3" xfId="9548" xr:uid="{00000000-0005-0000-0000-000008180000}"/>
    <cellStyle name="Calculation 3 10 6" xfId="9549" xr:uid="{00000000-0005-0000-0000-000009180000}"/>
    <cellStyle name="Calculation 3 10 6 2" xfId="9550" xr:uid="{00000000-0005-0000-0000-00000A180000}"/>
    <cellStyle name="Calculation 3 10 6 3" xfId="9551" xr:uid="{00000000-0005-0000-0000-00000B180000}"/>
    <cellStyle name="Calculation 3 10 7" xfId="9552" xr:uid="{00000000-0005-0000-0000-00000C180000}"/>
    <cellStyle name="Calculation 3 10 7 2" xfId="9553" xr:uid="{00000000-0005-0000-0000-00000D180000}"/>
    <cellStyle name="Calculation 3 10 7 3" xfId="9554" xr:uid="{00000000-0005-0000-0000-00000E180000}"/>
    <cellStyle name="Calculation 3 10 8" xfId="9555" xr:uid="{00000000-0005-0000-0000-00000F180000}"/>
    <cellStyle name="Calculation 3 10 9" xfId="9556" xr:uid="{00000000-0005-0000-0000-000010180000}"/>
    <cellStyle name="Calculation 3 2" xfId="202" xr:uid="{00000000-0005-0000-0000-000011180000}"/>
    <cellStyle name="Calculation 3 2 2" xfId="787" xr:uid="{00000000-0005-0000-0000-000012180000}"/>
    <cellStyle name="Calculation 3 2 2 10" xfId="9557" xr:uid="{00000000-0005-0000-0000-000013180000}"/>
    <cellStyle name="Calculation 3 2 2 10 2" xfId="9558" xr:uid="{00000000-0005-0000-0000-000014180000}"/>
    <cellStyle name="Calculation 3 2 2 10 3" xfId="9559" xr:uid="{00000000-0005-0000-0000-000015180000}"/>
    <cellStyle name="Calculation 3 2 2 11" xfId="9560" xr:uid="{00000000-0005-0000-0000-000016180000}"/>
    <cellStyle name="Calculation 3 2 2 11 2" xfId="9561" xr:uid="{00000000-0005-0000-0000-000017180000}"/>
    <cellStyle name="Calculation 3 2 2 11 3" xfId="9562" xr:uid="{00000000-0005-0000-0000-000018180000}"/>
    <cellStyle name="Calculation 3 2 2 12" xfId="9563" xr:uid="{00000000-0005-0000-0000-000019180000}"/>
    <cellStyle name="Calculation 3 2 2 12 2" xfId="9564" xr:uid="{00000000-0005-0000-0000-00001A180000}"/>
    <cellStyle name="Calculation 3 2 2 12 3" xfId="9565" xr:uid="{00000000-0005-0000-0000-00001B180000}"/>
    <cellStyle name="Calculation 3 2 2 13" xfId="9566" xr:uid="{00000000-0005-0000-0000-00001C180000}"/>
    <cellStyle name="Calculation 3 2 2 13 2" xfId="9567" xr:uid="{00000000-0005-0000-0000-00001D180000}"/>
    <cellStyle name="Calculation 3 2 2 13 3" xfId="9568" xr:uid="{00000000-0005-0000-0000-00001E180000}"/>
    <cellStyle name="Calculation 3 2 2 14" xfId="43996" xr:uid="{00000000-0005-0000-0000-00001F180000}"/>
    <cellStyle name="Calculation 3 2 2 2" xfId="9569" xr:uid="{00000000-0005-0000-0000-000020180000}"/>
    <cellStyle name="Calculation 3 2 2 2 10" xfId="43997" xr:uid="{00000000-0005-0000-0000-000021180000}"/>
    <cellStyle name="Calculation 3 2 2 2 2" xfId="9570" xr:uid="{00000000-0005-0000-0000-000022180000}"/>
    <cellStyle name="Calculation 3 2 2 2 2 10" xfId="9571" xr:uid="{00000000-0005-0000-0000-000023180000}"/>
    <cellStyle name="Calculation 3 2 2 2 2 2" xfId="9572" xr:uid="{00000000-0005-0000-0000-000024180000}"/>
    <cellStyle name="Calculation 3 2 2 2 2 2 2" xfId="9573" xr:uid="{00000000-0005-0000-0000-000025180000}"/>
    <cellStyle name="Calculation 3 2 2 2 2 2 2 2" xfId="9574" xr:uid="{00000000-0005-0000-0000-000026180000}"/>
    <cellStyle name="Calculation 3 2 2 2 2 2 2 3" xfId="9575" xr:uid="{00000000-0005-0000-0000-000027180000}"/>
    <cellStyle name="Calculation 3 2 2 2 2 2 3" xfId="9576" xr:uid="{00000000-0005-0000-0000-000028180000}"/>
    <cellStyle name="Calculation 3 2 2 2 2 2 3 2" xfId="9577" xr:uid="{00000000-0005-0000-0000-000029180000}"/>
    <cellStyle name="Calculation 3 2 2 2 2 2 3 3" xfId="9578" xr:uid="{00000000-0005-0000-0000-00002A180000}"/>
    <cellStyle name="Calculation 3 2 2 2 2 2 4" xfId="9579" xr:uid="{00000000-0005-0000-0000-00002B180000}"/>
    <cellStyle name="Calculation 3 2 2 2 2 2 4 2" xfId="9580" xr:uid="{00000000-0005-0000-0000-00002C180000}"/>
    <cellStyle name="Calculation 3 2 2 2 2 2 4 3" xfId="9581" xr:uid="{00000000-0005-0000-0000-00002D180000}"/>
    <cellStyle name="Calculation 3 2 2 2 2 2 5" xfId="9582" xr:uid="{00000000-0005-0000-0000-00002E180000}"/>
    <cellStyle name="Calculation 3 2 2 2 2 2 5 2" xfId="9583" xr:uid="{00000000-0005-0000-0000-00002F180000}"/>
    <cellStyle name="Calculation 3 2 2 2 2 2 5 3" xfId="9584" xr:uid="{00000000-0005-0000-0000-000030180000}"/>
    <cellStyle name="Calculation 3 2 2 2 2 2 6" xfId="9585" xr:uid="{00000000-0005-0000-0000-000031180000}"/>
    <cellStyle name="Calculation 3 2 2 2 2 2 6 2" xfId="9586" xr:uid="{00000000-0005-0000-0000-000032180000}"/>
    <cellStyle name="Calculation 3 2 2 2 2 2 6 3" xfId="9587" xr:uid="{00000000-0005-0000-0000-000033180000}"/>
    <cellStyle name="Calculation 3 2 2 2 2 2 7" xfId="9588" xr:uid="{00000000-0005-0000-0000-000034180000}"/>
    <cellStyle name="Calculation 3 2 2 2 2 2 7 2" xfId="9589" xr:uid="{00000000-0005-0000-0000-000035180000}"/>
    <cellStyle name="Calculation 3 2 2 2 2 2 7 3" xfId="9590" xr:uid="{00000000-0005-0000-0000-000036180000}"/>
    <cellStyle name="Calculation 3 2 2 2 2 2 8" xfId="9591" xr:uid="{00000000-0005-0000-0000-000037180000}"/>
    <cellStyle name="Calculation 3 2 2 2 2 2 9" xfId="9592" xr:uid="{00000000-0005-0000-0000-000038180000}"/>
    <cellStyle name="Calculation 3 2 2 2 2 3" xfId="9593" xr:uid="{00000000-0005-0000-0000-000039180000}"/>
    <cellStyle name="Calculation 3 2 2 2 2 3 2" xfId="9594" xr:uid="{00000000-0005-0000-0000-00003A180000}"/>
    <cellStyle name="Calculation 3 2 2 2 2 3 3" xfId="9595" xr:uid="{00000000-0005-0000-0000-00003B180000}"/>
    <cellStyle name="Calculation 3 2 2 2 2 4" xfId="9596" xr:uid="{00000000-0005-0000-0000-00003C180000}"/>
    <cellStyle name="Calculation 3 2 2 2 2 4 2" xfId="9597" xr:uid="{00000000-0005-0000-0000-00003D180000}"/>
    <cellStyle name="Calculation 3 2 2 2 2 4 3" xfId="9598" xr:uid="{00000000-0005-0000-0000-00003E180000}"/>
    <cellStyle name="Calculation 3 2 2 2 2 5" xfId="9599" xr:uid="{00000000-0005-0000-0000-00003F180000}"/>
    <cellStyle name="Calculation 3 2 2 2 2 5 2" xfId="9600" xr:uid="{00000000-0005-0000-0000-000040180000}"/>
    <cellStyle name="Calculation 3 2 2 2 2 5 3" xfId="9601" xr:uid="{00000000-0005-0000-0000-000041180000}"/>
    <cellStyle name="Calculation 3 2 2 2 2 6" xfId="9602" xr:uid="{00000000-0005-0000-0000-000042180000}"/>
    <cellStyle name="Calculation 3 2 2 2 2 6 2" xfId="9603" xr:uid="{00000000-0005-0000-0000-000043180000}"/>
    <cellStyle name="Calculation 3 2 2 2 2 6 3" xfId="9604" xr:uid="{00000000-0005-0000-0000-000044180000}"/>
    <cellStyle name="Calculation 3 2 2 2 2 7" xfId="9605" xr:uid="{00000000-0005-0000-0000-000045180000}"/>
    <cellStyle name="Calculation 3 2 2 2 2 7 2" xfId="9606" xr:uid="{00000000-0005-0000-0000-000046180000}"/>
    <cellStyle name="Calculation 3 2 2 2 2 7 3" xfId="9607" xr:uid="{00000000-0005-0000-0000-000047180000}"/>
    <cellStyle name="Calculation 3 2 2 2 2 8" xfId="9608" xr:uid="{00000000-0005-0000-0000-000048180000}"/>
    <cellStyle name="Calculation 3 2 2 2 2 8 2" xfId="9609" xr:uid="{00000000-0005-0000-0000-000049180000}"/>
    <cellStyle name="Calculation 3 2 2 2 2 8 3" xfId="9610" xr:uid="{00000000-0005-0000-0000-00004A180000}"/>
    <cellStyle name="Calculation 3 2 2 2 2 9" xfId="9611" xr:uid="{00000000-0005-0000-0000-00004B180000}"/>
    <cellStyle name="Calculation 3 2 2 2 3" xfId="9612" xr:uid="{00000000-0005-0000-0000-00004C180000}"/>
    <cellStyle name="Calculation 3 2 2 2 3 10" xfId="9613" xr:uid="{00000000-0005-0000-0000-00004D180000}"/>
    <cellStyle name="Calculation 3 2 2 2 3 2" xfId="9614" xr:uid="{00000000-0005-0000-0000-00004E180000}"/>
    <cellStyle name="Calculation 3 2 2 2 3 2 2" xfId="9615" xr:uid="{00000000-0005-0000-0000-00004F180000}"/>
    <cellStyle name="Calculation 3 2 2 2 3 2 2 2" xfId="9616" xr:uid="{00000000-0005-0000-0000-000050180000}"/>
    <cellStyle name="Calculation 3 2 2 2 3 2 2 3" xfId="9617" xr:uid="{00000000-0005-0000-0000-000051180000}"/>
    <cellStyle name="Calculation 3 2 2 2 3 2 3" xfId="9618" xr:uid="{00000000-0005-0000-0000-000052180000}"/>
    <cellStyle name="Calculation 3 2 2 2 3 2 3 2" xfId="9619" xr:uid="{00000000-0005-0000-0000-000053180000}"/>
    <cellStyle name="Calculation 3 2 2 2 3 2 3 3" xfId="9620" xr:uid="{00000000-0005-0000-0000-000054180000}"/>
    <cellStyle name="Calculation 3 2 2 2 3 2 4" xfId="9621" xr:uid="{00000000-0005-0000-0000-000055180000}"/>
    <cellStyle name="Calculation 3 2 2 2 3 2 4 2" xfId="9622" xr:uid="{00000000-0005-0000-0000-000056180000}"/>
    <cellStyle name="Calculation 3 2 2 2 3 2 4 3" xfId="9623" xr:uid="{00000000-0005-0000-0000-000057180000}"/>
    <cellStyle name="Calculation 3 2 2 2 3 2 5" xfId="9624" xr:uid="{00000000-0005-0000-0000-000058180000}"/>
    <cellStyle name="Calculation 3 2 2 2 3 2 5 2" xfId="9625" xr:uid="{00000000-0005-0000-0000-000059180000}"/>
    <cellStyle name="Calculation 3 2 2 2 3 2 5 3" xfId="9626" xr:uid="{00000000-0005-0000-0000-00005A180000}"/>
    <cellStyle name="Calculation 3 2 2 2 3 2 6" xfId="9627" xr:uid="{00000000-0005-0000-0000-00005B180000}"/>
    <cellStyle name="Calculation 3 2 2 2 3 2 6 2" xfId="9628" xr:uid="{00000000-0005-0000-0000-00005C180000}"/>
    <cellStyle name="Calculation 3 2 2 2 3 2 6 3" xfId="9629" xr:uid="{00000000-0005-0000-0000-00005D180000}"/>
    <cellStyle name="Calculation 3 2 2 2 3 2 7" xfId="9630" xr:uid="{00000000-0005-0000-0000-00005E180000}"/>
    <cellStyle name="Calculation 3 2 2 2 3 2 7 2" xfId="9631" xr:uid="{00000000-0005-0000-0000-00005F180000}"/>
    <cellStyle name="Calculation 3 2 2 2 3 2 7 3" xfId="9632" xr:uid="{00000000-0005-0000-0000-000060180000}"/>
    <cellStyle name="Calculation 3 2 2 2 3 2 8" xfId="9633" xr:uid="{00000000-0005-0000-0000-000061180000}"/>
    <cellStyle name="Calculation 3 2 2 2 3 2 9" xfId="9634" xr:uid="{00000000-0005-0000-0000-000062180000}"/>
    <cellStyle name="Calculation 3 2 2 2 3 3" xfId="9635" xr:uid="{00000000-0005-0000-0000-000063180000}"/>
    <cellStyle name="Calculation 3 2 2 2 3 3 2" xfId="9636" xr:uid="{00000000-0005-0000-0000-000064180000}"/>
    <cellStyle name="Calculation 3 2 2 2 3 3 3" xfId="9637" xr:uid="{00000000-0005-0000-0000-000065180000}"/>
    <cellStyle name="Calculation 3 2 2 2 3 4" xfId="9638" xr:uid="{00000000-0005-0000-0000-000066180000}"/>
    <cellStyle name="Calculation 3 2 2 2 3 4 2" xfId="9639" xr:uid="{00000000-0005-0000-0000-000067180000}"/>
    <cellStyle name="Calculation 3 2 2 2 3 4 3" xfId="9640" xr:uid="{00000000-0005-0000-0000-000068180000}"/>
    <cellStyle name="Calculation 3 2 2 2 3 5" xfId="9641" xr:uid="{00000000-0005-0000-0000-000069180000}"/>
    <cellStyle name="Calculation 3 2 2 2 3 5 2" xfId="9642" xr:uid="{00000000-0005-0000-0000-00006A180000}"/>
    <cellStyle name="Calculation 3 2 2 2 3 5 3" xfId="9643" xr:uid="{00000000-0005-0000-0000-00006B180000}"/>
    <cellStyle name="Calculation 3 2 2 2 3 6" xfId="9644" xr:uid="{00000000-0005-0000-0000-00006C180000}"/>
    <cellStyle name="Calculation 3 2 2 2 3 6 2" xfId="9645" xr:uid="{00000000-0005-0000-0000-00006D180000}"/>
    <cellStyle name="Calculation 3 2 2 2 3 6 3" xfId="9646" xr:uid="{00000000-0005-0000-0000-00006E180000}"/>
    <cellStyle name="Calculation 3 2 2 2 3 7" xfId="9647" xr:uid="{00000000-0005-0000-0000-00006F180000}"/>
    <cellStyle name="Calculation 3 2 2 2 3 7 2" xfId="9648" xr:uid="{00000000-0005-0000-0000-000070180000}"/>
    <cellStyle name="Calculation 3 2 2 2 3 7 3" xfId="9649" xr:uid="{00000000-0005-0000-0000-000071180000}"/>
    <cellStyle name="Calculation 3 2 2 2 3 8" xfId="9650" xr:uid="{00000000-0005-0000-0000-000072180000}"/>
    <cellStyle name="Calculation 3 2 2 2 3 8 2" xfId="9651" xr:uid="{00000000-0005-0000-0000-000073180000}"/>
    <cellStyle name="Calculation 3 2 2 2 3 8 3" xfId="9652" xr:uid="{00000000-0005-0000-0000-000074180000}"/>
    <cellStyle name="Calculation 3 2 2 2 3 9" xfId="9653" xr:uid="{00000000-0005-0000-0000-000075180000}"/>
    <cellStyle name="Calculation 3 2 2 2 4" xfId="9654" xr:uid="{00000000-0005-0000-0000-000076180000}"/>
    <cellStyle name="Calculation 3 2 2 2 4 10" xfId="9655" xr:uid="{00000000-0005-0000-0000-000077180000}"/>
    <cellStyle name="Calculation 3 2 2 2 4 2" xfId="9656" xr:uid="{00000000-0005-0000-0000-000078180000}"/>
    <cellStyle name="Calculation 3 2 2 2 4 2 2" xfId="9657" xr:uid="{00000000-0005-0000-0000-000079180000}"/>
    <cellStyle name="Calculation 3 2 2 2 4 2 2 2" xfId="9658" xr:uid="{00000000-0005-0000-0000-00007A180000}"/>
    <cellStyle name="Calculation 3 2 2 2 4 2 2 3" xfId="9659" xr:uid="{00000000-0005-0000-0000-00007B180000}"/>
    <cellStyle name="Calculation 3 2 2 2 4 2 3" xfId="9660" xr:uid="{00000000-0005-0000-0000-00007C180000}"/>
    <cellStyle name="Calculation 3 2 2 2 4 2 3 2" xfId="9661" xr:uid="{00000000-0005-0000-0000-00007D180000}"/>
    <cellStyle name="Calculation 3 2 2 2 4 2 3 3" xfId="9662" xr:uid="{00000000-0005-0000-0000-00007E180000}"/>
    <cellStyle name="Calculation 3 2 2 2 4 2 4" xfId="9663" xr:uid="{00000000-0005-0000-0000-00007F180000}"/>
    <cellStyle name="Calculation 3 2 2 2 4 2 4 2" xfId="9664" xr:uid="{00000000-0005-0000-0000-000080180000}"/>
    <cellStyle name="Calculation 3 2 2 2 4 2 4 3" xfId="9665" xr:uid="{00000000-0005-0000-0000-000081180000}"/>
    <cellStyle name="Calculation 3 2 2 2 4 2 5" xfId="9666" xr:uid="{00000000-0005-0000-0000-000082180000}"/>
    <cellStyle name="Calculation 3 2 2 2 4 2 5 2" xfId="9667" xr:uid="{00000000-0005-0000-0000-000083180000}"/>
    <cellStyle name="Calculation 3 2 2 2 4 2 5 3" xfId="9668" xr:uid="{00000000-0005-0000-0000-000084180000}"/>
    <cellStyle name="Calculation 3 2 2 2 4 2 6" xfId="9669" xr:uid="{00000000-0005-0000-0000-000085180000}"/>
    <cellStyle name="Calculation 3 2 2 2 4 2 6 2" xfId="9670" xr:uid="{00000000-0005-0000-0000-000086180000}"/>
    <cellStyle name="Calculation 3 2 2 2 4 2 6 3" xfId="9671" xr:uid="{00000000-0005-0000-0000-000087180000}"/>
    <cellStyle name="Calculation 3 2 2 2 4 2 7" xfId="9672" xr:uid="{00000000-0005-0000-0000-000088180000}"/>
    <cellStyle name="Calculation 3 2 2 2 4 2 7 2" xfId="9673" xr:uid="{00000000-0005-0000-0000-000089180000}"/>
    <cellStyle name="Calculation 3 2 2 2 4 2 7 3" xfId="9674" xr:uid="{00000000-0005-0000-0000-00008A180000}"/>
    <cellStyle name="Calculation 3 2 2 2 4 2 8" xfId="9675" xr:uid="{00000000-0005-0000-0000-00008B180000}"/>
    <cellStyle name="Calculation 3 2 2 2 4 2 9" xfId="9676" xr:uid="{00000000-0005-0000-0000-00008C180000}"/>
    <cellStyle name="Calculation 3 2 2 2 4 3" xfId="9677" xr:uid="{00000000-0005-0000-0000-00008D180000}"/>
    <cellStyle name="Calculation 3 2 2 2 4 3 2" xfId="9678" xr:uid="{00000000-0005-0000-0000-00008E180000}"/>
    <cellStyle name="Calculation 3 2 2 2 4 3 3" xfId="9679" xr:uid="{00000000-0005-0000-0000-00008F180000}"/>
    <cellStyle name="Calculation 3 2 2 2 4 4" xfId="9680" xr:uid="{00000000-0005-0000-0000-000090180000}"/>
    <cellStyle name="Calculation 3 2 2 2 4 4 2" xfId="9681" xr:uid="{00000000-0005-0000-0000-000091180000}"/>
    <cellStyle name="Calculation 3 2 2 2 4 4 3" xfId="9682" xr:uid="{00000000-0005-0000-0000-000092180000}"/>
    <cellStyle name="Calculation 3 2 2 2 4 5" xfId="9683" xr:uid="{00000000-0005-0000-0000-000093180000}"/>
    <cellStyle name="Calculation 3 2 2 2 4 5 2" xfId="9684" xr:uid="{00000000-0005-0000-0000-000094180000}"/>
    <cellStyle name="Calculation 3 2 2 2 4 5 3" xfId="9685" xr:uid="{00000000-0005-0000-0000-000095180000}"/>
    <cellStyle name="Calculation 3 2 2 2 4 6" xfId="9686" xr:uid="{00000000-0005-0000-0000-000096180000}"/>
    <cellStyle name="Calculation 3 2 2 2 4 6 2" xfId="9687" xr:uid="{00000000-0005-0000-0000-000097180000}"/>
    <cellStyle name="Calculation 3 2 2 2 4 6 3" xfId="9688" xr:uid="{00000000-0005-0000-0000-000098180000}"/>
    <cellStyle name="Calculation 3 2 2 2 4 7" xfId="9689" xr:uid="{00000000-0005-0000-0000-000099180000}"/>
    <cellStyle name="Calculation 3 2 2 2 4 7 2" xfId="9690" xr:uid="{00000000-0005-0000-0000-00009A180000}"/>
    <cellStyle name="Calculation 3 2 2 2 4 7 3" xfId="9691" xr:uid="{00000000-0005-0000-0000-00009B180000}"/>
    <cellStyle name="Calculation 3 2 2 2 4 8" xfId="9692" xr:uid="{00000000-0005-0000-0000-00009C180000}"/>
    <cellStyle name="Calculation 3 2 2 2 4 8 2" xfId="9693" xr:uid="{00000000-0005-0000-0000-00009D180000}"/>
    <cellStyle name="Calculation 3 2 2 2 4 8 3" xfId="9694" xr:uid="{00000000-0005-0000-0000-00009E180000}"/>
    <cellStyle name="Calculation 3 2 2 2 4 9" xfId="9695" xr:uid="{00000000-0005-0000-0000-00009F180000}"/>
    <cellStyle name="Calculation 3 2 2 2 5" xfId="9696" xr:uid="{00000000-0005-0000-0000-0000A0180000}"/>
    <cellStyle name="Calculation 3 2 2 2 5 2" xfId="9697" xr:uid="{00000000-0005-0000-0000-0000A1180000}"/>
    <cellStyle name="Calculation 3 2 2 2 5 2 2" xfId="9698" xr:uid="{00000000-0005-0000-0000-0000A2180000}"/>
    <cellStyle name="Calculation 3 2 2 2 5 2 3" xfId="9699" xr:uid="{00000000-0005-0000-0000-0000A3180000}"/>
    <cellStyle name="Calculation 3 2 2 2 5 3" xfId="9700" xr:uid="{00000000-0005-0000-0000-0000A4180000}"/>
    <cellStyle name="Calculation 3 2 2 2 5 3 2" xfId="9701" xr:uid="{00000000-0005-0000-0000-0000A5180000}"/>
    <cellStyle name="Calculation 3 2 2 2 5 3 3" xfId="9702" xr:uid="{00000000-0005-0000-0000-0000A6180000}"/>
    <cellStyle name="Calculation 3 2 2 2 5 4" xfId="9703" xr:uid="{00000000-0005-0000-0000-0000A7180000}"/>
    <cellStyle name="Calculation 3 2 2 2 5 4 2" xfId="9704" xr:uid="{00000000-0005-0000-0000-0000A8180000}"/>
    <cellStyle name="Calculation 3 2 2 2 5 4 3" xfId="9705" xr:uid="{00000000-0005-0000-0000-0000A9180000}"/>
    <cellStyle name="Calculation 3 2 2 2 5 5" xfId="9706" xr:uid="{00000000-0005-0000-0000-0000AA180000}"/>
    <cellStyle name="Calculation 3 2 2 2 5 5 2" xfId="9707" xr:uid="{00000000-0005-0000-0000-0000AB180000}"/>
    <cellStyle name="Calculation 3 2 2 2 5 5 3" xfId="9708" xr:uid="{00000000-0005-0000-0000-0000AC180000}"/>
    <cellStyle name="Calculation 3 2 2 2 5 6" xfId="9709" xr:uid="{00000000-0005-0000-0000-0000AD180000}"/>
    <cellStyle name="Calculation 3 2 2 2 5 6 2" xfId="9710" xr:uid="{00000000-0005-0000-0000-0000AE180000}"/>
    <cellStyle name="Calculation 3 2 2 2 5 6 3" xfId="9711" xr:uid="{00000000-0005-0000-0000-0000AF180000}"/>
    <cellStyle name="Calculation 3 2 2 2 5 7" xfId="9712" xr:uid="{00000000-0005-0000-0000-0000B0180000}"/>
    <cellStyle name="Calculation 3 2 2 2 5 7 2" xfId="9713" xr:uid="{00000000-0005-0000-0000-0000B1180000}"/>
    <cellStyle name="Calculation 3 2 2 2 5 7 3" xfId="9714" xr:uid="{00000000-0005-0000-0000-0000B2180000}"/>
    <cellStyle name="Calculation 3 2 2 2 5 8" xfId="9715" xr:uid="{00000000-0005-0000-0000-0000B3180000}"/>
    <cellStyle name="Calculation 3 2 2 2 5 9" xfId="9716" xr:uid="{00000000-0005-0000-0000-0000B4180000}"/>
    <cellStyle name="Calculation 3 2 2 2 6" xfId="9717" xr:uid="{00000000-0005-0000-0000-0000B5180000}"/>
    <cellStyle name="Calculation 3 2 2 2 6 2" xfId="9718" xr:uid="{00000000-0005-0000-0000-0000B6180000}"/>
    <cellStyle name="Calculation 3 2 2 2 6 3" xfId="9719" xr:uid="{00000000-0005-0000-0000-0000B7180000}"/>
    <cellStyle name="Calculation 3 2 2 2 7" xfId="9720" xr:uid="{00000000-0005-0000-0000-0000B8180000}"/>
    <cellStyle name="Calculation 3 2 2 2 7 2" xfId="9721" xr:uid="{00000000-0005-0000-0000-0000B9180000}"/>
    <cellStyle name="Calculation 3 2 2 2 7 3" xfId="9722" xr:uid="{00000000-0005-0000-0000-0000BA180000}"/>
    <cellStyle name="Calculation 3 2 2 2 8" xfId="9723" xr:uid="{00000000-0005-0000-0000-0000BB180000}"/>
    <cellStyle name="Calculation 3 2 2 2 8 2" xfId="9724" xr:uid="{00000000-0005-0000-0000-0000BC180000}"/>
    <cellStyle name="Calculation 3 2 2 2 8 3" xfId="9725" xr:uid="{00000000-0005-0000-0000-0000BD180000}"/>
    <cellStyle name="Calculation 3 2 2 2 9" xfId="9726" xr:uid="{00000000-0005-0000-0000-0000BE180000}"/>
    <cellStyle name="Calculation 3 2 2 2 9 2" xfId="9727" xr:uid="{00000000-0005-0000-0000-0000BF180000}"/>
    <cellStyle name="Calculation 3 2 2 2 9 3" xfId="9728" xr:uid="{00000000-0005-0000-0000-0000C0180000}"/>
    <cellStyle name="Calculation 3 2 2 3" xfId="9729" xr:uid="{00000000-0005-0000-0000-0000C1180000}"/>
    <cellStyle name="Calculation 3 2 2 3 10" xfId="43998" xr:uid="{00000000-0005-0000-0000-0000C2180000}"/>
    <cellStyle name="Calculation 3 2 2 3 2" xfId="9730" xr:uid="{00000000-0005-0000-0000-0000C3180000}"/>
    <cellStyle name="Calculation 3 2 2 3 2 10" xfId="9731" xr:uid="{00000000-0005-0000-0000-0000C4180000}"/>
    <cellStyle name="Calculation 3 2 2 3 2 2" xfId="9732" xr:uid="{00000000-0005-0000-0000-0000C5180000}"/>
    <cellStyle name="Calculation 3 2 2 3 2 2 2" xfId="9733" xr:uid="{00000000-0005-0000-0000-0000C6180000}"/>
    <cellStyle name="Calculation 3 2 2 3 2 2 2 2" xfId="9734" xr:uid="{00000000-0005-0000-0000-0000C7180000}"/>
    <cellStyle name="Calculation 3 2 2 3 2 2 2 3" xfId="9735" xr:uid="{00000000-0005-0000-0000-0000C8180000}"/>
    <cellStyle name="Calculation 3 2 2 3 2 2 3" xfId="9736" xr:uid="{00000000-0005-0000-0000-0000C9180000}"/>
    <cellStyle name="Calculation 3 2 2 3 2 2 3 2" xfId="9737" xr:uid="{00000000-0005-0000-0000-0000CA180000}"/>
    <cellStyle name="Calculation 3 2 2 3 2 2 3 3" xfId="9738" xr:uid="{00000000-0005-0000-0000-0000CB180000}"/>
    <cellStyle name="Calculation 3 2 2 3 2 2 4" xfId="9739" xr:uid="{00000000-0005-0000-0000-0000CC180000}"/>
    <cellStyle name="Calculation 3 2 2 3 2 2 4 2" xfId="9740" xr:uid="{00000000-0005-0000-0000-0000CD180000}"/>
    <cellStyle name="Calculation 3 2 2 3 2 2 4 3" xfId="9741" xr:uid="{00000000-0005-0000-0000-0000CE180000}"/>
    <cellStyle name="Calculation 3 2 2 3 2 2 5" xfId="9742" xr:uid="{00000000-0005-0000-0000-0000CF180000}"/>
    <cellStyle name="Calculation 3 2 2 3 2 2 5 2" xfId="9743" xr:uid="{00000000-0005-0000-0000-0000D0180000}"/>
    <cellStyle name="Calculation 3 2 2 3 2 2 5 3" xfId="9744" xr:uid="{00000000-0005-0000-0000-0000D1180000}"/>
    <cellStyle name="Calculation 3 2 2 3 2 2 6" xfId="9745" xr:uid="{00000000-0005-0000-0000-0000D2180000}"/>
    <cellStyle name="Calculation 3 2 2 3 2 2 6 2" xfId="9746" xr:uid="{00000000-0005-0000-0000-0000D3180000}"/>
    <cellStyle name="Calculation 3 2 2 3 2 2 6 3" xfId="9747" xr:uid="{00000000-0005-0000-0000-0000D4180000}"/>
    <cellStyle name="Calculation 3 2 2 3 2 2 7" xfId="9748" xr:uid="{00000000-0005-0000-0000-0000D5180000}"/>
    <cellStyle name="Calculation 3 2 2 3 2 2 7 2" xfId="9749" xr:uid="{00000000-0005-0000-0000-0000D6180000}"/>
    <cellStyle name="Calculation 3 2 2 3 2 2 7 3" xfId="9750" xr:uid="{00000000-0005-0000-0000-0000D7180000}"/>
    <cellStyle name="Calculation 3 2 2 3 2 2 8" xfId="9751" xr:uid="{00000000-0005-0000-0000-0000D8180000}"/>
    <cellStyle name="Calculation 3 2 2 3 2 2 9" xfId="9752" xr:uid="{00000000-0005-0000-0000-0000D9180000}"/>
    <cellStyle name="Calculation 3 2 2 3 2 3" xfId="9753" xr:uid="{00000000-0005-0000-0000-0000DA180000}"/>
    <cellStyle name="Calculation 3 2 2 3 2 3 2" xfId="9754" xr:uid="{00000000-0005-0000-0000-0000DB180000}"/>
    <cellStyle name="Calculation 3 2 2 3 2 3 3" xfId="9755" xr:uid="{00000000-0005-0000-0000-0000DC180000}"/>
    <cellStyle name="Calculation 3 2 2 3 2 4" xfId="9756" xr:uid="{00000000-0005-0000-0000-0000DD180000}"/>
    <cellStyle name="Calculation 3 2 2 3 2 4 2" xfId="9757" xr:uid="{00000000-0005-0000-0000-0000DE180000}"/>
    <cellStyle name="Calculation 3 2 2 3 2 4 3" xfId="9758" xr:uid="{00000000-0005-0000-0000-0000DF180000}"/>
    <cellStyle name="Calculation 3 2 2 3 2 5" xfId="9759" xr:uid="{00000000-0005-0000-0000-0000E0180000}"/>
    <cellStyle name="Calculation 3 2 2 3 2 5 2" xfId="9760" xr:uid="{00000000-0005-0000-0000-0000E1180000}"/>
    <cellStyle name="Calculation 3 2 2 3 2 5 3" xfId="9761" xr:uid="{00000000-0005-0000-0000-0000E2180000}"/>
    <cellStyle name="Calculation 3 2 2 3 2 6" xfId="9762" xr:uid="{00000000-0005-0000-0000-0000E3180000}"/>
    <cellStyle name="Calculation 3 2 2 3 2 6 2" xfId="9763" xr:uid="{00000000-0005-0000-0000-0000E4180000}"/>
    <cellStyle name="Calculation 3 2 2 3 2 6 3" xfId="9764" xr:uid="{00000000-0005-0000-0000-0000E5180000}"/>
    <cellStyle name="Calculation 3 2 2 3 2 7" xfId="9765" xr:uid="{00000000-0005-0000-0000-0000E6180000}"/>
    <cellStyle name="Calculation 3 2 2 3 2 7 2" xfId="9766" xr:uid="{00000000-0005-0000-0000-0000E7180000}"/>
    <cellStyle name="Calculation 3 2 2 3 2 7 3" xfId="9767" xr:uid="{00000000-0005-0000-0000-0000E8180000}"/>
    <cellStyle name="Calculation 3 2 2 3 2 8" xfId="9768" xr:uid="{00000000-0005-0000-0000-0000E9180000}"/>
    <cellStyle name="Calculation 3 2 2 3 2 8 2" xfId="9769" xr:uid="{00000000-0005-0000-0000-0000EA180000}"/>
    <cellStyle name="Calculation 3 2 2 3 2 8 3" xfId="9770" xr:uid="{00000000-0005-0000-0000-0000EB180000}"/>
    <cellStyle name="Calculation 3 2 2 3 2 9" xfId="9771" xr:uid="{00000000-0005-0000-0000-0000EC180000}"/>
    <cellStyle name="Calculation 3 2 2 3 3" xfId="9772" xr:uid="{00000000-0005-0000-0000-0000ED180000}"/>
    <cellStyle name="Calculation 3 2 2 3 3 10" xfId="9773" xr:uid="{00000000-0005-0000-0000-0000EE180000}"/>
    <cellStyle name="Calculation 3 2 2 3 3 2" xfId="9774" xr:uid="{00000000-0005-0000-0000-0000EF180000}"/>
    <cellStyle name="Calculation 3 2 2 3 3 2 2" xfId="9775" xr:uid="{00000000-0005-0000-0000-0000F0180000}"/>
    <cellStyle name="Calculation 3 2 2 3 3 2 2 2" xfId="9776" xr:uid="{00000000-0005-0000-0000-0000F1180000}"/>
    <cellStyle name="Calculation 3 2 2 3 3 2 2 3" xfId="9777" xr:uid="{00000000-0005-0000-0000-0000F2180000}"/>
    <cellStyle name="Calculation 3 2 2 3 3 2 3" xfId="9778" xr:uid="{00000000-0005-0000-0000-0000F3180000}"/>
    <cellStyle name="Calculation 3 2 2 3 3 2 3 2" xfId="9779" xr:uid="{00000000-0005-0000-0000-0000F4180000}"/>
    <cellStyle name="Calculation 3 2 2 3 3 2 3 3" xfId="9780" xr:uid="{00000000-0005-0000-0000-0000F5180000}"/>
    <cellStyle name="Calculation 3 2 2 3 3 2 4" xfId="9781" xr:uid="{00000000-0005-0000-0000-0000F6180000}"/>
    <cellStyle name="Calculation 3 2 2 3 3 2 4 2" xfId="9782" xr:uid="{00000000-0005-0000-0000-0000F7180000}"/>
    <cellStyle name="Calculation 3 2 2 3 3 2 4 3" xfId="9783" xr:uid="{00000000-0005-0000-0000-0000F8180000}"/>
    <cellStyle name="Calculation 3 2 2 3 3 2 5" xfId="9784" xr:uid="{00000000-0005-0000-0000-0000F9180000}"/>
    <cellStyle name="Calculation 3 2 2 3 3 2 5 2" xfId="9785" xr:uid="{00000000-0005-0000-0000-0000FA180000}"/>
    <cellStyle name="Calculation 3 2 2 3 3 2 5 3" xfId="9786" xr:uid="{00000000-0005-0000-0000-0000FB180000}"/>
    <cellStyle name="Calculation 3 2 2 3 3 2 6" xfId="9787" xr:uid="{00000000-0005-0000-0000-0000FC180000}"/>
    <cellStyle name="Calculation 3 2 2 3 3 2 6 2" xfId="9788" xr:uid="{00000000-0005-0000-0000-0000FD180000}"/>
    <cellStyle name="Calculation 3 2 2 3 3 2 6 3" xfId="9789" xr:uid="{00000000-0005-0000-0000-0000FE180000}"/>
    <cellStyle name="Calculation 3 2 2 3 3 2 7" xfId="9790" xr:uid="{00000000-0005-0000-0000-0000FF180000}"/>
    <cellStyle name="Calculation 3 2 2 3 3 2 7 2" xfId="9791" xr:uid="{00000000-0005-0000-0000-000000190000}"/>
    <cellStyle name="Calculation 3 2 2 3 3 2 7 3" xfId="9792" xr:uid="{00000000-0005-0000-0000-000001190000}"/>
    <cellStyle name="Calculation 3 2 2 3 3 2 8" xfId="9793" xr:uid="{00000000-0005-0000-0000-000002190000}"/>
    <cellStyle name="Calculation 3 2 2 3 3 2 9" xfId="9794" xr:uid="{00000000-0005-0000-0000-000003190000}"/>
    <cellStyle name="Calculation 3 2 2 3 3 3" xfId="9795" xr:uid="{00000000-0005-0000-0000-000004190000}"/>
    <cellStyle name="Calculation 3 2 2 3 3 3 2" xfId="9796" xr:uid="{00000000-0005-0000-0000-000005190000}"/>
    <cellStyle name="Calculation 3 2 2 3 3 3 3" xfId="9797" xr:uid="{00000000-0005-0000-0000-000006190000}"/>
    <cellStyle name="Calculation 3 2 2 3 3 4" xfId="9798" xr:uid="{00000000-0005-0000-0000-000007190000}"/>
    <cellStyle name="Calculation 3 2 2 3 3 4 2" xfId="9799" xr:uid="{00000000-0005-0000-0000-000008190000}"/>
    <cellStyle name="Calculation 3 2 2 3 3 4 3" xfId="9800" xr:uid="{00000000-0005-0000-0000-000009190000}"/>
    <cellStyle name="Calculation 3 2 2 3 3 5" xfId="9801" xr:uid="{00000000-0005-0000-0000-00000A190000}"/>
    <cellStyle name="Calculation 3 2 2 3 3 5 2" xfId="9802" xr:uid="{00000000-0005-0000-0000-00000B190000}"/>
    <cellStyle name="Calculation 3 2 2 3 3 5 3" xfId="9803" xr:uid="{00000000-0005-0000-0000-00000C190000}"/>
    <cellStyle name="Calculation 3 2 2 3 3 6" xfId="9804" xr:uid="{00000000-0005-0000-0000-00000D190000}"/>
    <cellStyle name="Calculation 3 2 2 3 3 6 2" xfId="9805" xr:uid="{00000000-0005-0000-0000-00000E190000}"/>
    <cellStyle name="Calculation 3 2 2 3 3 6 3" xfId="9806" xr:uid="{00000000-0005-0000-0000-00000F190000}"/>
    <cellStyle name="Calculation 3 2 2 3 3 7" xfId="9807" xr:uid="{00000000-0005-0000-0000-000010190000}"/>
    <cellStyle name="Calculation 3 2 2 3 3 7 2" xfId="9808" xr:uid="{00000000-0005-0000-0000-000011190000}"/>
    <cellStyle name="Calculation 3 2 2 3 3 7 3" xfId="9809" xr:uid="{00000000-0005-0000-0000-000012190000}"/>
    <cellStyle name="Calculation 3 2 2 3 3 8" xfId="9810" xr:uid="{00000000-0005-0000-0000-000013190000}"/>
    <cellStyle name="Calculation 3 2 2 3 3 8 2" xfId="9811" xr:uid="{00000000-0005-0000-0000-000014190000}"/>
    <cellStyle name="Calculation 3 2 2 3 3 8 3" xfId="9812" xr:uid="{00000000-0005-0000-0000-000015190000}"/>
    <cellStyle name="Calculation 3 2 2 3 3 9" xfId="9813" xr:uid="{00000000-0005-0000-0000-000016190000}"/>
    <cellStyle name="Calculation 3 2 2 3 4" xfId="9814" xr:uid="{00000000-0005-0000-0000-000017190000}"/>
    <cellStyle name="Calculation 3 2 2 3 4 10" xfId="9815" xr:uid="{00000000-0005-0000-0000-000018190000}"/>
    <cellStyle name="Calculation 3 2 2 3 4 2" xfId="9816" xr:uid="{00000000-0005-0000-0000-000019190000}"/>
    <cellStyle name="Calculation 3 2 2 3 4 2 2" xfId="9817" xr:uid="{00000000-0005-0000-0000-00001A190000}"/>
    <cellStyle name="Calculation 3 2 2 3 4 2 2 2" xfId="9818" xr:uid="{00000000-0005-0000-0000-00001B190000}"/>
    <cellStyle name="Calculation 3 2 2 3 4 2 2 3" xfId="9819" xr:uid="{00000000-0005-0000-0000-00001C190000}"/>
    <cellStyle name="Calculation 3 2 2 3 4 2 3" xfId="9820" xr:uid="{00000000-0005-0000-0000-00001D190000}"/>
    <cellStyle name="Calculation 3 2 2 3 4 2 3 2" xfId="9821" xr:uid="{00000000-0005-0000-0000-00001E190000}"/>
    <cellStyle name="Calculation 3 2 2 3 4 2 3 3" xfId="9822" xr:uid="{00000000-0005-0000-0000-00001F190000}"/>
    <cellStyle name="Calculation 3 2 2 3 4 2 4" xfId="9823" xr:uid="{00000000-0005-0000-0000-000020190000}"/>
    <cellStyle name="Calculation 3 2 2 3 4 2 4 2" xfId="9824" xr:uid="{00000000-0005-0000-0000-000021190000}"/>
    <cellStyle name="Calculation 3 2 2 3 4 2 4 3" xfId="9825" xr:uid="{00000000-0005-0000-0000-000022190000}"/>
    <cellStyle name="Calculation 3 2 2 3 4 2 5" xfId="9826" xr:uid="{00000000-0005-0000-0000-000023190000}"/>
    <cellStyle name="Calculation 3 2 2 3 4 2 5 2" xfId="9827" xr:uid="{00000000-0005-0000-0000-000024190000}"/>
    <cellStyle name="Calculation 3 2 2 3 4 2 5 3" xfId="9828" xr:uid="{00000000-0005-0000-0000-000025190000}"/>
    <cellStyle name="Calculation 3 2 2 3 4 2 6" xfId="9829" xr:uid="{00000000-0005-0000-0000-000026190000}"/>
    <cellStyle name="Calculation 3 2 2 3 4 2 6 2" xfId="9830" xr:uid="{00000000-0005-0000-0000-000027190000}"/>
    <cellStyle name="Calculation 3 2 2 3 4 2 6 3" xfId="9831" xr:uid="{00000000-0005-0000-0000-000028190000}"/>
    <cellStyle name="Calculation 3 2 2 3 4 2 7" xfId="9832" xr:uid="{00000000-0005-0000-0000-000029190000}"/>
    <cellStyle name="Calculation 3 2 2 3 4 2 7 2" xfId="9833" xr:uid="{00000000-0005-0000-0000-00002A190000}"/>
    <cellStyle name="Calculation 3 2 2 3 4 2 7 3" xfId="9834" xr:uid="{00000000-0005-0000-0000-00002B190000}"/>
    <cellStyle name="Calculation 3 2 2 3 4 2 8" xfId="9835" xr:uid="{00000000-0005-0000-0000-00002C190000}"/>
    <cellStyle name="Calculation 3 2 2 3 4 2 9" xfId="9836" xr:uid="{00000000-0005-0000-0000-00002D190000}"/>
    <cellStyle name="Calculation 3 2 2 3 4 3" xfId="9837" xr:uid="{00000000-0005-0000-0000-00002E190000}"/>
    <cellStyle name="Calculation 3 2 2 3 4 3 2" xfId="9838" xr:uid="{00000000-0005-0000-0000-00002F190000}"/>
    <cellStyle name="Calculation 3 2 2 3 4 3 3" xfId="9839" xr:uid="{00000000-0005-0000-0000-000030190000}"/>
    <cellStyle name="Calculation 3 2 2 3 4 4" xfId="9840" xr:uid="{00000000-0005-0000-0000-000031190000}"/>
    <cellStyle name="Calculation 3 2 2 3 4 4 2" xfId="9841" xr:uid="{00000000-0005-0000-0000-000032190000}"/>
    <cellStyle name="Calculation 3 2 2 3 4 4 3" xfId="9842" xr:uid="{00000000-0005-0000-0000-000033190000}"/>
    <cellStyle name="Calculation 3 2 2 3 4 5" xfId="9843" xr:uid="{00000000-0005-0000-0000-000034190000}"/>
    <cellStyle name="Calculation 3 2 2 3 4 5 2" xfId="9844" xr:uid="{00000000-0005-0000-0000-000035190000}"/>
    <cellStyle name="Calculation 3 2 2 3 4 5 3" xfId="9845" xr:uid="{00000000-0005-0000-0000-000036190000}"/>
    <cellStyle name="Calculation 3 2 2 3 4 6" xfId="9846" xr:uid="{00000000-0005-0000-0000-000037190000}"/>
    <cellStyle name="Calculation 3 2 2 3 4 6 2" xfId="9847" xr:uid="{00000000-0005-0000-0000-000038190000}"/>
    <cellStyle name="Calculation 3 2 2 3 4 6 3" xfId="9848" xr:uid="{00000000-0005-0000-0000-000039190000}"/>
    <cellStyle name="Calculation 3 2 2 3 4 7" xfId="9849" xr:uid="{00000000-0005-0000-0000-00003A190000}"/>
    <cellStyle name="Calculation 3 2 2 3 4 7 2" xfId="9850" xr:uid="{00000000-0005-0000-0000-00003B190000}"/>
    <cellStyle name="Calculation 3 2 2 3 4 7 3" xfId="9851" xr:uid="{00000000-0005-0000-0000-00003C190000}"/>
    <cellStyle name="Calculation 3 2 2 3 4 8" xfId="9852" xr:uid="{00000000-0005-0000-0000-00003D190000}"/>
    <cellStyle name="Calculation 3 2 2 3 4 8 2" xfId="9853" xr:uid="{00000000-0005-0000-0000-00003E190000}"/>
    <cellStyle name="Calculation 3 2 2 3 4 8 3" xfId="9854" xr:uid="{00000000-0005-0000-0000-00003F190000}"/>
    <cellStyle name="Calculation 3 2 2 3 4 9" xfId="9855" xr:uid="{00000000-0005-0000-0000-000040190000}"/>
    <cellStyle name="Calculation 3 2 2 3 5" xfId="9856" xr:uid="{00000000-0005-0000-0000-000041190000}"/>
    <cellStyle name="Calculation 3 2 2 3 5 2" xfId="9857" xr:uid="{00000000-0005-0000-0000-000042190000}"/>
    <cellStyle name="Calculation 3 2 2 3 5 2 2" xfId="9858" xr:uid="{00000000-0005-0000-0000-000043190000}"/>
    <cellStyle name="Calculation 3 2 2 3 5 2 3" xfId="9859" xr:uid="{00000000-0005-0000-0000-000044190000}"/>
    <cellStyle name="Calculation 3 2 2 3 5 3" xfId="9860" xr:uid="{00000000-0005-0000-0000-000045190000}"/>
    <cellStyle name="Calculation 3 2 2 3 5 3 2" xfId="9861" xr:uid="{00000000-0005-0000-0000-000046190000}"/>
    <cellStyle name="Calculation 3 2 2 3 5 3 3" xfId="9862" xr:uid="{00000000-0005-0000-0000-000047190000}"/>
    <cellStyle name="Calculation 3 2 2 3 5 4" xfId="9863" xr:uid="{00000000-0005-0000-0000-000048190000}"/>
    <cellStyle name="Calculation 3 2 2 3 5 4 2" xfId="9864" xr:uid="{00000000-0005-0000-0000-000049190000}"/>
    <cellStyle name="Calculation 3 2 2 3 5 4 3" xfId="9865" xr:uid="{00000000-0005-0000-0000-00004A190000}"/>
    <cellStyle name="Calculation 3 2 2 3 5 5" xfId="9866" xr:uid="{00000000-0005-0000-0000-00004B190000}"/>
    <cellStyle name="Calculation 3 2 2 3 5 5 2" xfId="9867" xr:uid="{00000000-0005-0000-0000-00004C190000}"/>
    <cellStyle name="Calculation 3 2 2 3 5 5 3" xfId="9868" xr:uid="{00000000-0005-0000-0000-00004D190000}"/>
    <cellStyle name="Calculation 3 2 2 3 5 6" xfId="9869" xr:uid="{00000000-0005-0000-0000-00004E190000}"/>
    <cellStyle name="Calculation 3 2 2 3 5 6 2" xfId="9870" xr:uid="{00000000-0005-0000-0000-00004F190000}"/>
    <cellStyle name="Calculation 3 2 2 3 5 6 3" xfId="9871" xr:uid="{00000000-0005-0000-0000-000050190000}"/>
    <cellStyle name="Calculation 3 2 2 3 5 7" xfId="9872" xr:uid="{00000000-0005-0000-0000-000051190000}"/>
    <cellStyle name="Calculation 3 2 2 3 5 7 2" xfId="9873" xr:uid="{00000000-0005-0000-0000-000052190000}"/>
    <cellStyle name="Calculation 3 2 2 3 5 7 3" xfId="9874" xr:uid="{00000000-0005-0000-0000-000053190000}"/>
    <cellStyle name="Calculation 3 2 2 3 5 8" xfId="9875" xr:uid="{00000000-0005-0000-0000-000054190000}"/>
    <cellStyle name="Calculation 3 2 2 3 5 9" xfId="9876" xr:uid="{00000000-0005-0000-0000-000055190000}"/>
    <cellStyle name="Calculation 3 2 2 3 6" xfId="9877" xr:uid="{00000000-0005-0000-0000-000056190000}"/>
    <cellStyle name="Calculation 3 2 2 3 6 2" xfId="9878" xr:uid="{00000000-0005-0000-0000-000057190000}"/>
    <cellStyle name="Calculation 3 2 2 3 6 3" xfId="9879" xr:uid="{00000000-0005-0000-0000-000058190000}"/>
    <cellStyle name="Calculation 3 2 2 3 7" xfId="9880" xr:uid="{00000000-0005-0000-0000-000059190000}"/>
    <cellStyle name="Calculation 3 2 2 3 7 2" xfId="9881" xr:uid="{00000000-0005-0000-0000-00005A190000}"/>
    <cellStyle name="Calculation 3 2 2 3 7 3" xfId="9882" xr:uid="{00000000-0005-0000-0000-00005B190000}"/>
    <cellStyle name="Calculation 3 2 2 3 8" xfId="9883" xr:uid="{00000000-0005-0000-0000-00005C190000}"/>
    <cellStyle name="Calculation 3 2 2 3 8 2" xfId="9884" xr:uid="{00000000-0005-0000-0000-00005D190000}"/>
    <cellStyle name="Calculation 3 2 2 3 8 3" xfId="9885" xr:uid="{00000000-0005-0000-0000-00005E190000}"/>
    <cellStyle name="Calculation 3 2 2 3 9" xfId="9886" xr:uid="{00000000-0005-0000-0000-00005F190000}"/>
    <cellStyle name="Calculation 3 2 2 3 9 2" xfId="9887" xr:uid="{00000000-0005-0000-0000-000060190000}"/>
    <cellStyle name="Calculation 3 2 2 3 9 3" xfId="9888" xr:uid="{00000000-0005-0000-0000-000061190000}"/>
    <cellStyle name="Calculation 3 2 2 4" xfId="9889" xr:uid="{00000000-0005-0000-0000-000062190000}"/>
    <cellStyle name="Calculation 3 2 2 4 10" xfId="43999" xr:uid="{00000000-0005-0000-0000-000063190000}"/>
    <cellStyle name="Calculation 3 2 2 4 2" xfId="9890" xr:uid="{00000000-0005-0000-0000-000064190000}"/>
    <cellStyle name="Calculation 3 2 2 4 2 10" xfId="9891" xr:uid="{00000000-0005-0000-0000-000065190000}"/>
    <cellStyle name="Calculation 3 2 2 4 2 2" xfId="9892" xr:uid="{00000000-0005-0000-0000-000066190000}"/>
    <cellStyle name="Calculation 3 2 2 4 2 2 2" xfId="9893" xr:uid="{00000000-0005-0000-0000-000067190000}"/>
    <cellStyle name="Calculation 3 2 2 4 2 2 2 2" xfId="9894" xr:uid="{00000000-0005-0000-0000-000068190000}"/>
    <cellStyle name="Calculation 3 2 2 4 2 2 2 3" xfId="9895" xr:uid="{00000000-0005-0000-0000-000069190000}"/>
    <cellStyle name="Calculation 3 2 2 4 2 2 3" xfId="9896" xr:uid="{00000000-0005-0000-0000-00006A190000}"/>
    <cellStyle name="Calculation 3 2 2 4 2 2 3 2" xfId="9897" xr:uid="{00000000-0005-0000-0000-00006B190000}"/>
    <cellStyle name="Calculation 3 2 2 4 2 2 3 3" xfId="9898" xr:uid="{00000000-0005-0000-0000-00006C190000}"/>
    <cellStyle name="Calculation 3 2 2 4 2 2 4" xfId="9899" xr:uid="{00000000-0005-0000-0000-00006D190000}"/>
    <cellStyle name="Calculation 3 2 2 4 2 2 4 2" xfId="9900" xr:uid="{00000000-0005-0000-0000-00006E190000}"/>
    <cellStyle name="Calculation 3 2 2 4 2 2 4 3" xfId="9901" xr:uid="{00000000-0005-0000-0000-00006F190000}"/>
    <cellStyle name="Calculation 3 2 2 4 2 2 5" xfId="9902" xr:uid="{00000000-0005-0000-0000-000070190000}"/>
    <cellStyle name="Calculation 3 2 2 4 2 2 5 2" xfId="9903" xr:uid="{00000000-0005-0000-0000-000071190000}"/>
    <cellStyle name="Calculation 3 2 2 4 2 2 5 3" xfId="9904" xr:uid="{00000000-0005-0000-0000-000072190000}"/>
    <cellStyle name="Calculation 3 2 2 4 2 2 6" xfId="9905" xr:uid="{00000000-0005-0000-0000-000073190000}"/>
    <cellStyle name="Calculation 3 2 2 4 2 2 6 2" xfId="9906" xr:uid="{00000000-0005-0000-0000-000074190000}"/>
    <cellStyle name="Calculation 3 2 2 4 2 2 6 3" xfId="9907" xr:uid="{00000000-0005-0000-0000-000075190000}"/>
    <cellStyle name="Calculation 3 2 2 4 2 2 7" xfId="9908" xr:uid="{00000000-0005-0000-0000-000076190000}"/>
    <cellStyle name="Calculation 3 2 2 4 2 2 7 2" xfId="9909" xr:uid="{00000000-0005-0000-0000-000077190000}"/>
    <cellStyle name="Calculation 3 2 2 4 2 2 7 3" xfId="9910" xr:uid="{00000000-0005-0000-0000-000078190000}"/>
    <cellStyle name="Calculation 3 2 2 4 2 2 8" xfId="9911" xr:uid="{00000000-0005-0000-0000-000079190000}"/>
    <cellStyle name="Calculation 3 2 2 4 2 2 9" xfId="9912" xr:uid="{00000000-0005-0000-0000-00007A190000}"/>
    <cellStyle name="Calculation 3 2 2 4 2 3" xfId="9913" xr:uid="{00000000-0005-0000-0000-00007B190000}"/>
    <cellStyle name="Calculation 3 2 2 4 2 3 2" xfId="9914" xr:uid="{00000000-0005-0000-0000-00007C190000}"/>
    <cellStyle name="Calculation 3 2 2 4 2 3 3" xfId="9915" xr:uid="{00000000-0005-0000-0000-00007D190000}"/>
    <cellStyle name="Calculation 3 2 2 4 2 4" xfId="9916" xr:uid="{00000000-0005-0000-0000-00007E190000}"/>
    <cellStyle name="Calculation 3 2 2 4 2 4 2" xfId="9917" xr:uid="{00000000-0005-0000-0000-00007F190000}"/>
    <cellStyle name="Calculation 3 2 2 4 2 4 3" xfId="9918" xr:uid="{00000000-0005-0000-0000-000080190000}"/>
    <cellStyle name="Calculation 3 2 2 4 2 5" xfId="9919" xr:uid="{00000000-0005-0000-0000-000081190000}"/>
    <cellStyle name="Calculation 3 2 2 4 2 5 2" xfId="9920" xr:uid="{00000000-0005-0000-0000-000082190000}"/>
    <cellStyle name="Calculation 3 2 2 4 2 5 3" xfId="9921" xr:uid="{00000000-0005-0000-0000-000083190000}"/>
    <cellStyle name="Calculation 3 2 2 4 2 6" xfId="9922" xr:uid="{00000000-0005-0000-0000-000084190000}"/>
    <cellStyle name="Calculation 3 2 2 4 2 6 2" xfId="9923" xr:uid="{00000000-0005-0000-0000-000085190000}"/>
    <cellStyle name="Calculation 3 2 2 4 2 6 3" xfId="9924" xr:uid="{00000000-0005-0000-0000-000086190000}"/>
    <cellStyle name="Calculation 3 2 2 4 2 7" xfId="9925" xr:uid="{00000000-0005-0000-0000-000087190000}"/>
    <cellStyle name="Calculation 3 2 2 4 2 7 2" xfId="9926" xr:uid="{00000000-0005-0000-0000-000088190000}"/>
    <cellStyle name="Calculation 3 2 2 4 2 7 3" xfId="9927" xr:uid="{00000000-0005-0000-0000-000089190000}"/>
    <cellStyle name="Calculation 3 2 2 4 2 8" xfId="9928" xr:uid="{00000000-0005-0000-0000-00008A190000}"/>
    <cellStyle name="Calculation 3 2 2 4 2 8 2" xfId="9929" xr:uid="{00000000-0005-0000-0000-00008B190000}"/>
    <cellStyle name="Calculation 3 2 2 4 2 8 3" xfId="9930" xr:uid="{00000000-0005-0000-0000-00008C190000}"/>
    <cellStyle name="Calculation 3 2 2 4 2 9" xfId="9931" xr:uid="{00000000-0005-0000-0000-00008D190000}"/>
    <cellStyle name="Calculation 3 2 2 4 3" xfId="9932" xr:uid="{00000000-0005-0000-0000-00008E190000}"/>
    <cellStyle name="Calculation 3 2 2 4 3 10" xfId="9933" xr:uid="{00000000-0005-0000-0000-00008F190000}"/>
    <cellStyle name="Calculation 3 2 2 4 3 2" xfId="9934" xr:uid="{00000000-0005-0000-0000-000090190000}"/>
    <cellStyle name="Calculation 3 2 2 4 3 2 2" xfId="9935" xr:uid="{00000000-0005-0000-0000-000091190000}"/>
    <cellStyle name="Calculation 3 2 2 4 3 2 2 2" xfId="9936" xr:uid="{00000000-0005-0000-0000-000092190000}"/>
    <cellStyle name="Calculation 3 2 2 4 3 2 2 3" xfId="9937" xr:uid="{00000000-0005-0000-0000-000093190000}"/>
    <cellStyle name="Calculation 3 2 2 4 3 2 3" xfId="9938" xr:uid="{00000000-0005-0000-0000-000094190000}"/>
    <cellStyle name="Calculation 3 2 2 4 3 2 3 2" xfId="9939" xr:uid="{00000000-0005-0000-0000-000095190000}"/>
    <cellStyle name="Calculation 3 2 2 4 3 2 3 3" xfId="9940" xr:uid="{00000000-0005-0000-0000-000096190000}"/>
    <cellStyle name="Calculation 3 2 2 4 3 2 4" xfId="9941" xr:uid="{00000000-0005-0000-0000-000097190000}"/>
    <cellStyle name="Calculation 3 2 2 4 3 2 4 2" xfId="9942" xr:uid="{00000000-0005-0000-0000-000098190000}"/>
    <cellStyle name="Calculation 3 2 2 4 3 2 4 3" xfId="9943" xr:uid="{00000000-0005-0000-0000-000099190000}"/>
    <cellStyle name="Calculation 3 2 2 4 3 2 5" xfId="9944" xr:uid="{00000000-0005-0000-0000-00009A190000}"/>
    <cellStyle name="Calculation 3 2 2 4 3 2 5 2" xfId="9945" xr:uid="{00000000-0005-0000-0000-00009B190000}"/>
    <cellStyle name="Calculation 3 2 2 4 3 2 5 3" xfId="9946" xr:uid="{00000000-0005-0000-0000-00009C190000}"/>
    <cellStyle name="Calculation 3 2 2 4 3 2 6" xfId="9947" xr:uid="{00000000-0005-0000-0000-00009D190000}"/>
    <cellStyle name="Calculation 3 2 2 4 3 2 6 2" xfId="9948" xr:uid="{00000000-0005-0000-0000-00009E190000}"/>
    <cellStyle name="Calculation 3 2 2 4 3 2 6 3" xfId="9949" xr:uid="{00000000-0005-0000-0000-00009F190000}"/>
    <cellStyle name="Calculation 3 2 2 4 3 2 7" xfId="9950" xr:uid="{00000000-0005-0000-0000-0000A0190000}"/>
    <cellStyle name="Calculation 3 2 2 4 3 2 7 2" xfId="9951" xr:uid="{00000000-0005-0000-0000-0000A1190000}"/>
    <cellStyle name="Calculation 3 2 2 4 3 2 7 3" xfId="9952" xr:uid="{00000000-0005-0000-0000-0000A2190000}"/>
    <cellStyle name="Calculation 3 2 2 4 3 2 8" xfId="9953" xr:uid="{00000000-0005-0000-0000-0000A3190000}"/>
    <cellStyle name="Calculation 3 2 2 4 3 2 9" xfId="9954" xr:uid="{00000000-0005-0000-0000-0000A4190000}"/>
    <cellStyle name="Calculation 3 2 2 4 3 3" xfId="9955" xr:uid="{00000000-0005-0000-0000-0000A5190000}"/>
    <cellStyle name="Calculation 3 2 2 4 3 3 2" xfId="9956" xr:uid="{00000000-0005-0000-0000-0000A6190000}"/>
    <cellStyle name="Calculation 3 2 2 4 3 3 3" xfId="9957" xr:uid="{00000000-0005-0000-0000-0000A7190000}"/>
    <cellStyle name="Calculation 3 2 2 4 3 4" xfId="9958" xr:uid="{00000000-0005-0000-0000-0000A8190000}"/>
    <cellStyle name="Calculation 3 2 2 4 3 4 2" xfId="9959" xr:uid="{00000000-0005-0000-0000-0000A9190000}"/>
    <cellStyle name="Calculation 3 2 2 4 3 4 3" xfId="9960" xr:uid="{00000000-0005-0000-0000-0000AA190000}"/>
    <cellStyle name="Calculation 3 2 2 4 3 5" xfId="9961" xr:uid="{00000000-0005-0000-0000-0000AB190000}"/>
    <cellStyle name="Calculation 3 2 2 4 3 5 2" xfId="9962" xr:uid="{00000000-0005-0000-0000-0000AC190000}"/>
    <cellStyle name="Calculation 3 2 2 4 3 5 3" xfId="9963" xr:uid="{00000000-0005-0000-0000-0000AD190000}"/>
    <cellStyle name="Calculation 3 2 2 4 3 6" xfId="9964" xr:uid="{00000000-0005-0000-0000-0000AE190000}"/>
    <cellStyle name="Calculation 3 2 2 4 3 6 2" xfId="9965" xr:uid="{00000000-0005-0000-0000-0000AF190000}"/>
    <cellStyle name="Calculation 3 2 2 4 3 6 3" xfId="9966" xr:uid="{00000000-0005-0000-0000-0000B0190000}"/>
    <cellStyle name="Calculation 3 2 2 4 3 7" xfId="9967" xr:uid="{00000000-0005-0000-0000-0000B1190000}"/>
    <cellStyle name="Calculation 3 2 2 4 3 7 2" xfId="9968" xr:uid="{00000000-0005-0000-0000-0000B2190000}"/>
    <cellStyle name="Calculation 3 2 2 4 3 7 3" xfId="9969" xr:uid="{00000000-0005-0000-0000-0000B3190000}"/>
    <cellStyle name="Calculation 3 2 2 4 3 8" xfId="9970" xr:uid="{00000000-0005-0000-0000-0000B4190000}"/>
    <cellStyle name="Calculation 3 2 2 4 3 8 2" xfId="9971" xr:uid="{00000000-0005-0000-0000-0000B5190000}"/>
    <cellStyle name="Calculation 3 2 2 4 3 8 3" xfId="9972" xr:uid="{00000000-0005-0000-0000-0000B6190000}"/>
    <cellStyle name="Calculation 3 2 2 4 3 9" xfId="9973" xr:uid="{00000000-0005-0000-0000-0000B7190000}"/>
    <cellStyle name="Calculation 3 2 2 4 4" xfId="9974" xr:uid="{00000000-0005-0000-0000-0000B8190000}"/>
    <cellStyle name="Calculation 3 2 2 4 4 10" xfId="9975" xr:uid="{00000000-0005-0000-0000-0000B9190000}"/>
    <cellStyle name="Calculation 3 2 2 4 4 2" xfId="9976" xr:uid="{00000000-0005-0000-0000-0000BA190000}"/>
    <cellStyle name="Calculation 3 2 2 4 4 2 2" xfId="9977" xr:uid="{00000000-0005-0000-0000-0000BB190000}"/>
    <cellStyle name="Calculation 3 2 2 4 4 2 2 2" xfId="9978" xr:uid="{00000000-0005-0000-0000-0000BC190000}"/>
    <cellStyle name="Calculation 3 2 2 4 4 2 2 3" xfId="9979" xr:uid="{00000000-0005-0000-0000-0000BD190000}"/>
    <cellStyle name="Calculation 3 2 2 4 4 2 3" xfId="9980" xr:uid="{00000000-0005-0000-0000-0000BE190000}"/>
    <cellStyle name="Calculation 3 2 2 4 4 2 3 2" xfId="9981" xr:uid="{00000000-0005-0000-0000-0000BF190000}"/>
    <cellStyle name="Calculation 3 2 2 4 4 2 3 3" xfId="9982" xr:uid="{00000000-0005-0000-0000-0000C0190000}"/>
    <cellStyle name="Calculation 3 2 2 4 4 2 4" xfId="9983" xr:uid="{00000000-0005-0000-0000-0000C1190000}"/>
    <cellStyle name="Calculation 3 2 2 4 4 2 4 2" xfId="9984" xr:uid="{00000000-0005-0000-0000-0000C2190000}"/>
    <cellStyle name="Calculation 3 2 2 4 4 2 4 3" xfId="9985" xr:uid="{00000000-0005-0000-0000-0000C3190000}"/>
    <cellStyle name="Calculation 3 2 2 4 4 2 5" xfId="9986" xr:uid="{00000000-0005-0000-0000-0000C4190000}"/>
    <cellStyle name="Calculation 3 2 2 4 4 2 5 2" xfId="9987" xr:uid="{00000000-0005-0000-0000-0000C5190000}"/>
    <cellStyle name="Calculation 3 2 2 4 4 2 5 3" xfId="9988" xr:uid="{00000000-0005-0000-0000-0000C6190000}"/>
    <cellStyle name="Calculation 3 2 2 4 4 2 6" xfId="9989" xr:uid="{00000000-0005-0000-0000-0000C7190000}"/>
    <cellStyle name="Calculation 3 2 2 4 4 2 6 2" xfId="9990" xr:uid="{00000000-0005-0000-0000-0000C8190000}"/>
    <cellStyle name="Calculation 3 2 2 4 4 2 6 3" xfId="9991" xr:uid="{00000000-0005-0000-0000-0000C9190000}"/>
    <cellStyle name="Calculation 3 2 2 4 4 2 7" xfId="9992" xr:uid="{00000000-0005-0000-0000-0000CA190000}"/>
    <cellStyle name="Calculation 3 2 2 4 4 2 7 2" xfId="9993" xr:uid="{00000000-0005-0000-0000-0000CB190000}"/>
    <cellStyle name="Calculation 3 2 2 4 4 2 7 3" xfId="9994" xr:uid="{00000000-0005-0000-0000-0000CC190000}"/>
    <cellStyle name="Calculation 3 2 2 4 4 2 8" xfId="9995" xr:uid="{00000000-0005-0000-0000-0000CD190000}"/>
    <cellStyle name="Calculation 3 2 2 4 4 2 9" xfId="9996" xr:uid="{00000000-0005-0000-0000-0000CE190000}"/>
    <cellStyle name="Calculation 3 2 2 4 4 3" xfId="9997" xr:uid="{00000000-0005-0000-0000-0000CF190000}"/>
    <cellStyle name="Calculation 3 2 2 4 4 3 2" xfId="9998" xr:uid="{00000000-0005-0000-0000-0000D0190000}"/>
    <cellStyle name="Calculation 3 2 2 4 4 3 3" xfId="9999" xr:uid="{00000000-0005-0000-0000-0000D1190000}"/>
    <cellStyle name="Calculation 3 2 2 4 4 4" xfId="10000" xr:uid="{00000000-0005-0000-0000-0000D2190000}"/>
    <cellStyle name="Calculation 3 2 2 4 4 4 2" xfId="10001" xr:uid="{00000000-0005-0000-0000-0000D3190000}"/>
    <cellStyle name="Calculation 3 2 2 4 4 4 3" xfId="10002" xr:uid="{00000000-0005-0000-0000-0000D4190000}"/>
    <cellStyle name="Calculation 3 2 2 4 4 5" xfId="10003" xr:uid="{00000000-0005-0000-0000-0000D5190000}"/>
    <cellStyle name="Calculation 3 2 2 4 4 5 2" xfId="10004" xr:uid="{00000000-0005-0000-0000-0000D6190000}"/>
    <cellStyle name="Calculation 3 2 2 4 4 5 3" xfId="10005" xr:uid="{00000000-0005-0000-0000-0000D7190000}"/>
    <cellStyle name="Calculation 3 2 2 4 4 6" xfId="10006" xr:uid="{00000000-0005-0000-0000-0000D8190000}"/>
    <cellStyle name="Calculation 3 2 2 4 4 6 2" xfId="10007" xr:uid="{00000000-0005-0000-0000-0000D9190000}"/>
    <cellStyle name="Calculation 3 2 2 4 4 6 3" xfId="10008" xr:uid="{00000000-0005-0000-0000-0000DA190000}"/>
    <cellStyle name="Calculation 3 2 2 4 4 7" xfId="10009" xr:uid="{00000000-0005-0000-0000-0000DB190000}"/>
    <cellStyle name="Calculation 3 2 2 4 4 7 2" xfId="10010" xr:uid="{00000000-0005-0000-0000-0000DC190000}"/>
    <cellStyle name="Calculation 3 2 2 4 4 7 3" xfId="10011" xr:uid="{00000000-0005-0000-0000-0000DD190000}"/>
    <cellStyle name="Calculation 3 2 2 4 4 8" xfId="10012" xr:uid="{00000000-0005-0000-0000-0000DE190000}"/>
    <cellStyle name="Calculation 3 2 2 4 4 8 2" xfId="10013" xr:uid="{00000000-0005-0000-0000-0000DF190000}"/>
    <cellStyle name="Calculation 3 2 2 4 4 8 3" xfId="10014" xr:uid="{00000000-0005-0000-0000-0000E0190000}"/>
    <cellStyle name="Calculation 3 2 2 4 4 9" xfId="10015" xr:uid="{00000000-0005-0000-0000-0000E1190000}"/>
    <cellStyle name="Calculation 3 2 2 4 5" xfId="10016" xr:uid="{00000000-0005-0000-0000-0000E2190000}"/>
    <cellStyle name="Calculation 3 2 2 4 5 2" xfId="10017" xr:uid="{00000000-0005-0000-0000-0000E3190000}"/>
    <cellStyle name="Calculation 3 2 2 4 5 2 2" xfId="10018" xr:uid="{00000000-0005-0000-0000-0000E4190000}"/>
    <cellStyle name="Calculation 3 2 2 4 5 2 3" xfId="10019" xr:uid="{00000000-0005-0000-0000-0000E5190000}"/>
    <cellStyle name="Calculation 3 2 2 4 5 3" xfId="10020" xr:uid="{00000000-0005-0000-0000-0000E6190000}"/>
    <cellStyle name="Calculation 3 2 2 4 5 3 2" xfId="10021" xr:uid="{00000000-0005-0000-0000-0000E7190000}"/>
    <cellStyle name="Calculation 3 2 2 4 5 3 3" xfId="10022" xr:uid="{00000000-0005-0000-0000-0000E8190000}"/>
    <cellStyle name="Calculation 3 2 2 4 5 4" xfId="10023" xr:uid="{00000000-0005-0000-0000-0000E9190000}"/>
    <cellStyle name="Calculation 3 2 2 4 5 4 2" xfId="10024" xr:uid="{00000000-0005-0000-0000-0000EA190000}"/>
    <cellStyle name="Calculation 3 2 2 4 5 4 3" xfId="10025" xr:uid="{00000000-0005-0000-0000-0000EB190000}"/>
    <cellStyle name="Calculation 3 2 2 4 5 5" xfId="10026" xr:uid="{00000000-0005-0000-0000-0000EC190000}"/>
    <cellStyle name="Calculation 3 2 2 4 5 5 2" xfId="10027" xr:uid="{00000000-0005-0000-0000-0000ED190000}"/>
    <cellStyle name="Calculation 3 2 2 4 5 5 3" xfId="10028" xr:uid="{00000000-0005-0000-0000-0000EE190000}"/>
    <cellStyle name="Calculation 3 2 2 4 5 6" xfId="10029" xr:uid="{00000000-0005-0000-0000-0000EF190000}"/>
    <cellStyle name="Calculation 3 2 2 4 5 6 2" xfId="10030" xr:uid="{00000000-0005-0000-0000-0000F0190000}"/>
    <cellStyle name="Calculation 3 2 2 4 5 6 3" xfId="10031" xr:uid="{00000000-0005-0000-0000-0000F1190000}"/>
    <cellStyle name="Calculation 3 2 2 4 5 7" xfId="10032" xr:uid="{00000000-0005-0000-0000-0000F2190000}"/>
    <cellStyle name="Calculation 3 2 2 4 5 7 2" xfId="10033" xr:uid="{00000000-0005-0000-0000-0000F3190000}"/>
    <cellStyle name="Calculation 3 2 2 4 5 7 3" xfId="10034" xr:uid="{00000000-0005-0000-0000-0000F4190000}"/>
    <cellStyle name="Calculation 3 2 2 4 5 8" xfId="10035" xr:uid="{00000000-0005-0000-0000-0000F5190000}"/>
    <cellStyle name="Calculation 3 2 2 4 5 9" xfId="10036" xr:uid="{00000000-0005-0000-0000-0000F6190000}"/>
    <cellStyle name="Calculation 3 2 2 4 6" xfId="10037" xr:uid="{00000000-0005-0000-0000-0000F7190000}"/>
    <cellStyle name="Calculation 3 2 2 4 6 2" xfId="10038" xr:uid="{00000000-0005-0000-0000-0000F8190000}"/>
    <cellStyle name="Calculation 3 2 2 4 6 3" xfId="10039" xr:uid="{00000000-0005-0000-0000-0000F9190000}"/>
    <cellStyle name="Calculation 3 2 2 4 7" xfId="10040" xr:uid="{00000000-0005-0000-0000-0000FA190000}"/>
    <cellStyle name="Calculation 3 2 2 4 7 2" xfId="10041" xr:uid="{00000000-0005-0000-0000-0000FB190000}"/>
    <cellStyle name="Calculation 3 2 2 4 7 3" xfId="10042" xr:uid="{00000000-0005-0000-0000-0000FC190000}"/>
    <cellStyle name="Calculation 3 2 2 4 8" xfId="10043" xr:uid="{00000000-0005-0000-0000-0000FD190000}"/>
    <cellStyle name="Calculation 3 2 2 4 8 2" xfId="10044" xr:uid="{00000000-0005-0000-0000-0000FE190000}"/>
    <cellStyle name="Calculation 3 2 2 4 8 3" xfId="10045" xr:uid="{00000000-0005-0000-0000-0000FF190000}"/>
    <cellStyle name="Calculation 3 2 2 4 9" xfId="10046" xr:uid="{00000000-0005-0000-0000-0000001A0000}"/>
    <cellStyle name="Calculation 3 2 2 4 9 2" xfId="10047" xr:uid="{00000000-0005-0000-0000-0000011A0000}"/>
    <cellStyle name="Calculation 3 2 2 4 9 3" xfId="10048" xr:uid="{00000000-0005-0000-0000-0000021A0000}"/>
    <cellStyle name="Calculation 3 2 2 5" xfId="10049" xr:uid="{00000000-0005-0000-0000-0000031A0000}"/>
    <cellStyle name="Calculation 3 2 2 5 10" xfId="44000" xr:uid="{00000000-0005-0000-0000-0000041A0000}"/>
    <cellStyle name="Calculation 3 2 2 5 2" xfId="10050" xr:uid="{00000000-0005-0000-0000-0000051A0000}"/>
    <cellStyle name="Calculation 3 2 2 5 2 10" xfId="10051" xr:uid="{00000000-0005-0000-0000-0000061A0000}"/>
    <cellStyle name="Calculation 3 2 2 5 2 2" xfId="10052" xr:uid="{00000000-0005-0000-0000-0000071A0000}"/>
    <cellStyle name="Calculation 3 2 2 5 2 2 2" xfId="10053" xr:uid="{00000000-0005-0000-0000-0000081A0000}"/>
    <cellStyle name="Calculation 3 2 2 5 2 2 2 2" xfId="10054" xr:uid="{00000000-0005-0000-0000-0000091A0000}"/>
    <cellStyle name="Calculation 3 2 2 5 2 2 2 3" xfId="10055" xr:uid="{00000000-0005-0000-0000-00000A1A0000}"/>
    <cellStyle name="Calculation 3 2 2 5 2 2 3" xfId="10056" xr:uid="{00000000-0005-0000-0000-00000B1A0000}"/>
    <cellStyle name="Calculation 3 2 2 5 2 2 3 2" xfId="10057" xr:uid="{00000000-0005-0000-0000-00000C1A0000}"/>
    <cellStyle name="Calculation 3 2 2 5 2 2 3 3" xfId="10058" xr:uid="{00000000-0005-0000-0000-00000D1A0000}"/>
    <cellStyle name="Calculation 3 2 2 5 2 2 4" xfId="10059" xr:uid="{00000000-0005-0000-0000-00000E1A0000}"/>
    <cellStyle name="Calculation 3 2 2 5 2 2 4 2" xfId="10060" xr:uid="{00000000-0005-0000-0000-00000F1A0000}"/>
    <cellStyle name="Calculation 3 2 2 5 2 2 4 3" xfId="10061" xr:uid="{00000000-0005-0000-0000-0000101A0000}"/>
    <cellStyle name="Calculation 3 2 2 5 2 2 5" xfId="10062" xr:uid="{00000000-0005-0000-0000-0000111A0000}"/>
    <cellStyle name="Calculation 3 2 2 5 2 2 5 2" xfId="10063" xr:uid="{00000000-0005-0000-0000-0000121A0000}"/>
    <cellStyle name="Calculation 3 2 2 5 2 2 5 3" xfId="10064" xr:uid="{00000000-0005-0000-0000-0000131A0000}"/>
    <cellStyle name="Calculation 3 2 2 5 2 2 6" xfId="10065" xr:uid="{00000000-0005-0000-0000-0000141A0000}"/>
    <cellStyle name="Calculation 3 2 2 5 2 2 6 2" xfId="10066" xr:uid="{00000000-0005-0000-0000-0000151A0000}"/>
    <cellStyle name="Calculation 3 2 2 5 2 2 6 3" xfId="10067" xr:uid="{00000000-0005-0000-0000-0000161A0000}"/>
    <cellStyle name="Calculation 3 2 2 5 2 2 7" xfId="10068" xr:uid="{00000000-0005-0000-0000-0000171A0000}"/>
    <cellStyle name="Calculation 3 2 2 5 2 2 7 2" xfId="10069" xr:uid="{00000000-0005-0000-0000-0000181A0000}"/>
    <cellStyle name="Calculation 3 2 2 5 2 2 7 3" xfId="10070" xr:uid="{00000000-0005-0000-0000-0000191A0000}"/>
    <cellStyle name="Calculation 3 2 2 5 2 2 8" xfId="10071" xr:uid="{00000000-0005-0000-0000-00001A1A0000}"/>
    <cellStyle name="Calculation 3 2 2 5 2 2 9" xfId="10072" xr:uid="{00000000-0005-0000-0000-00001B1A0000}"/>
    <cellStyle name="Calculation 3 2 2 5 2 3" xfId="10073" xr:uid="{00000000-0005-0000-0000-00001C1A0000}"/>
    <cellStyle name="Calculation 3 2 2 5 2 3 2" xfId="10074" xr:uid="{00000000-0005-0000-0000-00001D1A0000}"/>
    <cellStyle name="Calculation 3 2 2 5 2 3 3" xfId="10075" xr:uid="{00000000-0005-0000-0000-00001E1A0000}"/>
    <cellStyle name="Calculation 3 2 2 5 2 4" xfId="10076" xr:uid="{00000000-0005-0000-0000-00001F1A0000}"/>
    <cellStyle name="Calculation 3 2 2 5 2 4 2" xfId="10077" xr:uid="{00000000-0005-0000-0000-0000201A0000}"/>
    <cellStyle name="Calculation 3 2 2 5 2 4 3" xfId="10078" xr:uid="{00000000-0005-0000-0000-0000211A0000}"/>
    <cellStyle name="Calculation 3 2 2 5 2 5" xfId="10079" xr:uid="{00000000-0005-0000-0000-0000221A0000}"/>
    <cellStyle name="Calculation 3 2 2 5 2 5 2" xfId="10080" xr:uid="{00000000-0005-0000-0000-0000231A0000}"/>
    <cellStyle name="Calculation 3 2 2 5 2 5 3" xfId="10081" xr:uid="{00000000-0005-0000-0000-0000241A0000}"/>
    <cellStyle name="Calculation 3 2 2 5 2 6" xfId="10082" xr:uid="{00000000-0005-0000-0000-0000251A0000}"/>
    <cellStyle name="Calculation 3 2 2 5 2 6 2" xfId="10083" xr:uid="{00000000-0005-0000-0000-0000261A0000}"/>
    <cellStyle name="Calculation 3 2 2 5 2 6 3" xfId="10084" xr:uid="{00000000-0005-0000-0000-0000271A0000}"/>
    <cellStyle name="Calculation 3 2 2 5 2 7" xfId="10085" xr:uid="{00000000-0005-0000-0000-0000281A0000}"/>
    <cellStyle name="Calculation 3 2 2 5 2 7 2" xfId="10086" xr:uid="{00000000-0005-0000-0000-0000291A0000}"/>
    <cellStyle name="Calculation 3 2 2 5 2 7 3" xfId="10087" xr:uid="{00000000-0005-0000-0000-00002A1A0000}"/>
    <cellStyle name="Calculation 3 2 2 5 2 8" xfId="10088" xr:uid="{00000000-0005-0000-0000-00002B1A0000}"/>
    <cellStyle name="Calculation 3 2 2 5 2 8 2" xfId="10089" xr:uid="{00000000-0005-0000-0000-00002C1A0000}"/>
    <cellStyle name="Calculation 3 2 2 5 2 8 3" xfId="10090" xr:uid="{00000000-0005-0000-0000-00002D1A0000}"/>
    <cellStyle name="Calculation 3 2 2 5 2 9" xfId="10091" xr:uid="{00000000-0005-0000-0000-00002E1A0000}"/>
    <cellStyle name="Calculation 3 2 2 5 3" xfId="10092" xr:uid="{00000000-0005-0000-0000-00002F1A0000}"/>
    <cellStyle name="Calculation 3 2 2 5 3 10" xfId="10093" xr:uid="{00000000-0005-0000-0000-0000301A0000}"/>
    <cellStyle name="Calculation 3 2 2 5 3 2" xfId="10094" xr:uid="{00000000-0005-0000-0000-0000311A0000}"/>
    <cellStyle name="Calculation 3 2 2 5 3 2 2" xfId="10095" xr:uid="{00000000-0005-0000-0000-0000321A0000}"/>
    <cellStyle name="Calculation 3 2 2 5 3 2 2 2" xfId="10096" xr:uid="{00000000-0005-0000-0000-0000331A0000}"/>
    <cellStyle name="Calculation 3 2 2 5 3 2 2 3" xfId="10097" xr:uid="{00000000-0005-0000-0000-0000341A0000}"/>
    <cellStyle name="Calculation 3 2 2 5 3 2 3" xfId="10098" xr:uid="{00000000-0005-0000-0000-0000351A0000}"/>
    <cellStyle name="Calculation 3 2 2 5 3 2 3 2" xfId="10099" xr:uid="{00000000-0005-0000-0000-0000361A0000}"/>
    <cellStyle name="Calculation 3 2 2 5 3 2 3 3" xfId="10100" xr:uid="{00000000-0005-0000-0000-0000371A0000}"/>
    <cellStyle name="Calculation 3 2 2 5 3 2 4" xfId="10101" xr:uid="{00000000-0005-0000-0000-0000381A0000}"/>
    <cellStyle name="Calculation 3 2 2 5 3 2 4 2" xfId="10102" xr:uid="{00000000-0005-0000-0000-0000391A0000}"/>
    <cellStyle name="Calculation 3 2 2 5 3 2 4 3" xfId="10103" xr:uid="{00000000-0005-0000-0000-00003A1A0000}"/>
    <cellStyle name="Calculation 3 2 2 5 3 2 5" xfId="10104" xr:uid="{00000000-0005-0000-0000-00003B1A0000}"/>
    <cellStyle name="Calculation 3 2 2 5 3 2 5 2" xfId="10105" xr:uid="{00000000-0005-0000-0000-00003C1A0000}"/>
    <cellStyle name="Calculation 3 2 2 5 3 2 5 3" xfId="10106" xr:uid="{00000000-0005-0000-0000-00003D1A0000}"/>
    <cellStyle name="Calculation 3 2 2 5 3 2 6" xfId="10107" xr:uid="{00000000-0005-0000-0000-00003E1A0000}"/>
    <cellStyle name="Calculation 3 2 2 5 3 2 6 2" xfId="10108" xr:uid="{00000000-0005-0000-0000-00003F1A0000}"/>
    <cellStyle name="Calculation 3 2 2 5 3 2 6 3" xfId="10109" xr:uid="{00000000-0005-0000-0000-0000401A0000}"/>
    <cellStyle name="Calculation 3 2 2 5 3 2 7" xfId="10110" xr:uid="{00000000-0005-0000-0000-0000411A0000}"/>
    <cellStyle name="Calculation 3 2 2 5 3 2 7 2" xfId="10111" xr:uid="{00000000-0005-0000-0000-0000421A0000}"/>
    <cellStyle name="Calculation 3 2 2 5 3 2 7 3" xfId="10112" xr:uid="{00000000-0005-0000-0000-0000431A0000}"/>
    <cellStyle name="Calculation 3 2 2 5 3 2 8" xfId="10113" xr:uid="{00000000-0005-0000-0000-0000441A0000}"/>
    <cellStyle name="Calculation 3 2 2 5 3 2 9" xfId="10114" xr:uid="{00000000-0005-0000-0000-0000451A0000}"/>
    <cellStyle name="Calculation 3 2 2 5 3 3" xfId="10115" xr:uid="{00000000-0005-0000-0000-0000461A0000}"/>
    <cellStyle name="Calculation 3 2 2 5 3 3 2" xfId="10116" xr:uid="{00000000-0005-0000-0000-0000471A0000}"/>
    <cellStyle name="Calculation 3 2 2 5 3 3 3" xfId="10117" xr:uid="{00000000-0005-0000-0000-0000481A0000}"/>
    <cellStyle name="Calculation 3 2 2 5 3 4" xfId="10118" xr:uid="{00000000-0005-0000-0000-0000491A0000}"/>
    <cellStyle name="Calculation 3 2 2 5 3 4 2" xfId="10119" xr:uid="{00000000-0005-0000-0000-00004A1A0000}"/>
    <cellStyle name="Calculation 3 2 2 5 3 4 3" xfId="10120" xr:uid="{00000000-0005-0000-0000-00004B1A0000}"/>
    <cellStyle name="Calculation 3 2 2 5 3 5" xfId="10121" xr:uid="{00000000-0005-0000-0000-00004C1A0000}"/>
    <cellStyle name="Calculation 3 2 2 5 3 5 2" xfId="10122" xr:uid="{00000000-0005-0000-0000-00004D1A0000}"/>
    <cellStyle name="Calculation 3 2 2 5 3 5 3" xfId="10123" xr:uid="{00000000-0005-0000-0000-00004E1A0000}"/>
    <cellStyle name="Calculation 3 2 2 5 3 6" xfId="10124" xr:uid="{00000000-0005-0000-0000-00004F1A0000}"/>
    <cellStyle name="Calculation 3 2 2 5 3 6 2" xfId="10125" xr:uid="{00000000-0005-0000-0000-0000501A0000}"/>
    <cellStyle name="Calculation 3 2 2 5 3 6 3" xfId="10126" xr:uid="{00000000-0005-0000-0000-0000511A0000}"/>
    <cellStyle name="Calculation 3 2 2 5 3 7" xfId="10127" xr:uid="{00000000-0005-0000-0000-0000521A0000}"/>
    <cellStyle name="Calculation 3 2 2 5 3 7 2" xfId="10128" xr:uid="{00000000-0005-0000-0000-0000531A0000}"/>
    <cellStyle name="Calculation 3 2 2 5 3 7 3" xfId="10129" xr:uid="{00000000-0005-0000-0000-0000541A0000}"/>
    <cellStyle name="Calculation 3 2 2 5 3 8" xfId="10130" xr:uid="{00000000-0005-0000-0000-0000551A0000}"/>
    <cellStyle name="Calculation 3 2 2 5 3 8 2" xfId="10131" xr:uid="{00000000-0005-0000-0000-0000561A0000}"/>
    <cellStyle name="Calculation 3 2 2 5 3 8 3" xfId="10132" xr:uid="{00000000-0005-0000-0000-0000571A0000}"/>
    <cellStyle name="Calculation 3 2 2 5 3 9" xfId="10133" xr:uid="{00000000-0005-0000-0000-0000581A0000}"/>
    <cellStyle name="Calculation 3 2 2 5 4" xfId="10134" xr:uid="{00000000-0005-0000-0000-0000591A0000}"/>
    <cellStyle name="Calculation 3 2 2 5 4 10" xfId="10135" xr:uid="{00000000-0005-0000-0000-00005A1A0000}"/>
    <cellStyle name="Calculation 3 2 2 5 4 2" xfId="10136" xr:uid="{00000000-0005-0000-0000-00005B1A0000}"/>
    <cellStyle name="Calculation 3 2 2 5 4 2 2" xfId="10137" xr:uid="{00000000-0005-0000-0000-00005C1A0000}"/>
    <cellStyle name="Calculation 3 2 2 5 4 2 2 2" xfId="10138" xr:uid="{00000000-0005-0000-0000-00005D1A0000}"/>
    <cellStyle name="Calculation 3 2 2 5 4 2 2 3" xfId="10139" xr:uid="{00000000-0005-0000-0000-00005E1A0000}"/>
    <cellStyle name="Calculation 3 2 2 5 4 2 3" xfId="10140" xr:uid="{00000000-0005-0000-0000-00005F1A0000}"/>
    <cellStyle name="Calculation 3 2 2 5 4 2 3 2" xfId="10141" xr:uid="{00000000-0005-0000-0000-0000601A0000}"/>
    <cellStyle name="Calculation 3 2 2 5 4 2 3 3" xfId="10142" xr:uid="{00000000-0005-0000-0000-0000611A0000}"/>
    <cellStyle name="Calculation 3 2 2 5 4 2 4" xfId="10143" xr:uid="{00000000-0005-0000-0000-0000621A0000}"/>
    <cellStyle name="Calculation 3 2 2 5 4 2 4 2" xfId="10144" xr:uid="{00000000-0005-0000-0000-0000631A0000}"/>
    <cellStyle name="Calculation 3 2 2 5 4 2 4 3" xfId="10145" xr:uid="{00000000-0005-0000-0000-0000641A0000}"/>
    <cellStyle name="Calculation 3 2 2 5 4 2 5" xfId="10146" xr:uid="{00000000-0005-0000-0000-0000651A0000}"/>
    <cellStyle name="Calculation 3 2 2 5 4 2 5 2" xfId="10147" xr:uid="{00000000-0005-0000-0000-0000661A0000}"/>
    <cellStyle name="Calculation 3 2 2 5 4 2 5 3" xfId="10148" xr:uid="{00000000-0005-0000-0000-0000671A0000}"/>
    <cellStyle name="Calculation 3 2 2 5 4 2 6" xfId="10149" xr:uid="{00000000-0005-0000-0000-0000681A0000}"/>
    <cellStyle name="Calculation 3 2 2 5 4 2 6 2" xfId="10150" xr:uid="{00000000-0005-0000-0000-0000691A0000}"/>
    <cellStyle name="Calculation 3 2 2 5 4 2 6 3" xfId="10151" xr:uid="{00000000-0005-0000-0000-00006A1A0000}"/>
    <cellStyle name="Calculation 3 2 2 5 4 2 7" xfId="10152" xr:uid="{00000000-0005-0000-0000-00006B1A0000}"/>
    <cellStyle name="Calculation 3 2 2 5 4 2 7 2" xfId="10153" xr:uid="{00000000-0005-0000-0000-00006C1A0000}"/>
    <cellStyle name="Calculation 3 2 2 5 4 2 7 3" xfId="10154" xr:uid="{00000000-0005-0000-0000-00006D1A0000}"/>
    <cellStyle name="Calculation 3 2 2 5 4 2 8" xfId="10155" xr:uid="{00000000-0005-0000-0000-00006E1A0000}"/>
    <cellStyle name="Calculation 3 2 2 5 4 2 9" xfId="10156" xr:uid="{00000000-0005-0000-0000-00006F1A0000}"/>
    <cellStyle name="Calculation 3 2 2 5 4 3" xfId="10157" xr:uid="{00000000-0005-0000-0000-0000701A0000}"/>
    <cellStyle name="Calculation 3 2 2 5 4 3 2" xfId="10158" xr:uid="{00000000-0005-0000-0000-0000711A0000}"/>
    <cellStyle name="Calculation 3 2 2 5 4 3 3" xfId="10159" xr:uid="{00000000-0005-0000-0000-0000721A0000}"/>
    <cellStyle name="Calculation 3 2 2 5 4 4" xfId="10160" xr:uid="{00000000-0005-0000-0000-0000731A0000}"/>
    <cellStyle name="Calculation 3 2 2 5 4 4 2" xfId="10161" xr:uid="{00000000-0005-0000-0000-0000741A0000}"/>
    <cellStyle name="Calculation 3 2 2 5 4 4 3" xfId="10162" xr:uid="{00000000-0005-0000-0000-0000751A0000}"/>
    <cellStyle name="Calculation 3 2 2 5 4 5" xfId="10163" xr:uid="{00000000-0005-0000-0000-0000761A0000}"/>
    <cellStyle name="Calculation 3 2 2 5 4 5 2" xfId="10164" xr:uid="{00000000-0005-0000-0000-0000771A0000}"/>
    <cellStyle name="Calculation 3 2 2 5 4 5 3" xfId="10165" xr:uid="{00000000-0005-0000-0000-0000781A0000}"/>
    <cellStyle name="Calculation 3 2 2 5 4 6" xfId="10166" xr:uid="{00000000-0005-0000-0000-0000791A0000}"/>
    <cellStyle name="Calculation 3 2 2 5 4 6 2" xfId="10167" xr:uid="{00000000-0005-0000-0000-00007A1A0000}"/>
    <cellStyle name="Calculation 3 2 2 5 4 6 3" xfId="10168" xr:uid="{00000000-0005-0000-0000-00007B1A0000}"/>
    <cellStyle name="Calculation 3 2 2 5 4 7" xfId="10169" xr:uid="{00000000-0005-0000-0000-00007C1A0000}"/>
    <cellStyle name="Calculation 3 2 2 5 4 7 2" xfId="10170" xr:uid="{00000000-0005-0000-0000-00007D1A0000}"/>
    <cellStyle name="Calculation 3 2 2 5 4 7 3" xfId="10171" xr:uid="{00000000-0005-0000-0000-00007E1A0000}"/>
    <cellStyle name="Calculation 3 2 2 5 4 8" xfId="10172" xr:uid="{00000000-0005-0000-0000-00007F1A0000}"/>
    <cellStyle name="Calculation 3 2 2 5 4 8 2" xfId="10173" xr:uid="{00000000-0005-0000-0000-0000801A0000}"/>
    <cellStyle name="Calculation 3 2 2 5 4 8 3" xfId="10174" xr:uid="{00000000-0005-0000-0000-0000811A0000}"/>
    <cellStyle name="Calculation 3 2 2 5 4 9" xfId="10175" xr:uid="{00000000-0005-0000-0000-0000821A0000}"/>
    <cellStyle name="Calculation 3 2 2 5 5" xfId="10176" xr:uid="{00000000-0005-0000-0000-0000831A0000}"/>
    <cellStyle name="Calculation 3 2 2 5 5 2" xfId="10177" xr:uid="{00000000-0005-0000-0000-0000841A0000}"/>
    <cellStyle name="Calculation 3 2 2 5 5 2 2" xfId="10178" xr:uid="{00000000-0005-0000-0000-0000851A0000}"/>
    <cellStyle name="Calculation 3 2 2 5 5 2 3" xfId="10179" xr:uid="{00000000-0005-0000-0000-0000861A0000}"/>
    <cellStyle name="Calculation 3 2 2 5 5 3" xfId="10180" xr:uid="{00000000-0005-0000-0000-0000871A0000}"/>
    <cellStyle name="Calculation 3 2 2 5 5 3 2" xfId="10181" xr:uid="{00000000-0005-0000-0000-0000881A0000}"/>
    <cellStyle name="Calculation 3 2 2 5 5 3 3" xfId="10182" xr:uid="{00000000-0005-0000-0000-0000891A0000}"/>
    <cellStyle name="Calculation 3 2 2 5 5 4" xfId="10183" xr:uid="{00000000-0005-0000-0000-00008A1A0000}"/>
    <cellStyle name="Calculation 3 2 2 5 5 4 2" xfId="10184" xr:uid="{00000000-0005-0000-0000-00008B1A0000}"/>
    <cellStyle name="Calculation 3 2 2 5 5 4 3" xfId="10185" xr:uid="{00000000-0005-0000-0000-00008C1A0000}"/>
    <cellStyle name="Calculation 3 2 2 5 5 5" xfId="10186" xr:uid="{00000000-0005-0000-0000-00008D1A0000}"/>
    <cellStyle name="Calculation 3 2 2 5 5 5 2" xfId="10187" xr:uid="{00000000-0005-0000-0000-00008E1A0000}"/>
    <cellStyle name="Calculation 3 2 2 5 5 5 3" xfId="10188" xr:uid="{00000000-0005-0000-0000-00008F1A0000}"/>
    <cellStyle name="Calculation 3 2 2 5 5 6" xfId="10189" xr:uid="{00000000-0005-0000-0000-0000901A0000}"/>
    <cellStyle name="Calculation 3 2 2 5 5 6 2" xfId="10190" xr:uid="{00000000-0005-0000-0000-0000911A0000}"/>
    <cellStyle name="Calculation 3 2 2 5 5 6 3" xfId="10191" xr:uid="{00000000-0005-0000-0000-0000921A0000}"/>
    <cellStyle name="Calculation 3 2 2 5 5 7" xfId="10192" xr:uid="{00000000-0005-0000-0000-0000931A0000}"/>
    <cellStyle name="Calculation 3 2 2 5 5 7 2" xfId="10193" xr:uid="{00000000-0005-0000-0000-0000941A0000}"/>
    <cellStyle name="Calculation 3 2 2 5 5 7 3" xfId="10194" xr:uid="{00000000-0005-0000-0000-0000951A0000}"/>
    <cellStyle name="Calculation 3 2 2 5 5 8" xfId="10195" xr:uid="{00000000-0005-0000-0000-0000961A0000}"/>
    <cellStyle name="Calculation 3 2 2 5 5 9" xfId="10196" xr:uid="{00000000-0005-0000-0000-0000971A0000}"/>
    <cellStyle name="Calculation 3 2 2 5 6" xfId="10197" xr:uid="{00000000-0005-0000-0000-0000981A0000}"/>
    <cellStyle name="Calculation 3 2 2 5 6 2" xfId="10198" xr:uid="{00000000-0005-0000-0000-0000991A0000}"/>
    <cellStyle name="Calculation 3 2 2 5 6 3" xfId="10199" xr:uid="{00000000-0005-0000-0000-00009A1A0000}"/>
    <cellStyle name="Calculation 3 2 2 5 7" xfId="10200" xr:uid="{00000000-0005-0000-0000-00009B1A0000}"/>
    <cellStyle name="Calculation 3 2 2 5 7 2" xfId="10201" xr:uid="{00000000-0005-0000-0000-00009C1A0000}"/>
    <cellStyle name="Calculation 3 2 2 5 7 3" xfId="10202" xr:uid="{00000000-0005-0000-0000-00009D1A0000}"/>
    <cellStyle name="Calculation 3 2 2 5 8" xfId="10203" xr:uid="{00000000-0005-0000-0000-00009E1A0000}"/>
    <cellStyle name="Calculation 3 2 2 5 8 2" xfId="10204" xr:uid="{00000000-0005-0000-0000-00009F1A0000}"/>
    <cellStyle name="Calculation 3 2 2 5 8 3" xfId="10205" xr:uid="{00000000-0005-0000-0000-0000A01A0000}"/>
    <cellStyle name="Calculation 3 2 2 5 9" xfId="10206" xr:uid="{00000000-0005-0000-0000-0000A11A0000}"/>
    <cellStyle name="Calculation 3 2 2 5 9 2" xfId="10207" xr:uid="{00000000-0005-0000-0000-0000A21A0000}"/>
    <cellStyle name="Calculation 3 2 2 5 9 3" xfId="10208" xr:uid="{00000000-0005-0000-0000-0000A31A0000}"/>
    <cellStyle name="Calculation 3 2 2 6" xfId="10209" xr:uid="{00000000-0005-0000-0000-0000A41A0000}"/>
    <cellStyle name="Calculation 3 2 2 6 10" xfId="10210" xr:uid="{00000000-0005-0000-0000-0000A51A0000}"/>
    <cellStyle name="Calculation 3 2 2 6 2" xfId="10211" xr:uid="{00000000-0005-0000-0000-0000A61A0000}"/>
    <cellStyle name="Calculation 3 2 2 6 2 2" xfId="10212" xr:uid="{00000000-0005-0000-0000-0000A71A0000}"/>
    <cellStyle name="Calculation 3 2 2 6 2 2 2" xfId="10213" xr:uid="{00000000-0005-0000-0000-0000A81A0000}"/>
    <cellStyle name="Calculation 3 2 2 6 2 2 3" xfId="10214" xr:uid="{00000000-0005-0000-0000-0000A91A0000}"/>
    <cellStyle name="Calculation 3 2 2 6 2 3" xfId="10215" xr:uid="{00000000-0005-0000-0000-0000AA1A0000}"/>
    <cellStyle name="Calculation 3 2 2 6 2 3 2" xfId="10216" xr:uid="{00000000-0005-0000-0000-0000AB1A0000}"/>
    <cellStyle name="Calculation 3 2 2 6 2 3 3" xfId="10217" xr:uid="{00000000-0005-0000-0000-0000AC1A0000}"/>
    <cellStyle name="Calculation 3 2 2 6 2 4" xfId="10218" xr:uid="{00000000-0005-0000-0000-0000AD1A0000}"/>
    <cellStyle name="Calculation 3 2 2 6 2 4 2" xfId="10219" xr:uid="{00000000-0005-0000-0000-0000AE1A0000}"/>
    <cellStyle name="Calculation 3 2 2 6 2 4 3" xfId="10220" xr:uid="{00000000-0005-0000-0000-0000AF1A0000}"/>
    <cellStyle name="Calculation 3 2 2 6 2 5" xfId="10221" xr:uid="{00000000-0005-0000-0000-0000B01A0000}"/>
    <cellStyle name="Calculation 3 2 2 6 2 5 2" xfId="10222" xr:uid="{00000000-0005-0000-0000-0000B11A0000}"/>
    <cellStyle name="Calculation 3 2 2 6 2 5 3" xfId="10223" xr:uid="{00000000-0005-0000-0000-0000B21A0000}"/>
    <cellStyle name="Calculation 3 2 2 6 2 6" xfId="10224" xr:uid="{00000000-0005-0000-0000-0000B31A0000}"/>
    <cellStyle name="Calculation 3 2 2 6 2 6 2" xfId="10225" xr:uid="{00000000-0005-0000-0000-0000B41A0000}"/>
    <cellStyle name="Calculation 3 2 2 6 2 6 3" xfId="10226" xr:uid="{00000000-0005-0000-0000-0000B51A0000}"/>
    <cellStyle name="Calculation 3 2 2 6 2 7" xfId="10227" xr:uid="{00000000-0005-0000-0000-0000B61A0000}"/>
    <cellStyle name="Calculation 3 2 2 6 2 7 2" xfId="10228" xr:uid="{00000000-0005-0000-0000-0000B71A0000}"/>
    <cellStyle name="Calculation 3 2 2 6 2 7 3" xfId="10229" xr:uid="{00000000-0005-0000-0000-0000B81A0000}"/>
    <cellStyle name="Calculation 3 2 2 6 2 8" xfId="10230" xr:uid="{00000000-0005-0000-0000-0000B91A0000}"/>
    <cellStyle name="Calculation 3 2 2 6 2 9" xfId="10231" xr:uid="{00000000-0005-0000-0000-0000BA1A0000}"/>
    <cellStyle name="Calculation 3 2 2 6 3" xfId="10232" xr:uid="{00000000-0005-0000-0000-0000BB1A0000}"/>
    <cellStyle name="Calculation 3 2 2 6 3 2" xfId="10233" xr:uid="{00000000-0005-0000-0000-0000BC1A0000}"/>
    <cellStyle name="Calculation 3 2 2 6 3 3" xfId="10234" xr:uid="{00000000-0005-0000-0000-0000BD1A0000}"/>
    <cellStyle name="Calculation 3 2 2 6 4" xfId="10235" xr:uid="{00000000-0005-0000-0000-0000BE1A0000}"/>
    <cellStyle name="Calculation 3 2 2 6 4 2" xfId="10236" xr:uid="{00000000-0005-0000-0000-0000BF1A0000}"/>
    <cellStyle name="Calculation 3 2 2 6 4 3" xfId="10237" xr:uid="{00000000-0005-0000-0000-0000C01A0000}"/>
    <cellStyle name="Calculation 3 2 2 6 5" xfId="10238" xr:uid="{00000000-0005-0000-0000-0000C11A0000}"/>
    <cellStyle name="Calculation 3 2 2 6 5 2" xfId="10239" xr:uid="{00000000-0005-0000-0000-0000C21A0000}"/>
    <cellStyle name="Calculation 3 2 2 6 5 3" xfId="10240" xr:uid="{00000000-0005-0000-0000-0000C31A0000}"/>
    <cellStyle name="Calculation 3 2 2 6 6" xfId="10241" xr:uid="{00000000-0005-0000-0000-0000C41A0000}"/>
    <cellStyle name="Calculation 3 2 2 6 6 2" xfId="10242" xr:uid="{00000000-0005-0000-0000-0000C51A0000}"/>
    <cellStyle name="Calculation 3 2 2 6 6 3" xfId="10243" xr:uid="{00000000-0005-0000-0000-0000C61A0000}"/>
    <cellStyle name="Calculation 3 2 2 6 7" xfId="10244" xr:uid="{00000000-0005-0000-0000-0000C71A0000}"/>
    <cellStyle name="Calculation 3 2 2 6 7 2" xfId="10245" xr:uid="{00000000-0005-0000-0000-0000C81A0000}"/>
    <cellStyle name="Calculation 3 2 2 6 7 3" xfId="10246" xr:uid="{00000000-0005-0000-0000-0000C91A0000}"/>
    <cellStyle name="Calculation 3 2 2 6 8" xfId="10247" xr:uid="{00000000-0005-0000-0000-0000CA1A0000}"/>
    <cellStyle name="Calculation 3 2 2 6 8 2" xfId="10248" xr:uid="{00000000-0005-0000-0000-0000CB1A0000}"/>
    <cellStyle name="Calculation 3 2 2 6 8 3" xfId="10249" xr:uid="{00000000-0005-0000-0000-0000CC1A0000}"/>
    <cellStyle name="Calculation 3 2 2 6 9" xfId="10250" xr:uid="{00000000-0005-0000-0000-0000CD1A0000}"/>
    <cellStyle name="Calculation 3 2 2 7" xfId="10251" xr:uid="{00000000-0005-0000-0000-0000CE1A0000}"/>
    <cellStyle name="Calculation 3 2 2 7 10" xfId="10252" xr:uid="{00000000-0005-0000-0000-0000CF1A0000}"/>
    <cellStyle name="Calculation 3 2 2 7 2" xfId="10253" xr:uid="{00000000-0005-0000-0000-0000D01A0000}"/>
    <cellStyle name="Calculation 3 2 2 7 2 2" xfId="10254" xr:uid="{00000000-0005-0000-0000-0000D11A0000}"/>
    <cellStyle name="Calculation 3 2 2 7 2 2 2" xfId="10255" xr:uid="{00000000-0005-0000-0000-0000D21A0000}"/>
    <cellStyle name="Calculation 3 2 2 7 2 2 3" xfId="10256" xr:uid="{00000000-0005-0000-0000-0000D31A0000}"/>
    <cellStyle name="Calculation 3 2 2 7 2 3" xfId="10257" xr:uid="{00000000-0005-0000-0000-0000D41A0000}"/>
    <cellStyle name="Calculation 3 2 2 7 2 3 2" xfId="10258" xr:uid="{00000000-0005-0000-0000-0000D51A0000}"/>
    <cellStyle name="Calculation 3 2 2 7 2 3 3" xfId="10259" xr:uid="{00000000-0005-0000-0000-0000D61A0000}"/>
    <cellStyle name="Calculation 3 2 2 7 2 4" xfId="10260" xr:uid="{00000000-0005-0000-0000-0000D71A0000}"/>
    <cellStyle name="Calculation 3 2 2 7 2 4 2" xfId="10261" xr:uid="{00000000-0005-0000-0000-0000D81A0000}"/>
    <cellStyle name="Calculation 3 2 2 7 2 4 3" xfId="10262" xr:uid="{00000000-0005-0000-0000-0000D91A0000}"/>
    <cellStyle name="Calculation 3 2 2 7 2 5" xfId="10263" xr:uid="{00000000-0005-0000-0000-0000DA1A0000}"/>
    <cellStyle name="Calculation 3 2 2 7 2 5 2" xfId="10264" xr:uid="{00000000-0005-0000-0000-0000DB1A0000}"/>
    <cellStyle name="Calculation 3 2 2 7 2 5 3" xfId="10265" xr:uid="{00000000-0005-0000-0000-0000DC1A0000}"/>
    <cellStyle name="Calculation 3 2 2 7 2 6" xfId="10266" xr:uid="{00000000-0005-0000-0000-0000DD1A0000}"/>
    <cellStyle name="Calculation 3 2 2 7 2 6 2" xfId="10267" xr:uid="{00000000-0005-0000-0000-0000DE1A0000}"/>
    <cellStyle name="Calculation 3 2 2 7 2 6 3" xfId="10268" xr:uid="{00000000-0005-0000-0000-0000DF1A0000}"/>
    <cellStyle name="Calculation 3 2 2 7 2 7" xfId="10269" xr:uid="{00000000-0005-0000-0000-0000E01A0000}"/>
    <cellStyle name="Calculation 3 2 2 7 2 7 2" xfId="10270" xr:uid="{00000000-0005-0000-0000-0000E11A0000}"/>
    <cellStyle name="Calculation 3 2 2 7 2 7 3" xfId="10271" xr:uid="{00000000-0005-0000-0000-0000E21A0000}"/>
    <cellStyle name="Calculation 3 2 2 7 2 8" xfId="10272" xr:uid="{00000000-0005-0000-0000-0000E31A0000}"/>
    <cellStyle name="Calculation 3 2 2 7 2 9" xfId="10273" xr:uid="{00000000-0005-0000-0000-0000E41A0000}"/>
    <cellStyle name="Calculation 3 2 2 7 3" xfId="10274" xr:uid="{00000000-0005-0000-0000-0000E51A0000}"/>
    <cellStyle name="Calculation 3 2 2 7 3 2" xfId="10275" xr:uid="{00000000-0005-0000-0000-0000E61A0000}"/>
    <cellStyle name="Calculation 3 2 2 7 3 3" xfId="10276" xr:uid="{00000000-0005-0000-0000-0000E71A0000}"/>
    <cellStyle name="Calculation 3 2 2 7 4" xfId="10277" xr:uid="{00000000-0005-0000-0000-0000E81A0000}"/>
    <cellStyle name="Calculation 3 2 2 7 4 2" xfId="10278" xr:uid="{00000000-0005-0000-0000-0000E91A0000}"/>
    <cellStyle name="Calculation 3 2 2 7 4 3" xfId="10279" xr:uid="{00000000-0005-0000-0000-0000EA1A0000}"/>
    <cellStyle name="Calculation 3 2 2 7 5" xfId="10280" xr:uid="{00000000-0005-0000-0000-0000EB1A0000}"/>
    <cellStyle name="Calculation 3 2 2 7 5 2" xfId="10281" xr:uid="{00000000-0005-0000-0000-0000EC1A0000}"/>
    <cellStyle name="Calculation 3 2 2 7 5 3" xfId="10282" xr:uid="{00000000-0005-0000-0000-0000ED1A0000}"/>
    <cellStyle name="Calculation 3 2 2 7 6" xfId="10283" xr:uid="{00000000-0005-0000-0000-0000EE1A0000}"/>
    <cellStyle name="Calculation 3 2 2 7 6 2" xfId="10284" xr:uid="{00000000-0005-0000-0000-0000EF1A0000}"/>
    <cellStyle name="Calculation 3 2 2 7 6 3" xfId="10285" xr:uid="{00000000-0005-0000-0000-0000F01A0000}"/>
    <cellStyle name="Calculation 3 2 2 7 7" xfId="10286" xr:uid="{00000000-0005-0000-0000-0000F11A0000}"/>
    <cellStyle name="Calculation 3 2 2 7 7 2" xfId="10287" xr:uid="{00000000-0005-0000-0000-0000F21A0000}"/>
    <cellStyle name="Calculation 3 2 2 7 7 3" xfId="10288" xr:uid="{00000000-0005-0000-0000-0000F31A0000}"/>
    <cellStyle name="Calculation 3 2 2 7 8" xfId="10289" xr:uid="{00000000-0005-0000-0000-0000F41A0000}"/>
    <cellStyle name="Calculation 3 2 2 7 8 2" xfId="10290" xr:uid="{00000000-0005-0000-0000-0000F51A0000}"/>
    <cellStyle name="Calculation 3 2 2 7 8 3" xfId="10291" xr:uid="{00000000-0005-0000-0000-0000F61A0000}"/>
    <cellStyle name="Calculation 3 2 2 7 9" xfId="10292" xr:uid="{00000000-0005-0000-0000-0000F71A0000}"/>
    <cellStyle name="Calculation 3 2 2 8" xfId="10293" xr:uid="{00000000-0005-0000-0000-0000F81A0000}"/>
    <cellStyle name="Calculation 3 2 2 8 10" xfId="10294" xr:uid="{00000000-0005-0000-0000-0000F91A0000}"/>
    <cellStyle name="Calculation 3 2 2 8 2" xfId="10295" xr:uid="{00000000-0005-0000-0000-0000FA1A0000}"/>
    <cellStyle name="Calculation 3 2 2 8 2 2" xfId="10296" xr:uid="{00000000-0005-0000-0000-0000FB1A0000}"/>
    <cellStyle name="Calculation 3 2 2 8 2 2 2" xfId="10297" xr:uid="{00000000-0005-0000-0000-0000FC1A0000}"/>
    <cellStyle name="Calculation 3 2 2 8 2 2 3" xfId="10298" xr:uid="{00000000-0005-0000-0000-0000FD1A0000}"/>
    <cellStyle name="Calculation 3 2 2 8 2 3" xfId="10299" xr:uid="{00000000-0005-0000-0000-0000FE1A0000}"/>
    <cellStyle name="Calculation 3 2 2 8 2 3 2" xfId="10300" xr:uid="{00000000-0005-0000-0000-0000FF1A0000}"/>
    <cellStyle name="Calculation 3 2 2 8 2 3 3" xfId="10301" xr:uid="{00000000-0005-0000-0000-0000001B0000}"/>
    <cellStyle name="Calculation 3 2 2 8 2 4" xfId="10302" xr:uid="{00000000-0005-0000-0000-0000011B0000}"/>
    <cellStyle name="Calculation 3 2 2 8 2 4 2" xfId="10303" xr:uid="{00000000-0005-0000-0000-0000021B0000}"/>
    <cellStyle name="Calculation 3 2 2 8 2 4 3" xfId="10304" xr:uid="{00000000-0005-0000-0000-0000031B0000}"/>
    <cellStyle name="Calculation 3 2 2 8 2 5" xfId="10305" xr:uid="{00000000-0005-0000-0000-0000041B0000}"/>
    <cellStyle name="Calculation 3 2 2 8 2 5 2" xfId="10306" xr:uid="{00000000-0005-0000-0000-0000051B0000}"/>
    <cellStyle name="Calculation 3 2 2 8 2 5 3" xfId="10307" xr:uid="{00000000-0005-0000-0000-0000061B0000}"/>
    <cellStyle name="Calculation 3 2 2 8 2 6" xfId="10308" xr:uid="{00000000-0005-0000-0000-0000071B0000}"/>
    <cellStyle name="Calculation 3 2 2 8 2 6 2" xfId="10309" xr:uid="{00000000-0005-0000-0000-0000081B0000}"/>
    <cellStyle name="Calculation 3 2 2 8 2 6 3" xfId="10310" xr:uid="{00000000-0005-0000-0000-0000091B0000}"/>
    <cellStyle name="Calculation 3 2 2 8 2 7" xfId="10311" xr:uid="{00000000-0005-0000-0000-00000A1B0000}"/>
    <cellStyle name="Calculation 3 2 2 8 2 7 2" xfId="10312" xr:uid="{00000000-0005-0000-0000-00000B1B0000}"/>
    <cellStyle name="Calculation 3 2 2 8 2 7 3" xfId="10313" xr:uid="{00000000-0005-0000-0000-00000C1B0000}"/>
    <cellStyle name="Calculation 3 2 2 8 2 8" xfId="10314" xr:uid="{00000000-0005-0000-0000-00000D1B0000}"/>
    <cellStyle name="Calculation 3 2 2 8 2 9" xfId="10315" xr:uid="{00000000-0005-0000-0000-00000E1B0000}"/>
    <cellStyle name="Calculation 3 2 2 8 3" xfId="10316" xr:uid="{00000000-0005-0000-0000-00000F1B0000}"/>
    <cellStyle name="Calculation 3 2 2 8 3 2" xfId="10317" xr:uid="{00000000-0005-0000-0000-0000101B0000}"/>
    <cellStyle name="Calculation 3 2 2 8 3 3" xfId="10318" xr:uid="{00000000-0005-0000-0000-0000111B0000}"/>
    <cellStyle name="Calculation 3 2 2 8 4" xfId="10319" xr:uid="{00000000-0005-0000-0000-0000121B0000}"/>
    <cellStyle name="Calculation 3 2 2 8 4 2" xfId="10320" xr:uid="{00000000-0005-0000-0000-0000131B0000}"/>
    <cellStyle name="Calculation 3 2 2 8 4 3" xfId="10321" xr:uid="{00000000-0005-0000-0000-0000141B0000}"/>
    <cellStyle name="Calculation 3 2 2 8 5" xfId="10322" xr:uid="{00000000-0005-0000-0000-0000151B0000}"/>
    <cellStyle name="Calculation 3 2 2 8 5 2" xfId="10323" xr:uid="{00000000-0005-0000-0000-0000161B0000}"/>
    <cellStyle name="Calculation 3 2 2 8 5 3" xfId="10324" xr:uid="{00000000-0005-0000-0000-0000171B0000}"/>
    <cellStyle name="Calculation 3 2 2 8 6" xfId="10325" xr:uid="{00000000-0005-0000-0000-0000181B0000}"/>
    <cellStyle name="Calculation 3 2 2 8 6 2" xfId="10326" xr:uid="{00000000-0005-0000-0000-0000191B0000}"/>
    <cellStyle name="Calculation 3 2 2 8 6 3" xfId="10327" xr:uid="{00000000-0005-0000-0000-00001A1B0000}"/>
    <cellStyle name="Calculation 3 2 2 8 7" xfId="10328" xr:uid="{00000000-0005-0000-0000-00001B1B0000}"/>
    <cellStyle name="Calculation 3 2 2 8 7 2" xfId="10329" xr:uid="{00000000-0005-0000-0000-00001C1B0000}"/>
    <cellStyle name="Calculation 3 2 2 8 7 3" xfId="10330" xr:uid="{00000000-0005-0000-0000-00001D1B0000}"/>
    <cellStyle name="Calculation 3 2 2 8 8" xfId="10331" xr:uid="{00000000-0005-0000-0000-00001E1B0000}"/>
    <cellStyle name="Calculation 3 2 2 8 8 2" xfId="10332" xr:uid="{00000000-0005-0000-0000-00001F1B0000}"/>
    <cellStyle name="Calculation 3 2 2 8 8 3" xfId="10333" xr:uid="{00000000-0005-0000-0000-0000201B0000}"/>
    <cellStyle name="Calculation 3 2 2 8 9" xfId="10334" xr:uid="{00000000-0005-0000-0000-0000211B0000}"/>
    <cellStyle name="Calculation 3 2 2 9" xfId="10335" xr:uid="{00000000-0005-0000-0000-0000221B0000}"/>
    <cellStyle name="Calculation 3 2 2 9 2" xfId="10336" xr:uid="{00000000-0005-0000-0000-0000231B0000}"/>
    <cellStyle name="Calculation 3 2 2 9 2 2" xfId="10337" xr:uid="{00000000-0005-0000-0000-0000241B0000}"/>
    <cellStyle name="Calculation 3 2 2 9 2 3" xfId="10338" xr:uid="{00000000-0005-0000-0000-0000251B0000}"/>
    <cellStyle name="Calculation 3 2 2 9 3" xfId="10339" xr:uid="{00000000-0005-0000-0000-0000261B0000}"/>
    <cellStyle name="Calculation 3 2 2 9 3 2" xfId="10340" xr:uid="{00000000-0005-0000-0000-0000271B0000}"/>
    <cellStyle name="Calculation 3 2 2 9 3 3" xfId="10341" xr:uid="{00000000-0005-0000-0000-0000281B0000}"/>
    <cellStyle name="Calculation 3 2 2 9 4" xfId="10342" xr:uid="{00000000-0005-0000-0000-0000291B0000}"/>
    <cellStyle name="Calculation 3 2 2 9 4 2" xfId="10343" xr:uid="{00000000-0005-0000-0000-00002A1B0000}"/>
    <cellStyle name="Calculation 3 2 2 9 4 3" xfId="10344" xr:uid="{00000000-0005-0000-0000-00002B1B0000}"/>
    <cellStyle name="Calculation 3 2 2 9 5" xfId="10345" xr:uid="{00000000-0005-0000-0000-00002C1B0000}"/>
    <cellStyle name="Calculation 3 2 2 9 5 2" xfId="10346" xr:uid="{00000000-0005-0000-0000-00002D1B0000}"/>
    <cellStyle name="Calculation 3 2 2 9 5 3" xfId="10347" xr:uid="{00000000-0005-0000-0000-00002E1B0000}"/>
    <cellStyle name="Calculation 3 2 2 9 6" xfId="10348" xr:uid="{00000000-0005-0000-0000-00002F1B0000}"/>
    <cellStyle name="Calculation 3 2 2 9 6 2" xfId="10349" xr:uid="{00000000-0005-0000-0000-0000301B0000}"/>
    <cellStyle name="Calculation 3 2 2 9 6 3" xfId="10350" xr:uid="{00000000-0005-0000-0000-0000311B0000}"/>
    <cellStyle name="Calculation 3 2 2 9 7" xfId="10351" xr:uid="{00000000-0005-0000-0000-0000321B0000}"/>
    <cellStyle name="Calculation 3 2 2 9 7 2" xfId="10352" xr:uid="{00000000-0005-0000-0000-0000331B0000}"/>
    <cellStyle name="Calculation 3 2 2 9 7 3" xfId="10353" xr:uid="{00000000-0005-0000-0000-0000341B0000}"/>
    <cellStyle name="Calculation 3 2 2 9 8" xfId="10354" xr:uid="{00000000-0005-0000-0000-0000351B0000}"/>
    <cellStyle name="Calculation 3 2 2 9 9" xfId="10355" xr:uid="{00000000-0005-0000-0000-0000361B0000}"/>
    <cellStyle name="Calculation 3 2 3" xfId="10356" xr:uid="{00000000-0005-0000-0000-0000371B0000}"/>
    <cellStyle name="Calculation 3 2 3 10" xfId="10357" xr:uid="{00000000-0005-0000-0000-0000381B0000}"/>
    <cellStyle name="Calculation 3 2 3 10 2" xfId="10358" xr:uid="{00000000-0005-0000-0000-0000391B0000}"/>
    <cellStyle name="Calculation 3 2 3 10 3" xfId="10359" xr:uid="{00000000-0005-0000-0000-00003A1B0000}"/>
    <cellStyle name="Calculation 3 2 3 11" xfId="10360" xr:uid="{00000000-0005-0000-0000-00003B1B0000}"/>
    <cellStyle name="Calculation 3 2 3 11 2" xfId="10361" xr:uid="{00000000-0005-0000-0000-00003C1B0000}"/>
    <cellStyle name="Calculation 3 2 3 11 3" xfId="10362" xr:uid="{00000000-0005-0000-0000-00003D1B0000}"/>
    <cellStyle name="Calculation 3 2 3 12" xfId="10363" xr:uid="{00000000-0005-0000-0000-00003E1B0000}"/>
    <cellStyle name="Calculation 3 2 3 12 2" xfId="10364" xr:uid="{00000000-0005-0000-0000-00003F1B0000}"/>
    <cellStyle name="Calculation 3 2 3 12 3" xfId="10365" xr:uid="{00000000-0005-0000-0000-0000401B0000}"/>
    <cellStyle name="Calculation 3 2 3 13" xfId="10366" xr:uid="{00000000-0005-0000-0000-0000411B0000}"/>
    <cellStyle name="Calculation 3 2 3 13 2" xfId="10367" xr:uid="{00000000-0005-0000-0000-0000421B0000}"/>
    <cellStyle name="Calculation 3 2 3 13 3" xfId="10368" xr:uid="{00000000-0005-0000-0000-0000431B0000}"/>
    <cellStyle name="Calculation 3 2 3 14" xfId="44001" xr:uid="{00000000-0005-0000-0000-0000441B0000}"/>
    <cellStyle name="Calculation 3 2 3 2" xfId="10369" xr:uid="{00000000-0005-0000-0000-0000451B0000}"/>
    <cellStyle name="Calculation 3 2 3 2 10" xfId="44002" xr:uid="{00000000-0005-0000-0000-0000461B0000}"/>
    <cellStyle name="Calculation 3 2 3 2 2" xfId="10370" xr:uid="{00000000-0005-0000-0000-0000471B0000}"/>
    <cellStyle name="Calculation 3 2 3 2 2 10" xfId="10371" xr:uid="{00000000-0005-0000-0000-0000481B0000}"/>
    <cellStyle name="Calculation 3 2 3 2 2 2" xfId="10372" xr:uid="{00000000-0005-0000-0000-0000491B0000}"/>
    <cellStyle name="Calculation 3 2 3 2 2 2 2" xfId="10373" xr:uid="{00000000-0005-0000-0000-00004A1B0000}"/>
    <cellStyle name="Calculation 3 2 3 2 2 2 2 2" xfId="10374" xr:uid="{00000000-0005-0000-0000-00004B1B0000}"/>
    <cellStyle name="Calculation 3 2 3 2 2 2 2 3" xfId="10375" xr:uid="{00000000-0005-0000-0000-00004C1B0000}"/>
    <cellStyle name="Calculation 3 2 3 2 2 2 3" xfId="10376" xr:uid="{00000000-0005-0000-0000-00004D1B0000}"/>
    <cellStyle name="Calculation 3 2 3 2 2 2 3 2" xfId="10377" xr:uid="{00000000-0005-0000-0000-00004E1B0000}"/>
    <cellStyle name="Calculation 3 2 3 2 2 2 3 3" xfId="10378" xr:uid="{00000000-0005-0000-0000-00004F1B0000}"/>
    <cellStyle name="Calculation 3 2 3 2 2 2 4" xfId="10379" xr:uid="{00000000-0005-0000-0000-0000501B0000}"/>
    <cellStyle name="Calculation 3 2 3 2 2 2 4 2" xfId="10380" xr:uid="{00000000-0005-0000-0000-0000511B0000}"/>
    <cellStyle name="Calculation 3 2 3 2 2 2 4 3" xfId="10381" xr:uid="{00000000-0005-0000-0000-0000521B0000}"/>
    <cellStyle name="Calculation 3 2 3 2 2 2 5" xfId="10382" xr:uid="{00000000-0005-0000-0000-0000531B0000}"/>
    <cellStyle name="Calculation 3 2 3 2 2 2 5 2" xfId="10383" xr:uid="{00000000-0005-0000-0000-0000541B0000}"/>
    <cellStyle name="Calculation 3 2 3 2 2 2 5 3" xfId="10384" xr:uid="{00000000-0005-0000-0000-0000551B0000}"/>
    <cellStyle name="Calculation 3 2 3 2 2 2 6" xfId="10385" xr:uid="{00000000-0005-0000-0000-0000561B0000}"/>
    <cellStyle name="Calculation 3 2 3 2 2 2 6 2" xfId="10386" xr:uid="{00000000-0005-0000-0000-0000571B0000}"/>
    <cellStyle name="Calculation 3 2 3 2 2 2 6 3" xfId="10387" xr:uid="{00000000-0005-0000-0000-0000581B0000}"/>
    <cellStyle name="Calculation 3 2 3 2 2 2 7" xfId="10388" xr:uid="{00000000-0005-0000-0000-0000591B0000}"/>
    <cellStyle name="Calculation 3 2 3 2 2 2 7 2" xfId="10389" xr:uid="{00000000-0005-0000-0000-00005A1B0000}"/>
    <cellStyle name="Calculation 3 2 3 2 2 2 7 3" xfId="10390" xr:uid="{00000000-0005-0000-0000-00005B1B0000}"/>
    <cellStyle name="Calculation 3 2 3 2 2 2 8" xfId="10391" xr:uid="{00000000-0005-0000-0000-00005C1B0000}"/>
    <cellStyle name="Calculation 3 2 3 2 2 2 9" xfId="10392" xr:uid="{00000000-0005-0000-0000-00005D1B0000}"/>
    <cellStyle name="Calculation 3 2 3 2 2 3" xfId="10393" xr:uid="{00000000-0005-0000-0000-00005E1B0000}"/>
    <cellStyle name="Calculation 3 2 3 2 2 3 2" xfId="10394" xr:uid="{00000000-0005-0000-0000-00005F1B0000}"/>
    <cellStyle name="Calculation 3 2 3 2 2 3 3" xfId="10395" xr:uid="{00000000-0005-0000-0000-0000601B0000}"/>
    <cellStyle name="Calculation 3 2 3 2 2 4" xfId="10396" xr:uid="{00000000-0005-0000-0000-0000611B0000}"/>
    <cellStyle name="Calculation 3 2 3 2 2 4 2" xfId="10397" xr:uid="{00000000-0005-0000-0000-0000621B0000}"/>
    <cellStyle name="Calculation 3 2 3 2 2 4 3" xfId="10398" xr:uid="{00000000-0005-0000-0000-0000631B0000}"/>
    <cellStyle name="Calculation 3 2 3 2 2 5" xfId="10399" xr:uid="{00000000-0005-0000-0000-0000641B0000}"/>
    <cellStyle name="Calculation 3 2 3 2 2 5 2" xfId="10400" xr:uid="{00000000-0005-0000-0000-0000651B0000}"/>
    <cellStyle name="Calculation 3 2 3 2 2 5 3" xfId="10401" xr:uid="{00000000-0005-0000-0000-0000661B0000}"/>
    <cellStyle name="Calculation 3 2 3 2 2 6" xfId="10402" xr:uid="{00000000-0005-0000-0000-0000671B0000}"/>
    <cellStyle name="Calculation 3 2 3 2 2 6 2" xfId="10403" xr:uid="{00000000-0005-0000-0000-0000681B0000}"/>
    <cellStyle name="Calculation 3 2 3 2 2 6 3" xfId="10404" xr:uid="{00000000-0005-0000-0000-0000691B0000}"/>
    <cellStyle name="Calculation 3 2 3 2 2 7" xfId="10405" xr:uid="{00000000-0005-0000-0000-00006A1B0000}"/>
    <cellStyle name="Calculation 3 2 3 2 2 7 2" xfId="10406" xr:uid="{00000000-0005-0000-0000-00006B1B0000}"/>
    <cellStyle name="Calculation 3 2 3 2 2 7 3" xfId="10407" xr:uid="{00000000-0005-0000-0000-00006C1B0000}"/>
    <cellStyle name="Calculation 3 2 3 2 2 8" xfId="10408" xr:uid="{00000000-0005-0000-0000-00006D1B0000}"/>
    <cellStyle name="Calculation 3 2 3 2 2 8 2" xfId="10409" xr:uid="{00000000-0005-0000-0000-00006E1B0000}"/>
    <cellStyle name="Calculation 3 2 3 2 2 8 3" xfId="10410" xr:uid="{00000000-0005-0000-0000-00006F1B0000}"/>
    <cellStyle name="Calculation 3 2 3 2 2 9" xfId="10411" xr:uid="{00000000-0005-0000-0000-0000701B0000}"/>
    <cellStyle name="Calculation 3 2 3 2 3" xfId="10412" xr:uid="{00000000-0005-0000-0000-0000711B0000}"/>
    <cellStyle name="Calculation 3 2 3 2 3 10" xfId="10413" xr:uid="{00000000-0005-0000-0000-0000721B0000}"/>
    <cellStyle name="Calculation 3 2 3 2 3 2" xfId="10414" xr:uid="{00000000-0005-0000-0000-0000731B0000}"/>
    <cellStyle name="Calculation 3 2 3 2 3 2 2" xfId="10415" xr:uid="{00000000-0005-0000-0000-0000741B0000}"/>
    <cellStyle name="Calculation 3 2 3 2 3 2 2 2" xfId="10416" xr:uid="{00000000-0005-0000-0000-0000751B0000}"/>
    <cellStyle name="Calculation 3 2 3 2 3 2 2 3" xfId="10417" xr:uid="{00000000-0005-0000-0000-0000761B0000}"/>
    <cellStyle name="Calculation 3 2 3 2 3 2 3" xfId="10418" xr:uid="{00000000-0005-0000-0000-0000771B0000}"/>
    <cellStyle name="Calculation 3 2 3 2 3 2 3 2" xfId="10419" xr:uid="{00000000-0005-0000-0000-0000781B0000}"/>
    <cellStyle name="Calculation 3 2 3 2 3 2 3 3" xfId="10420" xr:uid="{00000000-0005-0000-0000-0000791B0000}"/>
    <cellStyle name="Calculation 3 2 3 2 3 2 4" xfId="10421" xr:uid="{00000000-0005-0000-0000-00007A1B0000}"/>
    <cellStyle name="Calculation 3 2 3 2 3 2 4 2" xfId="10422" xr:uid="{00000000-0005-0000-0000-00007B1B0000}"/>
    <cellStyle name="Calculation 3 2 3 2 3 2 4 3" xfId="10423" xr:uid="{00000000-0005-0000-0000-00007C1B0000}"/>
    <cellStyle name="Calculation 3 2 3 2 3 2 5" xfId="10424" xr:uid="{00000000-0005-0000-0000-00007D1B0000}"/>
    <cellStyle name="Calculation 3 2 3 2 3 2 5 2" xfId="10425" xr:uid="{00000000-0005-0000-0000-00007E1B0000}"/>
    <cellStyle name="Calculation 3 2 3 2 3 2 5 3" xfId="10426" xr:uid="{00000000-0005-0000-0000-00007F1B0000}"/>
    <cellStyle name="Calculation 3 2 3 2 3 2 6" xfId="10427" xr:uid="{00000000-0005-0000-0000-0000801B0000}"/>
    <cellStyle name="Calculation 3 2 3 2 3 2 6 2" xfId="10428" xr:uid="{00000000-0005-0000-0000-0000811B0000}"/>
    <cellStyle name="Calculation 3 2 3 2 3 2 6 3" xfId="10429" xr:uid="{00000000-0005-0000-0000-0000821B0000}"/>
    <cellStyle name="Calculation 3 2 3 2 3 2 7" xfId="10430" xr:uid="{00000000-0005-0000-0000-0000831B0000}"/>
    <cellStyle name="Calculation 3 2 3 2 3 2 7 2" xfId="10431" xr:uid="{00000000-0005-0000-0000-0000841B0000}"/>
    <cellStyle name="Calculation 3 2 3 2 3 2 7 3" xfId="10432" xr:uid="{00000000-0005-0000-0000-0000851B0000}"/>
    <cellStyle name="Calculation 3 2 3 2 3 2 8" xfId="10433" xr:uid="{00000000-0005-0000-0000-0000861B0000}"/>
    <cellStyle name="Calculation 3 2 3 2 3 2 9" xfId="10434" xr:uid="{00000000-0005-0000-0000-0000871B0000}"/>
    <cellStyle name="Calculation 3 2 3 2 3 3" xfId="10435" xr:uid="{00000000-0005-0000-0000-0000881B0000}"/>
    <cellStyle name="Calculation 3 2 3 2 3 3 2" xfId="10436" xr:uid="{00000000-0005-0000-0000-0000891B0000}"/>
    <cellStyle name="Calculation 3 2 3 2 3 3 3" xfId="10437" xr:uid="{00000000-0005-0000-0000-00008A1B0000}"/>
    <cellStyle name="Calculation 3 2 3 2 3 4" xfId="10438" xr:uid="{00000000-0005-0000-0000-00008B1B0000}"/>
    <cellStyle name="Calculation 3 2 3 2 3 4 2" xfId="10439" xr:uid="{00000000-0005-0000-0000-00008C1B0000}"/>
    <cellStyle name="Calculation 3 2 3 2 3 4 3" xfId="10440" xr:uid="{00000000-0005-0000-0000-00008D1B0000}"/>
    <cellStyle name="Calculation 3 2 3 2 3 5" xfId="10441" xr:uid="{00000000-0005-0000-0000-00008E1B0000}"/>
    <cellStyle name="Calculation 3 2 3 2 3 5 2" xfId="10442" xr:uid="{00000000-0005-0000-0000-00008F1B0000}"/>
    <cellStyle name="Calculation 3 2 3 2 3 5 3" xfId="10443" xr:uid="{00000000-0005-0000-0000-0000901B0000}"/>
    <cellStyle name="Calculation 3 2 3 2 3 6" xfId="10444" xr:uid="{00000000-0005-0000-0000-0000911B0000}"/>
    <cellStyle name="Calculation 3 2 3 2 3 6 2" xfId="10445" xr:uid="{00000000-0005-0000-0000-0000921B0000}"/>
    <cellStyle name="Calculation 3 2 3 2 3 6 3" xfId="10446" xr:uid="{00000000-0005-0000-0000-0000931B0000}"/>
    <cellStyle name="Calculation 3 2 3 2 3 7" xfId="10447" xr:uid="{00000000-0005-0000-0000-0000941B0000}"/>
    <cellStyle name="Calculation 3 2 3 2 3 7 2" xfId="10448" xr:uid="{00000000-0005-0000-0000-0000951B0000}"/>
    <cellStyle name="Calculation 3 2 3 2 3 7 3" xfId="10449" xr:uid="{00000000-0005-0000-0000-0000961B0000}"/>
    <cellStyle name="Calculation 3 2 3 2 3 8" xfId="10450" xr:uid="{00000000-0005-0000-0000-0000971B0000}"/>
    <cellStyle name="Calculation 3 2 3 2 3 8 2" xfId="10451" xr:uid="{00000000-0005-0000-0000-0000981B0000}"/>
    <cellStyle name="Calculation 3 2 3 2 3 8 3" xfId="10452" xr:uid="{00000000-0005-0000-0000-0000991B0000}"/>
    <cellStyle name="Calculation 3 2 3 2 3 9" xfId="10453" xr:uid="{00000000-0005-0000-0000-00009A1B0000}"/>
    <cellStyle name="Calculation 3 2 3 2 4" xfId="10454" xr:uid="{00000000-0005-0000-0000-00009B1B0000}"/>
    <cellStyle name="Calculation 3 2 3 2 4 10" xfId="10455" xr:uid="{00000000-0005-0000-0000-00009C1B0000}"/>
    <cellStyle name="Calculation 3 2 3 2 4 2" xfId="10456" xr:uid="{00000000-0005-0000-0000-00009D1B0000}"/>
    <cellStyle name="Calculation 3 2 3 2 4 2 2" xfId="10457" xr:uid="{00000000-0005-0000-0000-00009E1B0000}"/>
    <cellStyle name="Calculation 3 2 3 2 4 2 2 2" xfId="10458" xr:uid="{00000000-0005-0000-0000-00009F1B0000}"/>
    <cellStyle name="Calculation 3 2 3 2 4 2 2 3" xfId="10459" xr:uid="{00000000-0005-0000-0000-0000A01B0000}"/>
    <cellStyle name="Calculation 3 2 3 2 4 2 3" xfId="10460" xr:uid="{00000000-0005-0000-0000-0000A11B0000}"/>
    <cellStyle name="Calculation 3 2 3 2 4 2 3 2" xfId="10461" xr:uid="{00000000-0005-0000-0000-0000A21B0000}"/>
    <cellStyle name="Calculation 3 2 3 2 4 2 3 3" xfId="10462" xr:uid="{00000000-0005-0000-0000-0000A31B0000}"/>
    <cellStyle name="Calculation 3 2 3 2 4 2 4" xfId="10463" xr:uid="{00000000-0005-0000-0000-0000A41B0000}"/>
    <cellStyle name="Calculation 3 2 3 2 4 2 4 2" xfId="10464" xr:uid="{00000000-0005-0000-0000-0000A51B0000}"/>
    <cellStyle name="Calculation 3 2 3 2 4 2 4 3" xfId="10465" xr:uid="{00000000-0005-0000-0000-0000A61B0000}"/>
    <cellStyle name="Calculation 3 2 3 2 4 2 5" xfId="10466" xr:uid="{00000000-0005-0000-0000-0000A71B0000}"/>
    <cellStyle name="Calculation 3 2 3 2 4 2 5 2" xfId="10467" xr:uid="{00000000-0005-0000-0000-0000A81B0000}"/>
    <cellStyle name="Calculation 3 2 3 2 4 2 5 3" xfId="10468" xr:uid="{00000000-0005-0000-0000-0000A91B0000}"/>
    <cellStyle name="Calculation 3 2 3 2 4 2 6" xfId="10469" xr:uid="{00000000-0005-0000-0000-0000AA1B0000}"/>
    <cellStyle name="Calculation 3 2 3 2 4 2 6 2" xfId="10470" xr:uid="{00000000-0005-0000-0000-0000AB1B0000}"/>
    <cellStyle name="Calculation 3 2 3 2 4 2 6 3" xfId="10471" xr:uid="{00000000-0005-0000-0000-0000AC1B0000}"/>
    <cellStyle name="Calculation 3 2 3 2 4 2 7" xfId="10472" xr:uid="{00000000-0005-0000-0000-0000AD1B0000}"/>
    <cellStyle name="Calculation 3 2 3 2 4 2 7 2" xfId="10473" xr:uid="{00000000-0005-0000-0000-0000AE1B0000}"/>
    <cellStyle name="Calculation 3 2 3 2 4 2 7 3" xfId="10474" xr:uid="{00000000-0005-0000-0000-0000AF1B0000}"/>
    <cellStyle name="Calculation 3 2 3 2 4 2 8" xfId="10475" xr:uid="{00000000-0005-0000-0000-0000B01B0000}"/>
    <cellStyle name="Calculation 3 2 3 2 4 2 9" xfId="10476" xr:uid="{00000000-0005-0000-0000-0000B11B0000}"/>
    <cellStyle name="Calculation 3 2 3 2 4 3" xfId="10477" xr:uid="{00000000-0005-0000-0000-0000B21B0000}"/>
    <cellStyle name="Calculation 3 2 3 2 4 3 2" xfId="10478" xr:uid="{00000000-0005-0000-0000-0000B31B0000}"/>
    <cellStyle name="Calculation 3 2 3 2 4 3 3" xfId="10479" xr:uid="{00000000-0005-0000-0000-0000B41B0000}"/>
    <cellStyle name="Calculation 3 2 3 2 4 4" xfId="10480" xr:uid="{00000000-0005-0000-0000-0000B51B0000}"/>
    <cellStyle name="Calculation 3 2 3 2 4 4 2" xfId="10481" xr:uid="{00000000-0005-0000-0000-0000B61B0000}"/>
    <cellStyle name="Calculation 3 2 3 2 4 4 3" xfId="10482" xr:uid="{00000000-0005-0000-0000-0000B71B0000}"/>
    <cellStyle name="Calculation 3 2 3 2 4 5" xfId="10483" xr:uid="{00000000-0005-0000-0000-0000B81B0000}"/>
    <cellStyle name="Calculation 3 2 3 2 4 5 2" xfId="10484" xr:uid="{00000000-0005-0000-0000-0000B91B0000}"/>
    <cellStyle name="Calculation 3 2 3 2 4 5 3" xfId="10485" xr:uid="{00000000-0005-0000-0000-0000BA1B0000}"/>
    <cellStyle name="Calculation 3 2 3 2 4 6" xfId="10486" xr:uid="{00000000-0005-0000-0000-0000BB1B0000}"/>
    <cellStyle name="Calculation 3 2 3 2 4 6 2" xfId="10487" xr:uid="{00000000-0005-0000-0000-0000BC1B0000}"/>
    <cellStyle name="Calculation 3 2 3 2 4 6 3" xfId="10488" xr:uid="{00000000-0005-0000-0000-0000BD1B0000}"/>
    <cellStyle name="Calculation 3 2 3 2 4 7" xfId="10489" xr:uid="{00000000-0005-0000-0000-0000BE1B0000}"/>
    <cellStyle name="Calculation 3 2 3 2 4 7 2" xfId="10490" xr:uid="{00000000-0005-0000-0000-0000BF1B0000}"/>
    <cellStyle name="Calculation 3 2 3 2 4 7 3" xfId="10491" xr:uid="{00000000-0005-0000-0000-0000C01B0000}"/>
    <cellStyle name="Calculation 3 2 3 2 4 8" xfId="10492" xr:uid="{00000000-0005-0000-0000-0000C11B0000}"/>
    <cellStyle name="Calculation 3 2 3 2 4 8 2" xfId="10493" xr:uid="{00000000-0005-0000-0000-0000C21B0000}"/>
    <cellStyle name="Calculation 3 2 3 2 4 8 3" xfId="10494" xr:uid="{00000000-0005-0000-0000-0000C31B0000}"/>
    <cellStyle name="Calculation 3 2 3 2 4 9" xfId="10495" xr:uid="{00000000-0005-0000-0000-0000C41B0000}"/>
    <cellStyle name="Calculation 3 2 3 2 5" xfId="10496" xr:uid="{00000000-0005-0000-0000-0000C51B0000}"/>
    <cellStyle name="Calculation 3 2 3 2 5 2" xfId="10497" xr:uid="{00000000-0005-0000-0000-0000C61B0000}"/>
    <cellStyle name="Calculation 3 2 3 2 5 2 2" xfId="10498" xr:uid="{00000000-0005-0000-0000-0000C71B0000}"/>
    <cellStyle name="Calculation 3 2 3 2 5 2 3" xfId="10499" xr:uid="{00000000-0005-0000-0000-0000C81B0000}"/>
    <cellStyle name="Calculation 3 2 3 2 5 3" xfId="10500" xr:uid="{00000000-0005-0000-0000-0000C91B0000}"/>
    <cellStyle name="Calculation 3 2 3 2 5 3 2" xfId="10501" xr:uid="{00000000-0005-0000-0000-0000CA1B0000}"/>
    <cellStyle name="Calculation 3 2 3 2 5 3 3" xfId="10502" xr:uid="{00000000-0005-0000-0000-0000CB1B0000}"/>
    <cellStyle name="Calculation 3 2 3 2 5 4" xfId="10503" xr:uid="{00000000-0005-0000-0000-0000CC1B0000}"/>
    <cellStyle name="Calculation 3 2 3 2 5 4 2" xfId="10504" xr:uid="{00000000-0005-0000-0000-0000CD1B0000}"/>
    <cellStyle name="Calculation 3 2 3 2 5 4 3" xfId="10505" xr:uid="{00000000-0005-0000-0000-0000CE1B0000}"/>
    <cellStyle name="Calculation 3 2 3 2 5 5" xfId="10506" xr:uid="{00000000-0005-0000-0000-0000CF1B0000}"/>
    <cellStyle name="Calculation 3 2 3 2 5 5 2" xfId="10507" xr:uid="{00000000-0005-0000-0000-0000D01B0000}"/>
    <cellStyle name="Calculation 3 2 3 2 5 5 3" xfId="10508" xr:uid="{00000000-0005-0000-0000-0000D11B0000}"/>
    <cellStyle name="Calculation 3 2 3 2 5 6" xfId="10509" xr:uid="{00000000-0005-0000-0000-0000D21B0000}"/>
    <cellStyle name="Calculation 3 2 3 2 5 6 2" xfId="10510" xr:uid="{00000000-0005-0000-0000-0000D31B0000}"/>
    <cellStyle name="Calculation 3 2 3 2 5 6 3" xfId="10511" xr:uid="{00000000-0005-0000-0000-0000D41B0000}"/>
    <cellStyle name="Calculation 3 2 3 2 5 7" xfId="10512" xr:uid="{00000000-0005-0000-0000-0000D51B0000}"/>
    <cellStyle name="Calculation 3 2 3 2 5 7 2" xfId="10513" xr:uid="{00000000-0005-0000-0000-0000D61B0000}"/>
    <cellStyle name="Calculation 3 2 3 2 5 7 3" xfId="10514" xr:uid="{00000000-0005-0000-0000-0000D71B0000}"/>
    <cellStyle name="Calculation 3 2 3 2 5 8" xfId="10515" xr:uid="{00000000-0005-0000-0000-0000D81B0000}"/>
    <cellStyle name="Calculation 3 2 3 2 5 9" xfId="10516" xr:uid="{00000000-0005-0000-0000-0000D91B0000}"/>
    <cellStyle name="Calculation 3 2 3 2 6" xfId="10517" xr:uid="{00000000-0005-0000-0000-0000DA1B0000}"/>
    <cellStyle name="Calculation 3 2 3 2 6 2" xfId="10518" xr:uid="{00000000-0005-0000-0000-0000DB1B0000}"/>
    <cellStyle name="Calculation 3 2 3 2 6 3" xfId="10519" xr:uid="{00000000-0005-0000-0000-0000DC1B0000}"/>
    <cellStyle name="Calculation 3 2 3 2 7" xfId="10520" xr:uid="{00000000-0005-0000-0000-0000DD1B0000}"/>
    <cellStyle name="Calculation 3 2 3 2 7 2" xfId="10521" xr:uid="{00000000-0005-0000-0000-0000DE1B0000}"/>
    <cellStyle name="Calculation 3 2 3 2 7 3" xfId="10522" xr:uid="{00000000-0005-0000-0000-0000DF1B0000}"/>
    <cellStyle name="Calculation 3 2 3 2 8" xfId="10523" xr:uid="{00000000-0005-0000-0000-0000E01B0000}"/>
    <cellStyle name="Calculation 3 2 3 2 8 2" xfId="10524" xr:uid="{00000000-0005-0000-0000-0000E11B0000}"/>
    <cellStyle name="Calculation 3 2 3 2 8 3" xfId="10525" xr:uid="{00000000-0005-0000-0000-0000E21B0000}"/>
    <cellStyle name="Calculation 3 2 3 2 9" xfId="10526" xr:uid="{00000000-0005-0000-0000-0000E31B0000}"/>
    <cellStyle name="Calculation 3 2 3 2 9 2" xfId="10527" xr:uid="{00000000-0005-0000-0000-0000E41B0000}"/>
    <cellStyle name="Calculation 3 2 3 2 9 3" xfId="10528" xr:uid="{00000000-0005-0000-0000-0000E51B0000}"/>
    <cellStyle name="Calculation 3 2 3 3" xfId="10529" xr:uid="{00000000-0005-0000-0000-0000E61B0000}"/>
    <cellStyle name="Calculation 3 2 3 3 10" xfId="44003" xr:uid="{00000000-0005-0000-0000-0000E71B0000}"/>
    <cellStyle name="Calculation 3 2 3 3 2" xfId="10530" xr:uid="{00000000-0005-0000-0000-0000E81B0000}"/>
    <cellStyle name="Calculation 3 2 3 3 2 10" xfId="10531" xr:uid="{00000000-0005-0000-0000-0000E91B0000}"/>
    <cellStyle name="Calculation 3 2 3 3 2 2" xfId="10532" xr:uid="{00000000-0005-0000-0000-0000EA1B0000}"/>
    <cellStyle name="Calculation 3 2 3 3 2 2 2" xfId="10533" xr:uid="{00000000-0005-0000-0000-0000EB1B0000}"/>
    <cellStyle name="Calculation 3 2 3 3 2 2 2 2" xfId="10534" xr:uid="{00000000-0005-0000-0000-0000EC1B0000}"/>
    <cellStyle name="Calculation 3 2 3 3 2 2 2 3" xfId="10535" xr:uid="{00000000-0005-0000-0000-0000ED1B0000}"/>
    <cellStyle name="Calculation 3 2 3 3 2 2 3" xfId="10536" xr:uid="{00000000-0005-0000-0000-0000EE1B0000}"/>
    <cellStyle name="Calculation 3 2 3 3 2 2 3 2" xfId="10537" xr:uid="{00000000-0005-0000-0000-0000EF1B0000}"/>
    <cellStyle name="Calculation 3 2 3 3 2 2 3 3" xfId="10538" xr:uid="{00000000-0005-0000-0000-0000F01B0000}"/>
    <cellStyle name="Calculation 3 2 3 3 2 2 4" xfId="10539" xr:uid="{00000000-0005-0000-0000-0000F11B0000}"/>
    <cellStyle name="Calculation 3 2 3 3 2 2 4 2" xfId="10540" xr:uid="{00000000-0005-0000-0000-0000F21B0000}"/>
    <cellStyle name="Calculation 3 2 3 3 2 2 4 3" xfId="10541" xr:uid="{00000000-0005-0000-0000-0000F31B0000}"/>
    <cellStyle name="Calculation 3 2 3 3 2 2 5" xfId="10542" xr:uid="{00000000-0005-0000-0000-0000F41B0000}"/>
    <cellStyle name="Calculation 3 2 3 3 2 2 5 2" xfId="10543" xr:uid="{00000000-0005-0000-0000-0000F51B0000}"/>
    <cellStyle name="Calculation 3 2 3 3 2 2 5 3" xfId="10544" xr:uid="{00000000-0005-0000-0000-0000F61B0000}"/>
    <cellStyle name="Calculation 3 2 3 3 2 2 6" xfId="10545" xr:uid="{00000000-0005-0000-0000-0000F71B0000}"/>
    <cellStyle name="Calculation 3 2 3 3 2 2 6 2" xfId="10546" xr:uid="{00000000-0005-0000-0000-0000F81B0000}"/>
    <cellStyle name="Calculation 3 2 3 3 2 2 6 3" xfId="10547" xr:uid="{00000000-0005-0000-0000-0000F91B0000}"/>
    <cellStyle name="Calculation 3 2 3 3 2 2 7" xfId="10548" xr:uid="{00000000-0005-0000-0000-0000FA1B0000}"/>
    <cellStyle name="Calculation 3 2 3 3 2 2 7 2" xfId="10549" xr:uid="{00000000-0005-0000-0000-0000FB1B0000}"/>
    <cellStyle name="Calculation 3 2 3 3 2 2 7 3" xfId="10550" xr:uid="{00000000-0005-0000-0000-0000FC1B0000}"/>
    <cellStyle name="Calculation 3 2 3 3 2 2 8" xfId="10551" xr:uid="{00000000-0005-0000-0000-0000FD1B0000}"/>
    <cellStyle name="Calculation 3 2 3 3 2 2 9" xfId="10552" xr:uid="{00000000-0005-0000-0000-0000FE1B0000}"/>
    <cellStyle name="Calculation 3 2 3 3 2 3" xfId="10553" xr:uid="{00000000-0005-0000-0000-0000FF1B0000}"/>
    <cellStyle name="Calculation 3 2 3 3 2 3 2" xfId="10554" xr:uid="{00000000-0005-0000-0000-0000001C0000}"/>
    <cellStyle name="Calculation 3 2 3 3 2 3 3" xfId="10555" xr:uid="{00000000-0005-0000-0000-0000011C0000}"/>
    <cellStyle name="Calculation 3 2 3 3 2 4" xfId="10556" xr:uid="{00000000-0005-0000-0000-0000021C0000}"/>
    <cellStyle name="Calculation 3 2 3 3 2 4 2" xfId="10557" xr:uid="{00000000-0005-0000-0000-0000031C0000}"/>
    <cellStyle name="Calculation 3 2 3 3 2 4 3" xfId="10558" xr:uid="{00000000-0005-0000-0000-0000041C0000}"/>
    <cellStyle name="Calculation 3 2 3 3 2 5" xfId="10559" xr:uid="{00000000-0005-0000-0000-0000051C0000}"/>
    <cellStyle name="Calculation 3 2 3 3 2 5 2" xfId="10560" xr:uid="{00000000-0005-0000-0000-0000061C0000}"/>
    <cellStyle name="Calculation 3 2 3 3 2 5 3" xfId="10561" xr:uid="{00000000-0005-0000-0000-0000071C0000}"/>
    <cellStyle name="Calculation 3 2 3 3 2 6" xfId="10562" xr:uid="{00000000-0005-0000-0000-0000081C0000}"/>
    <cellStyle name="Calculation 3 2 3 3 2 6 2" xfId="10563" xr:uid="{00000000-0005-0000-0000-0000091C0000}"/>
    <cellStyle name="Calculation 3 2 3 3 2 6 3" xfId="10564" xr:uid="{00000000-0005-0000-0000-00000A1C0000}"/>
    <cellStyle name="Calculation 3 2 3 3 2 7" xfId="10565" xr:uid="{00000000-0005-0000-0000-00000B1C0000}"/>
    <cellStyle name="Calculation 3 2 3 3 2 7 2" xfId="10566" xr:uid="{00000000-0005-0000-0000-00000C1C0000}"/>
    <cellStyle name="Calculation 3 2 3 3 2 7 3" xfId="10567" xr:uid="{00000000-0005-0000-0000-00000D1C0000}"/>
    <cellStyle name="Calculation 3 2 3 3 2 8" xfId="10568" xr:uid="{00000000-0005-0000-0000-00000E1C0000}"/>
    <cellStyle name="Calculation 3 2 3 3 2 8 2" xfId="10569" xr:uid="{00000000-0005-0000-0000-00000F1C0000}"/>
    <cellStyle name="Calculation 3 2 3 3 2 8 3" xfId="10570" xr:uid="{00000000-0005-0000-0000-0000101C0000}"/>
    <cellStyle name="Calculation 3 2 3 3 2 9" xfId="10571" xr:uid="{00000000-0005-0000-0000-0000111C0000}"/>
    <cellStyle name="Calculation 3 2 3 3 3" xfId="10572" xr:uid="{00000000-0005-0000-0000-0000121C0000}"/>
    <cellStyle name="Calculation 3 2 3 3 3 10" xfId="10573" xr:uid="{00000000-0005-0000-0000-0000131C0000}"/>
    <cellStyle name="Calculation 3 2 3 3 3 2" xfId="10574" xr:uid="{00000000-0005-0000-0000-0000141C0000}"/>
    <cellStyle name="Calculation 3 2 3 3 3 2 2" xfId="10575" xr:uid="{00000000-0005-0000-0000-0000151C0000}"/>
    <cellStyle name="Calculation 3 2 3 3 3 2 2 2" xfId="10576" xr:uid="{00000000-0005-0000-0000-0000161C0000}"/>
    <cellStyle name="Calculation 3 2 3 3 3 2 2 3" xfId="10577" xr:uid="{00000000-0005-0000-0000-0000171C0000}"/>
    <cellStyle name="Calculation 3 2 3 3 3 2 3" xfId="10578" xr:uid="{00000000-0005-0000-0000-0000181C0000}"/>
    <cellStyle name="Calculation 3 2 3 3 3 2 3 2" xfId="10579" xr:uid="{00000000-0005-0000-0000-0000191C0000}"/>
    <cellStyle name="Calculation 3 2 3 3 3 2 3 3" xfId="10580" xr:uid="{00000000-0005-0000-0000-00001A1C0000}"/>
    <cellStyle name="Calculation 3 2 3 3 3 2 4" xfId="10581" xr:uid="{00000000-0005-0000-0000-00001B1C0000}"/>
    <cellStyle name="Calculation 3 2 3 3 3 2 4 2" xfId="10582" xr:uid="{00000000-0005-0000-0000-00001C1C0000}"/>
    <cellStyle name="Calculation 3 2 3 3 3 2 4 3" xfId="10583" xr:uid="{00000000-0005-0000-0000-00001D1C0000}"/>
    <cellStyle name="Calculation 3 2 3 3 3 2 5" xfId="10584" xr:uid="{00000000-0005-0000-0000-00001E1C0000}"/>
    <cellStyle name="Calculation 3 2 3 3 3 2 5 2" xfId="10585" xr:uid="{00000000-0005-0000-0000-00001F1C0000}"/>
    <cellStyle name="Calculation 3 2 3 3 3 2 5 3" xfId="10586" xr:uid="{00000000-0005-0000-0000-0000201C0000}"/>
    <cellStyle name="Calculation 3 2 3 3 3 2 6" xfId="10587" xr:uid="{00000000-0005-0000-0000-0000211C0000}"/>
    <cellStyle name="Calculation 3 2 3 3 3 2 6 2" xfId="10588" xr:uid="{00000000-0005-0000-0000-0000221C0000}"/>
    <cellStyle name="Calculation 3 2 3 3 3 2 6 3" xfId="10589" xr:uid="{00000000-0005-0000-0000-0000231C0000}"/>
    <cellStyle name="Calculation 3 2 3 3 3 2 7" xfId="10590" xr:uid="{00000000-0005-0000-0000-0000241C0000}"/>
    <cellStyle name="Calculation 3 2 3 3 3 2 7 2" xfId="10591" xr:uid="{00000000-0005-0000-0000-0000251C0000}"/>
    <cellStyle name="Calculation 3 2 3 3 3 2 7 3" xfId="10592" xr:uid="{00000000-0005-0000-0000-0000261C0000}"/>
    <cellStyle name="Calculation 3 2 3 3 3 2 8" xfId="10593" xr:uid="{00000000-0005-0000-0000-0000271C0000}"/>
    <cellStyle name="Calculation 3 2 3 3 3 2 9" xfId="10594" xr:uid="{00000000-0005-0000-0000-0000281C0000}"/>
    <cellStyle name="Calculation 3 2 3 3 3 3" xfId="10595" xr:uid="{00000000-0005-0000-0000-0000291C0000}"/>
    <cellStyle name="Calculation 3 2 3 3 3 3 2" xfId="10596" xr:uid="{00000000-0005-0000-0000-00002A1C0000}"/>
    <cellStyle name="Calculation 3 2 3 3 3 3 3" xfId="10597" xr:uid="{00000000-0005-0000-0000-00002B1C0000}"/>
    <cellStyle name="Calculation 3 2 3 3 3 4" xfId="10598" xr:uid="{00000000-0005-0000-0000-00002C1C0000}"/>
    <cellStyle name="Calculation 3 2 3 3 3 4 2" xfId="10599" xr:uid="{00000000-0005-0000-0000-00002D1C0000}"/>
    <cellStyle name="Calculation 3 2 3 3 3 4 3" xfId="10600" xr:uid="{00000000-0005-0000-0000-00002E1C0000}"/>
    <cellStyle name="Calculation 3 2 3 3 3 5" xfId="10601" xr:uid="{00000000-0005-0000-0000-00002F1C0000}"/>
    <cellStyle name="Calculation 3 2 3 3 3 5 2" xfId="10602" xr:uid="{00000000-0005-0000-0000-0000301C0000}"/>
    <cellStyle name="Calculation 3 2 3 3 3 5 3" xfId="10603" xr:uid="{00000000-0005-0000-0000-0000311C0000}"/>
    <cellStyle name="Calculation 3 2 3 3 3 6" xfId="10604" xr:uid="{00000000-0005-0000-0000-0000321C0000}"/>
    <cellStyle name="Calculation 3 2 3 3 3 6 2" xfId="10605" xr:uid="{00000000-0005-0000-0000-0000331C0000}"/>
    <cellStyle name="Calculation 3 2 3 3 3 6 3" xfId="10606" xr:uid="{00000000-0005-0000-0000-0000341C0000}"/>
    <cellStyle name="Calculation 3 2 3 3 3 7" xfId="10607" xr:uid="{00000000-0005-0000-0000-0000351C0000}"/>
    <cellStyle name="Calculation 3 2 3 3 3 7 2" xfId="10608" xr:uid="{00000000-0005-0000-0000-0000361C0000}"/>
    <cellStyle name="Calculation 3 2 3 3 3 7 3" xfId="10609" xr:uid="{00000000-0005-0000-0000-0000371C0000}"/>
    <cellStyle name="Calculation 3 2 3 3 3 8" xfId="10610" xr:uid="{00000000-0005-0000-0000-0000381C0000}"/>
    <cellStyle name="Calculation 3 2 3 3 3 8 2" xfId="10611" xr:uid="{00000000-0005-0000-0000-0000391C0000}"/>
    <cellStyle name="Calculation 3 2 3 3 3 8 3" xfId="10612" xr:uid="{00000000-0005-0000-0000-00003A1C0000}"/>
    <cellStyle name="Calculation 3 2 3 3 3 9" xfId="10613" xr:uid="{00000000-0005-0000-0000-00003B1C0000}"/>
    <cellStyle name="Calculation 3 2 3 3 4" xfId="10614" xr:uid="{00000000-0005-0000-0000-00003C1C0000}"/>
    <cellStyle name="Calculation 3 2 3 3 4 10" xfId="10615" xr:uid="{00000000-0005-0000-0000-00003D1C0000}"/>
    <cellStyle name="Calculation 3 2 3 3 4 2" xfId="10616" xr:uid="{00000000-0005-0000-0000-00003E1C0000}"/>
    <cellStyle name="Calculation 3 2 3 3 4 2 2" xfId="10617" xr:uid="{00000000-0005-0000-0000-00003F1C0000}"/>
    <cellStyle name="Calculation 3 2 3 3 4 2 2 2" xfId="10618" xr:uid="{00000000-0005-0000-0000-0000401C0000}"/>
    <cellStyle name="Calculation 3 2 3 3 4 2 2 3" xfId="10619" xr:uid="{00000000-0005-0000-0000-0000411C0000}"/>
    <cellStyle name="Calculation 3 2 3 3 4 2 3" xfId="10620" xr:uid="{00000000-0005-0000-0000-0000421C0000}"/>
    <cellStyle name="Calculation 3 2 3 3 4 2 3 2" xfId="10621" xr:uid="{00000000-0005-0000-0000-0000431C0000}"/>
    <cellStyle name="Calculation 3 2 3 3 4 2 3 3" xfId="10622" xr:uid="{00000000-0005-0000-0000-0000441C0000}"/>
    <cellStyle name="Calculation 3 2 3 3 4 2 4" xfId="10623" xr:uid="{00000000-0005-0000-0000-0000451C0000}"/>
    <cellStyle name="Calculation 3 2 3 3 4 2 4 2" xfId="10624" xr:uid="{00000000-0005-0000-0000-0000461C0000}"/>
    <cellStyle name="Calculation 3 2 3 3 4 2 4 3" xfId="10625" xr:uid="{00000000-0005-0000-0000-0000471C0000}"/>
    <cellStyle name="Calculation 3 2 3 3 4 2 5" xfId="10626" xr:uid="{00000000-0005-0000-0000-0000481C0000}"/>
    <cellStyle name="Calculation 3 2 3 3 4 2 5 2" xfId="10627" xr:uid="{00000000-0005-0000-0000-0000491C0000}"/>
    <cellStyle name="Calculation 3 2 3 3 4 2 5 3" xfId="10628" xr:uid="{00000000-0005-0000-0000-00004A1C0000}"/>
    <cellStyle name="Calculation 3 2 3 3 4 2 6" xfId="10629" xr:uid="{00000000-0005-0000-0000-00004B1C0000}"/>
    <cellStyle name="Calculation 3 2 3 3 4 2 6 2" xfId="10630" xr:uid="{00000000-0005-0000-0000-00004C1C0000}"/>
    <cellStyle name="Calculation 3 2 3 3 4 2 6 3" xfId="10631" xr:uid="{00000000-0005-0000-0000-00004D1C0000}"/>
    <cellStyle name="Calculation 3 2 3 3 4 2 7" xfId="10632" xr:uid="{00000000-0005-0000-0000-00004E1C0000}"/>
    <cellStyle name="Calculation 3 2 3 3 4 2 7 2" xfId="10633" xr:uid="{00000000-0005-0000-0000-00004F1C0000}"/>
    <cellStyle name="Calculation 3 2 3 3 4 2 7 3" xfId="10634" xr:uid="{00000000-0005-0000-0000-0000501C0000}"/>
    <cellStyle name="Calculation 3 2 3 3 4 2 8" xfId="10635" xr:uid="{00000000-0005-0000-0000-0000511C0000}"/>
    <cellStyle name="Calculation 3 2 3 3 4 2 9" xfId="10636" xr:uid="{00000000-0005-0000-0000-0000521C0000}"/>
    <cellStyle name="Calculation 3 2 3 3 4 3" xfId="10637" xr:uid="{00000000-0005-0000-0000-0000531C0000}"/>
    <cellStyle name="Calculation 3 2 3 3 4 3 2" xfId="10638" xr:uid="{00000000-0005-0000-0000-0000541C0000}"/>
    <cellStyle name="Calculation 3 2 3 3 4 3 3" xfId="10639" xr:uid="{00000000-0005-0000-0000-0000551C0000}"/>
    <cellStyle name="Calculation 3 2 3 3 4 4" xfId="10640" xr:uid="{00000000-0005-0000-0000-0000561C0000}"/>
    <cellStyle name="Calculation 3 2 3 3 4 4 2" xfId="10641" xr:uid="{00000000-0005-0000-0000-0000571C0000}"/>
    <cellStyle name="Calculation 3 2 3 3 4 4 3" xfId="10642" xr:uid="{00000000-0005-0000-0000-0000581C0000}"/>
    <cellStyle name="Calculation 3 2 3 3 4 5" xfId="10643" xr:uid="{00000000-0005-0000-0000-0000591C0000}"/>
    <cellStyle name="Calculation 3 2 3 3 4 5 2" xfId="10644" xr:uid="{00000000-0005-0000-0000-00005A1C0000}"/>
    <cellStyle name="Calculation 3 2 3 3 4 5 3" xfId="10645" xr:uid="{00000000-0005-0000-0000-00005B1C0000}"/>
    <cellStyle name="Calculation 3 2 3 3 4 6" xfId="10646" xr:uid="{00000000-0005-0000-0000-00005C1C0000}"/>
    <cellStyle name="Calculation 3 2 3 3 4 6 2" xfId="10647" xr:uid="{00000000-0005-0000-0000-00005D1C0000}"/>
    <cellStyle name="Calculation 3 2 3 3 4 6 3" xfId="10648" xr:uid="{00000000-0005-0000-0000-00005E1C0000}"/>
    <cellStyle name="Calculation 3 2 3 3 4 7" xfId="10649" xr:uid="{00000000-0005-0000-0000-00005F1C0000}"/>
    <cellStyle name="Calculation 3 2 3 3 4 7 2" xfId="10650" xr:uid="{00000000-0005-0000-0000-0000601C0000}"/>
    <cellStyle name="Calculation 3 2 3 3 4 7 3" xfId="10651" xr:uid="{00000000-0005-0000-0000-0000611C0000}"/>
    <cellStyle name="Calculation 3 2 3 3 4 8" xfId="10652" xr:uid="{00000000-0005-0000-0000-0000621C0000}"/>
    <cellStyle name="Calculation 3 2 3 3 4 8 2" xfId="10653" xr:uid="{00000000-0005-0000-0000-0000631C0000}"/>
    <cellStyle name="Calculation 3 2 3 3 4 8 3" xfId="10654" xr:uid="{00000000-0005-0000-0000-0000641C0000}"/>
    <cellStyle name="Calculation 3 2 3 3 4 9" xfId="10655" xr:uid="{00000000-0005-0000-0000-0000651C0000}"/>
    <cellStyle name="Calculation 3 2 3 3 5" xfId="10656" xr:uid="{00000000-0005-0000-0000-0000661C0000}"/>
    <cellStyle name="Calculation 3 2 3 3 5 2" xfId="10657" xr:uid="{00000000-0005-0000-0000-0000671C0000}"/>
    <cellStyle name="Calculation 3 2 3 3 5 2 2" xfId="10658" xr:uid="{00000000-0005-0000-0000-0000681C0000}"/>
    <cellStyle name="Calculation 3 2 3 3 5 2 3" xfId="10659" xr:uid="{00000000-0005-0000-0000-0000691C0000}"/>
    <cellStyle name="Calculation 3 2 3 3 5 3" xfId="10660" xr:uid="{00000000-0005-0000-0000-00006A1C0000}"/>
    <cellStyle name="Calculation 3 2 3 3 5 3 2" xfId="10661" xr:uid="{00000000-0005-0000-0000-00006B1C0000}"/>
    <cellStyle name="Calculation 3 2 3 3 5 3 3" xfId="10662" xr:uid="{00000000-0005-0000-0000-00006C1C0000}"/>
    <cellStyle name="Calculation 3 2 3 3 5 4" xfId="10663" xr:uid="{00000000-0005-0000-0000-00006D1C0000}"/>
    <cellStyle name="Calculation 3 2 3 3 5 4 2" xfId="10664" xr:uid="{00000000-0005-0000-0000-00006E1C0000}"/>
    <cellStyle name="Calculation 3 2 3 3 5 4 3" xfId="10665" xr:uid="{00000000-0005-0000-0000-00006F1C0000}"/>
    <cellStyle name="Calculation 3 2 3 3 5 5" xfId="10666" xr:uid="{00000000-0005-0000-0000-0000701C0000}"/>
    <cellStyle name="Calculation 3 2 3 3 5 5 2" xfId="10667" xr:uid="{00000000-0005-0000-0000-0000711C0000}"/>
    <cellStyle name="Calculation 3 2 3 3 5 5 3" xfId="10668" xr:uid="{00000000-0005-0000-0000-0000721C0000}"/>
    <cellStyle name="Calculation 3 2 3 3 5 6" xfId="10669" xr:uid="{00000000-0005-0000-0000-0000731C0000}"/>
    <cellStyle name="Calculation 3 2 3 3 5 6 2" xfId="10670" xr:uid="{00000000-0005-0000-0000-0000741C0000}"/>
    <cellStyle name="Calculation 3 2 3 3 5 6 3" xfId="10671" xr:uid="{00000000-0005-0000-0000-0000751C0000}"/>
    <cellStyle name="Calculation 3 2 3 3 5 7" xfId="10672" xr:uid="{00000000-0005-0000-0000-0000761C0000}"/>
    <cellStyle name="Calculation 3 2 3 3 5 7 2" xfId="10673" xr:uid="{00000000-0005-0000-0000-0000771C0000}"/>
    <cellStyle name="Calculation 3 2 3 3 5 7 3" xfId="10674" xr:uid="{00000000-0005-0000-0000-0000781C0000}"/>
    <cellStyle name="Calculation 3 2 3 3 5 8" xfId="10675" xr:uid="{00000000-0005-0000-0000-0000791C0000}"/>
    <cellStyle name="Calculation 3 2 3 3 5 9" xfId="10676" xr:uid="{00000000-0005-0000-0000-00007A1C0000}"/>
    <cellStyle name="Calculation 3 2 3 3 6" xfId="10677" xr:uid="{00000000-0005-0000-0000-00007B1C0000}"/>
    <cellStyle name="Calculation 3 2 3 3 6 2" xfId="10678" xr:uid="{00000000-0005-0000-0000-00007C1C0000}"/>
    <cellStyle name="Calculation 3 2 3 3 6 3" xfId="10679" xr:uid="{00000000-0005-0000-0000-00007D1C0000}"/>
    <cellStyle name="Calculation 3 2 3 3 7" xfId="10680" xr:uid="{00000000-0005-0000-0000-00007E1C0000}"/>
    <cellStyle name="Calculation 3 2 3 3 7 2" xfId="10681" xr:uid="{00000000-0005-0000-0000-00007F1C0000}"/>
    <cellStyle name="Calculation 3 2 3 3 7 3" xfId="10682" xr:uid="{00000000-0005-0000-0000-0000801C0000}"/>
    <cellStyle name="Calculation 3 2 3 3 8" xfId="10683" xr:uid="{00000000-0005-0000-0000-0000811C0000}"/>
    <cellStyle name="Calculation 3 2 3 3 8 2" xfId="10684" xr:uid="{00000000-0005-0000-0000-0000821C0000}"/>
    <cellStyle name="Calculation 3 2 3 3 8 3" xfId="10685" xr:uid="{00000000-0005-0000-0000-0000831C0000}"/>
    <cellStyle name="Calculation 3 2 3 3 9" xfId="10686" xr:uid="{00000000-0005-0000-0000-0000841C0000}"/>
    <cellStyle name="Calculation 3 2 3 3 9 2" xfId="10687" xr:uid="{00000000-0005-0000-0000-0000851C0000}"/>
    <cellStyle name="Calculation 3 2 3 3 9 3" xfId="10688" xr:uid="{00000000-0005-0000-0000-0000861C0000}"/>
    <cellStyle name="Calculation 3 2 3 4" xfId="10689" xr:uid="{00000000-0005-0000-0000-0000871C0000}"/>
    <cellStyle name="Calculation 3 2 3 4 10" xfId="44004" xr:uid="{00000000-0005-0000-0000-0000881C0000}"/>
    <cellStyle name="Calculation 3 2 3 4 2" xfId="10690" xr:uid="{00000000-0005-0000-0000-0000891C0000}"/>
    <cellStyle name="Calculation 3 2 3 4 2 10" xfId="10691" xr:uid="{00000000-0005-0000-0000-00008A1C0000}"/>
    <cellStyle name="Calculation 3 2 3 4 2 2" xfId="10692" xr:uid="{00000000-0005-0000-0000-00008B1C0000}"/>
    <cellStyle name="Calculation 3 2 3 4 2 2 2" xfId="10693" xr:uid="{00000000-0005-0000-0000-00008C1C0000}"/>
    <cellStyle name="Calculation 3 2 3 4 2 2 2 2" xfId="10694" xr:uid="{00000000-0005-0000-0000-00008D1C0000}"/>
    <cellStyle name="Calculation 3 2 3 4 2 2 2 3" xfId="10695" xr:uid="{00000000-0005-0000-0000-00008E1C0000}"/>
    <cellStyle name="Calculation 3 2 3 4 2 2 3" xfId="10696" xr:uid="{00000000-0005-0000-0000-00008F1C0000}"/>
    <cellStyle name="Calculation 3 2 3 4 2 2 3 2" xfId="10697" xr:uid="{00000000-0005-0000-0000-0000901C0000}"/>
    <cellStyle name="Calculation 3 2 3 4 2 2 3 3" xfId="10698" xr:uid="{00000000-0005-0000-0000-0000911C0000}"/>
    <cellStyle name="Calculation 3 2 3 4 2 2 4" xfId="10699" xr:uid="{00000000-0005-0000-0000-0000921C0000}"/>
    <cellStyle name="Calculation 3 2 3 4 2 2 4 2" xfId="10700" xr:uid="{00000000-0005-0000-0000-0000931C0000}"/>
    <cellStyle name="Calculation 3 2 3 4 2 2 4 3" xfId="10701" xr:uid="{00000000-0005-0000-0000-0000941C0000}"/>
    <cellStyle name="Calculation 3 2 3 4 2 2 5" xfId="10702" xr:uid="{00000000-0005-0000-0000-0000951C0000}"/>
    <cellStyle name="Calculation 3 2 3 4 2 2 5 2" xfId="10703" xr:uid="{00000000-0005-0000-0000-0000961C0000}"/>
    <cellStyle name="Calculation 3 2 3 4 2 2 5 3" xfId="10704" xr:uid="{00000000-0005-0000-0000-0000971C0000}"/>
    <cellStyle name="Calculation 3 2 3 4 2 2 6" xfId="10705" xr:uid="{00000000-0005-0000-0000-0000981C0000}"/>
    <cellStyle name="Calculation 3 2 3 4 2 2 6 2" xfId="10706" xr:uid="{00000000-0005-0000-0000-0000991C0000}"/>
    <cellStyle name="Calculation 3 2 3 4 2 2 6 3" xfId="10707" xr:uid="{00000000-0005-0000-0000-00009A1C0000}"/>
    <cellStyle name="Calculation 3 2 3 4 2 2 7" xfId="10708" xr:uid="{00000000-0005-0000-0000-00009B1C0000}"/>
    <cellStyle name="Calculation 3 2 3 4 2 2 7 2" xfId="10709" xr:uid="{00000000-0005-0000-0000-00009C1C0000}"/>
    <cellStyle name="Calculation 3 2 3 4 2 2 7 3" xfId="10710" xr:uid="{00000000-0005-0000-0000-00009D1C0000}"/>
    <cellStyle name="Calculation 3 2 3 4 2 2 8" xfId="10711" xr:uid="{00000000-0005-0000-0000-00009E1C0000}"/>
    <cellStyle name="Calculation 3 2 3 4 2 2 9" xfId="10712" xr:uid="{00000000-0005-0000-0000-00009F1C0000}"/>
    <cellStyle name="Calculation 3 2 3 4 2 3" xfId="10713" xr:uid="{00000000-0005-0000-0000-0000A01C0000}"/>
    <cellStyle name="Calculation 3 2 3 4 2 3 2" xfId="10714" xr:uid="{00000000-0005-0000-0000-0000A11C0000}"/>
    <cellStyle name="Calculation 3 2 3 4 2 3 3" xfId="10715" xr:uid="{00000000-0005-0000-0000-0000A21C0000}"/>
    <cellStyle name="Calculation 3 2 3 4 2 4" xfId="10716" xr:uid="{00000000-0005-0000-0000-0000A31C0000}"/>
    <cellStyle name="Calculation 3 2 3 4 2 4 2" xfId="10717" xr:uid="{00000000-0005-0000-0000-0000A41C0000}"/>
    <cellStyle name="Calculation 3 2 3 4 2 4 3" xfId="10718" xr:uid="{00000000-0005-0000-0000-0000A51C0000}"/>
    <cellStyle name="Calculation 3 2 3 4 2 5" xfId="10719" xr:uid="{00000000-0005-0000-0000-0000A61C0000}"/>
    <cellStyle name="Calculation 3 2 3 4 2 5 2" xfId="10720" xr:uid="{00000000-0005-0000-0000-0000A71C0000}"/>
    <cellStyle name="Calculation 3 2 3 4 2 5 3" xfId="10721" xr:uid="{00000000-0005-0000-0000-0000A81C0000}"/>
    <cellStyle name="Calculation 3 2 3 4 2 6" xfId="10722" xr:uid="{00000000-0005-0000-0000-0000A91C0000}"/>
    <cellStyle name="Calculation 3 2 3 4 2 6 2" xfId="10723" xr:uid="{00000000-0005-0000-0000-0000AA1C0000}"/>
    <cellStyle name="Calculation 3 2 3 4 2 6 3" xfId="10724" xr:uid="{00000000-0005-0000-0000-0000AB1C0000}"/>
    <cellStyle name="Calculation 3 2 3 4 2 7" xfId="10725" xr:uid="{00000000-0005-0000-0000-0000AC1C0000}"/>
    <cellStyle name="Calculation 3 2 3 4 2 7 2" xfId="10726" xr:uid="{00000000-0005-0000-0000-0000AD1C0000}"/>
    <cellStyle name="Calculation 3 2 3 4 2 7 3" xfId="10727" xr:uid="{00000000-0005-0000-0000-0000AE1C0000}"/>
    <cellStyle name="Calculation 3 2 3 4 2 8" xfId="10728" xr:uid="{00000000-0005-0000-0000-0000AF1C0000}"/>
    <cellStyle name="Calculation 3 2 3 4 2 8 2" xfId="10729" xr:uid="{00000000-0005-0000-0000-0000B01C0000}"/>
    <cellStyle name="Calculation 3 2 3 4 2 8 3" xfId="10730" xr:uid="{00000000-0005-0000-0000-0000B11C0000}"/>
    <cellStyle name="Calculation 3 2 3 4 2 9" xfId="10731" xr:uid="{00000000-0005-0000-0000-0000B21C0000}"/>
    <cellStyle name="Calculation 3 2 3 4 3" xfId="10732" xr:uid="{00000000-0005-0000-0000-0000B31C0000}"/>
    <cellStyle name="Calculation 3 2 3 4 3 10" xfId="10733" xr:uid="{00000000-0005-0000-0000-0000B41C0000}"/>
    <cellStyle name="Calculation 3 2 3 4 3 2" xfId="10734" xr:uid="{00000000-0005-0000-0000-0000B51C0000}"/>
    <cellStyle name="Calculation 3 2 3 4 3 2 2" xfId="10735" xr:uid="{00000000-0005-0000-0000-0000B61C0000}"/>
    <cellStyle name="Calculation 3 2 3 4 3 2 2 2" xfId="10736" xr:uid="{00000000-0005-0000-0000-0000B71C0000}"/>
    <cellStyle name="Calculation 3 2 3 4 3 2 2 3" xfId="10737" xr:uid="{00000000-0005-0000-0000-0000B81C0000}"/>
    <cellStyle name="Calculation 3 2 3 4 3 2 3" xfId="10738" xr:uid="{00000000-0005-0000-0000-0000B91C0000}"/>
    <cellStyle name="Calculation 3 2 3 4 3 2 3 2" xfId="10739" xr:uid="{00000000-0005-0000-0000-0000BA1C0000}"/>
    <cellStyle name="Calculation 3 2 3 4 3 2 3 3" xfId="10740" xr:uid="{00000000-0005-0000-0000-0000BB1C0000}"/>
    <cellStyle name="Calculation 3 2 3 4 3 2 4" xfId="10741" xr:uid="{00000000-0005-0000-0000-0000BC1C0000}"/>
    <cellStyle name="Calculation 3 2 3 4 3 2 4 2" xfId="10742" xr:uid="{00000000-0005-0000-0000-0000BD1C0000}"/>
    <cellStyle name="Calculation 3 2 3 4 3 2 4 3" xfId="10743" xr:uid="{00000000-0005-0000-0000-0000BE1C0000}"/>
    <cellStyle name="Calculation 3 2 3 4 3 2 5" xfId="10744" xr:uid="{00000000-0005-0000-0000-0000BF1C0000}"/>
    <cellStyle name="Calculation 3 2 3 4 3 2 5 2" xfId="10745" xr:uid="{00000000-0005-0000-0000-0000C01C0000}"/>
    <cellStyle name="Calculation 3 2 3 4 3 2 5 3" xfId="10746" xr:uid="{00000000-0005-0000-0000-0000C11C0000}"/>
    <cellStyle name="Calculation 3 2 3 4 3 2 6" xfId="10747" xr:uid="{00000000-0005-0000-0000-0000C21C0000}"/>
    <cellStyle name="Calculation 3 2 3 4 3 2 6 2" xfId="10748" xr:uid="{00000000-0005-0000-0000-0000C31C0000}"/>
    <cellStyle name="Calculation 3 2 3 4 3 2 6 3" xfId="10749" xr:uid="{00000000-0005-0000-0000-0000C41C0000}"/>
    <cellStyle name="Calculation 3 2 3 4 3 2 7" xfId="10750" xr:uid="{00000000-0005-0000-0000-0000C51C0000}"/>
    <cellStyle name="Calculation 3 2 3 4 3 2 7 2" xfId="10751" xr:uid="{00000000-0005-0000-0000-0000C61C0000}"/>
    <cellStyle name="Calculation 3 2 3 4 3 2 7 3" xfId="10752" xr:uid="{00000000-0005-0000-0000-0000C71C0000}"/>
    <cellStyle name="Calculation 3 2 3 4 3 2 8" xfId="10753" xr:uid="{00000000-0005-0000-0000-0000C81C0000}"/>
    <cellStyle name="Calculation 3 2 3 4 3 2 9" xfId="10754" xr:uid="{00000000-0005-0000-0000-0000C91C0000}"/>
    <cellStyle name="Calculation 3 2 3 4 3 3" xfId="10755" xr:uid="{00000000-0005-0000-0000-0000CA1C0000}"/>
    <cellStyle name="Calculation 3 2 3 4 3 3 2" xfId="10756" xr:uid="{00000000-0005-0000-0000-0000CB1C0000}"/>
    <cellStyle name="Calculation 3 2 3 4 3 3 3" xfId="10757" xr:uid="{00000000-0005-0000-0000-0000CC1C0000}"/>
    <cellStyle name="Calculation 3 2 3 4 3 4" xfId="10758" xr:uid="{00000000-0005-0000-0000-0000CD1C0000}"/>
    <cellStyle name="Calculation 3 2 3 4 3 4 2" xfId="10759" xr:uid="{00000000-0005-0000-0000-0000CE1C0000}"/>
    <cellStyle name="Calculation 3 2 3 4 3 4 3" xfId="10760" xr:uid="{00000000-0005-0000-0000-0000CF1C0000}"/>
    <cellStyle name="Calculation 3 2 3 4 3 5" xfId="10761" xr:uid="{00000000-0005-0000-0000-0000D01C0000}"/>
    <cellStyle name="Calculation 3 2 3 4 3 5 2" xfId="10762" xr:uid="{00000000-0005-0000-0000-0000D11C0000}"/>
    <cellStyle name="Calculation 3 2 3 4 3 5 3" xfId="10763" xr:uid="{00000000-0005-0000-0000-0000D21C0000}"/>
    <cellStyle name="Calculation 3 2 3 4 3 6" xfId="10764" xr:uid="{00000000-0005-0000-0000-0000D31C0000}"/>
    <cellStyle name="Calculation 3 2 3 4 3 6 2" xfId="10765" xr:uid="{00000000-0005-0000-0000-0000D41C0000}"/>
    <cellStyle name="Calculation 3 2 3 4 3 6 3" xfId="10766" xr:uid="{00000000-0005-0000-0000-0000D51C0000}"/>
    <cellStyle name="Calculation 3 2 3 4 3 7" xfId="10767" xr:uid="{00000000-0005-0000-0000-0000D61C0000}"/>
    <cellStyle name="Calculation 3 2 3 4 3 7 2" xfId="10768" xr:uid="{00000000-0005-0000-0000-0000D71C0000}"/>
    <cellStyle name="Calculation 3 2 3 4 3 7 3" xfId="10769" xr:uid="{00000000-0005-0000-0000-0000D81C0000}"/>
    <cellStyle name="Calculation 3 2 3 4 3 8" xfId="10770" xr:uid="{00000000-0005-0000-0000-0000D91C0000}"/>
    <cellStyle name="Calculation 3 2 3 4 3 8 2" xfId="10771" xr:uid="{00000000-0005-0000-0000-0000DA1C0000}"/>
    <cellStyle name="Calculation 3 2 3 4 3 8 3" xfId="10772" xr:uid="{00000000-0005-0000-0000-0000DB1C0000}"/>
    <cellStyle name="Calculation 3 2 3 4 3 9" xfId="10773" xr:uid="{00000000-0005-0000-0000-0000DC1C0000}"/>
    <cellStyle name="Calculation 3 2 3 4 4" xfId="10774" xr:uid="{00000000-0005-0000-0000-0000DD1C0000}"/>
    <cellStyle name="Calculation 3 2 3 4 4 10" xfId="10775" xr:uid="{00000000-0005-0000-0000-0000DE1C0000}"/>
    <cellStyle name="Calculation 3 2 3 4 4 2" xfId="10776" xr:uid="{00000000-0005-0000-0000-0000DF1C0000}"/>
    <cellStyle name="Calculation 3 2 3 4 4 2 2" xfId="10777" xr:uid="{00000000-0005-0000-0000-0000E01C0000}"/>
    <cellStyle name="Calculation 3 2 3 4 4 2 2 2" xfId="10778" xr:uid="{00000000-0005-0000-0000-0000E11C0000}"/>
    <cellStyle name="Calculation 3 2 3 4 4 2 2 3" xfId="10779" xr:uid="{00000000-0005-0000-0000-0000E21C0000}"/>
    <cellStyle name="Calculation 3 2 3 4 4 2 3" xfId="10780" xr:uid="{00000000-0005-0000-0000-0000E31C0000}"/>
    <cellStyle name="Calculation 3 2 3 4 4 2 3 2" xfId="10781" xr:uid="{00000000-0005-0000-0000-0000E41C0000}"/>
    <cellStyle name="Calculation 3 2 3 4 4 2 3 3" xfId="10782" xr:uid="{00000000-0005-0000-0000-0000E51C0000}"/>
    <cellStyle name="Calculation 3 2 3 4 4 2 4" xfId="10783" xr:uid="{00000000-0005-0000-0000-0000E61C0000}"/>
    <cellStyle name="Calculation 3 2 3 4 4 2 4 2" xfId="10784" xr:uid="{00000000-0005-0000-0000-0000E71C0000}"/>
    <cellStyle name="Calculation 3 2 3 4 4 2 4 3" xfId="10785" xr:uid="{00000000-0005-0000-0000-0000E81C0000}"/>
    <cellStyle name="Calculation 3 2 3 4 4 2 5" xfId="10786" xr:uid="{00000000-0005-0000-0000-0000E91C0000}"/>
    <cellStyle name="Calculation 3 2 3 4 4 2 5 2" xfId="10787" xr:uid="{00000000-0005-0000-0000-0000EA1C0000}"/>
    <cellStyle name="Calculation 3 2 3 4 4 2 5 3" xfId="10788" xr:uid="{00000000-0005-0000-0000-0000EB1C0000}"/>
    <cellStyle name="Calculation 3 2 3 4 4 2 6" xfId="10789" xr:uid="{00000000-0005-0000-0000-0000EC1C0000}"/>
    <cellStyle name="Calculation 3 2 3 4 4 2 6 2" xfId="10790" xr:uid="{00000000-0005-0000-0000-0000ED1C0000}"/>
    <cellStyle name="Calculation 3 2 3 4 4 2 6 3" xfId="10791" xr:uid="{00000000-0005-0000-0000-0000EE1C0000}"/>
    <cellStyle name="Calculation 3 2 3 4 4 2 7" xfId="10792" xr:uid="{00000000-0005-0000-0000-0000EF1C0000}"/>
    <cellStyle name="Calculation 3 2 3 4 4 2 7 2" xfId="10793" xr:uid="{00000000-0005-0000-0000-0000F01C0000}"/>
    <cellStyle name="Calculation 3 2 3 4 4 2 7 3" xfId="10794" xr:uid="{00000000-0005-0000-0000-0000F11C0000}"/>
    <cellStyle name="Calculation 3 2 3 4 4 2 8" xfId="10795" xr:uid="{00000000-0005-0000-0000-0000F21C0000}"/>
    <cellStyle name="Calculation 3 2 3 4 4 2 9" xfId="10796" xr:uid="{00000000-0005-0000-0000-0000F31C0000}"/>
    <cellStyle name="Calculation 3 2 3 4 4 3" xfId="10797" xr:uid="{00000000-0005-0000-0000-0000F41C0000}"/>
    <cellStyle name="Calculation 3 2 3 4 4 3 2" xfId="10798" xr:uid="{00000000-0005-0000-0000-0000F51C0000}"/>
    <cellStyle name="Calculation 3 2 3 4 4 3 3" xfId="10799" xr:uid="{00000000-0005-0000-0000-0000F61C0000}"/>
    <cellStyle name="Calculation 3 2 3 4 4 4" xfId="10800" xr:uid="{00000000-0005-0000-0000-0000F71C0000}"/>
    <cellStyle name="Calculation 3 2 3 4 4 4 2" xfId="10801" xr:uid="{00000000-0005-0000-0000-0000F81C0000}"/>
    <cellStyle name="Calculation 3 2 3 4 4 4 3" xfId="10802" xr:uid="{00000000-0005-0000-0000-0000F91C0000}"/>
    <cellStyle name="Calculation 3 2 3 4 4 5" xfId="10803" xr:uid="{00000000-0005-0000-0000-0000FA1C0000}"/>
    <cellStyle name="Calculation 3 2 3 4 4 5 2" xfId="10804" xr:uid="{00000000-0005-0000-0000-0000FB1C0000}"/>
    <cellStyle name="Calculation 3 2 3 4 4 5 3" xfId="10805" xr:uid="{00000000-0005-0000-0000-0000FC1C0000}"/>
    <cellStyle name="Calculation 3 2 3 4 4 6" xfId="10806" xr:uid="{00000000-0005-0000-0000-0000FD1C0000}"/>
    <cellStyle name="Calculation 3 2 3 4 4 6 2" xfId="10807" xr:uid="{00000000-0005-0000-0000-0000FE1C0000}"/>
    <cellStyle name="Calculation 3 2 3 4 4 6 3" xfId="10808" xr:uid="{00000000-0005-0000-0000-0000FF1C0000}"/>
    <cellStyle name="Calculation 3 2 3 4 4 7" xfId="10809" xr:uid="{00000000-0005-0000-0000-0000001D0000}"/>
    <cellStyle name="Calculation 3 2 3 4 4 7 2" xfId="10810" xr:uid="{00000000-0005-0000-0000-0000011D0000}"/>
    <cellStyle name="Calculation 3 2 3 4 4 7 3" xfId="10811" xr:uid="{00000000-0005-0000-0000-0000021D0000}"/>
    <cellStyle name="Calculation 3 2 3 4 4 8" xfId="10812" xr:uid="{00000000-0005-0000-0000-0000031D0000}"/>
    <cellStyle name="Calculation 3 2 3 4 4 8 2" xfId="10813" xr:uid="{00000000-0005-0000-0000-0000041D0000}"/>
    <cellStyle name="Calculation 3 2 3 4 4 8 3" xfId="10814" xr:uid="{00000000-0005-0000-0000-0000051D0000}"/>
    <cellStyle name="Calculation 3 2 3 4 4 9" xfId="10815" xr:uid="{00000000-0005-0000-0000-0000061D0000}"/>
    <cellStyle name="Calculation 3 2 3 4 5" xfId="10816" xr:uid="{00000000-0005-0000-0000-0000071D0000}"/>
    <cellStyle name="Calculation 3 2 3 4 5 2" xfId="10817" xr:uid="{00000000-0005-0000-0000-0000081D0000}"/>
    <cellStyle name="Calculation 3 2 3 4 5 2 2" xfId="10818" xr:uid="{00000000-0005-0000-0000-0000091D0000}"/>
    <cellStyle name="Calculation 3 2 3 4 5 2 3" xfId="10819" xr:uid="{00000000-0005-0000-0000-00000A1D0000}"/>
    <cellStyle name="Calculation 3 2 3 4 5 3" xfId="10820" xr:uid="{00000000-0005-0000-0000-00000B1D0000}"/>
    <cellStyle name="Calculation 3 2 3 4 5 3 2" xfId="10821" xr:uid="{00000000-0005-0000-0000-00000C1D0000}"/>
    <cellStyle name="Calculation 3 2 3 4 5 3 3" xfId="10822" xr:uid="{00000000-0005-0000-0000-00000D1D0000}"/>
    <cellStyle name="Calculation 3 2 3 4 5 4" xfId="10823" xr:uid="{00000000-0005-0000-0000-00000E1D0000}"/>
    <cellStyle name="Calculation 3 2 3 4 5 4 2" xfId="10824" xr:uid="{00000000-0005-0000-0000-00000F1D0000}"/>
    <cellStyle name="Calculation 3 2 3 4 5 4 3" xfId="10825" xr:uid="{00000000-0005-0000-0000-0000101D0000}"/>
    <cellStyle name="Calculation 3 2 3 4 5 5" xfId="10826" xr:uid="{00000000-0005-0000-0000-0000111D0000}"/>
    <cellStyle name="Calculation 3 2 3 4 5 5 2" xfId="10827" xr:uid="{00000000-0005-0000-0000-0000121D0000}"/>
    <cellStyle name="Calculation 3 2 3 4 5 5 3" xfId="10828" xr:uid="{00000000-0005-0000-0000-0000131D0000}"/>
    <cellStyle name="Calculation 3 2 3 4 5 6" xfId="10829" xr:uid="{00000000-0005-0000-0000-0000141D0000}"/>
    <cellStyle name="Calculation 3 2 3 4 5 6 2" xfId="10830" xr:uid="{00000000-0005-0000-0000-0000151D0000}"/>
    <cellStyle name="Calculation 3 2 3 4 5 6 3" xfId="10831" xr:uid="{00000000-0005-0000-0000-0000161D0000}"/>
    <cellStyle name="Calculation 3 2 3 4 5 7" xfId="10832" xr:uid="{00000000-0005-0000-0000-0000171D0000}"/>
    <cellStyle name="Calculation 3 2 3 4 5 7 2" xfId="10833" xr:uid="{00000000-0005-0000-0000-0000181D0000}"/>
    <cellStyle name="Calculation 3 2 3 4 5 7 3" xfId="10834" xr:uid="{00000000-0005-0000-0000-0000191D0000}"/>
    <cellStyle name="Calculation 3 2 3 4 5 8" xfId="10835" xr:uid="{00000000-0005-0000-0000-00001A1D0000}"/>
    <cellStyle name="Calculation 3 2 3 4 5 9" xfId="10836" xr:uid="{00000000-0005-0000-0000-00001B1D0000}"/>
    <cellStyle name="Calculation 3 2 3 4 6" xfId="10837" xr:uid="{00000000-0005-0000-0000-00001C1D0000}"/>
    <cellStyle name="Calculation 3 2 3 4 6 2" xfId="10838" xr:uid="{00000000-0005-0000-0000-00001D1D0000}"/>
    <cellStyle name="Calculation 3 2 3 4 6 3" xfId="10839" xr:uid="{00000000-0005-0000-0000-00001E1D0000}"/>
    <cellStyle name="Calculation 3 2 3 4 7" xfId="10840" xr:uid="{00000000-0005-0000-0000-00001F1D0000}"/>
    <cellStyle name="Calculation 3 2 3 4 7 2" xfId="10841" xr:uid="{00000000-0005-0000-0000-0000201D0000}"/>
    <cellStyle name="Calculation 3 2 3 4 7 3" xfId="10842" xr:uid="{00000000-0005-0000-0000-0000211D0000}"/>
    <cellStyle name="Calculation 3 2 3 4 8" xfId="10843" xr:uid="{00000000-0005-0000-0000-0000221D0000}"/>
    <cellStyle name="Calculation 3 2 3 4 8 2" xfId="10844" xr:uid="{00000000-0005-0000-0000-0000231D0000}"/>
    <cellStyle name="Calculation 3 2 3 4 8 3" xfId="10845" xr:uid="{00000000-0005-0000-0000-0000241D0000}"/>
    <cellStyle name="Calculation 3 2 3 4 9" xfId="10846" xr:uid="{00000000-0005-0000-0000-0000251D0000}"/>
    <cellStyle name="Calculation 3 2 3 4 9 2" xfId="10847" xr:uid="{00000000-0005-0000-0000-0000261D0000}"/>
    <cellStyle name="Calculation 3 2 3 4 9 3" xfId="10848" xr:uid="{00000000-0005-0000-0000-0000271D0000}"/>
    <cellStyle name="Calculation 3 2 3 5" xfId="10849" xr:uid="{00000000-0005-0000-0000-0000281D0000}"/>
    <cellStyle name="Calculation 3 2 3 5 10" xfId="44005" xr:uid="{00000000-0005-0000-0000-0000291D0000}"/>
    <cellStyle name="Calculation 3 2 3 5 2" xfId="10850" xr:uid="{00000000-0005-0000-0000-00002A1D0000}"/>
    <cellStyle name="Calculation 3 2 3 5 2 10" xfId="10851" xr:uid="{00000000-0005-0000-0000-00002B1D0000}"/>
    <cellStyle name="Calculation 3 2 3 5 2 2" xfId="10852" xr:uid="{00000000-0005-0000-0000-00002C1D0000}"/>
    <cellStyle name="Calculation 3 2 3 5 2 2 2" xfId="10853" xr:uid="{00000000-0005-0000-0000-00002D1D0000}"/>
    <cellStyle name="Calculation 3 2 3 5 2 2 2 2" xfId="10854" xr:uid="{00000000-0005-0000-0000-00002E1D0000}"/>
    <cellStyle name="Calculation 3 2 3 5 2 2 2 3" xfId="10855" xr:uid="{00000000-0005-0000-0000-00002F1D0000}"/>
    <cellStyle name="Calculation 3 2 3 5 2 2 3" xfId="10856" xr:uid="{00000000-0005-0000-0000-0000301D0000}"/>
    <cellStyle name="Calculation 3 2 3 5 2 2 3 2" xfId="10857" xr:uid="{00000000-0005-0000-0000-0000311D0000}"/>
    <cellStyle name="Calculation 3 2 3 5 2 2 3 3" xfId="10858" xr:uid="{00000000-0005-0000-0000-0000321D0000}"/>
    <cellStyle name="Calculation 3 2 3 5 2 2 4" xfId="10859" xr:uid="{00000000-0005-0000-0000-0000331D0000}"/>
    <cellStyle name="Calculation 3 2 3 5 2 2 4 2" xfId="10860" xr:uid="{00000000-0005-0000-0000-0000341D0000}"/>
    <cellStyle name="Calculation 3 2 3 5 2 2 4 3" xfId="10861" xr:uid="{00000000-0005-0000-0000-0000351D0000}"/>
    <cellStyle name="Calculation 3 2 3 5 2 2 5" xfId="10862" xr:uid="{00000000-0005-0000-0000-0000361D0000}"/>
    <cellStyle name="Calculation 3 2 3 5 2 2 5 2" xfId="10863" xr:uid="{00000000-0005-0000-0000-0000371D0000}"/>
    <cellStyle name="Calculation 3 2 3 5 2 2 5 3" xfId="10864" xr:uid="{00000000-0005-0000-0000-0000381D0000}"/>
    <cellStyle name="Calculation 3 2 3 5 2 2 6" xfId="10865" xr:uid="{00000000-0005-0000-0000-0000391D0000}"/>
    <cellStyle name="Calculation 3 2 3 5 2 2 6 2" xfId="10866" xr:uid="{00000000-0005-0000-0000-00003A1D0000}"/>
    <cellStyle name="Calculation 3 2 3 5 2 2 6 3" xfId="10867" xr:uid="{00000000-0005-0000-0000-00003B1D0000}"/>
    <cellStyle name="Calculation 3 2 3 5 2 2 7" xfId="10868" xr:uid="{00000000-0005-0000-0000-00003C1D0000}"/>
    <cellStyle name="Calculation 3 2 3 5 2 2 7 2" xfId="10869" xr:uid="{00000000-0005-0000-0000-00003D1D0000}"/>
    <cellStyle name="Calculation 3 2 3 5 2 2 7 3" xfId="10870" xr:uid="{00000000-0005-0000-0000-00003E1D0000}"/>
    <cellStyle name="Calculation 3 2 3 5 2 2 8" xfId="10871" xr:uid="{00000000-0005-0000-0000-00003F1D0000}"/>
    <cellStyle name="Calculation 3 2 3 5 2 2 9" xfId="10872" xr:uid="{00000000-0005-0000-0000-0000401D0000}"/>
    <cellStyle name="Calculation 3 2 3 5 2 3" xfId="10873" xr:uid="{00000000-0005-0000-0000-0000411D0000}"/>
    <cellStyle name="Calculation 3 2 3 5 2 3 2" xfId="10874" xr:uid="{00000000-0005-0000-0000-0000421D0000}"/>
    <cellStyle name="Calculation 3 2 3 5 2 3 3" xfId="10875" xr:uid="{00000000-0005-0000-0000-0000431D0000}"/>
    <cellStyle name="Calculation 3 2 3 5 2 4" xfId="10876" xr:uid="{00000000-0005-0000-0000-0000441D0000}"/>
    <cellStyle name="Calculation 3 2 3 5 2 4 2" xfId="10877" xr:uid="{00000000-0005-0000-0000-0000451D0000}"/>
    <cellStyle name="Calculation 3 2 3 5 2 4 3" xfId="10878" xr:uid="{00000000-0005-0000-0000-0000461D0000}"/>
    <cellStyle name="Calculation 3 2 3 5 2 5" xfId="10879" xr:uid="{00000000-0005-0000-0000-0000471D0000}"/>
    <cellStyle name="Calculation 3 2 3 5 2 5 2" xfId="10880" xr:uid="{00000000-0005-0000-0000-0000481D0000}"/>
    <cellStyle name="Calculation 3 2 3 5 2 5 3" xfId="10881" xr:uid="{00000000-0005-0000-0000-0000491D0000}"/>
    <cellStyle name="Calculation 3 2 3 5 2 6" xfId="10882" xr:uid="{00000000-0005-0000-0000-00004A1D0000}"/>
    <cellStyle name="Calculation 3 2 3 5 2 6 2" xfId="10883" xr:uid="{00000000-0005-0000-0000-00004B1D0000}"/>
    <cellStyle name="Calculation 3 2 3 5 2 6 3" xfId="10884" xr:uid="{00000000-0005-0000-0000-00004C1D0000}"/>
    <cellStyle name="Calculation 3 2 3 5 2 7" xfId="10885" xr:uid="{00000000-0005-0000-0000-00004D1D0000}"/>
    <cellStyle name="Calculation 3 2 3 5 2 7 2" xfId="10886" xr:uid="{00000000-0005-0000-0000-00004E1D0000}"/>
    <cellStyle name="Calculation 3 2 3 5 2 7 3" xfId="10887" xr:uid="{00000000-0005-0000-0000-00004F1D0000}"/>
    <cellStyle name="Calculation 3 2 3 5 2 8" xfId="10888" xr:uid="{00000000-0005-0000-0000-0000501D0000}"/>
    <cellStyle name="Calculation 3 2 3 5 2 8 2" xfId="10889" xr:uid="{00000000-0005-0000-0000-0000511D0000}"/>
    <cellStyle name="Calculation 3 2 3 5 2 8 3" xfId="10890" xr:uid="{00000000-0005-0000-0000-0000521D0000}"/>
    <cellStyle name="Calculation 3 2 3 5 2 9" xfId="10891" xr:uid="{00000000-0005-0000-0000-0000531D0000}"/>
    <cellStyle name="Calculation 3 2 3 5 3" xfId="10892" xr:uid="{00000000-0005-0000-0000-0000541D0000}"/>
    <cellStyle name="Calculation 3 2 3 5 3 10" xfId="10893" xr:uid="{00000000-0005-0000-0000-0000551D0000}"/>
    <cellStyle name="Calculation 3 2 3 5 3 2" xfId="10894" xr:uid="{00000000-0005-0000-0000-0000561D0000}"/>
    <cellStyle name="Calculation 3 2 3 5 3 2 2" xfId="10895" xr:uid="{00000000-0005-0000-0000-0000571D0000}"/>
    <cellStyle name="Calculation 3 2 3 5 3 2 2 2" xfId="10896" xr:uid="{00000000-0005-0000-0000-0000581D0000}"/>
    <cellStyle name="Calculation 3 2 3 5 3 2 2 3" xfId="10897" xr:uid="{00000000-0005-0000-0000-0000591D0000}"/>
    <cellStyle name="Calculation 3 2 3 5 3 2 3" xfId="10898" xr:uid="{00000000-0005-0000-0000-00005A1D0000}"/>
    <cellStyle name="Calculation 3 2 3 5 3 2 3 2" xfId="10899" xr:uid="{00000000-0005-0000-0000-00005B1D0000}"/>
    <cellStyle name="Calculation 3 2 3 5 3 2 3 3" xfId="10900" xr:uid="{00000000-0005-0000-0000-00005C1D0000}"/>
    <cellStyle name="Calculation 3 2 3 5 3 2 4" xfId="10901" xr:uid="{00000000-0005-0000-0000-00005D1D0000}"/>
    <cellStyle name="Calculation 3 2 3 5 3 2 4 2" xfId="10902" xr:uid="{00000000-0005-0000-0000-00005E1D0000}"/>
    <cellStyle name="Calculation 3 2 3 5 3 2 4 3" xfId="10903" xr:uid="{00000000-0005-0000-0000-00005F1D0000}"/>
    <cellStyle name="Calculation 3 2 3 5 3 2 5" xfId="10904" xr:uid="{00000000-0005-0000-0000-0000601D0000}"/>
    <cellStyle name="Calculation 3 2 3 5 3 2 5 2" xfId="10905" xr:uid="{00000000-0005-0000-0000-0000611D0000}"/>
    <cellStyle name="Calculation 3 2 3 5 3 2 5 3" xfId="10906" xr:uid="{00000000-0005-0000-0000-0000621D0000}"/>
    <cellStyle name="Calculation 3 2 3 5 3 2 6" xfId="10907" xr:uid="{00000000-0005-0000-0000-0000631D0000}"/>
    <cellStyle name="Calculation 3 2 3 5 3 2 6 2" xfId="10908" xr:uid="{00000000-0005-0000-0000-0000641D0000}"/>
    <cellStyle name="Calculation 3 2 3 5 3 2 6 3" xfId="10909" xr:uid="{00000000-0005-0000-0000-0000651D0000}"/>
    <cellStyle name="Calculation 3 2 3 5 3 2 7" xfId="10910" xr:uid="{00000000-0005-0000-0000-0000661D0000}"/>
    <cellStyle name="Calculation 3 2 3 5 3 2 7 2" xfId="10911" xr:uid="{00000000-0005-0000-0000-0000671D0000}"/>
    <cellStyle name="Calculation 3 2 3 5 3 2 7 3" xfId="10912" xr:uid="{00000000-0005-0000-0000-0000681D0000}"/>
    <cellStyle name="Calculation 3 2 3 5 3 2 8" xfId="10913" xr:uid="{00000000-0005-0000-0000-0000691D0000}"/>
    <cellStyle name="Calculation 3 2 3 5 3 2 9" xfId="10914" xr:uid="{00000000-0005-0000-0000-00006A1D0000}"/>
    <cellStyle name="Calculation 3 2 3 5 3 3" xfId="10915" xr:uid="{00000000-0005-0000-0000-00006B1D0000}"/>
    <cellStyle name="Calculation 3 2 3 5 3 3 2" xfId="10916" xr:uid="{00000000-0005-0000-0000-00006C1D0000}"/>
    <cellStyle name="Calculation 3 2 3 5 3 3 3" xfId="10917" xr:uid="{00000000-0005-0000-0000-00006D1D0000}"/>
    <cellStyle name="Calculation 3 2 3 5 3 4" xfId="10918" xr:uid="{00000000-0005-0000-0000-00006E1D0000}"/>
    <cellStyle name="Calculation 3 2 3 5 3 4 2" xfId="10919" xr:uid="{00000000-0005-0000-0000-00006F1D0000}"/>
    <cellStyle name="Calculation 3 2 3 5 3 4 3" xfId="10920" xr:uid="{00000000-0005-0000-0000-0000701D0000}"/>
    <cellStyle name="Calculation 3 2 3 5 3 5" xfId="10921" xr:uid="{00000000-0005-0000-0000-0000711D0000}"/>
    <cellStyle name="Calculation 3 2 3 5 3 5 2" xfId="10922" xr:uid="{00000000-0005-0000-0000-0000721D0000}"/>
    <cellStyle name="Calculation 3 2 3 5 3 5 3" xfId="10923" xr:uid="{00000000-0005-0000-0000-0000731D0000}"/>
    <cellStyle name="Calculation 3 2 3 5 3 6" xfId="10924" xr:uid="{00000000-0005-0000-0000-0000741D0000}"/>
    <cellStyle name="Calculation 3 2 3 5 3 6 2" xfId="10925" xr:uid="{00000000-0005-0000-0000-0000751D0000}"/>
    <cellStyle name="Calculation 3 2 3 5 3 6 3" xfId="10926" xr:uid="{00000000-0005-0000-0000-0000761D0000}"/>
    <cellStyle name="Calculation 3 2 3 5 3 7" xfId="10927" xr:uid="{00000000-0005-0000-0000-0000771D0000}"/>
    <cellStyle name="Calculation 3 2 3 5 3 7 2" xfId="10928" xr:uid="{00000000-0005-0000-0000-0000781D0000}"/>
    <cellStyle name="Calculation 3 2 3 5 3 7 3" xfId="10929" xr:uid="{00000000-0005-0000-0000-0000791D0000}"/>
    <cellStyle name="Calculation 3 2 3 5 3 8" xfId="10930" xr:uid="{00000000-0005-0000-0000-00007A1D0000}"/>
    <cellStyle name="Calculation 3 2 3 5 3 8 2" xfId="10931" xr:uid="{00000000-0005-0000-0000-00007B1D0000}"/>
    <cellStyle name="Calculation 3 2 3 5 3 8 3" xfId="10932" xr:uid="{00000000-0005-0000-0000-00007C1D0000}"/>
    <cellStyle name="Calculation 3 2 3 5 3 9" xfId="10933" xr:uid="{00000000-0005-0000-0000-00007D1D0000}"/>
    <cellStyle name="Calculation 3 2 3 5 4" xfId="10934" xr:uid="{00000000-0005-0000-0000-00007E1D0000}"/>
    <cellStyle name="Calculation 3 2 3 5 4 10" xfId="10935" xr:uid="{00000000-0005-0000-0000-00007F1D0000}"/>
    <cellStyle name="Calculation 3 2 3 5 4 2" xfId="10936" xr:uid="{00000000-0005-0000-0000-0000801D0000}"/>
    <cellStyle name="Calculation 3 2 3 5 4 2 2" xfId="10937" xr:uid="{00000000-0005-0000-0000-0000811D0000}"/>
    <cellStyle name="Calculation 3 2 3 5 4 2 2 2" xfId="10938" xr:uid="{00000000-0005-0000-0000-0000821D0000}"/>
    <cellStyle name="Calculation 3 2 3 5 4 2 2 3" xfId="10939" xr:uid="{00000000-0005-0000-0000-0000831D0000}"/>
    <cellStyle name="Calculation 3 2 3 5 4 2 3" xfId="10940" xr:uid="{00000000-0005-0000-0000-0000841D0000}"/>
    <cellStyle name="Calculation 3 2 3 5 4 2 3 2" xfId="10941" xr:uid="{00000000-0005-0000-0000-0000851D0000}"/>
    <cellStyle name="Calculation 3 2 3 5 4 2 3 3" xfId="10942" xr:uid="{00000000-0005-0000-0000-0000861D0000}"/>
    <cellStyle name="Calculation 3 2 3 5 4 2 4" xfId="10943" xr:uid="{00000000-0005-0000-0000-0000871D0000}"/>
    <cellStyle name="Calculation 3 2 3 5 4 2 4 2" xfId="10944" xr:uid="{00000000-0005-0000-0000-0000881D0000}"/>
    <cellStyle name="Calculation 3 2 3 5 4 2 4 3" xfId="10945" xr:uid="{00000000-0005-0000-0000-0000891D0000}"/>
    <cellStyle name="Calculation 3 2 3 5 4 2 5" xfId="10946" xr:uid="{00000000-0005-0000-0000-00008A1D0000}"/>
    <cellStyle name="Calculation 3 2 3 5 4 2 5 2" xfId="10947" xr:uid="{00000000-0005-0000-0000-00008B1D0000}"/>
    <cellStyle name="Calculation 3 2 3 5 4 2 5 3" xfId="10948" xr:uid="{00000000-0005-0000-0000-00008C1D0000}"/>
    <cellStyle name="Calculation 3 2 3 5 4 2 6" xfId="10949" xr:uid="{00000000-0005-0000-0000-00008D1D0000}"/>
    <cellStyle name="Calculation 3 2 3 5 4 2 6 2" xfId="10950" xr:uid="{00000000-0005-0000-0000-00008E1D0000}"/>
    <cellStyle name="Calculation 3 2 3 5 4 2 6 3" xfId="10951" xr:uid="{00000000-0005-0000-0000-00008F1D0000}"/>
    <cellStyle name="Calculation 3 2 3 5 4 2 7" xfId="10952" xr:uid="{00000000-0005-0000-0000-0000901D0000}"/>
    <cellStyle name="Calculation 3 2 3 5 4 2 7 2" xfId="10953" xr:uid="{00000000-0005-0000-0000-0000911D0000}"/>
    <cellStyle name="Calculation 3 2 3 5 4 2 7 3" xfId="10954" xr:uid="{00000000-0005-0000-0000-0000921D0000}"/>
    <cellStyle name="Calculation 3 2 3 5 4 2 8" xfId="10955" xr:uid="{00000000-0005-0000-0000-0000931D0000}"/>
    <cellStyle name="Calculation 3 2 3 5 4 2 9" xfId="10956" xr:uid="{00000000-0005-0000-0000-0000941D0000}"/>
    <cellStyle name="Calculation 3 2 3 5 4 3" xfId="10957" xr:uid="{00000000-0005-0000-0000-0000951D0000}"/>
    <cellStyle name="Calculation 3 2 3 5 4 3 2" xfId="10958" xr:uid="{00000000-0005-0000-0000-0000961D0000}"/>
    <cellStyle name="Calculation 3 2 3 5 4 3 3" xfId="10959" xr:uid="{00000000-0005-0000-0000-0000971D0000}"/>
    <cellStyle name="Calculation 3 2 3 5 4 4" xfId="10960" xr:uid="{00000000-0005-0000-0000-0000981D0000}"/>
    <cellStyle name="Calculation 3 2 3 5 4 4 2" xfId="10961" xr:uid="{00000000-0005-0000-0000-0000991D0000}"/>
    <cellStyle name="Calculation 3 2 3 5 4 4 3" xfId="10962" xr:uid="{00000000-0005-0000-0000-00009A1D0000}"/>
    <cellStyle name="Calculation 3 2 3 5 4 5" xfId="10963" xr:uid="{00000000-0005-0000-0000-00009B1D0000}"/>
    <cellStyle name="Calculation 3 2 3 5 4 5 2" xfId="10964" xr:uid="{00000000-0005-0000-0000-00009C1D0000}"/>
    <cellStyle name="Calculation 3 2 3 5 4 5 3" xfId="10965" xr:uid="{00000000-0005-0000-0000-00009D1D0000}"/>
    <cellStyle name="Calculation 3 2 3 5 4 6" xfId="10966" xr:uid="{00000000-0005-0000-0000-00009E1D0000}"/>
    <cellStyle name="Calculation 3 2 3 5 4 6 2" xfId="10967" xr:uid="{00000000-0005-0000-0000-00009F1D0000}"/>
    <cellStyle name="Calculation 3 2 3 5 4 6 3" xfId="10968" xr:uid="{00000000-0005-0000-0000-0000A01D0000}"/>
    <cellStyle name="Calculation 3 2 3 5 4 7" xfId="10969" xr:uid="{00000000-0005-0000-0000-0000A11D0000}"/>
    <cellStyle name="Calculation 3 2 3 5 4 7 2" xfId="10970" xr:uid="{00000000-0005-0000-0000-0000A21D0000}"/>
    <cellStyle name="Calculation 3 2 3 5 4 7 3" xfId="10971" xr:uid="{00000000-0005-0000-0000-0000A31D0000}"/>
    <cellStyle name="Calculation 3 2 3 5 4 8" xfId="10972" xr:uid="{00000000-0005-0000-0000-0000A41D0000}"/>
    <cellStyle name="Calculation 3 2 3 5 4 8 2" xfId="10973" xr:uid="{00000000-0005-0000-0000-0000A51D0000}"/>
    <cellStyle name="Calculation 3 2 3 5 4 8 3" xfId="10974" xr:uid="{00000000-0005-0000-0000-0000A61D0000}"/>
    <cellStyle name="Calculation 3 2 3 5 4 9" xfId="10975" xr:uid="{00000000-0005-0000-0000-0000A71D0000}"/>
    <cellStyle name="Calculation 3 2 3 5 5" xfId="10976" xr:uid="{00000000-0005-0000-0000-0000A81D0000}"/>
    <cellStyle name="Calculation 3 2 3 5 5 2" xfId="10977" xr:uid="{00000000-0005-0000-0000-0000A91D0000}"/>
    <cellStyle name="Calculation 3 2 3 5 5 2 2" xfId="10978" xr:uid="{00000000-0005-0000-0000-0000AA1D0000}"/>
    <cellStyle name="Calculation 3 2 3 5 5 2 3" xfId="10979" xr:uid="{00000000-0005-0000-0000-0000AB1D0000}"/>
    <cellStyle name="Calculation 3 2 3 5 5 3" xfId="10980" xr:uid="{00000000-0005-0000-0000-0000AC1D0000}"/>
    <cellStyle name="Calculation 3 2 3 5 5 3 2" xfId="10981" xr:uid="{00000000-0005-0000-0000-0000AD1D0000}"/>
    <cellStyle name="Calculation 3 2 3 5 5 3 3" xfId="10982" xr:uid="{00000000-0005-0000-0000-0000AE1D0000}"/>
    <cellStyle name="Calculation 3 2 3 5 5 4" xfId="10983" xr:uid="{00000000-0005-0000-0000-0000AF1D0000}"/>
    <cellStyle name="Calculation 3 2 3 5 5 4 2" xfId="10984" xr:uid="{00000000-0005-0000-0000-0000B01D0000}"/>
    <cellStyle name="Calculation 3 2 3 5 5 4 3" xfId="10985" xr:uid="{00000000-0005-0000-0000-0000B11D0000}"/>
    <cellStyle name="Calculation 3 2 3 5 5 5" xfId="10986" xr:uid="{00000000-0005-0000-0000-0000B21D0000}"/>
    <cellStyle name="Calculation 3 2 3 5 5 5 2" xfId="10987" xr:uid="{00000000-0005-0000-0000-0000B31D0000}"/>
    <cellStyle name="Calculation 3 2 3 5 5 5 3" xfId="10988" xr:uid="{00000000-0005-0000-0000-0000B41D0000}"/>
    <cellStyle name="Calculation 3 2 3 5 5 6" xfId="10989" xr:uid="{00000000-0005-0000-0000-0000B51D0000}"/>
    <cellStyle name="Calculation 3 2 3 5 5 6 2" xfId="10990" xr:uid="{00000000-0005-0000-0000-0000B61D0000}"/>
    <cellStyle name="Calculation 3 2 3 5 5 6 3" xfId="10991" xr:uid="{00000000-0005-0000-0000-0000B71D0000}"/>
    <cellStyle name="Calculation 3 2 3 5 5 7" xfId="10992" xr:uid="{00000000-0005-0000-0000-0000B81D0000}"/>
    <cellStyle name="Calculation 3 2 3 5 5 7 2" xfId="10993" xr:uid="{00000000-0005-0000-0000-0000B91D0000}"/>
    <cellStyle name="Calculation 3 2 3 5 5 7 3" xfId="10994" xr:uid="{00000000-0005-0000-0000-0000BA1D0000}"/>
    <cellStyle name="Calculation 3 2 3 5 5 8" xfId="10995" xr:uid="{00000000-0005-0000-0000-0000BB1D0000}"/>
    <cellStyle name="Calculation 3 2 3 5 5 9" xfId="10996" xr:uid="{00000000-0005-0000-0000-0000BC1D0000}"/>
    <cellStyle name="Calculation 3 2 3 5 6" xfId="10997" xr:uid="{00000000-0005-0000-0000-0000BD1D0000}"/>
    <cellStyle name="Calculation 3 2 3 5 6 2" xfId="10998" xr:uid="{00000000-0005-0000-0000-0000BE1D0000}"/>
    <cellStyle name="Calculation 3 2 3 5 6 3" xfId="10999" xr:uid="{00000000-0005-0000-0000-0000BF1D0000}"/>
    <cellStyle name="Calculation 3 2 3 5 7" xfId="11000" xr:uid="{00000000-0005-0000-0000-0000C01D0000}"/>
    <cellStyle name="Calculation 3 2 3 5 7 2" xfId="11001" xr:uid="{00000000-0005-0000-0000-0000C11D0000}"/>
    <cellStyle name="Calculation 3 2 3 5 7 3" xfId="11002" xr:uid="{00000000-0005-0000-0000-0000C21D0000}"/>
    <cellStyle name="Calculation 3 2 3 5 8" xfId="11003" xr:uid="{00000000-0005-0000-0000-0000C31D0000}"/>
    <cellStyle name="Calculation 3 2 3 5 8 2" xfId="11004" xr:uid="{00000000-0005-0000-0000-0000C41D0000}"/>
    <cellStyle name="Calculation 3 2 3 5 8 3" xfId="11005" xr:uid="{00000000-0005-0000-0000-0000C51D0000}"/>
    <cellStyle name="Calculation 3 2 3 5 9" xfId="11006" xr:uid="{00000000-0005-0000-0000-0000C61D0000}"/>
    <cellStyle name="Calculation 3 2 3 5 9 2" xfId="11007" xr:uid="{00000000-0005-0000-0000-0000C71D0000}"/>
    <cellStyle name="Calculation 3 2 3 5 9 3" xfId="11008" xr:uid="{00000000-0005-0000-0000-0000C81D0000}"/>
    <cellStyle name="Calculation 3 2 3 6" xfId="11009" xr:uid="{00000000-0005-0000-0000-0000C91D0000}"/>
    <cellStyle name="Calculation 3 2 3 6 10" xfId="11010" xr:uid="{00000000-0005-0000-0000-0000CA1D0000}"/>
    <cellStyle name="Calculation 3 2 3 6 2" xfId="11011" xr:uid="{00000000-0005-0000-0000-0000CB1D0000}"/>
    <cellStyle name="Calculation 3 2 3 6 2 2" xfId="11012" xr:uid="{00000000-0005-0000-0000-0000CC1D0000}"/>
    <cellStyle name="Calculation 3 2 3 6 2 2 2" xfId="11013" xr:uid="{00000000-0005-0000-0000-0000CD1D0000}"/>
    <cellStyle name="Calculation 3 2 3 6 2 2 3" xfId="11014" xr:uid="{00000000-0005-0000-0000-0000CE1D0000}"/>
    <cellStyle name="Calculation 3 2 3 6 2 3" xfId="11015" xr:uid="{00000000-0005-0000-0000-0000CF1D0000}"/>
    <cellStyle name="Calculation 3 2 3 6 2 3 2" xfId="11016" xr:uid="{00000000-0005-0000-0000-0000D01D0000}"/>
    <cellStyle name="Calculation 3 2 3 6 2 3 3" xfId="11017" xr:uid="{00000000-0005-0000-0000-0000D11D0000}"/>
    <cellStyle name="Calculation 3 2 3 6 2 4" xfId="11018" xr:uid="{00000000-0005-0000-0000-0000D21D0000}"/>
    <cellStyle name="Calculation 3 2 3 6 2 4 2" xfId="11019" xr:uid="{00000000-0005-0000-0000-0000D31D0000}"/>
    <cellStyle name="Calculation 3 2 3 6 2 4 3" xfId="11020" xr:uid="{00000000-0005-0000-0000-0000D41D0000}"/>
    <cellStyle name="Calculation 3 2 3 6 2 5" xfId="11021" xr:uid="{00000000-0005-0000-0000-0000D51D0000}"/>
    <cellStyle name="Calculation 3 2 3 6 2 5 2" xfId="11022" xr:uid="{00000000-0005-0000-0000-0000D61D0000}"/>
    <cellStyle name="Calculation 3 2 3 6 2 5 3" xfId="11023" xr:uid="{00000000-0005-0000-0000-0000D71D0000}"/>
    <cellStyle name="Calculation 3 2 3 6 2 6" xfId="11024" xr:uid="{00000000-0005-0000-0000-0000D81D0000}"/>
    <cellStyle name="Calculation 3 2 3 6 2 6 2" xfId="11025" xr:uid="{00000000-0005-0000-0000-0000D91D0000}"/>
    <cellStyle name="Calculation 3 2 3 6 2 6 3" xfId="11026" xr:uid="{00000000-0005-0000-0000-0000DA1D0000}"/>
    <cellStyle name="Calculation 3 2 3 6 2 7" xfId="11027" xr:uid="{00000000-0005-0000-0000-0000DB1D0000}"/>
    <cellStyle name="Calculation 3 2 3 6 2 7 2" xfId="11028" xr:uid="{00000000-0005-0000-0000-0000DC1D0000}"/>
    <cellStyle name="Calculation 3 2 3 6 2 7 3" xfId="11029" xr:uid="{00000000-0005-0000-0000-0000DD1D0000}"/>
    <cellStyle name="Calculation 3 2 3 6 2 8" xfId="11030" xr:uid="{00000000-0005-0000-0000-0000DE1D0000}"/>
    <cellStyle name="Calculation 3 2 3 6 2 9" xfId="11031" xr:uid="{00000000-0005-0000-0000-0000DF1D0000}"/>
    <cellStyle name="Calculation 3 2 3 6 3" xfId="11032" xr:uid="{00000000-0005-0000-0000-0000E01D0000}"/>
    <cellStyle name="Calculation 3 2 3 6 3 2" xfId="11033" xr:uid="{00000000-0005-0000-0000-0000E11D0000}"/>
    <cellStyle name="Calculation 3 2 3 6 3 3" xfId="11034" xr:uid="{00000000-0005-0000-0000-0000E21D0000}"/>
    <cellStyle name="Calculation 3 2 3 6 4" xfId="11035" xr:uid="{00000000-0005-0000-0000-0000E31D0000}"/>
    <cellStyle name="Calculation 3 2 3 6 4 2" xfId="11036" xr:uid="{00000000-0005-0000-0000-0000E41D0000}"/>
    <cellStyle name="Calculation 3 2 3 6 4 3" xfId="11037" xr:uid="{00000000-0005-0000-0000-0000E51D0000}"/>
    <cellStyle name="Calculation 3 2 3 6 5" xfId="11038" xr:uid="{00000000-0005-0000-0000-0000E61D0000}"/>
    <cellStyle name="Calculation 3 2 3 6 5 2" xfId="11039" xr:uid="{00000000-0005-0000-0000-0000E71D0000}"/>
    <cellStyle name="Calculation 3 2 3 6 5 3" xfId="11040" xr:uid="{00000000-0005-0000-0000-0000E81D0000}"/>
    <cellStyle name="Calculation 3 2 3 6 6" xfId="11041" xr:uid="{00000000-0005-0000-0000-0000E91D0000}"/>
    <cellStyle name="Calculation 3 2 3 6 6 2" xfId="11042" xr:uid="{00000000-0005-0000-0000-0000EA1D0000}"/>
    <cellStyle name="Calculation 3 2 3 6 6 3" xfId="11043" xr:uid="{00000000-0005-0000-0000-0000EB1D0000}"/>
    <cellStyle name="Calculation 3 2 3 6 7" xfId="11044" xr:uid="{00000000-0005-0000-0000-0000EC1D0000}"/>
    <cellStyle name="Calculation 3 2 3 6 7 2" xfId="11045" xr:uid="{00000000-0005-0000-0000-0000ED1D0000}"/>
    <cellStyle name="Calculation 3 2 3 6 7 3" xfId="11046" xr:uid="{00000000-0005-0000-0000-0000EE1D0000}"/>
    <cellStyle name="Calculation 3 2 3 6 8" xfId="11047" xr:uid="{00000000-0005-0000-0000-0000EF1D0000}"/>
    <cellStyle name="Calculation 3 2 3 6 8 2" xfId="11048" xr:uid="{00000000-0005-0000-0000-0000F01D0000}"/>
    <cellStyle name="Calculation 3 2 3 6 8 3" xfId="11049" xr:uid="{00000000-0005-0000-0000-0000F11D0000}"/>
    <cellStyle name="Calculation 3 2 3 6 9" xfId="11050" xr:uid="{00000000-0005-0000-0000-0000F21D0000}"/>
    <cellStyle name="Calculation 3 2 3 7" xfId="11051" xr:uid="{00000000-0005-0000-0000-0000F31D0000}"/>
    <cellStyle name="Calculation 3 2 3 7 10" xfId="11052" xr:uid="{00000000-0005-0000-0000-0000F41D0000}"/>
    <cellStyle name="Calculation 3 2 3 7 2" xfId="11053" xr:uid="{00000000-0005-0000-0000-0000F51D0000}"/>
    <cellStyle name="Calculation 3 2 3 7 2 2" xfId="11054" xr:uid="{00000000-0005-0000-0000-0000F61D0000}"/>
    <cellStyle name="Calculation 3 2 3 7 2 2 2" xfId="11055" xr:uid="{00000000-0005-0000-0000-0000F71D0000}"/>
    <cellStyle name="Calculation 3 2 3 7 2 2 3" xfId="11056" xr:uid="{00000000-0005-0000-0000-0000F81D0000}"/>
    <cellStyle name="Calculation 3 2 3 7 2 3" xfId="11057" xr:uid="{00000000-0005-0000-0000-0000F91D0000}"/>
    <cellStyle name="Calculation 3 2 3 7 2 3 2" xfId="11058" xr:uid="{00000000-0005-0000-0000-0000FA1D0000}"/>
    <cellStyle name="Calculation 3 2 3 7 2 3 3" xfId="11059" xr:uid="{00000000-0005-0000-0000-0000FB1D0000}"/>
    <cellStyle name="Calculation 3 2 3 7 2 4" xfId="11060" xr:uid="{00000000-0005-0000-0000-0000FC1D0000}"/>
    <cellStyle name="Calculation 3 2 3 7 2 4 2" xfId="11061" xr:uid="{00000000-0005-0000-0000-0000FD1D0000}"/>
    <cellStyle name="Calculation 3 2 3 7 2 4 3" xfId="11062" xr:uid="{00000000-0005-0000-0000-0000FE1D0000}"/>
    <cellStyle name="Calculation 3 2 3 7 2 5" xfId="11063" xr:uid="{00000000-0005-0000-0000-0000FF1D0000}"/>
    <cellStyle name="Calculation 3 2 3 7 2 5 2" xfId="11064" xr:uid="{00000000-0005-0000-0000-0000001E0000}"/>
    <cellStyle name="Calculation 3 2 3 7 2 5 3" xfId="11065" xr:uid="{00000000-0005-0000-0000-0000011E0000}"/>
    <cellStyle name="Calculation 3 2 3 7 2 6" xfId="11066" xr:uid="{00000000-0005-0000-0000-0000021E0000}"/>
    <cellStyle name="Calculation 3 2 3 7 2 6 2" xfId="11067" xr:uid="{00000000-0005-0000-0000-0000031E0000}"/>
    <cellStyle name="Calculation 3 2 3 7 2 6 3" xfId="11068" xr:uid="{00000000-0005-0000-0000-0000041E0000}"/>
    <cellStyle name="Calculation 3 2 3 7 2 7" xfId="11069" xr:uid="{00000000-0005-0000-0000-0000051E0000}"/>
    <cellStyle name="Calculation 3 2 3 7 2 7 2" xfId="11070" xr:uid="{00000000-0005-0000-0000-0000061E0000}"/>
    <cellStyle name="Calculation 3 2 3 7 2 7 3" xfId="11071" xr:uid="{00000000-0005-0000-0000-0000071E0000}"/>
    <cellStyle name="Calculation 3 2 3 7 2 8" xfId="11072" xr:uid="{00000000-0005-0000-0000-0000081E0000}"/>
    <cellStyle name="Calculation 3 2 3 7 2 9" xfId="11073" xr:uid="{00000000-0005-0000-0000-0000091E0000}"/>
    <cellStyle name="Calculation 3 2 3 7 3" xfId="11074" xr:uid="{00000000-0005-0000-0000-00000A1E0000}"/>
    <cellStyle name="Calculation 3 2 3 7 3 2" xfId="11075" xr:uid="{00000000-0005-0000-0000-00000B1E0000}"/>
    <cellStyle name="Calculation 3 2 3 7 3 3" xfId="11076" xr:uid="{00000000-0005-0000-0000-00000C1E0000}"/>
    <cellStyle name="Calculation 3 2 3 7 4" xfId="11077" xr:uid="{00000000-0005-0000-0000-00000D1E0000}"/>
    <cellStyle name="Calculation 3 2 3 7 4 2" xfId="11078" xr:uid="{00000000-0005-0000-0000-00000E1E0000}"/>
    <cellStyle name="Calculation 3 2 3 7 4 3" xfId="11079" xr:uid="{00000000-0005-0000-0000-00000F1E0000}"/>
    <cellStyle name="Calculation 3 2 3 7 5" xfId="11080" xr:uid="{00000000-0005-0000-0000-0000101E0000}"/>
    <cellStyle name="Calculation 3 2 3 7 5 2" xfId="11081" xr:uid="{00000000-0005-0000-0000-0000111E0000}"/>
    <cellStyle name="Calculation 3 2 3 7 5 3" xfId="11082" xr:uid="{00000000-0005-0000-0000-0000121E0000}"/>
    <cellStyle name="Calculation 3 2 3 7 6" xfId="11083" xr:uid="{00000000-0005-0000-0000-0000131E0000}"/>
    <cellStyle name="Calculation 3 2 3 7 6 2" xfId="11084" xr:uid="{00000000-0005-0000-0000-0000141E0000}"/>
    <cellStyle name="Calculation 3 2 3 7 6 3" xfId="11085" xr:uid="{00000000-0005-0000-0000-0000151E0000}"/>
    <cellStyle name="Calculation 3 2 3 7 7" xfId="11086" xr:uid="{00000000-0005-0000-0000-0000161E0000}"/>
    <cellStyle name="Calculation 3 2 3 7 7 2" xfId="11087" xr:uid="{00000000-0005-0000-0000-0000171E0000}"/>
    <cellStyle name="Calculation 3 2 3 7 7 3" xfId="11088" xr:uid="{00000000-0005-0000-0000-0000181E0000}"/>
    <cellStyle name="Calculation 3 2 3 7 8" xfId="11089" xr:uid="{00000000-0005-0000-0000-0000191E0000}"/>
    <cellStyle name="Calculation 3 2 3 7 8 2" xfId="11090" xr:uid="{00000000-0005-0000-0000-00001A1E0000}"/>
    <cellStyle name="Calculation 3 2 3 7 8 3" xfId="11091" xr:uid="{00000000-0005-0000-0000-00001B1E0000}"/>
    <cellStyle name="Calculation 3 2 3 7 9" xfId="11092" xr:uid="{00000000-0005-0000-0000-00001C1E0000}"/>
    <cellStyle name="Calculation 3 2 3 8" xfId="11093" xr:uid="{00000000-0005-0000-0000-00001D1E0000}"/>
    <cellStyle name="Calculation 3 2 3 8 10" xfId="11094" xr:uid="{00000000-0005-0000-0000-00001E1E0000}"/>
    <cellStyle name="Calculation 3 2 3 8 2" xfId="11095" xr:uid="{00000000-0005-0000-0000-00001F1E0000}"/>
    <cellStyle name="Calculation 3 2 3 8 2 2" xfId="11096" xr:uid="{00000000-0005-0000-0000-0000201E0000}"/>
    <cellStyle name="Calculation 3 2 3 8 2 2 2" xfId="11097" xr:uid="{00000000-0005-0000-0000-0000211E0000}"/>
    <cellStyle name="Calculation 3 2 3 8 2 2 3" xfId="11098" xr:uid="{00000000-0005-0000-0000-0000221E0000}"/>
    <cellStyle name="Calculation 3 2 3 8 2 3" xfId="11099" xr:uid="{00000000-0005-0000-0000-0000231E0000}"/>
    <cellStyle name="Calculation 3 2 3 8 2 3 2" xfId="11100" xr:uid="{00000000-0005-0000-0000-0000241E0000}"/>
    <cellStyle name="Calculation 3 2 3 8 2 3 3" xfId="11101" xr:uid="{00000000-0005-0000-0000-0000251E0000}"/>
    <cellStyle name="Calculation 3 2 3 8 2 4" xfId="11102" xr:uid="{00000000-0005-0000-0000-0000261E0000}"/>
    <cellStyle name="Calculation 3 2 3 8 2 4 2" xfId="11103" xr:uid="{00000000-0005-0000-0000-0000271E0000}"/>
    <cellStyle name="Calculation 3 2 3 8 2 4 3" xfId="11104" xr:uid="{00000000-0005-0000-0000-0000281E0000}"/>
    <cellStyle name="Calculation 3 2 3 8 2 5" xfId="11105" xr:uid="{00000000-0005-0000-0000-0000291E0000}"/>
    <cellStyle name="Calculation 3 2 3 8 2 5 2" xfId="11106" xr:uid="{00000000-0005-0000-0000-00002A1E0000}"/>
    <cellStyle name="Calculation 3 2 3 8 2 5 3" xfId="11107" xr:uid="{00000000-0005-0000-0000-00002B1E0000}"/>
    <cellStyle name="Calculation 3 2 3 8 2 6" xfId="11108" xr:uid="{00000000-0005-0000-0000-00002C1E0000}"/>
    <cellStyle name="Calculation 3 2 3 8 2 6 2" xfId="11109" xr:uid="{00000000-0005-0000-0000-00002D1E0000}"/>
    <cellStyle name="Calculation 3 2 3 8 2 6 3" xfId="11110" xr:uid="{00000000-0005-0000-0000-00002E1E0000}"/>
    <cellStyle name="Calculation 3 2 3 8 2 7" xfId="11111" xr:uid="{00000000-0005-0000-0000-00002F1E0000}"/>
    <cellStyle name="Calculation 3 2 3 8 2 7 2" xfId="11112" xr:uid="{00000000-0005-0000-0000-0000301E0000}"/>
    <cellStyle name="Calculation 3 2 3 8 2 7 3" xfId="11113" xr:uid="{00000000-0005-0000-0000-0000311E0000}"/>
    <cellStyle name="Calculation 3 2 3 8 2 8" xfId="11114" xr:uid="{00000000-0005-0000-0000-0000321E0000}"/>
    <cellStyle name="Calculation 3 2 3 8 2 9" xfId="11115" xr:uid="{00000000-0005-0000-0000-0000331E0000}"/>
    <cellStyle name="Calculation 3 2 3 8 3" xfId="11116" xr:uid="{00000000-0005-0000-0000-0000341E0000}"/>
    <cellStyle name="Calculation 3 2 3 8 3 2" xfId="11117" xr:uid="{00000000-0005-0000-0000-0000351E0000}"/>
    <cellStyle name="Calculation 3 2 3 8 3 3" xfId="11118" xr:uid="{00000000-0005-0000-0000-0000361E0000}"/>
    <cellStyle name="Calculation 3 2 3 8 4" xfId="11119" xr:uid="{00000000-0005-0000-0000-0000371E0000}"/>
    <cellStyle name="Calculation 3 2 3 8 4 2" xfId="11120" xr:uid="{00000000-0005-0000-0000-0000381E0000}"/>
    <cellStyle name="Calculation 3 2 3 8 4 3" xfId="11121" xr:uid="{00000000-0005-0000-0000-0000391E0000}"/>
    <cellStyle name="Calculation 3 2 3 8 5" xfId="11122" xr:uid="{00000000-0005-0000-0000-00003A1E0000}"/>
    <cellStyle name="Calculation 3 2 3 8 5 2" xfId="11123" xr:uid="{00000000-0005-0000-0000-00003B1E0000}"/>
    <cellStyle name="Calculation 3 2 3 8 5 3" xfId="11124" xr:uid="{00000000-0005-0000-0000-00003C1E0000}"/>
    <cellStyle name="Calculation 3 2 3 8 6" xfId="11125" xr:uid="{00000000-0005-0000-0000-00003D1E0000}"/>
    <cellStyle name="Calculation 3 2 3 8 6 2" xfId="11126" xr:uid="{00000000-0005-0000-0000-00003E1E0000}"/>
    <cellStyle name="Calculation 3 2 3 8 6 3" xfId="11127" xr:uid="{00000000-0005-0000-0000-00003F1E0000}"/>
    <cellStyle name="Calculation 3 2 3 8 7" xfId="11128" xr:uid="{00000000-0005-0000-0000-0000401E0000}"/>
    <cellStyle name="Calculation 3 2 3 8 7 2" xfId="11129" xr:uid="{00000000-0005-0000-0000-0000411E0000}"/>
    <cellStyle name="Calculation 3 2 3 8 7 3" xfId="11130" xr:uid="{00000000-0005-0000-0000-0000421E0000}"/>
    <cellStyle name="Calculation 3 2 3 8 8" xfId="11131" xr:uid="{00000000-0005-0000-0000-0000431E0000}"/>
    <cellStyle name="Calculation 3 2 3 8 8 2" xfId="11132" xr:uid="{00000000-0005-0000-0000-0000441E0000}"/>
    <cellStyle name="Calculation 3 2 3 8 8 3" xfId="11133" xr:uid="{00000000-0005-0000-0000-0000451E0000}"/>
    <cellStyle name="Calculation 3 2 3 8 9" xfId="11134" xr:uid="{00000000-0005-0000-0000-0000461E0000}"/>
    <cellStyle name="Calculation 3 2 3 9" xfId="11135" xr:uid="{00000000-0005-0000-0000-0000471E0000}"/>
    <cellStyle name="Calculation 3 2 3 9 2" xfId="11136" xr:uid="{00000000-0005-0000-0000-0000481E0000}"/>
    <cellStyle name="Calculation 3 2 3 9 2 2" xfId="11137" xr:uid="{00000000-0005-0000-0000-0000491E0000}"/>
    <cellStyle name="Calculation 3 2 3 9 2 3" xfId="11138" xr:uid="{00000000-0005-0000-0000-00004A1E0000}"/>
    <cellStyle name="Calculation 3 2 3 9 3" xfId="11139" xr:uid="{00000000-0005-0000-0000-00004B1E0000}"/>
    <cellStyle name="Calculation 3 2 3 9 3 2" xfId="11140" xr:uid="{00000000-0005-0000-0000-00004C1E0000}"/>
    <cellStyle name="Calculation 3 2 3 9 3 3" xfId="11141" xr:uid="{00000000-0005-0000-0000-00004D1E0000}"/>
    <cellStyle name="Calculation 3 2 3 9 4" xfId="11142" xr:uid="{00000000-0005-0000-0000-00004E1E0000}"/>
    <cellStyle name="Calculation 3 2 3 9 4 2" xfId="11143" xr:uid="{00000000-0005-0000-0000-00004F1E0000}"/>
    <cellStyle name="Calculation 3 2 3 9 4 3" xfId="11144" xr:uid="{00000000-0005-0000-0000-0000501E0000}"/>
    <cellStyle name="Calculation 3 2 3 9 5" xfId="11145" xr:uid="{00000000-0005-0000-0000-0000511E0000}"/>
    <cellStyle name="Calculation 3 2 3 9 5 2" xfId="11146" xr:uid="{00000000-0005-0000-0000-0000521E0000}"/>
    <cellStyle name="Calculation 3 2 3 9 5 3" xfId="11147" xr:uid="{00000000-0005-0000-0000-0000531E0000}"/>
    <cellStyle name="Calculation 3 2 3 9 6" xfId="11148" xr:uid="{00000000-0005-0000-0000-0000541E0000}"/>
    <cellStyle name="Calculation 3 2 3 9 6 2" xfId="11149" xr:uid="{00000000-0005-0000-0000-0000551E0000}"/>
    <cellStyle name="Calculation 3 2 3 9 6 3" xfId="11150" xr:uid="{00000000-0005-0000-0000-0000561E0000}"/>
    <cellStyle name="Calculation 3 2 3 9 7" xfId="11151" xr:uid="{00000000-0005-0000-0000-0000571E0000}"/>
    <cellStyle name="Calculation 3 2 3 9 7 2" xfId="11152" xr:uid="{00000000-0005-0000-0000-0000581E0000}"/>
    <cellStyle name="Calculation 3 2 3 9 7 3" xfId="11153" xr:uid="{00000000-0005-0000-0000-0000591E0000}"/>
    <cellStyle name="Calculation 3 2 3 9 8" xfId="11154" xr:uid="{00000000-0005-0000-0000-00005A1E0000}"/>
    <cellStyle name="Calculation 3 2 3 9 9" xfId="11155" xr:uid="{00000000-0005-0000-0000-00005B1E0000}"/>
    <cellStyle name="Calculation 3 2 4" xfId="11156" xr:uid="{00000000-0005-0000-0000-00005C1E0000}"/>
    <cellStyle name="Calculation 3 2 4 2" xfId="11157" xr:uid="{00000000-0005-0000-0000-00005D1E0000}"/>
    <cellStyle name="Calculation 3 2 4 2 2" xfId="11158" xr:uid="{00000000-0005-0000-0000-00005E1E0000}"/>
    <cellStyle name="Calculation 3 2 4 2 2 2" xfId="11159" xr:uid="{00000000-0005-0000-0000-00005F1E0000}"/>
    <cellStyle name="Calculation 3 2 4 2 2 3" xfId="11160" xr:uid="{00000000-0005-0000-0000-0000601E0000}"/>
    <cellStyle name="Calculation 3 2 4 2 3" xfId="11161" xr:uid="{00000000-0005-0000-0000-0000611E0000}"/>
    <cellStyle name="Calculation 3 2 4 2 3 2" xfId="11162" xr:uid="{00000000-0005-0000-0000-0000621E0000}"/>
    <cellStyle name="Calculation 3 2 4 2 3 3" xfId="11163" xr:uid="{00000000-0005-0000-0000-0000631E0000}"/>
    <cellStyle name="Calculation 3 2 4 2 4" xfId="11164" xr:uid="{00000000-0005-0000-0000-0000641E0000}"/>
    <cellStyle name="Calculation 3 2 4 2 4 2" xfId="11165" xr:uid="{00000000-0005-0000-0000-0000651E0000}"/>
    <cellStyle name="Calculation 3 2 4 2 4 3" xfId="11166" xr:uid="{00000000-0005-0000-0000-0000661E0000}"/>
    <cellStyle name="Calculation 3 2 4 2 5" xfId="11167" xr:uid="{00000000-0005-0000-0000-0000671E0000}"/>
    <cellStyle name="Calculation 3 2 4 2 5 2" xfId="11168" xr:uid="{00000000-0005-0000-0000-0000681E0000}"/>
    <cellStyle name="Calculation 3 2 4 2 5 3" xfId="11169" xr:uid="{00000000-0005-0000-0000-0000691E0000}"/>
    <cellStyle name="Calculation 3 2 4 2 6" xfId="11170" xr:uid="{00000000-0005-0000-0000-00006A1E0000}"/>
    <cellStyle name="Calculation 3 2 4 2 6 2" xfId="11171" xr:uid="{00000000-0005-0000-0000-00006B1E0000}"/>
    <cellStyle name="Calculation 3 2 4 2 6 3" xfId="11172" xr:uid="{00000000-0005-0000-0000-00006C1E0000}"/>
    <cellStyle name="Calculation 3 2 4 2 7" xfId="11173" xr:uid="{00000000-0005-0000-0000-00006D1E0000}"/>
    <cellStyle name="Calculation 3 2 4 2 7 2" xfId="11174" xr:uid="{00000000-0005-0000-0000-00006E1E0000}"/>
    <cellStyle name="Calculation 3 2 4 2 7 3" xfId="11175" xr:uid="{00000000-0005-0000-0000-00006F1E0000}"/>
    <cellStyle name="Calculation 3 2 4 2 8" xfId="11176" xr:uid="{00000000-0005-0000-0000-0000701E0000}"/>
    <cellStyle name="Calculation 3 2 4 2 9" xfId="11177" xr:uid="{00000000-0005-0000-0000-0000711E0000}"/>
    <cellStyle name="Calculation 3 2 4 3" xfId="11178" xr:uid="{00000000-0005-0000-0000-0000721E0000}"/>
    <cellStyle name="Calculation 3 2 4 3 2" xfId="11179" xr:uid="{00000000-0005-0000-0000-0000731E0000}"/>
    <cellStyle name="Calculation 3 2 4 3 3" xfId="11180" xr:uid="{00000000-0005-0000-0000-0000741E0000}"/>
    <cellStyle name="Calculation 3 2 4 4" xfId="11181" xr:uid="{00000000-0005-0000-0000-0000751E0000}"/>
    <cellStyle name="Calculation 3 2 4 4 2" xfId="11182" xr:uid="{00000000-0005-0000-0000-0000761E0000}"/>
    <cellStyle name="Calculation 3 2 4 4 3" xfId="11183" xr:uid="{00000000-0005-0000-0000-0000771E0000}"/>
    <cellStyle name="Calculation 3 2 4 5" xfId="11184" xr:uid="{00000000-0005-0000-0000-0000781E0000}"/>
    <cellStyle name="Calculation 3 2 4 5 2" xfId="11185" xr:uid="{00000000-0005-0000-0000-0000791E0000}"/>
    <cellStyle name="Calculation 3 2 4 5 3" xfId="11186" xr:uid="{00000000-0005-0000-0000-00007A1E0000}"/>
    <cellStyle name="Calculation 3 2 4 6" xfId="11187" xr:uid="{00000000-0005-0000-0000-00007B1E0000}"/>
    <cellStyle name="Calculation 3 2 4 6 2" xfId="11188" xr:uid="{00000000-0005-0000-0000-00007C1E0000}"/>
    <cellStyle name="Calculation 3 2 4 6 3" xfId="11189" xr:uid="{00000000-0005-0000-0000-00007D1E0000}"/>
    <cellStyle name="Calculation 3 2 4 7" xfId="11190" xr:uid="{00000000-0005-0000-0000-00007E1E0000}"/>
    <cellStyle name="Calculation 3 2 4 7 2" xfId="11191" xr:uid="{00000000-0005-0000-0000-00007F1E0000}"/>
    <cellStyle name="Calculation 3 2 4 7 3" xfId="11192" xr:uid="{00000000-0005-0000-0000-0000801E0000}"/>
    <cellStyle name="Calculation 3 2 4 8" xfId="11193" xr:uid="{00000000-0005-0000-0000-0000811E0000}"/>
    <cellStyle name="Calculation 3 2 4 8 2" xfId="11194" xr:uid="{00000000-0005-0000-0000-0000821E0000}"/>
    <cellStyle name="Calculation 3 2 4 8 3" xfId="11195" xr:uid="{00000000-0005-0000-0000-0000831E0000}"/>
    <cellStyle name="Calculation 3 2 4 9" xfId="44006" xr:uid="{00000000-0005-0000-0000-0000841E0000}"/>
    <cellStyle name="Calculation 3 2 5" xfId="11196" xr:uid="{00000000-0005-0000-0000-0000851E0000}"/>
    <cellStyle name="Calculation 3 2 5 10" xfId="11197" xr:uid="{00000000-0005-0000-0000-0000861E0000}"/>
    <cellStyle name="Calculation 3 2 5 2" xfId="11198" xr:uid="{00000000-0005-0000-0000-0000871E0000}"/>
    <cellStyle name="Calculation 3 2 5 2 2" xfId="11199" xr:uid="{00000000-0005-0000-0000-0000881E0000}"/>
    <cellStyle name="Calculation 3 2 5 2 2 2" xfId="11200" xr:uid="{00000000-0005-0000-0000-0000891E0000}"/>
    <cellStyle name="Calculation 3 2 5 2 2 3" xfId="11201" xr:uid="{00000000-0005-0000-0000-00008A1E0000}"/>
    <cellStyle name="Calculation 3 2 5 2 3" xfId="11202" xr:uid="{00000000-0005-0000-0000-00008B1E0000}"/>
    <cellStyle name="Calculation 3 2 5 2 3 2" xfId="11203" xr:uid="{00000000-0005-0000-0000-00008C1E0000}"/>
    <cellStyle name="Calculation 3 2 5 2 3 3" xfId="11204" xr:uid="{00000000-0005-0000-0000-00008D1E0000}"/>
    <cellStyle name="Calculation 3 2 5 2 4" xfId="11205" xr:uid="{00000000-0005-0000-0000-00008E1E0000}"/>
    <cellStyle name="Calculation 3 2 5 2 4 2" xfId="11206" xr:uid="{00000000-0005-0000-0000-00008F1E0000}"/>
    <cellStyle name="Calculation 3 2 5 2 4 3" xfId="11207" xr:uid="{00000000-0005-0000-0000-0000901E0000}"/>
    <cellStyle name="Calculation 3 2 5 2 5" xfId="11208" xr:uid="{00000000-0005-0000-0000-0000911E0000}"/>
    <cellStyle name="Calculation 3 2 5 2 5 2" xfId="11209" xr:uid="{00000000-0005-0000-0000-0000921E0000}"/>
    <cellStyle name="Calculation 3 2 5 2 5 3" xfId="11210" xr:uid="{00000000-0005-0000-0000-0000931E0000}"/>
    <cellStyle name="Calculation 3 2 5 2 6" xfId="11211" xr:uid="{00000000-0005-0000-0000-0000941E0000}"/>
    <cellStyle name="Calculation 3 2 5 2 6 2" xfId="11212" xr:uid="{00000000-0005-0000-0000-0000951E0000}"/>
    <cellStyle name="Calculation 3 2 5 2 6 3" xfId="11213" xr:uid="{00000000-0005-0000-0000-0000961E0000}"/>
    <cellStyle name="Calculation 3 2 5 2 7" xfId="11214" xr:uid="{00000000-0005-0000-0000-0000971E0000}"/>
    <cellStyle name="Calculation 3 2 5 2 7 2" xfId="11215" xr:uid="{00000000-0005-0000-0000-0000981E0000}"/>
    <cellStyle name="Calculation 3 2 5 2 7 3" xfId="11216" xr:uid="{00000000-0005-0000-0000-0000991E0000}"/>
    <cellStyle name="Calculation 3 2 5 2 8" xfId="11217" xr:uid="{00000000-0005-0000-0000-00009A1E0000}"/>
    <cellStyle name="Calculation 3 2 5 2 9" xfId="11218" xr:uid="{00000000-0005-0000-0000-00009B1E0000}"/>
    <cellStyle name="Calculation 3 2 5 3" xfId="11219" xr:uid="{00000000-0005-0000-0000-00009C1E0000}"/>
    <cellStyle name="Calculation 3 2 5 3 2" xfId="11220" xr:uid="{00000000-0005-0000-0000-00009D1E0000}"/>
    <cellStyle name="Calculation 3 2 5 3 3" xfId="11221" xr:uid="{00000000-0005-0000-0000-00009E1E0000}"/>
    <cellStyle name="Calculation 3 2 5 4" xfId="11222" xr:uid="{00000000-0005-0000-0000-00009F1E0000}"/>
    <cellStyle name="Calculation 3 2 5 4 2" xfId="11223" xr:uid="{00000000-0005-0000-0000-0000A01E0000}"/>
    <cellStyle name="Calculation 3 2 5 4 3" xfId="11224" xr:uid="{00000000-0005-0000-0000-0000A11E0000}"/>
    <cellStyle name="Calculation 3 2 5 5" xfId="11225" xr:uid="{00000000-0005-0000-0000-0000A21E0000}"/>
    <cellStyle name="Calculation 3 2 5 5 2" xfId="11226" xr:uid="{00000000-0005-0000-0000-0000A31E0000}"/>
    <cellStyle name="Calculation 3 2 5 5 3" xfId="11227" xr:uid="{00000000-0005-0000-0000-0000A41E0000}"/>
    <cellStyle name="Calculation 3 2 5 6" xfId="11228" xr:uid="{00000000-0005-0000-0000-0000A51E0000}"/>
    <cellStyle name="Calculation 3 2 5 6 2" xfId="11229" xr:uid="{00000000-0005-0000-0000-0000A61E0000}"/>
    <cellStyle name="Calculation 3 2 5 6 3" xfId="11230" xr:uid="{00000000-0005-0000-0000-0000A71E0000}"/>
    <cellStyle name="Calculation 3 2 5 7" xfId="11231" xr:uid="{00000000-0005-0000-0000-0000A81E0000}"/>
    <cellStyle name="Calculation 3 2 5 7 2" xfId="11232" xr:uid="{00000000-0005-0000-0000-0000A91E0000}"/>
    <cellStyle name="Calculation 3 2 5 7 3" xfId="11233" xr:uid="{00000000-0005-0000-0000-0000AA1E0000}"/>
    <cellStyle name="Calculation 3 2 5 8" xfId="11234" xr:uid="{00000000-0005-0000-0000-0000AB1E0000}"/>
    <cellStyle name="Calculation 3 2 5 8 2" xfId="11235" xr:uid="{00000000-0005-0000-0000-0000AC1E0000}"/>
    <cellStyle name="Calculation 3 2 5 8 3" xfId="11236" xr:uid="{00000000-0005-0000-0000-0000AD1E0000}"/>
    <cellStyle name="Calculation 3 2 5 9" xfId="11237" xr:uid="{00000000-0005-0000-0000-0000AE1E0000}"/>
    <cellStyle name="Calculation 3 2 6" xfId="11238" xr:uid="{00000000-0005-0000-0000-0000AF1E0000}"/>
    <cellStyle name="Calculation 3 2 6 10" xfId="11239" xr:uid="{00000000-0005-0000-0000-0000B01E0000}"/>
    <cellStyle name="Calculation 3 2 6 2" xfId="11240" xr:uid="{00000000-0005-0000-0000-0000B11E0000}"/>
    <cellStyle name="Calculation 3 2 6 2 2" xfId="11241" xr:uid="{00000000-0005-0000-0000-0000B21E0000}"/>
    <cellStyle name="Calculation 3 2 6 2 2 2" xfId="11242" xr:uid="{00000000-0005-0000-0000-0000B31E0000}"/>
    <cellStyle name="Calculation 3 2 6 2 2 3" xfId="11243" xr:uid="{00000000-0005-0000-0000-0000B41E0000}"/>
    <cellStyle name="Calculation 3 2 6 2 3" xfId="11244" xr:uid="{00000000-0005-0000-0000-0000B51E0000}"/>
    <cellStyle name="Calculation 3 2 6 2 3 2" xfId="11245" xr:uid="{00000000-0005-0000-0000-0000B61E0000}"/>
    <cellStyle name="Calculation 3 2 6 2 3 3" xfId="11246" xr:uid="{00000000-0005-0000-0000-0000B71E0000}"/>
    <cellStyle name="Calculation 3 2 6 2 4" xfId="11247" xr:uid="{00000000-0005-0000-0000-0000B81E0000}"/>
    <cellStyle name="Calculation 3 2 6 2 4 2" xfId="11248" xr:uid="{00000000-0005-0000-0000-0000B91E0000}"/>
    <cellStyle name="Calculation 3 2 6 2 4 3" xfId="11249" xr:uid="{00000000-0005-0000-0000-0000BA1E0000}"/>
    <cellStyle name="Calculation 3 2 6 2 5" xfId="11250" xr:uid="{00000000-0005-0000-0000-0000BB1E0000}"/>
    <cellStyle name="Calculation 3 2 6 2 5 2" xfId="11251" xr:uid="{00000000-0005-0000-0000-0000BC1E0000}"/>
    <cellStyle name="Calculation 3 2 6 2 5 3" xfId="11252" xr:uid="{00000000-0005-0000-0000-0000BD1E0000}"/>
    <cellStyle name="Calculation 3 2 6 2 6" xfId="11253" xr:uid="{00000000-0005-0000-0000-0000BE1E0000}"/>
    <cellStyle name="Calculation 3 2 6 2 6 2" xfId="11254" xr:uid="{00000000-0005-0000-0000-0000BF1E0000}"/>
    <cellStyle name="Calculation 3 2 6 2 6 3" xfId="11255" xr:uid="{00000000-0005-0000-0000-0000C01E0000}"/>
    <cellStyle name="Calculation 3 2 6 2 7" xfId="11256" xr:uid="{00000000-0005-0000-0000-0000C11E0000}"/>
    <cellStyle name="Calculation 3 2 6 2 7 2" xfId="11257" xr:uid="{00000000-0005-0000-0000-0000C21E0000}"/>
    <cellStyle name="Calculation 3 2 6 2 7 3" xfId="11258" xr:uid="{00000000-0005-0000-0000-0000C31E0000}"/>
    <cellStyle name="Calculation 3 2 6 2 8" xfId="11259" xr:uid="{00000000-0005-0000-0000-0000C41E0000}"/>
    <cellStyle name="Calculation 3 2 6 2 9" xfId="11260" xr:uid="{00000000-0005-0000-0000-0000C51E0000}"/>
    <cellStyle name="Calculation 3 2 6 3" xfId="11261" xr:uid="{00000000-0005-0000-0000-0000C61E0000}"/>
    <cellStyle name="Calculation 3 2 6 3 2" xfId="11262" xr:uid="{00000000-0005-0000-0000-0000C71E0000}"/>
    <cellStyle name="Calculation 3 2 6 3 3" xfId="11263" xr:uid="{00000000-0005-0000-0000-0000C81E0000}"/>
    <cellStyle name="Calculation 3 2 6 4" xfId="11264" xr:uid="{00000000-0005-0000-0000-0000C91E0000}"/>
    <cellStyle name="Calculation 3 2 6 4 2" xfId="11265" xr:uid="{00000000-0005-0000-0000-0000CA1E0000}"/>
    <cellStyle name="Calculation 3 2 6 4 3" xfId="11266" xr:uid="{00000000-0005-0000-0000-0000CB1E0000}"/>
    <cellStyle name="Calculation 3 2 6 5" xfId="11267" xr:uid="{00000000-0005-0000-0000-0000CC1E0000}"/>
    <cellStyle name="Calculation 3 2 6 5 2" xfId="11268" xr:uid="{00000000-0005-0000-0000-0000CD1E0000}"/>
    <cellStyle name="Calculation 3 2 6 5 3" xfId="11269" xr:uid="{00000000-0005-0000-0000-0000CE1E0000}"/>
    <cellStyle name="Calculation 3 2 6 6" xfId="11270" xr:uid="{00000000-0005-0000-0000-0000CF1E0000}"/>
    <cellStyle name="Calculation 3 2 6 6 2" xfId="11271" xr:uid="{00000000-0005-0000-0000-0000D01E0000}"/>
    <cellStyle name="Calculation 3 2 6 6 3" xfId="11272" xr:uid="{00000000-0005-0000-0000-0000D11E0000}"/>
    <cellStyle name="Calculation 3 2 6 7" xfId="11273" xr:uid="{00000000-0005-0000-0000-0000D21E0000}"/>
    <cellStyle name="Calculation 3 2 6 7 2" xfId="11274" xr:uid="{00000000-0005-0000-0000-0000D31E0000}"/>
    <cellStyle name="Calculation 3 2 6 7 3" xfId="11275" xr:uid="{00000000-0005-0000-0000-0000D41E0000}"/>
    <cellStyle name="Calculation 3 2 6 8" xfId="11276" xr:uid="{00000000-0005-0000-0000-0000D51E0000}"/>
    <cellStyle name="Calculation 3 2 6 8 2" xfId="11277" xr:uid="{00000000-0005-0000-0000-0000D61E0000}"/>
    <cellStyle name="Calculation 3 2 6 8 3" xfId="11278" xr:uid="{00000000-0005-0000-0000-0000D71E0000}"/>
    <cellStyle name="Calculation 3 2 6 9" xfId="11279" xr:uid="{00000000-0005-0000-0000-0000D81E0000}"/>
    <cellStyle name="Calculation 3 2 7" xfId="11280" xr:uid="{00000000-0005-0000-0000-0000D91E0000}"/>
    <cellStyle name="Calculation 3 2 7 2" xfId="11281" xr:uid="{00000000-0005-0000-0000-0000DA1E0000}"/>
    <cellStyle name="Calculation 3 2 7 2 2" xfId="11282" xr:uid="{00000000-0005-0000-0000-0000DB1E0000}"/>
    <cellStyle name="Calculation 3 2 7 2 3" xfId="11283" xr:uid="{00000000-0005-0000-0000-0000DC1E0000}"/>
    <cellStyle name="Calculation 3 2 7 3" xfId="11284" xr:uid="{00000000-0005-0000-0000-0000DD1E0000}"/>
    <cellStyle name="Calculation 3 2 7 3 2" xfId="11285" xr:uid="{00000000-0005-0000-0000-0000DE1E0000}"/>
    <cellStyle name="Calculation 3 2 7 3 3" xfId="11286" xr:uid="{00000000-0005-0000-0000-0000DF1E0000}"/>
    <cellStyle name="Calculation 3 2 7 4" xfId="11287" xr:uid="{00000000-0005-0000-0000-0000E01E0000}"/>
    <cellStyle name="Calculation 3 2 7 4 2" xfId="11288" xr:uid="{00000000-0005-0000-0000-0000E11E0000}"/>
    <cellStyle name="Calculation 3 2 7 4 3" xfId="11289" xr:uid="{00000000-0005-0000-0000-0000E21E0000}"/>
    <cellStyle name="Calculation 3 2 7 5" xfId="11290" xr:uid="{00000000-0005-0000-0000-0000E31E0000}"/>
    <cellStyle name="Calculation 3 2 7 5 2" xfId="11291" xr:uid="{00000000-0005-0000-0000-0000E41E0000}"/>
    <cellStyle name="Calculation 3 2 7 5 3" xfId="11292" xr:uid="{00000000-0005-0000-0000-0000E51E0000}"/>
    <cellStyle name="Calculation 3 2 7 6" xfId="11293" xr:uid="{00000000-0005-0000-0000-0000E61E0000}"/>
    <cellStyle name="Calculation 3 2 7 6 2" xfId="11294" xr:uid="{00000000-0005-0000-0000-0000E71E0000}"/>
    <cellStyle name="Calculation 3 2 7 6 3" xfId="11295" xr:uid="{00000000-0005-0000-0000-0000E81E0000}"/>
    <cellStyle name="Calculation 3 2 7 7" xfId="11296" xr:uid="{00000000-0005-0000-0000-0000E91E0000}"/>
    <cellStyle name="Calculation 3 2 7 7 2" xfId="11297" xr:uid="{00000000-0005-0000-0000-0000EA1E0000}"/>
    <cellStyle name="Calculation 3 2 7 7 3" xfId="11298" xr:uid="{00000000-0005-0000-0000-0000EB1E0000}"/>
    <cellStyle name="Calculation 3 2 7 8" xfId="11299" xr:uid="{00000000-0005-0000-0000-0000EC1E0000}"/>
    <cellStyle name="Calculation 3 2 7 9" xfId="11300" xr:uid="{00000000-0005-0000-0000-0000ED1E0000}"/>
    <cellStyle name="Calculation 3 2 8" xfId="11301" xr:uid="{00000000-0005-0000-0000-0000EE1E0000}"/>
    <cellStyle name="Calculation 3 2 8 2" xfId="11302" xr:uid="{00000000-0005-0000-0000-0000EF1E0000}"/>
    <cellStyle name="Calculation 3 2 8 2 2" xfId="11303" xr:uid="{00000000-0005-0000-0000-0000F01E0000}"/>
    <cellStyle name="Calculation 3 2 8 2 3" xfId="11304" xr:uid="{00000000-0005-0000-0000-0000F11E0000}"/>
    <cellStyle name="Calculation 3 2 8 3" xfId="11305" xr:uid="{00000000-0005-0000-0000-0000F21E0000}"/>
    <cellStyle name="Calculation 3 2 8 3 2" xfId="11306" xr:uid="{00000000-0005-0000-0000-0000F31E0000}"/>
    <cellStyle name="Calculation 3 2 8 3 3" xfId="11307" xr:uid="{00000000-0005-0000-0000-0000F41E0000}"/>
    <cellStyle name="Calculation 3 2 8 4" xfId="11308" xr:uid="{00000000-0005-0000-0000-0000F51E0000}"/>
    <cellStyle name="Calculation 3 2 8 4 2" xfId="11309" xr:uid="{00000000-0005-0000-0000-0000F61E0000}"/>
    <cellStyle name="Calculation 3 2 8 4 3" xfId="11310" xr:uid="{00000000-0005-0000-0000-0000F71E0000}"/>
    <cellStyle name="Calculation 3 2 8 5" xfId="11311" xr:uid="{00000000-0005-0000-0000-0000F81E0000}"/>
    <cellStyle name="Calculation 3 2 8 5 2" xfId="11312" xr:uid="{00000000-0005-0000-0000-0000F91E0000}"/>
    <cellStyle name="Calculation 3 2 8 5 3" xfId="11313" xr:uid="{00000000-0005-0000-0000-0000FA1E0000}"/>
    <cellStyle name="Calculation 3 2 8 6" xfId="11314" xr:uid="{00000000-0005-0000-0000-0000FB1E0000}"/>
    <cellStyle name="Calculation 3 2 8 6 2" xfId="11315" xr:uid="{00000000-0005-0000-0000-0000FC1E0000}"/>
    <cellStyle name="Calculation 3 2 8 6 3" xfId="11316" xr:uid="{00000000-0005-0000-0000-0000FD1E0000}"/>
    <cellStyle name="Calculation 3 2 8 7" xfId="11317" xr:uid="{00000000-0005-0000-0000-0000FE1E0000}"/>
    <cellStyle name="Calculation 3 2 8 7 2" xfId="11318" xr:uid="{00000000-0005-0000-0000-0000FF1E0000}"/>
    <cellStyle name="Calculation 3 2 8 7 3" xfId="11319" xr:uid="{00000000-0005-0000-0000-0000001F0000}"/>
    <cellStyle name="Calculation 3 2 8 8" xfId="11320" xr:uid="{00000000-0005-0000-0000-0000011F0000}"/>
    <cellStyle name="Calculation 3 2 8 9" xfId="11321" xr:uid="{00000000-0005-0000-0000-0000021F0000}"/>
    <cellStyle name="Calculation 3 3" xfId="203" xr:uid="{00000000-0005-0000-0000-0000031F0000}"/>
    <cellStyle name="Calculation 3 3 10" xfId="11322" xr:uid="{00000000-0005-0000-0000-0000041F0000}"/>
    <cellStyle name="Calculation 3 3 10 2" xfId="11323" xr:uid="{00000000-0005-0000-0000-0000051F0000}"/>
    <cellStyle name="Calculation 3 3 10 3" xfId="11324" xr:uid="{00000000-0005-0000-0000-0000061F0000}"/>
    <cellStyle name="Calculation 3 3 11" xfId="11325" xr:uid="{00000000-0005-0000-0000-0000071F0000}"/>
    <cellStyle name="Calculation 3 3 11 2" xfId="11326" xr:uid="{00000000-0005-0000-0000-0000081F0000}"/>
    <cellStyle name="Calculation 3 3 11 3" xfId="11327" xr:uid="{00000000-0005-0000-0000-0000091F0000}"/>
    <cellStyle name="Calculation 3 3 12" xfId="44007" xr:uid="{00000000-0005-0000-0000-00000A1F0000}"/>
    <cellStyle name="Calculation 3 3 2" xfId="11328" xr:uid="{00000000-0005-0000-0000-00000B1F0000}"/>
    <cellStyle name="Calculation 3 3 2 10" xfId="11329" xr:uid="{00000000-0005-0000-0000-00000C1F0000}"/>
    <cellStyle name="Calculation 3 3 2 10 2" xfId="11330" xr:uid="{00000000-0005-0000-0000-00000D1F0000}"/>
    <cellStyle name="Calculation 3 3 2 10 3" xfId="11331" xr:uid="{00000000-0005-0000-0000-00000E1F0000}"/>
    <cellStyle name="Calculation 3 3 2 11" xfId="11332" xr:uid="{00000000-0005-0000-0000-00000F1F0000}"/>
    <cellStyle name="Calculation 3 3 2 11 2" xfId="11333" xr:uid="{00000000-0005-0000-0000-0000101F0000}"/>
    <cellStyle name="Calculation 3 3 2 11 3" xfId="11334" xr:uid="{00000000-0005-0000-0000-0000111F0000}"/>
    <cellStyle name="Calculation 3 3 2 12" xfId="11335" xr:uid="{00000000-0005-0000-0000-0000121F0000}"/>
    <cellStyle name="Calculation 3 3 2 12 2" xfId="11336" xr:uid="{00000000-0005-0000-0000-0000131F0000}"/>
    <cellStyle name="Calculation 3 3 2 12 3" xfId="11337" xr:uid="{00000000-0005-0000-0000-0000141F0000}"/>
    <cellStyle name="Calculation 3 3 2 13" xfId="11338" xr:uid="{00000000-0005-0000-0000-0000151F0000}"/>
    <cellStyle name="Calculation 3 3 2 13 2" xfId="11339" xr:uid="{00000000-0005-0000-0000-0000161F0000}"/>
    <cellStyle name="Calculation 3 3 2 13 3" xfId="11340" xr:uid="{00000000-0005-0000-0000-0000171F0000}"/>
    <cellStyle name="Calculation 3 3 2 14" xfId="44008" xr:uid="{00000000-0005-0000-0000-0000181F0000}"/>
    <cellStyle name="Calculation 3 3 2 2" xfId="11341" xr:uid="{00000000-0005-0000-0000-0000191F0000}"/>
    <cellStyle name="Calculation 3 3 2 2 10" xfId="44009" xr:uid="{00000000-0005-0000-0000-00001A1F0000}"/>
    <cellStyle name="Calculation 3 3 2 2 2" xfId="11342" xr:uid="{00000000-0005-0000-0000-00001B1F0000}"/>
    <cellStyle name="Calculation 3 3 2 2 2 10" xfId="11343" xr:uid="{00000000-0005-0000-0000-00001C1F0000}"/>
    <cellStyle name="Calculation 3 3 2 2 2 2" xfId="11344" xr:uid="{00000000-0005-0000-0000-00001D1F0000}"/>
    <cellStyle name="Calculation 3 3 2 2 2 2 2" xfId="11345" xr:uid="{00000000-0005-0000-0000-00001E1F0000}"/>
    <cellStyle name="Calculation 3 3 2 2 2 2 2 2" xfId="11346" xr:uid="{00000000-0005-0000-0000-00001F1F0000}"/>
    <cellStyle name="Calculation 3 3 2 2 2 2 2 3" xfId="11347" xr:uid="{00000000-0005-0000-0000-0000201F0000}"/>
    <cellStyle name="Calculation 3 3 2 2 2 2 3" xfId="11348" xr:uid="{00000000-0005-0000-0000-0000211F0000}"/>
    <cellStyle name="Calculation 3 3 2 2 2 2 3 2" xfId="11349" xr:uid="{00000000-0005-0000-0000-0000221F0000}"/>
    <cellStyle name="Calculation 3 3 2 2 2 2 3 3" xfId="11350" xr:uid="{00000000-0005-0000-0000-0000231F0000}"/>
    <cellStyle name="Calculation 3 3 2 2 2 2 4" xfId="11351" xr:uid="{00000000-0005-0000-0000-0000241F0000}"/>
    <cellStyle name="Calculation 3 3 2 2 2 2 4 2" xfId="11352" xr:uid="{00000000-0005-0000-0000-0000251F0000}"/>
    <cellStyle name="Calculation 3 3 2 2 2 2 4 3" xfId="11353" xr:uid="{00000000-0005-0000-0000-0000261F0000}"/>
    <cellStyle name="Calculation 3 3 2 2 2 2 5" xfId="11354" xr:uid="{00000000-0005-0000-0000-0000271F0000}"/>
    <cellStyle name="Calculation 3 3 2 2 2 2 5 2" xfId="11355" xr:uid="{00000000-0005-0000-0000-0000281F0000}"/>
    <cellStyle name="Calculation 3 3 2 2 2 2 5 3" xfId="11356" xr:uid="{00000000-0005-0000-0000-0000291F0000}"/>
    <cellStyle name="Calculation 3 3 2 2 2 2 6" xfId="11357" xr:uid="{00000000-0005-0000-0000-00002A1F0000}"/>
    <cellStyle name="Calculation 3 3 2 2 2 2 6 2" xfId="11358" xr:uid="{00000000-0005-0000-0000-00002B1F0000}"/>
    <cellStyle name="Calculation 3 3 2 2 2 2 6 3" xfId="11359" xr:uid="{00000000-0005-0000-0000-00002C1F0000}"/>
    <cellStyle name="Calculation 3 3 2 2 2 2 7" xfId="11360" xr:uid="{00000000-0005-0000-0000-00002D1F0000}"/>
    <cellStyle name="Calculation 3 3 2 2 2 2 7 2" xfId="11361" xr:uid="{00000000-0005-0000-0000-00002E1F0000}"/>
    <cellStyle name="Calculation 3 3 2 2 2 2 7 3" xfId="11362" xr:uid="{00000000-0005-0000-0000-00002F1F0000}"/>
    <cellStyle name="Calculation 3 3 2 2 2 2 8" xfId="11363" xr:uid="{00000000-0005-0000-0000-0000301F0000}"/>
    <cellStyle name="Calculation 3 3 2 2 2 2 9" xfId="11364" xr:uid="{00000000-0005-0000-0000-0000311F0000}"/>
    <cellStyle name="Calculation 3 3 2 2 2 3" xfId="11365" xr:uid="{00000000-0005-0000-0000-0000321F0000}"/>
    <cellStyle name="Calculation 3 3 2 2 2 3 2" xfId="11366" xr:uid="{00000000-0005-0000-0000-0000331F0000}"/>
    <cellStyle name="Calculation 3 3 2 2 2 3 3" xfId="11367" xr:uid="{00000000-0005-0000-0000-0000341F0000}"/>
    <cellStyle name="Calculation 3 3 2 2 2 4" xfId="11368" xr:uid="{00000000-0005-0000-0000-0000351F0000}"/>
    <cellStyle name="Calculation 3 3 2 2 2 4 2" xfId="11369" xr:uid="{00000000-0005-0000-0000-0000361F0000}"/>
    <cellStyle name="Calculation 3 3 2 2 2 4 3" xfId="11370" xr:uid="{00000000-0005-0000-0000-0000371F0000}"/>
    <cellStyle name="Calculation 3 3 2 2 2 5" xfId="11371" xr:uid="{00000000-0005-0000-0000-0000381F0000}"/>
    <cellStyle name="Calculation 3 3 2 2 2 5 2" xfId="11372" xr:uid="{00000000-0005-0000-0000-0000391F0000}"/>
    <cellStyle name="Calculation 3 3 2 2 2 5 3" xfId="11373" xr:uid="{00000000-0005-0000-0000-00003A1F0000}"/>
    <cellStyle name="Calculation 3 3 2 2 2 6" xfId="11374" xr:uid="{00000000-0005-0000-0000-00003B1F0000}"/>
    <cellStyle name="Calculation 3 3 2 2 2 6 2" xfId="11375" xr:uid="{00000000-0005-0000-0000-00003C1F0000}"/>
    <cellStyle name="Calculation 3 3 2 2 2 6 3" xfId="11376" xr:uid="{00000000-0005-0000-0000-00003D1F0000}"/>
    <cellStyle name="Calculation 3 3 2 2 2 7" xfId="11377" xr:uid="{00000000-0005-0000-0000-00003E1F0000}"/>
    <cellStyle name="Calculation 3 3 2 2 2 7 2" xfId="11378" xr:uid="{00000000-0005-0000-0000-00003F1F0000}"/>
    <cellStyle name="Calculation 3 3 2 2 2 7 3" xfId="11379" xr:uid="{00000000-0005-0000-0000-0000401F0000}"/>
    <cellStyle name="Calculation 3 3 2 2 2 8" xfId="11380" xr:uid="{00000000-0005-0000-0000-0000411F0000}"/>
    <cellStyle name="Calculation 3 3 2 2 2 8 2" xfId="11381" xr:uid="{00000000-0005-0000-0000-0000421F0000}"/>
    <cellStyle name="Calculation 3 3 2 2 2 8 3" xfId="11382" xr:uid="{00000000-0005-0000-0000-0000431F0000}"/>
    <cellStyle name="Calculation 3 3 2 2 2 9" xfId="11383" xr:uid="{00000000-0005-0000-0000-0000441F0000}"/>
    <cellStyle name="Calculation 3 3 2 2 3" xfId="11384" xr:uid="{00000000-0005-0000-0000-0000451F0000}"/>
    <cellStyle name="Calculation 3 3 2 2 3 10" xfId="11385" xr:uid="{00000000-0005-0000-0000-0000461F0000}"/>
    <cellStyle name="Calculation 3 3 2 2 3 2" xfId="11386" xr:uid="{00000000-0005-0000-0000-0000471F0000}"/>
    <cellStyle name="Calculation 3 3 2 2 3 2 2" xfId="11387" xr:uid="{00000000-0005-0000-0000-0000481F0000}"/>
    <cellStyle name="Calculation 3 3 2 2 3 2 2 2" xfId="11388" xr:uid="{00000000-0005-0000-0000-0000491F0000}"/>
    <cellStyle name="Calculation 3 3 2 2 3 2 2 3" xfId="11389" xr:uid="{00000000-0005-0000-0000-00004A1F0000}"/>
    <cellStyle name="Calculation 3 3 2 2 3 2 3" xfId="11390" xr:uid="{00000000-0005-0000-0000-00004B1F0000}"/>
    <cellStyle name="Calculation 3 3 2 2 3 2 3 2" xfId="11391" xr:uid="{00000000-0005-0000-0000-00004C1F0000}"/>
    <cellStyle name="Calculation 3 3 2 2 3 2 3 3" xfId="11392" xr:uid="{00000000-0005-0000-0000-00004D1F0000}"/>
    <cellStyle name="Calculation 3 3 2 2 3 2 4" xfId="11393" xr:uid="{00000000-0005-0000-0000-00004E1F0000}"/>
    <cellStyle name="Calculation 3 3 2 2 3 2 4 2" xfId="11394" xr:uid="{00000000-0005-0000-0000-00004F1F0000}"/>
    <cellStyle name="Calculation 3 3 2 2 3 2 4 3" xfId="11395" xr:uid="{00000000-0005-0000-0000-0000501F0000}"/>
    <cellStyle name="Calculation 3 3 2 2 3 2 5" xfId="11396" xr:uid="{00000000-0005-0000-0000-0000511F0000}"/>
    <cellStyle name="Calculation 3 3 2 2 3 2 5 2" xfId="11397" xr:uid="{00000000-0005-0000-0000-0000521F0000}"/>
    <cellStyle name="Calculation 3 3 2 2 3 2 5 3" xfId="11398" xr:uid="{00000000-0005-0000-0000-0000531F0000}"/>
    <cellStyle name="Calculation 3 3 2 2 3 2 6" xfId="11399" xr:uid="{00000000-0005-0000-0000-0000541F0000}"/>
    <cellStyle name="Calculation 3 3 2 2 3 2 6 2" xfId="11400" xr:uid="{00000000-0005-0000-0000-0000551F0000}"/>
    <cellStyle name="Calculation 3 3 2 2 3 2 6 3" xfId="11401" xr:uid="{00000000-0005-0000-0000-0000561F0000}"/>
    <cellStyle name="Calculation 3 3 2 2 3 2 7" xfId="11402" xr:uid="{00000000-0005-0000-0000-0000571F0000}"/>
    <cellStyle name="Calculation 3 3 2 2 3 2 7 2" xfId="11403" xr:uid="{00000000-0005-0000-0000-0000581F0000}"/>
    <cellStyle name="Calculation 3 3 2 2 3 2 7 3" xfId="11404" xr:uid="{00000000-0005-0000-0000-0000591F0000}"/>
    <cellStyle name="Calculation 3 3 2 2 3 2 8" xfId="11405" xr:uid="{00000000-0005-0000-0000-00005A1F0000}"/>
    <cellStyle name="Calculation 3 3 2 2 3 2 9" xfId="11406" xr:uid="{00000000-0005-0000-0000-00005B1F0000}"/>
    <cellStyle name="Calculation 3 3 2 2 3 3" xfId="11407" xr:uid="{00000000-0005-0000-0000-00005C1F0000}"/>
    <cellStyle name="Calculation 3 3 2 2 3 3 2" xfId="11408" xr:uid="{00000000-0005-0000-0000-00005D1F0000}"/>
    <cellStyle name="Calculation 3 3 2 2 3 3 3" xfId="11409" xr:uid="{00000000-0005-0000-0000-00005E1F0000}"/>
    <cellStyle name="Calculation 3 3 2 2 3 4" xfId="11410" xr:uid="{00000000-0005-0000-0000-00005F1F0000}"/>
    <cellStyle name="Calculation 3 3 2 2 3 4 2" xfId="11411" xr:uid="{00000000-0005-0000-0000-0000601F0000}"/>
    <cellStyle name="Calculation 3 3 2 2 3 4 3" xfId="11412" xr:uid="{00000000-0005-0000-0000-0000611F0000}"/>
    <cellStyle name="Calculation 3 3 2 2 3 5" xfId="11413" xr:uid="{00000000-0005-0000-0000-0000621F0000}"/>
    <cellStyle name="Calculation 3 3 2 2 3 5 2" xfId="11414" xr:uid="{00000000-0005-0000-0000-0000631F0000}"/>
    <cellStyle name="Calculation 3 3 2 2 3 5 3" xfId="11415" xr:uid="{00000000-0005-0000-0000-0000641F0000}"/>
    <cellStyle name="Calculation 3 3 2 2 3 6" xfId="11416" xr:uid="{00000000-0005-0000-0000-0000651F0000}"/>
    <cellStyle name="Calculation 3 3 2 2 3 6 2" xfId="11417" xr:uid="{00000000-0005-0000-0000-0000661F0000}"/>
    <cellStyle name="Calculation 3 3 2 2 3 6 3" xfId="11418" xr:uid="{00000000-0005-0000-0000-0000671F0000}"/>
    <cellStyle name="Calculation 3 3 2 2 3 7" xfId="11419" xr:uid="{00000000-0005-0000-0000-0000681F0000}"/>
    <cellStyle name="Calculation 3 3 2 2 3 7 2" xfId="11420" xr:uid="{00000000-0005-0000-0000-0000691F0000}"/>
    <cellStyle name="Calculation 3 3 2 2 3 7 3" xfId="11421" xr:uid="{00000000-0005-0000-0000-00006A1F0000}"/>
    <cellStyle name="Calculation 3 3 2 2 3 8" xfId="11422" xr:uid="{00000000-0005-0000-0000-00006B1F0000}"/>
    <cellStyle name="Calculation 3 3 2 2 3 8 2" xfId="11423" xr:uid="{00000000-0005-0000-0000-00006C1F0000}"/>
    <cellStyle name="Calculation 3 3 2 2 3 8 3" xfId="11424" xr:uid="{00000000-0005-0000-0000-00006D1F0000}"/>
    <cellStyle name="Calculation 3 3 2 2 3 9" xfId="11425" xr:uid="{00000000-0005-0000-0000-00006E1F0000}"/>
    <cellStyle name="Calculation 3 3 2 2 4" xfId="11426" xr:uid="{00000000-0005-0000-0000-00006F1F0000}"/>
    <cellStyle name="Calculation 3 3 2 2 4 10" xfId="11427" xr:uid="{00000000-0005-0000-0000-0000701F0000}"/>
    <cellStyle name="Calculation 3 3 2 2 4 2" xfId="11428" xr:uid="{00000000-0005-0000-0000-0000711F0000}"/>
    <cellStyle name="Calculation 3 3 2 2 4 2 2" xfId="11429" xr:uid="{00000000-0005-0000-0000-0000721F0000}"/>
    <cellStyle name="Calculation 3 3 2 2 4 2 2 2" xfId="11430" xr:uid="{00000000-0005-0000-0000-0000731F0000}"/>
    <cellStyle name="Calculation 3 3 2 2 4 2 2 3" xfId="11431" xr:uid="{00000000-0005-0000-0000-0000741F0000}"/>
    <cellStyle name="Calculation 3 3 2 2 4 2 3" xfId="11432" xr:uid="{00000000-0005-0000-0000-0000751F0000}"/>
    <cellStyle name="Calculation 3 3 2 2 4 2 3 2" xfId="11433" xr:uid="{00000000-0005-0000-0000-0000761F0000}"/>
    <cellStyle name="Calculation 3 3 2 2 4 2 3 3" xfId="11434" xr:uid="{00000000-0005-0000-0000-0000771F0000}"/>
    <cellStyle name="Calculation 3 3 2 2 4 2 4" xfId="11435" xr:uid="{00000000-0005-0000-0000-0000781F0000}"/>
    <cellStyle name="Calculation 3 3 2 2 4 2 4 2" xfId="11436" xr:uid="{00000000-0005-0000-0000-0000791F0000}"/>
    <cellStyle name="Calculation 3 3 2 2 4 2 4 3" xfId="11437" xr:uid="{00000000-0005-0000-0000-00007A1F0000}"/>
    <cellStyle name="Calculation 3 3 2 2 4 2 5" xfId="11438" xr:uid="{00000000-0005-0000-0000-00007B1F0000}"/>
    <cellStyle name="Calculation 3 3 2 2 4 2 5 2" xfId="11439" xr:uid="{00000000-0005-0000-0000-00007C1F0000}"/>
    <cellStyle name="Calculation 3 3 2 2 4 2 5 3" xfId="11440" xr:uid="{00000000-0005-0000-0000-00007D1F0000}"/>
    <cellStyle name="Calculation 3 3 2 2 4 2 6" xfId="11441" xr:uid="{00000000-0005-0000-0000-00007E1F0000}"/>
    <cellStyle name="Calculation 3 3 2 2 4 2 6 2" xfId="11442" xr:uid="{00000000-0005-0000-0000-00007F1F0000}"/>
    <cellStyle name="Calculation 3 3 2 2 4 2 6 3" xfId="11443" xr:uid="{00000000-0005-0000-0000-0000801F0000}"/>
    <cellStyle name="Calculation 3 3 2 2 4 2 7" xfId="11444" xr:uid="{00000000-0005-0000-0000-0000811F0000}"/>
    <cellStyle name="Calculation 3 3 2 2 4 2 7 2" xfId="11445" xr:uid="{00000000-0005-0000-0000-0000821F0000}"/>
    <cellStyle name="Calculation 3 3 2 2 4 2 7 3" xfId="11446" xr:uid="{00000000-0005-0000-0000-0000831F0000}"/>
    <cellStyle name="Calculation 3 3 2 2 4 2 8" xfId="11447" xr:uid="{00000000-0005-0000-0000-0000841F0000}"/>
    <cellStyle name="Calculation 3 3 2 2 4 2 9" xfId="11448" xr:uid="{00000000-0005-0000-0000-0000851F0000}"/>
    <cellStyle name="Calculation 3 3 2 2 4 3" xfId="11449" xr:uid="{00000000-0005-0000-0000-0000861F0000}"/>
    <cellStyle name="Calculation 3 3 2 2 4 3 2" xfId="11450" xr:uid="{00000000-0005-0000-0000-0000871F0000}"/>
    <cellStyle name="Calculation 3 3 2 2 4 3 3" xfId="11451" xr:uid="{00000000-0005-0000-0000-0000881F0000}"/>
    <cellStyle name="Calculation 3 3 2 2 4 4" xfId="11452" xr:uid="{00000000-0005-0000-0000-0000891F0000}"/>
    <cellStyle name="Calculation 3 3 2 2 4 4 2" xfId="11453" xr:uid="{00000000-0005-0000-0000-00008A1F0000}"/>
    <cellStyle name="Calculation 3 3 2 2 4 4 3" xfId="11454" xr:uid="{00000000-0005-0000-0000-00008B1F0000}"/>
    <cellStyle name="Calculation 3 3 2 2 4 5" xfId="11455" xr:uid="{00000000-0005-0000-0000-00008C1F0000}"/>
    <cellStyle name="Calculation 3 3 2 2 4 5 2" xfId="11456" xr:uid="{00000000-0005-0000-0000-00008D1F0000}"/>
    <cellStyle name="Calculation 3 3 2 2 4 5 3" xfId="11457" xr:uid="{00000000-0005-0000-0000-00008E1F0000}"/>
    <cellStyle name="Calculation 3 3 2 2 4 6" xfId="11458" xr:uid="{00000000-0005-0000-0000-00008F1F0000}"/>
    <cellStyle name="Calculation 3 3 2 2 4 6 2" xfId="11459" xr:uid="{00000000-0005-0000-0000-0000901F0000}"/>
    <cellStyle name="Calculation 3 3 2 2 4 6 3" xfId="11460" xr:uid="{00000000-0005-0000-0000-0000911F0000}"/>
    <cellStyle name="Calculation 3 3 2 2 4 7" xfId="11461" xr:uid="{00000000-0005-0000-0000-0000921F0000}"/>
    <cellStyle name="Calculation 3 3 2 2 4 7 2" xfId="11462" xr:uid="{00000000-0005-0000-0000-0000931F0000}"/>
    <cellStyle name="Calculation 3 3 2 2 4 7 3" xfId="11463" xr:uid="{00000000-0005-0000-0000-0000941F0000}"/>
    <cellStyle name="Calculation 3 3 2 2 4 8" xfId="11464" xr:uid="{00000000-0005-0000-0000-0000951F0000}"/>
    <cellStyle name="Calculation 3 3 2 2 4 8 2" xfId="11465" xr:uid="{00000000-0005-0000-0000-0000961F0000}"/>
    <cellStyle name="Calculation 3 3 2 2 4 8 3" xfId="11466" xr:uid="{00000000-0005-0000-0000-0000971F0000}"/>
    <cellStyle name="Calculation 3 3 2 2 4 9" xfId="11467" xr:uid="{00000000-0005-0000-0000-0000981F0000}"/>
    <cellStyle name="Calculation 3 3 2 2 5" xfId="11468" xr:uid="{00000000-0005-0000-0000-0000991F0000}"/>
    <cellStyle name="Calculation 3 3 2 2 5 2" xfId="11469" xr:uid="{00000000-0005-0000-0000-00009A1F0000}"/>
    <cellStyle name="Calculation 3 3 2 2 5 2 2" xfId="11470" xr:uid="{00000000-0005-0000-0000-00009B1F0000}"/>
    <cellStyle name="Calculation 3 3 2 2 5 2 3" xfId="11471" xr:uid="{00000000-0005-0000-0000-00009C1F0000}"/>
    <cellStyle name="Calculation 3 3 2 2 5 3" xfId="11472" xr:uid="{00000000-0005-0000-0000-00009D1F0000}"/>
    <cellStyle name="Calculation 3 3 2 2 5 3 2" xfId="11473" xr:uid="{00000000-0005-0000-0000-00009E1F0000}"/>
    <cellStyle name="Calculation 3 3 2 2 5 3 3" xfId="11474" xr:uid="{00000000-0005-0000-0000-00009F1F0000}"/>
    <cellStyle name="Calculation 3 3 2 2 5 4" xfId="11475" xr:uid="{00000000-0005-0000-0000-0000A01F0000}"/>
    <cellStyle name="Calculation 3 3 2 2 5 4 2" xfId="11476" xr:uid="{00000000-0005-0000-0000-0000A11F0000}"/>
    <cellStyle name="Calculation 3 3 2 2 5 4 3" xfId="11477" xr:uid="{00000000-0005-0000-0000-0000A21F0000}"/>
    <cellStyle name="Calculation 3 3 2 2 5 5" xfId="11478" xr:uid="{00000000-0005-0000-0000-0000A31F0000}"/>
    <cellStyle name="Calculation 3 3 2 2 5 5 2" xfId="11479" xr:uid="{00000000-0005-0000-0000-0000A41F0000}"/>
    <cellStyle name="Calculation 3 3 2 2 5 5 3" xfId="11480" xr:uid="{00000000-0005-0000-0000-0000A51F0000}"/>
    <cellStyle name="Calculation 3 3 2 2 5 6" xfId="11481" xr:uid="{00000000-0005-0000-0000-0000A61F0000}"/>
    <cellStyle name="Calculation 3 3 2 2 5 6 2" xfId="11482" xr:uid="{00000000-0005-0000-0000-0000A71F0000}"/>
    <cellStyle name="Calculation 3 3 2 2 5 6 3" xfId="11483" xr:uid="{00000000-0005-0000-0000-0000A81F0000}"/>
    <cellStyle name="Calculation 3 3 2 2 5 7" xfId="11484" xr:uid="{00000000-0005-0000-0000-0000A91F0000}"/>
    <cellStyle name="Calculation 3 3 2 2 5 7 2" xfId="11485" xr:uid="{00000000-0005-0000-0000-0000AA1F0000}"/>
    <cellStyle name="Calculation 3 3 2 2 5 7 3" xfId="11486" xr:uid="{00000000-0005-0000-0000-0000AB1F0000}"/>
    <cellStyle name="Calculation 3 3 2 2 5 8" xfId="11487" xr:uid="{00000000-0005-0000-0000-0000AC1F0000}"/>
    <cellStyle name="Calculation 3 3 2 2 5 9" xfId="11488" xr:uid="{00000000-0005-0000-0000-0000AD1F0000}"/>
    <cellStyle name="Calculation 3 3 2 2 6" xfId="11489" xr:uid="{00000000-0005-0000-0000-0000AE1F0000}"/>
    <cellStyle name="Calculation 3 3 2 2 6 2" xfId="11490" xr:uid="{00000000-0005-0000-0000-0000AF1F0000}"/>
    <cellStyle name="Calculation 3 3 2 2 6 3" xfId="11491" xr:uid="{00000000-0005-0000-0000-0000B01F0000}"/>
    <cellStyle name="Calculation 3 3 2 2 7" xfId="11492" xr:uid="{00000000-0005-0000-0000-0000B11F0000}"/>
    <cellStyle name="Calculation 3 3 2 2 7 2" xfId="11493" xr:uid="{00000000-0005-0000-0000-0000B21F0000}"/>
    <cellStyle name="Calculation 3 3 2 2 7 3" xfId="11494" xr:uid="{00000000-0005-0000-0000-0000B31F0000}"/>
    <cellStyle name="Calculation 3 3 2 2 8" xfId="11495" xr:uid="{00000000-0005-0000-0000-0000B41F0000}"/>
    <cellStyle name="Calculation 3 3 2 2 8 2" xfId="11496" xr:uid="{00000000-0005-0000-0000-0000B51F0000}"/>
    <cellStyle name="Calculation 3 3 2 2 8 3" xfId="11497" xr:uid="{00000000-0005-0000-0000-0000B61F0000}"/>
    <cellStyle name="Calculation 3 3 2 2 9" xfId="11498" xr:uid="{00000000-0005-0000-0000-0000B71F0000}"/>
    <cellStyle name="Calculation 3 3 2 2 9 2" xfId="11499" xr:uid="{00000000-0005-0000-0000-0000B81F0000}"/>
    <cellStyle name="Calculation 3 3 2 2 9 3" xfId="11500" xr:uid="{00000000-0005-0000-0000-0000B91F0000}"/>
    <cellStyle name="Calculation 3 3 2 3" xfId="11501" xr:uid="{00000000-0005-0000-0000-0000BA1F0000}"/>
    <cellStyle name="Calculation 3 3 2 3 10" xfId="44010" xr:uid="{00000000-0005-0000-0000-0000BB1F0000}"/>
    <cellStyle name="Calculation 3 3 2 3 2" xfId="11502" xr:uid="{00000000-0005-0000-0000-0000BC1F0000}"/>
    <cellStyle name="Calculation 3 3 2 3 2 10" xfId="11503" xr:uid="{00000000-0005-0000-0000-0000BD1F0000}"/>
    <cellStyle name="Calculation 3 3 2 3 2 2" xfId="11504" xr:uid="{00000000-0005-0000-0000-0000BE1F0000}"/>
    <cellStyle name="Calculation 3 3 2 3 2 2 2" xfId="11505" xr:uid="{00000000-0005-0000-0000-0000BF1F0000}"/>
    <cellStyle name="Calculation 3 3 2 3 2 2 2 2" xfId="11506" xr:uid="{00000000-0005-0000-0000-0000C01F0000}"/>
    <cellStyle name="Calculation 3 3 2 3 2 2 2 3" xfId="11507" xr:uid="{00000000-0005-0000-0000-0000C11F0000}"/>
    <cellStyle name="Calculation 3 3 2 3 2 2 3" xfId="11508" xr:uid="{00000000-0005-0000-0000-0000C21F0000}"/>
    <cellStyle name="Calculation 3 3 2 3 2 2 3 2" xfId="11509" xr:uid="{00000000-0005-0000-0000-0000C31F0000}"/>
    <cellStyle name="Calculation 3 3 2 3 2 2 3 3" xfId="11510" xr:uid="{00000000-0005-0000-0000-0000C41F0000}"/>
    <cellStyle name="Calculation 3 3 2 3 2 2 4" xfId="11511" xr:uid="{00000000-0005-0000-0000-0000C51F0000}"/>
    <cellStyle name="Calculation 3 3 2 3 2 2 4 2" xfId="11512" xr:uid="{00000000-0005-0000-0000-0000C61F0000}"/>
    <cellStyle name="Calculation 3 3 2 3 2 2 4 3" xfId="11513" xr:uid="{00000000-0005-0000-0000-0000C71F0000}"/>
    <cellStyle name="Calculation 3 3 2 3 2 2 5" xfId="11514" xr:uid="{00000000-0005-0000-0000-0000C81F0000}"/>
    <cellStyle name="Calculation 3 3 2 3 2 2 5 2" xfId="11515" xr:uid="{00000000-0005-0000-0000-0000C91F0000}"/>
    <cellStyle name="Calculation 3 3 2 3 2 2 5 3" xfId="11516" xr:uid="{00000000-0005-0000-0000-0000CA1F0000}"/>
    <cellStyle name="Calculation 3 3 2 3 2 2 6" xfId="11517" xr:uid="{00000000-0005-0000-0000-0000CB1F0000}"/>
    <cellStyle name="Calculation 3 3 2 3 2 2 6 2" xfId="11518" xr:uid="{00000000-0005-0000-0000-0000CC1F0000}"/>
    <cellStyle name="Calculation 3 3 2 3 2 2 6 3" xfId="11519" xr:uid="{00000000-0005-0000-0000-0000CD1F0000}"/>
    <cellStyle name="Calculation 3 3 2 3 2 2 7" xfId="11520" xr:uid="{00000000-0005-0000-0000-0000CE1F0000}"/>
    <cellStyle name="Calculation 3 3 2 3 2 2 7 2" xfId="11521" xr:uid="{00000000-0005-0000-0000-0000CF1F0000}"/>
    <cellStyle name="Calculation 3 3 2 3 2 2 7 3" xfId="11522" xr:uid="{00000000-0005-0000-0000-0000D01F0000}"/>
    <cellStyle name="Calculation 3 3 2 3 2 2 8" xfId="11523" xr:uid="{00000000-0005-0000-0000-0000D11F0000}"/>
    <cellStyle name="Calculation 3 3 2 3 2 2 9" xfId="11524" xr:uid="{00000000-0005-0000-0000-0000D21F0000}"/>
    <cellStyle name="Calculation 3 3 2 3 2 3" xfId="11525" xr:uid="{00000000-0005-0000-0000-0000D31F0000}"/>
    <cellStyle name="Calculation 3 3 2 3 2 3 2" xfId="11526" xr:uid="{00000000-0005-0000-0000-0000D41F0000}"/>
    <cellStyle name="Calculation 3 3 2 3 2 3 3" xfId="11527" xr:uid="{00000000-0005-0000-0000-0000D51F0000}"/>
    <cellStyle name="Calculation 3 3 2 3 2 4" xfId="11528" xr:uid="{00000000-0005-0000-0000-0000D61F0000}"/>
    <cellStyle name="Calculation 3 3 2 3 2 4 2" xfId="11529" xr:uid="{00000000-0005-0000-0000-0000D71F0000}"/>
    <cellStyle name="Calculation 3 3 2 3 2 4 3" xfId="11530" xr:uid="{00000000-0005-0000-0000-0000D81F0000}"/>
    <cellStyle name="Calculation 3 3 2 3 2 5" xfId="11531" xr:uid="{00000000-0005-0000-0000-0000D91F0000}"/>
    <cellStyle name="Calculation 3 3 2 3 2 5 2" xfId="11532" xr:uid="{00000000-0005-0000-0000-0000DA1F0000}"/>
    <cellStyle name="Calculation 3 3 2 3 2 5 3" xfId="11533" xr:uid="{00000000-0005-0000-0000-0000DB1F0000}"/>
    <cellStyle name="Calculation 3 3 2 3 2 6" xfId="11534" xr:uid="{00000000-0005-0000-0000-0000DC1F0000}"/>
    <cellStyle name="Calculation 3 3 2 3 2 6 2" xfId="11535" xr:uid="{00000000-0005-0000-0000-0000DD1F0000}"/>
    <cellStyle name="Calculation 3 3 2 3 2 6 3" xfId="11536" xr:uid="{00000000-0005-0000-0000-0000DE1F0000}"/>
    <cellStyle name="Calculation 3 3 2 3 2 7" xfId="11537" xr:uid="{00000000-0005-0000-0000-0000DF1F0000}"/>
    <cellStyle name="Calculation 3 3 2 3 2 7 2" xfId="11538" xr:uid="{00000000-0005-0000-0000-0000E01F0000}"/>
    <cellStyle name="Calculation 3 3 2 3 2 7 3" xfId="11539" xr:uid="{00000000-0005-0000-0000-0000E11F0000}"/>
    <cellStyle name="Calculation 3 3 2 3 2 8" xfId="11540" xr:uid="{00000000-0005-0000-0000-0000E21F0000}"/>
    <cellStyle name="Calculation 3 3 2 3 2 8 2" xfId="11541" xr:uid="{00000000-0005-0000-0000-0000E31F0000}"/>
    <cellStyle name="Calculation 3 3 2 3 2 8 3" xfId="11542" xr:uid="{00000000-0005-0000-0000-0000E41F0000}"/>
    <cellStyle name="Calculation 3 3 2 3 2 9" xfId="11543" xr:uid="{00000000-0005-0000-0000-0000E51F0000}"/>
    <cellStyle name="Calculation 3 3 2 3 3" xfId="11544" xr:uid="{00000000-0005-0000-0000-0000E61F0000}"/>
    <cellStyle name="Calculation 3 3 2 3 3 10" xfId="11545" xr:uid="{00000000-0005-0000-0000-0000E71F0000}"/>
    <cellStyle name="Calculation 3 3 2 3 3 2" xfId="11546" xr:uid="{00000000-0005-0000-0000-0000E81F0000}"/>
    <cellStyle name="Calculation 3 3 2 3 3 2 2" xfId="11547" xr:uid="{00000000-0005-0000-0000-0000E91F0000}"/>
    <cellStyle name="Calculation 3 3 2 3 3 2 2 2" xfId="11548" xr:uid="{00000000-0005-0000-0000-0000EA1F0000}"/>
    <cellStyle name="Calculation 3 3 2 3 3 2 2 3" xfId="11549" xr:uid="{00000000-0005-0000-0000-0000EB1F0000}"/>
    <cellStyle name="Calculation 3 3 2 3 3 2 3" xfId="11550" xr:uid="{00000000-0005-0000-0000-0000EC1F0000}"/>
    <cellStyle name="Calculation 3 3 2 3 3 2 3 2" xfId="11551" xr:uid="{00000000-0005-0000-0000-0000ED1F0000}"/>
    <cellStyle name="Calculation 3 3 2 3 3 2 3 3" xfId="11552" xr:uid="{00000000-0005-0000-0000-0000EE1F0000}"/>
    <cellStyle name="Calculation 3 3 2 3 3 2 4" xfId="11553" xr:uid="{00000000-0005-0000-0000-0000EF1F0000}"/>
    <cellStyle name="Calculation 3 3 2 3 3 2 4 2" xfId="11554" xr:uid="{00000000-0005-0000-0000-0000F01F0000}"/>
    <cellStyle name="Calculation 3 3 2 3 3 2 4 3" xfId="11555" xr:uid="{00000000-0005-0000-0000-0000F11F0000}"/>
    <cellStyle name="Calculation 3 3 2 3 3 2 5" xfId="11556" xr:uid="{00000000-0005-0000-0000-0000F21F0000}"/>
    <cellStyle name="Calculation 3 3 2 3 3 2 5 2" xfId="11557" xr:uid="{00000000-0005-0000-0000-0000F31F0000}"/>
    <cellStyle name="Calculation 3 3 2 3 3 2 5 3" xfId="11558" xr:uid="{00000000-0005-0000-0000-0000F41F0000}"/>
    <cellStyle name="Calculation 3 3 2 3 3 2 6" xfId="11559" xr:uid="{00000000-0005-0000-0000-0000F51F0000}"/>
    <cellStyle name="Calculation 3 3 2 3 3 2 6 2" xfId="11560" xr:uid="{00000000-0005-0000-0000-0000F61F0000}"/>
    <cellStyle name="Calculation 3 3 2 3 3 2 6 3" xfId="11561" xr:uid="{00000000-0005-0000-0000-0000F71F0000}"/>
    <cellStyle name="Calculation 3 3 2 3 3 2 7" xfId="11562" xr:uid="{00000000-0005-0000-0000-0000F81F0000}"/>
    <cellStyle name="Calculation 3 3 2 3 3 2 7 2" xfId="11563" xr:uid="{00000000-0005-0000-0000-0000F91F0000}"/>
    <cellStyle name="Calculation 3 3 2 3 3 2 7 3" xfId="11564" xr:uid="{00000000-0005-0000-0000-0000FA1F0000}"/>
    <cellStyle name="Calculation 3 3 2 3 3 2 8" xfId="11565" xr:uid="{00000000-0005-0000-0000-0000FB1F0000}"/>
    <cellStyle name="Calculation 3 3 2 3 3 2 9" xfId="11566" xr:uid="{00000000-0005-0000-0000-0000FC1F0000}"/>
    <cellStyle name="Calculation 3 3 2 3 3 3" xfId="11567" xr:uid="{00000000-0005-0000-0000-0000FD1F0000}"/>
    <cellStyle name="Calculation 3 3 2 3 3 3 2" xfId="11568" xr:uid="{00000000-0005-0000-0000-0000FE1F0000}"/>
    <cellStyle name="Calculation 3 3 2 3 3 3 3" xfId="11569" xr:uid="{00000000-0005-0000-0000-0000FF1F0000}"/>
    <cellStyle name="Calculation 3 3 2 3 3 4" xfId="11570" xr:uid="{00000000-0005-0000-0000-000000200000}"/>
    <cellStyle name="Calculation 3 3 2 3 3 4 2" xfId="11571" xr:uid="{00000000-0005-0000-0000-000001200000}"/>
    <cellStyle name="Calculation 3 3 2 3 3 4 3" xfId="11572" xr:uid="{00000000-0005-0000-0000-000002200000}"/>
    <cellStyle name="Calculation 3 3 2 3 3 5" xfId="11573" xr:uid="{00000000-0005-0000-0000-000003200000}"/>
    <cellStyle name="Calculation 3 3 2 3 3 5 2" xfId="11574" xr:uid="{00000000-0005-0000-0000-000004200000}"/>
    <cellStyle name="Calculation 3 3 2 3 3 5 3" xfId="11575" xr:uid="{00000000-0005-0000-0000-000005200000}"/>
    <cellStyle name="Calculation 3 3 2 3 3 6" xfId="11576" xr:uid="{00000000-0005-0000-0000-000006200000}"/>
    <cellStyle name="Calculation 3 3 2 3 3 6 2" xfId="11577" xr:uid="{00000000-0005-0000-0000-000007200000}"/>
    <cellStyle name="Calculation 3 3 2 3 3 6 3" xfId="11578" xr:uid="{00000000-0005-0000-0000-000008200000}"/>
    <cellStyle name="Calculation 3 3 2 3 3 7" xfId="11579" xr:uid="{00000000-0005-0000-0000-000009200000}"/>
    <cellStyle name="Calculation 3 3 2 3 3 7 2" xfId="11580" xr:uid="{00000000-0005-0000-0000-00000A200000}"/>
    <cellStyle name="Calculation 3 3 2 3 3 7 3" xfId="11581" xr:uid="{00000000-0005-0000-0000-00000B200000}"/>
    <cellStyle name="Calculation 3 3 2 3 3 8" xfId="11582" xr:uid="{00000000-0005-0000-0000-00000C200000}"/>
    <cellStyle name="Calculation 3 3 2 3 3 8 2" xfId="11583" xr:uid="{00000000-0005-0000-0000-00000D200000}"/>
    <cellStyle name="Calculation 3 3 2 3 3 8 3" xfId="11584" xr:uid="{00000000-0005-0000-0000-00000E200000}"/>
    <cellStyle name="Calculation 3 3 2 3 3 9" xfId="11585" xr:uid="{00000000-0005-0000-0000-00000F200000}"/>
    <cellStyle name="Calculation 3 3 2 3 4" xfId="11586" xr:uid="{00000000-0005-0000-0000-000010200000}"/>
    <cellStyle name="Calculation 3 3 2 3 4 10" xfId="11587" xr:uid="{00000000-0005-0000-0000-000011200000}"/>
    <cellStyle name="Calculation 3 3 2 3 4 2" xfId="11588" xr:uid="{00000000-0005-0000-0000-000012200000}"/>
    <cellStyle name="Calculation 3 3 2 3 4 2 2" xfId="11589" xr:uid="{00000000-0005-0000-0000-000013200000}"/>
    <cellStyle name="Calculation 3 3 2 3 4 2 2 2" xfId="11590" xr:uid="{00000000-0005-0000-0000-000014200000}"/>
    <cellStyle name="Calculation 3 3 2 3 4 2 2 3" xfId="11591" xr:uid="{00000000-0005-0000-0000-000015200000}"/>
    <cellStyle name="Calculation 3 3 2 3 4 2 3" xfId="11592" xr:uid="{00000000-0005-0000-0000-000016200000}"/>
    <cellStyle name="Calculation 3 3 2 3 4 2 3 2" xfId="11593" xr:uid="{00000000-0005-0000-0000-000017200000}"/>
    <cellStyle name="Calculation 3 3 2 3 4 2 3 3" xfId="11594" xr:uid="{00000000-0005-0000-0000-000018200000}"/>
    <cellStyle name="Calculation 3 3 2 3 4 2 4" xfId="11595" xr:uid="{00000000-0005-0000-0000-000019200000}"/>
    <cellStyle name="Calculation 3 3 2 3 4 2 4 2" xfId="11596" xr:uid="{00000000-0005-0000-0000-00001A200000}"/>
    <cellStyle name="Calculation 3 3 2 3 4 2 4 3" xfId="11597" xr:uid="{00000000-0005-0000-0000-00001B200000}"/>
    <cellStyle name="Calculation 3 3 2 3 4 2 5" xfId="11598" xr:uid="{00000000-0005-0000-0000-00001C200000}"/>
    <cellStyle name="Calculation 3 3 2 3 4 2 5 2" xfId="11599" xr:uid="{00000000-0005-0000-0000-00001D200000}"/>
    <cellStyle name="Calculation 3 3 2 3 4 2 5 3" xfId="11600" xr:uid="{00000000-0005-0000-0000-00001E200000}"/>
    <cellStyle name="Calculation 3 3 2 3 4 2 6" xfId="11601" xr:uid="{00000000-0005-0000-0000-00001F200000}"/>
    <cellStyle name="Calculation 3 3 2 3 4 2 6 2" xfId="11602" xr:uid="{00000000-0005-0000-0000-000020200000}"/>
    <cellStyle name="Calculation 3 3 2 3 4 2 6 3" xfId="11603" xr:uid="{00000000-0005-0000-0000-000021200000}"/>
    <cellStyle name="Calculation 3 3 2 3 4 2 7" xfId="11604" xr:uid="{00000000-0005-0000-0000-000022200000}"/>
    <cellStyle name="Calculation 3 3 2 3 4 2 7 2" xfId="11605" xr:uid="{00000000-0005-0000-0000-000023200000}"/>
    <cellStyle name="Calculation 3 3 2 3 4 2 7 3" xfId="11606" xr:uid="{00000000-0005-0000-0000-000024200000}"/>
    <cellStyle name="Calculation 3 3 2 3 4 2 8" xfId="11607" xr:uid="{00000000-0005-0000-0000-000025200000}"/>
    <cellStyle name="Calculation 3 3 2 3 4 2 9" xfId="11608" xr:uid="{00000000-0005-0000-0000-000026200000}"/>
    <cellStyle name="Calculation 3 3 2 3 4 3" xfId="11609" xr:uid="{00000000-0005-0000-0000-000027200000}"/>
    <cellStyle name="Calculation 3 3 2 3 4 3 2" xfId="11610" xr:uid="{00000000-0005-0000-0000-000028200000}"/>
    <cellStyle name="Calculation 3 3 2 3 4 3 3" xfId="11611" xr:uid="{00000000-0005-0000-0000-000029200000}"/>
    <cellStyle name="Calculation 3 3 2 3 4 4" xfId="11612" xr:uid="{00000000-0005-0000-0000-00002A200000}"/>
    <cellStyle name="Calculation 3 3 2 3 4 4 2" xfId="11613" xr:uid="{00000000-0005-0000-0000-00002B200000}"/>
    <cellStyle name="Calculation 3 3 2 3 4 4 3" xfId="11614" xr:uid="{00000000-0005-0000-0000-00002C200000}"/>
    <cellStyle name="Calculation 3 3 2 3 4 5" xfId="11615" xr:uid="{00000000-0005-0000-0000-00002D200000}"/>
    <cellStyle name="Calculation 3 3 2 3 4 5 2" xfId="11616" xr:uid="{00000000-0005-0000-0000-00002E200000}"/>
    <cellStyle name="Calculation 3 3 2 3 4 5 3" xfId="11617" xr:uid="{00000000-0005-0000-0000-00002F200000}"/>
    <cellStyle name="Calculation 3 3 2 3 4 6" xfId="11618" xr:uid="{00000000-0005-0000-0000-000030200000}"/>
    <cellStyle name="Calculation 3 3 2 3 4 6 2" xfId="11619" xr:uid="{00000000-0005-0000-0000-000031200000}"/>
    <cellStyle name="Calculation 3 3 2 3 4 6 3" xfId="11620" xr:uid="{00000000-0005-0000-0000-000032200000}"/>
    <cellStyle name="Calculation 3 3 2 3 4 7" xfId="11621" xr:uid="{00000000-0005-0000-0000-000033200000}"/>
    <cellStyle name="Calculation 3 3 2 3 4 7 2" xfId="11622" xr:uid="{00000000-0005-0000-0000-000034200000}"/>
    <cellStyle name="Calculation 3 3 2 3 4 7 3" xfId="11623" xr:uid="{00000000-0005-0000-0000-000035200000}"/>
    <cellStyle name="Calculation 3 3 2 3 4 8" xfId="11624" xr:uid="{00000000-0005-0000-0000-000036200000}"/>
    <cellStyle name="Calculation 3 3 2 3 4 8 2" xfId="11625" xr:uid="{00000000-0005-0000-0000-000037200000}"/>
    <cellStyle name="Calculation 3 3 2 3 4 8 3" xfId="11626" xr:uid="{00000000-0005-0000-0000-000038200000}"/>
    <cellStyle name="Calculation 3 3 2 3 4 9" xfId="11627" xr:uid="{00000000-0005-0000-0000-000039200000}"/>
    <cellStyle name="Calculation 3 3 2 3 5" xfId="11628" xr:uid="{00000000-0005-0000-0000-00003A200000}"/>
    <cellStyle name="Calculation 3 3 2 3 5 2" xfId="11629" xr:uid="{00000000-0005-0000-0000-00003B200000}"/>
    <cellStyle name="Calculation 3 3 2 3 5 2 2" xfId="11630" xr:uid="{00000000-0005-0000-0000-00003C200000}"/>
    <cellStyle name="Calculation 3 3 2 3 5 2 3" xfId="11631" xr:uid="{00000000-0005-0000-0000-00003D200000}"/>
    <cellStyle name="Calculation 3 3 2 3 5 3" xfId="11632" xr:uid="{00000000-0005-0000-0000-00003E200000}"/>
    <cellStyle name="Calculation 3 3 2 3 5 3 2" xfId="11633" xr:uid="{00000000-0005-0000-0000-00003F200000}"/>
    <cellStyle name="Calculation 3 3 2 3 5 3 3" xfId="11634" xr:uid="{00000000-0005-0000-0000-000040200000}"/>
    <cellStyle name="Calculation 3 3 2 3 5 4" xfId="11635" xr:uid="{00000000-0005-0000-0000-000041200000}"/>
    <cellStyle name="Calculation 3 3 2 3 5 4 2" xfId="11636" xr:uid="{00000000-0005-0000-0000-000042200000}"/>
    <cellStyle name="Calculation 3 3 2 3 5 4 3" xfId="11637" xr:uid="{00000000-0005-0000-0000-000043200000}"/>
    <cellStyle name="Calculation 3 3 2 3 5 5" xfId="11638" xr:uid="{00000000-0005-0000-0000-000044200000}"/>
    <cellStyle name="Calculation 3 3 2 3 5 5 2" xfId="11639" xr:uid="{00000000-0005-0000-0000-000045200000}"/>
    <cellStyle name="Calculation 3 3 2 3 5 5 3" xfId="11640" xr:uid="{00000000-0005-0000-0000-000046200000}"/>
    <cellStyle name="Calculation 3 3 2 3 5 6" xfId="11641" xr:uid="{00000000-0005-0000-0000-000047200000}"/>
    <cellStyle name="Calculation 3 3 2 3 5 6 2" xfId="11642" xr:uid="{00000000-0005-0000-0000-000048200000}"/>
    <cellStyle name="Calculation 3 3 2 3 5 6 3" xfId="11643" xr:uid="{00000000-0005-0000-0000-000049200000}"/>
    <cellStyle name="Calculation 3 3 2 3 5 7" xfId="11644" xr:uid="{00000000-0005-0000-0000-00004A200000}"/>
    <cellStyle name="Calculation 3 3 2 3 5 7 2" xfId="11645" xr:uid="{00000000-0005-0000-0000-00004B200000}"/>
    <cellStyle name="Calculation 3 3 2 3 5 7 3" xfId="11646" xr:uid="{00000000-0005-0000-0000-00004C200000}"/>
    <cellStyle name="Calculation 3 3 2 3 5 8" xfId="11647" xr:uid="{00000000-0005-0000-0000-00004D200000}"/>
    <cellStyle name="Calculation 3 3 2 3 5 9" xfId="11648" xr:uid="{00000000-0005-0000-0000-00004E200000}"/>
    <cellStyle name="Calculation 3 3 2 3 6" xfId="11649" xr:uid="{00000000-0005-0000-0000-00004F200000}"/>
    <cellStyle name="Calculation 3 3 2 3 6 2" xfId="11650" xr:uid="{00000000-0005-0000-0000-000050200000}"/>
    <cellStyle name="Calculation 3 3 2 3 6 3" xfId="11651" xr:uid="{00000000-0005-0000-0000-000051200000}"/>
    <cellStyle name="Calculation 3 3 2 3 7" xfId="11652" xr:uid="{00000000-0005-0000-0000-000052200000}"/>
    <cellStyle name="Calculation 3 3 2 3 7 2" xfId="11653" xr:uid="{00000000-0005-0000-0000-000053200000}"/>
    <cellStyle name="Calculation 3 3 2 3 7 3" xfId="11654" xr:uid="{00000000-0005-0000-0000-000054200000}"/>
    <cellStyle name="Calculation 3 3 2 3 8" xfId="11655" xr:uid="{00000000-0005-0000-0000-000055200000}"/>
    <cellStyle name="Calculation 3 3 2 3 8 2" xfId="11656" xr:uid="{00000000-0005-0000-0000-000056200000}"/>
    <cellStyle name="Calculation 3 3 2 3 8 3" xfId="11657" xr:uid="{00000000-0005-0000-0000-000057200000}"/>
    <cellStyle name="Calculation 3 3 2 3 9" xfId="11658" xr:uid="{00000000-0005-0000-0000-000058200000}"/>
    <cellStyle name="Calculation 3 3 2 3 9 2" xfId="11659" xr:uid="{00000000-0005-0000-0000-000059200000}"/>
    <cellStyle name="Calculation 3 3 2 3 9 3" xfId="11660" xr:uid="{00000000-0005-0000-0000-00005A200000}"/>
    <cellStyle name="Calculation 3 3 2 4" xfId="11661" xr:uid="{00000000-0005-0000-0000-00005B200000}"/>
    <cellStyle name="Calculation 3 3 2 4 10" xfId="44011" xr:uid="{00000000-0005-0000-0000-00005C200000}"/>
    <cellStyle name="Calculation 3 3 2 4 2" xfId="11662" xr:uid="{00000000-0005-0000-0000-00005D200000}"/>
    <cellStyle name="Calculation 3 3 2 4 2 10" xfId="11663" xr:uid="{00000000-0005-0000-0000-00005E200000}"/>
    <cellStyle name="Calculation 3 3 2 4 2 2" xfId="11664" xr:uid="{00000000-0005-0000-0000-00005F200000}"/>
    <cellStyle name="Calculation 3 3 2 4 2 2 2" xfId="11665" xr:uid="{00000000-0005-0000-0000-000060200000}"/>
    <cellStyle name="Calculation 3 3 2 4 2 2 2 2" xfId="11666" xr:uid="{00000000-0005-0000-0000-000061200000}"/>
    <cellStyle name="Calculation 3 3 2 4 2 2 2 3" xfId="11667" xr:uid="{00000000-0005-0000-0000-000062200000}"/>
    <cellStyle name="Calculation 3 3 2 4 2 2 3" xfId="11668" xr:uid="{00000000-0005-0000-0000-000063200000}"/>
    <cellStyle name="Calculation 3 3 2 4 2 2 3 2" xfId="11669" xr:uid="{00000000-0005-0000-0000-000064200000}"/>
    <cellStyle name="Calculation 3 3 2 4 2 2 3 3" xfId="11670" xr:uid="{00000000-0005-0000-0000-000065200000}"/>
    <cellStyle name="Calculation 3 3 2 4 2 2 4" xfId="11671" xr:uid="{00000000-0005-0000-0000-000066200000}"/>
    <cellStyle name="Calculation 3 3 2 4 2 2 4 2" xfId="11672" xr:uid="{00000000-0005-0000-0000-000067200000}"/>
    <cellStyle name="Calculation 3 3 2 4 2 2 4 3" xfId="11673" xr:uid="{00000000-0005-0000-0000-000068200000}"/>
    <cellStyle name="Calculation 3 3 2 4 2 2 5" xfId="11674" xr:uid="{00000000-0005-0000-0000-000069200000}"/>
    <cellStyle name="Calculation 3 3 2 4 2 2 5 2" xfId="11675" xr:uid="{00000000-0005-0000-0000-00006A200000}"/>
    <cellStyle name="Calculation 3 3 2 4 2 2 5 3" xfId="11676" xr:uid="{00000000-0005-0000-0000-00006B200000}"/>
    <cellStyle name="Calculation 3 3 2 4 2 2 6" xfId="11677" xr:uid="{00000000-0005-0000-0000-00006C200000}"/>
    <cellStyle name="Calculation 3 3 2 4 2 2 6 2" xfId="11678" xr:uid="{00000000-0005-0000-0000-00006D200000}"/>
    <cellStyle name="Calculation 3 3 2 4 2 2 6 3" xfId="11679" xr:uid="{00000000-0005-0000-0000-00006E200000}"/>
    <cellStyle name="Calculation 3 3 2 4 2 2 7" xfId="11680" xr:uid="{00000000-0005-0000-0000-00006F200000}"/>
    <cellStyle name="Calculation 3 3 2 4 2 2 7 2" xfId="11681" xr:uid="{00000000-0005-0000-0000-000070200000}"/>
    <cellStyle name="Calculation 3 3 2 4 2 2 7 3" xfId="11682" xr:uid="{00000000-0005-0000-0000-000071200000}"/>
    <cellStyle name="Calculation 3 3 2 4 2 2 8" xfId="11683" xr:uid="{00000000-0005-0000-0000-000072200000}"/>
    <cellStyle name="Calculation 3 3 2 4 2 2 9" xfId="11684" xr:uid="{00000000-0005-0000-0000-000073200000}"/>
    <cellStyle name="Calculation 3 3 2 4 2 3" xfId="11685" xr:uid="{00000000-0005-0000-0000-000074200000}"/>
    <cellStyle name="Calculation 3 3 2 4 2 3 2" xfId="11686" xr:uid="{00000000-0005-0000-0000-000075200000}"/>
    <cellStyle name="Calculation 3 3 2 4 2 3 3" xfId="11687" xr:uid="{00000000-0005-0000-0000-000076200000}"/>
    <cellStyle name="Calculation 3 3 2 4 2 4" xfId="11688" xr:uid="{00000000-0005-0000-0000-000077200000}"/>
    <cellStyle name="Calculation 3 3 2 4 2 4 2" xfId="11689" xr:uid="{00000000-0005-0000-0000-000078200000}"/>
    <cellStyle name="Calculation 3 3 2 4 2 4 3" xfId="11690" xr:uid="{00000000-0005-0000-0000-000079200000}"/>
    <cellStyle name="Calculation 3 3 2 4 2 5" xfId="11691" xr:uid="{00000000-0005-0000-0000-00007A200000}"/>
    <cellStyle name="Calculation 3 3 2 4 2 5 2" xfId="11692" xr:uid="{00000000-0005-0000-0000-00007B200000}"/>
    <cellStyle name="Calculation 3 3 2 4 2 5 3" xfId="11693" xr:uid="{00000000-0005-0000-0000-00007C200000}"/>
    <cellStyle name="Calculation 3 3 2 4 2 6" xfId="11694" xr:uid="{00000000-0005-0000-0000-00007D200000}"/>
    <cellStyle name="Calculation 3 3 2 4 2 6 2" xfId="11695" xr:uid="{00000000-0005-0000-0000-00007E200000}"/>
    <cellStyle name="Calculation 3 3 2 4 2 6 3" xfId="11696" xr:uid="{00000000-0005-0000-0000-00007F200000}"/>
    <cellStyle name="Calculation 3 3 2 4 2 7" xfId="11697" xr:uid="{00000000-0005-0000-0000-000080200000}"/>
    <cellStyle name="Calculation 3 3 2 4 2 7 2" xfId="11698" xr:uid="{00000000-0005-0000-0000-000081200000}"/>
    <cellStyle name="Calculation 3 3 2 4 2 7 3" xfId="11699" xr:uid="{00000000-0005-0000-0000-000082200000}"/>
    <cellStyle name="Calculation 3 3 2 4 2 8" xfId="11700" xr:uid="{00000000-0005-0000-0000-000083200000}"/>
    <cellStyle name="Calculation 3 3 2 4 2 8 2" xfId="11701" xr:uid="{00000000-0005-0000-0000-000084200000}"/>
    <cellStyle name="Calculation 3 3 2 4 2 8 3" xfId="11702" xr:uid="{00000000-0005-0000-0000-000085200000}"/>
    <cellStyle name="Calculation 3 3 2 4 2 9" xfId="11703" xr:uid="{00000000-0005-0000-0000-000086200000}"/>
    <cellStyle name="Calculation 3 3 2 4 3" xfId="11704" xr:uid="{00000000-0005-0000-0000-000087200000}"/>
    <cellStyle name="Calculation 3 3 2 4 3 10" xfId="11705" xr:uid="{00000000-0005-0000-0000-000088200000}"/>
    <cellStyle name="Calculation 3 3 2 4 3 2" xfId="11706" xr:uid="{00000000-0005-0000-0000-000089200000}"/>
    <cellStyle name="Calculation 3 3 2 4 3 2 2" xfId="11707" xr:uid="{00000000-0005-0000-0000-00008A200000}"/>
    <cellStyle name="Calculation 3 3 2 4 3 2 2 2" xfId="11708" xr:uid="{00000000-0005-0000-0000-00008B200000}"/>
    <cellStyle name="Calculation 3 3 2 4 3 2 2 3" xfId="11709" xr:uid="{00000000-0005-0000-0000-00008C200000}"/>
    <cellStyle name="Calculation 3 3 2 4 3 2 3" xfId="11710" xr:uid="{00000000-0005-0000-0000-00008D200000}"/>
    <cellStyle name="Calculation 3 3 2 4 3 2 3 2" xfId="11711" xr:uid="{00000000-0005-0000-0000-00008E200000}"/>
    <cellStyle name="Calculation 3 3 2 4 3 2 3 3" xfId="11712" xr:uid="{00000000-0005-0000-0000-00008F200000}"/>
    <cellStyle name="Calculation 3 3 2 4 3 2 4" xfId="11713" xr:uid="{00000000-0005-0000-0000-000090200000}"/>
    <cellStyle name="Calculation 3 3 2 4 3 2 4 2" xfId="11714" xr:uid="{00000000-0005-0000-0000-000091200000}"/>
    <cellStyle name="Calculation 3 3 2 4 3 2 4 3" xfId="11715" xr:uid="{00000000-0005-0000-0000-000092200000}"/>
    <cellStyle name="Calculation 3 3 2 4 3 2 5" xfId="11716" xr:uid="{00000000-0005-0000-0000-000093200000}"/>
    <cellStyle name="Calculation 3 3 2 4 3 2 5 2" xfId="11717" xr:uid="{00000000-0005-0000-0000-000094200000}"/>
    <cellStyle name="Calculation 3 3 2 4 3 2 5 3" xfId="11718" xr:uid="{00000000-0005-0000-0000-000095200000}"/>
    <cellStyle name="Calculation 3 3 2 4 3 2 6" xfId="11719" xr:uid="{00000000-0005-0000-0000-000096200000}"/>
    <cellStyle name="Calculation 3 3 2 4 3 2 6 2" xfId="11720" xr:uid="{00000000-0005-0000-0000-000097200000}"/>
    <cellStyle name="Calculation 3 3 2 4 3 2 6 3" xfId="11721" xr:uid="{00000000-0005-0000-0000-000098200000}"/>
    <cellStyle name="Calculation 3 3 2 4 3 2 7" xfId="11722" xr:uid="{00000000-0005-0000-0000-000099200000}"/>
    <cellStyle name="Calculation 3 3 2 4 3 2 7 2" xfId="11723" xr:uid="{00000000-0005-0000-0000-00009A200000}"/>
    <cellStyle name="Calculation 3 3 2 4 3 2 7 3" xfId="11724" xr:uid="{00000000-0005-0000-0000-00009B200000}"/>
    <cellStyle name="Calculation 3 3 2 4 3 2 8" xfId="11725" xr:uid="{00000000-0005-0000-0000-00009C200000}"/>
    <cellStyle name="Calculation 3 3 2 4 3 2 9" xfId="11726" xr:uid="{00000000-0005-0000-0000-00009D200000}"/>
    <cellStyle name="Calculation 3 3 2 4 3 3" xfId="11727" xr:uid="{00000000-0005-0000-0000-00009E200000}"/>
    <cellStyle name="Calculation 3 3 2 4 3 3 2" xfId="11728" xr:uid="{00000000-0005-0000-0000-00009F200000}"/>
    <cellStyle name="Calculation 3 3 2 4 3 3 3" xfId="11729" xr:uid="{00000000-0005-0000-0000-0000A0200000}"/>
    <cellStyle name="Calculation 3 3 2 4 3 4" xfId="11730" xr:uid="{00000000-0005-0000-0000-0000A1200000}"/>
    <cellStyle name="Calculation 3 3 2 4 3 4 2" xfId="11731" xr:uid="{00000000-0005-0000-0000-0000A2200000}"/>
    <cellStyle name="Calculation 3 3 2 4 3 4 3" xfId="11732" xr:uid="{00000000-0005-0000-0000-0000A3200000}"/>
    <cellStyle name="Calculation 3 3 2 4 3 5" xfId="11733" xr:uid="{00000000-0005-0000-0000-0000A4200000}"/>
    <cellStyle name="Calculation 3 3 2 4 3 5 2" xfId="11734" xr:uid="{00000000-0005-0000-0000-0000A5200000}"/>
    <cellStyle name="Calculation 3 3 2 4 3 5 3" xfId="11735" xr:uid="{00000000-0005-0000-0000-0000A6200000}"/>
    <cellStyle name="Calculation 3 3 2 4 3 6" xfId="11736" xr:uid="{00000000-0005-0000-0000-0000A7200000}"/>
    <cellStyle name="Calculation 3 3 2 4 3 6 2" xfId="11737" xr:uid="{00000000-0005-0000-0000-0000A8200000}"/>
    <cellStyle name="Calculation 3 3 2 4 3 6 3" xfId="11738" xr:uid="{00000000-0005-0000-0000-0000A9200000}"/>
    <cellStyle name="Calculation 3 3 2 4 3 7" xfId="11739" xr:uid="{00000000-0005-0000-0000-0000AA200000}"/>
    <cellStyle name="Calculation 3 3 2 4 3 7 2" xfId="11740" xr:uid="{00000000-0005-0000-0000-0000AB200000}"/>
    <cellStyle name="Calculation 3 3 2 4 3 7 3" xfId="11741" xr:uid="{00000000-0005-0000-0000-0000AC200000}"/>
    <cellStyle name="Calculation 3 3 2 4 3 8" xfId="11742" xr:uid="{00000000-0005-0000-0000-0000AD200000}"/>
    <cellStyle name="Calculation 3 3 2 4 3 8 2" xfId="11743" xr:uid="{00000000-0005-0000-0000-0000AE200000}"/>
    <cellStyle name="Calculation 3 3 2 4 3 8 3" xfId="11744" xr:uid="{00000000-0005-0000-0000-0000AF200000}"/>
    <cellStyle name="Calculation 3 3 2 4 3 9" xfId="11745" xr:uid="{00000000-0005-0000-0000-0000B0200000}"/>
    <cellStyle name="Calculation 3 3 2 4 4" xfId="11746" xr:uid="{00000000-0005-0000-0000-0000B1200000}"/>
    <cellStyle name="Calculation 3 3 2 4 4 10" xfId="11747" xr:uid="{00000000-0005-0000-0000-0000B2200000}"/>
    <cellStyle name="Calculation 3 3 2 4 4 2" xfId="11748" xr:uid="{00000000-0005-0000-0000-0000B3200000}"/>
    <cellStyle name="Calculation 3 3 2 4 4 2 2" xfId="11749" xr:uid="{00000000-0005-0000-0000-0000B4200000}"/>
    <cellStyle name="Calculation 3 3 2 4 4 2 2 2" xfId="11750" xr:uid="{00000000-0005-0000-0000-0000B5200000}"/>
    <cellStyle name="Calculation 3 3 2 4 4 2 2 3" xfId="11751" xr:uid="{00000000-0005-0000-0000-0000B6200000}"/>
    <cellStyle name="Calculation 3 3 2 4 4 2 3" xfId="11752" xr:uid="{00000000-0005-0000-0000-0000B7200000}"/>
    <cellStyle name="Calculation 3 3 2 4 4 2 3 2" xfId="11753" xr:uid="{00000000-0005-0000-0000-0000B8200000}"/>
    <cellStyle name="Calculation 3 3 2 4 4 2 3 3" xfId="11754" xr:uid="{00000000-0005-0000-0000-0000B9200000}"/>
    <cellStyle name="Calculation 3 3 2 4 4 2 4" xfId="11755" xr:uid="{00000000-0005-0000-0000-0000BA200000}"/>
    <cellStyle name="Calculation 3 3 2 4 4 2 4 2" xfId="11756" xr:uid="{00000000-0005-0000-0000-0000BB200000}"/>
    <cellStyle name="Calculation 3 3 2 4 4 2 4 3" xfId="11757" xr:uid="{00000000-0005-0000-0000-0000BC200000}"/>
    <cellStyle name="Calculation 3 3 2 4 4 2 5" xfId="11758" xr:uid="{00000000-0005-0000-0000-0000BD200000}"/>
    <cellStyle name="Calculation 3 3 2 4 4 2 5 2" xfId="11759" xr:uid="{00000000-0005-0000-0000-0000BE200000}"/>
    <cellStyle name="Calculation 3 3 2 4 4 2 5 3" xfId="11760" xr:uid="{00000000-0005-0000-0000-0000BF200000}"/>
    <cellStyle name="Calculation 3 3 2 4 4 2 6" xfId="11761" xr:uid="{00000000-0005-0000-0000-0000C0200000}"/>
    <cellStyle name="Calculation 3 3 2 4 4 2 6 2" xfId="11762" xr:uid="{00000000-0005-0000-0000-0000C1200000}"/>
    <cellStyle name="Calculation 3 3 2 4 4 2 6 3" xfId="11763" xr:uid="{00000000-0005-0000-0000-0000C2200000}"/>
    <cellStyle name="Calculation 3 3 2 4 4 2 7" xfId="11764" xr:uid="{00000000-0005-0000-0000-0000C3200000}"/>
    <cellStyle name="Calculation 3 3 2 4 4 2 7 2" xfId="11765" xr:uid="{00000000-0005-0000-0000-0000C4200000}"/>
    <cellStyle name="Calculation 3 3 2 4 4 2 7 3" xfId="11766" xr:uid="{00000000-0005-0000-0000-0000C5200000}"/>
    <cellStyle name="Calculation 3 3 2 4 4 2 8" xfId="11767" xr:uid="{00000000-0005-0000-0000-0000C6200000}"/>
    <cellStyle name="Calculation 3 3 2 4 4 2 9" xfId="11768" xr:uid="{00000000-0005-0000-0000-0000C7200000}"/>
    <cellStyle name="Calculation 3 3 2 4 4 3" xfId="11769" xr:uid="{00000000-0005-0000-0000-0000C8200000}"/>
    <cellStyle name="Calculation 3 3 2 4 4 3 2" xfId="11770" xr:uid="{00000000-0005-0000-0000-0000C9200000}"/>
    <cellStyle name="Calculation 3 3 2 4 4 3 3" xfId="11771" xr:uid="{00000000-0005-0000-0000-0000CA200000}"/>
    <cellStyle name="Calculation 3 3 2 4 4 4" xfId="11772" xr:uid="{00000000-0005-0000-0000-0000CB200000}"/>
    <cellStyle name="Calculation 3 3 2 4 4 4 2" xfId="11773" xr:uid="{00000000-0005-0000-0000-0000CC200000}"/>
    <cellStyle name="Calculation 3 3 2 4 4 4 3" xfId="11774" xr:uid="{00000000-0005-0000-0000-0000CD200000}"/>
    <cellStyle name="Calculation 3 3 2 4 4 5" xfId="11775" xr:uid="{00000000-0005-0000-0000-0000CE200000}"/>
    <cellStyle name="Calculation 3 3 2 4 4 5 2" xfId="11776" xr:uid="{00000000-0005-0000-0000-0000CF200000}"/>
    <cellStyle name="Calculation 3 3 2 4 4 5 3" xfId="11777" xr:uid="{00000000-0005-0000-0000-0000D0200000}"/>
    <cellStyle name="Calculation 3 3 2 4 4 6" xfId="11778" xr:uid="{00000000-0005-0000-0000-0000D1200000}"/>
    <cellStyle name="Calculation 3 3 2 4 4 6 2" xfId="11779" xr:uid="{00000000-0005-0000-0000-0000D2200000}"/>
    <cellStyle name="Calculation 3 3 2 4 4 6 3" xfId="11780" xr:uid="{00000000-0005-0000-0000-0000D3200000}"/>
    <cellStyle name="Calculation 3 3 2 4 4 7" xfId="11781" xr:uid="{00000000-0005-0000-0000-0000D4200000}"/>
    <cellStyle name="Calculation 3 3 2 4 4 7 2" xfId="11782" xr:uid="{00000000-0005-0000-0000-0000D5200000}"/>
    <cellStyle name="Calculation 3 3 2 4 4 7 3" xfId="11783" xr:uid="{00000000-0005-0000-0000-0000D6200000}"/>
    <cellStyle name="Calculation 3 3 2 4 4 8" xfId="11784" xr:uid="{00000000-0005-0000-0000-0000D7200000}"/>
    <cellStyle name="Calculation 3 3 2 4 4 8 2" xfId="11785" xr:uid="{00000000-0005-0000-0000-0000D8200000}"/>
    <cellStyle name="Calculation 3 3 2 4 4 8 3" xfId="11786" xr:uid="{00000000-0005-0000-0000-0000D9200000}"/>
    <cellStyle name="Calculation 3 3 2 4 4 9" xfId="11787" xr:uid="{00000000-0005-0000-0000-0000DA200000}"/>
    <cellStyle name="Calculation 3 3 2 4 5" xfId="11788" xr:uid="{00000000-0005-0000-0000-0000DB200000}"/>
    <cellStyle name="Calculation 3 3 2 4 5 2" xfId="11789" xr:uid="{00000000-0005-0000-0000-0000DC200000}"/>
    <cellStyle name="Calculation 3 3 2 4 5 2 2" xfId="11790" xr:uid="{00000000-0005-0000-0000-0000DD200000}"/>
    <cellStyle name="Calculation 3 3 2 4 5 2 3" xfId="11791" xr:uid="{00000000-0005-0000-0000-0000DE200000}"/>
    <cellStyle name="Calculation 3 3 2 4 5 3" xfId="11792" xr:uid="{00000000-0005-0000-0000-0000DF200000}"/>
    <cellStyle name="Calculation 3 3 2 4 5 3 2" xfId="11793" xr:uid="{00000000-0005-0000-0000-0000E0200000}"/>
    <cellStyle name="Calculation 3 3 2 4 5 3 3" xfId="11794" xr:uid="{00000000-0005-0000-0000-0000E1200000}"/>
    <cellStyle name="Calculation 3 3 2 4 5 4" xfId="11795" xr:uid="{00000000-0005-0000-0000-0000E2200000}"/>
    <cellStyle name="Calculation 3 3 2 4 5 4 2" xfId="11796" xr:uid="{00000000-0005-0000-0000-0000E3200000}"/>
    <cellStyle name="Calculation 3 3 2 4 5 4 3" xfId="11797" xr:uid="{00000000-0005-0000-0000-0000E4200000}"/>
    <cellStyle name="Calculation 3 3 2 4 5 5" xfId="11798" xr:uid="{00000000-0005-0000-0000-0000E5200000}"/>
    <cellStyle name="Calculation 3 3 2 4 5 5 2" xfId="11799" xr:uid="{00000000-0005-0000-0000-0000E6200000}"/>
    <cellStyle name="Calculation 3 3 2 4 5 5 3" xfId="11800" xr:uid="{00000000-0005-0000-0000-0000E7200000}"/>
    <cellStyle name="Calculation 3 3 2 4 5 6" xfId="11801" xr:uid="{00000000-0005-0000-0000-0000E8200000}"/>
    <cellStyle name="Calculation 3 3 2 4 5 6 2" xfId="11802" xr:uid="{00000000-0005-0000-0000-0000E9200000}"/>
    <cellStyle name="Calculation 3 3 2 4 5 6 3" xfId="11803" xr:uid="{00000000-0005-0000-0000-0000EA200000}"/>
    <cellStyle name="Calculation 3 3 2 4 5 7" xfId="11804" xr:uid="{00000000-0005-0000-0000-0000EB200000}"/>
    <cellStyle name="Calculation 3 3 2 4 5 7 2" xfId="11805" xr:uid="{00000000-0005-0000-0000-0000EC200000}"/>
    <cellStyle name="Calculation 3 3 2 4 5 7 3" xfId="11806" xr:uid="{00000000-0005-0000-0000-0000ED200000}"/>
    <cellStyle name="Calculation 3 3 2 4 5 8" xfId="11807" xr:uid="{00000000-0005-0000-0000-0000EE200000}"/>
    <cellStyle name="Calculation 3 3 2 4 5 9" xfId="11808" xr:uid="{00000000-0005-0000-0000-0000EF200000}"/>
    <cellStyle name="Calculation 3 3 2 4 6" xfId="11809" xr:uid="{00000000-0005-0000-0000-0000F0200000}"/>
    <cellStyle name="Calculation 3 3 2 4 6 2" xfId="11810" xr:uid="{00000000-0005-0000-0000-0000F1200000}"/>
    <cellStyle name="Calculation 3 3 2 4 6 3" xfId="11811" xr:uid="{00000000-0005-0000-0000-0000F2200000}"/>
    <cellStyle name="Calculation 3 3 2 4 7" xfId="11812" xr:uid="{00000000-0005-0000-0000-0000F3200000}"/>
    <cellStyle name="Calculation 3 3 2 4 7 2" xfId="11813" xr:uid="{00000000-0005-0000-0000-0000F4200000}"/>
    <cellStyle name="Calculation 3 3 2 4 7 3" xfId="11814" xr:uid="{00000000-0005-0000-0000-0000F5200000}"/>
    <cellStyle name="Calculation 3 3 2 4 8" xfId="11815" xr:uid="{00000000-0005-0000-0000-0000F6200000}"/>
    <cellStyle name="Calculation 3 3 2 4 8 2" xfId="11816" xr:uid="{00000000-0005-0000-0000-0000F7200000}"/>
    <cellStyle name="Calculation 3 3 2 4 8 3" xfId="11817" xr:uid="{00000000-0005-0000-0000-0000F8200000}"/>
    <cellStyle name="Calculation 3 3 2 4 9" xfId="11818" xr:uid="{00000000-0005-0000-0000-0000F9200000}"/>
    <cellStyle name="Calculation 3 3 2 4 9 2" xfId="11819" xr:uid="{00000000-0005-0000-0000-0000FA200000}"/>
    <cellStyle name="Calculation 3 3 2 4 9 3" xfId="11820" xr:uid="{00000000-0005-0000-0000-0000FB200000}"/>
    <cellStyle name="Calculation 3 3 2 5" xfId="11821" xr:uid="{00000000-0005-0000-0000-0000FC200000}"/>
    <cellStyle name="Calculation 3 3 2 5 10" xfId="44012" xr:uid="{00000000-0005-0000-0000-0000FD200000}"/>
    <cellStyle name="Calculation 3 3 2 5 2" xfId="11822" xr:uid="{00000000-0005-0000-0000-0000FE200000}"/>
    <cellStyle name="Calculation 3 3 2 5 2 10" xfId="11823" xr:uid="{00000000-0005-0000-0000-0000FF200000}"/>
    <cellStyle name="Calculation 3 3 2 5 2 2" xfId="11824" xr:uid="{00000000-0005-0000-0000-000000210000}"/>
    <cellStyle name="Calculation 3 3 2 5 2 2 2" xfId="11825" xr:uid="{00000000-0005-0000-0000-000001210000}"/>
    <cellStyle name="Calculation 3 3 2 5 2 2 2 2" xfId="11826" xr:uid="{00000000-0005-0000-0000-000002210000}"/>
    <cellStyle name="Calculation 3 3 2 5 2 2 2 3" xfId="11827" xr:uid="{00000000-0005-0000-0000-000003210000}"/>
    <cellStyle name="Calculation 3 3 2 5 2 2 3" xfId="11828" xr:uid="{00000000-0005-0000-0000-000004210000}"/>
    <cellStyle name="Calculation 3 3 2 5 2 2 3 2" xfId="11829" xr:uid="{00000000-0005-0000-0000-000005210000}"/>
    <cellStyle name="Calculation 3 3 2 5 2 2 3 3" xfId="11830" xr:uid="{00000000-0005-0000-0000-000006210000}"/>
    <cellStyle name="Calculation 3 3 2 5 2 2 4" xfId="11831" xr:uid="{00000000-0005-0000-0000-000007210000}"/>
    <cellStyle name="Calculation 3 3 2 5 2 2 4 2" xfId="11832" xr:uid="{00000000-0005-0000-0000-000008210000}"/>
    <cellStyle name="Calculation 3 3 2 5 2 2 4 3" xfId="11833" xr:uid="{00000000-0005-0000-0000-000009210000}"/>
    <cellStyle name="Calculation 3 3 2 5 2 2 5" xfId="11834" xr:uid="{00000000-0005-0000-0000-00000A210000}"/>
    <cellStyle name="Calculation 3 3 2 5 2 2 5 2" xfId="11835" xr:uid="{00000000-0005-0000-0000-00000B210000}"/>
    <cellStyle name="Calculation 3 3 2 5 2 2 5 3" xfId="11836" xr:uid="{00000000-0005-0000-0000-00000C210000}"/>
    <cellStyle name="Calculation 3 3 2 5 2 2 6" xfId="11837" xr:uid="{00000000-0005-0000-0000-00000D210000}"/>
    <cellStyle name="Calculation 3 3 2 5 2 2 6 2" xfId="11838" xr:uid="{00000000-0005-0000-0000-00000E210000}"/>
    <cellStyle name="Calculation 3 3 2 5 2 2 6 3" xfId="11839" xr:uid="{00000000-0005-0000-0000-00000F210000}"/>
    <cellStyle name="Calculation 3 3 2 5 2 2 7" xfId="11840" xr:uid="{00000000-0005-0000-0000-000010210000}"/>
    <cellStyle name="Calculation 3 3 2 5 2 2 7 2" xfId="11841" xr:uid="{00000000-0005-0000-0000-000011210000}"/>
    <cellStyle name="Calculation 3 3 2 5 2 2 7 3" xfId="11842" xr:uid="{00000000-0005-0000-0000-000012210000}"/>
    <cellStyle name="Calculation 3 3 2 5 2 2 8" xfId="11843" xr:uid="{00000000-0005-0000-0000-000013210000}"/>
    <cellStyle name="Calculation 3 3 2 5 2 2 9" xfId="11844" xr:uid="{00000000-0005-0000-0000-000014210000}"/>
    <cellStyle name="Calculation 3 3 2 5 2 3" xfId="11845" xr:uid="{00000000-0005-0000-0000-000015210000}"/>
    <cellStyle name="Calculation 3 3 2 5 2 3 2" xfId="11846" xr:uid="{00000000-0005-0000-0000-000016210000}"/>
    <cellStyle name="Calculation 3 3 2 5 2 3 3" xfId="11847" xr:uid="{00000000-0005-0000-0000-000017210000}"/>
    <cellStyle name="Calculation 3 3 2 5 2 4" xfId="11848" xr:uid="{00000000-0005-0000-0000-000018210000}"/>
    <cellStyle name="Calculation 3 3 2 5 2 4 2" xfId="11849" xr:uid="{00000000-0005-0000-0000-000019210000}"/>
    <cellStyle name="Calculation 3 3 2 5 2 4 3" xfId="11850" xr:uid="{00000000-0005-0000-0000-00001A210000}"/>
    <cellStyle name="Calculation 3 3 2 5 2 5" xfId="11851" xr:uid="{00000000-0005-0000-0000-00001B210000}"/>
    <cellStyle name="Calculation 3 3 2 5 2 5 2" xfId="11852" xr:uid="{00000000-0005-0000-0000-00001C210000}"/>
    <cellStyle name="Calculation 3 3 2 5 2 5 3" xfId="11853" xr:uid="{00000000-0005-0000-0000-00001D210000}"/>
    <cellStyle name="Calculation 3 3 2 5 2 6" xfId="11854" xr:uid="{00000000-0005-0000-0000-00001E210000}"/>
    <cellStyle name="Calculation 3 3 2 5 2 6 2" xfId="11855" xr:uid="{00000000-0005-0000-0000-00001F210000}"/>
    <cellStyle name="Calculation 3 3 2 5 2 6 3" xfId="11856" xr:uid="{00000000-0005-0000-0000-000020210000}"/>
    <cellStyle name="Calculation 3 3 2 5 2 7" xfId="11857" xr:uid="{00000000-0005-0000-0000-000021210000}"/>
    <cellStyle name="Calculation 3 3 2 5 2 7 2" xfId="11858" xr:uid="{00000000-0005-0000-0000-000022210000}"/>
    <cellStyle name="Calculation 3 3 2 5 2 7 3" xfId="11859" xr:uid="{00000000-0005-0000-0000-000023210000}"/>
    <cellStyle name="Calculation 3 3 2 5 2 8" xfId="11860" xr:uid="{00000000-0005-0000-0000-000024210000}"/>
    <cellStyle name="Calculation 3 3 2 5 2 8 2" xfId="11861" xr:uid="{00000000-0005-0000-0000-000025210000}"/>
    <cellStyle name="Calculation 3 3 2 5 2 8 3" xfId="11862" xr:uid="{00000000-0005-0000-0000-000026210000}"/>
    <cellStyle name="Calculation 3 3 2 5 2 9" xfId="11863" xr:uid="{00000000-0005-0000-0000-000027210000}"/>
    <cellStyle name="Calculation 3 3 2 5 3" xfId="11864" xr:uid="{00000000-0005-0000-0000-000028210000}"/>
    <cellStyle name="Calculation 3 3 2 5 3 10" xfId="11865" xr:uid="{00000000-0005-0000-0000-000029210000}"/>
    <cellStyle name="Calculation 3 3 2 5 3 2" xfId="11866" xr:uid="{00000000-0005-0000-0000-00002A210000}"/>
    <cellStyle name="Calculation 3 3 2 5 3 2 2" xfId="11867" xr:uid="{00000000-0005-0000-0000-00002B210000}"/>
    <cellStyle name="Calculation 3 3 2 5 3 2 2 2" xfId="11868" xr:uid="{00000000-0005-0000-0000-00002C210000}"/>
    <cellStyle name="Calculation 3 3 2 5 3 2 2 3" xfId="11869" xr:uid="{00000000-0005-0000-0000-00002D210000}"/>
    <cellStyle name="Calculation 3 3 2 5 3 2 3" xfId="11870" xr:uid="{00000000-0005-0000-0000-00002E210000}"/>
    <cellStyle name="Calculation 3 3 2 5 3 2 3 2" xfId="11871" xr:uid="{00000000-0005-0000-0000-00002F210000}"/>
    <cellStyle name="Calculation 3 3 2 5 3 2 3 3" xfId="11872" xr:uid="{00000000-0005-0000-0000-000030210000}"/>
    <cellStyle name="Calculation 3 3 2 5 3 2 4" xfId="11873" xr:uid="{00000000-0005-0000-0000-000031210000}"/>
    <cellStyle name="Calculation 3 3 2 5 3 2 4 2" xfId="11874" xr:uid="{00000000-0005-0000-0000-000032210000}"/>
    <cellStyle name="Calculation 3 3 2 5 3 2 4 3" xfId="11875" xr:uid="{00000000-0005-0000-0000-000033210000}"/>
    <cellStyle name="Calculation 3 3 2 5 3 2 5" xfId="11876" xr:uid="{00000000-0005-0000-0000-000034210000}"/>
    <cellStyle name="Calculation 3 3 2 5 3 2 5 2" xfId="11877" xr:uid="{00000000-0005-0000-0000-000035210000}"/>
    <cellStyle name="Calculation 3 3 2 5 3 2 5 3" xfId="11878" xr:uid="{00000000-0005-0000-0000-000036210000}"/>
    <cellStyle name="Calculation 3 3 2 5 3 2 6" xfId="11879" xr:uid="{00000000-0005-0000-0000-000037210000}"/>
    <cellStyle name="Calculation 3 3 2 5 3 2 6 2" xfId="11880" xr:uid="{00000000-0005-0000-0000-000038210000}"/>
    <cellStyle name="Calculation 3 3 2 5 3 2 6 3" xfId="11881" xr:uid="{00000000-0005-0000-0000-000039210000}"/>
    <cellStyle name="Calculation 3 3 2 5 3 2 7" xfId="11882" xr:uid="{00000000-0005-0000-0000-00003A210000}"/>
    <cellStyle name="Calculation 3 3 2 5 3 2 7 2" xfId="11883" xr:uid="{00000000-0005-0000-0000-00003B210000}"/>
    <cellStyle name="Calculation 3 3 2 5 3 2 7 3" xfId="11884" xr:uid="{00000000-0005-0000-0000-00003C210000}"/>
    <cellStyle name="Calculation 3 3 2 5 3 2 8" xfId="11885" xr:uid="{00000000-0005-0000-0000-00003D210000}"/>
    <cellStyle name="Calculation 3 3 2 5 3 2 9" xfId="11886" xr:uid="{00000000-0005-0000-0000-00003E210000}"/>
    <cellStyle name="Calculation 3 3 2 5 3 3" xfId="11887" xr:uid="{00000000-0005-0000-0000-00003F210000}"/>
    <cellStyle name="Calculation 3 3 2 5 3 3 2" xfId="11888" xr:uid="{00000000-0005-0000-0000-000040210000}"/>
    <cellStyle name="Calculation 3 3 2 5 3 3 3" xfId="11889" xr:uid="{00000000-0005-0000-0000-000041210000}"/>
    <cellStyle name="Calculation 3 3 2 5 3 4" xfId="11890" xr:uid="{00000000-0005-0000-0000-000042210000}"/>
    <cellStyle name="Calculation 3 3 2 5 3 4 2" xfId="11891" xr:uid="{00000000-0005-0000-0000-000043210000}"/>
    <cellStyle name="Calculation 3 3 2 5 3 4 3" xfId="11892" xr:uid="{00000000-0005-0000-0000-000044210000}"/>
    <cellStyle name="Calculation 3 3 2 5 3 5" xfId="11893" xr:uid="{00000000-0005-0000-0000-000045210000}"/>
    <cellStyle name="Calculation 3 3 2 5 3 5 2" xfId="11894" xr:uid="{00000000-0005-0000-0000-000046210000}"/>
    <cellStyle name="Calculation 3 3 2 5 3 5 3" xfId="11895" xr:uid="{00000000-0005-0000-0000-000047210000}"/>
    <cellStyle name="Calculation 3 3 2 5 3 6" xfId="11896" xr:uid="{00000000-0005-0000-0000-000048210000}"/>
    <cellStyle name="Calculation 3 3 2 5 3 6 2" xfId="11897" xr:uid="{00000000-0005-0000-0000-000049210000}"/>
    <cellStyle name="Calculation 3 3 2 5 3 6 3" xfId="11898" xr:uid="{00000000-0005-0000-0000-00004A210000}"/>
    <cellStyle name="Calculation 3 3 2 5 3 7" xfId="11899" xr:uid="{00000000-0005-0000-0000-00004B210000}"/>
    <cellStyle name="Calculation 3 3 2 5 3 7 2" xfId="11900" xr:uid="{00000000-0005-0000-0000-00004C210000}"/>
    <cellStyle name="Calculation 3 3 2 5 3 7 3" xfId="11901" xr:uid="{00000000-0005-0000-0000-00004D210000}"/>
    <cellStyle name="Calculation 3 3 2 5 3 8" xfId="11902" xr:uid="{00000000-0005-0000-0000-00004E210000}"/>
    <cellStyle name="Calculation 3 3 2 5 3 8 2" xfId="11903" xr:uid="{00000000-0005-0000-0000-00004F210000}"/>
    <cellStyle name="Calculation 3 3 2 5 3 8 3" xfId="11904" xr:uid="{00000000-0005-0000-0000-000050210000}"/>
    <cellStyle name="Calculation 3 3 2 5 3 9" xfId="11905" xr:uid="{00000000-0005-0000-0000-000051210000}"/>
    <cellStyle name="Calculation 3 3 2 5 4" xfId="11906" xr:uid="{00000000-0005-0000-0000-000052210000}"/>
    <cellStyle name="Calculation 3 3 2 5 4 10" xfId="11907" xr:uid="{00000000-0005-0000-0000-000053210000}"/>
    <cellStyle name="Calculation 3 3 2 5 4 2" xfId="11908" xr:uid="{00000000-0005-0000-0000-000054210000}"/>
    <cellStyle name="Calculation 3 3 2 5 4 2 2" xfId="11909" xr:uid="{00000000-0005-0000-0000-000055210000}"/>
    <cellStyle name="Calculation 3 3 2 5 4 2 2 2" xfId="11910" xr:uid="{00000000-0005-0000-0000-000056210000}"/>
    <cellStyle name="Calculation 3 3 2 5 4 2 2 3" xfId="11911" xr:uid="{00000000-0005-0000-0000-000057210000}"/>
    <cellStyle name="Calculation 3 3 2 5 4 2 3" xfId="11912" xr:uid="{00000000-0005-0000-0000-000058210000}"/>
    <cellStyle name="Calculation 3 3 2 5 4 2 3 2" xfId="11913" xr:uid="{00000000-0005-0000-0000-000059210000}"/>
    <cellStyle name="Calculation 3 3 2 5 4 2 3 3" xfId="11914" xr:uid="{00000000-0005-0000-0000-00005A210000}"/>
    <cellStyle name="Calculation 3 3 2 5 4 2 4" xfId="11915" xr:uid="{00000000-0005-0000-0000-00005B210000}"/>
    <cellStyle name="Calculation 3 3 2 5 4 2 4 2" xfId="11916" xr:uid="{00000000-0005-0000-0000-00005C210000}"/>
    <cellStyle name="Calculation 3 3 2 5 4 2 4 3" xfId="11917" xr:uid="{00000000-0005-0000-0000-00005D210000}"/>
    <cellStyle name="Calculation 3 3 2 5 4 2 5" xfId="11918" xr:uid="{00000000-0005-0000-0000-00005E210000}"/>
    <cellStyle name="Calculation 3 3 2 5 4 2 5 2" xfId="11919" xr:uid="{00000000-0005-0000-0000-00005F210000}"/>
    <cellStyle name="Calculation 3 3 2 5 4 2 5 3" xfId="11920" xr:uid="{00000000-0005-0000-0000-000060210000}"/>
    <cellStyle name="Calculation 3 3 2 5 4 2 6" xfId="11921" xr:uid="{00000000-0005-0000-0000-000061210000}"/>
    <cellStyle name="Calculation 3 3 2 5 4 2 6 2" xfId="11922" xr:uid="{00000000-0005-0000-0000-000062210000}"/>
    <cellStyle name="Calculation 3 3 2 5 4 2 6 3" xfId="11923" xr:uid="{00000000-0005-0000-0000-000063210000}"/>
    <cellStyle name="Calculation 3 3 2 5 4 2 7" xfId="11924" xr:uid="{00000000-0005-0000-0000-000064210000}"/>
    <cellStyle name="Calculation 3 3 2 5 4 2 7 2" xfId="11925" xr:uid="{00000000-0005-0000-0000-000065210000}"/>
    <cellStyle name="Calculation 3 3 2 5 4 2 7 3" xfId="11926" xr:uid="{00000000-0005-0000-0000-000066210000}"/>
    <cellStyle name="Calculation 3 3 2 5 4 2 8" xfId="11927" xr:uid="{00000000-0005-0000-0000-000067210000}"/>
    <cellStyle name="Calculation 3 3 2 5 4 2 9" xfId="11928" xr:uid="{00000000-0005-0000-0000-000068210000}"/>
    <cellStyle name="Calculation 3 3 2 5 4 3" xfId="11929" xr:uid="{00000000-0005-0000-0000-000069210000}"/>
    <cellStyle name="Calculation 3 3 2 5 4 3 2" xfId="11930" xr:uid="{00000000-0005-0000-0000-00006A210000}"/>
    <cellStyle name="Calculation 3 3 2 5 4 3 3" xfId="11931" xr:uid="{00000000-0005-0000-0000-00006B210000}"/>
    <cellStyle name="Calculation 3 3 2 5 4 4" xfId="11932" xr:uid="{00000000-0005-0000-0000-00006C210000}"/>
    <cellStyle name="Calculation 3 3 2 5 4 4 2" xfId="11933" xr:uid="{00000000-0005-0000-0000-00006D210000}"/>
    <cellStyle name="Calculation 3 3 2 5 4 4 3" xfId="11934" xr:uid="{00000000-0005-0000-0000-00006E210000}"/>
    <cellStyle name="Calculation 3 3 2 5 4 5" xfId="11935" xr:uid="{00000000-0005-0000-0000-00006F210000}"/>
    <cellStyle name="Calculation 3 3 2 5 4 5 2" xfId="11936" xr:uid="{00000000-0005-0000-0000-000070210000}"/>
    <cellStyle name="Calculation 3 3 2 5 4 5 3" xfId="11937" xr:uid="{00000000-0005-0000-0000-000071210000}"/>
    <cellStyle name="Calculation 3 3 2 5 4 6" xfId="11938" xr:uid="{00000000-0005-0000-0000-000072210000}"/>
    <cellStyle name="Calculation 3 3 2 5 4 6 2" xfId="11939" xr:uid="{00000000-0005-0000-0000-000073210000}"/>
    <cellStyle name="Calculation 3 3 2 5 4 6 3" xfId="11940" xr:uid="{00000000-0005-0000-0000-000074210000}"/>
    <cellStyle name="Calculation 3 3 2 5 4 7" xfId="11941" xr:uid="{00000000-0005-0000-0000-000075210000}"/>
    <cellStyle name="Calculation 3 3 2 5 4 7 2" xfId="11942" xr:uid="{00000000-0005-0000-0000-000076210000}"/>
    <cellStyle name="Calculation 3 3 2 5 4 7 3" xfId="11943" xr:uid="{00000000-0005-0000-0000-000077210000}"/>
    <cellStyle name="Calculation 3 3 2 5 4 8" xfId="11944" xr:uid="{00000000-0005-0000-0000-000078210000}"/>
    <cellStyle name="Calculation 3 3 2 5 4 8 2" xfId="11945" xr:uid="{00000000-0005-0000-0000-000079210000}"/>
    <cellStyle name="Calculation 3 3 2 5 4 8 3" xfId="11946" xr:uid="{00000000-0005-0000-0000-00007A210000}"/>
    <cellStyle name="Calculation 3 3 2 5 4 9" xfId="11947" xr:uid="{00000000-0005-0000-0000-00007B210000}"/>
    <cellStyle name="Calculation 3 3 2 5 5" xfId="11948" xr:uid="{00000000-0005-0000-0000-00007C210000}"/>
    <cellStyle name="Calculation 3 3 2 5 5 2" xfId="11949" xr:uid="{00000000-0005-0000-0000-00007D210000}"/>
    <cellStyle name="Calculation 3 3 2 5 5 2 2" xfId="11950" xr:uid="{00000000-0005-0000-0000-00007E210000}"/>
    <cellStyle name="Calculation 3 3 2 5 5 2 3" xfId="11951" xr:uid="{00000000-0005-0000-0000-00007F210000}"/>
    <cellStyle name="Calculation 3 3 2 5 5 3" xfId="11952" xr:uid="{00000000-0005-0000-0000-000080210000}"/>
    <cellStyle name="Calculation 3 3 2 5 5 3 2" xfId="11953" xr:uid="{00000000-0005-0000-0000-000081210000}"/>
    <cellStyle name="Calculation 3 3 2 5 5 3 3" xfId="11954" xr:uid="{00000000-0005-0000-0000-000082210000}"/>
    <cellStyle name="Calculation 3 3 2 5 5 4" xfId="11955" xr:uid="{00000000-0005-0000-0000-000083210000}"/>
    <cellStyle name="Calculation 3 3 2 5 5 4 2" xfId="11956" xr:uid="{00000000-0005-0000-0000-000084210000}"/>
    <cellStyle name="Calculation 3 3 2 5 5 4 3" xfId="11957" xr:uid="{00000000-0005-0000-0000-000085210000}"/>
    <cellStyle name="Calculation 3 3 2 5 5 5" xfId="11958" xr:uid="{00000000-0005-0000-0000-000086210000}"/>
    <cellStyle name="Calculation 3 3 2 5 5 5 2" xfId="11959" xr:uid="{00000000-0005-0000-0000-000087210000}"/>
    <cellStyle name="Calculation 3 3 2 5 5 5 3" xfId="11960" xr:uid="{00000000-0005-0000-0000-000088210000}"/>
    <cellStyle name="Calculation 3 3 2 5 5 6" xfId="11961" xr:uid="{00000000-0005-0000-0000-000089210000}"/>
    <cellStyle name="Calculation 3 3 2 5 5 6 2" xfId="11962" xr:uid="{00000000-0005-0000-0000-00008A210000}"/>
    <cellStyle name="Calculation 3 3 2 5 5 6 3" xfId="11963" xr:uid="{00000000-0005-0000-0000-00008B210000}"/>
    <cellStyle name="Calculation 3 3 2 5 5 7" xfId="11964" xr:uid="{00000000-0005-0000-0000-00008C210000}"/>
    <cellStyle name="Calculation 3 3 2 5 5 7 2" xfId="11965" xr:uid="{00000000-0005-0000-0000-00008D210000}"/>
    <cellStyle name="Calculation 3 3 2 5 5 7 3" xfId="11966" xr:uid="{00000000-0005-0000-0000-00008E210000}"/>
    <cellStyle name="Calculation 3 3 2 5 5 8" xfId="11967" xr:uid="{00000000-0005-0000-0000-00008F210000}"/>
    <cellStyle name="Calculation 3 3 2 5 5 9" xfId="11968" xr:uid="{00000000-0005-0000-0000-000090210000}"/>
    <cellStyle name="Calculation 3 3 2 5 6" xfId="11969" xr:uid="{00000000-0005-0000-0000-000091210000}"/>
    <cellStyle name="Calculation 3 3 2 5 6 2" xfId="11970" xr:uid="{00000000-0005-0000-0000-000092210000}"/>
    <cellStyle name="Calculation 3 3 2 5 6 3" xfId="11971" xr:uid="{00000000-0005-0000-0000-000093210000}"/>
    <cellStyle name="Calculation 3 3 2 5 7" xfId="11972" xr:uid="{00000000-0005-0000-0000-000094210000}"/>
    <cellStyle name="Calculation 3 3 2 5 7 2" xfId="11973" xr:uid="{00000000-0005-0000-0000-000095210000}"/>
    <cellStyle name="Calculation 3 3 2 5 7 3" xfId="11974" xr:uid="{00000000-0005-0000-0000-000096210000}"/>
    <cellStyle name="Calculation 3 3 2 5 8" xfId="11975" xr:uid="{00000000-0005-0000-0000-000097210000}"/>
    <cellStyle name="Calculation 3 3 2 5 8 2" xfId="11976" xr:uid="{00000000-0005-0000-0000-000098210000}"/>
    <cellStyle name="Calculation 3 3 2 5 8 3" xfId="11977" xr:uid="{00000000-0005-0000-0000-000099210000}"/>
    <cellStyle name="Calculation 3 3 2 5 9" xfId="11978" xr:uid="{00000000-0005-0000-0000-00009A210000}"/>
    <cellStyle name="Calculation 3 3 2 5 9 2" xfId="11979" xr:uid="{00000000-0005-0000-0000-00009B210000}"/>
    <cellStyle name="Calculation 3 3 2 5 9 3" xfId="11980" xr:uid="{00000000-0005-0000-0000-00009C210000}"/>
    <cellStyle name="Calculation 3 3 2 6" xfId="11981" xr:uid="{00000000-0005-0000-0000-00009D210000}"/>
    <cellStyle name="Calculation 3 3 2 6 10" xfId="11982" xr:uid="{00000000-0005-0000-0000-00009E210000}"/>
    <cellStyle name="Calculation 3 3 2 6 2" xfId="11983" xr:uid="{00000000-0005-0000-0000-00009F210000}"/>
    <cellStyle name="Calculation 3 3 2 6 2 2" xfId="11984" xr:uid="{00000000-0005-0000-0000-0000A0210000}"/>
    <cellStyle name="Calculation 3 3 2 6 2 2 2" xfId="11985" xr:uid="{00000000-0005-0000-0000-0000A1210000}"/>
    <cellStyle name="Calculation 3 3 2 6 2 2 3" xfId="11986" xr:uid="{00000000-0005-0000-0000-0000A2210000}"/>
    <cellStyle name="Calculation 3 3 2 6 2 3" xfId="11987" xr:uid="{00000000-0005-0000-0000-0000A3210000}"/>
    <cellStyle name="Calculation 3 3 2 6 2 3 2" xfId="11988" xr:uid="{00000000-0005-0000-0000-0000A4210000}"/>
    <cellStyle name="Calculation 3 3 2 6 2 3 3" xfId="11989" xr:uid="{00000000-0005-0000-0000-0000A5210000}"/>
    <cellStyle name="Calculation 3 3 2 6 2 4" xfId="11990" xr:uid="{00000000-0005-0000-0000-0000A6210000}"/>
    <cellStyle name="Calculation 3 3 2 6 2 4 2" xfId="11991" xr:uid="{00000000-0005-0000-0000-0000A7210000}"/>
    <cellStyle name="Calculation 3 3 2 6 2 4 3" xfId="11992" xr:uid="{00000000-0005-0000-0000-0000A8210000}"/>
    <cellStyle name="Calculation 3 3 2 6 2 5" xfId="11993" xr:uid="{00000000-0005-0000-0000-0000A9210000}"/>
    <cellStyle name="Calculation 3 3 2 6 2 5 2" xfId="11994" xr:uid="{00000000-0005-0000-0000-0000AA210000}"/>
    <cellStyle name="Calculation 3 3 2 6 2 5 3" xfId="11995" xr:uid="{00000000-0005-0000-0000-0000AB210000}"/>
    <cellStyle name="Calculation 3 3 2 6 2 6" xfId="11996" xr:uid="{00000000-0005-0000-0000-0000AC210000}"/>
    <cellStyle name="Calculation 3 3 2 6 2 6 2" xfId="11997" xr:uid="{00000000-0005-0000-0000-0000AD210000}"/>
    <cellStyle name="Calculation 3 3 2 6 2 6 3" xfId="11998" xr:uid="{00000000-0005-0000-0000-0000AE210000}"/>
    <cellStyle name="Calculation 3 3 2 6 2 7" xfId="11999" xr:uid="{00000000-0005-0000-0000-0000AF210000}"/>
    <cellStyle name="Calculation 3 3 2 6 2 7 2" xfId="12000" xr:uid="{00000000-0005-0000-0000-0000B0210000}"/>
    <cellStyle name="Calculation 3 3 2 6 2 7 3" xfId="12001" xr:uid="{00000000-0005-0000-0000-0000B1210000}"/>
    <cellStyle name="Calculation 3 3 2 6 2 8" xfId="12002" xr:uid="{00000000-0005-0000-0000-0000B2210000}"/>
    <cellStyle name="Calculation 3 3 2 6 2 9" xfId="12003" xr:uid="{00000000-0005-0000-0000-0000B3210000}"/>
    <cellStyle name="Calculation 3 3 2 6 3" xfId="12004" xr:uid="{00000000-0005-0000-0000-0000B4210000}"/>
    <cellStyle name="Calculation 3 3 2 6 3 2" xfId="12005" xr:uid="{00000000-0005-0000-0000-0000B5210000}"/>
    <cellStyle name="Calculation 3 3 2 6 3 3" xfId="12006" xr:uid="{00000000-0005-0000-0000-0000B6210000}"/>
    <cellStyle name="Calculation 3 3 2 6 4" xfId="12007" xr:uid="{00000000-0005-0000-0000-0000B7210000}"/>
    <cellStyle name="Calculation 3 3 2 6 4 2" xfId="12008" xr:uid="{00000000-0005-0000-0000-0000B8210000}"/>
    <cellStyle name="Calculation 3 3 2 6 4 3" xfId="12009" xr:uid="{00000000-0005-0000-0000-0000B9210000}"/>
    <cellStyle name="Calculation 3 3 2 6 5" xfId="12010" xr:uid="{00000000-0005-0000-0000-0000BA210000}"/>
    <cellStyle name="Calculation 3 3 2 6 5 2" xfId="12011" xr:uid="{00000000-0005-0000-0000-0000BB210000}"/>
    <cellStyle name="Calculation 3 3 2 6 5 3" xfId="12012" xr:uid="{00000000-0005-0000-0000-0000BC210000}"/>
    <cellStyle name="Calculation 3 3 2 6 6" xfId="12013" xr:uid="{00000000-0005-0000-0000-0000BD210000}"/>
    <cellStyle name="Calculation 3 3 2 6 6 2" xfId="12014" xr:uid="{00000000-0005-0000-0000-0000BE210000}"/>
    <cellStyle name="Calculation 3 3 2 6 6 3" xfId="12015" xr:uid="{00000000-0005-0000-0000-0000BF210000}"/>
    <cellStyle name="Calculation 3 3 2 6 7" xfId="12016" xr:uid="{00000000-0005-0000-0000-0000C0210000}"/>
    <cellStyle name="Calculation 3 3 2 6 7 2" xfId="12017" xr:uid="{00000000-0005-0000-0000-0000C1210000}"/>
    <cellStyle name="Calculation 3 3 2 6 7 3" xfId="12018" xr:uid="{00000000-0005-0000-0000-0000C2210000}"/>
    <cellStyle name="Calculation 3 3 2 6 8" xfId="12019" xr:uid="{00000000-0005-0000-0000-0000C3210000}"/>
    <cellStyle name="Calculation 3 3 2 6 8 2" xfId="12020" xr:uid="{00000000-0005-0000-0000-0000C4210000}"/>
    <cellStyle name="Calculation 3 3 2 6 8 3" xfId="12021" xr:uid="{00000000-0005-0000-0000-0000C5210000}"/>
    <cellStyle name="Calculation 3 3 2 6 9" xfId="12022" xr:uid="{00000000-0005-0000-0000-0000C6210000}"/>
    <cellStyle name="Calculation 3 3 2 7" xfId="12023" xr:uid="{00000000-0005-0000-0000-0000C7210000}"/>
    <cellStyle name="Calculation 3 3 2 7 10" xfId="12024" xr:uid="{00000000-0005-0000-0000-0000C8210000}"/>
    <cellStyle name="Calculation 3 3 2 7 2" xfId="12025" xr:uid="{00000000-0005-0000-0000-0000C9210000}"/>
    <cellStyle name="Calculation 3 3 2 7 2 2" xfId="12026" xr:uid="{00000000-0005-0000-0000-0000CA210000}"/>
    <cellStyle name="Calculation 3 3 2 7 2 2 2" xfId="12027" xr:uid="{00000000-0005-0000-0000-0000CB210000}"/>
    <cellStyle name="Calculation 3 3 2 7 2 2 3" xfId="12028" xr:uid="{00000000-0005-0000-0000-0000CC210000}"/>
    <cellStyle name="Calculation 3 3 2 7 2 3" xfId="12029" xr:uid="{00000000-0005-0000-0000-0000CD210000}"/>
    <cellStyle name="Calculation 3 3 2 7 2 3 2" xfId="12030" xr:uid="{00000000-0005-0000-0000-0000CE210000}"/>
    <cellStyle name="Calculation 3 3 2 7 2 3 3" xfId="12031" xr:uid="{00000000-0005-0000-0000-0000CF210000}"/>
    <cellStyle name="Calculation 3 3 2 7 2 4" xfId="12032" xr:uid="{00000000-0005-0000-0000-0000D0210000}"/>
    <cellStyle name="Calculation 3 3 2 7 2 4 2" xfId="12033" xr:uid="{00000000-0005-0000-0000-0000D1210000}"/>
    <cellStyle name="Calculation 3 3 2 7 2 4 3" xfId="12034" xr:uid="{00000000-0005-0000-0000-0000D2210000}"/>
    <cellStyle name="Calculation 3 3 2 7 2 5" xfId="12035" xr:uid="{00000000-0005-0000-0000-0000D3210000}"/>
    <cellStyle name="Calculation 3 3 2 7 2 5 2" xfId="12036" xr:uid="{00000000-0005-0000-0000-0000D4210000}"/>
    <cellStyle name="Calculation 3 3 2 7 2 5 3" xfId="12037" xr:uid="{00000000-0005-0000-0000-0000D5210000}"/>
    <cellStyle name="Calculation 3 3 2 7 2 6" xfId="12038" xr:uid="{00000000-0005-0000-0000-0000D6210000}"/>
    <cellStyle name="Calculation 3 3 2 7 2 6 2" xfId="12039" xr:uid="{00000000-0005-0000-0000-0000D7210000}"/>
    <cellStyle name="Calculation 3 3 2 7 2 6 3" xfId="12040" xr:uid="{00000000-0005-0000-0000-0000D8210000}"/>
    <cellStyle name="Calculation 3 3 2 7 2 7" xfId="12041" xr:uid="{00000000-0005-0000-0000-0000D9210000}"/>
    <cellStyle name="Calculation 3 3 2 7 2 7 2" xfId="12042" xr:uid="{00000000-0005-0000-0000-0000DA210000}"/>
    <cellStyle name="Calculation 3 3 2 7 2 7 3" xfId="12043" xr:uid="{00000000-0005-0000-0000-0000DB210000}"/>
    <cellStyle name="Calculation 3 3 2 7 2 8" xfId="12044" xr:uid="{00000000-0005-0000-0000-0000DC210000}"/>
    <cellStyle name="Calculation 3 3 2 7 2 9" xfId="12045" xr:uid="{00000000-0005-0000-0000-0000DD210000}"/>
    <cellStyle name="Calculation 3 3 2 7 3" xfId="12046" xr:uid="{00000000-0005-0000-0000-0000DE210000}"/>
    <cellStyle name="Calculation 3 3 2 7 3 2" xfId="12047" xr:uid="{00000000-0005-0000-0000-0000DF210000}"/>
    <cellStyle name="Calculation 3 3 2 7 3 3" xfId="12048" xr:uid="{00000000-0005-0000-0000-0000E0210000}"/>
    <cellStyle name="Calculation 3 3 2 7 4" xfId="12049" xr:uid="{00000000-0005-0000-0000-0000E1210000}"/>
    <cellStyle name="Calculation 3 3 2 7 4 2" xfId="12050" xr:uid="{00000000-0005-0000-0000-0000E2210000}"/>
    <cellStyle name="Calculation 3 3 2 7 4 3" xfId="12051" xr:uid="{00000000-0005-0000-0000-0000E3210000}"/>
    <cellStyle name="Calculation 3 3 2 7 5" xfId="12052" xr:uid="{00000000-0005-0000-0000-0000E4210000}"/>
    <cellStyle name="Calculation 3 3 2 7 5 2" xfId="12053" xr:uid="{00000000-0005-0000-0000-0000E5210000}"/>
    <cellStyle name="Calculation 3 3 2 7 5 3" xfId="12054" xr:uid="{00000000-0005-0000-0000-0000E6210000}"/>
    <cellStyle name="Calculation 3 3 2 7 6" xfId="12055" xr:uid="{00000000-0005-0000-0000-0000E7210000}"/>
    <cellStyle name="Calculation 3 3 2 7 6 2" xfId="12056" xr:uid="{00000000-0005-0000-0000-0000E8210000}"/>
    <cellStyle name="Calculation 3 3 2 7 6 3" xfId="12057" xr:uid="{00000000-0005-0000-0000-0000E9210000}"/>
    <cellStyle name="Calculation 3 3 2 7 7" xfId="12058" xr:uid="{00000000-0005-0000-0000-0000EA210000}"/>
    <cellStyle name="Calculation 3 3 2 7 7 2" xfId="12059" xr:uid="{00000000-0005-0000-0000-0000EB210000}"/>
    <cellStyle name="Calculation 3 3 2 7 7 3" xfId="12060" xr:uid="{00000000-0005-0000-0000-0000EC210000}"/>
    <cellStyle name="Calculation 3 3 2 7 8" xfId="12061" xr:uid="{00000000-0005-0000-0000-0000ED210000}"/>
    <cellStyle name="Calculation 3 3 2 7 8 2" xfId="12062" xr:uid="{00000000-0005-0000-0000-0000EE210000}"/>
    <cellStyle name="Calculation 3 3 2 7 8 3" xfId="12063" xr:uid="{00000000-0005-0000-0000-0000EF210000}"/>
    <cellStyle name="Calculation 3 3 2 7 9" xfId="12064" xr:uid="{00000000-0005-0000-0000-0000F0210000}"/>
    <cellStyle name="Calculation 3 3 2 8" xfId="12065" xr:uid="{00000000-0005-0000-0000-0000F1210000}"/>
    <cellStyle name="Calculation 3 3 2 8 10" xfId="12066" xr:uid="{00000000-0005-0000-0000-0000F2210000}"/>
    <cellStyle name="Calculation 3 3 2 8 2" xfId="12067" xr:uid="{00000000-0005-0000-0000-0000F3210000}"/>
    <cellStyle name="Calculation 3 3 2 8 2 2" xfId="12068" xr:uid="{00000000-0005-0000-0000-0000F4210000}"/>
    <cellStyle name="Calculation 3 3 2 8 2 2 2" xfId="12069" xr:uid="{00000000-0005-0000-0000-0000F5210000}"/>
    <cellStyle name="Calculation 3 3 2 8 2 2 3" xfId="12070" xr:uid="{00000000-0005-0000-0000-0000F6210000}"/>
    <cellStyle name="Calculation 3 3 2 8 2 3" xfId="12071" xr:uid="{00000000-0005-0000-0000-0000F7210000}"/>
    <cellStyle name="Calculation 3 3 2 8 2 3 2" xfId="12072" xr:uid="{00000000-0005-0000-0000-0000F8210000}"/>
    <cellStyle name="Calculation 3 3 2 8 2 3 3" xfId="12073" xr:uid="{00000000-0005-0000-0000-0000F9210000}"/>
    <cellStyle name="Calculation 3 3 2 8 2 4" xfId="12074" xr:uid="{00000000-0005-0000-0000-0000FA210000}"/>
    <cellStyle name="Calculation 3 3 2 8 2 4 2" xfId="12075" xr:uid="{00000000-0005-0000-0000-0000FB210000}"/>
    <cellStyle name="Calculation 3 3 2 8 2 4 3" xfId="12076" xr:uid="{00000000-0005-0000-0000-0000FC210000}"/>
    <cellStyle name="Calculation 3 3 2 8 2 5" xfId="12077" xr:uid="{00000000-0005-0000-0000-0000FD210000}"/>
    <cellStyle name="Calculation 3 3 2 8 2 5 2" xfId="12078" xr:uid="{00000000-0005-0000-0000-0000FE210000}"/>
    <cellStyle name="Calculation 3 3 2 8 2 5 3" xfId="12079" xr:uid="{00000000-0005-0000-0000-0000FF210000}"/>
    <cellStyle name="Calculation 3 3 2 8 2 6" xfId="12080" xr:uid="{00000000-0005-0000-0000-000000220000}"/>
    <cellStyle name="Calculation 3 3 2 8 2 6 2" xfId="12081" xr:uid="{00000000-0005-0000-0000-000001220000}"/>
    <cellStyle name="Calculation 3 3 2 8 2 6 3" xfId="12082" xr:uid="{00000000-0005-0000-0000-000002220000}"/>
    <cellStyle name="Calculation 3 3 2 8 2 7" xfId="12083" xr:uid="{00000000-0005-0000-0000-000003220000}"/>
    <cellStyle name="Calculation 3 3 2 8 2 7 2" xfId="12084" xr:uid="{00000000-0005-0000-0000-000004220000}"/>
    <cellStyle name="Calculation 3 3 2 8 2 7 3" xfId="12085" xr:uid="{00000000-0005-0000-0000-000005220000}"/>
    <cellStyle name="Calculation 3 3 2 8 2 8" xfId="12086" xr:uid="{00000000-0005-0000-0000-000006220000}"/>
    <cellStyle name="Calculation 3 3 2 8 2 9" xfId="12087" xr:uid="{00000000-0005-0000-0000-000007220000}"/>
    <cellStyle name="Calculation 3 3 2 8 3" xfId="12088" xr:uid="{00000000-0005-0000-0000-000008220000}"/>
    <cellStyle name="Calculation 3 3 2 8 3 2" xfId="12089" xr:uid="{00000000-0005-0000-0000-000009220000}"/>
    <cellStyle name="Calculation 3 3 2 8 3 3" xfId="12090" xr:uid="{00000000-0005-0000-0000-00000A220000}"/>
    <cellStyle name="Calculation 3 3 2 8 4" xfId="12091" xr:uid="{00000000-0005-0000-0000-00000B220000}"/>
    <cellStyle name="Calculation 3 3 2 8 4 2" xfId="12092" xr:uid="{00000000-0005-0000-0000-00000C220000}"/>
    <cellStyle name="Calculation 3 3 2 8 4 3" xfId="12093" xr:uid="{00000000-0005-0000-0000-00000D220000}"/>
    <cellStyle name="Calculation 3 3 2 8 5" xfId="12094" xr:uid="{00000000-0005-0000-0000-00000E220000}"/>
    <cellStyle name="Calculation 3 3 2 8 5 2" xfId="12095" xr:uid="{00000000-0005-0000-0000-00000F220000}"/>
    <cellStyle name="Calculation 3 3 2 8 5 3" xfId="12096" xr:uid="{00000000-0005-0000-0000-000010220000}"/>
    <cellStyle name="Calculation 3 3 2 8 6" xfId="12097" xr:uid="{00000000-0005-0000-0000-000011220000}"/>
    <cellStyle name="Calculation 3 3 2 8 6 2" xfId="12098" xr:uid="{00000000-0005-0000-0000-000012220000}"/>
    <cellStyle name="Calculation 3 3 2 8 6 3" xfId="12099" xr:uid="{00000000-0005-0000-0000-000013220000}"/>
    <cellStyle name="Calculation 3 3 2 8 7" xfId="12100" xr:uid="{00000000-0005-0000-0000-000014220000}"/>
    <cellStyle name="Calculation 3 3 2 8 7 2" xfId="12101" xr:uid="{00000000-0005-0000-0000-000015220000}"/>
    <cellStyle name="Calculation 3 3 2 8 7 3" xfId="12102" xr:uid="{00000000-0005-0000-0000-000016220000}"/>
    <cellStyle name="Calculation 3 3 2 8 8" xfId="12103" xr:uid="{00000000-0005-0000-0000-000017220000}"/>
    <cellStyle name="Calculation 3 3 2 8 8 2" xfId="12104" xr:uid="{00000000-0005-0000-0000-000018220000}"/>
    <cellStyle name="Calculation 3 3 2 8 8 3" xfId="12105" xr:uid="{00000000-0005-0000-0000-000019220000}"/>
    <cellStyle name="Calculation 3 3 2 8 9" xfId="12106" xr:uid="{00000000-0005-0000-0000-00001A220000}"/>
    <cellStyle name="Calculation 3 3 2 9" xfId="12107" xr:uid="{00000000-0005-0000-0000-00001B220000}"/>
    <cellStyle name="Calculation 3 3 2 9 2" xfId="12108" xr:uid="{00000000-0005-0000-0000-00001C220000}"/>
    <cellStyle name="Calculation 3 3 2 9 2 2" xfId="12109" xr:uid="{00000000-0005-0000-0000-00001D220000}"/>
    <cellStyle name="Calculation 3 3 2 9 2 3" xfId="12110" xr:uid="{00000000-0005-0000-0000-00001E220000}"/>
    <cellStyle name="Calculation 3 3 2 9 3" xfId="12111" xr:uid="{00000000-0005-0000-0000-00001F220000}"/>
    <cellStyle name="Calculation 3 3 2 9 3 2" xfId="12112" xr:uid="{00000000-0005-0000-0000-000020220000}"/>
    <cellStyle name="Calculation 3 3 2 9 3 3" xfId="12113" xr:uid="{00000000-0005-0000-0000-000021220000}"/>
    <cellStyle name="Calculation 3 3 2 9 4" xfId="12114" xr:uid="{00000000-0005-0000-0000-000022220000}"/>
    <cellStyle name="Calculation 3 3 2 9 4 2" xfId="12115" xr:uid="{00000000-0005-0000-0000-000023220000}"/>
    <cellStyle name="Calculation 3 3 2 9 4 3" xfId="12116" xr:uid="{00000000-0005-0000-0000-000024220000}"/>
    <cellStyle name="Calculation 3 3 2 9 5" xfId="12117" xr:uid="{00000000-0005-0000-0000-000025220000}"/>
    <cellStyle name="Calculation 3 3 2 9 5 2" xfId="12118" xr:uid="{00000000-0005-0000-0000-000026220000}"/>
    <cellStyle name="Calculation 3 3 2 9 5 3" xfId="12119" xr:uid="{00000000-0005-0000-0000-000027220000}"/>
    <cellStyle name="Calculation 3 3 2 9 6" xfId="12120" xr:uid="{00000000-0005-0000-0000-000028220000}"/>
    <cellStyle name="Calculation 3 3 2 9 6 2" xfId="12121" xr:uid="{00000000-0005-0000-0000-000029220000}"/>
    <cellStyle name="Calculation 3 3 2 9 6 3" xfId="12122" xr:uid="{00000000-0005-0000-0000-00002A220000}"/>
    <cellStyle name="Calculation 3 3 2 9 7" xfId="12123" xr:uid="{00000000-0005-0000-0000-00002B220000}"/>
    <cellStyle name="Calculation 3 3 2 9 7 2" xfId="12124" xr:uid="{00000000-0005-0000-0000-00002C220000}"/>
    <cellStyle name="Calculation 3 3 2 9 7 3" xfId="12125" xr:uid="{00000000-0005-0000-0000-00002D220000}"/>
    <cellStyle name="Calculation 3 3 2 9 8" xfId="12126" xr:uid="{00000000-0005-0000-0000-00002E220000}"/>
    <cellStyle name="Calculation 3 3 2 9 9" xfId="12127" xr:uid="{00000000-0005-0000-0000-00002F220000}"/>
    <cellStyle name="Calculation 3 3 3" xfId="12128" xr:uid="{00000000-0005-0000-0000-000030220000}"/>
    <cellStyle name="Calculation 3 3 3 10" xfId="12129" xr:uid="{00000000-0005-0000-0000-000031220000}"/>
    <cellStyle name="Calculation 3 3 3 10 2" xfId="12130" xr:uid="{00000000-0005-0000-0000-000032220000}"/>
    <cellStyle name="Calculation 3 3 3 10 3" xfId="12131" xr:uid="{00000000-0005-0000-0000-000033220000}"/>
    <cellStyle name="Calculation 3 3 3 11" xfId="12132" xr:uid="{00000000-0005-0000-0000-000034220000}"/>
    <cellStyle name="Calculation 3 3 3 11 2" xfId="12133" xr:uid="{00000000-0005-0000-0000-000035220000}"/>
    <cellStyle name="Calculation 3 3 3 11 3" xfId="12134" xr:uid="{00000000-0005-0000-0000-000036220000}"/>
    <cellStyle name="Calculation 3 3 3 12" xfId="44013" xr:uid="{00000000-0005-0000-0000-000037220000}"/>
    <cellStyle name="Calculation 3 3 3 2" xfId="12135" xr:uid="{00000000-0005-0000-0000-000038220000}"/>
    <cellStyle name="Calculation 3 3 3 2 10" xfId="12136" xr:uid="{00000000-0005-0000-0000-000039220000}"/>
    <cellStyle name="Calculation 3 3 3 2 2" xfId="12137" xr:uid="{00000000-0005-0000-0000-00003A220000}"/>
    <cellStyle name="Calculation 3 3 3 2 2 2" xfId="12138" xr:uid="{00000000-0005-0000-0000-00003B220000}"/>
    <cellStyle name="Calculation 3 3 3 2 2 2 2" xfId="12139" xr:uid="{00000000-0005-0000-0000-00003C220000}"/>
    <cellStyle name="Calculation 3 3 3 2 2 2 3" xfId="12140" xr:uid="{00000000-0005-0000-0000-00003D220000}"/>
    <cellStyle name="Calculation 3 3 3 2 2 3" xfId="12141" xr:uid="{00000000-0005-0000-0000-00003E220000}"/>
    <cellStyle name="Calculation 3 3 3 2 2 3 2" xfId="12142" xr:uid="{00000000-0005-0000-0000-00003F220000}"/>
    <cellStyle name="Calculation 3 3 3 2 2 3 3" xfId="12143" xr:uid="{00000000-0005-0000-0000-000040220000}"/>
    <cellStyle name="Calculation 3 3 3 2 2 4" xfId="12144" xr:uid="{00000000-0005-0000-0000-000041220000}"/>
    <cellStyle name="Calculation 3 3 3 2 2 4 2" xfId="12145" xr:uid="{00000000-0005-0000-0000-000042220000}"/>
    <cellStyle name="Calculation 3 3 3 2 2 4 3" xfId="12146" xr:uid="{00000000-0005-0000-0000-000043220000}"/>
    <cellStyle name="Calculation 3 3 3 2 2 5" xfId="12147" xr:uid="{00000000-0005-0000-0000-000044220000}"/>
    <cellStyle name="Calculation 3 3 3 2 2 5 2" xfId="12148" xr:uid="{00000000-0005-0000-0000-000045220000}"/>
    <cellStyle name="Calculation 3 3 3 2 2 5 3" xfId="12149" xr:uid="{00000000-0005-0000-0000-000046220000}"/>
    <cellStyle name="Calculation 3 3 3 2 2 6" xfId="12150" xr:uid="{00000000-0005-0000-0000-000047220000}"/>
    <cellStyle name="Calculation 3 3 3 2 2 6 2" xfId="12151" xr:uid="{00000000-0005-0000-0000-000048220000}"/>
    <cellStyle name="Calculation 3 3 3 2 2 6 3" xfId="12152" xr:uid="{00000000-0005-0000-0000-000049220000}"/>
    <cellStyle name="Calculation 3 3 3 2 2 7" xfId="12153" xr:uid="{00000000-0005-0000-0000-00004A220000}"/>
    <cellStyle name="Calculation 3 3 3 2 2 7 2" xfId="12154" xr:uid="{00000000-0005-0000-0000-00004B220000}"/>
    <cellStyle name="Calculation 3 3 3 2 2 7 3" xfId="12155" xr:uid="{00000000-0005-0000-0000-00004C220000}"/>
    <cellStyle name="Calculation 3 3 3 2 2 8" xfId="12156" xr:uid="{00000000-0005-0000-0000-00004D220000}"/>
    <cellStyle name="Calculation 3 3 3 2 2 9" xfId="12157" xr:uid="{00000000-0005-0000-0000-00004E220000}"/>
    <cellStyle name="Calculation 3 3 3 2 3" xfId="12158" xr:uid="{00000000-0005-0000-0000-00004F220000}"/>
    <cellStyle name="Calculation 3 3 3 2 3 2" xfId="12159" xr:uid="{00000000-0005-0000-0000-000050220000}"/>
    <cellStyle name="Calculation 3 3 3 2 3 3" xfId="12160" xr:uid="{00000000-0005-0000-0000-000051220000}"/>
    <cellStyle name="Calculation 3 3 3 2 4" xfId="12161" xr:uid="{00000000-0005-0000-0000-000052220000}"/>
    <cellStyle name="Calculation 3 3 3 2 4 2" xfId="12162" xr:uid="{00000000-0005-0000-0000-000053220000}"/>
    <cellStyle name="Calculation 3 3 3 2 4 3" xfId="12163" xr:uid="{00000000-0005-0000-0000-000054220000}"/>
    <cellStyle name="Calculation 3 3 3 2 5" xfId="12164" xr:uid="{00000000-0005-0000-0000-000055220000}"/>
    <cellStyle name="Calculation 3 3 3 2 5 2" xfId="12165" xr:uid="{00000000-0005-0000-0000-000056220000}"/>
    <cellStyle name="Calculation 3 3 3 2 5 3" xfId="12166" xr:uid="{00000000-0005-0000-0000-000057220000}"/>
    <cellStyle name="Calculation 3 3 3 2 6" xfId="12167" xr:uid="{00000000-0005-0000-0000-000058220000}"/>
    <cellStyle name="Calculation 3 3 3 2 6 2" xfId="12168" xr:uid="{00000000-0005-0000-0000-000059220000}"/>
    <cellStyle name="Calculation 3 3 3 2 6 3" xfId="12169" xr:uid="{00000000-0005-0000-0000-00005A220000}"/>
    <cellStyle name="Calculation 3 3 3 2 7" xfId="12170" xr:uid="{00000000-0005-0000-0000-00005B220000}"/>
    <cellStyle name="Calculation 3 3 3 2 7 2" xfId="12171" xr:uid="{00000000-0005-0000-0000-00005C220000}"/>
    <cellStyle name="Calculation 3 3 3 2 7 3" xfId="12172" xr:uid="{00000000-0005-0000-0000-00005D220000}"/>
    <cellStyle name="Calculation 3 3 3 2 8" xfId="12173" xr:uid="{00000000-0005-0000-0000-00005E220000}"/>
    <cellStyle name="Calculation 3 3 3 2 8 2" xfId="12174" xr:uid="{00000000-0005-0000-0000-00005F220000}"/>
    <cellStyle name="Calculation 3 3 3 2 8 3" xfId="12175" xr:uid="{00000000-0005-0000-0000-000060220000}"/>
    <cellStyle name="Calculation 3 3 3 2 9" xfId="12176" xr:uid="{00000000-0005-0000-0000-000061220000}"/>
    <cellStyle name="Calculation 3 3 3 3" xfId="12177" xr:uid="{00000000-0005-0000-0000-000062220000}"/>
    <cellStyle name="Calculation 3 3 3 3 10" xfId="12178" xr:uid="{00000000-0005-0000-0000-000063220000}"/>
    <cellStyle name="Calculation 3 3 3 3 2" xfId="12179" xr:uid="{00000000-0005-0000-0000-000064220000}"/>
    <cellStyle name="Calculation 3 3 3 3 2 2" xfId="12180" xr:uid="{00000000-0005-0000-0000-000065220000}"/>
    <cellStyle name="Calculation 3 3 3 3 2 2 2" xfId="12181" xr:uid="{00000000-0005-0000-0000-000066220000}"/>
    <cellStyle name="Calculation 3 3 3 3 2 2 3" xfId="12182" xr:uid="{00000000-0005-0000-0000-000067220000}"/>
    <cellStyle name="Calculation 3 3 3 3 2 3" xfId="12183" xr:uid="{00000000-0005-0000-0000-000068220000}"/>
    <cellStyle name="Calculation 3 3 3 3 2 3 2" xfId="12184" xr:uid="{00000000-0005-0000-0000-000069220000}"/>
    <cellStyle name="Calculation 3 3 3 3 2 3 3" xfId="12185" xr:uid="{00000000-0005-0000-0000-00006A220000}"/>
    <cellStyle name="Calculation 3 3 3 3 2 4" xfId="12186" xr:uid="{00000000-0005-0000-0000-00006B220000}"/>
    <cellStyle name="Calculation 3 3 3 3 2 4 2" xfId="12187" xr:uid="{00000000-0005-0000-0000-00006C220000}"/>
    <cellStyle name="Calculation 3 3 3 3 2 4 3" xfId="12188" xr:uid="{00000000-0005-0000-0000-00006D220000}"/>
    <cellStyle name="Calculation 3 3 3 3 2 5" xfId="12189" xr:uid="{00000000-0005-0000-0000-00006E220000}"/>
    <cellStyle name="Calculation 3 3 3 3 2 5 2" xfId="12190" xr:uid="{00000000-0005-0000-0000-00006F220000}"/>
    <cellStyle name="Calculation 3 3 3 3 2 5 3" xfId="12191" xr:uid="{00000000-0005-0000-0000-000070220000}"/>
    <cellStyle name="Calculation 3 3 3 3 2 6" xfId="12192" xr:uid="{00000000-0005-0000-0000-000071220000}"/>
    <cellStyle name="Calculation 3 3 3 3 2 6 2" xfId="12193" xr:uid="{00000000-0005-0000-0000-000072220000}"/>
    <cellStyle name="Calculation 3 3 3 3 2 6 3" xfId="12194" xr:uid="{00000000-0005-0000-0000-000073220000}"/>
    <cellStyle name="Calculation 3 3 3 3 2 7" xfId="12195" xr:uid="{00000000-0005-0000-0000-000074220000}"/>
    <cellStyle name="Calculation 3 3 3 3 2 7 2" xfId="12196" xr:uid="{00000000-0005-0000-0000-000075220000}"/>
    <cellStyle name="Calculation 3 3 3 3 2 7 3" xfId="12197" xr:uid="{00000000-0005-0000-0000-000076220000}"/>
    <cellStyle name="Calculation 3 3 3 3 2 8" xfId="12198" xr:uid="{00000000-0005-0000-0000-000077220000}"/>
    <cellStyle name="Calculation 3 3 3 3 2 9" xfId="12199" xr:uid="{00000000-0005-0000-0000-000078220000}"/>
    <cellStyle name="Calculation 3 3 3 3 3" xfId="12200" xr:uid="{00000000-0005-0000-0000-000079220000}"/>
    <cellStyle name="Calculation 3 3 3 3 3 2" xfId="12201" xr:uid="{00000000-0005-0000-0000-00007A220000}"/>
    <cellStyle name="Calculation 3 3 3 3 3 3" xfId="12202" xr:uid="{00000000-0005-0000-0000-00007B220000}"/>
    <cellStyle name="Calculation 3 3 3 3 4" xfId="12203" xr:uid="{00000000-0005-0000-0000-00007C220000}"/>
    <cellStyle name="Calculation 3 3 3 3 4 2" xfId="12204" xr:uid="{00000000-0005-0000-0000-00007D220000}"/>
    <cellStyle name="Calculation 3 3 3 3 4 3" xfId="12205" xr:uid="{00000000-0005-0000-0000-00007E220000}"/>
    <cellStyle name="Calculation 3 3 3 3 5" xfId="12206" xr:uid="{00000000-0005-0000-0000-00007F220000}"/>
    <cellStyle name="Calculation 3 3 3 3 5 2" xfId="12207" xr:uid="{00000000-0005-0000-0000-000080220000}"/>
    <cellStyle name="Calculation 3 3 3 3 5 3" xfId="12208" xr:uid="{00000000-0005-0000-0000-000081220000}"/>
    <cellStyle name="Calculation 3 3 3 3 6" xfId="12209" xr:uid="{00000000-0005-0000-0000-000082220000}"/>
    <cellStyle name="Calculation 3 3 3 3 6 2" xfId="12210" xr:uid="{00000000-0005-0000-0000-000083220000}"/>
    <cellStyle name="Calculation 3 3 3 3 6 3" xfId="12211" xr:uid="{00000000-0005-0000-0000-000084220000}"/>
    <cellStyle name="Calculation 3 3 3 3 7" xfId="12212" xr:uid="{00000000-0005-0000-0000-000085220000}"/>
    <cellStyle name="Calculation 3 3 3 3 7 2" xfId="12213" xr:uid="{00000000-0005-0000-0000-000086220000}"/>
    <cellStyle name="Calculation 3 3 3 3 7 3" xfId="12214" xr:uid="{00000000-0005-0000-0000-000087220000}"/>
    <cellStyle name="Calculation 3 3 3 3 8" xfId="12215" xr:uid="{00000000-0005-0000-0000-000088220000}"/>
    <cellStyle name="Calculation 3 3 3 3 8 2" xfId="12216" xr:uid="{00000000-0005-0000-0000-000089220000}"/>
    <cellStyle name="Calculation 3 3 3 3 8 3" xfId="12217" xr:uid="{00000000-0005-0000-0000-00008A220000}"/>
    <cellStyle name="Calculation 3 3 3 3 9" xfId="12218" xr:uid="{00000000-0005-0000-0000-00008B220000}"/>
    <cellStyle name="Calculation 3 3 3 4" xfId="12219" xr:uid="{00000000-0005-0000-0000-00008C220000}"/>
    <cellStyle name="Calculation 3 3 3 4 10" xfId="12220" xr:uid="{00000000-0005-0000-0000-00008D220000}"/>
    <cellStyle name="Calculation 3 3 3 4 2" xfId="12221" xr:uid="{00000000-0005-0000-0000-00008E220000}"/>
    <cellStyle name="Calculation 3 3 3 4 2 2" xfId="12222" xr:uid="{00000000-0005-0000-0000-00008F220000}"/>
    <cellStyle name="Calculation 3 3 3 4 2 2 2" xfId="12223" xr:uid="{00000000-0005-0000-0000-000090220000}"/>
    <cellStyle name="Calculation 3 3 3 4 2 2 3" xfId="12224" xr:uid="{00000000-0005-0000-0000-000091220000}"/>
    <cellStyle name="Calculation 3 3 3 4 2 3" xfId="12225" xr:uid="{00000000-0005-0000-0000-000092220000}"/>
    <cellStyle name="Calculation 3 3 3 4 2 3 2" xfId="12226" xr:uid="{00000000-0005-0000-0000-000093220000}"/>
    <cellStyle name="Calculation 3 3 3 4 2 3 3" xfId="12227" xr:uid="{00000000-0005-0000-0000-000094220000}"/>
    <cellStyle name="Calculation 3 3 3 4 2 4" xfId="12228" xr:uid="{00000000-0005-0000-0000-000095220000}"/>
    <cellStyle name="Calculation 3 3 3 4 2 4 2" xfId="12229" xr:uid="{00000000-0005-0000-0000-000096220000}"/>
    <cellStyle name="Calculation 3 3 3 4 2 4 3" xfId="12230" xr:uid="{00000000-0005-0000-0000-000097220000}"/>
    <cellStyle name="Calculation 3 3 3 4 2 5" xfId="12231" xr:uid="{00000000-0005-0000-0000-000098220000}"/>
    <cellStyle name="Calculation 3 3 3 4 2 5 2" xfId="12232" xr:uid="{00000000-0005-0000-0000-000099220000}"/>
    <cellStyle name="Calculation 3 3 3 4 2 5 3" xfId="12233" xr:uid="{00000000-0005-0000-0000-00009A220000}"/>
    <cellStyle name="Calculation 3 3 3 4 2 6" xfId="12234" xr:uid="{00000000-0005-0000-0000-00009B220000}"/>
    <cellStyle name="Calculation 3 3 3 4 2 6 2" xfId="12235" xr:uid="{00000000-0005-0000-0000-00009C220000}"/>
    <cellStyle name="Calculation 3 3 3 4 2 6 3" xfId="12236" xr:uid="{00000000-0005-0000-0000-00009D220000}"/>
    <cellStyle name="Calculation 3 3 3 4 2 7" xfId="12237" xr:uid="{00000000-0005-0000-0000-00009E220000}"/>
    <cellStyle name="Calculation 3 3 3 4 2 7 2" xfId="12238" xr:uid="{00000000-0005-0000-0000-00009F220000}"/>
    <cellStyle name="Calculation 3 3 3 4 2 7 3" xfId="12239" xr:uid="{00000000-0005-0000-0000-0000A0220000}"/>
    <cellStyle name="Calculation 3 3 3 4 2 8" xfId="12240" xr:uid="{00000000-0005-0000-0000-0000A1220000}"/>
    <cellStyle name="Calculation 3 3 3 4 2 9" xfId="12241" xr:uid="{00000000-0005-0000-0000-0000A2220000}"/>
    <cellStyle name="Calculation 3 3 3 4 3" xfId="12242" xr:uid="{00000000-0005-0000-0000-0000A3220000}"/>
    <cellStyle name="Calculation 3 3 3 4 3 2" xfId="12243" xr:uid="{00000000-0005-0000-0000-0000A4220000}"/>
    <cellStyle name="Calculation 3 3 3 4 3 3" xfId="12244" xr:uid="{00000000-0005-0000-0000-0000A5220000}"/>
    <cellStyle name="Calculation 3 3 3 4 4" xfId="12245" xr:uid="{00000000-0005-0000-0000-0000A6220000}"/>
    <cellStyle name="Calculation 3 3 3 4 4 2" xfId="12246" xr:uid="{00000000-0005-0000-0000-0000A7220000}"/>
    <cellStyle name="Calculation 3 3 3 4 4 3" xfId="12247" xr:uid="{00000000-0005-0000-0000-0000A8220000}"/>
    <cellStyle name="Calculation 3 3 3 4 5" xfId="12248" xr:uid="{00000000-0005-0000-0000-0000A9220000}"/>
    <cellStyle name="Calculation 3 3 3 4 5 2" xfId="12249" xr:uid="{00000000-0005-0000-0000-0000AA220000}"/>
    <cellStyle name="Calculation 3 3 3 4 5 3" xfId="12250" xr:uid="{00000000-0005-0000-0000-0000AB220000}"/>
    <cellStyle name="Calculation 3 3 3 4 6" xfId="12251" xr:uid="{00000000-0005-0000-0000-0000AC220000}"/>
    <cellStyle name="Calculation 3 3 3 4 6 2" xfId="12252" xr:uid="{00000000-0005-0000-0000-0000AD220000}"/>
    <cellStyle name="Calculation 3 3 3 4 6 3" xfId="12253" xr:uid="{00000000-0005-0000-0000-0000AE220000}"/>
    <cellStyle name="Calculation 3 3 3 4 7" xfId="12254" xr:uid="{00000000-0005-0000-0000-0000AF220000}"/>
    <cellStyle name="Calculation 3 3 3 4 7 2" xfId="12255" xr:uid="{00000000-0005-0000-0000-0000B0220000}"/>
    <cellStyle name="Calculation 3 3 3 4 7 3" xfId="12256" xr:uid="{00000000-0005-0000-0000-0000B1220000}"/>
    <cellStyle name="Calculation 3 3 3 4 8" xfId="12257" xr:uid="{00000000-0005-0000-0000-0000B2220000}"/>
    <cellStyle name="Calculation 3 3 3 4 8 2" xfId="12258" xr:uid="{00000000-0005-0000-0000-0000B3220000}"/>
    <cellStyle name="Calculation 3 3 3 4 8 3" xfId="12259" xr:uid="{00000000-0005-0000-0000-0000B4220000}"/>
    <cellStyle name="Calculation 3 3 3 4 9" xfId="12260" xr:uid="{00000000-0005-0000-0000-0000B5220000}"/>
    <cellStyle name="Calculation 3 3 3 5" xfId="12261" xr:uid="{00000000-0005-0000-0000-0000B6220000}"/>
    <cellStyle name="Calculation 3 3 3 5 2" xfId="12262" xr:uid="{00000000-0005-0000-0000-0000B7220000}"/>
    <cellStyle name="Calculation 3 3 3 5 2 2" xfId="12263" xr:uid="{00000000-0005-0000-0000-0000B8220000}"/>
    <cellStyle name="Calculation 3 3 3 5 2 3" xfId="12264" xr:uid="{00000000-0005-0000-0000-0000B9220000}"/>
    <cellStyle name="Calculation 3 3 3 5 3" xfId="12265" xr:uid="{00000000-0005-0000-0000-0000BA220000}"/>
    <cellStyle name="Calculation 3 3 3 5 3 2" xfId="12266" xr:uid="{00000000-0005-0000-0000-0000BB220000}"/>
    <cellStyle name="Calculation 3 3 3 5 3 3" xfId="12267" xr:uid="{00000000-0005-0000-0000-0000BC220000}"/>
    <cellStyle name="Calculation 3 3 3 5 4" xfId="12268" xr:uid="{00000000-0005-0000-0000-0000BD220000}"/>
    <cellStyle name="Calculation 3 3 3 5 4 2" xfId="12269" xr:uid="{00000000-0005-0000-0000-0000BE220000}"/>
    <cellStyle name="Calculation 3 3 3 5 4 3" xfId="12270" xr:uid="{00000000-0005-0000-0000-0000BF220000}"/>
    <cellStyle name="Calculation 3 3 3 5 5" xfId="12271" xr:uid="{00000000-0005-0000-0000-0000C0220000}"/>
    <cellStyle name="Calculation 3 3 3 5 5 2" xfId="12272" xr:uid="{00000000-0005-0000-0000-0000C1220000}"/>
    <cellStyle name="Calculation 3 3 3 5 5 3" xfId="12273" xr:uid="{00000000-0005-0000-0000-0000C2220000}"/>
    <cellStyle name="Calculation 3 3 3 5 6" xfId="12274" xr:uid="{00000000-0005-0000-0000-0000C3220000}"/>
    <cellStyle name="Calculation 3 3 3 5 6 2" xfId="12275" xr:uid="{00000000-0005-0000-0000-0000C4220000}"/>
    <cellStyle name="Calculation 3 3 3 5 6 3" xfId="12276" xr:uid="{00000000-0005-0000-0000-0000C5220000}"/>
    <cellStyle name="Calculation 3 3 3 5 7" xfId="12277" xr:uid="{00000000-0005-0000-0000-0000C6220000}"/>
    <cellStyle name="Calculation 3 3 3 5 7 2" xfId="12278" xr:uid="{00000000-0005-0000-0000-0000C7220000}"/>
    <cellStyle name="Calculation 3 3 3 5 7 3" xfId="12279" xr:uid="{00000000-0005-0000-0000-0000C8220000}"/>
    <cellStyle name="Calculation 3 3 3 5 8" xfId="12280" xr:uid="{00000000-0005-0000-0000-0000C9220000}"/>
    <cellStyle name="Calculation 3 3 3 5 9" xfId="12281" xr:uid="{00000000-0005-0000-0000-0000CA220000}"/>
    <cellStyle name="Calculation 3 3 3 6" xfId="12282" xr:uid="{00000000-0005-0000-0000-0000CB220000}"/>
    <cellStyle name="Calculation 3 3 3 6 2" xfId="12283" xr:uid="{00000000-0005-0000-0000-0000CC220000}"/>
    <cellStyle name="Calculation 3 3 3 6 3" xfId="12284" xr:uid="{00000000-0005-0000-0000-0000CD220000}"/>
    <cellStyle name="Calculation 3 3 3 7" xfId="12285" xr:uid="{00000000-0005-0000-0000-0000CE220000}"/>
    <cellStyle name="Calculation 3 3 3 7 2" xfId="12286" xr:uid="{00000000-0005-0000-0000-0000CF220000}"/>
    <cellStyle name="Calculation 3 3 3 7 3" xfId="12287" xr:uid="{00000000-0005-0000-0000-0000D0220000}"/>
    <cellStyle name="Calculation 3 3 3 8" xfId="12288" xr:uid="{00000000-0005-0000-0000-0000D1220000}"/>
    <cellStyle name="Calculation 3 3 3 8 2" xfId="12289" xr:uid="{00000000-0005-0000-0000-0000D2220000}"/>
    <cellStyle name="Calculation 3 3 3 8 3" xfId="12290" xr:uid="{00000000-0005-0000-0000-0000D3220000}"/>
    <cellStyle name="Calculation 3 3 3 9" xfId="12291" xr:uid="{00000000-0005-0000-0000-0000D4220000}"/>
    <cellStyle name="Calculation 3 3 3 9 2" xfId="12292" xr:uid="{00000000-0005-0000-0000-0000D5220000}"/>
    <cellStyle name="Calculation 3 3 3 9 3" xfId="12293" xr:uid="{00000000-0005-0000-0000-0000D6220000}"/>
    <cellStyle name="Calculation 3 3 4" xfId="12294" xr:uid="{00000000-0005-0000-0000-0000D7220000}"/>
    <cellStyle name="Calculation 3 3 4 10" xfId="12295" xr:uid="{00000000-0005-0000-0000-0000D8220000}"/>
    <cellStyle name="Calculation 3 3 4 2" xfId="12296" xr:uid="{00000000-0005-0000-0000-0000D9220000}"/>
    <cellStyle name="Calculation 3 3 4 2 2" xfId="12297" xr:uid="{00000000-0005-0000-0000-0000DA220000}"/>
    <cellStyle name="Calculation 3 3 4 2 2 2" xfId="12298" xr:uid="{00000000-0005-0000-0000-0000DB220000}"/>
    <cellStyle name="Calculation 3 3 4 2 2 3" xfId="12299" xr:uid="{00000000-0005-0000-0000-0000DC220000}"/>
    <cellStyle name="Calculation 3 3 4 2 3" xfId="12300" xr:uid="{00000000-0005-0000-0000-0000DD220000}"/>
    <cellStyle name="Calculation 3 3 4 2 3 2" xfId="12301" xr:uid="{00000000-0005-0000-0000-0000DE220000}"/>
    <cellStyle name="Calculation 3 3 4 2 3 3" xfId="12302" xr:uid="{00000000-0005-0000-0000-0000DF220000}"/>
    <cellStyle name="Calculation 3 3 4 2 4" xfId="12303" xr:uid="{00000000-0005-0000-0000-0000E0220000}"/>
    <cellStyle name="Calculation 3 3 4 2 4 2" xfId="12304" xr:uid="{00000000-0005-0000-0000-0000E1220000}"/>
    <cellStyle name="Calculation 3 3 4 2 4 3" xfId="12305" xr:uid="{00000000-0005-0000-0000-0000E2220000}"/>
    <cellStyle name="Calculation 3 3 4 2 5" xfId="12306" xr:uid="{00000000-0005-0000-0000-0000E3220000}"/>
    <cellStyle name="Calculation 3 3 4 2 5 2" xfId="12307" xr:uid="{00000000-0005-0000-0000-0000E4220000}"/>
    <cellStyle name="Calculation 3 3 4 2 5 3" xfId="12308" xr:uid="{00000000-0005-0000-0000-0000E5220000}"/>
    <cellStyle name="Calculation 3 3 4 2 6" xfId="12309" xr:uid="{00000000-0005-0000-0000-0000E6220000}"/>
    <cellStyle name="Calculation 3 3 4 2 6 2" xfId="12310" xr:uid="{00000000-0005-0000-0000-0000E7220000}"/>
    <cellStyle name="Calculation 3 3 4 2 6 3" xfId="12311" xr:uid="{00000000-0005-0000-0000-0000E8220000}"/>
    <cellStyle name="Calculation 3 3 4 2 7" xfId="12312" xr:uid="{00000000-0005-0000-0000-0000E9220000}"/>
    <cellStyle name="Calculation 3 3 4 2 7 2" xfId="12313" xr:uid="{00000000-0005-0000-0000-0000EA220000}"/>
    <cellStyle name="Calculation 3 3 4 2 7 3" xfId="12314" xr:uid="{00000000-0005-0000-0000-0000EB220000}"/>
    <cellStyle name="Calculation 3 3 4 2 8" xfId="12315" xr:uid="{00000000-0005-0000-0000-0000EC220000}"/>
    <cellStyle name="Calculation 3 3 4 2 9" xfId="12316" xr:uid="{00000000-0005-0000-0000-0000ED220000}"/>
    <cellStyle name="Calculation 3 3 4 3" xfId="12317" xr:uid="{00000000-0005-0000-0000-0000EE220000}"/>
    <cellStyle name="Calculation 3 3 4 3 2" xfId="12318" xr:uid="{00000000-0005-0000-0000-0000EF220000}"/>
    <cellStyle name="Calculation 3 3 4 3 3" xfId="12319" xr:uid="{00000000-0005-0000-0000-0000F0220000}"/>
    <cellStyle name="Calculation 3 3 4 4" xfId="12320" xr:uid="{00000000-0005-0000-0000-0000F1220000}"/>
    <cellStyle name="Calculation 3 3 4 4 2" xfId="12321" xr:uid="{00000000-0005-0000-0000-0000F2220000}"/>
    <cellStyle name="Calculation 3 3 4 4 3" xfId="12322" xr:uid="{00000000-0005-0000-0000-0000F3220000}"/>
    <cellStyle name="Calculation 3 3 4 5" xfId="12323" xr:uid="{00000000-0005-0000-0000-0000F4220000}"/>
    <cellStyle name="Calculation 3 3 4 5 2" xfId="12324" xr:uid="{00000000-0005-0000-0000-0000F5220000}"/>
    <cellStyle name="Calculation 3 3 4 5 3" xfId="12325" xr:uid="{00000000-0005-0000-0000-0000F6220000}"/>
    <cellStyle name="Calculation 3 3 4 6" xfId="12326" xr:uid="{00000000-0005-0000-0000-0000F7220000}"/>
    <cellStyle name="Calculation 3 3 4 6 2" xfId="12327" xr:uid="{00000000-0005-0000-0000-0000F8220000}"/>
    <cellStyle name="Calculation 3 3 4 6 3" xfId="12328" xr:uid="{00000000-0005-0000-0000-0000F9220000}"/>
    <cellStyle name="Calculation 3 3 4 7" xfId="12329" xr:uid="{00000000-0005-0000-0000-0000FA220000}"/>
    <cellStyle name="Calculation 3 3 4 7 2" xfId="12330" xr:uid="{00000000-0005-0000-0000-0000FB220000}"/>
    <cellStyle name="Calculation 3 3 4 7 3" xfId="12331" xr:uid="{00000000-0005-0000-0000-0000FC220000}"/>
    <cellStyle name="Calculation 3 3 4 8" xfId="12332" xr:uid="{00000000-0005-0000-0000-0000FD220000}"/>
    <cellStyle name="Calculation 3 3 4 8 2" xfId="12333" xr:uid="{00000000-0005-0000-0000-0000FE220000}"/>
    <cellStyle name="Calculation 3 3 4 8 3" xfId="12334" xr:uid="{00000000-0005-0000-0000-0000FF220000}"/>
    <cellStyle name="Calculation 3 3 4 9" xfId="12335" xr:uid="{00000000-0005-0000-0000-000000230000}"/>
    <cellStyle name="Calculation 3 3 5" xfId="12336" xr:uid="{00000000-0005-0000-0000-000001230000}"/>
    <cellStyle name="Calculation 3 3 5 10" xfId="12337" xr:uid="{00000000-0005-0000-0000-000002230000}"/>
    <cellStyle name="Calculation 3 3 5 2" xfId="12338" xr:uid="{00000000-0005-0000-0000-000003230000}"/>
    <cellStyle name="Calculation 3 3 5 2 2" xfId="12339" xr:uid="{00000000-0005-0000-0000-000004230000}"/>
    <cellStyle name="Calculation 3 3 5 2 2 2" xfId="12340" xr:uid="{00000000-0005-0000-0000-000005230000}"/>
    <cellStyle name="Calculation 3 3 5 2 2 3" xfId="12341" xr:uid="{00000000-0005-0000-0000-000006230000}"/>
    <cellStyle name="Calculation 3 3 5 2 3" xfId="12342" xr:uid="{00000000-0005-0000-0000-000007230000}"/>
    <cellStyle name="Calculation 3 3 5 2 3 2" xfId="12343" xr:uid="{00000000-0005-0000-0000-000008230000}"/>
    <cellStyle name="Calculation 3 3 5 2 3 3" xfId="12344" xr:uid="{00000000-0005-0000-0000-000009230000}"/>
    <cellStyle name="Calculation 3 3 5 2 4" xfId="12345" xr:uid="{00000000-0005-0000-0000-00000A230000}"/>
    <cellStyle name="Calculation 3 3 5 2 4 2" xfId="12346" xr:uid="{00000000-0005-0000-0000-00000B230000}"/>
    <cellStyle name="Calculation 3 3 5 2 4 3" xfId="12347" xr:uid="{00000000-0005-0000-0000-00000C230000}"/>
    <cellStyle name="Calculation 3 3 5 2 5" xfId="12348" xr:uid="{00000000-0005-0000-0000-00000D230000}"/>
    <cellStyle name="Calculation 3 3 5 2 5 2" xfId="12349" xr:uid="{00000000-0005-0000-0000-00000E230000}"/>
    <cellStyle name="Calculation 3 3 5 2 5 3" xfId="12350" xr:uid="{00000000-0005-0000-0000-00000F230000}"/>
    <cellStyle name="Calculation 3 3 5 2 6" xfId="12351" xr:uid="{00000000-0005-0000-0000-000010230000}"/>
    <cellStyle name="Calculation 3 3 5 2 6 2" xfId="12352" xr:uid="{00000000-0005-0000-0000-000011230000}"/>
    <cellStyle name="Calculation 3 3 5 2 6 3" xfId="12353" xr:uid="{00000000-0005-0000-0000-000012230000}"/>
    <cellStyle name="Calculation 3 3 5 2 7" xfId="12354" xr:uid="{00000000-0005-0000-0000-000013230000}"/>
    <cellStyle name="Calculation 3 3 5 2 7 2" xfId="12355" xr:uid="{00000000-0005-0000-0000-000014230000}"/>
    <cellStyle name="Calculation 3 3 5 2 7 3" xfId="12356" xr:uid="{00000000-0005-0000-0000-000015230000}"/>
    <cellStyle name="Calculation 3 3 5 2 8" xfId="12357" xr:uid="{00000000-0005-0000-0000-000016230000}"/>
    <cellStyle name="Calculation 3 3 5 2 9" xfId="12358" xr:uid="{00000000-0005-0000-0000-000017230000}"/>
    <cellStyle name="Calculation 3 3 5 3" xfId="12359" xr:uid="{00000000-0005-0000-0000-000018230000}"/>
    <cellStyle name="Calculation 3 3 5 3 2" xfId="12360" xr:uid="{00000000-0005-0000-0000-000019230000}"/>
    <cellStyle name="Calculation 3 3 5 3 3" xfId="12361" xr:uid="{00000000-0005-0000-0000-00001A230000}"/>
    <cellStyle name="Calculation 3 3 5 4" xfId="12362" xr:uid="{00000000-0005-0000-0000-00001B230000}"/>
    <cellStyle name="Calculation 3 3 5 4 2" xfId="12363" xr:uid="{00000000-0005-0000-0000-00001C230000}"/>
    <cellStyle name="Calculation 3 3 5 4 3" xfId="12364" xr:uid="{00000000-0005-0000-0000-00001D230000}"/>
    <cellStyle name="Calculation 3 3 5 5" xfId="12365" xr:uid="{00000000-0005-0000-0000-00001E230000}"/>
    <cellStyle name="Calculation 3 3 5 5 2" xfId="12366" xr:uid="{00000000-0005-0000-0000-00001F230000}"/>
    <cellStyle name="Calculation 3 3 5 5 3" xfId="12367" xr:uid="{00000000-0005-0000-0000-000020230000}"/>
    <cellStyle name="Calculation 3 3 5 6" xfId="12368" xr:uid="{00000000-0005-0000-0000-000021230000}"/>
    <cellStyle name="Calculation 3 3 5 6 2" xfId="12369" xr:uid="{00000000-0005-0000-0000-000022230000}"/>
    <cellStyle name="Calculation 3 3 5 6 3" xfId="12370" xr:uid="{00000000-0005-0000-0000-000023230000}"/>
    <cellStyle name="Calculation 3 3 5 7" xfId="12371" xr:uid="{00000000-0005-0000-0000-000024230000}"/>
    <cellStyle name="Calculation 3 3 5 7 2" xfId="12372" xr:uid="{00000000-0005-0000-0000-000025230000}"/>
    <cellStyle name="Calculation 3 3 5 7 3" xfId="12373" xr:uid="{00000000-0005-0000-0000-000026230000}"/>
    <cellStyle name="Calculation 3 3 5 8" xfId="12374" xr:uid="{00000000-0005-0000-0000-000027230000}"/>
    <cellStyle name="Calculation 3 3 5 8 2" xfId="12375" xr:uid="{00000000-0005-0000-0000-000028230000}"/>
    <cellStyle name="Calculation 3 3 5 8 3" xfId="12376" xr:uid="{00000000-0005-0000-0000-000029230000}"/>
    <cellStyle name="Calculation 3 3 5 9" xfId="12377" xr:uid="{00000000-0005-0000-0000-00002A230000}"/>
    <cellStyle name="Calculation 3 3 6" xfId="12378" xr:uid="{00000000-0005-0000-0000-00002B230000}"/>
    <cellStyle name="Calculation 3 3 6 10" xfId="12379" xr:uid="{00000000-0005-0000-0000-00002C230000}"/>
    <cellStyle name="Calculation 3 3 6 2" xfId="12380" xr:uid="{00000000-0005-0000-0000-00002D230000}"/>
    <cellStyle name="Calculation 3 3 6 2 2" xfId="12381" xr:uid="{00000000-0005-0000-0000-00002E230000}"/>
    <cellStyle name="Calculation 3 3 6 2 2 2" xfId="12382" xr:uid="{00000000-0005-0000-0000-00002F230000}"/>
    <cellStyle name="Calculation 3 3 6 2 2 3" xfId="12383" xr:uid="{00000000-0005-0000-0000-000030230000}"/>
    <cellStyle name="Calculation 3 3 6 2 3" xfId="12384" xr:uid="{00000000-0005-0000-0000-000031230000}"/>
    <cellStyle name="Calculation 3 3 6 2 3 2" xfId="12385" xr:uid="{00000000-0005-0000-0000-000032230000}"/>
    <cellStyle name="Calculation 3 3 6 2 3 3" xfId="12386" xr:uid="{00000000-0005-0000-0000-000033230000}"/>
    <cellStyle name="Calculation 3 3 6 2 4" xfId="12387" xr:uid="{00000000-0005-0000-0000-000034230000}"/>
    <cellStyle name="Calculation 3 3 6 2 4 2" xfId="12388" xr:uid="{00000000-0005-0000-0000-000035230000}"/>
    <cellStyle name="Calculation 3 3 6 2 4 3" xfId="12389" xr:uid="{00000000-0005-0000-0000-000036230000}"/>
    <cellStyle name="Calculation 3 3 6 2 5" xfId="12390" xr:uid="{00000000-0005-0000-0000-000037230000}"/>
    <cellStyle name="Calculation 3 3 6 2 5 2" xfId="12391" xr:uid="{00000000-0005-0000-0000-000038230000}"/>
    <cellStyle name="Calculation 3 3 6 2 5 3" xfId="12392" xr:uid="{00000000-0005-0000-0000-000039230000}"/>
    <cellStyle name="Calculation 3 3 6 2 6" xfId="12393" xr:uid="{00000000-0005-0000-0000-00003A230000}"/>
    <cellStyle name="Calculation 3 3 6 2 6 2" xfId="12394" xr:uid="{00000000-0005-0000-0000-00003B230000}"/>
    <cellStyle name="Calculation 3 3 6 2 6 3" xfId="12395" xr:uid="{00000000-0005-0000-0000-00003C230000}"/>
    <cellStyle name="Calculation 3 3 6 2 7" xfId="12396" xr:uid="{00000000-0005-0000-0000-00003D230000}"/>
    <cellStyle name="Calculation 3 3 6 2 7 2" xfId="12397" xr:uid="{00000000-0005-0000-0000-00003E230000}"/>
    <cellStyle name="Calculation 3 3 6 2 7 3" xfId="12398" xr:uid="{00000000-0005-0000-0000-00003F230000}"/>
    <cellStyle name="Calculation 3 3 6 2 8" xfId="12399" xr:uid="{00000000-0005-0000-0000-000040230000}"/>
    <cellStyle name="Calculation 3 3 6 2 9" xfId="12400" xr:uid="{00000000-0005-0000-0000-000041230000}"/>
    <cellStyle name="Calculation 3 3 6 3" xfId="12401" xr:uid="{00000000-0005-0000-0000-000042230000}"/>
    <cellStyle name="Calculation 3 3 6 3 2" xfId="12402" xr:uid="{00000000-0005-0000-0000-000043230000}"/>
    <cellStyle name="Calculation 3 3 6 3 3" xfId="12403" xr:uid="{00000000-0005-0000-0000-000044230000}"/>
    <cellStyle name="Calculation 3 3 6 4" xfId="12404" xr:uid="{00000000-0005-0000-0000-000045230000}"/>
    <cellStyle name="Calculation 3 3 6 4 2" xfId="12405" xr:uid="{00000000-0005-0000-0000-000046230000}"/>
    <cellStyle name="Calculation 3 3 6 4 3" xfId="12406" xr:uid="{00000000-0005-0000-0000-000047230000}"/>
    <cellStyle name="Calculation 3 3 6 5" xfId="12407" xr:uid="{00000000-0005-0000-0000-000048230000}"/>
    <cellStyle name="Calculation 3 3 6 5 2" xfId="12408" xr:uid="{00000000-0005-0000-0000-000049230000}"/>
    <cellStyle name="Calculation 3 3 6 5 3" xfId="12409" xr:uid="{00000000-0005-0000-0000-00004A230000}"/>
    <cellStyle name="Calculation 3 3 6 6" xfId="12410" xr:uid="{00000000-0005-0000-0000-00004B230000}"/>
    <cellStyle name="Calculation 3 3 6 6 2" xfId="12411" xr:uid="{00000000-0005-0000-0000-00004C230000}"/>
    <cellStyle name="Calculation 3 3 6 6 3" xfId="12412" xr:uid="{00000000-0005-0000-0000-00004D230000}"/>
    <cellStyle name="Calculation 3 3 6 7" xfId="12413" xr:uid="{00000000-0005-0000-0000-00004E230000}"/>
    <cellStyle name="Calculation 3 3 6 7 2" xfId="12414" xr:uid="{00000000-0005-0000-0000-00004F230000}"/>
    <cellStyle name="Calculation 3 3 6 7 3" xfId="12415" xr:uid="{00000000-0005-0000-0000-000050230000}"/>
    <cellStyle name="Calculation 3 3 6 8" xfId="12416" xr:uid="{00000000-0005-0000-0000-000051230000}"/>
    <cellStyle name="Calculation 3 3 6 8 2" xfId="12417" xr:uid="{00000000-0005-0000-0000-000052230000}"/>
    <cellStyle name="Calculation 3 3 6 8 3" xfId="12418" xr:uid="{00000000-0005-0000-0000-000053230000}"/>
    <cellStyle name="Calculation 3 3 6 9" xfId="12419" xr:uid="{00000000-0005-0000-0000-000054230000}"/>
    <cellStyle name="Calculation 3 3 7" xfId="12420" xr:uid="{00000000-0005-0000-0000-000055230000}"/>
    <cellStyle name="Calculation 3 3 7 2" xfId="12421" xr:uid="{00000000-0005-0000-0000-000056230000}"/>
    <cellStyle name="Calculation 3 3 7 2 2" xfId="12422" xr:uid="{00000000-0005-0000-0000-000057230000}"/>
    <cellStyle name="Calculation 3 3 7 2 3" xfId="12423" xr:uid="{00000000-0005-0000-0000-000058230000}"/>
    <cellStyle name="Calculation 3 3 7 3" xfId="12424" xr:uid="{00000000-0005-0000-0000-000059230000}"/>
    <cellStyle name="Calculation 3 3 7 3 2" xfId="12425" xr:uid="{00000000-0005-0000-0000-00005A230000}"/>
    <cellStyle name="Calculation 3 3 7 3 3" xfId="12426" xr:uid="{00000000-0005-0000-0000-00005B230000}"/>
    <cellStyle name="Calculation 3 3 7 4" xfId="12427" xr:uid="{00000000-0005-0000-0000-00005C230000}"/>
    <cellStyle name="Calculation 3 3 7 4 2" xfId="12428" xr:uid="{00000000-0005-0000-0000-00005D230000}"/>
    <cellStyle name="Calculation 3 3 7 4 3" xfId="12429" xr:uid="{00000000-0005-0000-0000-00005E230000}"/>
    <cellStyle name="Calculation 3 3 7 5" xfId="12430" xr:uid="{00000000-0005-0000-0000-00005F230000}"/>
    <cellStyle name="Calculation 3 3 7 5 2" xfId="12431" xr:uid="{00000000-0005-0000-0000-000060230000}"/>
    <cellStyle name="Calculation 3 3 7 5 3" xfId="12432" xr:uid="{00000000-0005-0000-0000-000061230000}"/>
    <cellStyle name="Calculation 3 3 7 6" xfId="12433" xr:uid="{00000000-0005-0000-0000-000062230000}"/>
    <cellStyle name="Calculation 3 3 7 6 2" xfId="12434" xr:uid="{00000000-0005-0000-0000-000063230000}"/>
    <cellStyle name="Calculation 3 3 7 6 3" xfId="12435" xr:uid="{00000000-0005-0000-0000-000064230000}"/>
    <cellStyle name="Calculation 3 3 7 7" xfId="12436" xr:uid="{00000000-0005-0000-0000-000065230000}"/>
    <cellStyle name="Calculation 3 3 7 7 2" xfId="12437" xr:uid="{00000000-0005-0000-0000-000066230000}"/>
    <cellStyle name="Calculation 3 3 7 7 3" xfId="12438" xr:uid="{00000000-0005-0000-0000-000067230000}"/>
    <cellStyle name="Calculation 3 3 7 8" xfId="12439" xr:uid="{00000000-0005-0000-0000-000068230000}"/>
    <cellStyle name="Calculation 3 3 7 9" xfId="12440" xr:uid="{00000000-0005-0000-0000-000069230000}"/>
    <cellStyle name="Calculation 3 3 8" xfId="12441" xr:uid="{00000000-0005-0000-0000-00006A230000}"/>
    <cellStyle name="Calculation 3 3 8 2" xfId="12442" xr:uid="{00000000-0005-0000-0000-00006B230000}"/>
    <cellStyle name="Calculation 3 3 8 3" xfId="12443" xr:uid="{00000000-0005-0000-0000-00006C230000}"/>
    <cellStyle name="Calculation 3 3 9" xfId="12444" xr:uid="{00000000-0005-0000-0000-00006D230000}"/>
    <cellStyle name="Calculation 3 3 9 2" xfId="12445" xr:uid="{00000000-0005-0000-0000-00006E230000}"/>
    <cellStyle name="Calculation 3 3 9 3" xfId="12446" xr:uid="{00000000-0005-0000-0000-00006F230000}"/>
    <cellStyle name="Calculation 3 4" xfId="788" xr:uid="{00000000-0005-0000-0000-000070230000}"/>
    <cellStyle name="Calculation 3 4 10" xfId="12447" xr:uid="{00000000-0005-0000-0000-000071230000}"/>
    <cellStyle name="Calculation 3 4 10 2" xfId="12448" xr:uid="{00000000-0005-0000-0000-000072230000}"/>
    <cellStyle name="Calculation 3 4 10 3" xfId="12449" xr:uid="{00000000-0005-0000-0000-000073230000}"/>
    <cellStyle name="Calculation 3 4 11" xfId="12450" xr:uid="{00000000-0005-0000-0000-000074230000}"/>
    <cellStyle name="Calculation 3 4 11 2" xfId="12451" xr:uid="{00000000-0005-0000-0000-000075230000}"/>
    <cellStyle name="Calculation 3 4 11 3" xfId="12452" xr:uid="{00000000-0005-0000-0000-000076230000}"/>
    <cellStyle name="Calculation 3 4 12" xfId="12453" xr:uid="{00000000-0005-0000-0000-000077230000}"/>
    <cellStyle name="Calculation 3 4 12 2" xfId="12454" xr:uid="{00000000-0005-0000-0000-000078230000}"/>
    <cellStyle name="Calculation 3 4 12 3" xfId="12455" xr:uid="{00000000-0005-0000-0000-000079230000}"/>
    <cellStyle name="Calculation 3 4 13" xfId="12456" xr:uid="{00000000-0005-0000-0000-00007A230000}"/>
    <cellStyle name="Calculation 3 4 13 2" xfId="12457" xr:uid="{00000000-0005-0000-0000-00007B230000}"/>
    <cellStyle name="Calculation 3 4 13 3" xfId="12458" xr:uid="{00000000-0005-0000-0000-00007C230000}"/>
    <cellStyle name="Calculation 3 4 14" xfId="44014" xr:uid="{00000000-0005-0000-0000-00007D230000}"/>
    <cellStyle name="Calculation 3 4 2" xfId="12459" xr:uid="{00000000-0005-0000-0000-00007E230000}"/>
    <cellStyle name="Calculation 3 4 2 10" xfId="44015" xr:uid="{00000000-0005-0000-0000-00007F230000}"/>
    <cellStyle name="Calculation 3 4 2 2" xfId="12460" xr:uid="{00000000-0005-0000-0000-000080230000}"/>
    <cellStyle name="Calculation 3 4 2 2 10" xfId="12461" xr:uid="{00000000-0005-0000-0000-000081230000}"/>
    <cellStyle name="Calculation 3 4 2 2 2" xfId="12462" xr:uid="{00000000-0005-0000-0000-000082230000}"/>
    <cellStyle name="Calculation 3 4 2 2 2 2" xfId="12463" xr:uid="{00000000-0005-0000-0000-000083230000}"/>
    <cellStyle name="Calculation 3 4 2 2 2 2 2" xfId="12464" xr:uid="{00000000-0005-0000-0000-000084230000}"/>
    <cellStyle name="Calculation 3 4 2 2 2 2 3" xfId="12465" xr:uid="{00000000-0005-0000-0000-000085230000}"/>
    <cellStyle name="Calculation 3 4 2 2 2 3" xfId="12466" xr:uid="{00000000-0005-0000-0000-000086230000}"/>
    <cellStyle name="Calculation 3 4 2 2 2 3 2" xfId="12467" xr:uid="{00000000-0005-0000-0000-000087230000}"/>
    <cellStyle name="Calculation 3 4 2 2 2 3 3" xfId="12468" xr:uid="{00000000-0005-0000-0000-000088230000}"/>
    <cellStyle name="Calculation 3 4 2 2 2 4" xfId="12469" xr:uid="{00000000-0005-0000-0000-000089230000}"/>
    <cellStyle name="Calculation 3 4 2 2 2 4 2" xfId="12470" xr:uid="{00000000-0005-0000-0000-00008A230000}"/>
    <cellStyle name="Calculation 3 4 2 2 2 4 3" xfId="12471" xr:uid="{00000000-0005-0000-0000-00008B230000}"/>
    <cellStyle name="Calculation 3 4 2 2 2 5" xfId="12472" xr:uid="{00000000-0005-0000-0000-00008C230000}"/>
    <cellStyle name="Calculation 3 4 2 2 2 5 2" xfId="12473" xr:uid="{00000000-0005-0000-0000-00008D230000}"/>
    <cellStyle name="Calculation 3 4 2 2 2 5 3" xfId="12474" xr:uid="{00000000-0005-0000-0000-00008E230000}"/>
    <cellStyle name="Calculation 3 4 2 2 2 6" xfId="12475" xr:uid="{00000000-0005-0000-0000-00008F230000}"/>
    <cellStyle name="Calculation 3 4 2 2 2 6 2" xfId="12476" xr:uid="{00000000-0005-0000-0000-000090230000}"/>
    <cellStyle name="Calculation 3 4 2 2 2 6 3" xfId="12477" xr:uid="{00000000-0005-0000-0000-000091230000}"/>
    <cellStyle name="Calculation 3 4 2 2 2 7" xfId="12478" xr:uid="{00000000-0005-0000-0000-000092230000}"/>
    <cellStyle name="Calculation 3 4 2 2 2 7 2" xfId="12479" xr:uid="{00000000-0005-0000-0000-000093230000}"/>
    <cellStyle name="Calculation 3 4 2 2 2 7 3" xfId="12480" xr:uid="{00000000-0005-0000-0000-000094230000}"/>
    <cellStyle name="Calculation 3 4 2 2 2 8" xfId="12481" xr:uid="{00000000-0005-0000-0000-000095230000}"/>
    <cellStyle name="Calculation 3 4 2 2 2 9" xfId="12482" xr:uid="{00000000-0005-0000-0000-000096230000}"/>
    <cellStyle name="Calculation 3 4 2 2 3" xfId="12483" xr:uid="{00000000-0005-0000-0000-000097230000}"/>
    <cellStyle name="Calculation 3 4 2 2 3 2" xfId="12484" xr:uid="{00000000-0005-0000-0000-000098230000}"/>
    <cellStyle name="Calculation 3 4 2 2 3 3" xfId="12485" xr:uid="{00000000-0005-0000-0000-000099230000}"/>
    <cellStyle name="Calculation 3 4 2 2 4" xfId="12486" xr:uid="{00000000-0005-0000-0000-00009A230000}"/>
    <cellStyle name="Calculation 3 4 2 2 4 2" xfId="12487" xr:uid="{00000000-0005-0000-0000-00009B230000}"/>
    <cellStyle name="Calculation 3 4 2 2 4 3" xfId="12488" xr:uid="{00000000-0005-0000-0000-00009C230000}"/>
    <cellStyle name="Calculation 3 4 2 2 5" xfId="12489" xr:uid="{00000000-0005-0000-0000-00009D230000}"/>
    <cellStyle name="Calculation 3 4 2 2 5 2" xfId="12490" xr:uid="{00000000-0005-0000-0000-00009E230000}"/>
    <cellStyle name="Calculation 3 4 2 2 5 3" xfId="12491" xr:uid="{00000000-0005-0000-0000-00009F230000}"/>
    <cellStyle name="Calculation 3 4 2 2 6" xfId="12492" xr:uid="{00000000-0005-0000-0000-0000A0230000}"/>
    <cellStyle name="Calculation 3 4 2 2 6 2" xfId="12493" xr:uid="{00000000-0005-0000-0000-0000A1230000}"/>
    <cellStyle name="Calculation 3 4 2 2 6 3" xfId="12494" xr:uid="{00000000-0005-0000-0000-0000A2230000}"/>
    <cellStyle name="Calculation 3 4 2 2 7" xfId="12495" xr:uid="{00000000-0005-0000-0000-0000A3230000}"/>
    <cellStyle name="Calculation 3 4 2 2 7 2" xfId="12496" xr:uid="{00000000-0005-0000-0000-0000A4230000}"/>
    <cellStyle name="Calculation 3 4 2 2 7 3" xfId="12497" xr:uid="{00000000-0005-0000-0000-0000A5230000}"/>
    <cellStyle name="Calculation 3 4 2 2 8" xfId="12498" xr:uid="{00000000-0005-0000-0000-0000A6230000}"/>
    <cellStyle name="Calculation 3 4 2 2 8 2" xfId="12499" xr:uid="{00000000-0005-0000-0000-0000A7230000}"/>
    <cellStyle name="Calculation 3 4 2 2 8 3" xfId="12500" xr:uid="{00000000-0005-0000-0000-0000A8230000}"/>
    <cellStyle name="Calculation 3 4 2 2 9" xfId="12501" xr:uid="{00000000-0005-0000-0000-0000A9230000}"/>
    <cellStyle name="Calculation 3 4 2 3" xfId="12502" xr:uid="{00000000-0005-0000-0000-0000AA230000}"/>
    <cellStyle name="Calculation 3 4 2 3 10" xfId="12503" xr:uid="{00000000-0005-0000-0000-0000AB230000}"/>
    <cellStyle name="Calculation 3 4 2 3 2" xfId="12504" xr:uid="{00000000-0005-0000-0000-0000AC230000}"/>
    <cellStyle name="Calculation 3 4 2 3 2 2" xfId="12505" xr:uid="{00000000-0005-0000-0000-0000AD230000}"/>
    <cellStyle name="Calculation 3 4 2 3 2 2 2" xfId="12506" xr:uid="{00000000-0005-0000-0000-0000AE230000}"/>
    <cellStyle name="Calculation 3 4 2 3 2 2 3" xfId="12507" xr:uid="{00000000-0005-0000-0000-0000AF230000}"/>
    <cellStyle name="Calculation 3 4 2 3 2 3" xfId="12508" xr:uid="{00000000-0005-0000-0000-0000B0230000}"/>
    <cellStyle name="Calculation 3 4 2 3 2 3 2" xfId="12509" xr:uid="{00000000-0005-0000-0000-0000B1230000}"/>
    <cellStyle name="Calculation 3 4 2 3 2 3 3" xfId="12510" xr:uid="{00000000-0005-0000-0000-0000B2230000}"/>
    <cellStyle name="Calculation 3 4 2 3 2 4" xfId="12511" xr:uid="{00000000-0005-0000-0000-0000B3230000}"/>
    <cellStyle name="Calculation 3 4 2 3 2 4 2" xfId="12512" xr:uid="{00000000-0005-0000-0000-0000B4230000}"/>
    <cellStyle name="Calculation 3 4 2 3 2 4 3" xfId="12513" xr:uid="{00000000-0005-0000-0000-0000B5230000}"/>
    <cellStyle name="Calculation 3 4 2 3 2 5" xfId="12514" xr:uid="{00000000-0005-0000-0000-0000B6230000}"/>
    <cellStyle name="Calculation 3 4 2 3 2 5 2" xfId="12515" xr:uid="{00000000-0005-0000-0000-0000B7230000}"/>
    <cellStyle name="Calculation 3 4 2 3 2 5 3" xfId="12516" xr:uid="{00000000-0005-0000-0000-0000B8230000}"/>
    <cellStyle name="Calculation 3 4 2 3 2 6" xfId="12517" xr:uid="{00000000-0005-0000-0000-0000B9230000}"/>
    <cellStyle name="Calculation 3 4 2 3 2 6 2" xfId="12518" xr:uid="{00000000-0005-0000-0000-0000BA230000}"/>
    <cellStyle name="Calculation 3 4 2 3 2 6 3" xfId="12519" xr:uid="{00000000-0005-0000-0000-0000BB230000}"/>
    <cellStyle name="Calculation 3 4 2 3 2 7" xfId="12520" xr:uid="{00000000-0005-0000-0000-0000BC230000}"/>
    <cellStyle name="Calculation 3 4 2 3 2 7 2" xfId="12521" xr:uid="{00000000-0005-0000-0000-0000BD230000}"/>
    <cellStyle name="Calculation 3 4 2 3 2 7 3" xfId="12522" xr:uid="{00000000-0005-0000-0000-0000BE230000}"/>
    <cellStyle name="Calculation 3 4 2 3 2 8" xfId="12523" xr:uid="{00000000-0005-0000-0000-0000BF230000}"/>
    <cellStyle name="Calculation 3 4 2 3 2 9" xfId="12524" xr:uid="{00000000-0005-0000-0000-0000C0230000}"/>
    <cellStyle name="Calculation 3 4 2 3 3" xfId="12525" xr:uid="{00000000-0005-0000-0000-0000C1230000}"/>
    <cellStyle name="Calculation 3 4 2 3 3 2" xfId="12526" xr:uid="{00000000-0005-0000-0000-0000C2230000}"/>
    <cellStyle name="Calculation 3 4 2 3 3 3" xfId="12527" xr:uid="{00000000-0005-0000-0000-0000C3230000}"/>
    <cellStyle name="Calculation 3 4 2 3 4" xfId="12528" xr:uid="{00000000-0005-0000-0000-0000C4230000}"/>
    <cellStyle name="Calculation 3 4 2 3 4 2" xfId="12529" xr:uid="{00000000-0005-0000-0000-0000C5230000}"/>
    <cellStyle name="Calculation 3 4 2 3 4 3" xfId="12530" xr:uid="{00000000-0005-0000-0000-0000C6230000}"/>
    <cellStyle name="Calculation 3 4 2 3 5" xfId="12531" xr:uid="{00000000-0005-0000-0000-0000C7230000}"/>
    <cellStyle name="Calculation 3 4 2 3 5 2" xfId="12532" xr:uid="{00000000-0005-0000-0000-0000C8230000}"/>
    <cellStyle name="Calculation 3 4 2 3 5 3" xfId="12533" xr:uid="{00000000-0005-0000-0000-0000C9230000}"/>
    <cellStyle name="Calculation 3 4 2 3 6" xfId="12534" xr:uid="{00000000-0005-0000-0000-0000CA230000}"/>
    <cellStyle name="Calculation 3 4 2 3 6 2" xfId="12535" xr:uid="{00000000-0005-0000-0000-0000CB230000}"/>
    <cellStyle name="Calculation 3 4 2 3 6 3" xfId="12536" xr:uid="{00000000-0005-0000-0000-0000CC230000}"/>
    <cellStyle name="Calculation 3 4 2 3 7" xfId="12537" xr:uid="{00000000-0005-0000-0000-0000CD230000}"/>
    <cellStyle name="Calculation 3 4 2 3 7 2" xfId="12538" xr:uid="{00000000-0005-0000-0000-0000CE230000}"/>
    <cellStyle name="Calculation 3 4 2 3 7 3" xfId="12539" xr:uid="{00000000-0005-0000-0000-0000CF230000}"/>
    <cellStyle name="Calculation 3 4 2 3 8" xfId="12540" xr:uid="{00000000-0005-0000-0000-0000D0230000}"/>
    <cellStyle name="Calculation 3 4 2 3 8 2" xfId="12541" xr:uid="{00000000-0005-0000-0000-0000D1230000}"/>
    <cellStyle name="Calculation 3 4 2 3 8 3" xfId="12542" xr:uid="{00000000-0005-0000-0000-0000D2230000}"/>
    <cellStyle name="Calculation 3 4 2 3 9" xfId="12543" xr:uid="{00000000-0005-0000-0000-0000D3230000}"/>
    <cellStyle name="Calculation 3 4 2 4" xfId="12544" xr:uid="{00000000-0005-0000-0000-0000D4230000}"/>
    <cellStyle name="Calculation 3 4 2 4 10" xfId="12545" xr:uid="{00000000-0005-0000-0000-0000D5230000}"/>
    <cellStyle name="Calculation 3 4 2 4 2" xfId="12546" xr:uid="{00000000-0005-0000-0000-0000D6230000}"/>
    <cellStyle name="Calculation 3 4 2 4 2 2" xfId="12547" xr:uid="{00000000-0005-0000-0000-0000D7230000}"/>
    <cellStyle name="Calculation 3 4 2 4 2 2 2" xfId="12548" xr:uid="{00000000-0005-0000-0000-0000D8230000}"/>
    <cellStyle name="Calculation 3 4 2 4 2 2 3" xfId="12549" xr:uid="{00000000-0005-0000-0000-0000D9230000}"/>
    <cellStyle name="Calculation 3 4 2 4 2 3" xfId="12550" xr:uid="{00000000-0005-0000-0000-0000DA230000}"/>
    <cellStyle name="Calculation 3 4 2 4 2 3 2" xfId="12551" xr:uid="{00000000-0005-0000-0000-0000DB230000}"/>
    <cellStyle name="Calculation 3 4 2 4 2 3 3" xfId="12552" xr:uid="{00000000-0005-0000-0000-0000DC230000}"/>
    <cellStyle name="Calculation 3 4 2 4 2 4" xfId="12553" xr:uid="{00000000-0005-0000-0000-0000DD230000}"/>
    <cellStyle name="Calculation 3 4 2 4 2 4 2" xfId="12554" xr:uid="{00000000-0005-0000-0000-0000DE230000}"/>
    <cellStyle name="Calculation 3 4 2 4 2 4 3" xfId="12555" xr:uid="{00000000-0005-0000-0000-0000DF230000}"/>
    <cellStyle name="Calculation 3 4 2 4 2 5" xfId="12556" xr:uid="{00000000-0005-0000-0000-0000E0230000}"/>
    <cellStyle name="Calculation 3 4 2 4 2 5 2" xfId="12557" xr:uid="{00000000-0005-0000-0000-0000E1230000}"/>
    <cellStyle name="Calculation 3 4 2 4 2 5 3" xfId="12558" xr:uid="{00000000-0005-0000-0000-0000E2230000}"/>
    <cellStyle name="Calculation 3 4 2 4 2 6" xfId="12559" xr:uid="{00000000-0005-0000-0000-0000E3230000}"/>
    <cellStyle name="Calculation 3 4 2 4 2 6 2" xfId="12560" xr:uid="{00000000-0005-0000-0000-0000E4230000}"/>
    <cellStyle name="Calculation 3 4 2 4 2 6 3" xfId="12561" xr:uid="{00000000-0005-0000-0000-0000E5230000}"/>
    <cellStyle name="Calculation 3 4 2 4 2 7" xfId="12562" xr:uid="{00000000-0005-0000-0000-0000E6230000}"/>
    <cellStyle name="Calculation 3 4 2 4 2 7 2" xfId="12563" xr:uid="{00000000-0005-0000-0000-0000E7230000}"/>
    <cellStyle name="Calculation 3 4 2 4 2 7 3" xfId="12564" xr:uid="{00000000-0005-0000-0000-0000E8230000}"/>
    <cellStyle name="Calculation 3 4 2 4 2 8" xfId="12565" xr:uid="{00000000-0005-0000-0000-0000E9230000}"/>
    <cellStyle name="Calculation 3 4 2 4 2 9" xfId="12566" xr:uid="{00000000-0005-0000-0000-0000EA230000}"/>
    <cellStyle name="Calculation 3 4 2 4 3" xfId="12567" xr:uid="{00000000-0005-0000-0000-0000EB230000}"/>
    <cellStyle name="Calculation 3 4 2 4 3 2" xfId="12568" xr:uid="{00000000-0005-0000-0000-0000EC230000}"/>
    <cellStyle name="Calculation 3 4 2 4 3 3" xfId="12569" xr:uid="{00000000-0005-0000-0000-0000ED230000}"/>
    <cellStyle name="Calculation 3 4 2 4 4" xfId="12570" xr:uid="{00000000-0005-0000-0000-0000EE230000}"/>
    <cellStyle name="Calculation 3 4 2 4 4 2" xfId="12571" xr:uid="{00000000-0005-0000-0000-0000EF230000}"/>
    <cellStyle name="Calculation 3 4 2 4 4 3" xfId="12572" xr:uid="{00000000-0005-0000-0000-0000F0230000}"/>
    <cellStyle name="Calculation 3 4 2 4 5" xfId="12573" xr:uid="{00000000-0005-0000-0000-0000F1230000}"/>
    <cellStyle name="Calculation 3 4 2 4 5 2" xfId="12574" xr:uid="{00000000-0005-0000-0000-0000F2230000}"/>
    <cellStyle name="Calculation 3 4 2 4 5 3" xfId="12575" xr:uid="{00000000-0005-0000-0000-0000F3230000}"/>
    <cellStyle name="Calculation 3 4 2 4 6" xfId="12576" xr:uid="{00000000-0005-0000-0000-0000F4230000}"/>
    <cellStyle name="Calculation 3 4 2 4 6 2" xfId="12577" xr:uid="{00000000-0005-0000-0000-0000F5230000}"/>
    <cellStyle name="Calculation 3 4 2 4 6 3" xfId="12578" xr:uid="{00000000-0005-0000-0000-0000F6230000}"/>
    <cellStyle name="Calculation 3 4 2 4 7" xfId="12579" xr:uid="{00000000-0005-0000-0000-0000F7230000}"/>
    <cellStyle name="Calculation 3 4 2 4 7 2" xfId="12580" xr:uid="{00000000-0005-0000-0000-0000F8230000}"/>
    <cellStyle name="Calculation 3 4 2 4 7 3" xfId="12581" xr:uid="{00000000-0005-0000-0000-0000F9230000}"/>
    <cellStyle name="Calculation 3 4 2 4 8" xfId="12582" xr:uid="{00000000-0005-0000-0000-0000FA230000}"/>
    <cellStyle name="Calculation 3 4 2 4 8 2" xfId="12583" xr:uid="{00000000-0005-0000-0000-0000FB230000}"/>
    <cellStyle name="Calculation 3 4 2 4 8 3" xfId="12584" xr:uid="{00000000-0005-0000-0000-0000FC230000}"/>
    <cellStyle name="Calculation 3 4 2 4 9" xfId="12585" xr:uid="{00000000-0005-0000-0000-0000FD230000}"/>
    <cellStyle name="Calculation 3 4 2 5" xfId="12586" xr:uid="{00000000-0005-0000-0000-0000FE230000}"/>
    <cellStyle name="Calculation 3 4 2 5 2" xfId="12587" xr:uid="{00000000-0005-0000-0000-0000FF230000}"/>
    <cellStyle name="Calculation 3 4 2 5 2 2" xfId="12588" xr:uid="{00000000-0005-0000-0000-000000240000}"/>
    <cellStyle name="Calculation 3 4 2 5 2 3" xfId="12589" xr:uid="{00000000-0005-0000-0000-000001240000}"/>
    <cellStyle name="Calculation 3 4 2 5 3" xfId="12590" xr:uid="{00000000-0005-0000-0000-000002240000}"/>
    <cellStyle name="Calculation 3 4 2 5 3 2" xfId="12591" xr:uid="{00000000-0005-0000-0000-000003240000}"/>
    <cellStyle name="Calculation 3 4 2 5 3 3" xfId="12592" xr:uid="{00000000-0005-0000-0000-000004240000}"/>
    <cellStyle name="Calculation 3 4 2 5 4" xfId="12593" xr:uid="{00000000-0005-0000-0000-000005240000}"/>
    <cellStyle name="Calculation 3 4 2 5 4 2" xfId="12594" xr:uid="{00000000-0005-0000-0000-000006240000}"/>
    <cellStyle name="Calculation 3 4 2 5 4 3" xfId="12595" xr:uid="{00000000-0005-0000-0000-000007240000}"/>
    <cellStyle name="Calculation 3 4 2 5 5" xfId="12596" xr:uid="{00000000-0005-0000-0000-000008240000}"/>
    <cellStyle name="Calculation 3 4 2 5 5 2" xfId="12597" xr:uid="{00000000-0005-0000-0000-000009240000}"/>
    <cellStyle name="Calculation 3 4 2 5 5 3" xfId="12598" xr:uid="{00000000-0005-0000-0000-00000A240000}"/>
    <cellStyle name="Calculation 3 4 2 5 6" xfId="12599" xr:uid="{00000000-0005-0000-0000-00000B240000}"/>
    <cellStyle name="Calculation 3 4 2 5 6 2" xfId="12600" xr:uid="{00000000-0005-0000-0000-00000C240000}"/>
    <cellStyle name="Calculation 3 4 2 5 6 3" xfId="12601" xr:uid="{00000000-0005-0000-0000-00000D240000}"/>
    <cellStyle name="Calculation 3 4 2 5 7" xfId="12602" xr:uid="{00000000-0005-0000-0000-00000E240000}"/>
    <cellStyle name="Calculation 3 4 2 5 7 2" xfId="12603" xr:uid="{00000000-0005-0000-0000-00000F240000}"/>
    <cellStyle name="Calculation 3 4 2 5 7 3" xfId="12604" xr:uid="{00000000-0005-0000-0000-000010240000}"/>
    <cellStyle name="Calculation 3 4 2 5 8" xfId="12605" xr:uid="{00000000-0005-0000-0000-000011240000}"/>
    <cellStyle name="Calculation 3 4 2 5 9" xfId="12606" xr:uid="{00000000-0005-0000-0000-000012240000}"/>
    <cellStyle name="Calculation 3 4 2 6" xfId="12607" xr:uid="{00000000-0005-0000-0000-000013240000}"/>
    <cellStyle name="Calculation 3 4 2 6 2" xfId="12608" xr:uid="{00000000-0005-0000-0000-000014240000}"/>
    <cellStyle name="Calculation 3 4 2 6 3" xfId="12609" xr:uid="{00000000-0005-0000-0000-000015240000}"/>
    <cellStyle name="Calculation 3 4 2 7" xfId="12610" xr:uid="{00000000-0005-0000-0000-000016240000}"/>
    <cellStyle name="Calculation 3 4 2 7 2" xfId="12611" xr:uid="{00000000-0005-0000-0000-000017240000}"/>
    <cellStyle name="Calculation 3 4 2 7 3" xfId="12612" xr:uid="{00000000-0005-0000-0000-000018240000}"/>
    <cellStyle name="Calculation 3 4 2 8" xfId="12613" xr:uid="{00000000-0005-0000-0000-000019240000}"/>
    <cellStyle name="Calculation 3 4 2 8 2" xfId="12614" xr:uid="{00000000-0005-0000-0000-00001A240000}"/>
    <cellStyle name="Calculation 3 4 2 8 3" xfId="12615" xr:uid="{00000000-0005-0000-0000-00001B240000}"/>
    <cellStyle name="Calculation 3 4 2 9" xfId="12616" xr:uid="{00000000-0005-0000-0000-00001C240000}"/>
    <cellStyle name="Calculation 3 4 2 9 2" xfId="12617" xr:uid="{00000000-0005-0000-0000-00001D240000}"/>
    <cellStyle name="Calculation 3 4 2 9 3" xfId="12618" xr:uid="{00000000-0005-0000-0000-00001E240000}"/>
    <cellStyle name="Calculation 3 4 3" xfId="12619" xr:uid="{00000000-0005-0000-0000-00001F240000}"/>
    <cellStyle name="Calculation 3 4 3 10" xfId="44016" xr:uid="{00000000-0005-0000-0000-000020240000}"/>
    <cellStyle name="Calculation 3 4 3 2" xfId="12620" xr:uid="{00000000-0005-0000-0000-000021240000}"/>
    <cellStyle name="Calculation 3 4 3 2 10" xfId="12621" xr:uid="{00000000-0005-0000-0000-000022240000}"/>
    <cellStyle name="Calculation 3 4 3 2 2" xfId="12622" xr:uid="{00000000-0005-0000-0000-000023240000}"/>
    <cellStyle name="Calculation 3 4 3 2 2 2" xfId="12623" xr:uid="{00000000-0005-0000-0000-000024240000}"/>
    <cellStyle name="Calculation 3 4 3 2 2 2 2" xfId="12624" xr:uid="{00000000-0005-0000-0000-000025240000}"/>
    <cellStyle name="Calculation 3 4 3 2 2 2 3" xfId="12625" xr:uid="{00000000-0005-0000-0000-000026240000}"/>
    <cellStyle name="Calculation 3 4 3 2 2 3" xfId="12626" xr:uid="{00000000-0005-0000-0000-000027240000}"/>
    <cellStyle name="Calculation 3 4 3 2 2 3 2" xfId="12627" xr:uid="{00000000-0005-0000-0000-000028240000}"/>
    <cellStyle name="Calculation 3 4 3 2 2 3 3" xfId="12628" xr:uid="{00000000-0005-0000-0000-000029240000}"/>
    <cellStyle name="Calculation 3 4 3 2 2 4" xfId="12629" xr:uid="{00000000-0005-0000-0000-00002A240000}"/>
    <cellStyle name="Calculation 3 4 3 2 2 4 2" xfId="12630" xr:uid="{00000000-0005-0000-0000-00002B240000}"/>
    <cellStyle name="Calculation 3 4 3 2 2 4 3" xfId="12631" xr:uid="{00000000-0005-0000-0000-00002C240000}"/>
    <cellStyle name="Calculation 3 4 3 2 2 5" xfId="12632" xr:uid="{00000000-0005-0000-0000-00002D240000}"/>
    <cellStyle name="Calculation 3 4 3 2 2 5 2" xfId="12633" xr:uid="{00000000-0005-0000-0000-00002E240000}"/>
    <cellStyle name="Calculation 3 4 3 2 2 5 3" xfId="12634" xr:uid="{00000000-0005-0000-0000-00002F240000}"/>
    <cellStyle name="Calculation 3 4 3 2 2 6" xfId="12635" xr:uid="{00000000-0005-0000-0000-000030240000}"/>
    <cellStyle name="Calculation 3 4 3 2 2 6 2" xfId="12636" xr:uid="{00000000-0005-0000-0000-000031240000}"/>
    <cellStyle name="Calculation 3 4 3 2 2 6 3" xfId="12637" xr:uid="{00000000-0005-0000-0000-000032240000}"/>
    <cellStyle name="Calculation 3 4 3 2 2 7" xfId="12638" xr:uid="{00000000-0005-0000-0000-000033240000}"/>
    <cellStyle name="Calculation 3 4 3 2 2 7 2" xfId="12639" xr:uid="{00000000-0005-0000-0000-000034240000}"/>
    <cellStyle name="Calculation 3 4 3 2 2 7 3" xfId="12640" xr:uid="{00000000-0005-0000-0000-000035240000}"/>
    <cellStyle name="Calculation 3 4 3 2 2 8" xfId="12641" xr:uid="{00000000-0005-0000-0000-000036240000}"/>
    <cellStyle name="Calculation 3 4 3 2 2 9" xfId="12642" xr:uid="{00000000-0005-0000-0000-000037240000}"/>
    <cellStyle name="Calculation 3 4 3 2 3" xfId="12643" xr:uid="{00000000-0005-0000-0000-000038240000}"/>
    <cellStyle name="Calculation 3 4 3 2 3 2" xfId="12644" xr:uid="{00000000-0005-0000-0000-000039240000}"/>
    <cellStyle name="Calculation 3 4 3 2 3 3" xfId="12645" xr:uid="{00000000-0005-0000-0000-00003A240000}"/>
    <cellStyle name="Calculation 3 4 3 2 4" xfId="12646" xr:uid="{00000000-0005-0000-0000-00003B240000}"/>
    <cellStyle name="Calculation 3 4 3 2 4 2" xfId="12647" xr:uid="{00000000-0005-0000-0000-00003C240000}"/>
    <cellStyle name="Calculation 3 4 3 2 4 3" xfId="12648" xr:uid="{00000000-0005-0000-0000-00003D240000}"/>
    <cellStyle name="Calculation 3 4 3 2 5" xfId="12649" xr:uid="{00000000-0005-0000-0000-00003E240000}"/>
    <cellStyle name="Calculation 3 4 3 2 5 2" xfId="12650" xr:uid="{00000000-0005-0000-0000-00003F240000}"/>
    <cellStyle name="Calculation 3 4 3 2 5 3" xfId="12651" xr:uid="{00000000-0005-0000-0000-000040240000}"/>
    <cellStyle name="Calculation 3 4 3 2 6" xfId="12652" xr:uid="{00000000-0005-0000-0000-000041240000}"/>
    <cellStyle name="Calculation 3 4 3 2 6 2" xfId="12653" xr:uid="{00000000-0005-0000-0000-000042240000}"/>
    <cellStyle name="Calculation 3 4 3 2 6 3" xfId="12654" xr:uid="{00000000-0005-0000-0000-000043240000}"/>
    <cellStyle name="Calculation 3 4 3 2 7" xfId="12655" xr:uid="{00000000-0005-0000-0000-000044240000}"/>
    <cellStyle name="Calculation 3 4 3 2 7 2" xfId="12656" xr:uid="{00000000-0005-0000-0000-000045240000}"/>
    <cellStyle name="Calculation 3 4 3 2 7 3" xfId="12657" xr:uid="{00000000-0005-0000-0000-000046240000}"/>
    <cellStyle name="Calculation 3 4 3 2 8" xfId="12658" xr:uid="{00000000-0005-0000-0000-000047240000}"/>
    <cellStyle name="Calculation 3 4 3 2 8 2" xfId="12659" xr:uid="{00000000-0005-0000-0000-000048240000}"/>
    <cellStyle name="Calculation 3 4 3 2 8 3" xfId="12660" xr:uid="{00000000-0005-0000-0000-000049240000}"/>
    <cellStyle name="Calculation 3 4 3 2 9" xfId="12661" xr:uid="{00000000-0005-0000-0000-00004A240000}"/>
    <cellStyle name="Calculation 3 4 3 3" xfId="12662" xr:uid="{00000000-0005-0000-0000-00004B240000}"/>
    <cellStyle name="Calculation 3 4 3 3 10" xfId="12663" xr:uid="{00000000-0005-0000-0000-00004C240000}"/>
    <cellStyle name="Calculation 3 4 3 3 2" xfId="12664" xr:uid="{00000000-0005-0000-0000-00004D240000}"/>
    <cellStyle name="Calculation 3 4 3 3 2 2" xfId="12665" xr:uid="{00000000-0005-0000-0000-00004E240000}"/>
    <cellStyle name="Calculation 3 4 3 3 2 2 2" xfId="12666" xr:uid="{00000000-0005-0000-0000-00004F240000}"/>
    <cellStyle name="Calculation 3 4 3 3 2 2 3" xfId="12667" xr:uid="{00000000-0005-0000-0000-000050240000}"/>
    <cellStyle name="Calculation 3 4 3 3 2 3" xfId="12668" xr:uid="{00000000-0005-0000-0000-000051240000}"/>
    <cellStyle name="Calculation 3 4 3 3 2 3 2" xfId="12669" xr:uid="{00000000-0005-0000-0000-000052240000}"/>
    <cellStyle name="Calculation 3 4 3 3 2 3 3" xfId="12670" xr:uid="{00000000-0005-0000-0000-000053240000}"/>
    <cellStyle name="Calculation 3 4 3 3 2 4" xfId="12671" xr:uid="{00000000-0005-0000-0000-000054240000}"/>
    <cellStyle name="Calculation 3 4 3 3 2 4 2" xfId="12672" xr:uid="{00000000-0005-0000-0000-000055240000}"/>
    <cellStyle name="Calculation 3 4 3 3 2 4 3" xfId="12673" xr:uid="{00000000-0005-0000-0000-000056240000}"/>
    <cellStyle name="Calculation 3 4 3 3 2 5" xfId="12674" xr:uid="{00000000-0005-0000-0000-000057240000}"/>
    <cellStyle name="Calculation 3 4 3 3 2 5 2" xfId="12675" xr:uid="{00000000-0005-0000-0000-000058240000}"/>
    <cellStyle name="Calculation 3 4 3 3 2 5 3" xfId="12676" xr:uid="{00000000-0005-0000-0000-000059240000}"/>
    <cellStyle name="Calculation 3 4 3 3 2 6" xfId="12677" xr:uid="{00000000-0005-0000-0000-00005A240000}"/>
    <cellStyle name="Calculation 3 4 3 3 2 6 2" xfId="12678" xr:uid="{00000000-0005-0000-0000-00005B240000}"/>
    <cellStyle name="Calculation 3 4 3 3 2 6 3" xfId="12679" xr:uid="{00000000-0005-0000-0000-00005C240000}"/>
    <cellStyle name="Calculation 3 4 3 3 2 7" xfId="12680" xr:uid="{00000000-0005-0000-0000-00005D240000}"/>
    <cellStyle name="Calculation 3 4 3 3 2 7 2" xfId="12681" xr:uid="{00000000-0005-0000-0000-00005E240000}"/>
    <cellStyle name="Calculation 3 4 3 3 2 7 3" xfId="12682" xr:uid="{00000000-0005-0000-0000-00005F240000}"/>
    <cellStyle name="Calculation 3 4 3 3 2 8" xfId="12683" xr:uid="{00000000-0005-0000-0000-000060240000}"/>
    <cellStyle name="Calculation 3 4 3 3 2 9" xfId="12684" xr:uid="{00000000-0005-0000-0000-000061240000}"/>
    <cellStyle name="Calculation 3 4 3 3 3" xfId="12685" xr:uid="{00000000-0005-0000-0000-000062240000}"/>
    <cellStyle name="Calculation 3 4 3 3 3 2" xfId="12686" xr:uid="{00000000-0005-0000-0000-000063240000}"/>
    <cellStyle name="Calculation 3 4 3 3 3 3" xfId="12687" xr:uid="{00000000-0005-0000-0000-000064240000}"/>
    <cellStyle name="Calculation 3 4 3 3 4" xfId="12688" xr:uid="{00000000-0005-0000-0000-000065240000}"/>
    <cellStyle name="Calculation 3 4 3 3 4 2" xfId="12689" xr:uid="{00000000-0005-0000-0000-000066240000}"/>
    <cellStyle name="Calculation 3 4 3 3 4 3" xfId="12690" xr:uid="{00000000-0005-0000-0000-000067240000}"/>
    <cellStyle name="Calculation 3 4 3 3 5" xfId="12691" xr:uid="{00000000-0005-0000-0000-000068240000}"/>
    <cellStyle name="Calculation 3 4 3 3 5 2" xfId="12692" xr:uid="{00000000-0005-0000-0000-000069240000}"/>
    <cellStyle name="Calculation 3 4 3 3 5 3" xfId="12693" xr:uid="{00000000-0005-0000-0000-00006A240000}"/>
    <cellStyle name="Calculation 3 4 3 3 6" xfId="12694" xr:uid="{00000000-0005-0000-0000-00006B240000}"/>
    <cellStyle name="Calculation 3 4 3 3 6 2" xfId="12695" xr:uid="{00000000-0005-0000-0000-00006C240000}"/>
    <cellStyle name="Calculation 3 4 3 3 6 3" xfId="12696" xr:uid="{00000000-0005-0000-0000-00006D240000}"/>
    <cellStyle name="Calculation 3 4 3 3 7" xfId="12697" xr:uid="{00000000-0005-0000-0000-00006E240000}"/>
    <cellStyle name="Calculation 3 4 3 3 7 2" xfId="12698" xr:uid="{00000000-0005-0000-0000-00006F240000}"/>
    <cellStyle name="Calculation 3 4 3 3 7 3" xfId="12699" xr:uid="{00000000-0005-0000-0000-000070240000}"/>
    <cellStyle name="Calculation 3 4 3 3 8" xfId="12700" xr:uid="{00000000-0005-0000-0000-000071240000}"/>
    <cellStyle name="Calculation 3 4 3 3 8 2" xfId="12701" xr:uid="{00000000-0005-0000-0000-000072240000}"/>
    <cellStyle name="Calculation 3 4 3 3 8 3" xfId="12702" xr:uid="{00000000-0005-0000-0000-000073240000}"/>
    <cellStyle name="Calculation 3 4 3 3 9" xfId="12703" xr:uid="{00000000-0005-0000-0000-000074240000}"/>
    <cellStyle name="Calculation 3 4 3 4" xfId="12704" xr:uid="{00000000-0005-0000-0000-000075240000}"/>
    <cellStyle name="Calculation 3 4 3 4 10" xfId="12705" xr:uid="{00000000-0005-0000-0000-000076240000}"/>
    <cellStyle name="Calculation 3 4 3 4 2" xfId="12706" xr:uid="{00000000-0005-0000-0000-000077240000}"/>
    <cellStyle name="Calculation 3 4 3 4 2 2" xfId="12707" xr:uid="{00000000-0005-0000-0000-000078240000}"/>
    <cellStyle name="Calculation 3 4 3 4 2 2 2" xfId="12708" xr:uid="{00000000-0005-0000-0000-000079240000}"/>
    <cellStyle name="Calculation 3 4 3 4 2 2 3" xfId="12709" xr:uid="{00000000-0005-0000-0000-00007A240000}"/>
    <cellStyle name="Calculation 3 4 3 4 2 3" xfId="12710" xr:uid="{00000000-0005-0000-0000-00007B240000}"/>
    <cellStyle name="Calculation 3 4 3 4 2 3 2" xfId="12711" xr:uid="{00000000-0005-0000-0000-00007C240000}"/>
    <cellStyle name="Calculation 3 4 3 4 2 3 3" xfId="12712" xr:uid="{00000000-0005-0000-0000-00007D240000}"/>
    <cellStyle name="Calculation 3 4 3 4 2 4" xfId="12713" xr:uid="{00000000-0005-0000-0000-00007E240000}"/>
    <cellStyle name="Calculation 3 4 3 4 2 4 2" xfId="12714" xr:uid="{00000000-0005-0000-0000-00007F240000}"/>
    <cellStyle name="Calculation 3 4 3 4 2 4 3" xfId="12715" xr:uid="{00000000-0005-0000-0000-000080240000}"/>
    <cellStyle name="Calculation 3 4 3 4 2 5" xfId="12716" xr:uid="{00000000-0005-0000-0000-000081240000}"/>
    <cellStyle name="Calculation 3 4 3 4 2 5 2" xfId="12717" xr:uid="{00000000-0005-0000-0000-000082240000}"/>
    <cellStyle name="Calculation 3 4 3 4 2 5 3" xfId="12718" xr:uid="{00000000-0005-0000-0000-000083240000}"/>
    <cellStyle name="Calculation 3 4 3 4 2 6" xfId="12719" xr:uid="{00000000-0005-0000-0000-000084240000}"/>
    <cellStyle name="Calculation 3 4 3 4 2 6 2" xfId="12720" xr:uid="{00000000-0005-0000-0000-000085240000}"/>
    <cellStyle name="Calculation 3 4 3 4 2 6 3" xfId="12721" xr:uid="{00000000-0005-0000-0000-000086240000}"/>
    <cellStyle name="Calculation 3 4 3 4 2 7" xfId="12722" xr:uid="{00000000-0005-0000-0000-000087240000}"/>
    <cellStyle name="Calculation 3 4 3 4 2 7 2" xfId="12723" xr:uid="{00000000-0005-0000-0000-000088240000}"/>
    <cellStyle name="Calculation 3 4 3 4 2 7 3" xfId="12724" xr:uid="{00000000-0005-0000-0000-000089240000}"/>
    <cellStyle name="Calculation 3 4 3 4 2 8" xfId="12725" xr:uid="{00000000-0005-0000-0000-00008A240000}"/>
    <cellStyle name="Calculation 3 4 3 4 2 9" xfId="12726" xr:uid="{00000000-0005-0000-0000-00008B240000}"/>
    <cellStyle name="Calculation 3 4 3 4 3" xfId="12727" xr:uid="{00000000-0005-0000-0000-00008C240000}"/>
    <cellStyle name="Calculation 3 4 3 4 3 2" xfId="12728" xr:uid="{00000000-0005-0000-0000-00008D240000}"/>
    <cellStyle name="Calculation 3 4 3 4 3 3" xfId="12729" xr:uid="{00000000-0005-0000-0000-00008E240000}"/>
    <cellStyle name="Calculation 3 4 3 4 4" xfId="12730" xr:uid="{00000000-0005-0000-0000-00008F240000}"/>
    <cellStyle name="Calculation 3 4 3 4 4 2" xfId="12731" xr:uid="{00000000-0005-0000-0000-000090240000}"/>
    <cellStyle name="Calculation 3 4 3 4 4 3" xfId="12732" xr:uid="{00000000-0005-0000-0000-000091240000}"/>
    <cellStyle name="Calculation 3 4 3 4 5" xfId="12733" xr:uid="{00000000-0005-0000-0000-000092240000}"/>
    <cellStyle name="Calculation 3 4 3 4 5 2" xfId="12734" xr:uid="{00000000-0005-0000-0000-000093240000}"/>
    <cellStyle name="Calculation 3 4 3 4 5 3" xfId="12735" xr:uid="{00000000-0005-0000-0000-000094240000}"/>
    <cellStyle name="Calculation 3 4 3 4 6" xfId="12736" xr:uid="{00000000-0005-0000-0000-000095240000}"/>
    <cellStyle name="Calculation 3 4 3 4 6 2" xfId="12737" xr:uid="{00000000-0005-0000-0000-000096240000}"/>
    <cellStyle name="Calculation 3 4 3 4 6 3" xfId="12738" xr:uid="{00000000-0005-0000-0000-000097240000}"/>
    <cellStyle name="Calculation 3 4 3 4 7" xfId="12739" xr:uid="{00000000-0005-0000-0000-000098240000}"/>
    <cellStyle name="Calculation 3 4 3 4 7 2" xfId="12740" xr:uid="{00000000-0005-0000-0000-000099240000}"/>
    <cellStyle name="Calculation 3 4 3 4 7 3" xfId="12741" xr:uid="{00000000-0005-0000-0000-00009A240000}"/>
    <cellStyle name="Calculation 3 4 3 4 8" xfId="12742" xr:uid="{00000000-0005-0000-0000-00009B240000}"/>
    <cellStyle name="Calculation 3 4 3 4 8 2" xfId="12743" xr:uid="{00000000-0005-0000-0000-00009C240000}"/>
    <cellStyle name="Calculation 3 4 3 4 8 3" xfId="12744" xr:uid="{00000000-0005-0000-0000-00009D240000}"/>
    <cellStyle name="Calculation 3 4 3 4 9" xfId="12745" xr:uid="{00000000-0005-0000-0000-00009E240000}"/>
    <cellStyle name="Calculation 3 4 3 5" xfId="12746" xr:uid="{00000000-0005-0000-0000-00009F240000}"/>
    <cellStyle name="Calculation 3 4 3 5 2" xfId="12747" xr:uid="{00000000-0005-0000-0000-0000A0240000}"/>
    <cellStyle name="Calculation 3 4 3 5 2 2" xfId="12748" xr:uid="{00000000-0005-0000-0000-0000A1240000}"/>
    <cellStyle name="Calculation 3 4 3 5 2 3" xfId="12749" xr:uid="{00000000-0005-0000-0000-0000A2240000}"/>
    <cellStyle name="Calculation 3 4 3 5 3" xfId="12750" xr:uid="{00000000-0005-0000-0000-0000A3240000}"/>
    <cellStyle name="Calculation 3 4 3 5 3 2" xfId="12751" xr:uid="{00000000-0005-0000-0000-0000A4240000}"/>
    <cellStyle name="Calculation 3 4 3 5 3 3" xfId="12752" xr:uid="{00000000-0005-0000-0000-0000A5240000}"/>
    <cellStyle name="Calculation 3 4 3 5 4" xfId="12753" xr:uid="{00000000-0005-0000-0000-0000A6240000}"/>
    <cellStyle name="Calculation 3 4 3 5 4 2" xfId="12754" xr:uid="{00000000-0005-0000-0000-0000A7240000}"/>
    <cellStyle name="Calculation 3 4 3 5 4 3" xfId="12755" xr:uid="{00000000-0005-0000-0000-0000A8240000}"/>
    <cellStyle name="Calculation 3 4 3 5 5" xfId="12756" xr:uid="{00000000-0005-0000-0000-0000A9240000}"/>
    <cellStyle name="Calculation 3 4 3 5 5 2" xfId="12757" xr:uid="{00000000-0005-0000-0000-0000AA240000}"/>
    <cellStyle name="Calculation 3 4 3 5 5 3" xfId="12758" xr:uid="{00000000-0005-0000-0000-0000AB240000}"/>
    <cellStyle name="Calculation 3 4 3 5 6" xfId="12759" xr:uid="{00000000-0005-0000-0000-0000AC240000}"/>
    <cellStyle name="Calculation 3 4 3 5 6 2" xfId="12760" xr:uid="{00000000-0005-0000-0000-0000AD240000}"/>
    <cellStyle name="Calculation 3 4 3 5 6 3" xfId="12761" xr:uid="{00000000-0005-0000-0000-0000AE240000}"/>
    <cellStyle name="Calculation 3 4 3 5 7" xfId="12762" xr:uid="{00000000-0005-0000-0000-0000AF240000}"/>
    <cellStyle name="Calculation 3 4 3 5 7 2" xfId="12763" xr:uid="{00000000-0005-0000-0000-0000B0240000}"/>
    <cellStyle name="Calculation 3 4 3 5 7 3" xfId="12764" xr:uid="{00000000-0005-0000-0000-0000B1240000}"/>
    <cellStyle name="Calculation 3 4 3 5 8" xfId="12765" xr:uid="{00000000-0005-0000-0000-0000B2240000}"/>
    <cellStyle name="Calculation 3 4 3 5 9" xfId="12766" xr:uid="{00000000-0005-0000-0000-0000B3240000}"/>
    <cellStyle name="Calculation 3 4 3 6" xfId="12767" xr:uid="{00000000-0005-0000-0000-0000B4240000}"/>
    <cellStyle name="Calculation 3 4 3 6 2" xfId="12768" xr:uid="{00000000-0005-0000-0000-0000B5240000}"/>
    <cellStyle name="Calculation 3 4 3 6 3" xfId="12769" xr:uid="{00000000-0005-0000-0000-0000B6240000}"/>
    <cellStyle name="Calculation 3 4 3 7" xfId="12770" xr:uid="{00000000-0005-0000-0000-0000B7240000}"/>
    <cellStyle name="Calculation 3 4 3 7 2" xfId="12771" xr:uid="{00000000-0005-0000-0000-0000B8240000}"/>
    <cellStyle name="Calculation 3 4 3 7 3" xfId="12772" xr:uid="{00000000-0005-0000-0000-0000B9240000}"/>
    <cellStyle name="Calculation 3 4 3 8" xfId="12773" xr:uid="{00000000-0005-0000-0000-0000BA240000}"/>
    <cellStyle name="Calculation 3 4 3 8 2" xfId="12774" xr:uid="{00000000-0005-0000-0000-0000BB240000}"/>
    <cellStyle name="Calculation 3 4 3 8 3" xfId="12775" xr:uid="{00000000-0005-0000-0000-0000BC240000}"/>
    <cellStyle name="Calculation 3 4 3 9" xfId="12776" xr:uid="{00000000-0005-0000-0000-0000BD240000}"/>
    <cellStyle name="Calculation 3 4 3 9 2" xfId="12777" xr:uid="{00000000-0005-0000-0000-0000BE240000}"/>
    <cellStyle name="Calculation 3 4 3 9 3" xfId="12778" xr:uid="{00000000-0005-0000-0000-0000BF240000}"/>
    <cellStyle name="Calculation 3 4 4" xfId="12779" xr:uid="{00000000-0005-0000-0000-0000C0240000}"/>
    <cellStyle name="Calculation 3 4 4 10" xfId="44017" xr:uid="{00000000-0005-0000-0000-0000C1240000}"/>
    <cellStyle name="Calculation 3 4 4 2" xfId="12780" xr:uid="{00000000-0005-0000-0000-0000C2240000}"/>
    <cellStyle name="Calculation 3 4 4 2 10" xfId="12781" xr:uid="{00000000-0005-0000-0000-0000C3240000}"/>
    <cellStyle name="Calculation 3 4 4 2 2" xfId="12782" xr:uid="{00000000-0005-0000-0000-0000C4240000}"/>
    <cellStyle name="Calculation 3 4 4 2 2 2" xfId="12783" xr:uid="{00000000-0005-0000-0000-0000C5240000}"/>
    <cellStyle name="Calculation 3 4 4 2 2 2 2" xfId="12784" xr:uid="{00000000-0005-0000-0000-0000C6240000}"/>
    <cellStyle name="Calculation 3 4 4 2 2 2 3" xfId="12785" xr:uid="{00000000-0005-0000-0000-0000C7240000}"/>
    <cellStyle name="Calculation 3 4 4 2 2 3" xfId="12786" xr:uid="{00000000-0005-0000-0000-0000C8240000}"/>
    <cellStyle name="Calculation 3 4 4 2 2 3 2" xfId="12787" xr:uid="{00000000-0005-0000-0000-0000C9240000}"/>
    <cellStyle name="Calculation 3 4 4 2 2 3 3" xfId="12788" xr:uid="{00000000-0005-0000-0000-0000CA240000}"/>
    <cellStyle name="Calculation 3 4 4 2 2 4" xfId="12789" xr:uid="{00000000-0005-0000-0000-0000CB240000}"/>
    <cellStyle name="Calculation 3 4 4 2 2 4 2" xfId="12790" xr:uid="{00000000-0005-0000-0000-0000CC240000}"/>
    <cellStyle name="Calculation 3 4 4 2 2 4 3" xfId="12791" xr:uid="{00000000-0005-0000-0000-0000CD240000}"/>
    <cellStyle name="Calculation 3 4 4 2 2 5" xfId="12792" xr:uid="{00000000-0005-0000-0000-0000CE240000}"/>
    <cellStyle name="Calculation 3 4 4 2 2 5 2" xfId="12793" xr:uid="{00000000-0005-0000-0000-0000CF240000}"/>
    <cellStyle name="Calculation 3 4 4 2 2 5 3" xfId="12794" xr:uid="{00000000-0005-0000-0000-0000D0240000}"/>
    <cellStyle name="Calculation 3 4 4 2 2 6" xfId="12795" xr:uid="{00000000-0005-0000-0000-0000D1240000}"/>
    <cellStyle name="Calculation 3 4 4 2 2 6 2" xfId="12796" xr:uid="{00000000-0005-0000-0000-0000D2240000}"/>
    <cellStyle name="Calculation 3 4 4 2 2 6 3" xfId="12797" xr:uid="{00000000-0005-0000-0000-0000D3240000}"/>
    <cellStyle name="Calculation 3 4 4 2 2 7" xfId="12798" xr:uid="{00000000-0005-0000-0000-0000D4240000}"/>
    <cellStyle name="Calculation 3 4 4 2 2 7 2" xfId="12799" xr:uid="{00000000-0005-0000-0000-0000D5240000}"/>
    <cellStyle name="Calculation 3 4 4 2 2 7 3" xfId="12800" xr:uid="{00000000-0005-0000-0000-0000D6240000}"/>
    <cellStyle name="Calculation 3 4 4 2 2 8" xfId="12801" xr:uid="{00000000-0005-0000-0000-0000D7240000}"/>
    <cellStyle name="Calculation 3 4 4 2 2 9" xfId="12802" xr:uid="{00000000-0005-0000-0000-0000D8240000}"/>
    <cellStyle name="Calculation 3 4 4 2 3" xfId="12803" xr:uid="{00000000-0005-0000-0000-0000D9240000}"/>
    <cellStyle name="Calculation 3 4 4 2 3 2" xfId="12804" xr:uid="{00000000-0005-0000-0000-0000DA240000}"/>
    <cellStyle name="Calculation 3 4 4 2 3 3" xfId="12805" xr:uid="{00000000-0005-0000-0000-0000DB240000}"/>
    <cellStyle name="Calculation 3 4 4 2 4" xfId="12806" xr:uid="{00000000-0005-0000-0000-0000DC240000}"/>
    <cellStyle name="Calculation 3 4 4 2 4 2" xfId="12807" xr:uid="{00000000-0005-0000-0000-0000DD240000}"/>
    <cellStyle name="Calculation 3 4 4 2 4 3" xfId="12808" xr:uid="{00000000-0005-0000-0000-0000DE240000}"/>
    <cellStyle name="Calculation 3 4 4 2 5" xfId="12809" xr:uid="{00000000-0005-0000-0000-0000DF240000}"/>
    <cellStyle name="Calculation 3 4 4 2 5 2" xfId="12810" xr:uid="{00000000-0005-0000-0000-0000E0240000}"/>
    <cellStyle name="Calculation 3 4 4 2 5 3" xfId="12811" xr:uid="{00000000-0005-0000-0000-0000E1240000}"/>
    <cellStyle name="Calculation 3 4 4 2 6" xfId="12812" xr:uid="{00000000-0005-0000-0000-0000E2240000}"/>
    <cellStyle name="Calculation 3 4 4 2 6 2" xfId="12813" xr:uid="{00000000-0005-0000-0000-0000E3240000}"/>
    <cellStyle name="Calculation 3 4 4 2 6 3" xfId="12814" xr:uid="{00000000-0005-0000-0000-0000E4240000}"/>
    <cellStyle name="Calculation 3 4 4 2 7" xfId="12815" xr:uid="{00000000-0005-0000-0000-0000E5240000}"/>
    <cellStyle name="Calculation 3 4 4 2 7 2" xfId="12816" xr:uid="{00000000-0005-0000-0000-0000E6240000}"/>
    <cellStyle name="Calculation 3 4 4 2 7 3" xfId="12817" xr:uid="{00000000-0005-0000-0000-0000E7240000}"/>
    <cellStyle name="Calculation 3 4 4 2 8" xfId="12818" xr:uid="{00000000-0005-0000-0000-0000E8240000}"/>
    <cellStyle name="Calculation 3 4 4 2 8 2" xfId="12819" xr:uid="{00000000-0005-0000-0000-0000E9240000}"/>
    <cellStyle name="Calculation 3 4 4 2 8 3" xfId="12820" xr:uid="{00000000-0005-0000-0000-0000EA240000}"/>
    <cellStyle name="Calculation 3 4 4 2 9" xfId="12821" xr:uid="{00000000-0005-0000-0000-0000EB240000}"/>
    <cellStyle name="Calculation 3 4 4 3" xfId="12822" xr:uid="{00000000-0005-0000-0000-0000EC240000}"/>
    <cellStyle name="Calculation 3 4 4 3 10" xfId="12823" xr:uid="{00000000-0005-0000-0000-0000ED240000}"/>
    <cellStyle name="Calculation 3 4 4 3 2" xfId="12824" xr:uid="{00000000-0005-0000-0000-0000EE240000}"/>
    <cellStyle name="Calculation 3 4 4 3 2 2" xfId="12825" xr:uid="{00000000-0005-0000-0000-0000EF240000}"/>
    <cellStyle name="Calculation 3 4 4 3 2 2 2" xfId="12826" xr:uid="{00000000-0005-0000-0000-0000F0240000}"/>
    <cellStyle name="Calculation 3 4 4 3 2 2 3" xfId="12827" xr:uid="{00000000-0005-0000-0000-0000F1240000}"/>
    <cellStyle name="Calculation 3 4 4 3 2 3" xfId="12828" xr:uid="{00000000-0005-0000-0000-0000F2240000}"/>
    <cellStyle name="Calculation 3 4 4 3 2 3 2" xfId="12829" xr:uid="{00000000-0005-0000-0000-0000F3240000}"/>
    <cellStyle name="Calculation 3 4 4 3 2 3 3" xfId="12830" xr:uid="{00000000-0005-0000-0000-0000F4240000}"/>
    <cellStyle name="Calculation 3 4 4 3 2 4" xfId="12831" xr:uid="{00000000-0005-0000-0000-0000F5240000}"/>
    <cellStyle name="Calculation 3 4 4 3 2 4 2" xfId="12832" xr:uid="{00000000-0005-0000-0000-0000F6240000}"/>
    <cellStyle name="Calculation 3 4 4 3 2 4 3" xfId="12833" xr:uid="{00000000-0005-0000-0000-0000F7240000}"/>
    <cellStyle name="Calculation 3 4 4 3 2 5" xfId="12834" xr:uid="{00000000-0005-0000-0000-0000F8240000}"/>
    <cellStyle name="Calculation 3 4 4 3 2 5 2" xfId="12835" xr:uid="{00000000-0005-0000-0000-0000F9240000}"/>
    <cellStyle name="Calculation 3 4 4 3 2 5 3" xfId="12836" xr:uid="{00000000-0005-0000-0000-0000FA240000}"/>
    <cellStyle name="Calculation 3 4 4 3 2 6" xfId="12837" xr:uid="{00000000-0005-0000-0000-0000FB240000}"/>
    <cellStyle name="Calculation 3 4 4 3 2 6 2" xfId="12838" xr:uid="{00000000-0005-0000-0000-0000FC240000}"/>
    <cellStyle name="Calculation 3 4 4 3 2 6 3" xfId="12839" xr:uid="{00000000-0005-0000-0000-0000FD240000}"/>
    <cellStyle name="Calculation 3 4 4 3 2 7" xfId="12840" xr:uid="{00000000-0005-0000-0000-0000FE240000}"/>
    <cellStyle name="Calculation 3 4 4 3 2 7 2" xfId="12841" xr:uid="{00000000-0005-0000-0000-0000FF240000}"/>
    <cellStyle name="Calculation 3 4 4 3 2 7 3" xfId="12842" xr:uid="{00000000-0005-0000-0000-000000250000}"/>
    <cellStyle name="Calculation 3 4 4 3 2 8" xfId="12843" xr:uid="{00000000-0005-0000-0000-000001250000}"/>
    <cellStyle name="Calculation 3 4 4 3 2 9" xfId="12844" xr:uid="{00000000-0005-0000-0000-000002250000}"/>
    <cellStyle name="Calculation 3 4 4 3 3" xfId="12845" xr:uid="{00000000-0005-0000-0000-000003250000}"/>
    <cellStyle name="Calculation 3 4 4 3 3 2" xfId="12846" xr:uid="{00000000-0005-0000-0000-000004250000}"/>
    <cellStyle name="Calculation 3 4 4 3 3 3" xfId="12847" xr:uid="{00000000-0005-0000-0000-000005250000}"/>
    <cellStyle name="Calculation 3 4 4 3 4" xfId="12848" xr:uid="{00000000-0005-0000-0000-000006250000}"/>
    <cellStyle name="Calculation 3 4 4 3 4 2" xfId="12849" xr:uid="{00000000-0005-0000-0000-000007250000}"/>
    <cellStyle name="Calculation 3 4 4 3 4 3" xfId="12850" xr:uid="{00000000-0005-0000-0000-000008250000}"/>
    <cellStyle name="Calculation 3 4 4 3 5" xfId="12851" xr:uid="{00000000-0005-0000-0000-000009250000}"/>
    <cellStyle name="Calculation 3 4 4 3 5 2" xfId="12852" xr:uid="{00000000-0005-0000-0000-00000A250000}"/>
    <cellStyle name="Calculation 3 4 4 3 5 3" xfId="12853" xr:uid="{00000000-0005-0000-0000-00000B250000}"/>
    <cellStyle name="Calculation 3 4 4 3 6" xfId="12854" xr:uid="{00000000-0005-0000-0000-00000C250000}"/>
    <cellStyle name="Calculation 3 4 4 3 6 2" xfId="12855" xr:uid="{00000000-0005-0000-0000-00000D250000}"/>
    <cellStyle name="Calculation 3 4 4 3 6 3" xfId="12856" xr:uid="{00000000-0005-0000-0000-00000E250000}"/>
    <cellStyle name="Calculation 3 4 4 3 7" xfId="12857" xr:uid="{00000000-0005-0000-0000-00000F250000}"/>
    <cellStyle name="Calculation 3 4 4 3 7 2" xfId="12858" xr:uid="{00000000-0005-0000-0000-000010250000}"/>
    <cellStyle name="Calculation 3 4 4 3 7 3" xfId="12859" xr:uid="{00000000-0005-0000-0000-000011250000}"/>
    <cellStyle name="Calculation 3 4 4 3 8" xfId="12860" xr:uid="{00000000-0005-0000-0000-000012250000}"/>
    <cellStyle name="Calculation 3 4 4 3 8 2" xfId="12861" xr:uid="{00000000-0005-0000-0000-000013250000}"/>
    <cellStyle name="Calculation 3 4 4 3 8 3" xfId="12862" xr:uid="{00000000-0005-0000-0000-000014250000}"/>
    <cellStyle name="Calculation 3 4 4 3 9" xfId="12863" xr:uid="{00000000-0005-0000-0000-000015250000}"/>
    <cellStyle name="Calculation 3 4 4 4" xfId="12864" xr:uid="{00000000-0005-0000-0000-000016250000}"/>
    <cellStyle name="Calculation 3 4 4 4 10" xfId="12865" xr:uid="{00000000-0005-0000-0000-000017250000}"/>
    <cellStyle name="Calculation 3 4 4 4 2" xfId="12866" xr:uid="{00000000-0005-0000-0000-000018250000}"/>
    <cellStyle name="Calculation 3 4 4 4 2 2" xfId="12867" xr:uid="{00000000-0005-0000-0000-000019250000}"/>
    <cellStyle name="Calculation 3 4 4 4 2 2 2" xfId="12868" xr:uid="{00000000-0005-0000-0000-00001A250000}"/>
    <cellStyle name="Calculation 3 4 4 4 2 2 3" xfId="12869" xr:uid="{00000000-0005-0000-0000-00001B250000}"/>
    <cellStyle name="Calculation 3 4 4 4 2 3" xfId="12870" xr:uid="{00000000-0005-0000-0000-00001C250000}"/>
    <cellStyle name="Calculation 3 4 4 4 2 3 2" xfId="12871" xr:uid="{00000000-0005-0000-0000-00001D250000}"/>
    <cellStyle name="Calculation 3 4 4 4 2 3 3" xfId="12872" xr:uid="{00000000-0005-0000-0000-00001E250000}"/>
    <cellStyle name="Calculation 3 4 4 4 2 4" xfId="12873" xr:uid="{00000000-0005-0000-0000-00001F250000}"/>
    <cellStyle name="Calculation 3 4 4 4 2 4 2" xfId="12874" xr:uid="{00000000-0005-0000-0000-000020250000}"/>
    <cellStyle name="Calculation 3 4 4 4 2 4 3" xfId="12875" xr:uid="{00000000-0005-0000-0000-000021250000}"/>
    <cellStyle name="Calculation 3 4 4 4 2 5" xfId="12876" xr:uid="{00000000-0005-0000-0000-000022250000}"/>
    <cellStyle name="Calculation 3 4 4 4 2 5 2" xfId="12877" xr:uid="{00000000-0005-0000-0000-000023250000}"/>
    <cellStyle name="Calculation 3 4 4 4 2 5 3" xfId="12878" xr:uid="{00000000-0005-0000-0000-000024250000}"/>
    <cellStyle name="Calculation 3 4 4 4 2 6" xfId="12879" xr:uid="{00000000-0005-0000-0000-000025250000}"/>
    <cellStyle name="Calculation 3 4 4 4 2 6 2" xfId="12880" xr:uid="{00000000-0005-0000-0000-000026250000}"/>
    <cellStyle name="Calculation 3 4 4 4 2 6 3" xfId="12881" xr:uid="{00000000-0005-0000-0000-000027250000}"/>
    <cellStyle name="Calculation 3 4 4 4 2 7" xfId="12882" xr:uid="{00000000-0005-0000-0000-000028250000}"/>
    <cellStyle name="Calculation 3 4 4 4 2 7 2" xfId="12883" xr:uid="{00000000-0005-0000-0000-000029250000}"/>
    <cellStyle name="Calculation 3 4 4 4 2 7 3" xfId="12884" xr:uid="{00000000-0005-0000-0000-00002A250000}"/>
    <cellStyle name="Calculation 3 4 4 4 2 8" xfId="12885" xr:uid="{00000000-0005-0000-0000-00002B250000}"/>
    <cellStyle name="Calculation 3 4 4 4 2 9" xfId="12886" xr:uid="{00000000-0005-0000-0000-00002C250000}"/>
    <cellStyle name="Calculation 3 4 4 4 3" xfId="12887" xr:uid="{00000000-0005-0000-0000-00002D250000}"/>
    <cellStyle name="Calculation 3 4 4 4 3 2" xfId="12888" xr:uid="{00000000-0005-0000-0000-00002E250000}"/>
    <cellStyle name="Calculation 3 4 4 4 3 3" xfId="12889" xr:uid="{00000000-0005-0000-0000-00002F250000}"/>
    <cellStyle name="Calculation 3 4 4 4 4" xfId="12890" xr:uid="{00000000-0005-0000-0000-000030250000}"/>
    <cellStyle name="Calculation 3 4 4 4 4 2" xfId="12891" xr:uid="{00000000-0005-0000-0000-000031250000}"/>
    <cellStyle name="Calculation 3 4 4 4 4 3" xfId="12892" xr:uid="{00000000-0005-0000-0000-000032250000}"/>
    <cellStyle name="Calculation 3 4 4 4 5" xfId="12893" xr:uid="{00000000-0005-0000-0000-000033250000}"/>
    <cellStyle name="Calculation 3 4 4 4 5 2" xfId="12894" xr:uid="{00000000-0005-0000-0000-000034250000}"/>
    <cellStyle name="Calculation 3 4 4 4 5 3" xfId="12895" xr:uid="{00000000-0005-0000-0000-000035250000}"/>
    <cellStyle name="Calculation 3 4 4 4 6" xfId="12896" xr:uid="{00000000-0005-0000-0000-000036250000}"/>
    <cellStyle name="Calculation 3 4 4 4 6 2" xfId="12897" xr:uid="{00000000-0005-0000-0000-000037250000}"/>
    <cellStyle name="Calculation 3 4 4 4 6 3" xfId="12898" xr:uid="{00000000-0005-0000-0000-000038250000}"/>
    <cellStyle name="Calculation 3 4 4 4 7" xfId="12899" xr:uid="{00000000-0005-0000-0000-000039250000}"/>
    <cellStyle name="Calculation 3 4 4 4 7 2" xfId="12900" xr:uid="{00000000-0005-0000-0000-00003A250000}"/>
    <cellStyle name="Calculation 3 4 4 4 7 3" xfId="12901" xr:uid="{00000000-0005-0000-0000-00003B250000}"/>
    <cellStyle name="Calculation 3 4 4 4 8" xfId="12902" xr:uid="{00000000-0005-0000-0000-00003C250000}"/>
    <cellStyle name="Calculation 3 4 4 4 8 2" xfId="12903" xr:uid="{00000000-0005-0000-0000-00003D250000}"/>
    <cellStyle name="Calculation 3 4 4 4 8 3" xfId="12904" xr:uid="{00000000-0005-0000-0000-00003E250000}"/>
    <cellStyle name="Calculation 3 4 4 4 9" xfId="12905" xr:uid="{00000000-0005-0000-0000-00003F250000}"/>
    <cellStyle name="Calculation 3 4 4 5" xfId="12906" xr:uid="{00000000-0005-0000-0000-000040250000}"/>
    <cellStyle name="Calculation 3 4 4 5 2" xfId="12907" xr:uid="{00000000-0005-0000-0000-000041250000}"/>
    <cellStyle name="Calculation 3 4 4 5 2 2" xfId="12908" xr:uid="{00000000-0005-0000-0000-000042250000}"/>
    <cellStyle name="Calculation 3 4 4 5 2 3" xfId="12909" xr:uid="{00000000-0005-0000-0000-000043250000}"/>
    <cellStyle name="Calculation 3 4 4 5 3" xfId="12910" xr:uid="{00000000-0005-0000-0000-000044250000}"/>
    <cellStyle name="Calculation 3 4 4 5 3 2" xfId="12911" xr:uid="{00000000-0005-0000-0000-000045250000}"/>
    <cellStyle name="Calculation 3 4 4 5 3 3" xfId="12912" xr:uid="{00000000-0005-0000-0000-000046250000}"/>
    <cellStyle name="Calculation 3 4 4 5 4" xfId="12913" xr:uid="{00000000-0005-0000-0000-000047250000}"/>
    <cellStyle name="Calculation 3 4 4 5 4 2" xfId="12914" xr:uid="{00000000-0005-0000-0000-000048250000}"/>
    <cellStyle name="Calculation 3 4 4 5 4 3" xfId="12915" xr:uid="{00000000-0005-0000-0000-000049250000}"/>
    <cellStyle name="Calculation 3 4 4 5 5" xfId="12916" xr:uid="{00000000-0005-0000-0000-00004A250000}"/>
    <cellStyle name="Calculation 3 4 4 5 5 2" xfId="12917" xr:uid="{00000000-0005-0000-0000-00004B250000}"/>
    <cellStyle name="Calculation 3 4 4 5 5 3" xfId="12918" xr:uid="{00000000-0005-0000-0000-00004C250000}"/>
    <cellStyle name="Calculation 3 4 4 5 6" xfId="12919" xr:uid="{00000000-0005-0000-0000-00004D250000}"/>
    <cellStyle name="Calculation 3 4 4 5 6 2" xfId="12920" xr:uid="{00000000-0005-0000-0000-00004E250000}"/>
    <cellStyle name="Calculation 3 4 4 5 6 3" xfId="12921" xr:uid="{00000000-0005-0000-0000-00004F250000}"/>
    <cellStyle name="Calculation 3 4 4 5 7" xfId="12922" xr:uid="{00000000-0005-0000-0000-000050250000}"/>
    <cellStyle name="Calculation 3 4 4 5 7 2" xfId="12923" xr:uid="{00000000-0005-0000-0000-000051250000}"/>
    <cellStyle name="Calculation 3 4 4 5 7 3" xfId="12924" xr:uid="{00000000-0005-0000-0000-000052250000}"/>
    <cellStyle name="Calculation 3 4 4 5 8" xfId="12925" xr:uid="{00000000-0005-0000-0000-000053250000}"/>
    <cellStyle name="Calculation 3 4 4 5 9" xfId="12926" xr:uid="{00000000-0005-0000-0000-000054250000}"/>
    <cellStyle name="Calculation 3 4 4 6" xfId="12927" xr:uid="{00000000-0005-0000-0000-000055250000}"/>
    <cellStyle name="Calculation 3 4 4 6 2" xfId="12928" xr:uid="{00000000-0005-0000-0000-000056250000}"/>
    <cellStyle name="Calculation 3 4 4 6 3" xfId="12929" xr:uid="{00000000-0005-0000-0000-000057250000}"/>
    <cellStyle name="Calculation 3 4 4 7" xfId="12930" xr:uid="{00000000-0005-0000-0000-000058250000}"/>
    <cellStyle name="Calculation 3 4 4 7 2" xfId="12931" xr:uid="{00000000-0005-0000-0000-000059250000}"/>
    <cellStyle name="Calculation 3 4 4 7 3" xfId="12932" xr:uid="{00000000-0005-0000-0000-00005A250000}"/>
    <cellStyle name="Calculation 3 4 4 8" xfId="12933" xr:uid="{00000000-0005-0000-0000-00005B250000}"/>
    <cellStyle name="Calculation 3 4 4 8 2" xfId="12934" xr:uid="{00000000-0005-0000-0000-00005C250000}"/>
    <cellStyle name="Calculation 3 4 4 8 3" xfId="12935" xr:uid="{00000000-0005-0000-0000-00005D250000}"/>
    <cellStyle name="Calculation 3 4 4 9" xfId="12936" xr:uid="{00000000-0005-0000-0000-00005E250000}"/>
    <cellStyle name="Calculation 3 4 4 9 2" xfId="12937" xr:uid="{00000000-0005-0000-0000-00005F250000}"/>
    <cellStyle name="Calculation 3 4 4 9 3" xfId="12938" xr:uid="{00000000-0005-0000-0000-000060250000}"/>
    <cellStyle name="Calculation 3 4 5" xfId="12939" xr:uid="{00000000-0005-0000-0000-000061250000}"/>
    <cellStyle name="Calculation 3 4 5 10" xfId="44018" xr:uid="{00000000-0005-0000-0000-000062250000}"/>
    <cellStyle name="Calculation 3 4 5 2" xfId="12940" xr:uid="{00000000-0005-0000-0000-000063250000}"/>
    <cellStyle name="Calculation 3 4 5 2 10" xfId="12941" xr:uid="{00000000-0005-0000-0000-000064250000}"/>
    <cellStyle name="Calculation 3 4 5 2 2" xfId="12942" xr:uid="{00000000-0005-0000-0000-000065250000}"/>
    <cellStyle name="Calculation 3 4 5 2 2 2" xfId="12943" xr:uid="{00000000-0005-0000-0000-000066250000}"/>
    <cellStyle name="Calculation 3 4 5 2 2 2 2" xfId="12944" xr:uid="{00000000-0005-0000-0000-000067250000}"/>
    <cellStyle name="Calculation 3 4 5 2 2 2 3" xfId="12945" xr:uid="{00000000-0005-0000-0000-000068250000}"/>
    <cellStyle name="Calculation 3 4 5 2 2 3" xfId="12946" xr:uid="{00000000-0005-0000-0000-000069250000}"/>
    <cellStyle name="Calculation 3 4 5 2 2 3 2" xfId="12947" xr:uid="{00000000-0005-0000-0000-00006A250000}"/>
    <cellStyle name="Calculation 3 4 5 2 2 3 3" xfId="12948" xr:uid="{00000000-0005-0000-0000-00006B250000}"/>
    <cellStyle name="Calculation 3 4 5 2 2 4" xfId="12949" xr:uid="{00000000-0005-0000-0000-00006C250000}"/>
    <cellStyle name="Calculation 3 4 5 2 2 4 2" xfId="12950" xr:uid="{00000000-0005-0000-0000-00006D250000}"/>
    <cellStyle name="Calculation 3 4 5 2 2 4 3" xfId="12951" xr:uid="{00000000-0005-0000-0000-00006E250000}"/>
    <cellStyle name="Calculation 3 4 5 2 2 5" xfId="12952" xr:uid="{00000000-0005-0000-0000-00006F250000}"/>
    <cellStyle name="Calculation 3 4 5 2 2 5 2" xfId="12953" xr:uid="{00000000-0005-0000-0000-000070250000}"/>
    <cellStyle name="Calculation 3 4 5 2 2 5 3" xfId="12954" xr:uid="{00000000-0005-0000-0000-000071250000}"/>
    <cellStyle name="Calculation 3 4 5 2 2 6" xfId="12955" xr:uid="{00000000-0005-0000-0000-000072250000}"/>
    <cellStyle name="Calculation 3 4 5 2 2 6 2" xfId="12956" xr:uid="{00000000-0005-0000-0000-000073250000}"/>
    <cellStyle name="Calculation 3 4 5 2 2 6 3" xfId="12957" xr:uid="{00000000-0005-0000-0000-000074250000}"/>
    <cellStyle name="Calculation 3 4 5 2 2 7" xfId="12958" xr:uid="{00000000-0005-0000-0000-000075250000}"/>
    <cellStyle name="Calculation 3 4 5 2 2 7 2" xfId="12959" xr:uid="{00000000-0005-0000-0000-000076250000}"/>
    <cellStyle name="Calculation 3 4 5 2 2 7 3" xfId="12960" xr:uid="{00000000-0005-0000-0000-000077250000}"/>
    <cellStyle name="Calculation 3 4 5 2 2 8" xfId="12961" xr:uid="{00000000-0005-0000-0000-000078250000}"/>
    <cellStyle name="Calculation 3 4 5 2 2 9" xfId="12962" xr:uid="{00000000-0005-0000-0000-000079250000}"/>
    <cellStyle name="Calculation 3 4 5 2 3" xfId="12963" xr:uid="{00000000-0005-0000-0000-00007A250000}"/>
    <cellStyle name="Calculation 3 4 5 2 3 2" xfId="12964" xr:uid="{00000000-0005-0000-0000-00007B250000}"/>
    <cellStyle name="Calculation 3 4 5 2 3 3" xfId="12965" xr:uid="{00000000-0005-0000-0000-00007C250000}"/>
    <cellStyle name="Calculation 3 4 5 2 4" xfId="12966" xr:uid="{00000000-0005-0000-0000-00007D250000}"/>
    <cellStyle name="Calculation 3 4 5 2 4 2" xfId="12967" xr:uid="{00000000-0005-0000-0000-00007E250000}"/>
    <cellStyle name="Calculation 3 4 5 2 4 3" xfId="12968" xr:uid="{00000000-0005-0000-0000-00007F250000}"/>
    <cellStyle name="Calculation 3 4 5 2 5" xfId="12969" xr:uid="{00000000-0005-0000-0000-000080250000}"/>
    <cellStyle name="Calculation 3 4 5 2 5 2" xfId="12970" xr:uid="{00000000-0005-0000-0000-000081250000}"/>
    <cellStyle name="Calculation 3 4 5 2 5 3" xfId="12971" xr:uid="{00000000-0005-0000-0000-000082250000}"/>
    <cellStyle name="Calculation 3 4 5 2 6" xfId="12972" xr:uid="{00000000-0005-0000-0000-000083250000}"/>
    <cellStyle name="Calculation 3 4 5 2 6 2" xfId="12973" xr:uid="{00000000-0005-0000-0000-000084250000}"/>
    <cellStyle name="Calculation 3 4 5 2 6 3" xfId="12974" xr:uid="{00000000-0005-0000-0000-000085250000}"/>
    <cellStyle name="Calculation 3 4 5 2 7" xfId="12975" xr:uid="{00000000-0005-0000-0000-000086250000}"/>
    <cellStyle name="Calculation 3 4 5 2 7 2" xfId="12976" xr:uid="{00000000-0005-0000-0000-000087250000}"/>
    <cellStyle name="Calculation 3 4 5 2 7 3" xfId="12977" xr:uid="{00000000-0005-0000-0000-000088250000}"/>
    <cellStyle name="Calculation 3 4 5 2 8" xfId="12978" xr:uid="{00000000-0005-0000-0000-000089250000}"/>
    <cellStyle name="Calculation 3 4 5 2 8 2" xfId="12979" xr:uid="{00000000-0005-0000-0000-00008A250000}"/>
    <cellStyle name="Calculation 3 4 5 2 8 3" xfId="12980" xr:uid="{00000000-0005-0000-0000-00008B250000}"/>
    <cellStyle name="Calculation 3 4 5 2 9" xfId="12981" xr:uid="{00000000-0005-0000-0000-00008C250000}"/>
    <cellStyle name="Calculation 3 4 5 3" xfId="12982" xr:uid="{00000000-0005-0000-0000-00008D250000}"/>
    <cellStyle name="Calculation 3 4 5 3 10" xfId="12983" xr:uid="{00000000-0005-0000-0000-00008E250000}"/>
    <cellStyle name="Calculation 3 4 5 3 2" xfId="12984" xr:uid="{00000000-0005-0000-0000-00008F250000}"/>
    <cellStyle name="Calculation 3 4 5 3 2 2" xfId="12985" xr:uid="{00000000-0005-0000-0000-000090250000}"/>
    <cellStyle name="Calculation 3 4 5 3 2 2 2" xfId="12986" xr:uid="{00000000-0005-0000-0000-000091250000}"/>
    <cellStyle name="Calculation 3 4 5 3 2 2 3" xfId="12987" xr:uid="{00000000-0005-0000-0000-000092250000}"/>
    <cellStyle name="Calculation 3 4 5 3 2 3" xfId="12988" xr:uid="{00000000-0005-0000-0000-000093250000}"/>
    <cellStyle name="Calculation 3 4 5 3 2 3 2" xfId="12989" xr:uid="{00000000-0005-0000-0000-000094250000}"/>
    <cellStyle name="Calculation 3 4 5 3 2 3 3" xfId="12990" xr:uid="{00000000-0005-0000-0000-000095250000}"/>
    <cellStyle name="Calculation 3 4 5 3 2 4" xfId="12991" xr:uid="{00000000-0005-0000-0000-000096250000}"/>
    <cellStyle name="Calculation 3 4 5 3 2 4 2" xfId="12992" xr:uid="{00000000-0005-0000-0000-000097250000}"/>
    <cellStyle name="Calculation 3 4 5 3 2 4 3" xfId="12993" xr:uid="{00000000-0005-0000-0000-000098250000}"/>
    <cellStyle name="Calculation 3 4 5 3 2 5" xfId="12994" xr:uid="{00000000-0005-0000-0000-000099250000}"/>
    <cellStyle name="Calculation 3 4 5 3 2 5 2" xfId="12995" xr:uid="{00000000-0005-0000-0000-00009A250000}"/>
    <cellStyle name="Calculation 3 4 5 3 2 5 3" xfId="12996" xr:uid="{00000000-0005-0000-0000-00009B250000}"/>
    <cellStyle name="Calculation 3 4 5 3 2 6" xfId="12997" xr:uid="{00000000-0005-0000-0000-00009C250000}"/>
    <cellStyle name="Calculation 3 4 5 3 2 6 2" xfId="12998" xr:uid="{00000000-0005-0000-0000-00009D250000}"/>
    <cellStyle name="Calculation 3 4 5 3 2 6 3" xfId="12999" xr:uid="{00000000-0005-0000-0000-00009E250000}"/>
    <cellStyle name="Calculation 3 4 5 3 2 7" xfId="13000" xr:uid="{00000000-0005-0000-0000-00009F250000}"/>
    <cellStyle name="Calculation 3 4 5 3 2 7 2" xfId="13001" xr:uid="{00000000-0005-0000-0000-0000A0250000}"/>
    <cellStyle name="Calculation 3 4 5 3 2 7 3" xfId="13002" xr:uid="{00000000-0005-0000-0000-0000A1250000}"/>
    <cellStyle name="Calculation 3 4 5 3 2 8" xfId="13003" xr:uid="{00000000-0005-0000-0000-0000A2250000}"/>
    <cellStyle name="Calculation 3 4 5 3 2 9" xfId="13004" xr:uid="{00000000-0005-0000-0000-0000A3250000}"/>
    <cellStyle name="Calculation 3 4 5 3 3" xfId="13005" xr:uid="{00000000-0005-0000-0000-0000A4250000}"/>
    <cellStyle name="Calculation 3 4 5 3 3 2" xfId="13006" xr:uid="{00000000-0005-0000-0000-0000A5250000}"/>
    <cellStyle name="Calculation 3 4 5 3 3 3" xfId="13007" xr:uid="{00000000-0005-0000-0000-0000A6250000}"/>
    <cellStyle name="Calculation 3 4 5 3 4" xfId="13008" xr:uid="{00000000-0005-0000-0000-0000A7250000}"/>
    <cellStyle name="Calculation 3 4 5 3 4 2" xfId="13009" xr:uid="{00000000-0005-0000-0000-0000A8250000}"/>
    <cellStyle name="Calculation 3 4 5 3 4 3" xfId="13010" xr:uid="{00000000-0005-0000-0000-0000A9250000}"/>
    <cellStyle name="Calculation 3 4 5 3 5" xfId="13011" xr:uid="{00000000-0005-0000-0000-0000AA250000}"/>
    <cellStyle name="Calculation 3 4 5 3 5 2" xfId="13012" xr:uid="{00000000-0005-0000-0000-0000AB250000}"/>
    <cellStyle name="Calculation 3 4 5 3 5 3" xfId="13013" xr:uid="{00000000-0005-0000-0000-0000AC250000}"/>
    <cellStyle name="Calculation 3 4 5 3 6" xfId="13014" xr:uid="{00000000-0005-0000-0000-0000AD250000}"/>
    <cellStyle name="Calculation 3 4 5 3 6 2" xfId="13015" xr:uid="{00000000-0005-0000-0000-0000AE250000}"/>
    <cellStyle name="Calculation 3 4 5 3 6 3" xfId="13016" xr:uid="{00000000-0005-0000-0000-0000AF250000}"/>
    <cellStyle name="Calculation 3 4 5 3 7" xfId="13017" xr:uid="{00000000-0005-0000-0000-0000B0250000}"/>
    <cellStyle name="Calculation 3 4 5 3 7 2" xfId="13018" xr:uid="{00000000-0005-0000-0000-0000B1250000}"/>
    <cellStyle name="Calculation 3 4 5 3 7 3" xfId="13019" xr:uid="{00000000-0005-0000-0000-0000B2250000}"/>
    <cellStyle name="Calculation 3 4 5 3 8" xfId="13020" xr:uid="{00000000-0005-0000-0000-0000B3250000}"/>
    <cellStyle name="Calculation 3 4 5 3 8 2" xfId="13021" xr:uid="{00000000-0005-0000-0000-0000B4250000}"/>
    <cellStyle name="Calculation 3 4 5 3 8 3" xfId="13022" xr:uid="{00000000-0005-0000-0000-0000B5250000}"/>
    <cellStyle name="Calculation 3 4 5 3 9" xfId="13023" xr:uid="{00000000-0005-0000-0000-0000B6250000}"/>
    <cellStyle name="Calculation 3 4 5 4" xfId="13024" xr:uid="{00000000-0005-0000-0000-0000B7250000}"/>
    <cellStyle name="Calculation 3 4 5 4 10" xfId="13025" xr:uid="{00000000-0005-0000-0000-0000B8250000}"/>
    <cellStyle name="Calculation 3 4 5 4 2" xfId="13026" xr:uid="{00000000-0005-0000-0000-0000B9250000}"/>
    <cellStyle name="Calculation 3 4 5 4 2 2" xfId="13027" xr:uid="{00000000-0005-0000-0000-0000BA250000}"/>
    <cellStyle name="Calculation 3 4 5 4 2 2 2" xfId="13028" xr:uid="{00000000-0005-0000-0000-0000BB250000}"/>
    <cellStyle name="Calculation 3 4 5 4 2 2 3" xfId="13029" xr:uid="{00000000-0005-0000-0000-0000BC250000}"/>
    <cellStyle name="Calculation 3 4 5 4 2 3" xfId="13030" xr:uid="{00000000-0005-0000-0000-0000BD250000}"/>
    <cellStyle name="Calculation 3 4 5 4 2 3 2" xfId="13031" xr:uid="{00000000-0005-0000-0000-0000BE250000}"/>
    <cellStyle name="Calculation 3 4 5 4 2 3 3" xfId="13032" xr:uid="{00000000-0005-0000-0000-0000BF250000}"/>
    <cellStyle name="Calculation 3 4 5 4 2 4" xfId="13033" xr:uid="{00000000-0005-0000-0000-0000C0250000}"/>
    <cellStyle name="Calculation 3 4 5 4 2 4 2" xfId="13034" xr:uid="{00000000-0005-0000-0000-0000C1250000}"/>
    <cellStyle name="Calculation 3 4 5 4 2 4 3" xfId="13035" xr:uid="{00000000-0005-0000-0000-0000C2250000}"/>
    <cellStyle name="Calculation 3 4 5 4 2 5" xfId="13036" xr:uid="{00000000-0005-0000-0000-0000C3250000}"/>
    <cellStyle name="Calculation 3 4 5 4 2 5 2" xfId="13037" xr:uid="{00000000-0005-0000-0000-0000C4250000}"/>
    <cellStyle name="Calculation 3 4 5 4 2 5 3" xfId="13038" xr:uid="{00000000-0005-0000-0000-0000C5250000}"/>
    <cellStyle name="Calculation 3 4 5 4 2 6" xfId="13039" xr:uid="{00000000-0005-0000-0000-0000C6250000}"/>
    <cellStyle name="Calculation 3 4 5 4 2 6 2" xfId="13040" xr:uid="{00000000-0005-0000-0000-0000C7250000}"/>
    <cellStyle name="Calculation 3 4 5 4 2 6 3" xfId="13041" xr:uid="{00000000-0005-0000-0000-0000C8250000}"/>
    <cellStyle name="Calculation 3 4 5 4 2 7" xfId="13042" xr:uid="{00000000-0005-0000-0000-0000C9250000}"/>
    <cellStyle name="Calculation 3 4 5 4 2 7 2" xfId="13043" xr:uid="{00000000-0005-0000-0000-0000CA250000}"/>
    <cellStyle name="Calculation 3 4 5 4 2 7 3" xfId="13044" xr:uid="{00000000-0005-0000-0000-0000CB250000}"/>
    <cellStyle name="Calculation 3 4 5 4 2 8" xfId="13045" xr:uid="{00000000-0005-0000-0000-0000CC250000}"/>
    <cellStyle name="Calculation 3 4 5 4 2 9" xfId="13046" xr:uid="{00000000-0005-0000-0000-0000CD250000}"/>
    <cellStyle name="Calculation 3 4 5 4 3" xfId="13047" xr:uid="{00000000-0005-0000-0000-0000CE250000}"/>
    <cellStyle name="Calculation 3 4 5 4 3 2" xfId="13048" xr:uid="{00000000-0005-0000-0000-0000CF250000}"/>
    <cellStyle name="Calculation 3 4 5 4 3 3" xfId="13049" xr:uid="{00000000-0005-0000-0000-0000D0250000}"/>
    <cellStyle name="Calculation 3 4 5 4 4" xfId="13050" xr:uid="{00000000-0005-0000-0000-0000D1250000}"/>
    <cellStyle name="Calculation 3 4 5 4 4 2" xfId="13051" xr:uid="{00000000-0005-0000-0000-0000D2250000}"/>
    <cellStyle name="Calculation 3 4 5 4 4 3" xfId="13052" xr:uid="{00000000-0005-0000-0000-0000D3250000}"/>
    <cellStyle name="Calculation 3 4 5 4 5" xfId="13053" xr:uid="{00000000-0005-0000-0000-0000D4250000}"/>
    <cellStyle name="Calculation 3 4 5 4 5 2" xfId="13054" xr:uid="{00000000-0005-0000-0000-0000D5250000}"/>
    <cellStyle name="Calculation 3 4 5 4 5 3" xfId="13055" xr:uid="{00000000-0005-0000-0000-0000D6250000}"/>
    <cellStyle name="Calculation 3 4 5 4 6" xfId="13056" xr:uid="{00000000-0005-0000-0000-0000D7250000}"/>
    <cellStyle name="Calculation 3 4 5 4 6 2" xfId="13057" xr:uid="{00000000-0005-0000-0000-0000D8250000}"/>
    <cellStyle name="Calculation 3 4 5 4 6 3" xfId="13058" xr:uid="{00000000-0005-0000-0000-0000D9250000}"/>
    <cellStyle name="Calculation 3 4 5 4 7" xfId="13059" xr:uid="{00000000-0005-0000-0000-0000DA250000}"/>
    <cellStyle name="Calculation 3 4 5 4 7 2" xfId="13060" xr:uid="{00000000-0005-0000-0000-0000DB250000}"/>
    <cellStyle name="Calculation 3 4 5 4 7 3" xfId="13061" xr:uid="{00000000-0005-0000-0000-0000DC250000}"/>
    <cellStyle name="Calculation 3 4 5 4 8" xfId="13062" xr:uid="{00000000-0005-0000-0000-0000DD250000}"/>
    <cellStyle name="Calculation 3 4 5 4 8 2" xfId="13063" xr:uid="{00000000-0005-0000-0000-0000DE250000}"/>
    <cellStyle name="Calculation 3 4 5 4 8 3" xfId="13064" xr:uid="{00000000-0005-0000-0000-0000DF250000}"/>
    <cellStyle name="Calculation 3 4 5 4 9" xfId="13065" xr:uid="{00000000-0005-0000-0000-0000E0250000}"/>
    <cellStyle name="Calculation 3 4 5 5" xfId="13066" xr:uid="{00000000-0005-0000-0000-0000E1250000}"/>
    <cellStyle name="Calculation 3 4 5 5 2" xfId="13067" xr:uid="{00000000-0005-0000-0000-0000E2250000}"/>
    <cellStyle name="Calculation 3 4 5 5 2 2" xfId="13068" xr:uid="{00000000-0005-0000-0000-0000E3250000}"/>
    <cellStyle name="Calculation 3 4 5 5 2 3" xfId="13069" xr:uid="{00000000-0005-0000-0000-0000E4250000}"/>
    <cellStyle name="Calculation 3 4 5 5 3" xfId="13070" xr:uid="{00000000-0005-0000-0000-0000E5250000}"/>
    <cellStyle name="Calculation 3 4 5 5 3 2" xfId="13071" xr:uid="{00000000-0005-0000-0000-0000E6250000}"/>
    <cellStyle name="Calculation 3 4 5 5 3 3" xfId="13072" xr:uid="{00000000-0005-0000-0000-0000E7250000}"/>
    <cellStyle name="Calculation 3 4 5 5 4" xfId="13073" xr:uid="{00000000-0005-0000-0000-0000E8250000}"/>
    <cellStyle name="Calculation 3 4 5 5 4 2" xfId="13074" xr:uid="{00000000-0005-0000-0000-0000E9250000}"/>
    <cellStyle name="Calculation 3 4 5 5 4 3" xfId="13075" xr:uid="{00000000-0005-0000-0000-0000EA250000}"/>
    <cellStyle name="Calculation 3 4 5 5 5" xfId="13076" xr:uid="{00000000-0005-0000-0000-0000EB250000}"/>
    <cellStyle name="Calculation 3 4 5 5 5 2" xfId="13077" xr:uid="{00000000-0005-0000-0000-0000EC250000}"/>
    <cellStyle name="Calculation 3 4 5 5 5 3" xfId="13078" xr:uid="{00000000-0005-0000-0000-0000ED250000}"/>
    <cellStyle name="Calculation 3 4 5 5 6" xfId="13079" xr:uid="{00000000-0005-0000-0000-0000EE250000}"/>
    <cellStyle name="Calculation 3 4 5 5 6 2" xfId="13080" xr:uid="{00000000-0005-0000-0000-0000EF250000}"/>
    <cellStyle name="Calculation 3 4 5 5 6 3" xfId="13081" xr:uid="{00000000-0005-0000-0000-0000F0250000}"/>
    <cellStyle name="Calculation 3 4 5 5 7" xfId="13082" xr:uid="{00000000-0005-0000-0000-0000F1250000}"/>
    <cellStyle name="Calculation 3 4 5 5 7 2" xfId="13083" xr:uid="{00000000-0005-0000-0000-0000F2250000}"/>
    <cellStyle name="Calculation 3 4 5 5 7 3" xfId="13084" xr:uid="{00000000-0005-0000-0000-0000F3250000}"/>
    <cellStyle name="Calculation 3 4 5 5 8" xfId="13085" xr:uid="{00000000-0005-0000-0000-0000F4250000}"/>
    <cellStyle name="Calculation 3 4 5 5 9" xfId="13086" xr:uid="{00000000-0005-0000-0000-0000F5250000}"/>
    <cellStyle name="Calculation 3 4 5 6" xfId="13087" xr:uid="{00000000-0005-0000-0000-0000F6250000}"/>
    <cellStyle name="Calculation 3 4 5 6 2" xfId="13088" xr:uid="{00000000-0005-0000-0000-0000F7250000}"/>
    <cellStyle name="Calculation 3 4 5 6 3" xfId="13089" xr:uid="{00000000-0005-0000-0000-0000F8250000}"/>
    <cellStyle name="Calculation 3 4 5 7" xfId="13090" xr:uid="{00000000-0005-0000-0000-0000F9250000}"/>
    <cellStyle name="Calculation 3 4 5 7 2" xfId="13091" xr:uid="{00000000-0005-0000-0000-0000FA250000}"/>
    <cellStyle name="Calculation 3 4 5 7 3" xfId="13092" xr:uid="{00000000-0005-0000-0000-0000FB250000}"/>
    <cellStyle name="Calculation 3 4 5 8" xfId="13093" xr:uid="{00000000-0005-0000-0000-0000FC250000}"/>
    <cellStyle name="Calculation 3 4 5 8 2" xfId="13094" xr:uid="{00000000-0005-0000-0000-0000FD250000}"/>
    <cellStyle name="Calculation 3 4 5 8 3" xfId="13095" xr:uid="{00000000-0005-0000-0000-0000FE250000}"/>
    <cellStyle name="Calculation 3 4 5 9" xfId="13096" xr:uid="{00000000-0005-0000-0000-0000FF250000}"/>
    <cellStyle name="Calculation 3 4 5 9 2" xfId="13097" xr:uid="{00000000-0005-0000-0000-000000260000}"/>
    <cellStyle name="Calculation 3 4 5 9 3" xfId="13098" xr:uid="{00000000-0005-0000-0000-000001260000}"/>
    <cellStyle name="Calculation 3 4 6" xfId="13099" xr:uid="{00000000-0005-0000-0000-000002260000}"/>
    <cellStyle name="Calculation 3 4 6 10" xfId="13100" xr:uid="{00000000-0005-0000-0000-000003260000}"/>
    <cellStyle name="Calculation 3 4 6 2" xfId="13101" xr:uid="{00000000-0005-0000-0000-000004260000}"/>
    <cellStyle name="Calculation 3 4 6 2 2" xfId="13102" xr:uid="{00000000-0005-0000-0000-000005260000}"/>
    <cellStyle name="Calculation 3 4 6 2 2 2" xfId="13103" xr:uid="{00000000-0005-0000-0000-000006260000}"/>
    <cellStyle name="Calculation 3 4 6 2 2 3" xfId="13104" xr:uid="{00000000-0005-0000-0000-000007260000}"/>
    <cellStyle name="Calculation 3 4 6 2 3" xfId="13105" xr:uid="{00000000-0005-0000-0000-000008260000}"/>
    <cellStyle name="Calculation 3 4 6 2 3 2" xfId="13106" xr:uid="{00000000-0005-0000-0000-000009260000}"/>
    <cellStyle name="Calculation 3 4 6 2 3 3" xfId="13107" xr:uid="{00000000-0005-0000-0000-00000A260000}"/>
    <cellStyle name="Calculation 3 4 6 2 4" xfId="13108" xr:uid="{00000000-0005-0000-0000-00000B260000}"/>
    <cellStyle name="Calculation 3 4 6 2 4 2" xfId="13109" xr:uid="{00000000-0005-0000-0000-00000C260000}"/>
    <cellStyle name="Calculation 3 4 6 2 4 3" xfId="13110" xr:uid="{00000000-0005-0000-0000-00000D260000}"/>
    <cellStyle name="Calculation 3 4 6 2 5" xfId="13111" xr:uid="{00000000-0005-0000-0000-00000E260000}"/>
    <cellStyle name="Calculation 3 4 6 2 5 2" xfId="13112" xr:uid="{00000000-0005-0000-0000-00000F260000}"/>
    <cellStyle name="Calculation 3 4 6 2 5 3" xfId="13113" xr:uid="{00000000-0005-0000-0000-000010260000}"/>
    <cellStyle name="Calculation 3 4 6 2 6" xfId="13114" xr:uid="{00000000-0005-0000-0000-000011260000}"/>
    <cellStyle name="Calculation 3 4 6 2 6 2" xfId="13115" xr:uid="{00000000-0005-0000-0000-000012260000}"/>
    <cellStyle name="Calculation 3 4 6 2 6 3" xfId="13116" xr:uid="{00000000-0005-0000-0000-000013260000}"/>
    <cellStyle name="Calculation 3 4 6 2 7" xfId="13117" xr:uid="{00000000-0005-0000-0000-000014260000}"/>
    <cellStyle name="Calculation 3 4 6 2 7 2" xfId="13118" xr:uid="{00000000-0005-0000-0000-000015260000}"/>
    <cellStyle name="Calculation 3 4 6 2 7 3" xfId="13119" xr:uid="{00000000-0005-0000-0000-000016260000}"/>
    <cellStyle name="Calculation 3 4 6 2 8" xfId="13120" xr:uid="{00000000-0005-0000-0000-000017260000}"/>
    <cellStyle name="Calculation 3 4 6 2 9" xfId="13121" xr:uid="{00000000-0005-0000-0000-000018260000}"/>
    <cellStyle name="Calculation 3 4 6 3" xfId="13122" xr:uid="{00000000-0005-0000-0000-000019260000}"/>
    <cellStyle name="Calculation 3 4 6 3 2" xfId="13123" xr:uid="{00000000-0005-0000-0000-00001A260000}"/>
    <cellStyle name="Calculation 3 4 6 3 3" xfId="13124" xr:uid="{00000000-0005-0000-0000-00001B260000}"/>
    <cellStyle name="Calculation 3 4 6 4" xfId="13125" xr:uid="{00000000-0005-0000-0000-00001C260000}"/>
    <cellStyle name="Calculation 3 4 6 4 2" xfId="13126" xr:uid="{00000000-0005-0000-0000-00001D260000}"/>
    <cellStyle name="Calculation 3 4 6 4 3" xfId="13127" xr:uid="{00000000-0005-0000-0000-00001E260000}"/>
    <cellStyle name="Calculation 3 4 6 5" xfId="13128" xr:uid="{00000000-0005-0000-0000-00001F260000}"/>
    <cellStyle name="Calculation 3 4 6 5 2" xfId="13129" xr:uid="{00000000-0005-0000-0000-000020260000}"/>
    <cellStyle name="Calculation 3 4 6 5 3" xfId="13130" xr:uid="{00000000-0005-0000-0000-000021260000}"/>
    <cellStyle name="Calculation 3 4 6 6" xfId="13131" xr:uid="{00000000-0005-0000-0000-000022260000}"/>
    <cellStyle name="Calculation 3 4 6 6 2" xfId="13132" xr:uid="{00000000-0005-0000-0000-000023260000}"/>
    <cellStyle name="Calculation 3 4 6 6 3" xfId="13133" xr:uid="{00000000-0005-0000-0000-000024260000}"/>
    <cellStyle name="Calculation 3 4 6 7" xfId="13134" xr:uid="{00000000-0005-0000-0000-000025260000}"/>
    <cellStyle name="Calculation 3 4 6 7 2" xfId="13135" xr:uid="{00000000-0005-0000-0000-000026260000}"/>
    <cellStyle name="Calculation 3 4 6 7 3" xfId="13136" xr:uid="{00000000-0005-0000-0000-000027260000}"/>
    <cellStyle name="Calculation 3 4 6 8" xfId="13137" xr:uid="{00000000-0005-0000-0000-000028260000}"/>
    <cellStyle name="Calculation 3 4 6 8 2" xfId="13138" xr:uid="{00000000-0005-0000-0000-000029260000}"/>
    <cellStyle name="Calculation 3 4 6 8 3" xfId="13139" xr:uid="{00000000-0005-0000-0000-00002A260000}"/>
    <cellStyle name="Calculation 3 4 6 9" xfId="13140" xr:uid="{00000000-0005-0000-0000-00002B260000}"/>
    <cellStyle name="Calculation 3 4 7" xfId="13141" xr:uid="{00000000-0005-0000-0000-00002C260000}"/>
    <cellStyle name="Calculation 3 4 7 10" xfId="13142" xr:uid="{00000000-0005-0000-0000-00002D260000}"/>
    <cellStyle name="Calculation 3 4 7 2" xfId="13143" xr:uid="{00000000-0005-0000-0000-00002E260000}"/>
    <cellStyle name="Calculation 3 4 7 2 2" xfId="13144" xr:uid="{00000000-0005-0000-0000-00002F260000}"/>
    <cellStyle name="Calculation 3 4 7 2 2 2" xfId="13145" xr:uid="{00000000-0005-0000-0000-000030260000}"/>
    <cellStyle name="Calculation 3 4 7 2 2 3" xfId="13146" xr:uid="{00000000-0005-0000-0000-000031260000}"/>
    <cellStyle name="Calculation 3 4 7 2 3" xfId="13147" xr:uid="{00000000-0005-0000-0000-000032260000}"/>
    <cellStyle name="Calculation 3 4 7 2 3 2" xfId="13148" xr:uid="{00000000-0005-0000-0000-000033260000}"/>
    <cellStyle name="Calculation 3 4 7 2 3 3" xfId="13149" xr:uid="{00000000-0005-0000-0000-000034260000}"/>
    <cellStyle name="Calculation 3 4 7 2 4" xfId="13150" xr:uid="{00000000-0005-0000-0000-000035260000}"/>
    <cellStyle name="Calculation 3 4 7 2 4 2" xfId="13151" xr:uid="{00000000-0005-0000-0000-000036260000}"/>
    <cellStyle name="Calculation 3 4 7 2 4 3" xfId="13152" xr:uid="{00000000-0005-0000-0000-000037260000}"/>
    <cellStyle name="Calculation 3 4 7 2 5" xfId="13153" xr:uid="{00000000-0005-0000-0000-000038260000}"/>
    <cellStyle name="Calculation 3 4 7 2 5 2" xfId="13154" xr:uid="{00000000-0005-0000-0000-000039260000}"/>
    <cellStyle name="Calculation 3 4 7 2 5 3" xfId="13155" xr:uid="{00000000-0005-0000-0000-00003A260000}"/>
    <cellStyle name="Calculation 3 4 7 2 6" xfId="13156" xr:uid="{00000000-0005-0000-0000-00003B260000}"/>
    <cellStyle name="Calculation 3 4 7 2 6 2" xfId="13157" xr:uid="{00000000-0005-0000-0000-00003C260000}"/>
    <cellStyle name="Calculation 3 4 7 2 6 3" xfId="13158" xr:uid="{00000000-0005-0000-0000-00003D260000}"/>
    <cellStyle name="Calculation 3 4 7 2 7" xfId="13159" xr:uid="{00000000-0005-0000-0000-00003E260000}"/>
    <cellStyle name="Calculation 3 4 7 2 7 2" xfId="13160" xr:uid="{00000000-0005-0000-0000-00003F260000}"/>
    <cellStyle name="Calculation 3 4 7 2 7 3" xfId="13161" xr:uid="{00000000-0005-0000-0000-000040260000}"/>
    <cellStyle name="Calculation 3 4 7 2 8" xfId="13162" xr:uid="{00000000-0005-0000-0000-000041260000}"/>
    <cellStyle name="Calculation 3 4 7 2 9" xfId="13163" xr:uid="{00000000-0005-0000-0000-000042260000}"/>
    <cellStyle name="Calculation 3 4 7 3" xfId="13164" xr:uid="{00000000-0005-0000-0000-000043260000}"/>
    <cellStyle name="Calculation 3 4 7 3 2" xfId="13165" xr:uid="{00000000-0005-0000-0000-000044260000}"/>
    <cellStyle name="Calculation 3 4 7 3 3" xfId="13166" xr:uid="{00000000-0005-0000-0000-000045260000}"/>
    <cellStyle name="Calculation 3 4 7 4" xfId="13167" xr:uid="{00000000-0005-0000-0000-000046260000}"/>
    <cellStyle name="Calculation 3 4 7 4 2" xfId="13168" xr:uid="{00000000-0005-0000-0000-000047260000}"/>
    <cellStyle name="Calculation 3 4 7 4 3" xfId="13169" xr:uid="{00000000-0005-0000-0000-000048260000}"/>
    <cellStyle name="Calculation 3 4 7 5" xfId="13170" xr:uid="{00000000-0005-0000-0000-000049260000}"/>
    <cellStyle name="Calculation 3 4 7 5 2" xfId="13171" xr:uid="{00000000-0005-0000-0000-00004A260000}"/>
    <cellStyle name="Calculation 3 4 7 5 3" xfId="13172" xr:uid="{00000000-0005-0000-0000-00004B260000}"/>
    <cellStyle name="Calculation 3 4 7 6" xfId="13173" xr:uid="{00000000-0005-0000-0000-00004C260000}"/>
    <cellStyle name="Calculation 3 4 7 6 2" xfId="13174" xr:uid="{00000000-0005-0000-0000-00004D260000}"/>
    <cellStyle name="Calculation 3 4 7 6 3" xfId="13175" xr:uid="{00000000-0005-0000-0000-00004E260000}"/>
    <cellStyle name="Calculation 3 4 7 7" xfId="13176" xr:uid="{00000000-0005-0000-0000-00004F260000}"/>
    <cellStyle name="Calculation 3 4 7 7 2" xfId="13177" xr:uid="{00000000-0005-0000-0000-000050260000}"/>
    <cellStyle name="Calculation 3 4 7 7 3" xfId="13178" xr:uid="{00000000-0005-0000-0000-000051260000}"/>
    <cellStyle name="Calculation 3 4 7 8" xfId="13179" xr:uid="{00000000-0005-0000-0000-000052260000}"/>
    <cellStyle name="Calculation 3 4 7 8 2" xfId="13180" xr:uid="{00000000-0005-0000-0000-000053260000}"/>
    <cellStyle name="Calculation 3 4 7 8 3" xfId="13181" xr:uid="{00000000-0005-0000-0000-000054260000}"/>
    <cellStyle name="Calculation 3 4 7 9" xfId="13182" xr:uid="{00000000-0005-0000-0000-000055260000}"/>
    <cellStyle name="Calculation 3 4 8" xfId="13183" xr:uid="{00000000-0005-0000-0000-000056260000}"/>
    <cellStyle name="Calculation 3 4 8 10" xfId="13184" xr:uid="{00000000-0005-0000-0000-000057260000}"/>
    <cellStyle name="Calculation 3 4 8 2" xfId="13185" xr:uid="{00000000-0005-0000-0000-000058260000}"/>
    <cellStyle name="Calculation 3 4 8 2 2" xfId="13186" xr:uid="{00000000-0005-0000-0000-000059260000}"/>
    <cellStyle name="Calculation 3 4 8 2 2 2" xfId="13187" xr:uid="{00000000-0005-0000-0000-00005A260000}"/>
    <cellStyle name="Calculation 3 4 8 2 2 3" xfId="13188" xr:uid="{00000000-0005-0000-0000-00005B260000}"/>
    <cellStyle name="Calculation 3 4 8 2 3" xfId="13189" xr:uid="{00000000-0005-0000-0000-00005C260000}"/>
    <cellStyle name="Calculation 3 4 8 2 3 2" xfId="13190" xr:uid="{00000000-0005-0000-0000-00005D260000}"/>
    <cellStyle name="Calculation 3 4 8 2 3 3" xfId="13191" xr:uid="{00000000-0005-0000-0000-00005E260000}"/>
    <cellStyle name="Calculation 3 4 8 2 4" xfId="13192" xr:uid="{00000000-0005-0000-0000-00005F260000}"/>
    <cellStyle name="Calculation 3 4 8 2 4 2" xfId="13193" xr:uid="{00000000-0005-0000-0000-000060260000}"/>
    <cellStyle name="Calculation 3 4 8 2 4 3" xfId="13194" xr:uid="{00000000-0005-0000-0000-000061260000}"/>
    <cellStyle name="Calculation 3 4 8 2 5" xfId="13195" xr:uid="{00000000-0005-0000-0000-000062260000}"/>
    <cellStyle name="Calculation 3 4 8 2 5 2" xfId="13196" xr:uid="{00000000-0005-0000-0000-000063260000}"/>
    <cellStyle name="Calculation 3 4 8 2 5 3" xfId="13197" xr:uid="{00000000-0005-0000-0000-000064260000}"/>
    <cellStyle name="Calculation 3 4 8 2 6" xfId="13198" xr:uid="{00000000-0005-0000-0000-000065260000}"/>
    <cellStyle name="Calculation 3 4 8 2 6 2" xfId="13199" xr:uid="{00000000-0005-0000-0000-000066260000}"/>
    <cellStyle name="Calculation 3 4 8 2 6 3" xfId="13200" xr:uid="{00000000-0005-0000-0000-000067260000}"/>
    <cellStyle name="Calculation 3 4 8 2 7" xfId="13201" xr:uid="{00000000-0005-0000-0000-000068260000}"/>
    <cellStyle name="Calculation 3 4 8 2 7 2" xfId="13202" xr:uid="{00000000-0005-0000-0000-000069260000}"/>
    <cellStyle name="Calculation 3 4 8 2 7 3" xfId="13203" xr:uid="{00000000-0005-0000-0000-00006A260000}"/>
    <cellStyle name="Calculation 3 4 8 2 8" xfId="13204" xr:uid="{00000000-0005-0000-0000-00006B260000}"/>
    <cellStyle name="Calculation 3 4 8 2 9" xfId="13205" xr:uid="{00000000-0005-0000-0000-00006C260000}"/>
    <cellStyle name="Calculation 3 4 8 3" xfId="13206" xr:uid="{00000000-0005-0000-0000-00006D260000}"/>
    <cellStyle name="Calculation 3 4 8 3 2" xfId="13207" xr:uid="{00000000-0005-0000-0000-00006E260000}"/>
    <cellStyle name="Calculation 3 4 8 3 3" xfId="13208" xr:uid="{00000000-0005-0000-0000-00006F260000}"/>
    <cellStyle name="Calculation 3 4 8 4" xfId="13209" xr:uid="{00000000-0005-0000-0000-000070260000}"/>
    <cellStyle name="Calculation 3 4 8 4 2" xfId="13210" xr:uid="{00000000-0005-0000-0000-000071260000}"/>
    <cellStyle name="Calculation 3 4 8 4 3" xfId="13211" xr:uid="{00000000-0005-0000-0000-000072260000}"/>
    <cellStyle name="Calculation 3 4 8 5" xfId="13212" xr:uid="{00000000-0005-0000-0000-000073260000}"/>
    <cellStyle name="Calculation 3 4 8 5 2" xfId="13213" xr:uid="{00000000-0005-0000-0000-000074260000}"/>
    <cellStyle name="Calculation 3 4 8 5 3" xfId="13214" xr:uid="{00000000-0005-0000-0000-000075260000}"/>
    <cellStyle name="Calculation 3 4 8 6" xfId="13215" xr:uid="{00000000-0005-0000-0000-000076260000}"/>
    <cellStyle name="Calculation 3 4 8 6 2" xfId="13216" xr:uid="{00000000-0005-0000-0000-000077260000}"/>
    <cellStyle name="Calculation 3 4 8 6 3" xfId="13217" xr:uid="{00000000-0005-0000-0000-000078260000}"/>
    <cellStyle name="Calculation 3 4 8 7" xfId="13218" xr:uid="{00000000-0005-0000-0000-000079260000}"/>
    <cellStyle name="Calculation 3 4 8 7 2" xfId="13219" xr:uid="{00000000-0005-0000-0000-00007A260000}"/>
    <cellStyle name="Calculation 3 4 8 7 3" xfId="13220" xr:uid="{00000000-0005-0000-0000-00007B260000}"/>
    <cellStyle name="Calculation 3 4 8 8" xfId="13221" xr:uid="{00000000-0005-0000-0000-00007C260000}"/>
    <cellStyle name="Calculation 3 4 8 8 2" xfId="13222" xr:uid="{00000000-0005-0000-0000-00007D260000}"/>
    <cellStyle name="Calculation 3 4 8 8 3" xfId="13223" xr:uid="{00000000-0005-0000-0000-00007E260000}"/>
    <cellStyle name="Calculation 3 4 8 9" xfId="13224" xr:uid="{00000000-0005-0000-0000-00007F260000}"/>
    <cellStyle name="Calculation 3 4 9" xfId="13225" xr:uid="{00000000-0005-0000-0000-000080260000}"/>
    <cellStyle name="Calculation 3 4 9 2" xfId="13226" xr:uid="{00000000-0005-0000-0000-000081260000}"/>
    <cellStyle name="Calculation 3 4 9 2 2" xfId="13227" xr:uid="{00000000-0005-0000-0000-000082260000}"/>
    <cellStyle name="Calculation 3 4 9 2 3" xfId="13228" xr:uid="{00000000-0005-0000-0000-000083260000}"/>
    <cellStyle name="Calculation 3 4 9 3" xfId="13229" xr:uid="{00000000-0005-0000-0000-000084260000}"/>
    <cellStyle name="Calculation 3 4 9 3 2" xfId="13230" xr:uid="{00000000-0005-0000-0000-000085260000}"/>
    <cellStyle name="Calculation 3 4 9 3 3" xfId="13231" xr:uid="{00000000-0005-0000-0000-000086260000}"/>
    <cellStyle name="Calculation 3 4 9 4" xfId="13232" xr:uid="{00000000-0005-0000-0000-000087260000}"/>
    <cellStyle name="Calculation 3 4 9 4 2" xfId="13233" xr:uid="{00000000-0005-0000-0000-000088260000}"/>
    <cellStyle name="Calculation 3 4 9 4 3" xfId="13234" xr:uid="{00000000-0005-0000-0000-000089260000}"/>
    <cellStyle name="Calculation 3 4 9 5" xfId="13235" xr:uid="{00000000-0005-0000-0000-00008A260000}"/>
    <cellStyle name="Calculation 3 4 9 5 2" xfId="13236" xr:uid="{00000000-0005-0000-0000-00008B260000}"/>
    <cellStyle name="Calculation 3 4 9 5 3" xfId="13237" xr:uid="{00000000-0005-0000-0000-00008C260000}"/>
    <cellStyle name="Calculation 3 4 9 6" xfId="13238" xr:uid="{00000000-0005-0000-0000-00008D260000}"/>
    <cellStyle name="Calculation 3 4 9 6 2" xfId="13239" xr:uid="{00000000-0005-0000-0000-00008E260000}"/>
    <cellStyle name="Calculation 3 4 9 6 3" xfId="13240" xr:uid="{00000000-0005-0000-0000-00008F260000}"/>
    <cellStyle name="Calculation 3 4 9 7" xfId="13241" xr:uid="{00000000-0005-0000-0000-000090260000}"/>
    <cellStyle name="Calculation 3 4 9 7 2" xfId="13242" xr:uid="{00000000-0005-0000-0000-000091260000}"/>
    <cellStyle name="Calculation 3 4 9 7 3" xfId="13243" xr:uid="{00000000-0005-0000-0000-000092260000}"/>
    <cellStyle name="Calculation 3 4 9 8" xfId="13244" xr:uid="{00000000-0005-0000-0000-000093260000}"/>
    <cellStyle name="Calculation 3 4 9 9" xfId="13245" xr:uid="{00000000-0005-0000-0000-000094260000}"/>
    <cellStyle name="Calculation 3 5" xfId="13246" xr:uid="{00000000-0005-0000-0000-000095260000}"/>
    <cellStyle name="Calculation 3 5 10" xfId="13247" xr:uid="{00000000-0005-0000-0000-000096260000}"/>
    <cellStyle name="Calculation 3 5 10 2" xfId="13248" xr:uid="{00000000-0005-0000-0000-000097260000}"/>
    <cellStyle name="Calculation 3 5 10 3" xfId="13249" xr:uid="{00000000-0005-0000-0000-000098260000}"/>
    <cellStyle name="Calculation 3 5 11" xfId="13250" xr:uid="{00000000-0005-0000-0000-000099260000}"/>
    <cellStyle name="Calculation 3 5 11 2" xfId="13251" xr:uid="{00000000-0005-0000-0000-00009A260000}"/>
    <cellStyle name="Calculation 3 5 11 3" xfId="13252" xr:uid="{00000000-0005-0000-0000-00009B260000}"/>
    <cellStyle name="Calculation 3 5 12" xfId="13253" xr:uid="{00000000-0005-0000-0000-00009C260000}"/>
    <cellStyle name="Calculation 3 5 12 2" xfId="13254" xr:uid="{00000000-0005-0000-0000-00009D260000}"/>
    <cellStyle name="Calculation 3 5 12 3" xfId="13255" xr:uid="{00000000-0005-0000-0000-00009E260000}"/>
    <cellStyle name="Calculation 3 5 13" xfId="13256" xr:uid="{00000000-0005-0000-0000-00009F260000}"/>
    <cellStyle name="Calculation 3 5 13 2" xfId="13257" xr:uid="{00000000-0005-0000-0000-0000A0260000}"/>
    <cellStyle name="Calculation 3 5 13 3" xfId="13258" xr:uid="{00000000-0005-0000-0000-0000A1260000}"/>
    <cellStyle name="Calculation 3 5 14" xfId="44019" xr:uid="{00000000-0005-0000-0000-0000A2260000}"/>
    <cellStyle name="Calculation 3 5 2" xfId="13259" xr:uid="{00000000-0005-0000-0000-0000A3260000}"/>
    <cellStyle name="Calculation 3 5 2 10" xfId="44020" xr:uid="{00000000-0005-0000-0000-0000A4260000}"/>
    <cellStyle name="Calculation 3 5 2 2" xfId="13260" xr:uid="{00000000-0005-0000-0000-0000A5260000}"/>
    <cellStyle name="Calculation 3 5 2 2 10" xfId="13261" xr:uid="{00000000-0005-0000-0000-0000A6260000}"/>
    <cellStyle name="Calculation 3 5 2 2 2" xfId="13262" xr:uid="{00000000-0005-0000-0000-0000A7260000}"/>
    <cellStyle name="Calculation 3 5 2 2 2 2" xfId="13263" xr:uid="{00000000-0005-0000-0000-0000A8260000}"/>
    <cellStyle name="Calculation 3 5 2 2 2 2 2" xfId="13264" xr:uid="{00000000-0005-0000-0000-0000A9260000}"/>
    <cellStyle name="Calculation 3 5 2 2 2 2 3" xfId="13265" xr:uid="{00000000-0005-0000-0000-0000AA260000}"/>
    <cellStyle name="Calculation 3 5 2 2 2 3" xfId="13266" xr:uid="{00000000-0005-0000-0000-0000AB260000}"/>
    <cellStyle name="Calculation 3 5 2 2 2 3 2" xfId="13267" xr:uid="{00000000-0005-0000-0000-0000AC260000}"/>
    <cellStyle name="Calculation 3 5 2 2 2 3 3" xfId="13268" xr:uid="{00000000-0005-0000-0000-0000AD260000}"/>
    <cellStyle name="Calculation 3 5 2 2 2 4" xfId="13269" xr:uid="{00000000-0005-0000-0000-0000AE260000}"/>
    <cellStyle name="Calculation 3 5 2 2 2 4 2" xfId="13270" xr:uid="{00000000-0005-0000-0000-0000AF260000}"/>
    <cellStyle name="Calculation 3 5 2 2 2 4 3" xfId="13271" xr:uid="{00000000-0005-0000-0000-0000B0260000}"/>
    <cellStyle name="Calculation 3 5 2 2 2 5" xfId="13272" xr:uid="{00000000-0005-0000-0000-0000B1260000}"/>
    <cellStyle name="Calculation 3 5 2 2 2 5 2" xfId="13273" xr:uid="{00000000-0005-0000-0000-0000B2260000}"/>
    <cellStyle name="Calculation 3 5 2 2 2 5 3" xfId="13274" xr:uid="{00000000-0005-0000-0000-0000B3260000}"/>
    <cellStyle name="Calculation 3 5 2 2 2 6" xfId="13275" xr:uid="{00000000-0005-0000-0000-0000B4260000}"/>
    <cellStyle name="Calculation 3 5 2 2 2 6 2" xfId="13276" xr:uid="{00000000-0005-0000-0000-0000B5260000}"/>
    <cellStyle name="Calculation 3 5 2 2 2 6 3" xfId="13277" xr:uid="{00000000-0005-0000-0000-0000B6260000}"/>
    <cellStyle name="Calculation 3 5 2 2 2 7" xfId="13278" xr:uid="{00000000-0005-0000-0000-0000B7260000}"/>
    <cellStyle name="Calculation 3 5 2 2 2 7 2" xfId="13279" xr:uid="{00000000-0005-0000-0000-0000B8260000}"/>
    <cellStyle name="Calculation 3 5 2 2 2 7 3" xfId="13280" xr:uid="{00000000-0005-0000-0000-0000B9260000}"/>
    <cellStyle name="Calculation 3 5 2 2 2 8" xfId="13281" xr:uid="{00000000-0005-0000-0000-0000BA260000}"/>
    <cellStyle name="Calculation 3 5 2 2 2 9" xfId="13282" xr:uid="{00000000-0005-0000-0000-0000BB260000}"/>
    <cellStyle name="Calculation 3 5 2 2 3" xfId="13283" xr:uid="{00000000-0005-0000-0000-0000BC260000}"/>
    <cellStyle name="Calculation 3 5 2 2 3 2" xfId="13284" xr:uid="{00000000-0005-0000-0000-0000BD260000}"/>
    <cellStyle name="Calculation 3 5 2 2 3 3" xfId="13285" xr:uid="{00000000-0005-0000-0000-0000BE260000}"/>
    <cellStyle name="Calculation 3 5 2 2 4" xfId="13286" xr:uid="{00000000-0005-0000-0000-0000BF260000}"/>
    <cellStyle name="Calculation 3 5 2 2 4 2" xfId="13287" xr:uid="{00000000-0005-0000-0000-0000C0260000}"/>
    <cellStyle name="Calculation 3 5 2 2 4 3" xfId="13288" xr:uid="{00000000-0005-0000-0000-0000C1260000}"/>
    <cellStyle name="Calculation 3 5 2 2 5" xfId="13289" xr:uid="{00000000-0005-0000-0000-0000C2260000}"/>
    <cellStyle name="Calculation 3 5 2 2 5 2" xfId="13290" xr:uid="{00000000-0005-0000-0000-0000C3260000}"/>
    <cellStyle name="Calculation 3 5 2 2 5 3" xfId="13291" xr:uid="{00000000-0005-0000-0000-0000C4260000}"/>
    <cellStyle name="Calculation 3 5 2 2 6" xfId="13292" xr:uid="{00000000-0005-0000-0000-0000C5260000}"/>
    <cellStyle name="Calculation 3 5 2 2 6 2" xfId="13293" xr:uid="{00000000-0005-0000-0000-0000C6260000}"/>
    <cellStyle name="Calculation 3 5 2 2 6 3" xfId="13294" xr:uid="{00000000-0005-0000-0000-0000C7260000}"/>
    <cellStyle name="Calculation 3 5 2 2 7" xfId="13295" xr:uid="{00000000-0005-0000-0000-0000C8260000}"/>
    <cellStyle name="Calculation 3 5 2 2 7 2" xfId="13296" xr:uid="{00000000-0005-0000-0000-0000C9260000}"/>
    <cellStyle name="Calculation 3 5 2 2 7 3" xfId="13297" xr:uid="{00000000-0005-0000-0000-0000CA260000}"/>
    <cellStyle name="Calculation 3 5 2 2 8" xfId="13298" xr:uid="{00000000-0005-0000-0000-0000CB260000}"/>
    <cellStyle name="Calculation 3 5 2 2 8 2" xfId="13299" xr:uid="{00000000-0005-0000-0000-0000CC260000}"/>
    <cellStyle name="Calculation 3 5 2 2 8 3" xfId="13300" xr:uid="{00000000-0005-0000-0000-0000CD260000}"/>
    <cellStyle name="Calculation 3 5 2 2 9" xfId="13301" xr:uid="{00000000-0005-0000-0000-0000CE260000}"/>
    <cellStyle name="Calculation 3 5 2 3" xfId="13302" xr:uid="{00000000-0005-0000-0000-0000CF260000}"/>
    <cellStyle name="Calculation 3 5 2 3 10" xfId="13303" xr:uid="{00000000-0005-0000-0000-0000D0260000}"/>
    <cellStyle name="Calculation 3 5 2 3 2" xfId="13304" xr:uid="{00000000-0005-0000-0000-0000D1260000}"/>
    <cellStyle name="Calculation 3 5 2 3 2 2" xfId="13305" xr:uid="{00000000-0005-0000-0000-0000D2260000}"/>
    <cellStyle name="Calculation 3 5 2 3 2 2 2" xfId="13306" xr:uid="{00000000-0005-0000-0000-0000D3260000}"/>
    <cellStyle name="Calculation 3 5 2 3 2 2 3" xfId="13307" xr:uid="{00000000-0005-0000-0000-0000D4260000}"/>
    <cellStyle name="Calculation 3 5 2 3 2 3" xfId="13308" xr:uid="{00000000-0005-0000-0000-0000D5260000}"/>
    <cellStyle name="Calculation 3 5 2 3 2 3 2" xfId="13309" xr:uid="{00000000-0005-0000-0000-0000D6260000}"/>
    <cellStyle name="Calculation 3 5 2 3 2 3 3" xfId="13310" xr:uid="{00000000-0005-0000-0000-0000D7260000}"/>
    <cellStyle name="Calculation 3 5 2 3 2 4" xfId="13311" xr:uid="{00000000-0005-0000-0000-0000D8260000}"/>
    <cellStyle name="Calculation 3 5 2 3 2 4 2" xfId="13312" xr:uid="{00000000-0005-0000-0000-0000D9260000}"/>
    <cellStyle name="Calculation 3 5 2 3 2 4 3" xfId="13313" xr:uid="{00000000-0005-0000-0000-0000DA260000}"/>
    <cellStyle name="Calculation 3 5 2 3 2 5" xfId="13314" xr:uid="{00000000-0005-0000-0000-0000DB260000}"/>
    <cellStyle name="Calculation 3 5 2 3 2 5 2" xfId="13315" xr:uid="{00000000-0005-0000-0000-0000DC260000}"/>
    <cellStyle name="Calculation 3 5 2 3 2 5 3" xfId="13316" xr:uid="{00000000-0005-0000-0000-0000DD260000}"/>
    <cellStyle name="Calculation 3 5 2 3 2 6" xfId="13317" xr:uid="{00000000-0005-0000-0000-0000DE260000}"/>
    <cellStyle name="Calculation 3 5 2 3 2 6 2" xfId="13318" xr:uid="{00000000-0005-0000-0000-0000DF260000}"/>
    <cellStyle name="Calculation 3 5 2 3 2 6 3" xfId="13319" xr:uid="{00000000-0005-0000-0000-0000E0260000}"/>
    <cellStyle name="Calculation 3 5 2 3 2 7" xfId="13320" xr:uid="{00000000-0005-0000-0000-0000E1260000}"/>
    <cellStyle name="Calculation 3 5 2 3 2 7 2" xfId="13321" xr:uid="{00000000-0005-0000-0000-0000E2260000}"/>
    <cellStyle name="Calculation 3 5 2 3 2 7 3" xfId="13322" xr:uid="{00000000-0005-0000-0000-0000E3260000}"/>
    <cellStyle name="Calculation 3 5 2 3 2 8" xfId="13323" xr:uid="{00000000-0005-0000-0000-0000E4260000}"/>
    <cellStyle name="Calculation 3 5 2 3 2 9" xfId="13324" xr:uid="{00000000-0005-0000-0000-0000E5260000}"/>
    <cellStyle name="Calculation 3 5 2 3 3" xfId="13325" xr:uid="{00000000-0005-0000-0000-0000E6260000}"/>
    <cellStyle name="Calculation 3 5 2 3 3 2" xfId="13326" xr:uid="{00000000-0005-0000-0000-0000E7260000}"/>
    <cellStyle name="Calculation 3 5 2 3 3 3" xfId="13327" xr:uid="{00000000-0005-0000-0000-0000E8260000}"/>
    <cellStyle name="Calculation 3 5 2 3 4" xfId="13328" xr:uid="{00000000-0005-0000-0000-0000E9260000}"/>
    <cellStyle name="Calculation 3 5 2 3 4 2" xfId="13329" xr:uid="{00000000-0005-0000-0000-0000EA260000}"/>
    <cellStyle name="Calculation 3 5 2 3 4 3" xfId="13330" xr:uid="{00000000-0005-0000-0000-0000EB260000}"/>
    <cellStyle name="Calculation 3 5 2 3 5" xfId="13331" xr:uid="{00000000-0005-0000-0000-0000EC260000}"/>
    <cellStyle name="Calculation 3 5 2 3 5 2" xfId="13332" xr:uid="{00000000-0005-0000-0000-0000ED260000}"/>
    <cellStyle name="Calculation 3 5 2 3 5 3" xfId="13333" xr:uid="{00000000-0005-0000-0000-0000EE260000}"/>
    <cellStyle name="Calculation 3 5 2 3 6" xfId="13334" xr:uid="{00000000-0005-0000-0000-0000EF260000}"/>
    <cellStyle name="Calculation 3 5 2 3 6 2" xfId="13335" xr:uid="{00000000-0005-0000-0000-0000F0260000}"/>
    <cellStyle name="Calculation 3 5 2 3 6 3" xfId="13336" xr:uid="{00000000-0005-0000-0000-0000F1260000}"/>
    <cellStyle name="Calculation 3 5 2 3 7" xfId="13337" xr:uid="{00000000-0005-0000-0000-0000F2260000}"/>
    <cellStyle name="Calculation 3 5 2 3 7 2" xfId="13338" xr:uid="{00000000-0005-0000-0000-0000F3260000}"/>
    <cellStyle name="Calculation 3 5 2 3 7 3" xfId="13339" xr:uid="{00000000-0005-0000-0000-0000F4260000}"/>
    <cellStyle name="Calculation 3 5 2 3 8" xfId="13340" xr:uid="{00000000-0005-0000-0000-0000F5260000}"/>
    <cellStyle name="Calculation 3 5 2 3 8 2" xfId="13341" xr:uid="{00000000-0005-0000-0000-0000F6260000}"/>
    <cellStyle name="Calculation 3 5 2 3 8 3" xfId="13342" xr:uid="{00000000-0005-0000-0000-0000F7260000}"/>
    <cellStyle name="Calculation 3 5 2 3 9" xfId="13343" xr:uid="{00000000-0005-0000-0000-0000F8260000}"/>
    <cellStyle name="Calculation 3 5 2 4" xfId="13344" xr:uid="{00000000-0005-0000-0000-0000F9260000}"/>
    <cellStyle name="Calculation 3 5 2 4 10" xfId="13345" xr:uid="{00000000-0005-0000-0000-0000FA260000}"/>
    <cellStyle name="Calculation 3 5 2 4 2" xfId="13346" xr:uid="{00000000-0005-0000-0000-0000FB260000}"/>
    <cellStyle name="Calculation 3 5 2 4 2 2" xfId="13347" xr:uid="{00000000-0005-0000-0000-0000FC260000}"/>
    <cellStyle name="Calculation 3 5 2 4 2 2 2" xfId="13348" xr:uid="{00000000-0005-0000-0000-0000FD260000}"/>
    <cellStyle name="Calculation 3 5 2 4 2 2 3" xfId="13349" xr:uid="{00000000-0005-0000-0000-0000FE260000}"/>
    <cellStyle name="Calculation 3 5 2 4 2 3" xfId="13350" xr:uid="{00000000-0005-0000-0000-0000FF260000}"/>
    <cellStyle name="Calculation 3 5 2 4 2 3 2" xfId="13351" xr:uid="{00000000-0005-0000-0000-000000270000}"/>
    <cellStyle name="Calculation 3 5 2 4 2 3 3" xfId="13352" xr:uid="{00000000-0005-0000-0000-000001270000}"/>
    <cellStyle name="Calculation 3 5 2 4 2 4" xfId="13353" xr:uid="{00000000-0005-0000-0000-000002270000}"/>
    <cellStyle name="Calculation 3 5 2 4 2 4 2" xfId="13354" xr:uid="{00000000-0005-0000-0000-000003270000}"/>
    <cellStyle name="Calculation 3 5 2 4 2 4 3" xfId="13355" xr:uid="{00000000-0005-0000-0000-000004270000}"/>
    <cellStyle name="Calculation 3 5 2 4 2 5" xfId="13356" xr:uid="{00000000-0005-0000-0000-000005270000}"/>
    <cellStyle name="Calculation 3 5 2 4 2 5 2" xfId="13357" xr:uid="{00000000-0005-0000-0000-000006270000}"/>
    <cellStyle name="Calculation 3 5 2 4 2 5 3" xfId="13358" xr:uid="{00000000-0005-0000-0000-000007270000}"/>
    <cellStyle name="Calculation 3 5 2 4 2 6" xfId="13359" xr:uid="{00000000-0005-0000-0000-000008270000}"/>
    <cellStyle name="Calculation 3 5 2 4 2 6 2" xfId="13360" xr:uid="{00000000-0005-0000-0000-000009270000}"/>
    <cellStyle name="Calculation 3 5 2 4 2 6 3" xfId="13361" xr:uid="{00000000-0005-0000-0000-00000A270000}"/>
    <cellStyle name="Calculation 3 5 2 4 2 7" xfId="13362" xr:uid="{00000000-0005-0000-0000-00000B270000}"/>
    <cellStyle name="Calculation 3 5 2 4 2 7 2" xfId="13363" xr:uid="{00000000-0005-0000-0000-00000C270000}"/>
    <cellStyle name="Calculation 3 5 2 4 2 7 3" xfId="13364" xr:uid="{00000000-0005-0000-0000-00000D270000}"/>
    <cellStyle name="Calculation 3 5 2 4 2 8" xfId="13365" xr:uid="{00000000-0005-0000-0000-00000E270000}"/>
    <cellStyle name="Calculation 3 5 2 4 2 9" xfId="13366" xr:uid="{00000000-0005-0000-0000-00000F270000}"/>
    <cellStyle name="Calculation 3 5 2 4 3" xfId="13367" xr:uid="{00000000-0005-0000-0000-000010270000}"/>
    <cellStyle name="Calculation 3 5 2 4 3 2" xfId="13368" xr:uid="{00000000-0005-0000-0000-000011270000}"/>
    <cellStyle name="Calculation 3 5 2 4 3 3" xfId="13369" xr:uid="{00000000-0005-0000-0000-000012270000}"/>
    <cellStyle name="Calculation 3 5 2 4 4" xfId="13370" xr:uid="{00000000-0005-0000-0000-000013270000}"/>
    <cellStyle name="Calculation 3 5 2 4 4 2" xfId="13371" xr:uid="{00000000-0005-0000-0000-000014270000}"/>
    <cellStyle name="Calculation 3 5 2 4 4 3" xfId="13372" xr:uid="{00000000-0005-0000-0000-000015270000}"/>
    <cellStyle name="Calculation 3 5 2 4 5" xfId="13373" xr:uid="{00000000-0005-0000-0000-000016270000}"/>
    <cellStyle name="Calculation 3 5 2 4 5 2" xfId="13374" xr:uid="{00000000-0005-0000-0000-000017270000}"/>
    <cellStyle name="Calculation 3 5 2 4 5 3" xfId="13375" xr:uid="{00000000-0005-0000-0000-000018270000}"/>
    <cellStyle name="Calculation 3 5 2 4 6" xfId="13376" xr:uid="{00000000-0005-0000-0000-000019270000}"/>
    <cellStyle name="Calculation 3 5 2 4 6 2" xfId="13377" xr:uid="{00000000-0005-0000-0000-00001A270000}"/>
    <cellStyle name="Calculation 3 5 2 4 6 3" xfId="13378" xr:uid="{00000000-0005-0000-0000-00001B270000}"/>
    <cellStyle name="Calculation 3 5 2 4 7" xfId="13379" xr:uid="{00000000-0005-0000-0000-00001C270000}"/>
    <cellStyle name="Calculation 3 5 2 4 7 2" xfId="13380" xr:uid="{00000000-0005-0000-0000-00001D270000}"/>
    <cellStyle name="Calculation 3 5 2 4 7 3" xfId="13381" xr:uid="{00000000-0005-0000-0000-00001E270000}"/>
    <cellStyle name="Calculation 3 5 2 4 8" xfId="13382" xr:uid="{00000000-0005-0000-0000-00001F270000}"/>
    <cellStyle name="Calculation 3 5 2 4 8 2" xfId="13383" xr:uid="{00000000-0005-0000-0000-000020270000}"/>
    <cellStyle name="Calculation 3 5 2 4 8 3" xfId="13384" xr:uid="{00000000-0005-0000-0000-000021270000}"/>
    <cellStyle name="Calculation 3 5 2 4 9" xfId="13385" xr:uid="{00000000-0005-0000-0000-000022270000}"/>
    <cellStyle name="Calculation 3 5 2 5" xfId="13386" xr:uid="{00000000-0005-0000-0000-000023270000}"/>
    <cellStyle name="Calculation 3 5 2 5 2" xfId="13387" xr:uid="{00000000-0005-0000-0000-000024270000}"/>
    <cellStyle name="Calculation 3 5 2 5 2 2" xfId="13388" xr:uid="{00000000-0005-0000-0000-000025270000}"/>
    <cellStyle name="Calculation 3 5 2 5 2 3" xfId="13389" xr:uid="{00000000-0005-0000-0000-000026270000}"/>
    <cellStyle name="Calculation 3 5 2 5 3" xfId="13390" xr:uid="{00000000-0005-0000-0000-000027270000}"/>
    <cellStyle name="Calculation 3 5 2 5 3 2" xfId="13391" xr:uid="{00000000-0005-0000-0000-000028270000}"/>
    <cellStyle name="Calculation 3 5 2 5 3 3" xfId="13392" xr:uid="{00000000-0005-0000-0000-000029270000}"/>
    <cellStyle name="Calculation 3 5 2 5 4" xfId="13393" xr:uid="{00000000-0005-0000-0000-00002A270000}"/>
    <cellStyle name="Calculation 3 5 2 5 4 2" xfId="13394" xr:uid="{00000000-0005-0000-0000-00002B270000}"/>
    <cellStyle name="Calculation 3 5 2 5 4 3" xfId="13395" xr:uid="{00000000-0005-0000-0000-00002C270000}"/>
    <cellStyle name="Calculation 3 5 2 5 5" xfId="13396" xr:uid="{00000000-0005-0000-0000-00002D270000}"/>
    <cellStyle name="Calculation 3 5 2 5 5 2" xfId="13397" xr:uid="{00000000-0005-0000-0000-00002E270000}"/>
    <cellStyle name="Calculation 3 5 2 5 5 3" xfId="13398" xr:uid="{00000000-0005-0000-0000-00002F270000}"/>
    <cellStyle name="Calculation 3 5 2 5 6" xfId="13399" xr:uid="{00000000-0005-0000-0000-000030270000}"/>
    <cellStyle name="Calculation 3 5 2 5 6 2" xfId="13400" xr:uid="{00000000-0005-0000-0000-000031270000}"/>
    <cellStyle name="Calculation 3 5 2 5 6 3" xfId="13401" xr:uid="{00000000-0005-0000-0000-000032270000}"/>
    <cellStyle name="Calculation 3 5 2 5 7" xfId="13402" xr:uid="{00000000-0005-0000-0000-000033270000}"/>
    <cellStyle name="Calculation 3 5 2 5 7 2" xfId="13403" xr:uid="{00000000-0005-0000-0000-000034270000}"/>
    <cellStyle name="Calculation 3 5 2 5 7 3" xfId="13404" xr:uid="{00000000-0005-0000-0000-000035270000}"/>
    <cellStyle name="Calculation 3 5 2 5 8" xfId="13405" xr:uid="{00000000-0005-0000-0000-000036270000}"/>
    <cellStyle name="Calculation 3 5 2 5 9" xfId="13406" xr:uid="{00000000-0005-0000-0000-000037270000}"/>
    <cellStyle name="Calculation 3 5 2 6" xfId="13407" xr:uid="{00000000-0005-0000-0000-000038270000}"/>
    <cellStyle name="Calculation 3 5 2 6 2" xfId="13408" xr:uid="{00000000-0005-0000-0000-000039270000}"/>
    <cellStyle name="Calculation 3 5 2 6 3" xfId="13409" xr:uid="{00000000-0005-0000-0000-00003A270000}"/>
    <cellStyle name="Calculation 3 5 2 7" xfId="13410" xr:uid="{00000000-0005-0000-0000-00003B270000}"/>
    <cellStyle name="Calculation 3 5 2 7 2" xfId="13411" xr:uid="{00000000-0005-0000-0000-00003C270000}"/>
    <cellStyle name="Calculation 3 5 2 7 3" xfId="13412" xr:uid="{00000000-0005-0000-0000-00003D270000}"/>
    <cellStyle name="Calculation 3 5 2 8" xfId="13413" xr:uid="{00000000-0005-0000-0000-00003E270000}"/>
    <cellStyle name="Calculation 3 5 2 8 2" xfId="13414" xr:uid="{00000000-0005-0000-0000-00003F270000}"/>
    <cellStyle name="Calculation 3 5 2 8 3" xfId="13415" xr:uid="{00000000-0005-0000-0000-000040270000}"/>
    <cellStyle name="Calculation 3 5 2 9" xfId="13416" xr:uid="{00000000-0005-0000-0000-000041270000}"/>
    <cellStyle name="Calculation 3 5 2 9 2" xfId="13417" xr:uid="{00000000-0005-0000-0000-000042270000}"/>
    <cellStyle name="Calculation 3 5 2 9 3" xfId="13418" xr:uid="{00000000-0005-0000-0000-000043270000}"/>
    <cellStyle name="Calculation 3 5 3" xfId="13419" xr:uid="{00000000-0005-0000-0000-000044270000}"/>
    <cellStyle name="Calculation 3 5 3 10" xfId="44021" xr:uid="{00000000-0005-0000-0000-000045270000}"/>
    <cellStyle name="Calculation 3 5 3 2" xfId="13420" xr:uid="{00000000-0005-0000-0000-000046270000}"/>
    <cellStyle name="Calculation 3 5 3 2 10" xfId="13421" xr:uid="{00000000-0005-0000-0000-000047270000}"/>
    <cellStyle name="Calculation 3 5 3 2 2" xfId="13422" xr:uid="{00000000-0005-0000-0000-000048270000}"/>
    <cellStyle name="Calculation 3 5 3 2 2 2" xfId="13423" xr:uid="{00000000-0005-0000-0000-000049270000}"/>
    <cellStyle name="Calculation 3 5 3 2 2 2 2" xfId="13424" xr:uid="{00000000-0005-0000-0000-00004A270000}"/>
    <cellStyle name="Calculation 3 5 3 2 2 2 3" xfId="13425" xr:uid="{00000000-0005-0000-0000-00004B270000}"/>
    <cellStyle name="Calculation 3 5 3 2 2 3" xfId="13426" xr:uid="{00000000-0005-0000-0000-00004C270000}"/>
    <cellStyle name="Calculation 3 5 3 2 2 3 2" xfId="13427" xr:uid="{00000000-0005-0000-0000-00004D270000}"/>
    <cellStyle name="Calculation 3 5 3 2 2 3 3" xfId="13428" xr:uid="{00000000-0005-0000-0000-00004E270000}"/>
    <cellStyle name="Calculation 3 5 3 2 2 4" xfId="13429" xr:uid="{00000000-0005-0000-0000-00004F270000}"/>
    <cellStyle name="Calculation 3 5 3 2 2 4 2" xfId="13430" xr:uid="{00000000-0005-0000-0000-000050270000}"/>
    <cellStyle name="Calculation 3 5 3 2 2 4 3" xfId="13431" xr:uid="{00000000-0005-0000-0000-000051270000}"/>
    <cellStyle name="Calculation 3 5 3 2 2 5" xfId="13432" xr:uid="{00000000-0005-0000-0000-000052270000}"/>
    <cellStyle name="Calculation 3 5 3 2 2 5 2" xfId="13433" xr:uid="{00000000-0005-0000-0000-000053270000}"/>
    <cellStyle name="Calculation 3 5 3 2 2 5 3" xfId="13434" xr:uid="{00000000-0005-0000-0000-000054270000}"/>
    <cellStyle name="Calculation 3 5 3 2 2 6" xfId="13435" xr:uid="{00000000-0005-0000-0000-000055270000}"/>
    <cellStyle name="Calculation 3 5 3 2 2 6 2" xfId="13436" xr:uid="{00000000-0005-0000-0000-000056270000}"/>
    <cellStyle name="Calculation 3 5 3 2 2 6 3" xfId="13437" xr:uid="{00000000-0005-0000-0000-000057270000}"/>
    <cellStyle name="Calculation 3 5 3 2 2 7" xfId="13438" xr:uid="{00000000-0005-0000-0000-000058270000}"/>
    <cellStyle name="Calculation 3 5 3 2 2 7 2" xfId="13439" xr:uid="{00000000-0005-0000-0000-000059270000}"/>
    <cellStyle name="Calculation 3 5 3 2 2 7 3" xfId="13440" xr:uid="{00000000-0005-0000-0000-00005A270000}"/>
    <cellStyle name="Calculation 3 5 3 2 2 8" xfId="13441" xr:uid="{00000000-0005-0000-0000-00005B270000}"/>
    <cellStyle name="Calculation 3 5 3 2 2 9" xfId="13442" xr:uid="{00000000-0005-0000-0000-00005C270000}"/>
    <cellStyle name="Calculation 3 5 3 2 3" xfId="13443" xr:uid="{00000000-0005-0000-0000-00005D270000}"/>
    <cellStyle name="Calculation 3 5 3 2 3 2" xfId="13444" xr:uid="{00000000-0005-0000-0000-00005E270000}"/>
    <cellStyle name="Calculation 3 5 3 2 3 3" xfId="13445" xr:uid="{00000000-0005-0000-0000-00005F270000}"/>
    <cellStyle name="Calculation 3 5 3 2 4" xfId="13446" xr:uid="{00000000-0005-0000-0000-000060270000}"/>
    <cellStyle name="Calculation 3 5 3 2 4 2" xfId="13447" xr:uid="{00000000-0005-0000-0000-000061270000}"/>
    <cellStyle name="Calculation 3 5 3 2 4 3" xfId="13448" xr:uid="{00000000-0005-0000-0000-000062270000}"/>
    <cellStyle name="Calculation 3 5 3 2 5" xfId="13449" xr:uid="{00000000-0005-0000-0000-000063270000}"/>
    <cellStyle name="Calculation 3 5 3 2 5 2" xfId="13450" xr:uid="{00000000-0005-0000-0000-000064270000}"/>
    <cellStyle name="Calculation 3 5 3 2 5 3" xfId="13451" xr:uid="{00000000-0005-0000-0000-000065270000}"/>
    <cellStyle name="Calculation 3 5 3 2 6" xfId="13452" xr:uid="{00000000-0005-0000-0000-000066270000}"/>
    <cellStyle name="Calculation 3 5 3 2 6 2" xfId="13453" xr:uid="{00000000-0005-0000-0000-000067270000}"/>
    <cellStyle name="Calculation 3 5 3 2 6 3" xfId="13454" xr:uid="{00000000-0005-0000-0000-000068270000}"/>
    <cellStyle name="Calculation 3 5 3 2 7" xfId="13455" xr:uid="{00000000-0005-0000-0000-000069270000}"/>
    <cellStyle name="Calculation 3 5 3 2 7 2" xfId="13456" xr:uid="{00000000-0005-0000-0000-00006A270000}"/>
    <cellStyle name="Calculation 3 5 3 2 7 3" xfId="13457" xr:uid="{00000000-0005-0000-0000-00006B270000}"/>
    <cellStyle name="Calculation 3 5 3 2 8" xfId="13458" xr:uid="{00000000-0005-0000-0000-00006C270000}"/>
    <cellStyle name="Calculation 3 5 3 2 8 2" xfId="13459" xr:uid="{00000000-0005-0000-0000-00006D270000}"/>
    <cellStyle name="Calculation 3 5 3 2 8 3" xfId="13460" xr:uid="{00000000-0005-0000-0000-00006E270000}"/>
    <cellStyle name="Calculation 3 5 3 2 9" xfId="13461" xr:uid="{00000000-0005-0000-0000-00006F270000}"/>
    <cellStyle name="Calculation 3 5 3 3" xfId="13462" xr:uid="{00000000-0005-0000-0000-000070270000}"/>
    <cellStyle name="Calculation 3 5 3 3 10" xfId="13463" xr:uid="{00000000-0005-0000-0000-000071270000}"/>
    <cellStyle name="Calculation 3 5 3 3 2" xfId="13464" xr:uid="{00000000-0005-0000-0000-000072270000}"/>
    <cellStyle name="Calculation 3 5 3 3 2 2" xfId="13465" xr:uid="{00000000-0005-0000-0000-000073270000}"/>
    <cellStyle name="Calculation 3 5 3 3 2 2 2" xfId="13466" xr:uid="{00000000-0005-0000-0000-000074270000}"/>
    <cellStyle name="Calculation 3 5 3 3 2 2 3" xfId="13467" xr:uid="{00000000-0005-0000-0000-000075270000}"/>
    <cellStyle name="Calculation 3 5 3 3 2 3" xfId="13468" xr:uid="{00000000-0005-0000-0000-000076270000}"/>
    <cellStyle name="Calculation 3 5 3 3 2 3 2" xfId="13469" xr:uid="{00000000-0005-0000-0000-000077270000}"/>
    <cellStyle name="Calculation 3 5 3 3 2 3 3" xfId="13470" xr:uid="{00000000-0005-0000-0000-000078270000}"/>
    <cellStyle name="Calculation 3 5 3 3 2 4" xfId="13471" xr:uid="{00000000-0005-0000-0000-000079270000}"/>
    <cellStyle name="Calculation 3 5 3 3 2 4 2" xfId="13472" xr:uid="{00000000-0005-0000-0000-00007A270000}"/>
    <cellStyle name="Calculation 3 5 3 3 2 4 3" xfId="13473" xr:uid="{00000000-0005-0000-0000-00007B270000}"/>
    <cellStyle name="Calculation 3 5 3 3 2 5" xfId="13474" xr:uid="{00000000-0005-0000-0000-00007C270000}"/>
    <cellStyle name="Calculation 3 5 3 3 2 5 2" xfId="13475" xr:uid="{00000000-0005-0000-0000-00007D270000}"/>
    <cellStyle name="Calculation 3 5 3 3 2 5 3" xfId="13476" xr:uid="{00000000-0005-0000-0000-00007E270000}"/>
    <cellStyle name="Calculation 3 5 3 3 2 6" xfId="13477" xr:uid="{00000000-0005-0000-0000-00007F270000}"/>
    <cellStyle name="Calculation 3 5 3 3 2 6 2" xfId="13478" xr:uid="{00000000-0005-0000-0000-000080270000}"/>
    <cellStyle name="Calculation 3 5 3 3 2 6 3" xfId="13479" xr:uid="{00000000-0005-0000-0000-000081270000}"/>
    <cellStyle name="Calculation 3 5 3 3 2 7" xfId="13480" xr:uid="{00000000-0005-0000-0000-000082270000}"/>
    <cellStyle name="Calculation 3 5 3 3 2 7 2" xfId="13481" xr:uid="{00000000-0005-0000-0000-000083270000}"/>
    <cellStyle name="Calculation 3 5 3 3 2 7 3" xfId="13482" xr:uid="{00000000-0005-0000-0000-000084270000}"/>
    <cellStyle name="Calculation 3 5 3 3 2 8" xfId="13483" xr:uid="{00000000-0005-0000-0000-000085270000}"/>
    <cellStyle name="Calculation 3 5 3 3 2 9" xfId="13484" xr:uid="{00000000-0005-0000-0000-000086270000}"/>
    <cellStyle name="Calculation 3 5 3 3 3" xfId="13485" xr:uid="{00000000-0005-0000-0000-000087270000}"/>
    <cellStyle name="Calculation 3 5 3 3 3 2" xfId="13486" xr:uid="{00000000-0005-0000-0000-000088270000}"/>
    <cellStyle name="Calculation 3 5 3 3 3 3" xfId="13487" xr:uid="{00000000-0005-0000-0000-000089270000}"/>
    <cellStyle name="Calculation 3 5 3 3 4" xfId="13488" xr:uid="{00000000-0005-0000-0000-00008A270000}"/>
    <cellStyle name="Calculation 3 5 3 3 4 2" xfId="13489" xr:uid="{00000000-0005-0000-0000-00008B270000}"/>
    <cellStyle name="Calculation 3 5 3 3 4 3" xfId="13490" xr:uid="{00000000-0005-0000-0000-00008C270000}"/>
    <cellStyle name="Calculation 3 5 3 3 5" xfId="13491" xr:uid="{00000000-0005-0000-0000-00008D270000}"/>
    <cellStyle name="Calculation 3 5 3 3 5 2" xfId="13492" xr:uid="{00000000-0005-0000-0000-00008E270000}"/>
    <cellStyle name="Calculation 3 5 3 3 5 3" xfId="13493" xr:uid="{00000000-0005-0000-0000-00008F270000}"/>
    <cellStyle name="Calculation 3 5 3 3 6" xfId="13494" xr:uid="{00000000-0005-0000-0000-000090270000}"/>
    <cellStyle name="Calculation 3 5 3 3 6 2" xfId="13495" xr:uid="{00000000-0005-0000-0000-000091270000}"/>
    <cellStyle name="Calculation 3 5 3 3 6 3" xfId="13496" xr:uid="{00000000-0005-0000-0000-000092270000}"/>
    <cellStyle name="Calculation 3 5 3 3 7" xfId="13497" xr:uid="{00000000-0005-0000-0000-000093270000}"/>
    <cellStyle name="Calculation 3 5 3 3 7 2" xfId="13498" xr:uid="{00000000-0005-0000-0000-000094270000}"/>
    <cellStyle name="Calculation 3 5 3 3 7 3" xfId="13499" xr:uid="{00000000-0005-0000-0000-000095270000}"/>
    <cellStyle name="Calculation 3 5 3 3 8" xfId="13500" xr:uid="{00000000-0005-0000-0000-000096270000}"/>
    <cellStyle name="Calculation 3 5 3 3 8 2" xfId="13501" xr:uid="{00000000-0005-0000-0000-000097270000}"/>
    <cellStyle name="Calculation 3 5 3 3 8 3" xfId="13502" xr:uid="{00000000-0005-0000-0000-000098270000}"/>
    <cellStyle name="Calculation 3 5 3 3 9" xfId="13503" xr:uid="{00000000-0005-0000-0000-000099270000}"/>
    <cellStyle name="Calculation 3 5 3 4" xfId="13504" xr:uid="{00000000-0005-0000-0000-00009A270000}"/>
    <cellStyle name="Calculation 3 5 3 4 10" xfId="13505" xr:uid="{00000000-0005-0000-0000-00009B270000}"/>
    <cellStyle name="Calculation 3 5 3 4 2" xfId="13506" xr:uid="{00000000-0005-0000-0000-00009C270000}"/>
    <cellStyle name="Calculation 3 5 3 4 2 2" xfId="13507" xr:uid="{00000000-0005-0000-0000-00009D270000}"/>
    <cellStyle name="Calculation 3 5 3 4 2 2 2" xfId="13508" xr:uid="{00000000-0005-0000-0000-00009E270000}"/>
    <cellStyle name="Calculation 3 5 3 4 2 2 3" xfId="13509" xr:uid="{00000000-0005-0000-0000-00009F270000}"/>
    <cellStyle name="Calculation 3 5 3 4 2 3" xfId="13510" xr:uid="{00000000-0005-0000-0000-0000A0270000}"/>
    <cellStyle name="Calculation 3 5 3 4 2 3 2" xfId="13511" xr:uid="{00000000-0005-0000-0000-0000A1270000}"/>
    <cellStyle name="Calculation 3 5 3 4 2 3 3" xfId="13512" xr:uid="{00000000-0005-0000-0000-0000A2270000}"/>
    <cellStyle name="Calculation 3 5 3 4 2 4" xfId="13513" xr:uid="{00000000-0005-0000-0000-0000A3270000}"/>
    <cellStyle name="Calculation 3 5 3 4 2 4 2" xfId="13514" xr:uid="{00000000-0005-0000-0000-0000A4270000}"/>
    <cellStyle name="Calculation 3 5 3 4 2 4 3" xfId="13515" xr:uid="{00000000-0005-0000-0000-0000A5270000}"/>
    <cellStyle name="Calculation 3 5 3 4 2 5" xfId="13516" xr:uid="{00000000-0005-0000-0000-0000A6270000}"/>
    <cellStyle name="Calculation 3 5 3 4 2 5 2" xfId="13517" xr:uid="{00000000-0005-0000-0000-0000A7270000}"/>
    <cellStyle name="Calculation 3 5 3 4 2 5 3" xfId="13518" xr:uid="{00000000-0005-0000-0000-0000A8270000}"/>
    <cellStyle name="Calculation 3 5 3 4 2 6" xfId="13519" xr:uid="{00000000-0005-0000-0000-0000A9270000}"/>
    <cellStyle name="Calculation 3 5 3 4 2 6 2" xfId="13520" xr:uid="{00000000-0005-0000-0000-0000AA270000}"/>
    <cellStyle name="Calculation 3 5 3 4 2 6 3" xfId="13521" xr:uid="{00000000-0005-0000-0000-0000AB270000}"/>
    <cellStyle name="Calculation 3 5 3 4 2 7" xfId="13522" xr:uid="{00000000-0005-0000-0000-0000AC270000}"/>
    <cellStyle name="Calculation 3 5 3 4 2 7 2" xfId="13523" xr:uid="{00000000-0005-0000-0000-0000AD270000}"/>
    <cellStyle name="Calculation 3 5 3 4 2 7 3" xfId="13524" xr:uid="{00000000-0005-0000-0000-0000AE270000}"/>
    <cellStyle name="Calculation 3 5 3 4 2 8" xfId="13525" xr:uid="{00000000-0005-0000-0000-0000AF270000}"/>
    <cellStyle name="Calculation 3 5 3 4 2 9" xfId="13526" xr:uid="{00000000-0005-0000-0000-0000B0270000}"/>
    <cellStyle name="Calculation 3 5 3 4 3" xfId="13527" xr:uid="{00000000-0005-0000-0000-0000B1270000}"/>
    <cellStyle name="Calculation 3 5 3 4 3 2" xfId="13528" xr:uid="{00000000-0005-0000-0000-0000B2270000}"/>
    <cellStyle name="Calculation 3 5 3 4 3 3" xfId="13529" xr:uid="{00000000-0005-0000-0000-0000B3270000}"/>
    <cellStyle name="Calculation 3 5 3 4 4" xfId="13530" xr:uid="{00000000-0005-0000-0000-0000B4270000}"/>
    <cellStyle name="Calculation 3 5 3 4 4 2" xfId="13531" xr:uid="{00000000-0005-0000-0000-0000B5270000}"/>
    <cellStyle name="Calculation 3 5 3 4 4 3" xfId="13532" xr:uid="{00000000-0005-0000-0000-0000B6270000}"/>
    <cellStyle name="Calculation 3 5 3 4 5" xfId="13533" xr:uid="{00000000-0005-0000-0000-0000B7270000}"/>
    <cellStyle name="Calculation 3 5 3 4 5 2" xfId="13534" xr:uid="{00000000-0005-0000-0000-0000B8270000}"/>
    <cellStyle name="Calculation 3 5 3 4 5 3" xfId="13535" xr:uid="{00000000-0005-0000-0000-0000B9270000}"/>
    <cellStyle name="Calculation 3 5 3 4 6" xfId="13536" xr:uid="{00000000-0005-0000-0000-0000BA270000}"/>
    <cellStyle name="Calculation 3 5 3 4 6 2" xfId="13537" xr:uid="{00000000-0005-0000-0000-0000BB270000}"/>
    <cellStyle name="Calculation 3 5 3 4 6 3" xfId="13538" xr:uid="{00000000-0005-0000-0000-0000BC270000}"/>
    <cellStyle name="Calculation 3 5 3 4 7" xfId="13539" xr:uid="{00000000-0005-0000-0000-0000BD270000}"/>
    <cellStyle name="Calculation 3 5 3 4 7 2" xfId="13540" xr:uid="{00000000-0005-0000-0000-0000BE270000}"/>
    <cellStyle name="Calculation 3 5 3 4 7 3" xfId="13541" xr:uid="{00000000-0005-0000-0000-0000BF270000}"/>
    <cellStyle name="Calculation 3 5 3 4 8" xfId="13542" xr:uid="{00000000-0005-0000-0000-0000C0270000}"/>
    <cellStyle name="Calculation 3 5 3 4 8 2" xfId="13543" xr:uid="{00000000-0005-0000-0000-0000C1270000}"/>
    <cellStyle name="Calculation 3 5 3 4 8 3" xfId="13544" xr:uid="{00000000-0005-0000-0000-0000C2270000}"/>
    <cellStyle name="Calculation 3 5 3 4 9" xfId="13545" xr:uid="{00000000-0005-0000-0000-0000C3270000}"/>
    <cellStyle name="Calculation 3 5 3 5" xfId="13546" xr:uid="{00000000-0005-0000-0000-0000C4270000}"/>
    <cellStyle name="Calculation 3 5 3 5 2" xfId="13547" xr:uid="{00000000-0005-0000-0000-0000C5270000}"/>
    <cellStyle name="Calculation 3 5 3 5 2 2" xfId="13548" xr:uid="{00000000-0005-0000-0000-0000C6270000}"/>
    <cellStyle name="Calculation 3 5 3 5 2 3" xfId="13549" xr:uid="{00000000-0005-0000-0000-0000C7270000}"/>
    <cellStyle name="Calculation 3 5 3 5 3" xfId="13550" xr:uid="{00000000-0005-0000-0000-0000C8270000}"/>
    <cellStyle name="Calculation 3 5 3 5 3 2" xfId="13551" xr:uid="{00000000-0005-0000-0000-0000C9270000}"/>
    <cellStyle name="Calculation 3 5 3 5 3 3" xfId="13552" xr:uid="{00000000-0005-0000-0000-0000CA270000}"/>
    <cellStyle name="Calculation 3 5 3 5 4" xfId="13553" xr:uid="{00000000-0005-0000-0000-0000CB270000}"/>
    <cellStyle name="Calculation 3 5 3 5 4 2" xfId="13554" xr:uid="{00000000-0005-0000-0000-0000CC270000}"/>
    <cellStyle name="Calculation 3 5 3 5 4 3" xfId="13555" xr:uid="{00000000-0005-0000-0000-0000CD270000}"/>
    <cellStyle name="Calculation 3 5 3 5 5" xfId="13556" xr:uid="{00000000-0005-0000-0000-0000CE270000}"/>
    <cellStyle name="Calculation 3 5 3 5 5 2" xfId="13557" xr:uid="{00000000-0005-0000-0000-0000CF270000}"/>
    <cellStyle name="Calculation 3 5 3 5 5 3" xfId="13558" xr:uid="{00000000-0005-0000-0000-0000D0270000}"/>
    <cellStyle name="Calculation 3 5 3 5 6" xfId="13559" xr:uid="{00000000-0005-0000-0000-0000D1270000}"/>
    <cellStyle name="Calculation 3 5 3 5 6 2" xfId="13560" xr:uid="{00000000-0005-0000-0000-0000D2270000}"/>
    <cellStyle name="Calculation 3 5 3 5 6 3" xfId="13561" xr:uid="{00000000-0005-0000-0000-0000D3270000}"/>
    <cellStyle name="Calculation 3 5 3 5 7" xfId="13562" xr:uid="{00000000-0005-0000-0000-0000D4270000}"/>
    <cellStyle name="Calculation 3 5 3 5 7 2" xfId="13563" xr:uid="{00000000-0005-0000-0000-0000D5270000}"/>
    <cellStyle name="Calculation 3 5 3 5 7 3" xfId="13564" xr:uid="{00000000-0005-0000-0000-0000D6270000}"/>
    <cellStyle name="Calculation 3 5 3 5 8" xfId="13565" xr:uid="{00000000-0005-0000-0000-0000D7270000}"/>
    <cellStyle name="Calculation 3 5 3 5 9" xfId="13566" xr:uid="{00000000-0005-0000-0000-0000D8270000}"/>
    <cellStyle name="Calculation 3 5 3 6" xfId="13567" xr:uid="{00000000-0005-0000-0000-0000D9270000}"/>
    <cellStyle name="Calculation 3 5 3 6 2" xfId="13568" xr:uid="{00000000-0005-0000-0000-0000DA270000}"/>
    <cellStyle name="Calculation 3 5 3 6 3" xfId="13569" xr:uid="{00000000-0005-0000-0000-0000DB270000}"/>
    <cellStyle name="Calculation 3 5 3 7" xfId="13570" xr:uid="{00000000-0005-0000-0000-0000DC270000}"/>
    <cellStyle name="Calculation 3 5 3 7 2" xfId="13571" xr:uid="{00000000-0005-0000-0000-0000DD270000}"/>
    <cellStyle name="Calculation 3 5 3 7 3" xfId="13572" xr:uid="{00000000-0005-0000-0000-0000DE270000}"/>
    <cellStyle name="Calculation 3 5 3 8" xfId="13573" xr:uid="{00000000-0005-0000-0000-0000DF270000}"/>
    <cellStyle name="Calculation 3 5 3 8 2" xfId="13574" xr:uid="{00000000-0005-0000-0000-0000E0270000}"/>
    <cellStyle name="Calculation 3 5 3 8 3" xfId="13575" xr:uid="{00000000-0005-0000-0000-0000E1270000}"/>
    <cellStyle name="Calculation 3 5 3 9" xfId="13576" xr:uid="{00000000-0005-0000-0000-0000E2270000}"/>
    <cellStyle name="Calculation 3 5 3 9 2" xfId="13577" xr:uid="{00000000-0005-0000-0000-0000E3270000}"/>
    <cellStyle name="Calculation 3 5 3 9 3" xfId="13578" xr:uid="{00000000-0005-0000-0000-0000E4270000}"/>
    <cellStyle name="Calculation 3 5 4" xfId="13579" xr:uid="{00000000-0005-0000-0000-0000E5270000}"/>
    <cellStyle name="Calculation 3 5 4 10" xfId="44022" xr:uid="{00000000-0005-0000-0000-0000E6270000}"/>
    <cellStyle name="Calculation 3 5 4 2" xfId="13580" xr:uid="{00000000-0005-0000-0000-0000E7270000}"/>
    <cellStyle name="Calculation 3 5 4 2 10" xfId="13581" xr:uid="{00000000-0005-0000-0000-0000E8270000}"/>
    <cellStyle name="Calculation 3 5 4 2 2" xfId="13582" xr:uid="{00000000-0005-0000-0000-0000E9270000}"/>
    <cellStyle name="Calculation 3 5 4 2 2 2" xfId="13583" xr:uid="{00000000-0005-0000-0000-0000EA270000}"/>
    <cellStyle name="Calculation 3 5 4 2 2 2 2" xfId="13584" xr:uid="{00000000-0005-0000-0000-0000EB270000}"/>
    <cellStyle name="Calculation 3 5 4 2 2 2 3" xfId="13585" xr:uid="{00000000-0005-0000-0000-0000EC270000}"/>
    <cellStyle name="Calculation 3 5 4 2 2 3" xfId="13586" xr:uid="{00000000-0005-0000-0000-0000ED270000}"/>
    <cellStyle name="Calculation 3 5 4 2 2 3 2" xfId="13587" xr:uid="{00000000-0005-0000-0000-0000EE270000}"/>
    <cellStyle name="Calculation 3 5 4 2 2 3 3" xfId="13588" xr:uid="{00000000-0005-0000-0000-0000EF270000}"/>
    <cellStyle name="Calculation 3 5 4 2 2 4" xfId="13589" xr:uid="{00000000-0005-0000-0000-0000F0270000}"/>
    <cellStyle name="Calculation 3 5 4 2 2 4 2" xfId="13590" xr:uid="{00000000-0005-0000-0000-0000F1270000}"/>
    <cellStyle name="Calculation 3 5 4 2 2 4 3" xfId="13591" xr:uid="{00000000-0005-0000-0000-0000F2270000}"/>
    <cellStyle name="Calculation 3 5 4 2 2 5" xfId="13592" xr:uid="{00000000-0005-0000-0000-0000F3270000}"/>
    <cellStyle name="Calculation 3 5 4 2 2 5 2" xfId="13593" xr:uid="{00000000-0005-0000-0000-0000F4270000}"/>
    <cellStyle name="Calculation 3 5 4 2 2 5 3" xfId="13594" xr:uid="{00000000-0005-0000-0000-0000F5270000}"/>
    <cellStyle name="Calculation 3 5 4 2 2 6" xfId="13595" xr:uid="{00000000-0005-0000-0000-0000F6270000}"/>
    <cellStyle name="Calculation 3 5 4 2 2 6 2" xfId="13596" xr:uid="{00000000-0005-0000-0000-0000F7270000}"/>
    <cellStyle name="Calculation 3 5 4 2 2 6 3" xfId="13597" xr:uid="{00000000-0005-0000-0000-0000F8270000}"/>
    <cellStyle name="Calculation 3 5 4 2 2 7" xfId="13598" xr:uid="{00000000-0005-0000-0000-0000F9270000}"/>
    <cellStyle name="Calculation 3 5 4 2 2 7 2" xfId="13599" xr:uid="{00000000-0005-0000-0000-0000FA270000}"/>
    <cellStyle name="Calculation 3 5 4 2 2 7 3" xfId="13600" xr:uid="{00000000-0005-0000-0000-0000FB270000}"/>
    <cellStyle name="Calculation 3 5 4 2 2 8" xfId="13601" xr:uid="{00000000-0005-0000-0000-0000FC270000}"/>
    <cellStyle name="Calculation 3 5 4 2 2 9" xfId="13602" xr:uid="{00000000-0005-0000-0000-0000FD270000}"/>
    <cellStyle name="Calculation 3 5 4 2 3" xfId="13603" xr:uid="{00000000-0005-0000-0000-0000FE270000}"/>
    <cellStyle name="Calculation 3 5 4 2 3 2" xfId="13604" xr:uid="{00000000-0005-0000-0000-0000FF270000}"/>
    <cellStyle name="Calculation 3 5 4 2 3 3" xfId="13605" xr:uid="{00000000-0005-0000-0000-000000280000}"/>
    <cellStyle name="Calculation 3 5 4 2 4" xfId="13606" xr:uid="{00000000-0005-0000-0000-000001280000}"/>
    <cellStyle name="Calculation 3 5 4 2 4 2" xfId="13607" xr:uid="{00000000-0005-0000-0000-000002280000}"/>
    <cellStyle name="Calculation 3 5 4 2 4 3" xfId="13608" xr:uid="{00000000-0005-0000-0000-000003280000}"/>
    <cellStyle name="Calculation 3 5 4 2 5" xfId="13609" xr:uid="{00000000-0005-0000-0000-000004280000}"/>
    <cellStyle name="Calculation 3 5 4 2 5 2" xfId="13610" xr:uid="{00000000-0005-0000-0000-000005280000}"/>
    <cellStyle name="Calculation 3 5 4 2 5 3" xfId="13611" xr:uid="{00000000-0005-0000-0000-000006280000}"/>
    <cellStyle name="Calculation 3 5 4 2 6" xfId="13612" xr:uid="{00000000-0005-0000-0000-000007280000}"/>
    <cellStyle name="Calculation 3 5 4 2 6 2" xfId="13613" xr:uid="{00000000-0005-0000-0000-000008280000}"/>
    <cellStyle name="Calculation 3 5 4 2 6 3" xfId="13614" xr:uid="{00000000-0005-0000-0000-000009280000}"/>
    <cellStyle name="Calculation 3 5 4 2 7" xfId="13615" xr:uid="{00000000-0005-0000-0000-00000A280000}"/>
    <cellStyle name="Calculation 3 5 4 2 7 2" xfId="13616" xr:uid="{00000000-0005-0000-0000-00000B280000}"/>
    <cellStyle name="Calculation 3 5 4 2 7 3" xfId="13617" xr:uid="{00000000-0005-0000-0000-00000C280000}"/>
    <cellStyle name="Calculation 3 5 4 2 8" xfId="13618" xr:uid="{00000000-0005-0000-0000-00000D280000}"/>
    <cellStyle name="Calculation 3 5 4 2 8 2" xfId="13619" xr:uid="{00000000-0005-0000-0000-00000E280000}"/>
    <cellStyle name="Calculation 3 5 4 2 8 3" xfId="13620" xr:uid="{00000000-0005-0000-0000-00000F280000}"/>
    <cellStyle name="Calculation 3 5 4 2 9" xfId="13621" xr:uid="{00000000-0005-0000-0000-000010280000}"/>
    <cellStyle name="Calculation 3 5 4 3" xfId="13622" xr:uid="{00000000-0005-0000-0000-000011280000}"/>
    <cellStyle name="Calculation 3 5 4 3 10" xfId="13623" xr:uid="{00000000-0005-0000-0000-000012280000}"/>
    <cellStyle name="Calculation 3 5 4 3 2" xfId="13624" xr:uid="{00000000-0005-0000-0000-000013280000}"/>
    <cellStyle name="Calculation 3 5 4 3 2 2" xfId="13625" xr:uid="{00000000-0005-0000-0000-000014280000}"/>
    <cellStyle name="Calculation 3 5 4 3 2 2 2" xfId="13626" xr:uid="{00000000-0005-0000-0000-000015280000}"/>
    <cellStyle name="Calculation 3 5 4 3 2 2 3" xfId="13627" xr:uid="{00000000-0005-0000-0000-000016280000}"/>
    <cellStyle name="Calculation 3 5 4 3 2 3" xfId="13628" xr:uid="{00000000-0005-0000-0000-000017280000}"/>
    <cellStyle name="Calculation 3 5 4 3 2 3 2" xfId="13629" xr:uid="{00000000-0005-0000-0000-000018280000}"/>
    <cellStyle name="Calculation 3 5 4 3 2 3 3" xfId="13630" xr:uid="{00000000-0005-0000-0000-000019280000}"/>
    <cellStyle name="Calculation 3 5 4 3 2 4" xfId="13631" xr:uid="{00000000-0005-0000-0000-00001A280000}"/>
    <cellStyle name="Calculation 3 5 4 3 2 4 2" xfId="13632" xr:uid="{00000000-0005-0000-0000-00001B280000}"/>
    <cellStyle name="Calculation 3 5 4 3 2 4 3" xfId="13633" xr:uid="{00000000-0005-0000-0000-00001C280000}"/>
    <cellStyle name="Calculation 3 5 4 3 2 5" xfId="13634" xr:uid="{00000000-0005-0000-0000-00001D280000}"/>
    <cellStyle name="Calculation 3 5 4 3 2 5 2" xfId="13635" xr:uid="{00000000-0005-0000-0000-00001E280000}"/>
    <cellStyle name="Calculation 3 5 4 3 2 5 3" xfId="13636" xr:uid="{00000000-0005-0000-0000-00001F280000}"/>
    <cellStyle name="Calculation 3 5 4 3 2 6" xfId="13637" xr:uid="{00000000-0005-0000-0000-000020280000}"/>
    <cellStyle name="Calculation 3 5 4 3 2 6 2" xfId="13638" xr:uid="{00000000-0005-0000-0000-000021280000}"/>
    <cellStyle name="Calculation 3 5 4 3 2 6 3" xfId="13639" xr:uid="{00000000-0005-0000-0000-000022280000}"/>
    <cellStyle name="Calculation 3 5 4 3 2 7" xfId="13640" xr:uid="{00000000-0005-0000-0000-000023280000}"/>
    <cellStyle name="Calculation 3 5 4 3 2 7 2" xfId="13641" xr:uid="{00000000-0005-0000-0000-000024280000}"/>
    <cellStyle name="Calculation 3 5 4 3 2 7 3" xfId="13642" xr:uid="{00000000-0005-0000-0000-000025280000}"/>
    <cellStyle name="Calculation 3 5 4 3 2 8" xfId="13643" xr:uid="{00000000-0005-0000-0000-000026280000}"/>
    <cellStyle name="Calculation 3 5 4 3 2 9" xfId="13644" xr:uid="{00000000-0005-0000-0000-000027280000}"/>
    <cellStyle name="Calculation 3 5 4 3 3" xfId="13645" xr:uid="{00000000-0005-0000-0000-000028280000}"/>
    <cellStyle name="Calculation 3 5 4 3 3 2" xfId="13646" xr:uid="{00000000-0005-0000-0000-000029280000}"/>
    <cellStyle name="Calculation 3 5 4 3 3 3" xfId="13647" xr:uid="{00000000-0005-0000-0000-00002A280000}"/>
    <cellStyle name="Calculation 3 5 4 3 4" xfId="13648" xr:uid="{00000000-0005-0000-0000-00002B280000}"/>
    <cellStyle name="Calculation 3 5 4 3 4 2" xfId="13649" xr:uid="{00000000-0005-0000-0000-00002C280000}"/>
    <cellStyle name="Calculation 3 5 4 3 4 3" xfId="13650" xr:uid="{00000000-0005-0000-0000-00002D280000}"/>
    <cellStyle name="Calculation 3 5 4 3 5" xfId="13651" xr:uid="{00000000-0005-0000-0000-00002E280000}"/>
    <cellStyle name="Calculation 3 5 4 3 5 2" xfId="13652" xr:uid="{00000000-0005-0000-0000-00002F280000}"/>
    <cellStyle name="Calculation 3 5 4 3 5 3" xfId="13653" xr:uid="{00000000-0005-0000-0000-000030280000}"/>
    <cellStyle name="Calculation 3 5 4 3 6" xfId="13654" xr:uid="{00000000-0005-0000-0000-000031280000}"/>
    <cellStyle name="Calculation 3 5 4 3 6 2" xfId="13655" xr:uid="{00000000-0005-0000-0000-000032280000}"/>
    <cellStyle name="Calculation 3 5 4 3 6 3" xfId="13656" xr:uid="{00000000-0005-0000-0000-000033280000}"/>
    <cellStyle name="Calculation 3 5 4 3 7" xfId="13657" xr:uid="{00000000-0005-0000-0000-000034280000}"/>
    <cellStyle name="Calculation 3 5 4 3 7 2" xfId="13658" xr:uid="{00000000-0005-0000-0000-000035280000}"/>
    <cellStyle name="Calculation 3 5 4 3 7 3" xfId="13659" xr:uid="{00000000-0005-0000-0000-000036280000}"/>
    <cellStyle name="Calculation 3 5 4 3 8" xfId="13660" xr:uid="{00000000-0005-0000-0000-000037280000}"/>
    <cellStyle name="Calculation 3 5 4 3 8 2" xfId="13661" xr:uid="{00000000-0005-0000-0000-000038280000}"/>
    <cellStyle name="Calculation 3 5 4 3 8 3" xfId="13662" xr:uid="{00000000-0005-0000-0000-000039280000}"/>
    <cellStyle name="Calculation 3 5 4 3 9" xfId="13663" xr:uid="{00000000-0005-0000-0000-00003A280000}"/>
    <cellStyle name="Calculation 3 5 4 4" xfId="13664" xr:uid="{00000000-0005-0000-0000-00003B280000}"/>
    <cellStyle name="Calculation 3 5 4 4 10" xfId="13665" xr:uid="{00000000-0005-0000-0000-00003C280000}"/>
    <cellStyle name="Calculation 3 5 4 4 2" xfId="13666" xr:uid="{00000000-0005-0000-0000-00003D280000}"/>
    <cellStyle name="Calculation 3 5 4 4 2 2" xfId="13667" xr:uid="{00000000-0005-0000-0000-00003E280000}"/>
    <cellStyle name="Calculation 3 5 4 4 2 2 2" xfId="13668" xr:uid="{00000000-0005-0000-0000-00003F280000}"/>
    <cellStyle name="Calculation 3 5 4 4 2 2 3" xfId="13669" xr:uid="{00000000-0005-0000-0000-000040280000}"/>
    <cellStyle name="Calculation 3 5 4 4 2 3" xfId="13670" xr:uid="{00000000-0005-0000-0000-000041280000}"/>
    <cellStyle name="Calculation 3 5 4 4 2 3 2" xfId="13671" xr:uid="{00000000-0005-0000-0000-000042280000}"/>
    <cellStyle name="Calculation 3 5 4 4 2 3 3" xfId="13672" xr:uid="{00000000-0005-0000-0000-000043280000}"/>
    <cellStyle name="Calculation 3 5 4 4 2 4" xfId="13673" xr:uid="{00000000-0005-0000-0000-000044280000}"/>
    <cellStyle name="Calculation 3 5 4 4 2 4 2" xfId="13674" xr:uid="{00000000-0005-0000-0000-000045280000}"/>
    <cellStyle name="Calculation 3 5 4 4 2 4 3" xfId="13675" xr:uid="{00000000-0005-0000-0000-000046280000}"/>
    <cellStyle name="Calculation 3 5 4 4 2 5" xfId="13676" xr:uid="{00000000-0005-0000-0000-000047280000}"/>
    <cellStyle name="Calculation 3 5 4 4 2 5 2" xfId="13677" xr:uid="{00000000-0005-0000-0000-000048280000}"/>
    <cellStyle name="Calculation 3 5 4 4 2 5 3" xfId="13678" xr:uid="{00000000-0005-0000-0000-000049280000}"/>
    <cellStyle name="Calculation 3 5 4 4 2 6" xfId="13679" xr:uid="{00000000-0005-0000-0000-00004A280000}"/>
    <cellStyle name="Calculation 3 5 4 4 2 6 2" xfId="13680" xr:uid="{00000000-0005-0000-0000-00004B280000}"/>
    <cellStyle name="Calculation 3 5 4 4 2 6 3" xfId="13681" xr:uid="{00000000-0005-0000-0000-00004C280000}"/>
    <cellStyle name="Calculation 3 5 4 4 2 7" xfId="13682" xr:uid="{00000000-0005-0000-0000-00004D280000}"/>
    <cellStyle name="Calculation 3 5 4 4 2 7 2" xfId="13683" xr:uid="{00000000-0005-0000-0000-00004E280000}"/>
    <cellStyle name="Calculation 3 5 4 4 2 7 3" xfId="13684" xr:uid="{00000000-0005-0000-0000-00004F280000}"/>
    <cellStyle name="Calculation 3 5 4 4 2 8" xfId="13685" xr:uid="{00000000-0005-0000-0000-000050280000}"/>
    <cellStyle name="Calculation 3 5 4 4 2 9" xfId="13686" xr:uid="{00000000-0005-0000-0000-000051280000}"/>
    <cellStyle name="Calculation 3 5 4 4 3" xfId="13687" xr:uid="{00000000-0005-0000-0000-000052280000}"/>
    <cellStyle name="Calculation 3 5 4 4 3 2" xfId="13688" xr:uid="{00000000-0005-0000-0000-000053280000}"/>
    <cellStyle name="Calculation 3 5 4 4 3 3" xfId="13689" xr:uid="{00000000-0005-0000-0000-000054280000}"/>
    <cellStyle name="Calculation 3 5 4 4 4" xfId="13690" xr:uid="{00000000-0005-0000-0000-000055280000}"/>
    <cellStyle name="Calculation 3 5 4 4 4 2" xfId="13691" xr:uid="{00000000-0005-0000-0000-000056280000}"/>
    <cellStyle name="Calculation 3 5 4 4 4 3" xfId="13692" xr:uid="{00000000-0005-0000-0000-000057280000}"/>
    <cellStyle name="Calculation 3 5 4 4 5" xfId="13693" xr:uid="{00000000-0005-0000-0000-000058280000}"/>
    <cellStyle name="Calculation 3 5 4 4 5 2" xfId="13694" xr:uid="{00000000-0005-0000-0000-000059280000}"/>
    <cellStyle name="Calculation 3 5 4 4 5 3" xfId="13695" xr:uid="{00000000-0005-0000-0000-00005A280000}"/>
    <cellStyle name="Calculation 3 5 4 4 6" xfId="13696" xr:uid="{00000000-0005-0000-0000-00005B280000}"/>
    <cellStyle name="Calculation 3 5 4 4 6 2" xfId="13697" xr:uid="{00000000-0005-0000-0000-00005C280000}"/>
    <cellStyle name="Calculation 3 5 4 4 6 3" xfId="13698" xr:uid="{00000000-0005-0000-0000-00005D280000}"/>
    <cellStyle name="Calculation 3 5 4 4 7" xfId="13699" xr:uid="{00000000-0005-0000-0000-00005E280000}"/>
    <cellStyle name="Calculation 3 5 4 4 7 2" xfId="13700" xr:uid="{00000000-0005-0000-0000-00005F280000}"/>
    <cellStyle name="Calculation 3 5 4 4 7 3" xfId="13701" xr:uid="{00000000-0005-0000-0000-000060280000}"/>
    <cellStyle name="Calculation 3 5 4 4 8" xfId="13702" xr:uid="{00000000-0005-0000-0000-000061280000}"/>
    <cellStyle name="Calculation 3 5 4 4 8 2" xfId="13703" xr:uid="{00000000-0005-0000-0000-000062280000}"/>
    <cellStyle name="Calculation 3 5 4 4 8 3" xfId="13704" xr:uid="{00000000-0005-0000-0000-000063280000}"/>
    <cellStyle name="Calculation 3 5 4 4 9" xfId="13705" xr:uid="{00000000-0005-0000-0000-000064280000}"/>
    <cellStyle name="Calculation 3 5 4 5" xfId="13706" xr:uid="{00000000-0005-0000-0000-000065280000}"/>
    <cellStyle name="Calculation 3 5 4 5 2" xfId="13707" xr:uid="{00000000-0005-0000-0000-000066280000}"/>
    <cellStyle name="Calculation 3 5 4 5 2 2" xfId="13708" xr:uid="{00000000-0005-0000-0000-000067280000}"/>
    <cellStyle name="Calculation 3 5 4 5 2 3" xfId="13709" xr:uid="{00000000-0005-0000-0000-000068280000}"/>
    <cellStyle name="Calculation 3 5 4 5 3" xfId="13710" xr:uid="{00000000-0005-0000-0000-000069280000}"/>
    <cellStyle name="Calculation 3 5 4 5 3 2" xfId="13711" xr:uid="{00000000-0005-0000-0000-00006A280000}"/>
    <cellStyle name="Calculation 3 5 4 5 3 3" xfId="13712" xr:uid="{00000000-0005-0000-0000-00006B280000}"/>
    <cellStyle name="Calculation 3 5 4 5 4" xfId="13713" xr:uid="{00000000-0005-0000-0000-00006C280000}"/>
    <cellStyle name="Calculation 3 5 4 5 4 2" xfId="13714" xr:uid="{00000000-0005-0000-0000-00006D280000}"/>
    <cellStyle name="Calculation 3 5 4 5 4 3" xfId="13715" xr:uid="{00000000-0005-0000-0000-00006E280000}"/>
    <cellStyle name="Calculation 3 5 4 5 5" xfId="13716" xr:uid="{00000000-0005-0000-0000-00006F280000}"/>
    <cellStyle name="Calculation 3 5 4 5 5 2" xfId="13717" xr:uid="{00000000-0005-0000-0000-000070280000}"/>
    <cellStyle name="Calculation 3 5 4 5 5 3" xfId="13718" xr:uid="{00000000-0005-0000-0000-000071280000}"/>
    <cellStyle name="Calculation 3 5 4 5 6" xfId="13719" xr:uid="{00000000-0005-0000-0000-000072280000}"/>
    <cellStyle name="Calculation 3 5 4 5 6 2" xfId="13720" xr:uid="{00000000-0005-0000-0000-000073280000}"/>
    <cellStyle name="Calculation 3 5 4 5 6 3" xfId="13721" xr:uid="{00000000-0005-0000-0000-000074280000}"/>
    <cellStyle name="Calculation 3 5 4 5 7" xfId="13722" xr:uid="{00000000-0005-0000-0000-000075280000}"/>
    <cellStyle name="Calculation 3 5 4 5 7 2" xfId="13723" xr:uid="{00000000-0005-0000-0000-000076280000}"/>
    <cellStyle name="Calculation 3 5 4 5 7 3" xfId="13724" xr:uid="{00000000-0005-0000-0000-000077280000}"/>
    <cellStyle name="Calculation 3 5 4 5 8" xfId="13725" xr:uid="{00000000-0005-0000-0000-000078280000}"/>
    <cellStyle name="Calculation 3 5 4 5 9" xfId="13726" xr:uid="{00000000-0005-0000-0000-000079280000}"/>
    <cellStyle name="Calculation 3 5 4 6" xfId="13727" xr:uid="{00000000-0005-0000-0000-00007A280000}"/>
    <cellStyle name="Calculation 3 5 4 6 2" xfId="13728" xr:uid="{00000000-0005-0000-0000-00007B280000}"/>
    <cellStyle name="Calculation 3 5 4 6 3" xfId="13729" xr:uid="{00000000-0005-0000-0000-00007C280000}"/>
    <cellStyle name="Calculation 3 5 4 7" xfId="13730" xr:uid="{00000000-0005-0000-0000-00007D280000}"/>
    <cellStyle name="Calculation 3 5 4 7 2" xfId="13731" xr:uid="{00000000-0005-0000-0000-00007E280000}"/>
    <cellStyle name="Calculation 3 5 4 7 3" xfId="13732" xr:uid="{00000000-0005-0000-0000-00007F280000}"/>
    <cellStyle name="Calculation 3 5 4 8" xfId="13733" xr:uid="{00000000-0005-0000-0000-000080280000}"/>
    <cellStyle name="Calculation 3 5 4 8 2" xfId="13734" xr:uid="{00000000-0005-0000-0000-000081280000}"/>
    <cellStyle name="Calculation 3 5 4 8 3" xfId="13735" xr:uid="{00000000-0005-0000-0000-000082280000}"/>
    <cellStyle name="Calculation 3 5 4 9" xfId="13736" xr:uid="{00000000-0005-0000-0000-000083280000}"/>
    <cellStyle name="Calculation 3 5 4 9 2" xfId="13737" xr:uid="{00000000-0005-0000-0000-000084280000}"/>
    <cellStyle name="Calculation 3 5 4 9 3" xfId="13738" xr:uid="{00000000-0005-0000-0000-000085280000}"/>
    <cellStyle name="Calculation 3 5 5" xfId="13739" xr:uid="{00000000-0005-0000-0000-000086280000}"/>
    <cellStyle name="Calculation 3 5 5 10" xfId="44023" xr:uid="{00000000-0005-0000-0000-000087280000}"/>
    <cellStyle name="Calculation 3 5 5 2" xfId="13740" xr:uid="{00000000-0005-0000-0000-000088280000}"/>
    <cellStyle name="Calculation 3 5 5 2 10" xfId="13741" xr:uid="{00000000-0005-0000-0000-000089280000}"/>
    <cellStyle name="Calculation 3 5 5 2 2" xfId="13742" xr:uid="{00000000-0005-0000-0000-00008A280000}"/>
    <cellStyle name="Calculation 3 5 5 2 2 2" xfId="13743" xr:uid="{00000000-0005-0000-0000-00008B280000}"/>
    <cellStyle name="Calculation 3 5 5 2 2 2 2" xfId="13744" xr:uid="{00000000-0005-0000-0000-00008C280000}"/>
    <cellStyle name="Calculation 3 5 5 2 2 2 3" xfId="13745" xr:uid="{00000000-0005-0000-0000-00008D280000}"/>
    <cellStyle name="Calculation 3 5 5 2 2 3" xfId="13746" xr:uid="{00000000-0005-0000-0000-00008E280000}"/>
    <cellStyle name="Calculation 3 5 5 2 2 3 2" xfId="13747" xr:uid="{00000000-0005-0000-0000-00008F280000}"/>
    <cellStyle name="Calculation 3 5 5 2 2 3 3" xfId="13748" xr:uid="{00000000-0005-0000-0000-000090280000}"/>
    <cellStyle name="Calculation 3 5 5 2 2 4" xfId="13749" xr:uid="{00000000-0005-0000-0000-000091280000}"/>
    <cellStyle name="Calculation 3 5 5 2 2 4 2" xfId="13750" xr:uid="{00000000-0005-0000-0000-000092280000}"/>
    <cellStyle name="Calculation 3 5 5 2 2 4 3" xfId="13751" xr:uid="{00000000-0005-0000-0000-000093280000}"/>
    <cellStyle name="Calculation 3 5 5 2 2 5" xfId="13752" xr:uid="{00000000-0005-0000-0000-000094280000}"/>
    <cellStyle name="Calculation 3 5 5 2 2 5 2" xfId="13753" xr:uid="{00000000-0005-0000-0000-000095280000}"/>
    <cellStyle name="Calculation 3 5 5 2 2 5 3" xfId="13754" xr:uid="{00000000-0005-0000-0000-000096280000}"/>
    <cellStyle name="Calculation 3 5 5 2 2 6" xfId="13755" xr:uid="{00000000-0005-0000-0000-000097280000}"/>
    <cellStyle name="Calculation 3 5 5 2 2 6 2" xfId="13756" xr:uid="{00000000-0005-0000-0000-000098280000}"/>
    <cellStyle name="Calculation 3 5 5 2 2 6 3" xfId="13757" xr:uid="{00000000-0005-0000-0000-000099280000}"/>
    <cellStyle name="Calculation 3 5 5 2 2 7" xfId="13758" xr:uid="{00000000-0005-0000-0000-00009A280000}"/>
    <cellStyle name="Calculation 3 5 5 2 2 7 2" xfId="13759" xr:uid="{00000000-0005-0000-0000-00009B280000}"/>
    <cellStyle name="Calculation 3 5 5 2 2 7 3" xfId="13760" xr:uid="{00000000-0005-0000-0000-00009C280000}"/>
    <cellStyle name="Calculation 3 5 5 2 2 8" xfId="13761" xr:uid="{00000000-0005-0000-0000-00009D280000}"/>
    <cellStyle name="Calculation 3 5 5 2 2 9" xfId="13762" xr:uid="{00000000-0005-0000-0000-00009E280000}"/>
    <cellStyle name="Calculation 3 5 5 2 3" xfId="13763" xr:uid="{00000000-0005-0000-0000-00009F280000}"/>
    <cellStyle name="Calculation 3 5 5 2 3 2" xfId="13764" xr:uid="{00000000-0005-0000-0000-0000A0280000}"/>
    <cellStyle name="Calculation 3 5 5 2 3 3" xfId="13765" xr:uid="{00000000-0005-0000-0000-0000A1280000}"/>
    <cellStyle name="Calculation 3 5 5 2 4" xfId="13766" xr:uid="{00000000-0005-0000-0000-0000A2280000}"/>
    <cellStyle name="Calculation 3 5 5 2 4 2" xfId="13767" xr:uid="{00000000-0005-0000-0000-0000A3280000}"/>
    <cellStyle name="Calculation 3 5 5 2 4 3" xfId="13768" xr:uid="{00000000-0005-0000-0000-0000A4280000}"/>
    <cellStyle name="Calculation 3 5 5 2 5" xfId="13769" xr:uid="{00000000-0005-0000-0000-0000A5280000}"/>
    <cellStyle name="Calculation 3 5 5 2 5 2" xfId="13770" xr:uid="{00000000-0005-0000-0000-0000A6280000}"/>
    <cellStyle name="Calculation 3 5 5 2 5 3" xfId="13771" xr:uid="{00000000-0005-0000-0000-0000A7280000}"/>
    <cellStyle name="Calculation 3 5 5 2 6" xfId="13772" xr:uid="{00000000-0005-0000-0000-0000A8280000}"/>
    <cellStyle name="Calculation 3 5 5 2 6 2" xfId="13773" xr:uid="{00000000-0005-0000-0000-0000A9280000}"/>
    <cellStyle name="Calculation 3 5 5 2 6 3" xfId="13774" xr:uid="{00000000-0005-0000-0000-0000AA280000}"/>
    <cellStyle name="Calculation 3 5 5 2 7" xfId="13775" xr:uid="{00000000-0005-0000-0000-0000AB280000}"/>
    <cellStyle name="Calculation 3 5 5 2 7 2" xfId="13776" xr:uid="{00000000-0005-0000-0000-0000AC280000}"/>
    <cellStyle name="Calculation 3 5 5 2 7 3" xfId="13777" xr:uid="{00000000-0005-0000-0000-0000AD280000}"/>
    <cellStyle name="Calculation 3 5 5 2 8" xfId="13778" xr:uid="{00000000-0005-0000-0000-0000AE280000}"/>
    <cellStyle name="Calculation 3 5 5 2 8 2" xfId="13779" xr:uid="{00000000-0005-0000-0000-0000AF280000}"/>
    <cellStyle name="Calculation 3 5 5 2 8 3" xfId="13780" xr:uid="{00000000-0005-0000-0000-0000B0280000}"/>
    <cellStyle name="Calculation 3 5 5 2 9" xfId="13781" xr:uid="{00000000-0005-0000-0000-0000B1280000}"/>
    <cellStyle name="Calculation 3 5 5 3" xfId="13782" xr:uid="{00000000-0005-0000-0000-0000B2280000}"/>
    <cellStyle name="Calculation 3 5 5 3 10" xfId="13783" xr:uid="{00000000-0005-0000-0000-0000B3280000}"/>
    <cellStyle name="Calculation 3 5 5 3 2" xfId="13784" xr:uid="{00000000-0005-0000-0000-0000B4280000}"/>
    <cellStyle name="Calculation 3 5 5 3 2 2" xfId="13785" xr:uid="{00000000-0005-0000-0000-0000B5280000}"/>
    <cellStyle name="Calculation 3 5 5 3 2 2 2" xfId="13786" xr:uid="{00000000-0005-0000-0000-0000B6280000}"/>
    <cellStyle name="Calculation 3 5 5 3 2 2 3" xfId="13787" xr:uid="{00000000-0005-0000-0000-0000B7280000}"/>
    <cellStyle name="Calculation 3 5 5 3 2 3" xfId="13788" xr:uid="{00000000-0005-0000-0000-0000B8280000}"/>
    <cellStyle name="Calculation 3 5 5 3 2 3 2" xfId="13789" xr:uid="{00000000-0005-0000-0000-0000B9280000}"/>
    <cellStyle name="Calculation 3 5 5 3 2 3 3" xfId="13790" xr:uid="{00000000-0005-0000-0000-0000BA280000}"/>
    <cellStyle name="Calculation 3 5 5 3 2 4" xfId="13791" xr:uid="{00000000-0005-0000-0000-0000BB280000}"/>
    <cellStyle name="Calculation 3 5 5 3 2 4 2" xfId="13792" xr:uid="{00000000-0005-0000-0000-0000BC280000}"/>
    <cellStyle name="Calculation 3 5 5 3 2 4 3" xfId="13793" xr:uid="{00000000-0005-0000-0000-0000BD280000}"/>
    <cellStyle name="Calculation 3 5 5 3 2 5" xfId="13794" xr:uid="{00000000-0005-0000-0000-0000BE280000}"/>
    <cellStyle name="Calculation 3 5 5 3 2 5 2" xfId="13795" xr:uid="{00000000-0005-0000-0000-0000BF280000}"/>
    <cellStyle name="Calculation 3 5 5 3 2 5 3" xfId="13796" xr:uid="{00000000-0005-0000-0000-0000C0280000}"/>
    <cellStyle name="Calculation 3 5 5 3 2 6" xfId="13797" xr:uid="{00000000-0005-0000-0000-0000C1280000}"/>
    <cellStyle name="Calculation 3 5 5 3 2 6 2" xfId="13798" xr:uid="{00000000-0005-0000-0000-0000C2280000}"/>
    <cellStyle name="Calculation 3 5 5 3 2 6 3" xfId="13799" xr:uid="{00000000-0005-0000-0000-0000C3280000}"/>
    <cellStyle name="Calculation 3 5 5 3 2 7" xfId="13800" xr:uid="{00000000-0005-0000-0000-0000C4280000}"/>
    <cellStyle name="Calculation 3 5 5 3 2 7 2" xfId="13801" xr:uid="{00000000-0005-0000-0000-0000C5280000}"/>
    <cellStyle name="Calculation 3 5 5 3 2 7 3" xfId="13802" xr:uid="{00000000-0005-0000-0000-0000C6280000}"/>
    <cellStyle name="Calculation 3 5 5 3 2 8" xfId="13803" xr:uid="{00000000-0005-0000-0000-0000C7280000}"/>
    <cellStyle name="Calculation 3 5 5 3 2 9" xfId="13804" xr:uid="{00000000-0005-0000-0000-0000C8280000}"/>
    <cellStyle name="Calculation 3 5 5 3 3" xfId="13805" xr:uid="{00000000-0005-0000-0000-0000C9280000}"/>
    <cellStyle name="Calculation 3 5 5 3 3 2" xfId="13806" xr:uid="{00000000-0005-0000-0000-0000CA280000}"/>
    <cellStyle name="Calculation 3 5 5 3 3 3" xfId="13807" xr:uid="{00000000-0005-0000-0000-0000CB280000}"/>
    <cellStyle name="Calculation 3 5 5 3 4" xfId="13808" xr:uid="{00000000-0005-0000-0000-0000CC280000}"/>
    <cellStyle name="Calculation 3 5 5 3 4 2" xfId="13809" xr:uid="{00000000-0005-0000-0000-0000CD280000}"/>
    <cellStyle name="Calculation 3 5 5 3 4 3" xfId="13810" xr:uid="{00000000-0005-0000-0000-0000CE280000}"/>
    <cellStyle name="Calculation 3 5 5 3 5" xfId="13811" xr:uid="{00000000-0005-0000-0000-0000CF280000}"/>
    <cellStyle name="Calculation 3 5 5 3 5 2" xfId="13812" xr:uid="{00000000-0005-0000-0000-0000D0280000}"/>
    <cellStyle name="Calculation 3 5 5 3 5 3" xfId="13813" xr:uid="{00000000-0005-0000-0000-0000D1280000}"/>
    <cellStyle name="Calculation 3 5 5 3 6" xfId="13814" xr:uid="{00000000-0005-0000-0000-0000D2280000}"/>
    <cellStyle name="Calculation 3 5 5 3 6 2" xfId="13815" xr:uid="{00000000-0005-0000-0000-0000D3280000}"/>
    <cellStyle name="Calculation 3 5 5 3 6 3" xfId="13816" xr:uid="{00000000-0005-0000-0000-0000D4280000}"/>
    <cellStyle name="Calculation 3 5 5 3 7" xfId="13817" xr:uid="{00000000-0005-0000-0000-0000D5280000}"/>
    <cellStyle name="Calculation 3 5 5 3 7 2" xfId="13818" xr:uid="{00000000-0005-0000-0000-0000D6280000}"/>
    <cellStyle name="Calculation 3 5 5 3 7 3" xfId="13819" xr:uid="{00000000-0005-0000-0000-0000D7280000}"/>
    <cellStyle name="Calculation 3 5 5 3 8" xfId="13820" xr:uid="{00000000-0005-0000-0000-0000D8280000}"/>
    <cellStyle name="Calculation 3 5 5 3 8 2" xfId="13821" xr:uid="{00000000-0005-0000-0000-0000D9280000}"/>
    <cellStyle name="Calculation 3 5 5 3 8 3" xfId="13822" xr:uid="{00000000-0005-0000-0000-0000DA280000}"/>
    <cellStyle name="Calculation 3 5 5 3 9" xfId="13823" xr:uid="{00000000-0005-0000-0000-0000DB280000}"/>
    <cellStyle name="Calculation 3 5 5 4" xfId="13824" xr:uid="{00000000-0005-0000-0000-0000DC280000}"/>
    <cellStyle name="Calculation 3 5 5 4 10" xfId="13825" xr:uid="{00000000-0005-0000-0000-0000DD280000}"/>
    <cellStyle name="Calculation 3 5 5 4 2" xfId="13826" xr:uid="{00000000-0005-0000-0000-0000DE280000}"/>
    <cellStyle name="Calculation 3 5 5 4 2 2" xfId="13827" xr:uid="{00000000-0005-0000-0000-0000DF280000}"/>
    <cellStyle name="Calculation 3 5 5 4 2 2 2" xfId="13828" xr:uid="{00000000-0005-0000-0000-0000E0280000}"/>
    <cellStyle name="Calculation 3 5 5 4 2 2 3" xfId="13829" xr:uid="{00000000-0005-0000-0000-0000E1280000}"/>
    <cellStyle name="Calculation 3 5 5 4 2 3" xfId="13830" xr:uid="{00000000-0005-0000-0000-0000E2280000}"/>
    <cellStyle name="Calculation 3 5 5 4 2 3 2" xfId="13831" xr:uid="{00000000-0005-0000-0000-0000E3280000}"/>
    <cellStyle name="Calculation 3 5 5 4 2 3 3" xfId="13832" xr:uid="{00000000-0005-0000-0000-0000E4280000}"/>
    <cellStyle name="Calculation 3 5 5 4 2 4" xfId="13833" xr:uid="{00000000-0005-0000-0000-0000E5280000}"/>
    <cellStyle name="Calculation 3 5 5 4 2 4 2" xfId="13834" xr:uid="{00000000-0005-0000-0000-0000E6280000}"/>
    <cellStyle name="Calculation 3 5 5 4 2 4 3" xfId="13835" xr:uid="{00000000-0005-0000-0000-0000E7280000}"/>
    <cellStyle name="Calculation 3 5 5 4 2 5" xfId="13836" xr:uid="{00000000-0005-0000-0000-0000E8280000}"/>
    <cellStyle name="Calculation 3 5 5 4 2 5 2" xfId="13837" xr:uid="{00000000-0005-0000-0000-0000E9280000}"/>
    <cellStyle name="Calculation 3 5 5 4 2 5 3" xfId="13838" xr:uid="{00000000-0005-0000-0000-0000EA280000}"/>
    <cellStyle name="Calculation 3 5 5 4 2 6" xfId="13839" xr:uid="{00000000-0005-0000-0000-0000EB280000}"/>
    <cellStyle name="Calculation 3 5 5 4 2 6 2" xfId="13840" xr:uid="{00000000-0005-0000-0000-0000EC280000}"/>
    <cellStyle name="Calculation 3 5 5 4 2 6 3" xfId="13841" xr:uid="{00000000-0005-0000-0000-0000ED280000}"/>
    <cellStyle name="Calculation 3 5 5 4 2 7" xfId="13842" xr:uid="{00000000-0005-0000-0000-0000EE280000}"/>
    <cellStyle name="Calculation 3 5 5 4 2 7 2" xfId="13843" xr:uid="{00000000-0005-0000-0000-0000EF280000}"/>
    <cellStyle name="Calculation 3 5 5 4 2 7 3" xfId="13844" xr:uid="{00000000-0005-0000-0000-0000F0280000}"/>
    <cellStyle name="Calculation 3 5 5 4 2 8" xfId="13845" xr:uid="{00000000-0005-0000-0000-0000F1280000}"/>
    <cellStyle name="Calculation 3 5 5 4 2 9" xfId="13846" xr:uid="{00000000-0005-0000-0000-0000F2280000}"/>
    <cellStyle name="Calculation 3 5 5 4 3" xfId="13847" xr:uid="{00000000-0005-0000-0000-0000F3280000}"/>
    <cellStyle name="Calculation 3 5 5 4 3 2" xfId="13848" xr:uid="{00000000-0005-0000-0000-0000F4280000}"/>
    <cellStyle name="Calculation 3 5 5 4 3 3" xfId="13849" xr:uid="{00000000-0005-0000-0000-0000F5280000}"/>
    <cellStyle name="Calculation 3 5 5 4 4" xfId="13850" xr:uid="{00000000-0005-0000-0000-0000F6280000}"/>
    <cellStyle name="Calculation 3 5 5 4 4 2" xfId="13851" xr:uid="{00000000-0005-0000-0000-0000F7280000}"/>
    <cellStyle name="Calculation 3 5 5 4 4 3" xfId="13852" xr:uid="{00000000-0005-0000-0000-0000F8280000}"/>
    <cellStyle name="Calculation 3 5 5 4 5" xfId="13853" xr:uid="{00000000-0005-0000-0000-0000F9280000}"/>
    <cellStyle name="Calculation 3 5 5 4 5 2" xfId="13854" xr:uid="{00000000-0005-0000-0000-0000FA280000}"/>
    <cellStyle name="Calculation 3 5 5 4 5 3" xfId="13855" xr:uid="{00000000-0005-0000-0000-0000FB280000}"/>
    <cellStyle name="Calculation 3 5 5 4 6" xfId="13856" xr:uid="{00000000-0005-0000-0000-0000FC280000}"/>
    <cellStyle name="Calculation 3 5 5 4 6 2" xfId="13857" xr:uid="{00000000-0005-0000-0000-0000FD280000}"/>
    <cellStyle name="Calculation 3 5 5 4 6 3" xfId="13858" xr:uid="{00000000-0005-0000-0000-0000FE280000}"/>
    <cellStyle name="Calculation 3 5 5 4 7" xfId="13859" xr:uid="{00000000-0005-0000-0000-0000FF280000}"/>
    <cellStyle name="Calculation 3 5 5 4 7 2" xfId="13860" xr:uid="{00000000-0005-0000-0000-000000290000}"/>
    <cellStyle name="Calculation 3 5 5 4 7 3" xfId="13861" xr:uid="{00000000-0005-0000-0000-000001290000}"/>
    <cellStyle name="Calculation 3 5 5 4 8" xfId="13862" xr:uid="{00000000-0005-0000-0000-000002290000}"/>
    <cellStyle name="Calculation 3 5 5 4 8 2" xfId="13863" xr:uid="{00000000-0005-0000-0000-000003290000}"/>
    <cellStyle name="Calculation 3 5 5 4 8 3" xfId="13864" xr:uid="{00000000-0005-0000-0000-000004290000}"/>
    <cellStyle name="Calculation 3 5 5 4 9" xfId="13865" xr:uid="{00000000-0005-0000-0000-000005290000}"/>
    <cellStyle name="Calculation 3 5 5 5" xfId="13866" xr:uid="{00000000-0005-0000-0000-000006290000}"/>
    <cellStyle name="Calculation 3 5 5 5 2" xfId="13867" xr:uid="{00000000-0005-0000-0000-000007290000}"/>
    <cellStyle name="Calculation 3 5 5 5 2 2" xfId="13868" xr:uid="{00000000-0005-0000-0000-000008290000}"/>
    <cellStyle name="Calculation 3 5 5 5 2 3" xfId="13869" xr:uid="{00000000-0005-0000-0000-000009290000}"/>
    <cellStyle name="Calculation 3 5 5 5 3" xfId="13870" xr:uid="{00000000-0005-0000-0000-00000A290000}"/>
    <cellStyle name="Calculation 3 5 5 5 3 2" xfId="13871" xr:uid="{00000000-0005-0000-0000-00000B290000}"/>
    <cellStyle name="Calculation 3 5 5 5 3 3" xfId="13872" xr:uid="{00000000-0005-0000-0000-00000C290000}"/>
    <cellStyle name="Calculation 3 5 5 5 4" xfId="13873" xr:uid="{00000000-0005-0000-0000-00000D290000}"/>
    <cellStyle name="Calculation 3 5 5 5 4 2" xfId="13874" xr:uid="{00000000-0005-0000-0000-00000E290000}"/>
    <cellStyle name="Calculation 3 5 5 5 4 3" xfId="13875" xr:uid="{00000000-0005-0000-0000-00000F290000}"/>
    <cellStyle name="Calculation 3 5 5 5 5" xfId="13876" xr:uid="{00000000-0005-0000-0000-000010290000}"/>
    <cellStyle name="Calculation 3 5 5 5 5 2" xfId="13877" xr:uid="{00000000-0005-0000-0000-000011290000}"/>
    <cellStyle name="Calculation 3 5 5 5 5 3" xfId="13878" xr:uid="{00000000-0005-0000-0000-000012290000}"/>
    <cellStyle name="Calculation 3 5 5 5 6" xfId="13879" xr:uid="{00000000-0005-0000-0000-000013290000}"/>
    <cellStyle name="Calculation 3 5 5 5 6 2" xfId="13880" xr:uid="{00000000-0005-0000-0000-000014290000}"/>
    <cellStyle name="Calculation 3 5 5 5 6 3" xfId="13881" xr:uid="{00000000-0005-0000-0000-000015290000}"/>
    <cellStyle name="Calculation 3 5 5 5 7" xfId="13882" xr:uid="{00000000-0005-0000-0000-000016290000}"/>
    <cellStyle name="Calculation 3 5 5 5 7 2" xfId="13883" xr:uid="{00000000-0005-0000-0000-000017290000}"/>
    <cellStyle name="Calculation 3 5 5 5 7 3" xfId="13884" xr:uid="{00000000-0005-0000-0000-000018290000}"/>
    <cellStyle name="Calculation 3 5 5 5 8" xfId="13885" xr:uid="{00000000-0005-0000-0000-000019290000}"/>
    <cellStyle name="Calculation 3 5 5 5 9" xfId="13886" xr:uid="{00000000-0005-0000-0000-00001A290000}"/>
    <cellStyle name="Calculation 3 5 5 6" xfId="13887" xr:uid="{00000000-0005-0000-0000-00001B290000}"/>
    <cellStyle name="Calculation 3 5 5 6 2" xfId="13888" xr:uid="{00000000-0005-0000-0000-00001C290000}"/>
    <cellStyle name="Calculation 3 5 5 6 3" xfId="13889" xr:uid="{00000000-0005-0000-0000-00001D290000}"/>
    <cellStyle name="Calculation 3 5 5 7" xfId="13890" xr:uid="{00000000-0005-0000-0000-00001E290000}"/>
    <cellStyle name="Calculation 3 5 5 7 2" xfId="13891" xr:uid="{00000000-0005-0000-0000-00001F290000}"/>
    <cellStyle name="Calculation 3 5 5 7 3" xfId="13892" xr:uid="{00000000-0005-0000-0000-000020290000}"/>
    <cellStyle name="Calculation 3 5 5 8" xfId="13893" xr:uid="{00000000-0005-0000-0000-000021290000}"/>
    <cellStyle name="Calculation 3 5 5 8 2" xfId="13894" xr:uid="{00000000-0005-0000-0000-000022290000}"/>
    <cellStyle name="Calculation 3 5 5 8 3" xfId="13895" xr:uid="{00000000-0005-0000-0000-000023290000}"/>
    <cellStyle name="Calculation 3 5 5 9" xfId="13896" xr:uid="{00000000-0005-0000-0000-000024290000}"/>
    <cellStyle name="Calculation 3 5 5 9 2" xfId="13897" xr:uid="{00000000-0005-0000-0000-000025290000}"/>
    <cellStyle name="Calculation 3 5 5 9 3" xfId="13898" xr:uid="{00000000-0005-0000-0000-000026290000}"/>
    <cellStyle name="Calculation 3 5 6" xfId="13899" xr:uid="{00000000-0005-0000-0000-000027290000}"/>
    <cellStyle name="Calculation 3 5 6 10" xfId="13900" xr:uid="{00000000-0005-0000-0000-000028290000}"/>
    <cellStyle name="Calculation 3 5 6 2" xfId="13901" xr:uid="{00000000-0005-0000-0000-000029290000}"/>
    <cellStyle name="Calculation 3 5 6 2 2" xfId="13902" xr:uid="{00000000-0005-0000-0000-00002A290000}"/>
    <cellStyle name="Calculation 3 5 6 2 2 2" xfId="13903" xr:uid="{00000000-0005-0000-0000-00002B290000}"/>
    <cellStyle name="Calculation 3 5 6 2 2 3" xfId="13904" xr:uid="{00000000-0005-0000-0000-00002C290000}"/>
    <cellStyle name="Calculation 3 5 6 2 3" xfId="13905" xr:uid="{00000000-0005-0000-0000-00002D290000}"/>
    <cellStyle name="Calculation 3 5 6 2 3 2" xfId="13906" xr:uid="{00000000-0005-0000-0000-00002E290000}"/>
    <cellStyle name="Calculation 3 5 6 2 3 3" xfId="13907" xr:uid="{00000000-0005-0000-0000-00002F290000}"/>
    <cellStyle name="Calculation 3 5 6 2 4" xfId="13908" xr:uid="{00000000-0005-0000-0000-000030290000}"/>
    <cellStyle name="Calculation 3 5 6 2 4 2" xfId="13909" xr:uid="{00000000-0005-0000-0000-000031290000}"/>
    <cellStyle name="Calculation 3 5 6 2 4 3" xfId="13910" xr:uid="{00000000-0005-0000-0000-000032290000}"/>
    <cellStyle name="Calculation 3 5 6 2 5" xfId="13911" xr:uid="{00000000-0005-0000-0000-000033290000}"/>
    <cellStyle name="Calculation 3 5 6 2 5 2" xfId="13912" xr:uid="{00000000-0005-0000-0000-000034290000}"/>
    <cellStyle name="Calculation 3 5 6 2 5 3" xfId="13913" xr:uid="{00000000-0005-0000-0000-000035290000}"/>
    <cellStyle name="Calculation 3 5 6 2 6" xfId="13914" xr:uid="{00000000-0005-0000-0000-000036290000}"/>
    <cellStyle name="Calculation 3 5 6 2 6 2" xfId="13915" xr:uid="{00000000-0005-0000-0000-000037290000}"/>
    <cellStyle name="Calculation 3 5 6 2 6 3" xfId="13916" xr:uid="{00000000-0005-0000-0000-000038290000}"/>
    <cellStyle name="Calculation 3 5 6 2 7" xfId="13917" xr:uid="{00000000-0005-0000-0000-000039290000}"/>
    <cellStyle name="Calculation 3 5 6 2 7 2" xfId="13918" xr:uid="{00000000-0005-0000-0000-00003A290000}"/>
    <cellStyle name="Calculation 3 5 6 2 7 3" xfId="13919" xr:uid="{00000000-0005-0000-0000-00003B290000}"/>
    <cellStyle name="Calculation 3 5 6 2 8" xfId="13920" xr:uid="{00000000-0005-0000-0000-00003C290000}"/>
    <cellStyle name="Calculation 3 5 6 2 9" xfId="13921" xr:uid="{00000000-0005-0000-0000-00003D290000}"/>
    <cellStyle name="Calculation 3 5 6 3" xfId="13922" xr:uid="{00000000-0005-0000-0000-00003E290000}"/>
    <cellStyle name="Calculation 3 5 6 3 2" xfId="13923" xr:uid="{00000000-0005-0000-0000-00003F290000}"/>
    <cellStyle name="Calculation 3 5 6 3 3" xfId="13924" xr:uid="{00000000-0005-0000-0000-000040290000}"/>
    <cellStyle name="Calculation 3 5 6 4" xfId="13925" xr:uid="{00000000-0005-0000-0000-000041290000}"/>
    <cellStyle name="Calculation 3 5 6 4 2" xfId="13926" xr:uid="{00000000-0005-0000-0000-000042290000}"/>
    <cellStyle name="Calculation 3 5 6 4 3" xfId="13927" xr:uid="{00000000-0005-0000-0000-000043290000}"/>
    <cellStyle name="Calculation 3 5 6 5" xfId="13928" xr:uid="{00000000-0005-0000-0000-000044290000}"/>
    <cellStyle name="Calculation 3 5 6 5 2" xfId="13929" xr:uid="{00000000-0005-0000-0000-000045290000}"/>
    <cellStyle name="Calculation 3 5 6 5 3" xfId="13930" xr:uid="{00000000-0005-0000-0000-000046290000}"/>
    <cellStyle name="Calculation 3 5 6 6" xfId="13931" xr:uid="{00000000-0005-0000-0000-000047290000}"/>
    <cellStyle name="Calculation 3 5 6 6 2" xfId="13932" xr:uid="{00000000-0005-0000-0000-000048290000}"/>
    <cellStyle name="Calculation 3 5 6 6 3" xfId="13933" xr:uid="{00000000-0005-0000-0000-000049290000}"/>
    <cellStyle name="Calculation 3 5 6 7" xfId="13934" xr:uid="{00000000-0005-0000-0000-00004A290000}"/>
    <cellStyle name="Calculation 3 5 6 7 2" xfId="13935" xr:uid="{00000000-0005-0000-0000-00004B290000}"/>
    <cellStyle name="Calculation 3 5 6 7 3" xfId="13936" xr:uid="{00000000-0005-0000-0000-00004C290000}"/>
    <cellStyle name="Calculation 3 5 6 8" xfId="13937" xr:uid="{00000000-0005-0000-0000-00004D290000}"/>
    <cellStyle name="Calculation 3 5 6 8 2" xfId="13938" xr:uid="{00000000-0005-0000-0000-00004E290000}"/>
    <cellStyle name="Calculation 3 5 6 8 3" xfId="13939" xr:uid="{00000000-0005-0000-0000-00004F290000}"/>
    <cellStyle name="Calculation 3 5 6 9" xfId="13940" xr:uid="{00000000-0005-0000-0000-000050290000}"/>
    <cellStyle name="Calculation 3 5 7" xfId="13941" xr:uid="{00000000-0005-0000-0000-000051290000}"/>
    <cellStyle name="Calculation 3 5 7 10" xfId="13942" xr:uid="{00000000-0005-0000-0000-000052290000}"/>
    <cellStyle name="Calculation 3 5 7 2" xfId="13943" xr:uid="{00000000-0005-0000-0000-000053290000}"/>
    <cellStyle name="Calculation 3 5 7 2 2" xfId="13944" xr:uid="{00000000-0005-0000-0000-000054290000}"/>
    <cellStyle name="Calculation 3 5 7 2 2 2" xfId="13945" xr:uid="{00000000-0005-0000-0000-000055290000}"/>
    <cellStyle name="Calculation 3 5 7 2 2 3" xfId="13946" xr:uid="{00000000-0005-0000-0000-000056290000}"/>
    <cellStyle name="Calculation 3 5 7 2 3" xfId="13947" xr:uid="{00000000-0005-0000-0000-000057290000}"/>
    <cellStyle name="Calculation 3 5 7 2 3 2" xfId="13948" xr:uid="{00000000-0005-0000-0000-000058290000}"/>
    <cellStyle name="Calculation 3 5 7 2 3 3" xfId="13949" xr:uid="{00000000-0005-0000-0000-000059290000}"/>
    <cellStyle name="Calculation 3 5 7 2 4" xfId="13950" xr:uid="{00000000-0005-0000-0000-00005A290000}"/>
    <cellStyle name="Calculation 3 5 7 2 4 2" xfId="13951" xr:uid="{00000000-0005-0000-0000-00005B290000}"/>
    <cellStyle name="Calculation 3 5 7 2 4 3" xfId="13952" xr:uid="{00000000-0005-0000-0000-00005C290000}"/>
    <cellStyle name="Calculation 3 5 7 2 5" xfId="13953" xr:uid="{00000000-0005-0000-0000-00005D290000}"/>
    <cellStyle name="Calculation 3 5 7 2 5 2" xfId="13954" xr:uid="{00000000-0005-0000-0000-00005E290000}"/>
    <cellStyle name="Calculation 3 5 7 2 5 3" xfId="13955" xr:uid="{00000000-0005-0000-0000-00005F290000}"/>
    <cellStyle name="Calculation 3 5 7 2 6" xfId="13956" xr:uid="{00000000-0005-0000-0000-000060290000}"/>
    <cellStyle name="Calculation 3 5 7 2 6 2" xfId="13957" xr:uid="{00000000-0005-0000-0000-000061290000}"/>
    <cellStyle name="Calculation 3 5 7 2 6 3" xfId="13958" xr:uid="{00000000-0005-0000-0000-000062290000}"/>
    <cellStyle name="Calculation 3 5 7 2 7" xfId="13959" xr:uid="{00000000-0005-0000-0000-000063290000}"/>
    <cellStyle name="Calculation 3 5 7 2 7 2" xfId="13960" xr:uid="{00000000-0005-0000-0000-000064290000}"/>
    <cellStyle name="Calculation 3 5 7 2 7 3" xfId="13961" xr:uid="{00000000-0005-0000-0000-000065290000}"/>
    <cellStyle name="Calculation 3 5 7 2 8" xfId="13962" xr:uid="{00000000-0005-0000-0000-000066290000}"/>
    <cellStyle name="Calculation 3 5 7 2 9" xfId="13963" xr:uid="{00000000-0005-0000-0000-000067290000}"/>
    <cellStyle name="Calculation 3 5 7 3" xfId="13964" xr:uid="{00000000-0005-0000-0000-000068290000}"/>
    <cellStyle name="Calculation 3 5 7 3 2" xfId="13965" xr:uid="{00000000-0005-0000-0000-000069290000}"/>
    <cellStyle name="Calculation 3 5 7 3 3" xfId="13966" xr:uid="{00000000-0005-0000-0000-00006A290000}"/>
    <cellStyle name="Calculation 3 5 7 4" xfId="13967" xr:uid="{00000000-0005-0000-0000-00006B290000}"/>
    <cellStyle name="Calculation 3 5 7 4 2" xfId="13968" xr:uid="{00000000-0005-0000-0000-00006C290000}"/>
    <cellStyle name="Calculation 3 5 7 4 3" xfId="13969" xr:uid="{00000000-0005-0000-0000-00006D290000}"/>
    <cellStyle name="Calculation 3 5 7 5" xfId="13970" xr:uid="{00000000-0005-0000-0000-00006E290000}"/>
    <cellStyle name="Calculation 3 5 7 5 2" xfId="13971" xr:uid="{00000000-0005-0000-0000-00006F290000}"/>
    <cellStyle name="Calculation 3 5 7 5 3" xfId="13972" xr:uid="{00000000-0005-0000-0000-000070290000}"/>
    <cellStyle name="Calculation 3 5 7 6" xfId="13973" xr:uid="{00000000-0005-0000-0000-000071290000}"/>
    <cellStyle name="Calculation 3 5 7 6 2" xfId="13974" xr:uid="{00000000-0005-0000-0000-000072290000}"/>
    <cellStyle name="Calculation 3 5 7 6 3" xfId="13975" xr:uid="{00000000-0005-0000-0000-000073290000}"/>
    <cellStyle name="Calculation 3 5 7 7" xfId="13976" xr:uid="{00000000-0005-0000-0000-000074290000}"/>
    <cellStyle name="Calculation 3 5 7 7 2" xfId="13977" xr:uid="{00000000-0005-0000-0000-000075290000}"/>
    <cellStyle name="Calculation 3 5 7 7 3" xfId="13978" xr:uid="{00000000-0005-0000-0000-000076290000}"/>
    <cellStyle name="Calculation 3 5 7 8" xfId="13979" xr:uid="{00000000-0005-0000-0000-000077290000}"/>
    <cellStyle name="Calculation 3 5 7 8 2" xfId="13980" xr:uid="{00000000-0005-0000-0000-000078290000}"/>
    <cellStyle name="Calculation 3 5 7 8 3" xfId="13981" xr:uid="{00000000-0005-0000-0000-000079290000}"/>
    <cellStyle name="Calculation 3 5 7 9" xfId="13982" xr:uid="{00000000-0005-0000-0000-00007A290000}"/>
    <cellStyle name="Calculation 3 5 8" xfId="13983" xr:uid="{00000000-0005-0000-0000-00007B290000}"/>
    <cellStyle name="Calculation 3 5 8 10" xfId="13984" xr:uid="{00000000-0005-0000-0000-00007C290000}"/>
    <cellStyle name="Calculation 3 5 8 2" xfId="13985" xr:uid="{00000000-0005-0000-0000-00007D290000}"/>
    <cellStyle name="Calculation 3 5 8 2 2" xfId="13986" xr:uid="{00000000-0005-0000-0000-00007E290000}"/>
    <cellStyle name="Calculation 3 5 8 2 2 2" xfId="13987" xr:uid="{00000000-0005-0000-0000-00007F290000}"/>
    <cellStyle name="Calculation 3 5 8 2 2 3" xfId="13988" xr:uid="{00000000-0005-0000-0000-000080290000}"/>
    <cellStyle name="Calculation 3 5 8 2 3" xfId="13989" xr:uid="{00000000-0005-0000-0000-000081290000}"/>
    <cellStyle name="Calculation 3 5 8 2 3 2" xfId="13990" xr:uid="{00000000-0005-0000-0000-000082290000}"/>
    <cellStyle name="Calculation 3 5 8 2 3 3" xfId="13991" xr:uid="{00000000-0005-0000-0000-000083290000}"/>
    <cellStyle name="Calculation 3 5 8 2 4" xfId="13992" xr:uid="{00000000-0005-0000-0000-000084290000}"/>
    <cellStyle name="Calculation 3 5 8 2 4 2" xfId="13993" xr:uid="{00000000-0005-0000-0000-000085290000}"/>
    <cellStyle name="Calculation 3 5 8 2 4 3" xfId="13994" xr:uid="{00000000-0005-0000-0000-000086290000}"/>
    <cellStyle name="Calculation 3 5 8 2 5" xfId="13995" xr:uid="{00000000-0005-0000-0000-000087290000}"/>
    <cellStyle name="Calculation 3 5 8 2 5 2" xfId="13996" xr:uid="{00000000-0005-0000-0000-000088290000}"/>
    <cellStyle name="Calculation 3 5 8 2 5 3" xfId="13997" xr:uid="{00000000-0005-0000-0000-000089290000}"/>
    <cellStyle name="Calculation 3 5 8 2 6" xfId="13998" xr:uid="{00000000-0005-0000-0000-00008A290000}"/>
    <cellStyle name="Calculation 3 5 8 2 6 2" xfId="13999" xr:uid="{00000000-0005-0000-0000-00008B290000}"/>
    <cellStyle name="Calculation 3 5 8 2 6 3" xfId="14000" xr:uid="{00000000-0005-0000-0000-00008C290000}"/>
    <cellStyle name="Calculation 3 5 8 2 7" xfId="14001" xr:uid="{00000000-0005-0000-0000-00008D290000}"/>
    <cellStyle name="Calculation 3 5 8 2 7 2" xfId="14002" xr:uid="{00000000-0005-0000-0000-00008E290000}"/>
    <cellStyle name="Calculation 3 5 8 2 7 3" xfId="14003" xr:uid="{00000000-0005-0000-0000-00008F290000}"/>
    <cellStyle name="Calculation 3 5 8 2 8" xfId="14004" xr:uid="{00000000-0005-0000-0000-000090290000}"/>
    <cellStyle name="Calculation 3 5 8 2 9" xfId="14005" xr:uid="{00000000-0005-0000-0000-000091290000}"/>
    <cellStyle name="Calculation 3 5 8 3" xfId="14006" xr:uid="{00000000-0005-0000-0000-000092290000}"/>
    <cellStyle name="Calculation 3 5 8 3 2" xfId="14007" xr:uid="{00000000-0005-0000-0000-000093290000}"/>
    <cellStyle name="Calculation 3 5 8 3 3" xfId="14008" xr:uid="{00000000-0005-0000-0000-000094290000}"/>
    <cellStyle name="Calculation 3 5 8 4" xfId="14009" xr:uid="{00000000-0005-0000-0000-000095290000}"/>
    <cellStyle name="Calculation 3 5 8 4 2" xfId="14010" xr:uid="{00000000-0005-0000-0000-000096290000}"/>
    <cellStyle name="Calculation 3 5 8 4 3" xfId="14011" xr:uid="{00000000-0005-0000-0000-000097290000}"/>
    <cellStyle name="Calculation 3 5 8 5" xfId="14012" xr:uid="{00000000-0005-0000-0000-000098290000}"/>
    <cellStyle name="Calculation 3 5 8 5 2" xfId="14013" xr:uid="{00000000-0005-0000-0000-000099290000}"/>
    <cellStyle name="Calculation 3 5 8 5 3" xfId="14014" xr:uid="{00000000-0005-0000-0000-00009A290000}"/>
    <cellStyle name="Calculation 3 5 8 6" xfId="14015" xr:uid="{00000000-0005-0000-0000-00009B290000}"/>
    <cellStyle name="Calculation 3 5 8 6 2" xfId="14016" xr:uid="{00000000-0005-0000-0000-00009C290000}"/>
    <cellStyle name="Calculation 3 5 8 6 3" xfId="14017" xr:uid="{00000000-0005-0000-0000-00009D290000}"/>
    <cellStyle name="Calculation 3 5 8 7" xfId="14018" xr:uid="{00000000-0005-0000-0000-00009E290000}"/>
    <cellStyle name="Calculation 3 5 8 7 2" xfId="14019" xr:uid="{00000000-0005-0000-0000-00009F290000}"/>
    <cellStyle name="Calculation 3 5 8 7 3" xfId="14020" xr:uid="{00000000-0005-0000-0000-0000A0290000}"/>
    <cellStyle name="Calculation 3 5 8 8" xfId="14021" xr:uid="{00000000-0005-0000-0000-0000A1290000}"/>
    <cellStyle name="Calculation 3 5 8 8 2" xfId="14022" xr:uid="{00000000-0005-0000-0000-0000A2290000}"/>
    <cellStyle name="Calculation 3 5 8 8 3" xfId="14023" xr:uid="{00000000-0005-0000-0000-0000A3290000}"/>
    <cellStyle name="Calculation 3 5 8 9" xfId="14024" xr:uid="{00000000-0005-0000-0000-0000A4290000}"/>
    <cellStyle name="Calculation 3 5 9" xfId="14025" xr:uid="{00000000-0005-0000-0000-0000A5290000}"/>
    <cellStyle name="Calculation 3 5 9 2" xfId="14026" xr:uid="{00000000-0005-0000-0000-0000A6290000}"/>
    <cellStyle name="Calculation 3 5 9 2 2" xfId="14027" xr:uid="{00000000-0005-0000-0000-0000A7290000}"/>
    <cellStyle name="Calculation 3 5 9 2 3" xfId="14028" xr:uid="{00000000-0005-0000-0000-0000A8290000}"/>
    <cellStyle name="Calculation 3 5 9 3" xfId="14029" xr:uid="{00000000-0005-0000-0000-0000A9290000}"/>
    <cellStyle name="Calculation 3 5 9 3 2" xfId="14030" xr:uid="{00000000-0005-0000-0000-0000AA290000}"/>
    <cellStyle name="Calculation 3 5 9 3 3" xfId="14031" xr:uid="{00000000-0005-0000-0000-0000AB290000}"/>
    <cellStyle name="Calculation 3 5 9 4" xfId="14032" xr:uid="{00000000-0005-0000-0000-0000AC290000}"/>
    <cellStyle name="Calculation 3 5 9 4 2" xfId="14033" xr:uid="{00000000-0005-0000-0000-0000AD290000}"/>
    <cellStyle name="Calculation 3 5 9 4 3" xfId="14034" xr:uid="{00000000-0005-0000-0000-0000AE290000}"/>
    <cellStyle name="Calculation 3 5 9 5" xfId="14035" xr:uid="{00000000-0005-0000-0000-0000AF290000}"/>
    <cellStyle name="Calculation 3 5 9 5 2" xfId="14036" xr:uid="{00000000-0005-0000-0000-0000B0290000}"/>
    <cellStyle name="Calculation 3 5 9 5 3" xfId="14037" xr:uid="{00000000-0005-0000-0000-0000B1290000}"/>
    <cellStyle name="Calculation 3 5 9 6" xfId="14038" xr:uid="{00000000-0005-0000-0000-0000B2290000}"/>
    <cellStyle name="Calculation 3 5 9 6 2" xfId="14039" xr:uid="{00000000-0005-0000-0000-0000B3290000}"/>
    <cellStyle name="Calculation 3 5 9 6 3" xfId="14040" xr:uid="{00000000-0005-0000-0000-0000B4290000}"/>
    <cellStyle name="Calculation 3 5 9 7" xfId="14041" xr:uid="{00000000-0005-0000-0000-0000B5290000}"/>
    <cellStyle name="Calculation 3 5 9 7 2" xfId="14042" xr:uid="{00000000-0005-0000-0000-0000B6290000}"/>
    <cellStyle name="Calculation 3 5 9 7 3" xfId="14043" xr:uid="{00000000-0005-0000-0000-0000B7290000}"/>
    <cellStyle name="Calculation 3 5 9 8" xfId="14044" xr:uid="{00000000-0005-0000-0000-0000B8290000}"/>
    <cellStyle name="Calculation 3 5 9 9" xfId="14045" xr:uid="{00000000-0005-0000-0000-0000B9290000}"/>
    <cellStyle name="Calculation 3 6" xfId="14046" xr:uid="{00000000-0005-0000-0000-0000BA290000}"/>
    <cellStyle name="Calculation 3 6 2" xfId="14047" xr:uid="{00000000-0005-0000-0000-0000BB290000}"/>
    <cellStyle name="Calculation 3 6 2 2" xfId="14048" xr:uid="{00000000-0005-0000-0000-0000BC290000}"/>
    <cellStyle name="Calculation 3 6 2 2 2" xfId="14049" xr:uid="{00000000-0005-0000-0000-0000BD290000}"/>
    <cellStyle name="Calculation 3 6 2 2 3" xfId="14050" xr:uid="{00000000-0005-0000-0000-0000BE290000}"/>
    <cellStyle name="Calculation 3 6 2 3" xfId="14051" xr:uid="{00000000-0005-0000-0000-0000BF290000}"/>
    <cellStyle name="Calculation 3 6 2 3 2" xfId="14052" xr:uid="{00000000-0005-0000-0000-0000C0290000}"/>
    <cellStyle name="Calculation 3 6 2 3 3" xfId="14053" xr:uid="{00000000-0005-0000-0000-0000C1290000}"/>
    <cellStyle name="Calculation 3 6 2 4" xfId="14054" xr:uid="{00000000-0005-0000-0000-0000C2290000}"/>
    <cellStyle name="Calculation 3 6 2 4 2" xfId="14055" xr:uid="{00000000-0005-0000-0000-0000C3290000}"/>
    <cellStyle name="Calculation 3 6 2 4 3" xfId="14056" xr:uid="{00000000-0005-0000-0000-0000C4290000}"/>
    <cellStyle name="Calculation 3 6 2 5" xfId="14057" xr:uid="{00000000-0005-0000-0000-0000C5290000}"/>
    <cellStyle name="Calculation 3 6 2 5 2" xfId="14058" xr:uid="{00000000-0005-0000-0000-0000C6290000}"/>
    <cellStyle name="Calculation 3 6 2 5 3" xfId="14059" xr:uid="{00000000-0005-0000-0000-0000C7290000}"/>
    <cellStyle name="Calculation 3 6 2 6" xfId="14060" xr:uid="{00000000-0005-0000-0000-0000C8290000}"/>
    <cellStyle name="Calculation 3 6 2 6 2" xfId="14061" xr:uid="{00000000-0005-0000-0000-0000C9290000}"/>
    <cellStyle name="Calculation 3 6 2 6 3" xfId="14062" xr:uid="{00000000-0005-0000-0000-0000CA290000}"/>
    <cellStyle name="Calculation 3 6 2 7" xfId="14063" xr:uid="{00000000-0005-0000-0000-0000CB290000}"/>
    <cellStyle name="Calculation 3 6 2 7 2" xfId="14064" xr:uid="{00000000-0005-0000-0000-0000CC290000}"/>
    <cellStyle name="Calculation 3 6 2 7 3" xfId="14065" xr:uid="{00000000-0005-0000-0000-0000CD290000}"/>
    <cellStyle name="Calculation 3 6 2 8" xfId="14066" xr:uid="{00000000-0005-0000-0000-0000CE290000}"/>
    <cellStyle name="Calculation 3 6 2 9" xfId="14067" xr:uid="{00000000-0005-0000-0000-0000CF290000}"/>
    <cellStyle name="Calculation 3 6 3" xfId="14068" xr:uid="{00000000-0005-0000-0000-0000D0290000}"/>
    <cellStyle name="Calculation 3 6 3 2" xfId="14069" xr:uid="{00000000-0005-0000-0000-0000D1290000}"/>
    <cellStyle name="Calculation 3 6 3 3" xfId="14070" xr:uid="{00000000-0005-0000-0000-0000D2290000}"/>
    <cellStyle name="Calculation 3 6 4" xfId="14071" xr:uid="{00000000-0005-0000-0000-0000D3290000}"/>
    <cellStyle name="Calculation 3 6 4 2" xfId="14072" xr:uid="{00000000-0005-0000-0000-0000D4290000}"/>
    <cellStyle name="Calculation 3 6 4 3" xfId="14073" xr:uid="{00000000-0005-0000-0000-0000D5290000}"/>
    <cellStyle name="Calculation 3 6 5" xfId="14074" xr:uid="{00000000-0005-0000-0000-0000D6290000}"/>
    <cellStyle name="Calculation 3 6 5 2" xfId="14075" xr:uid="{00000000-0005-0000-0000-0000D7290000}"/>
    <cellStyle name="Calculation 3 6 5 3" xfId="14076" xr:uid="{00000000-0005-0000-0000-0000D8290000}"/>
    <cellStyle name="Calculation 3 6 6" xfId="14077" xr:uid="{00000000-0005-0000-0000-0000D9290000}"/>
    <cellStyle name="Calculation 3 6 6 2" xfId="14078" xr:uid="{00000000-0005-0000-0000-0000DA290000}"/>
    <cellStyle name="Calculation 3 6 6 3" xfId="14079" xr:uid="{00000000-0005-0000-0000-0000DB290000}"/>
    <cellStyle name="Calculation 3 6 7" xfId="14080" xr:uid="{00000000-0005-0000-0000-0000DC290000}"/>
    <cellStyle name="Calculation 3 6 7 2" xfId="14081" xr:uid="{00000000-0005-0000-0000-0000DD290000}"/>
    <cellStyle name="Calculation 3 6 7 3" xfId="14082" xr:uid="{00000000-0005-0000-0000-0000DE290000}"/>
    <cellStyle name="Calculation 3 6 8" xfId="14083" xr:uid="{00000000-0005-0000-0000-0000DF290000}"/>
    <cellStyle name="Calculation 3 6 8 2" xfId="14084" xr:uid="{00000000-0005-0000-0000-0000E0290000}"/>
    <cellStyle name="Calculation 3 6 8 3" xfId="14085" xr:uid="{00000000-0005-0000-0000-0000E1290000}"/>
    <cellStyle name="Calculation 3 6 9" xfId="44024" xr:uid="{00000000-0005-0000-0000-0000E2290000}"/>
    <cellStyle name="Calculation 3 7" xfId="14086" xr:uid="{00000000-0005-0000-0000-0000E3290000}"/>
    <cellStyle name="Calculation 3 7 10" xfId="14087" xr:uid="{00000000-0005-0000-0000-0000E4290000}"/>
    <cellStyle name="Calculation 3 7 2" xfId="14088" xr:uid="{00000000-0005-0000-0000-0000E5290000}"/>
    <cellStyle name="Calculation 3 7 2 2" xfId="14089" xr:uid="{00000000-0005-0000-0000-0000E6290000}"/>
    <cellStyle name="Calculation 3 7 2 2 2" xfId="14090" xr:uid="{00000000-0005-0000-0000-0000E7290000}"/>
    <cellStyle name="Calculation 3 7 2 2 3" xfId="14091" xr:uid="{00000000-0005-0000-0000-0000E8290000}"/>
    <cellStyle name="Calculation 3 7 2 3" xfId="14092" xr:uid="{00000000-0005-0000-0000-0000E9290000}"/>
    <cellStyle name="Calculation 3 7 2 3 2" xfId="14093" xr:uid="{00000000-0005-0000-0000-0000EA290000}"/>
    <cellStyle name="Calculation 3 7 2 3 3" xfId="14094" xr:uid="{00000000-0005-0000-0000-0000EB290000}"/>
    <cellStyle name="Calculation 3 7 2 4" xfId="14095" xr:uid="{00000000-0005-0000-0000-0000EC290000}"/>
    <cellStyle name="Calculation 3 7 2 4 2" xfId="14096" xr:uid="{00000000-0005-0000-0000-0000ED290000}"/>
    <cellStyle name="Calculation 3 7 2 4 3" xfId="14097" xr:uid="{00000000-0005-0000-0000-0000EE290000}"/>
    <cellStyle name="Calculation 3 7 2 5" xfId="14098" xr:uid="{00000000-0005-0000-0000-0000EF290000}"/>
    <cellStyle name="Calculation 3 7 2 5 2" xfId="14099" xr:uid="{00000000-0005-0000-0000-0000F0290000}"/>
    <cellStyle name="Calculation 3 7 2 5 3" xfId="14100" xr:uid="{00000000-0005-0000-0000-0000F1290000}"/>
    <cellStyle name="Calculation 3 7 2 6" xfId="14101" xr:uid="{00000000-0005-0000-0000-0000F2290000}"/>
    <cellStyle name="Calculation 3 7 2 6 2" xfId="14102" xr:uid="{00000000-0005-0000-0000-0000F3290000}"/>
    <cellStyle name="Calculation 3 7 2 6 3" xfId="14103" xr:uid="{00000000-0005-0000-0000-0000F4290000}"/>
    <cellStyle name="Calculation 3 7 2 7" xfId="14104" xr:uid="{00000000-0005-0000-0000-0000F5290000}"/>
    <cellStyle name="Calculation 3 7 2 7 2" xfId="14105" xr:uid="{00000000-0005-0000-0000-0000F6290000}"/>
    <cellStyle name="Calculation 3 7 2 7 3" xfId="14106" xr:uid="{00000000-0005-0000-0000-0000F7290000}"/>
    <cellStyle name="Calculation 3 7 2 8" xfId="14107" xr:uid="{00000000-0005-0000-0000-0000F8290000}"/>
    <cellStyle name="Calculation 3 7 2 9" xfId="14108" xr:uid="{00000000-0005-0000-0000-0000F9290000}"/>
    <cellStyle name="Calculation 3 7 3" xfId="14109" xr:uid="{00000000-0005-0000-0000-0000FA290000}"/>
    <cellStyle name="Calculation 3 7 3 2" xfId="14110" xr:uid="{00000000-0005-0000-0000-0000FB290000}"/>
    <cellStyle name="Calculation 3 7 3 3" xfId="14111" xr:uid="{00000000-0005-0000-0000-0000FC290000}"/>
    <cellStyle name="Calculation 3 7 4" xfId="14112" xr:uid="{00000000-0005-0000-0000-0000FD290000}"/>
    <cellStyle name="Calculation 3 7 4 2" xfId="14113" xr:uid="{00000000-0005-0000-0000-0000FE290000}"/>
    <cellStyle name="Calculation 3 7 4 3" xfId="14114" xr:uid="{00000000-0005-0000-0000-0000FF290000}"/>
    <cellStyle name="Calculation 3 7 5" xfId="14115" xr:uid="{00000000-0005-0000-0000-0000002A0000}"/>
    <cellStyle name="Calculation 3 7 5 2" xfId="14116" xr:uid="{00000000-0005-0000-0000-0000012A0000}"/>
    <cellStyle name="Calculation 3 7 5 3" xfId="14117" xr:uid="{00000000-0005-0000-0000-0000022A0000}"/>
    <cellStyle name="Calculation 3 7 6" xfId="14118" xr:uid="{00000000-0005-0000-0000-0000032A0000}"/>
    <cellStyle name="Calculation 3 7 6 2" xfId="14119" xr:uid="{00000000-0005-0000-0000-0000042A0000}"/>
    <cellStyle name="Calculation 3 7 6 3" xfId="14120" xr:uid="{00000000-0005-0000-0000-0000052A0000}"/>
    <cellStyle name="Calculation 3 7 7" xfId="14121" xr:uid="{00000000-0005-0000-0000-0000062A0000}"/>
    <cellStyle name="Calculation 3 7 7 2" xfId="14122" xr:uid="{00000000-0005-0000-0000-0000072A0000}"/>
    <cellStyle name="Calculation 3 7 7 3" xfId="14123" xr:uid="{00000000-0005-0000-0000-0000082A0000}"/>
    <cellStyle name="Calculation 3 7 8" xfId="14124" xr:uid="{00000000-0005-0000-0000-0000092A0000}"/>
    <cellStyle name="Calculation 3 7 8 2" xfId="14125" xr:uid="{00000000-0005-0000-0000-00000A2A0000}"/>
    <cellStyle name="Calculation 3 7 8 3" xfId="14126" xr:uid="{00000000-0005-0000-0000-00000B2A0000}"/>
    <cellStyle name="Calculation 3 7 9" xfId="14127" xr:uid="{00000000-0005-0000-0000-00000C2A0000}"/>
    <cellStyle name="Calculation 3 8" xfId="14128" xr:uid="{00000000-0005-0000-0000-00000D2A0000}"/>
    <cellStyle name="Calculation 3 8 10" xfId="14129" xr:uid="{00000000-0005-0000-0000-00000E2A0000}"/>
    <cellStyle name="Calculation 3 8 2" xfId="14130" xr:uid="{00000000-0005-0000-0000-00000F2A0000}"/>
    <cellStyle name="Calculation 3 8 2 2" xfId="14131" xr:uid="{00000000-0005-0000-0000-0000102A0000}"/>
    <cellStyle name="Calculation 3 8 2 2 2" xfId="14132" xr:uid="{00000000-0005-0000-0000-0000112A0000}"/>
    <cellStyle name="Calculation 3 8 2 2 3" xfId="14133" xr:uid="{00000000-0005-0000-0000-0000122A0000}"/>
    <cellStyle name="Calculation 3 8 2 3" xfId="14134" xr:uid="{00000000-0005-0000-0000-0000132A0000}"/>
    <cellStyle name="Calculation 3 8 2 3 2" xfId="14135" xr:uid="{00000000-0005-0000-0000-0000142A0000}"/>
    <cellStyle name="Calculation 3 8 2 3 3" xfId="14136" xr:uid="{00000000-0005-0000-0000-0000152A0000}"/>
    <cellStyle name="Calculation 3 8 2 4" xfId="14137" xr:uid="{00000000-0005-0000-0000-0000162A0000}"/>
    <cellStyle name="Calculation 3 8 2 4 2" xfId="14138" xr:uid="{00000000-0005-0000-0000-0000172A0000}"/>
    <cellStyle name="Calculation 3 8 2 4 3" xfId="14139" xr:uid="{00000000-0005-0000-0000-0000182A0000}"/>
    <cellStyle name="Calculation 3 8 2 5" xfId="14140" xr:uid="{00000000-0005-0000-0000-0000192A0000}"/>
    <cellStyle name="Calculation 3 8 2 5 2" xfId="14141" xr:uid="{00000000-0005-0000-0000-00001A2A0000}"/>
    <cellStyle name="Calculation 3 8 2 5 3" xfId="14142" xr:uid="{00000000-0005-0000-0000-00001B2A0000}"/>
    <cellStyle name="Calculation 3 8 2 6" xfId="14143" xr:uid="{00000000-0005-0000-0000-00001C2A0000}"/>
    <cellStyle name="Calculation 3 8 2 6 2" xfId="14144" xr:uid="{00000000-0005-0000-0000-00001D2A0000}"/>
    <cellStyle name="Calculation 3 8 2 6 3" xfId="14145" xr:uid="{00000000-0005-0000-0000-00001E2A0000}"/>
    <cellStyle name="Calculation 3 8 2 7" xfId="14146" xr:uid="{00000000-0005-0000-0000-00001F2A0000}"/>
    <cellStyle name="Calculation 3 8 2 7 2" xfId="14147" xr:uid="{00000000-0005-0000-0000-0000202A0000}"/>
    <cellStyle name="Calculation 3 8 2 7 3" xfId="14148" xr:uid="{00000000-0005-0000-0000-0000212A0000}"/>
    <cellStyle name="Calculation 3 8 2 8" xfId="14149" xr:uid="{00000000-0005-0000-0000-0000222A0000}"/>
    <cellStyle name="Calculation 3 8 2 9" xfId="14150" xr:uid="{00000000-0005-0000-0000-0000232A0000}"/>
    <cellStyle name="Calculation 3 8 3" xfId="14151" xr:uid="{00000000-0005-0000-0000-0000242A0000}"/>
    <cellStyle name="Calculation 3 8 3 2" xfId="14152" xr:uid="{00000000-0005-0000-0000-0000252A0000}"/>
    <cellStyle name="Calculation 3 8 3 3" xfId="14153" xr:uid="{00000000-0005-0000-0000-0000262A0000}"/>
    <cellStyle name="Calculation 3 8 4" xfId="14154" xr:uid="{00000000-0005-0000-0000-0000272A0000}"/>
    <cellStyle name="Calculation 3 8 4 2" xfId="14155" xr:uid="{00000000-0005-0000-0000-0000282A0000}"/>
    <cellStyle name="Calculation 3 8 4 3" xfId="14156" xr:uid="{00000000-0005-0000-0000-0000292A0000}"/>
    <cellStyle name="Calculation 3 8 5" xfId="14157" xr:uid="{00000000-0005-0000-0000-00002A2A0000}"/>
    <cellStyle name="Calculation 3 8 5 2" xfId="14158" xr:uid="{00000000-0005-0000-0000-00002B2A0000}"/>
    <cellStyle name="Calculation 3 8 5 3" xfId="14159" xr:uid="{00000000-0005-0000-0000-00002C2A0000}"/>
    <cellStyle name="Calculation 3 8 6" xfId="14160" xr:uid="{00000000-0005-0000-0000-00002D2A0000}"/>
    <cellStyle name="Calculation 3 8 6 2" xfId="14161" xr:uid="{00000000-0005-0000-0000-00002E2A0000}"/>
    <cellStyle name="Calculation 3 8 6 3" xfId="14162" xr:uid="{00000000-0005-0000-0000-00002F2A0000}"/>
    <cellStyle name="Calculation 3 8 7" xfId="14163" xr:uid="{00000000-0005-0000-0000-0000302A0000}"/>
    <cellStyle name="Calculation 3 8 7 2" xfId="14164" xr:uid="{00000000-0005-0000-0000-0000312A0000}"/>
    <cellStyle name="Calculation 3 8 7 3" xfId="14165" xr:uid="{00000000-0005-0000-0000-0000322A0000}"/>
    <cellStyle name="Calculation 3 8 8" xfId="14166" xr:uid="{00000000-0005-0000-0000-0000332A0000}"/>
    <cellStyle name="Calculation 3 8 8 2" xfId="14167" xr:uid="{00000000-0005-0000-0000-0000342A0000}"/>
    <cellStyle name="Calculation 3 8 8 3" xfId="14168" xr:uid="{00000000-0005-0000-0000-0000352A0000}"/>
    <cellStyle name="Calculation 3 8 9" xfId="14169" xr:uid="{00000000-0005-0000-0000-0000362A0000}"/>
    <cellStyle name="Calculation 3 9" xfId="14170" xr:uid="{00000000-0005-0000-0000-0000372A0000}"/>
    <cellStyle name="Calculation 3 9 2" xfId="14171" xr:uid="{00000000-0005-0000-0000-0000382A0000}"/>
    <cellStyle name="Calculation 3 9 2 2" xfId="14172" xr:uid="{00000000-0005-0000-0000-0000392A0000}"/>
    <cellStyle name="Calculation 3 9 2 3" xfId="14173" xr:uid="{00000000-0005-0000-0000-00003A2A0000}"/>
    <cellStyle name="Calculation 3 9 3" xfId="14174" xr:uid="{00000000-0005-0000-0000-00003B2A0000}"/>
    <cellStyle name="Calculation 3 9 3 2" xfId="14175" xr:uid="{00000000-0005-0000-0000-00003C2A0000}"/>
    <cellStyle name="Calculation 3 9 3 3" xfId="14176" xr:uid="{00000000-0005-0000-0000-00003D2A0000}"/>
    <cellStyle name="Calculation 3 9 4" xfId="14177" xr:uid="{00000000-0005-0000-0000-00003E2A0000}"/>
    <cellStyle name="Calculation 3 9 4 2" xfId="14178" xr:uid="{00000000-0005-0000-0000-00003F2A0000}"/>
    <cellStyle name="Calculation 3 9 4 3" xfId="14179" xr:uid="{00000000-0005-0000-0000-0000402A0000}"/>
    <cellStyle name="Calculation 3 9 5" xfId="14180" xr:uid="{00000000-0005-0000-0000-0000412A0000}"/>
    <cellStyle name="Calculation 3 9 5 2" xfId="14181" xr:uid="{00000000-0005-0000-0000-0000422A0000}"/>
    <cellStyle name="Calculation 3 9 5 3" xfId="14182" xr:uid="{00000000-0005-0000-0000-0000432A0000}"/>
    <cellStyle name="Calculation 3 9 6" xfId="14183" xr:uid="{00000000-0005-0000-0000-0000442A0000}"/>
    <cellStyle name="Calculation 3 9 6 2" xfId="14184" xr:uid="{00000000-0005-0000-0000-0000452A0000}"/>
    <cellStyle name="Calculation 3 9 6 3" xfId="14185" xr:uid="{00000000-0005-0000-0000-0000462A0000}"/>
    <cellStyle name="Calculation 3 9 7" xfId="14186" xr:uid="{00000000-0005-0000-0000-0000472A0000}"/>
    <cellStyle name="Calculation 3 9 7 2" xfId="14187" xr:uid="{00000000-0005-0000-0000-0000482A0000}"/>
    <cellStyle name="Calculation 3 9 7 3" xfId="14188" xr:uid="{00000000-0005-0000-0000-0000492A0000}"/>
    <cellStyle name="Calculation 3 9 8" xfId="14189" xr:uid="{00000000-0005-0000-0000-00004A2A0000}"/>
    <cellStyle name="Calculation 3 9 9" xfId="14190" xr:uid="{00000000-0005-0000-0000-00004B2A0000}"/>
    <cellStyle name="Calculation 4" xfId="204" xr:uid="{00000000-0005-0000-0000-00004C2A0000}"/>
    <cellStyle name="Calculation 4 10" xfId="14191" xr:uid="{00000000-0005-0000-0000-00004D2A0000}"/>
    <cellStyle name="Calculation 4 10 2" xfId="14192" xr:uid="{00000000-0005-0000-0000-00004E2A0000}"/>
    <cellStyle name="Calculation 4 10 3" xfId="14193" xr:uid="{00000000-0005-0000-0000-00004F2A0000}"/>
    <cellStyle name="Calculation 4 11" xfId="14194" xr:uid="{00000000-0005-0000-0000-0000502A0000}"/>
    <cellStyle name="Calculation 4 11 2" xfId="14195" xr:uid="{00000000-0005-0000-0000-0000512A0000}"/>
    <cellStyle name="Calculation 4 11 3" xfId="14196" xr:uid="{00000000-0005-0000-0000-0000522A0000}"/>
    <cellStyle name="Calculation 4 12" xfId="14197" xr:uid="{00000000-0005-0000-0000-0000532A0000}"/>
    <cellStyle name="Calculation 4 12 2" xfId="14198" xr:uid="{00000000-0005-0000-0000-0000542A0000}"/>
    <cellStyle name="Calculation 4 12 3" xfId="14199" xr:uid="{00000000-0005-0000-0000-0000552A0000}"/>
    <cellStyle name="Calculation 4 13" xfId="14200" xr:uid="{00000000-0005-0000-0000-0000562A0000}"/>
    <cellStyle name="Calculation 4 14" xfId="14201" xr:uid="{00000000-0005-0000-0000-0000572A0000}"/>
    <cellStyle name="Calculation 4 2" xfId="789" xr:uid="{00000000-0005-0000-0000-0000582A0000}"/>
    <cellStyle name="Calculation 4 3" xfId="14202" xr:uid="{00000000-0005-0000-0000-0000592A0000}"/>
    <cellStyle name="Calculation 4 3 10" xfId="14203" xr:uid="{00000000-0005-0000-0000-00005A2A0000}"/>
    <cellStyle name="Calculation 4 3 10 2" xfId="14204" xr:uid="{00000000-0005-0000-0000-00005B2A0000}"/>
    <cellStyle name="Calculation 4 3 10 3" xfId="14205" xr:uid="{00000000-0005-0000-0000-00005C2A0000}"/>
    <cellStyle name="Calculation 4 3 11" xfId="14206" xr:uid="{00000000-0005-0000-0000-00005D2A0000}"/>
    <cellStyle name="Calculation 4 3 11 2" xfId="14207" xr:uid="{00000000-0005-0000-0000-00005E2A0000}"/>
    <cellStyle name="Calculation 4 3 11 3" xfId="14208" xr:uid="{00000000-0005-0000-0000-00005F2A0000}"/>
    <cellStyle name="Calculation 4 3 12" xfId="14209" xr:uid="{00000000-0005-0000-0000-0000602A0000}"/>
    <cellStyle name="Calculation 4 3 12 2" xfId="14210" xr:uid="{00000000-0005-0000-0000-0000612A0000}"/>
    <cellStyle name="Calculation 4 3 12 3" xfId="14211" xr:uid="{00000000-0005-0000-0000-0000622A0000}"/>
    <cellStyle name="Calculation 4 3 13" xfId="14212" xr:uid="{00000000-0005-0000-0000-0000632A0000}"/>
    <cellStyle name="Calculation 4 3 13 2" xfId="14213" xr:uid="{00000000-0005-0000-0000-0000642A0000}"/>
    <cellStyle name="Calculation 4 3 13 3" xfId="14214" xr:uid="{00000000-0005-0000-0000-0000652A0000}"/>
    <cellStyle name="Calculation 4 3 14" xfId="44025" xr:uid="{00000000-0005-0000-0000-0000662A0000}"/>
    <cellStyle name="Calculation 4 3 2" xfId="14215" xr:uid="{00000000-0005-0000-0000-0000672A0000}"/>
    <cellStyle name="Calculation 4 3 2 10" xfId="44026" xr:uid="{00000000-0005-0000-0000-0000682A0000}"/>
    <cellStyle name="Calculation 4 3 2 2" xfId="14216" xr:uid="{00000000-0005-0000-0000-0000692A0000}"/>
    <cellStyle name="Calculation 4 3 2 2 10" xfId="14217" xr:uid="{00000000-0005-0000-0000-00006A2A0000}"/>
    <cellStyle name="Calculation 4 3 2 2 2" xfId="14218" xr:uid="{00000000-0005-0000-0000-00006B2A0000}"/>
    <cellStyle name="Calculation 4 3 2 2 2 2" xfId="14219" xr:uid="{00000000-0005-0000-0000-00006C2A0000}"/>
    <cellStyle name="Calculation 4 3 2 2 2 2 2" xfId="14220" xr:uid="{00000000-0005-0000-0000-00006D2A0000}"/>
    <cellStyle name="Calculation 4 3 2 2 2 2 3" xfId="14221" xr:uid="{00000000-0005-0000-0000-00006E2A0000}"/>
    <cellStyle name="Calculation 4 3 2 2 2 3" xfId="14222" xr:uid="{00000000-0005-0000-0000-00006F2A0000}"/>
    <cellStyle name="Calculation 4 3 2 2 2 3 2" xfId="14223" xr:uid="{00000000-0005-0000-0000-0000702A0000}"/>
    <cellStyle name="Calculation 4 3 2 2 2 3 3" xfId="14224" xr:uid="{00000000-0005-0000-0000-0000712A0000}"/>
    <cellStyle name="Calculation 4 3 2 2 2 4" xfId="14225" xr:uid="{00000000-0005-0000-0000-0000722A0000}"/>
    <cellStyle name="Calculation 4 3 2 2 2 4 2" xfId="14226" xr:uid="{00000000-0005-0000-0000-0000732A0000}"/>
    <cellStyle name="Calculation 4 3 2 2 2 4 3" xfId="14227" xr:uid="{00000000-0005-0000-0000-0000742A0000}"/>
    <cellStyle name="Calculation 4 3 2 2 2 5" xfId="14228" xr:uid="{00000000-0005-0000-0000-0000752A0000}"/>
    <cellStyle name="Calculation 4 3 2 2 2 5 2" xfId="14229" xr:uid="{00000000-0005-0000-0000-0000762A0000}"/>
    <cellStyle name="Calculation 4 3 2 2 2 5 3" xfId="14230" xr:uid="{00000000-0005-0000-0000-0000772A0000}"/>
    <cellStyle name="Calculation 4 3 2 2 2 6" xfId="14231" xr:uid="{00000000-0005-0000-0000-0000782A0000}"/>
    <cellStyle name="Calculation 4 3 2 2 2 6 2" xfId="14232" xr:uid="{00000000-0005-0000-0000-0000792A0000}"/>
    <cellStyle name="Calculation 4 3 2 2 2 6 3" xfId="14233" xr:uid="{00000000-0005-0000-0000-00007A2A0000}"/>
    <cellStyle name="Calculation 4 3 2 2 2 7" xfId="14234" xr:uid="{00000000-0005-0000-0000-00007B2A0000}"/>
    <cellStyle name="Calculation 4 3 2 2 2 7 2" xfId="14235" xr:uid="{00000000-0005-0000-0000-00007C2A0000}"/>
    <cellStyle name="Calculation 4 3 2 2 2 7 3" xfId="14236" xr:uid="{00000000-0005-0000-0000-00007D2A0000}"/>
    <cellStyle name="Calculation 4 3 2 2 2 8" xfId="14237" xr:uid="{00000000-0005-0000-0000-00007E2A0000}"/>
    <cellStyle name="Calculation 4 3 2 2 2 9" xfId="14238" xr:uid="{00000000-0005-0000-0000-00007F2A0000}"/>
    <cellStyle name="Calculation 4 3 2 2 3" xfId="14239" xr:uid="{00000000-0005-0000-0000-0000802A0000}"/>
    <cellStyle name="Calculation 4 3 2 2 3 2" xfId="14240" xr:uid="{00000000-0005-0000-0000-0000812A0000}"/>
    <cellStyle name="Calculation 4 3 2 2 3 3" xfId="14241" xr:uid="{00000000-0005-0000-0000-0000822A0000}"/>
    <cellStyle name="Calculation 4 3 2 2 4" xfId="14242" xr:uid="{00000000-0005-0000-0000-0000832A0000}"/>
    <cellStyle name="Calculation 4 3 2 2 4 2" xfId="14243" xr:uid="{00000000-0005-0000-0000-0000842A0000}"/>
    <cellStyle name="Calculation 4 3 2 2 4 3" xfId="14244" xr:uid="{00000000-0005-0000-0000-0000852A0000}"/>
    <cellStyle name="Calculation 4 3 2 2 5" xfId="14245" xr:uid="{00000000-0005-0000-0000-0000862A0000}"/>
    <cellStyle name="Calculation 4 3 2 2 5 2" xfId="14246" xr:uid="{00000000-0005-0000-0000-0000872A0000}"/>
    <cellStyle name="Calculation 4 3 2 2 5 3" xfId="14247" xr:uid="{00000000-0005-0000-0000-0000882A0000}"/>
    <cellStyle name="Calculation 4 3 2 2 6" xfId="14248" xr:uid="{00000000-0005-0000-0000-0000892A0000}"/>
    <cellStyle name="Calculation 4 3 2 2 6 2" xfId="14249" xr:uid="{00000000-0005-0000-0000-00008A2A0000}"/>
    <cellStyle name="Calculation 4 3 2 2 6 3" xfId="14250" xr:uid="{00000000-0005-0000-0000-00008B2A0000}"/>
    <cellStyle name="Calculation 4 3 2 2 7" xfId="14251" xr:uid="{00000000-0005-0000-0000-00008C2A0000}"/>
    <cellStyle name="Calculation 4 3 2 2 7 2" xfId="14252" xr:uid="{00000000-0005-0000-0000-00008D2A0000}"/>
    <cellStyle name="Calculation 4 3 2 2 7 3" xfId="14253" xr:uid="{00000000-0005-0000-0000-00008E2A0000}"/>
    <cellStyle name="Calculation 4 3 2 2 8" xfId="14254" xr:uid="{00000000-0005-0000-0000-00008F2A0000}"/>
    <cellStyle name="Calculation 4 3 2 2 8 2" xfId="14255" xr:uid="{00000000-0005-0000-0000-0000902A0000}"/>
    <cellStyle name="Calculation 4 3 2 2 8 3" xfId="14256" xr:uid="{00000000-0005-0000-0000-0000912A0000}"/>
    <cellStyle name="Calculation 4 3 2 2 9" xfId="14257" xr:uid="{00000000-0005-0000-0000-0000922A0000}"/>
    <cellStyle name="Calculation 4 3 2 3" xfId="14258" xr:uid="{00000000-0005-0000-0000-0000932A0000}"/>
    <cellStyle name="Calculation 4 3 2 3 10" xfId="14259" xr:uid="{00000000-0005-0000-0000-0000942A0000}"/>
    <cellStyle name="Calculation 4 3 2 3 2" xfId="14260" xr:uid="{00000000-0005-0000-0000-0000952A0000}"/>
    <cellStyle name="Calculation 4 3 2 3 2 2" xfId="14261" xr:uid="{00000000-0005-0000-0000-0000962A0000}"/>
    <cellStyle name="Calculation 4 3 2 3 2 2 2" xfId="14262" xr:uid="{00000000-0005-0000-0000-0000972A0000}"/>
    <cellStyle name="Calculation 4 3 2 3 2 2 3" xfId="14263" xr:uid="{00000000-0005-0000-0000-0000982A0000}"/>
    <cellStyle name="Calculation 4 3 2 3 2 3" xfId="14264" xr:uid="{00000000-0005-0000-0000-0000992A0000}"/>
    <cellStyle name="Calculation 4 3 2 3 2 3 2" xfId="14265" xr:uid="{00000000-0005-0000-0000-00009A2A0000}"/>
    <cellStyle name="Calculation 4 3 2 3 2 3 3" xfId="14266" xr:uid="{00000000-0005-0000-0000-00009B2A0000}"/>
    <cellStyle name="Calculation 4 3 2 3 2 4" xfId="14267" xr:uid="{00000000-0005-0000-0000-00009C2A0000}"/>
    <cellStyle name="Calculation 4 3 2 3 2 4 2" xfId="14268" xr:uid="{00000000-0005-0000-0000-00009D2A0000}"/>
    <cellStyle name="Calculation 4 3 2 3 2 4 3" xfId="14269" xr:uid="{00000000-0005-0000-0000-00009E2A0000}"/>
    <cellStyle name="Calculation 4 3 2 3 2 5" xfId="14270" xr:uid="{00000000-0005-0000-0000-00009F2A0000}"/>
    <cellStyle name="Calculation 4 3 2 3 2 5 2" xfId="14271" xr:uid="{00000000-0005-0000-0000-0000A02A0000}"/>
    <cellStyle name="Calculation 4 3 2 3 2 5 3" xfId="14272" xr:uid="{00000000-0005-0000-0000-0000A12A0000}"/>
    <cellStyle name="Calculation 4 3 2 3 2 6" xfId="14273" xr:uid="{00000000-0005-0000-0000-0000A22A0000}"/>
    <cellStyle name="Calculation 4 3 2 3 2 6 2" xfId="14274" xr:uid="{00000000-0005-0000-0000-0000A32A0000}"/>
    <cellStyle name="Calculation 4 3 2 3 2 6 3" xfId="14275" xr:uid="{00000000-0005-0000-0000-0000A42A0000}"/>
    <cellStyle name="Calculation 4 3 2 3 2 7" xfId="14276" xr:uid="{00000000-0005-0000-0000-0000A52A0000}"/>
    <cellStyle name="Calculation 4 3 2 3 2 7 2" xfId="14277" xr:uid="{00000000-0005-0000-0000-0000A62A0000}"/>
    <cellStyle name="Calculation 4 3 2 3 2 7 3" xfId="14278" xr:uid="{00000000-0005-0000-0000-0000A72A0000}"/>
    <cellStyle name="Calculation 4 3 2 3 2 8" xfId="14279" xr:uid="{00000000-0005-0000-0000-0000A82A0000}"/>
    <cellStyle name="Calculation 4 3 2 3 2 9" xfId="14280" xr:uid="{00000000-0005-0000-0000-0000A92A0000}"/>
    <cellStyle name="Calculation 4 3 2 3 3" xfId="14281" xr:uid="{00000000-0005-0000-0000-0000AA2A0000}"/>
    <cellStyle name="Calculation 4 3 2 3 3 2" xfId="14282" xr:uid="{00000000-0005-0000-0000-0000AB2A0000}"/>
    <cellStyle name="Calculation 4 3 2 3 3 3" xfId="14283" xr:uid="{00000000-0005-0000-0000-0000AC2A0000}"/>
    <cellStyle name="Calculation 4 3 2 3 4" xfId="14284" xr:uid="{00000000-0005-0000-0000-0000AD2A0000}"/>
    <cellStyle name="Calculation 4 3 2 3 4 2" xfId="14285" xr:uid="{00000000-0005-0000-0000-0000AE2A0000}"/>
    <cellStyle name="Calculation 4 3 2 3 4 3" xfId="14286" xr:uid="{00000000-0005-0000-0000-0000AF2A0000}"/>
    <cellStyle name="Calculation 4 3 2 3 5" xfId="14287" xr:uid="{00000000-0005-0000-0000-0000B02A0000}"/>
    <cellStyle name="Calculation 4 3 2 3 5 2" xfId="14288" xr:uid="{00000000-0005-0000-0000-0000B12A0000}"/>
    <cellStyle name="Calculation 4 3 2 3 5 3" xfId="14289" xr:uid="{00000000-0005-0000-0000-0000B22A0000}"/>
    <cellStyle name="Calculation 4 3 2 3 6" xfId="14290" xr:uid="{00000000-0005-0000-0000-0000B32A0000}"/>
    <cellStyle name="Calculation 4 3 2 3 6 2" xfId="14291" xr:uid="{00000000-0005-0000-0000-0000B42A0000}"/>
    <cellStyle name="Calculation 4 3 2 3 6 3" xfId="14292" xr:uid="{00000000-0005-0000-0000-0000B52A0000}"/>
    <cellStyle name="Calculation 4 3 2 3 7" xfId="14293" xr:uid="{00000000-0005-0000-0000-0000B62A0000}"/>
    <cellStyle name="Calculation 4 3 2 3 7 2" xfId="14294" xr:uid="{00000000-0005-0000-0000-0000B72A0000}"/>
    <cellStyle name="Calculation 4 3 2 3 7 3" xfId="14295" xr:uid="{00000000-0005-0000-0000-0000B82A0000}"/>
    <cellStyle name="Calculation 4 3 2 3 8" xfId="14296" xr:uid="{00000000-0005-0000-0000-0000B92A0000}"/>
    <cellStyle name="Calculation 4 3 2 3 8 2" xfId="14297" xr:uid="{00000000-0005-0000-0000-0000BA2A0000}"/>
    <cellStyle name="Calculation 4 3 2 3 8 3" xfId="14298" xr:uid="{00000000-0005-0000-0000-0000BB2A0000}"/>
    <cellStyle name="Calculation 4 3 2 3 9" xfId="14299" xr:uid="{00000000-0005-0000-0000-0000BC2A0000}"/>
    <cellStyle name="Calculation 4 3 2 4" xfId="14300" xr:uid="{00000000-0005-0000-0000-0000BD2A0000}"/>
    <cellStyle name="Calculation 4 3 2 4 10" xfId="14301" xr:uid="{00000000-0005-0000-0000-0000BE2A0000}"/>
    <cellStyle name="Calculation 4 3 2 4 2" xfId="14302" xr:uid="{00000000-0005-0000-0000-0000BF2A0000}"/>
    <cellStyle name="Calculation 4 3 2 4 2 2" xfId="14303" xr:uid="{00000000-0005-0000-0000-0000C02A0000}"/>
    <cellStyle name="Calculation 4 3 2 4 2 2 2" xfId="14304" xr:uid="{00000000-0005-0000-0000-0000C12A0000}"/>
    <cellStyle name="Calculation 4 3 2 4 2 2 3" xfId="14305" xr:uid="{00000000-0005-0000-0000-0000C22A0000}"/>
    <cellStyle name="Calculation 4 3 2 4 2 3" xfId="14306" xr:uid="{00000000-0005-0000-0000-0000C32A0000}"/>
    <cellStyle name="Calculation 4 3 2 4 2 3 2" xfId="14307" xr:uid="{00000000-0005-0000-0000-0000C42A0000}"/>
    <cellStyle name="Calculation 4 3 2 4 2 3 3" xfId="14308" xr:uid="{00000000-0005-0000-0000-0000C52A0000}"/>
    <cellStyle name="Calculation 4 3 2 4 2 4" xfId="14309" xr:uid="{00000000-0005-0000-0000-0000C62A0000}"/>
    <cellStyle name="Calculation 4 3 2 4 2 4 2" xfId="14310" xr:uid="{00000000-0005-0000-0000-0000C72A0000}"/>
    <cellStyle name="Calculation 4 3 2 4 2 4 3" xfId="14311" xr:uid="{00000000-0005-0000-0000-0000C82A0000}"/>
    <cellStyle name="Calculation 4 3 2 4 2 5" xfId="14312" xr:uid="{00000000-0005-0000-0000-0000C92A0000}"/>
    <cellStyle name="Calculation 4 3 2 4 2 5 2" xfId="14313" xr:uid="{00000000-0005-0000-0000-0000CA2A0000}"/>
    <cellStyle name="Calculation 4 3 2 4 2 5 3" xfId="14314" xr:uid="{00000000-0005-0000-0000-0000CB2A0000}"/>
    <cellStyle name="Calculation 4 3 2 4 2 6" xfId="14315" xr:uid="{00000000-0005-0000-0000-0000CC2A0000}"/>
    <cellStyle name="Calculation 4 3 2 4 2 6 2" xfId="14316" xr:uid="{00000000-0005-0000-0000-0000CD2A0000}"/>
    <cellStyle name="Calculation 4 3 2 4 2 6 3" xfId="14317" xr:uid="{00000000-0005-0000-0000-0000CE2A0000}"/>
    <cellStyle name="Calculation 4 3 2 4 2 7" xfId="14318" xr:uid="{00000000-0005-0000-0000-0000CF2A0000}"/>
    <cellStyle name="Calculation 4 3 2 4 2 7 2" xfId="14319" xr:uid="{00000000-0005-0000-0000-0000D02A0000}"/>
    <cellStyle name="Calculation 4 3 2 4 2 7 3" xfId="14320" xr:uid="{00000000-0005-0000-0000-0000D12A0000}"/>
    <cellStyle name="Calculation 4 3 2 4 2 8" xfId="14321" xr:uid="{00000000-0005-0000-0000-0000D22A0000}"/>
    <cellStyle name="Calculation 4 3 2 4 2 9" xfId="14322" xr:uid="{00000000-0005-0000-0000-0000D32A0000}"/>
    <cellStyle name="Calculation 4 3 2 4 3" xfId="14323" xr:uid="{00000000-0005-0000-0000-0000D42A0000}"/>
    <cellStyle name="Calculation 4 3 2 4 3 2" xfId="14324" xr:uid="{00000000-0005-0000-0000-0000D52A0000}"/>
    <cellStyle name="Calculation 4 3 2 4 3 3" xfId="14325" xr:uid="{00000000-0005-0000-0000-0000D62A0000}"/>
    <cellStyle name="Calculation 4 3 2 4 4" xfId="14326" xr:uid="{00000000-0005-0000-0000-0000D72A0000}"/>
    <cellStyle name="Calculation 4 3 2 4 4 2" xfId="14327" xr:uid="{00000000-0005-0000-0000-0000D82A0000}"/>
    <cellStyle name="Calculation 4 3 2 4 4 3" xfId="14328" xr:uid="{00000000-0005-0000-0000-0000D92A0000}"/>
    <cellStyle name="Calculation 4 3 2 4 5" xfId="14329" xr:uid="{00000000-0005-0000-0000-0000DA2A0000}"/>
    <cellStyle name="Calculation 4 3 2 4 5 2" xfId="14330" xr:uid="{00000000-0005-0000-0000-0000DB2A0000}"/>
    <cellStyle name="Calculation 4 3 2 4 5 3" xfId="14331" xr:uid="{00000000-0005-0000-0000-0000DC2A0000}"/>
    <cellStyle name="Calculation 4 3 2 4 6" xfId="14332" xr:uid="{00000000-0005-0000-0000-0000DD2A0000}"/>
    <cellStyle name="Calculation 4 3 2 4 6 2" xfId="14333" xr:uid="{00000000-0005-0000-0000-0000DE2A0000}"/>
    <cellStyle name="Calculation 4 3 2 4 6 3" xfId="14334" xr:uid="{00000000-0005-0000-0000-0000DF2A0000}"/>
    <cellStyle name="Calculation 4 3 2 4 7" xfId="14335" xr:uid="{00000000-0005-0000-0000-0000E02A0000}"/>
    <cellStyle name="Calculation 4 3 2 4 7 2" xfId="14336" xr:uid="{00000000-0005-0000-0000-0000E12A0000}"/>
    <cellStyle name="Calculation 4 3 2 4 7 3" xfId="14337" xr:uid="{00000000-0005-0000-0000-0000E22A0000}"/>
    <cellStyle name="Calculation 4 3 2 4 8" xfId="14338" xr:uid="{00000000-0005-0000-0000-0000E32A0000}"/>
    <cellStyle name="Calculation 4 3 2 4 8 2" xfId="14339" xr:uid="{00000000-0005-0000-0000-0000E42A0000}"/>
    <cellStyle name="Calculation 4 3 2 4 8 3" xfId="14340" xr:uid="{00000000-0005-0000-0000-0000E52A0000}"/>
    <cellStyle name="Calculation 4 3 2 4 9" xfId="14341" xr:uid="{00000000-0005-0000-0000-0000E62A0000}"/>
    <cellStyle name="Calculation 4 3 2 5" xfId="14342" xr:uid="{00000000-0005-0000-0000-0000E72A0000}"/>
    <cellStyle name="Calculation 4 3 2 5 2" xfId="14343" xr:uid="{00000000-0005-0000-0000-0000E82A0000}"/>
    <cellStyle name="Calculation 4 3 2 5 2 2" xfId="14344" xr:uid="{00000000-0005-0000-0000-0000E92A0000}"/>
    <cellStyle name="Calculation 4 3 2 5 2 3" xfId="14345" xr:uid="{00000000-0005-0000-0000-0000EA2A0000}"/>
    <cellStyle name="Calculation 4 3 2 5 3" xfId="14346" xr:uid="{00000000-0005-0000-0000-0000EB2A0000}"/>
    <cellStyle name="Calculation 4 3 2 5 3 2" xfId="14347" xr:uid="{00000000-0005-0000-0000-0000EC2A0000}"/>
    <cellStyle name="Calculation 4 3 2 5 3 3" xfId="14348" xr:uid="{00000000-0005-0000-0000-0000ED2A0000}"/>
    <cellStyle name="Calculation 4 3 2 5 4" xfId="14349" xr:uid="{00000000-0005-0000-0000-0000EE2A0000}"/>
    <cellStyle name="Calculation 4 3 2 5 4 2" xfId="14350" xr:uid="{00000000-0005-0000-0000-0000EF2A0000}"/>
    <cellStyle name="Calculation 4 3 2 5 4 3" xfId="14351" xr:uid="{00000000-0005-0000-0000-0000F02A0000}"/>
    <cellStyle name="Calculation 4 3 2 5 5" xfId="14352" xr:uid="{00000000-0005-0000-0000-0000F12A0000}"/>
    <cellStyle name="Calculation 4 3 2 5 5 2" xfId="14353" xr:uid="{00000000-0005-0000-0000-0000F22A0000}"/>
    <cellStyle name="Calculation 4 3 2 5 5 3" xfId="14354" xr:uid="{00000000-0005-0000-0000-0000F32A0000}"/>
    <cellStyle name="Calculation 4 3 2 5 6" xfId="14355" xr:uid="{00000000-0005-0000-0000-0000F42A0000}"/>
    <cellStyle name="Calculation 4 3 2 5 6 2" xfId="14356" xr:uid="{00000000-0005-0000-0000-0000F52A0000}"/>
    <cellStyle name="Calculation 4 3 2 5 6 3" xfId="14357" xr:uid="{00000000-0005-0000-0000-0000F62A0000}"/>
    <cellStyle name="Calculation 4 3 2 5 7" xfId="14358" xr:uid="{00000000-0005-0000-0000-0000F72A0000}"/>
    <cellStyle name="Calculation 4 3 2 5 7 2" xfId="14359" xr:uid="{00000000-0005-0000-0000-0000F82A0000}"/>
    <cellStyle name="Calculation 4 3 2 5 7 3" xfId="14360" xr:uid="{00000000-0005-0000-0000-0000F92A0000}"/>
    <cellStyle name="Calculation 4 3 2 5 8" xfId="14361" xr:uid="{00000000-0005-0000-0000-0000FA2A0000}"/>
    <cellStyle name="Calculation 4 3 2 5 9" xfId="14362" xr:uid="{00000000-0005-0000-0000-0000FB2A0000}"/>
    <cellStyle name="Calculation 4 3 2 6" xfId="14363" xr:uid="{00000000-0005-0000-0000-0000FC2A0000}"/>
    <cellStyle name="Calculation 4 3 2 6 2" xfId="14364" xr:uid="{00000000-0005-0000-0000-0000FD2A0000}"/>
    <cellStyle name="Calculation 4 3 2 6 3" xfId="14365" xr:uid="{00000000-0005-0000-0000-0000FE2A0000}"/>
    <cellStyle name="Calculation 4 3 2 7" xfId="14366" xr:uid="{00000000-0005-0000-0000-0000FF2A0000}"/>
    <cellStyle name="Calculation 4 3 2 7 2" xfId="14367" xr:uid="{00000000-0005-0000-0000-0000002B0000}"/>
    <cellStyle name="Calculation 4 3 2 7 3" xfId="14368" xr:uid="{00000000-0005-0000-0000-0000012B0000}"/>
    <cellStyle name="Calculation 4 3 2 8" xfId="14369" xr:uid="{00000000-0005-0000-0000-0000022B0000}"/>
    <cellStyle name="Calculation 4 3 2 8 2" xfId="14370" xr:uid="{00000000-0005-0000-0000-0000032B0000}"/>
    <cellStyle name="Calculation 4 3 2 8 3" xfId="14371" xr:uid="{00000000-0005-0000-0000-0000042B0000}"/>
    <cellStyle name="Calculation 4 3 2 9" xfId="14372" xr:uid="{00000000-0005-0000-0000-0000052B0000}"/>
    <cellStyle name="Calculation 4 3 2 9 2" xfId="14373" xr:uid="{00000000-0005-0000-0000-0000062B0000}"/>
    <cellStyle name="Calculation 4 3 2 9 3" xfId="14374" xr:uid="{00000000-0005-0000-0000-0000072B0000}"/>
    <cellStyle name="Calculation 4 3 3" xfId="14375" xr:uid="{00000000-0005-0000-0000-0000082B0000}"/>
    <cellStyle name="Calculation 4 3 3 10" xfId="44027" xr:uid="{00000000-0005-0000-0000-0000092B0000}"/>
    <cellStyle name="Calculation 4 3 3 2" xfId="14376" xr:uid="{00000000-0005-0000-0000-00000A2B0000}"/>
    <cellStyle name="Calculation 4 3 3 2 10" xfId="14377" xr:uid="{00000000-0005-0000-0000-00000B2B0000}"/>
    <cellStyle name="Calculation 4 3 3 2 2" xfId="14378" xr:uid="{00000000-0005-0000-0000-00000C2B0000}"/>
    <cellStyle name="Calculation 4 3 3 2 2 2" xfId="14379" xr:uid="{00000000-0005-0000-0000-00000D2B0000}"/>
    <cellStyle name="Calculation 4 3 3 2 2 2 2" xfId="14380" xr:uid="{00000000-0005-0000-0000-00000E2B0000}"/>
    <cellStyle name="Calculation 4 3 3 2 2 2 3" xfId="14381" xr:uid="{00000000-0005-0000-0000-00000F2B0000}"/>
    <cellStyle name="Calculation 4 3 3 2 2 3" xfId="14382" xr:uid="{00000000-0005-0000-0000-0000102B0000}"/>
    <cellStyle name="Calculation 4 3 3 2 2 3 2" xfId="14383" xr:uid="{00000000-0005-0000-0000-0000112B0000}"/>
    <cellStyle name="Calculation 4 3 3 2 2 3 3" xfId="14384" xr:uid="{00000000-0005-0000-0000-0000122B0000}"/>
    <cellStyle name="Calculation 4 3 3 2 2 4" xfId="14385" xr:uid="{00000000-0005-0000-0000-0000132B0000}"/>
    <cellStyle name="Calculation 4 3 3 2 2 4 2" xfId="14386" xr:uid="{00000000-0005-0000-0000-0000142B0000}"/>
    <cellStyle name="Calculation 4 3 3 2 2 4 3" xfId="14387" xr:uid="{00000000-0005-0000-0000-0000152B0000}"/>
    <cellStyle name="Calculation 4 3 3 2 2 5" xfId="14388" xr:uid="{00000000-0005-0000-0000-0000162B0000}"/>
    <cellStyle name="Calculation 4 3 3 2 2 5 2" xfId="14389" xr:uid="{00000000-0005-0000-0000-0000172B0000}"/>
    <cellStyle name="Calculation 4 3 3 2 2 5 3" xfId="14390" xr:uid="{00000000-0005-0000-0000-0000182B0000}"/>
    <cellStyle name="Calculation 4 3 3 2 2 6" xfId="14391" xr:uid="{00000000-0005-0000-0000-0000192B0000}"/>
    <cellStyle name="Calculation 4 3 3 2 2 6 2" xfId="14392" xr:uid="{00000000-0005-0000-0000-00001A2B0000}"/>
    <cellStyle name="Calculation 4 3 3 2 2 6 3" xfId="14393" xr:uid="{00000000-0005-0000-0000-00001B2B0000}"/>
    <cellStyle name="Calculation 4 3 3 2 2 7" xfId="14394" xr:uid="{00000000-0005-0000-0000-00001C2B0000}"/>
    <cellStyle name="Calculation 4 3 3 2 2 7 2" xfId="14395" xr:uid="{00000000-0005-0000-0000-00001D2B0000}"/>
    <cellStyle name="Calculation 4 3 3 2 2 7 3" xfId="14396" xr:uid="{00000000-0005-0000-0000-00001E2B0000}"/>
    <cellStyle name="Calculation 4 3 3 2 2 8" xfId="14397" xr:uid="{00000000-0005-0000-0000-00001F2B0000}"/>
    <cellStyle name="Calculation 4 3 3 2 2 9" xfId="14398" xr:uid="{00000000-0005-0000-0000-0000202B0000}"/>
    <cellStyle name="Calculation 4 3 3 2 3" xfId="14399" xr:uid="{00000000-0005-0000-0000-0000212B0000}"/>
    <cellStyle name="Calculation 4 3 3 2 3 2" xfId="14400" xr:uid="{00000000-0005-0000-0000-0000222B0000}"/>
    <cellStyle name="Calculation 4 3 3 2 3 3" xfId="14401" xr:uid="{00000000-0005-0000-0000-0000232B0000}"/>
    <cellStyle name="Calculation 4 3 3 2 4" xfId="14402" xr:uid="{00000000-0005-0000-0000-0000242B0000}"/>
    <cellStyle name="Calculation 4 3 3 2 4 2" xfId="14403" xr:uid="{00000000-0005-0000-0000-0000252B0000}"/>
    <cellStyle name="Calculation 4 3 3 2 4 3" xfId="14404" xr:uid="{00000000-0005-0000-0000-0000262B0000}"/>
    <cellStyle name="Calculation 4 3 3 2 5" xfId="14405" xr:uid="{00000000-0005-0000-0000-0000272B0000}"/>
    <cellStyle name="Calculation 4 3 3 2 5 2" xfId="14406" xr:uid="{00000000-0005-0000-0000-0000282B0000}"/>
    <cellStyle name="Calculation 4 3 3 2 5 3" xfId="14407" xr:uid="{00000000-0005-0000-0000-0000292B0000}"/>
    <cellStyle name="Calculation 4 3 3 2 6" xfId="14408" xr:uid="{00000000-0005-0000-0000-00002A2B0000}"/>
    <cellStyle name="Calculation 4 3 3 2 6 2" xfId="14409" xr:uid="{00000000-0005-0000-0000-00002B2B0000}"/>
    <cellStyle name="Calculation 4 3 3 2 6 3" xfId="14410" xr:uid="{00000000-0005-0000-0000-00002C2B0000}"/>
    <cellStyle name="Calculation 4 3 3 2 7" xfId="14411" xr:uid="{00000000-0005-0000-0000-00002D2B0000}"/>
    <cellStyle name="Calculation 4 3 3 2 7 2" xfId="14412" xr:uid="{00000000-0005-0000-0000-00002E2B0000}"/>
    <cellStyle name="Calculation 4 3 3 2 7 3" xfId="14413" xr:uid="{00000000-0005-0000-0000-00002F2B0000}"/>
    <cellStyle name="Calculation 4 3 3 2 8" xfId="14414" xr:uid="{00000000-0005-0000-0000-0000302B0000}"/>
    <cellStyle name="Calculation 4 3 3 2 8 2" xfId="14415" xr:uid="{00000000-0005-0000-0000-0000312B0000}"/>
    <cellStyle name="Calculation 4 3 3 2 8 3" xfId="14416" xr:uid="{00000000-0005-0000-0000-0000322B0000}"/>
    <cellStyle name="Calculation 4 3 3 2 9" xfId="14417" xr:uid="{00000000-0005-0000-0000-0000332B0000}"/>
    <cellStyle name="Calculation 4 3 3 3" xfId="14418" xr:uid="{00000000-0005-0000-0000-0000342B0000}"/>
    <cellStyle name="Calculation 4 3 3 3 10" xfId="14419" xr:uid="{00000000-0005-0000-0000-0000352B0000}"/>
    <cellStyle name="Calculation 4 3 3 3 2" xfId="14420" xr:uid="{00000000-0005-0000-0000-0000362B0000}"/>
    <cellStyle name="Calculation 4 3 3 3 2 2" xfId="14421" xr:uid="{00000000-0005-0000-0000-0000372B0000}"/>
    <cellStyle name="Calculation 4 3 3 3 2 2 2" xfId="14422" xr:uid="{00000000-0005-0000-0000-0000382B0000}"/>
    <cellStyle name="Calculation 4 3 3 3 2 2 3" xfId="14423" xr:uid="{00000000-0005-0000-0000-0000392B0000}"/>
    <cellStyle name="Calculation 4 3 3 3 2 3" xfId="14424" xr:uid="{00000000-0005-0000-0000-00003A2B0000}"/>
    <cellStyle name="Calculation 4 3 3 3 2 3 2" xfId="14425" xr:uid="{00000000-0005-0000-0000-00003B2B0000}"/>
    <cellStyle name="Calculation 4 3 3 3 2 3 3" xfId="14426" xr:uid="{00000000-0005-0000-0000-00003C2B0000}"/>
    <cellStyle name="Calculation 4 3 3 3 2 4" xfId="14427" xr:uid="{00000000-0005-0000-0000-00003D2B0000}"/>
    <cellStyle name="Calculation 4 3 3 3 2 4 2" xfId="14428" xr:uid="{00000000-0005-0000-0000-00003E2B0000}"/>
    <cellStyle name="Calculation 4 3 3 3 2 4 3" xfId="14429" xr:uid="{00000000-0005-0000-0000-00003F2B0000}"/>
    <cellStyle name="Calculation 4 3 3 3 2 5" xfId="14430" xr:uid="{00000000-0005-0000-0000-0000402B0000}"/>
    <cellStyle name="Calculation 4 3 3 3 2 5 2" xfId="14431" xr:uid="{00000000-0005-0000-0000-0000412B0000}"/>
    <cellStyle name="Calculation 4 3 3 3 2 5 3" xfId="14432" xr:uid="{00000000-0005-0000-0000-0000422B0000}"/>
    <cellStyle name="Calculation 4 3 3 3 2 6" xfId="14433" xr:uid="{00000000-0005-0000-0000-0000432B0000}"/>
    <cellStyle name="Calculation 4 3 3 3 2 6 2" xfId="14434" xr:uid="{00000000-0005-0000-0000-0000442B0000}"/>
    <cellStyle name="Calculation 4 3 3 3 2 6 3" xfId="14435" xr:uid="{00000000-0005-0000-0000-0000452B0000}"/>
    <cellStyle name="Calculation 4 3 3 3 2 7" xfId="14436" xr:uid="{00000000-0005-0000-0000-0000462B0000}"/>
    <cellStyle name="Calculation 4 3 3 3 2 7 2" xfId="14437" xr:uid="{00000000-0005-0000-0000-0000472B0000}"/>
    <cellStyle name="Calculation 4 3 3 3 2 7 3" xfId="14438" xr:uid="{00000000-0005-0000-0000-0000482B0000}"/>
    <cellStyle name="Calculation 4 3 3 3 2 8" xfId="14439" xr:uid="{00000000-0005-0000-0000-0000492B0000}"/>
    <cellStyle name="Calculation 4 3 3 3 2 9" xfId="14440" xr:uid="{00000000-0005-0000-0000-00004A2B0000}"/>
    <cellStyle name="Calculation 4 3 3 3 3" xfId="14441" xr:uid="{00000000-0005-0000-0000-00004B2B0000}"/>
    <cellStyle name="Calculation 4 3 3 3 3 2" xfId="14442" xr:uid="{00000000-0005-0000-0000-00004C2B0000}"/>
    <cellStyle name="Calculation 4 3 3 3 3 3" xfId="14443" xr:uid="{00000000-0005-0000-0000-00004D2B0000}"/>
    <cellStyle name="Calculation 4 3 3 3 4" xfId="14444" xr:uid="{00000000-0005-0000-0000-00004E2B0000}"/>
    <cellStyle name="Calculation 4 3 3 3 4 2" xfId="14445" xr:uid="{00000000-0005-0000-0000-00004F2B0000}"/>
    <cellStyle name="Calculation 4 3 3 3 4 3" xfId="14446" xr:uid="{00000000-0005-0000-0000-0000502B0000}"/>
    <cellStyle name="Calculation 4 3 3 3 5" xfId="14447" xr:uid="{00000000-0005-0000-0000-0000512B0000}"/>
    <cellStyle name="Calculation 4 3 3 3 5 2" xfId="14448" xr:uid="{00000000-0005-0000-0000-0000522B0000}"/>
    <cellStyle name="Calculation 4 3 3 3 5 3" xfId="14449" xr:uid="{00000000-0005-0000-0000-0000532B0000}"/>
    <cellStyle name="Calculation 4 3 3 3 6" xfId="14450" xr:uid="{00000000-0005-0000-0000-0000542B0000}"/>
    <cellStyle name="Calculation 4 3 3 3 6 2" xfId="14451" xr:uid="{00000000-0005-0000-0000-0000552B0000}"/>
    <cellStyle name="Calculation 4 3 3 3 6 3" xfId="14452" xr:uid="{00000000-0005-0000-0000-0000562B0000}"/>
    <cellStyle name="Calculation 4 3 3 3 7" xfId="14453" xr:uid="{00000000-0005-0000-0000-0000572B0000}"/>
    <cellStyle name="Calculation 4 3 3 3 7 2" xfId="14454" xr:uid="{00000000-0005-0000-0000-0000582B0000}"/>
    <cellStyle name="Calculation 4 3 3 3 7 3" xfId="14455" xr:uid="{00000000-0005-0000-0000-0000592B0000}"/>
    <cellStyle name="Calculation 4 3 3 3 8" xfId="14456" xr:uid="{00000000-0005-0000-0000-00005A2B0000}"/>
    <cellStyle name="Calculation 4 3 3 3 8 2" xfId="14457" xr:uid="{00000000-0005-0000-0000-00005B2B0000}"/>
    <cellStyle name="Calculation 4 3 3 3 8 3" xfId="14458" xr:uid="{00000000-0005-0000-0000-00005C2B0000}"/>
    <cellStyle name="Calculation 4 3 3 3 9" xfId="14459" xr:uid="{00000000-0005-0000-0000-00005D2B0000}"/>
    <cellStyle name="Calculation 4 3 3 4" xfId="14460" xr:uid="{00000000-0005-0000-0000-00005E2B0000}"/>
    <cellStyle name="Calculation 4 3 3 4 10" xfId="14461" xr:uid="{00000000-0005-0000-0000-00005F2B0000}"/>
    <cellStyle name="Calculation 4 3 3 4 2" xfId="14462" xr:uid="{00000000-0005-0000-0000-0000602B0000}"/>
    <cellStyle name="Calculation 4 3 3 4 2 2" xfId="14463" xr:uid="{00000000-0005-0000-0000-0000612B0000}"/>
    <cellStyle name="Calculation 4 3 3 4 2 2 2" xfId="14464" xr:uid="{00000000-0005-0000-0000-0000622B0000}"/>
    <cellStyle name="Calculation 4 3 3 4 2 2 3" xfId="14465" xr:uid="{00000000-0005-0000-0000-0000632B0000}"/>
    <cellStyle name="Calculation 4 3 3 4 2 3" xfId="14466" xr:uid="{00000000-0005-0000-0000-0000642B0000}"/>
    <cellStyle name="Calculation 4 3 3 4 2 3 2" xfId="14467" xr:uid="{00000000-0005-0000-0000-0000652B0000}"/>
    <cellStyle name="Calculation 4 3 3 4 2 3 3" xfId="14468" xr:uid="{00000000-0005-0000-0000-0000662B0000}"/>
    <cellStyle name="Calculation 4 3 3 4 2 4" xfId="14469" xr:uid="{00000000-0005-0000-0000-0000672B0000}"/>
    <cellStyle name="Calculation 4 3 3 4 2 4 2" xfId="14470" xr:uid="{00000000-0005-0000-0000-0000682B0000}"/>
    <cellStyle name="Calculation 4 3 3 4 2 4 3" xfId="14471" xr:uid="{00000000-0005-0000-0000-0000692B0000}"/>
    <cellStyle name="Calculation 4 3 3 4 2 5" xfId="14472" xr:uid="{00000000-0005-0000-0000-00006A2B0000}"/>
    <cellStyle name="Calculation 4 3 3 4 2 5 2" xfId="14473" xr:uid="{00000000-0005-0000-0000-00006B2B0000}"/>
    <cellStyle name="Calculation 4 3 3 4 2 5 3" xfId="14474" xr:uid="{00000000-0005-0000-0000-00006C2B0000}"/>
    <cellStyle name="Calculation 4 3 3 4 2 6" xfId="14475" xr:uid="{00000000-0005-0000-0000-00006D2B0000}"/>
    <cellStyle name="Calculation 4 3 3 4 2 6 2" xfId="14476" xr:uid="{00000000-0005-0000-0000-00006E2B0000}"/>
    <cellStyle name="Calculation 4 3 3 4 2 6 3" xfId="14477" xr:uid="{00000000-0005-0000-0000-00006F2B0000}"/>
    <cellStyle name="Calculation 4 3 3 4 2 7" xfId="14478" xr:uid="{00000000-0005-0000-0000-0000702B0000}"/>
    <cellStyle name="Calculation 4 3 3 4 2 7 2" xfId="14479" xr:uid="{00000000-0005-0000-0000-0000712B0000}"/>
    <cellStyle name="Calculation 4 3 3 4 2 7 3" xfId="14480" xr:uid="{00000000-0005-0000-0000-0000722B0000}"/>
    <cellStyle name="Calculation 4 3 3 4 2 8" xfId="14481" xr:uid="{00000000-0005-0000-0000-0000732B0000}"/>
    <cellStyle name="Calculation 4 3 3 4 2 9" xfId="14482" xr:uid="{00000000-0005-0000-0000-0000742B0000}"/>
    <cellStyle name="Calculation 4 3 3 4 3" xfId="14483" xr:uid="{00000000-0005-0000-0000-0000752B0000}"/>
    <cellStyle name="Calculation 4 3 3 4 3 2" xfId="14484" xr:uid="{00000000-0005-0000-0000-0000762B0000}"/>
    <cellStyle name="Calculation 4 3 3 4 3 3" xfId="14485" xr:uid="{00000000-0005-0000-0000-0000772B0000}"/>
    <cellStyle name="Calculation 4 3 3 4 4" xfId="14486" xr:uid="{00000000-0005-0000-0000-0000782B0000}"/>
    <cellStyle name="Calculation 4 3 3 4 4 2" xfId="14487" xr:uid="{00000000-0005-0000-0000-0000792B0000}"/>
    <cellStyle name="Calculation 4 3 3 4 4 3" xfId="14488" xr:uid="{00000000-0005-0000-0000-00007A2B0000}"/>
    <cellStyle name="Calculation 4 3 3 4 5" xfId="14489" xr:uid="{00000000-0005-0000-0000-00007B2B0000}"/>
    <cellStyle name="Calculation 4 3 3 4 5 2" xfId="14490" xr:uid="{00000000-0005-0000-0000-00007C2B0000}"/>
    <cellStyle name="Calculation 4 3 3 4 5 3" xfId="14491" xr:uid="{00000000-0005-0000-0000-00007D2B0000}"/>
    <cellStyle name="Calculation 4 3 3 4 6" xfId="14492" xr:uid="{00000000-0005-0000-0000-00007E2B0000}"/>
    <cellStyle name="Calculation 4 3 3 4 6 2" xfId="14493" xr:uid="{00000000-0005-0000-0000-00007F2B0000}"/>
    <cellStyle name="Calculation 4 3 3 4 6 3" xfId="14494" xr:uid="{00000000-0005-0000-0000-0000802B0000}"/>
    <cellStyle name="Calculation 4 3 3 4 7" xfId="14495" xr:uid="{00000000-0005-0000-0000-0000812B0000}"/>
    <cellStyle name="Calculation 4 3 3 4 7 2" xfId="14496" xr:uid="{00000000-0005-0000-0000-0000822B0000}"/>
    <cellStyle name="Calculation 4 3 3 4 7 3" xfId="14497" xr:uid="{00000000-0005-0000-0000-0000832B0000}"/>
    <cellStyle name="Calculation 4 3 3 4 8" xfId="14498" xr:uid="{00000000-0005-0000-0000-0000842B0000}"/>
    <cellStyle name="Calculation 4 3 3 4 8 2" xfId="14499" xr:uid="{00000000-0005-0000-0000-0000852B0000}"/>
    <cellStyle name="Calculation 4 3 3 4 8 3" xfId="14500" xr:uid="{00000000-0005-0000-0000-0000862B0000}"/>
    <cellStyle name="Calculation 4 3 3 4 9" xfId="14501" xr:uid="{00000000-0005-0000-0000-0000872B0000}"/>
    <cellStyle name="Calculation 4 3 3 5" xfId="14502" xr:uid="{00000000-0005-0000-0000-0000882B0000}"/>
    <cellStyle name="Calculation 4 3 3 5 2" xfId="14503" xr:uid="{00000000-0005-0000-0000-0000892B0000}"/>
    <cellStyle name="Calculation 4 3 3 5 2 2" xfId="14504" xr:uid="{00000000-0005-0000-0000-00008A2B0000}"/>
    <cellStyle name="Calculation 4 3 3 5 2 3" xfId="14505" xr:uid="{00000000-0005-0000-0000-00008B2B0000}"/>
    <cellStyle name="Calculation 4 3 3 5 3" xfId="14506" xr:uid="{00000000-0005-0000-0000-00008C2B0000}"/>
    <cellStyle name="Calculation 4 3 3 5 3 2" xfId="14507" xr:uid="{00000000-0005-0000-0000-00008D2B0000}"/>
    <cellStyle name="Calculation 4 3 3 5 3 3" xfId="14508" xr:uid="{00000000-0005-0000-0000-00008E2B0000}"/>
    <cellStyle name="Calculation 4 3 3 5 4" xfId="14509" xr:uid="{00000000-0005-0000-0000-00008F2B0000}"/>
    <cellStyle name="Calculation 4 3 3 5 4 2" xfId="14510" xr:uid="{00000000-0005-0000-0000-0000902B0000}"/>
    <cellStyle name="Calculation 4 3 3 5 4 3" xfId="14511" xr:uid="{00000000-0005-0000-0000-0000912B0000}"/>
    <cellStyle name="Calculation 4 3 3 5 5" xfId="14512" xr:uid="{00000000-0005-0000-0000-0000922B0000}"/>
    <cellStyle name="Calculation 4 3 3 5 5 2" xfId="14513" xr:uid="{00000000-0005-0000-0000-0000932B0000}"/>
    <cellStyle name="Calculation 4 3 3 5 5 3" xfId="14514" xr:uid="{00000000-0005-0000-0000-0000942B0000}"/>
    <cellStyle name="Calculation 4 3 3 5 6" xfId="14515" xr:uid="{00000000-0005-0000-0000-0000952B0000}"/>
    <cellStyle name="Calculation 4 3 3 5 6 2" xfId="14516" xr:uid="{00000000-0005-0000-0000-0000962B0000}"/>
    <cellStyle name="Calculation 4 3 3 5 6 3" xfId="14517" xr:uid="{00000000-0005-0000-0000-0000972B0000}"/>
    <cellStyle name="Calculation 4 3 3 5 7" xfId="14518" xr:uid="{00000000-0005-0000-0000-0000982B0000}"/>
    <cellStyle name="Calculation 4 3 3 5 7 2" xfId="14519" xr:uid="{00000000-0005-0000-0000-0000992B0000}"/>
    <cellStyle name="Calculation 4 3 3 5 7 3" xfId="14520" xr:uid="{00000000-0005-0000-0000-00009A2B0000}"/>
    <cellStyle name="Calculation 4 3 3 5 8" xfId="14521" xr:uid="{00000000-0005-0000-0000-00009B2B0000}"/>
    <cellStyle name="Calculation 4 3 3 5 9" xfId="14522" xr:uid="{00000000-0005-0000-0000-00009C2B0000}"/>
    <cellStyle name="Calculation 4 3 3 6" xfId="14523" xr:uid="{00000000-0005-0000-0000-00009D2B0000}"/>
    <cellStyle name="Calculation 4 3 3 6 2" xfId="14524" xr:uid="{00000000-0005-0000-0000-00009E2B0000}"/>
    <cellStyle name="Calculation 4 3 3 6 3" xfId="14525" xr:uid="{00000000-0005-0000-0000-00009F2B0000}"/>
    <cellStyle name="Calculation 4 3 3 7" xfId="14526" xr:uid="{00000000-0005-0000-0000-0000A02B0000}"/>
    <cellStyle name="Calculation 4 3 3 7 2" xfId="14527" xr:uid="{00000000-0005-0000-0000-0000A12B0000}"/>
    <cellStyle name="Calculation 4 3 3 7 3" xfId="14528" xr:uid="{00000000-0005-0000-0000-0000A22B0000}"/>
    <cellStyle name="Calculation 4 3 3 8" xfId="14529" xr:uid="{00000000-0005-0000-0000-0000A32B0000}"/>
    <cellStyle name="Calculation 4 3 3 8 2" xfId="14530" xr:uid="{00000000-0005-0000-0000-0000A42B0000}"/>
    <cellStyle name="Calculation 4 3 3 8 3" xfId="14531" xr:uid="{00000000-0005-0000-0000-0000A52B0000}"/>
    <cellStyle name="Calculation 4 3 3 9" xfId="14532" xr:uid="{00000000-0005-0000-0000-0000A62B0000}"/>
    <cellStyle name="Calculation 4 3 3 9 2" xfId="14533" xr:uid="{00000000-0005-0000-0000-0000A72B0000}"/>
    <cellStyle name="Calculation 4 3 3 9 3" xfId="14534" xr:uid="{00000000-0005-0000-0000-0000A82B0000}"/>
    <cellStyle name="Calculation 4 3 4" xfId="14535" xr:uid="{00000000-0005-0000-0000-0000A92B0000}"/>
    <cellStyle name="Calculation 4 3 4 10" xfId="44028" xr:uid="{00000000-0005-0000-0000-0000AA2B0000}"/>
    <cellStyle name="Calculation 4 3 4 2" xfId="14536" xr:uid="{00000000-0005-0000-0000-0000AB2B0000}"/>
    <cellStyle name="Calculation 4 3 4 2 10" xfId="14537" xr:uid="{00000000-0005-0000-0000-0000AC2B0000}"/>
    <cellStyle name="Calculation 4 3 4 2 2" xfId="14538" xr:uid="{00000000-0005-0000-0000-0000AD2B0000}"/>
    <cellStyle name="Calculation 4 3 4 2 2 2" xfId="14539" xr:uid="{00000000-0005-0000-0000-0000AE2B0000}"/>
    <cellStyle name="Calculation 4 3 4 2 2 2 2" xfId="14540" xr:uid="{00000000-0005-0000-0000-0000AF2B0000}"/>
    <cellStyle name="Calculation 4 3 4 2 2 2 3" xfId="14541" xr:uid="{00000000-0005-0000-0000-0000B02B0000}"/>
    <cellStyle name="Calculation 4 3 4 2 2 3" xfId="14542" xr:uid="{00000000-0005-0000-0000-0000B12B0000}"/>
    <cellStyle name="Calculation 4 3 4 2 2 3 2" xfId="14543" xr:uid="{00000000-0005-0000-0000-0000B22B0000}"/>
    <cellStyle name="Calculation 4 3 4 2 2 3 3" xfId="14544" xr:uid="{00000000-0005-0000-0000-0000B32B0000}"/>
    <cellStyle name="Calculation 4 3 4 2 2 4" xfId="14545" xr:uid="{00000000-0005-0000-0000-0000B42B0000}"/>
    <cellStyle name="Calculation 4 3 4 2 2 4 2" xfId="14546" xr:uid="{00000000-0005-0000-0000-0000B52B0000}"/>
    <cellStyle name="Calculation 4 3 4 2 2 4 3" xfId="14547" xr:uid="{00000000-0005-0000-0000-0000B62B0000}"/>
    <cellStyle name="Calculation 4 3 4 2 2 5" xfId="14548" xr:uid="{00000000-0005-0000-0000-0000B72B0000}"/>
    <cellStyle name="Calculation 4 3 4 2 2 5 2" xfId="14549" xr:uid="{00000000-0005-0000-0000-0000B82B0000}"/>
    <cellStyle name="Calculation 4 3 4 2 2 5 3" xfId="14550" xr:uid="{00000000-0005-0000-0000-0000B92B0000}"/>
    <cellStyle name="Calculation 4 3 4 2 2 6" xfId="14551" xr:uid="{00000000-0005-0000-0000-0000BA2B0000}"/>
    <cellStyle name="Calculation 4 3 4 2 2 6 2" xfId="14552" xr:uid="{00000000-0005-0000-0000-0000BB2B0000}"/>
    <cellStyle name="Calculation 4 3 4 2 2 6 3" xfId="14553" xr:uid="{00000000-0005-0000-0000-0000BC2B0000}"/>
    <cellStyle name="Calculation 4 3 4 2 2 7" xfId="14554" xr:uid="{00000000-0005-0000-0000-0000BD2B0000}"/>
    <cellStyle name="Calculation 4 3 4 2 2 7 2" xfId="14555" xr:uid="{00000000-0005-0000-0000-0000BE2B0000}"/>
    <cellStyle name="Calculation 4 3 4 2 2 7 3" xfId="14556" xr:uid="{00000000-0005-0000-0000-0000BF2B0000}"/>
    <cellStyle name="Calculation 4 3 4 2 2 8" xfId="14557" xr:uid="{00000000-0005-0000-0000-0000C02B0000}"/>
    <cellStyle name="Calculation 4 3 4 2 2 9" xfId="14558" xr:uid="{00000000-0005-0000-0000-0000C12B0000}"/>
    <cellStyle name="Calculation 4 3 4 2 3" xfId="14559" xr:uid="{00000000-0005-0000-0000-0000C22B0000}"/>
    <cellStyle name="Calculation 4 3 4 2 3 2" xfId="14560" xr:uid="{00000000-0005-0000-0000-0000C32B0000}"/>
    <cellStyle name="Calculation 4 3 4 2 3 3" xfId="14561" xr:uid="{00000000-0005-0000-0000-0000C42B0000}"/>
    <cellStyle name="Calculation 4 3 4 2 4" xfId="14562" xr:uid="{00000000-0005-0000-0000-0000C52B0000}"/>
    <cellStyle name="Calculation 4 3 4 2 4 2" xfId="14563" xr:uid="{00000000-0005-0000-0000-0000C62B0000}"/>
    <cellStyle name="Calculation 4 3 4 2 4 3" xfId="14564" xr:uid="{00000000-0005-0000-0000-0000C72B0000}"/>
    <cellStyle name="Calculation 4 3 4 2 5" xfId="14565" xr:uid="{00000000-0005-0000-0000-0000C82B0000}"/>
    <cellStyle name="Calculation 4 3 4 2 5 2" xfId="14566" xr:uid="{00000000-0005-0000-0000-0000C92B0000}"/>
    <cellStyle name="Calculation 4 3 4 2 5 3" xfId="14567" xr:uid="{00000000-0005-0000-0000-0000CA2B0000}"/>
    <cellStyle name="Calculation 4 3 4 2 6" xfId="14568" xr:uid="{00000000-0005-0000-0000-0000CB2B0000}"/>
    <cellStyle name="Calculation 4 3 4 2 6 2" xfId="14569" xr:uid="{00000000-0005-0000-0000-0000CC2B0000}"/>
    <cellStyle name="Calculation 4 3 4 2 6 3" xfId="14570" xr:uid="{00000000-0005-0000-0000-0000CD2B0000}"/>
    <cellStyle name="Calculation 4 3 4 2 7" xfId="14571" xr:uid="{00000000-0005-0000-0000-0000CE2B0000}"/>
    <cellStyle name="Calculation 4 3 4 2 7 2" xfId="14572" xr:uid="{00000000-0005-0000-0000-0000CF2B0000}"/>
    <cellStyle name="Calculation 4 3 4 2 7 3" xfId="14573" xr:uid="{00000000-0005-0000-0000-0000D02B0000}"/>
    <cellStyle name="Calculation 4 3 4 2 8" xfId="14574" xr:uid="{00000000-0005-0000-0000-0000D12B0000}"/>
    <cellStyle name="Calculation 4 3 4 2 8 2" xfId="14575" xr:uid="{00000000-0005-0000-0000-0000D22B0000}"/>
    <cellStyle name="Calculation 4 3 4 2 8 3" xfId="14576" xr:uid="{00000000-0005-0000-0000-0000D32B0000}"/>
    <cellStyle name="Calculation 4 3 4 2 9" xfId="14577" xr:uid="{00000000-0005-0000-0000-0000D42B0000}"/>
    <cellStyle name="Calculation 4 3 4 3" xfId="14578" xr:uid="{00000000-0005-0000-0000-0000D52B0000}"/>
    <cellStyle name="Calculation 4 3 4 3 10" xfId="14579" xr:uid="{00000000-0005-0000-0000-0000D62B0000}"/>
    <cellStyle name="Calculation 4 3 4 3 2" xfId="14580" xr:uid="{00000000-0005-0000-0000-0000D72B0000}"/>
    <cellStyle name="Calculation 4 3 4 3 2 2" xfId="14581" xr:uid="{00000000-0005-0000-0000-0000D82B0000}"/>
    <cellStyle name="Calculation 4 3 4 3 2 2 2" xfId="14582" xr:uid="{00000000-0005-0000-0000-0000D92B0000}"/>
    <cellStyle name="Calculation 4 3 4 3 2 2 3" xfId="14583" xr:uid="{00000000-0005-0000-0000-0000DA2B0000}"/>
    <cellStyle name="Calculation 4 3 4 3 2 3" xfId="14584" xr:uid="{00000000-0005-0000-0000-0000DB2B0000}"/>
    <cellStyle name="Calculation 4 3 4 3 2 3 2" xfId="14585" xr:uid="{00000000-0005-0000-0000-0000DC2B0000}"/>
    <cellStyle name="Calculation 4 3 4 3 2 3 3" xfId="14586" xr:uid="{00000000-0005-0000-0000-0000DD2B0000}"/>
    <cellStyle name="Calculation 4 3 4 3 2 4" xfId="14587" xr:uid="{00000000-0005-0000-0000-0000DE2B0000}"/>
    <cellStyle name="Calculation 4 3 4 3 2 4 2" xfId="14588" xr:uid="{00000000-0005-0000-0000-0000DF2B0000}"/>
    <cellStyle name="Calculation 4 3 4 3 2 4 3" xfId="14589" xr:uid="{00000000-0005-0000-0000-0000E02B0000}"/>
    <cellStyle name="Calculation 4 3 4 3 2 5" xfId="14590" xr:uid="{00000000-0005-0000-0000-0000E12B0000}"/>
    <cellStyle name="Calculation 4 3 4 3 2 5 2" xfId="14591" xr:uid="{00000000-0005-0000-0000-0000E22B0000}"/>
    <cellStyle name="Calculation 4 3 4 3 2 5 3" xfId="14592" xr:uid="{00000000-0005-0000-0000-0000E32B0000}"/>
    <cellStyle name="Calculation 4 3 4 3 2 6" xfId="14593" xr:uid="{00000000-0005-0000-0000-0000E42B0000}"/>
    <cellStyle name="Calculation 4 3 4 3 2 6 2" xfId="14594" xr:uid="{00000000-0005-0000-0000-0000E52B0000}"/>
    <cellStyle name="Calculation 4 3 4 3 2 6 3" xfId="14595" xr:uid="{00000000-0005-0000-0000-0000E62B0000}"/>
    <cellStyle name="Calculation 4 3 4 3 2 7" xfId="14596" xr:uid="{00000000-0005-0000-0000-0000E72B0000}"/>
    <cellStyle name="Calculation 4 3 4 3 2 7 2" xfId="14597" xr:uid="{00000000-0005-0000-0000-0000E82B0000}"/>
    <cellStyle name="Calculation 4 3 4 3 2 7 3" xfId="14598" xr:uid="{00000000-0005-0000-0000-0000E92B0000}"/>
    <cellStyle name="Calculation 4 3 4 3 2 8" xfId="14599" xr:uid="{00000000-0005-0000-0000-0000EA2B0000}"/>
    <cellStyle name="Calculation 4 3 4 3 2 9" xfId="14600" xr:uid="{00000000-0005-0000-0000-0000EB2B0000}"/>
    <cellStyle name="Calculation 4 3 4 3 3" xfId="14601" xr:uid="{00000000-0005-0000-0000-0000EC2B0000}"/>
    <cellStyle name="Calculation 4 3 4 3 3 2" xfId="14602" xr:uid="{00000000-0005-0000-0000-0000ED2B0000}"/>
    <cellStyle name="Calculation 4 3 4 3 3 3" xfId="14603" xr:uid="{00000000-0005-0000-0000-0000EE2B0000}"/>
    <cellStyle name="Calculation 4 3 4 3 4" xfId="14604" xr:uid="{00000000-0005-0000-0000-0000EF2B0000}"/>
    <cellStyle name="Calculation 4 3 4 3 4 2" xfId="14605" xr:uid="{00000000-0005-0000-0000-0000F02B0000}"/>
    <cellStyle name="Calculation 4 3 4 3 4 3" xfId="14606" xr:uid="{00000000-0005-0000-0000-0000F12B0000}"/>
    <cellStyle name="Calculation 4 3 4 3 5" xfId="14607" xr:uid="{00000000-0005-0000-0000-0000F22B0000}"/>
    <cellStyle name="Calculation 4 3 4 3 5 2" xfId="14608" xr:uid="{00000000-0005-0000-0000-0000F32B0000}"/>
    <cellStyle name="Calculation 4 3 4 3 5 3" xfId="14609" xr:uid="{00000000-0005-0000-0000-0000F42B0000}"/>
    <cellStyle name="Calculation 4 3 4 3 6" xfId="14610" xr:uid="{00000000-0005-0000-0000-0000F52B0000}"/>
    <cellStyle name="Calculation 4 3 4 3 6 2" xfId="14611" xr:uid="{00000000-0005-0000-0000-0000F62B0000}"/>
    <cellStyle name="Calculation 4 3 4 3 6 3" xfId="14612" xr:uid="{00000000-0005-0000-0000-0000F72B0000}"/>
    <cellStyle name="Calculation 4 3 4 3 7" xfId="14613" xr:uid="{00000000-0005-0000-0000-0000F82B0000}"/>
    <cellStyle name="Calculation 4 3 4 3 7 2" xfId="14614" xr:uid="{00000000-0005-0000-0000-0000F92B0000}"/>
    <cellStyle name="Calculation 4 3 4 3 7 3" xfId="14615" xr:uid="{00000000-0005-0000-0000-0000FA2B0000}"/>
    <cellStyle name="Calculation 4 3 4 3 8" xfId="14616" xr:uid="{00000000-0005-0000-0000-0000FB2B0000}"/>
    <cellStyle name="Calculation 4 3 4 3 8 2" xfId="14617" xr:uid="{00000000-0005-0000-0000-0000FC2B0000}"/>
    <cellStyle name="Calculation 4 3 4 3 8 3" xfId="14618" xr:uid="{00000000-0005-0000-0000-0000FD2B0000}"/>
    <cellStyle name="Calculation 4 3 4 3 9" xfId="14619" xr:uid="{00000000-0005-0000-0000-0000FE2B0000}"/>
    <cellStyle name="Calculation 4 3 4 4" xfId="14620" xr:uid="{00000000-0005-0000-0000-0000FF2B0000}"/>
    <cellStyle name="Calculation 4 3 4 4 10" xfId="14621" xr:uid="{00000000-0005-0000-0000-0000002C0000}"/>
    <cellStyle name="Calculation 4 3 4 4 2" xfId="14622" xr:uid="{00000000-0005-0000-0000-0000012C0000}"/>
    <cellStyle name="Calculation 4 3 4 4 2 2" xfId="14623" xr:uid="{00000000-0005-0000-0000-0000022C0000}"/>
    <cellStyle name="Calculation 4 3 4 4 2 2 2" xfId="14624" xr:uid="{00000000-0005-0000-0000-0000032C0000}"/>
    <cellStyle name="Calculation 4 3 4 4 2 2 3" xfId="14625" xr:uid="{00000000-0005-0000-0000-0000042C0000}"/>
    <cellStyle name="Calculation 4 3 4 4 2 3" xfId="14626" xr:uid="{00000000-0005-0000-0000-0000052C0000}"/>
    <cellStyle name="Calculation 4 3 4 4 2 3 2" xfId="14627" xr:uid="{00000000-0005-0000-0000-0000062C0000}"/>
    <cellStyle name="Calculation 4 3 4 4 2 3 3" xfId="14628" xr:uid="{00000000-0005-0000-0000-0000072C0000}"/>
    <cellStyle name="Calculation 4 3 4 4 2 4" xfId="14629" xr:uid="{00000000-0005-0000-0000-0000082C0000}"/>
    <cellStyle name="Calculation 4 3 4 4 2 4 2" xfId="14630" xr:uid="{00000000-0005-0000-0000-0000092C0000}"/>
    <cellStyle name="Calculation 4 3 4 4 2 4 3" xfId="14631" xr:uid="{00000000-0005-0000-0000-00000A2C0000}"/>
    <cellStyle name="Calculation 4 3 4 4 2 5" xfId="14632" xr:uid="{00000000-0005-0000-0000-00000B2C0000}"/>
    <cellStyle name="Calculation 4 3 4 4 2 5 2" xfId="14633" xr:uid="{00000000-0005-0000-0000-00000C2C0000}"/>
    <cellStyle name="Calculation 4 3 4 4 2 5 3" xfId="14634" xr:uid="{00000000-0005-0000-0000-00000D2C0000}"/>
    <cellStyle name="Calculation 4 3 4 4 2 6" xfId="14635" xr:uid="{00000000-0005-0000-0000-00000E2C0000}"/>
    <cellStyle name="Calculation 4 3 4 4 2 6 2" xfId="14636" xr:uid="{00000000-0005-0000-0000-00000F2C0000}"/>
    <cellStyle name="Calculation 4 3 4 4 2 6 3" xfId="14637" xr:uid="{00000000-0005-0000-0000-0000102C0000}"/>
    <cellStyle name="Calculation 4 3 4 4 2 7" xfId="14638" xr:uid="{00000000-0005-0000-0000-0000112C0000}"/>
    <cellStyle name="Calculation 4 3 4 4 2 7 2" xfId="14639" xr:uid="{00000000-0005-0000-0000-0000122C0000}"/>
    <cellStyle name="Calculation 4 3 4 4 2 7 3" xfId="14640" xr:uid="{00000000-0005-0000-0000-0000132C0000}"/>
    <cellStyle name="Calculation 4 3 4 4 2 8" xfId="14641" xr:uid="{00000000-0005-0000-0000-0000142C0000}"/>
    <cellStyle name="Calculation 4 3 4 4 2 9" xfId="14642" xr:uid="{00000000-0005-0000-0000-0000152C0000}"/>
    <cellStyle name="Calculation 4 3 4 4 3" xfId="14643" xr:uid="{00000000-0005-0000-0000-0000162C0000}"/>
    <cellStyle name="Calculation 4 3 4 4 3 2" xfId="14644" xr:uid="{00000000-0005-0000-0000-0000172C0000}"/>
    <cellStyle name="Calculation 4 3 4 4 3 3" xfId="14645" xr:uid="{00000000-0005-0000-0000-0000182C0000}"/>
    <cellStyle name="Calculation 4 3 4 4 4" xfId="14646" xr:uid="{00000000-0005-0000-0000-0000192C0000}"/>
    <cellStyle name="Calculation 4 3 4 4 4 2" xfId="14647" xr:uid="{00000000-0005-0000-0000-00001A2C0000}"/>
    <cellStyle name="Calculation 4 3 4 4 4 3" xfId="14648" xr:uid="{00000000-0005-0000-0000-00001B2C0000}"/>
    <cellStyle name="Calculation 4 3 4 4 5" xfId="14649" xr:uid="{00000000-0005-0000-0000-00001C2C0000}"/>
    <cellStyle name="Calculation 4 3 4 4 5 2" xfId="14650" xr:uid="{00000000-0005-0000-0000-00001D2C0000}"/>
    <cellStyle name="Calculation 4 3 4 4 5 3" xfId="14651" xr:uid="{00000000-0005-0000-0000-00001E2C0000}"/>
    <cellStyle name="Calculation 4 3 4 4 6" xfId="14652" xr:uid="{00000000-0005-0000-0000-00001F2C0000}"/>
    <cellStyle name="Calculation 4 3 4 4 6 2" xfId="14653" xr:uid="{00000000-0005-0000-0000-0000202C0000}"/>
    <cellStyle name="Calculation 4 3 4 4 6 3" xfId="14654" xr:uid="{00000000-0005-0000-0000-0000212C0000}"/>
    <cellStyle name="Calculation 4 3 4 4 7" xfId="14655" xr:uid="{00000000-0005-0000-0000-0000222C0000}"/>
    <cellStyle name="Calculation 4 3 4 4 7 2" xfId="14656" xr:uid="{00000000-0005-0000-0000-0000232C0000}"/>
    <cellStyle name="Calculation 4 3 4 4 7 3" xfId="14657" xr:uid="{00000000-0005-0000-0000-0000242C0000}"/>
    <cellStyle name="Calculation 4 3 4 4 8" xfId="14658" xr:uid="{00000000-0005-0000-0000-0000252C0000}"/>
    <cellStyle name="Calculation 4 3 4 4 8 2" xfId="14659" xr:uid="{00000000-0005-0000-0000-0000262C0000}"/>
    <cellStyle name="Calculation 4 3 4 4 8 3" xfId="14660" xr:uid="{00000000-0005-0000-0000-0000272C0000}"/>
    <cellStyle name="Calculation 4 3 4 4 9" xfId="14661" xr:uid="{00000000-0005-0000-0000-0000282C0000}"/>
    <cellStyle name="Calculation 4 3 4 5" xfId="14662" xr:uid="{00000000-0005-0000-0000-0000292C0000}"/>
    <cellStyle name="Calculation 4 3 4 5 2" xfId="14663" xr:uid="{00000000-0005-0000-0000-00002A2C0000}"/>
    <cellStyle name="Calculation 4 3 4 5 2 2" xfId="14664" xr:uid="{00000000-0005-0000-0000-00002B2C0000}"/>
    <cellStyle name="Calculation 4 3 4 5 2 3" xfId="14665" xr:uid="{00000000-0005-0000-0000-00002C2C0000}"/>
    <cellStyle name="Calculation 4 3 4 5 3" xfId="14666" xr:uid="{00000000-0005-0000-0000-00002D2C0000}"/>
    <cellStyle name="Calculation 4 3 4 5 3 2" xfId="14667" xr:uid="{00000000-0005-0000-0000-00002E2C0000}"/>
    <cellStyle name="Calculation 4 3 4 5 3 3" xfId="14668" xr:uid="{00000000-0005-0000-0000-00002F2C0000}"/>
    <cellStyle name="Calculation 4 3 4 5 4" xfId="14669" xr:uid="{00000000-0005-0000-0000-0000302C0000}"/>
    <cellStyle name="Calculation 4 3 4 5 4 2" xfId="14670" xr:uid="{00000000-0005-0000-0000-0000312C0000}"/>
    <cellStyle name="Calculation 4 3 4 5 4 3" xfId="14671" xr:uid="{00000000-0005-0000-0000-0000322C0000}"/>
    <cellStyle name="Calculation 4 3 4 5 5" xfId="14672" xr:uid="{00000000-0005-0000-0000-0000332C0000}"/>
    <cellStyle name="Calculation 4 3 4 5 5 2" xfId="14673" xr:uid="{00000000-0005-0000-0000-0000342C0000}"/>
    <cellStyle name="Calculation 4 3 4 5 5 3" xfId="14674" xr:uid="{00000000-0005-0000-0000-0000352C0000}"/>
    <cellStyle name="Calculation 4 3 4 5 6" xfId="14675" xr:uid="{00000000-0005-0000-0000-0000362C0000}"/>
    <cellStyle name="Calculation 4 3 4 5 6 2" xfId="14676" xr:uid="{00000000-0005-0000-0000-0000372C0000}"/>
    <cellStyle name="Calculation 4 3 4 5 6 3" xfId="14677" xr:uid="{00000000-0005-0000-0000-0000382C0000}"/>
    <cellStyle name="Calculation 4 3 4 5 7" xfId="14678" xr:uid="{00000000-0005-0000-0000-0000392C0000}"/>
    <cellStyle name="Calculation 4 3 4 5 7 2" xfId="14679" xr:uid="{00000000-0005-0000-0000-00003A2C0000}"/>
    <cellStyle name="Calculation 4 3 4 5 7 3" xfId="14680" xr:uid="{00000000-0005-0000-0000-00003B2C0000}"/>
    <cellStyle name="Calculation 4 3 4 5 8" xfId="14681" xr:uid="{00000000-0005-0000-0000-00003C2C0000}"/>
    <cellStyle name="Calculation 4 3 4 5 9" xfId="14682" xr:uid="{00000000-0005-0000-0000-00003D2C0000}"/>
    <cellStyle name="Calculation 4 3 4 6" xfId="14683" xr:uid="{00000000-0005-0000-0000-00003E2C0000}"/>
    <cellStyle name="Calculation 4 3 4 6 2" xfId="14684" xr:uid="{00000000-0005-0000-0000-00003F2C0000}"/>
    <cellStyle name="Calculation 4 3 4 6 3" xfId="14685" xr:uid="{00000000-0005-0000-0000-0000402C0000}"/>
    <cellStyle name="Calculation 4 3 4 7" xfId="14686" xr:uid="{00000000-0005-0000-0000-0000412C0000}"/>
    <cellStyle name="Calculation 4 3 4 7 2" xfId="14687" xr:uid="{00000000-0005-0000-0000-0000422C0000}"/>
    <cellStyle name="Calculation 4 3 4 7 3" xfId="14688" xr:uid="{00000000-0005-0000-0000-0000432C0000}"/>
    <cellStyle name="Calculation 4 3 4 8" xfId="14689" xr:uid="{00000000-0005-0000-0000-0000442C0000}"/>
    <cellStyle name="Calculation 4 3 4 8 2" xfId="14690" xr:uid="{00000000-0005-0000-0000-0000452C0000}"/>
    <cellStyle name="Calculation 4 3 4 8 3" xfId="14691" xr:uid="{00000000-0005-0000-0000-0000462C0000}"/>
    <cellStyle name="Calculation 4 3 4 9" xfId="14692" xr:uid="{00000000-0005-0000-0000-0000472C0000}"/>
    <cellStyle name="Calculation 4 3 4 9 2" xfId="14693" xr:uid="{00000000-0005-0000-0000-0000482C0000}"/>
    <cellStyle name="Calculation 4 3 4 9 3" xfId="14694" xr:uid="{00000000-0005-0000-0000-0000492C0000}"/>
    <cellStyle name="Calculation 4 3 5" xfId="14695" xr:uid="{00000000-0005-0000-0000-00004A2C0000}"/>
    <cellStyle name="Calculation 4 3 5 10" xfId="44029" xr:uid="{00000000-0005-0000-0000-00004B2C0000}"/>
    <cellStyle name="Calculation 4 3 5 2" xfId="14696" xr:uid="{00000000-0005-0000-0000-00004C2C0000}"/>
    <cellStyle name="Calculation 4 3 5 2 10" xfId="14697" xr:uid="{00000000-0005-0000-0000-00004D2C0000}"/>
    <cellStyle name="Calculation 4 3 5 2 2" xfId="14698" xr:uid="{00000000-0005-0000-0000-00004E2C0000}"/>
    <cellStyle name="Calculation 4 3 5 2 2 2" xfId="14699" xr:uid="{00000000-0005-0000-0000-00004F2C0000}"/>
    <cellStyle name="Calculation 4 3 5 2 2 2 2" xfId="14700" xr:uid="{00000000-0005-0000-0000-0000502C0000}"/>
    <cellStyle name="Calculation 4 3 5 2 2 2 3" xfId="14701" xr:uid="{00000000-0005-0000-0000-0000512C0000}"/>
    <cellStyle name="Calculation 4 3 5 2 2 3" xfId="14702" xr:uid="{00000000-0005-0000-0000-0000522C0000}"/>
    <cellStyle name="Calculation 4 3 5 2 2 3 2" xfId="14703" xr:uid="{00000000-0005-0000-0000-0000532C0000}"/>
    <cellStyle name="Calculation 4 3 5 2 2 3 3" xfId="14704" xr:uid="{00000000-0005-0000-0000-0000542C0000}"/>
    <cellStyle name="Calculation 4 3 5 2 2 4" xfId="14705" xr:uid="{00000000-0005-0000-0000-0000552C0000}"/>
    <cellStyle name="Calculation 4 3 5 2 2 4 2" xfId="14706" xr:uid="{00000000-0005-0000-0000-0000562C0000}"/>
    <cellStyle name="Calculation 4 3 5 2 2 4 3" xfId="14707" xr:uid="{00000000-0005-0000-0000-0000572C0000}"/>
    <cellStyle name="Calculation 4 3 5 2 2 5" xfId="14708" xr:uid="{00000000-0005-0000-0000-0000582C0000}"/>
    <cellStyle name="Calculation 4 3 5 2 2 5 2" xfId="14709" xr:uid="{00000000-0005-0000-0000-0000592C0000}"/>
    <cellStyle name="Calculation 4 3 5 2 2 5 3" xfId="14710" xr:uid="{00000000-0005-0000-0000-00005A2C0000}"/>
    <cellStyle name="Calculation 4 3 5 2 2 6" xfId="14711" xr:uid="{00000000-0005-0000-0000-00005B2C0000}"/>
    <cellStyle name="Calculation 4 3 5 2 2 6 2" xfId="14712" xr:uid="{00000000-0005-0000-0000-00005C2C0000}"/>
    <cellStyle name="Calculation 4 3 5 2 2 6 3" xfId="14713" xr:uid="{00000000-0005-0000-0000-00005D2C0000}"/>
    <cellStyle name="Calculation 4 3 5 2 2 7" xfId="14714" xr:uid="{00000000-0005-0000-0000-00005E2C0000}"/>
    <cellStyle name="Calculation 4 3 5 2 2 7 2" xfId="14715" xr:uid="{00000000-0005-0000-0000-00005F2C0000}"/>
    <cellStyle name="Calculation 4 3 5 2 2 7 3" xfId="14716" xr:uid="{00000000-0005-0000-0000-0000602C0000}"/>
    <cellStyle name="Calculation 4 3 5 2 2 8" xfId="14717" xr:uid="{00000000-0005-0000-0000-0000612C0000}"/>
    <cellStyle name="Calculation 4 3 5 2 2 9" xfId="14718" xr:uid="{00000000-0005-0000-0000-0000622C0000}"/>
    <cellStyle name="Calculation 4 3 5 2 3" xfId="14719" xr:uid="{00000000-0005-0000-0000-0000632C0000}"/>
    <cellStyle name="Calculation 4 3 5 2 3 2" xfId="14720" xr:uid="{00000000-0005-0000-0000-0000642C0000}"/>
    <cellStyle name="Calculation 4 3 5 2 3 3" xfId="14721" xr:uid="{00000000-0005-0000-0000-0000652C0000}"/>
    <cellStyle name="Calculation 4 3 5 2 4" xfId="14722" xr:uid="{00000000-0005-0000-0000-0000662C0000}"/>
    <cellStyle name="Calculation 4 3 5 2 4 2" xfId="14723" xr:uid="{00000000-0005-0000-0000-0000672C0000}"/>
    <cellStyle name="Calculation 4 3 5 2 4 3" xfId="14724" xr:uid="{00000000-0005-0000-0000-0000682C0000}"/>
    <cellStyle name="Calculation 4 3 5 2 5" xfId="14725" xr:uid="{00000000-0005-0000-0000-0000692C0000}"/>
    <cellStyle name="Calculation 4 3 5 2 5 2" xfId="14726" xr:uid="{00000000-0005-0000-0000-00006A2C0000}"/>
    <cellStyle name="Calculation 4 3 5 2 5 3" xfId="14727" xr:uid="{00000000-0005-0000-0000-00006B2C0000}"/>
    <cellStyle name="Calculation 4 3 5 2 6" xfId="14728" xr:uid="{00000000-0005-0000-0000-00006C2C0000}"/>
    <cellStyle name="Calculation 4 3 5 2 6 2" xfId="14729" xr:uid="{00000000-0005-0000-0000-00006D2C0000}"/>
    <cellStyle name="Calculation 4 3 5 2 6 3" xfId="14730" xr:uid="{00000000-0005-0000-0000-00006E2C0000}"/>
    <cellStyle name="Calculation 4 3 5 2 7" xfId="14731" xr:uid="{00000000-0005-0000-0000-00006F2C0000}"/>
    <cellStyle name="Calculation 4 3 5 2 7 2" xfId="14732" xr:uid="{00000000-0005-0000-0000-0000702C0000}"/>
    <cellStyle name="Calculation 4 3 5 2 7 3" xfId="14733" xr:uid="{00000000-0005-0000-0000-0000712C0000}"/>
    <cellStyle name="Calculation 4 3 5 2 8" xfId="14734" xr:uid="{00000000-0005-0000-0000-0000722C0000}"/>
    <cellStyle name="Calculation 4 3 5 2 8 2" xfId="14735" xr:uid="{00000000-0005-0000-0000-0000732C0000}"/>
    <cellStyle name="Calculation 4 3 5 2 8 3" xfId="14736" xr:uid="{00000000-0005-0000-0000-0000742C0000}"/>
    <cellStyle name="Calculation 4 3 5 2 9" xfId="14737" xr:uid="{00000000-0005-0000-0000-0000752C0000}"/>
    <cellStyle name="Calculation 4 3 5 3" xfId="14738" xr:uid="{00000000-0005-0000-0000-0000762C0000}"/>
    <cellStyle name="Calculation 4 3 5 3 10" xfId="14739" xr:uid="{00000000-0005-0000-0000-0000772C0000}"/>
    <cellStyle name="Calculation 4 3 5 3 2" xfId="14740" xr:uid="{00000000-0005-0000-0000-0000782C0000}"/>
    <cellStyle name="Calculation 4 3 5 3 2 2" xfId="14741" xr:uid="{00000000-0005-0000-0000-0000792C0000}"/>
    <cellStyle name="Calculation 4 3 5 3 2 2 2" xfId="14742" xr:uid="{00000000-0005-0000-0000-00007A2C0000}"/>
    <cellStyle name="Calculation 4 3 5 3 2 2 3" xfId="14743" xr:uid="{00000000-0005-0000-0000-00007B2C0000}"/>
    <cellStyle name="Calculation 4 3 5 3 2 3" xfId="14744" xr:uid="{00000000-0005-0000-0000-00007C2C0000}"/>
    <cellStyle name="Calculation 4 3 5 3 2 3 2" xfId="14745" xr:uid="{00000000-0005-0000-0000-00007D2C0000}"/>
    <cellStyle name="Calculation 4 3 5 3 2 3 3" xfId="14746" xr:uid="{00000000-0005-0000-0000-00007E2C0000}"/>
    <cellStyle name="Calculation 4 3 5 3 2 4" xfId="14747" xr:uid="{00000000-0005-0000-0000-00007F2C0000}"/>
    <cellStyle name="Calculation 4 3 5 3 2 4 2" xfId="14748" xr:uid="{00000000-0005-0000-0000-0000802C0000}"/>
    <cellStyle name="Calculation 4 3 5 3 2 4 3" xfId="14749" xr:uid="{00000000-0005-0000-0000-0000812C0000}"/>
    <cellStyle name="Calculation 4 3 5 3 2 5" xfId="14750" xr:uid="{00000000-0005-0000-0000-0000822C0000}"/>
    <cellStyle name="Calculation 4 3 5 3 2 5 2" xfId="14751" xr:uid="{00000000-0005-0000-0000-0000832C0000}"/>
    <cellStyle name="Calculation 4 3 5 3 2 5 3" xfId="14752" xr:uid="{00000000-0005-0000-0000-0000842C0000}"/>
    <cellStyle name="Calculation 4 3 5 3 2 6" xfId="14753" xr:uid="{00000000-0005-0000-0000-0000852C0000}"/>
    <cellStyle name="Calculation 4 3 5 3 2 6 2" xfId="14754" xr:uid="{00000000-0005-0000-0000-0000862C0000}"/>
    <cellStyle name="Calculation 4 3 5 3 2 6 3" xfId="14755" xr:uid="{00000000-0005-0000-0000-0000872C0000}"/>
    <cellStyle name="Calculation 4 3 5 3 2 7" xfId="14756" xr:uid="{00000000-0005-0000-0000-0000882C0000}"/>
    <cellStyle name="Calculation 4 3 5 3 2 7 2" xfId="14757" xr:uid="{00000000-0005-0000-0000-0000892C0000}"/>
    <cellStyle name="Calculation 4 3 5 3 2 7 3" xfId="14758" xr:uid="{00000000-0005-0000-0000-00008A2C0000}"/>
    <cellStyle name="Calculation 4 3 5 3 2 8" xfId="14759" xr:uid="{00000000-0005-0000-0000-00008B2C0000}"/>
    <cellStyle name="Calculation 4 3 5 3 2 9" xfId="14760" xr:uid="{00000000-0005-0000-0000-00008C2C0000}"/>
    <cellStyle name="Calculation 4 3 5 3 3" xfId="14761" xr:uid="{00000000-0005-0000-0000-00008D2C0000}"/>
    <cellStyle name="Calculation 4 3 5 3 3 2" xfId="14762" xr:uid="{00000000-0005-0000-0000-00008E2C0000}"/>
    <cellStyle name="Calculation 4 3 5 3 3 3" xfId="14763" xr:uid="{00000000-0005-0000-0000-00008F2C0000}"/>
    <cellStyle name="Calculation 4 3 5 3 4" xfId="14764" xr:uid="{00000000-0005-0000-0000-0000902C0000}"/>
    <cellStyle name="Calculation 4 3 5 3 4 2" xfId="14765" xr:uid="{00000000-0005-0000-0000-0000912C0000}"/>
    <cellStyle name="Calculation 4 3 5 3 4 3" xfId="14766" xr:uid="{00000000-0005-0000-0000-0000922C0000}"/>
    <cellStyle name="Calculation 4 3 5 3 5" xfId="14767" xr:uid="{00000000-0005-0000-0000-0000932C0000}"/>
    <cellStyle name="Calculation 4 3 5 3 5 2" xfId="14768" xr:uid="{00000000-0005-0000-0000-0000942C0000}"/>
    <cellStyle name="Calculation 4 3 5 3 5 3" xfId="14769" xr:uid="{00000000-0005-0000-0000-0000952C0000}"/>
    <cellStyle name="Calculation 4 3 5 3 6" xfId="14770" xr:uid="{00000000-0005-0000-0000-0000962C0000}"/>
    <cellStyle name="Calculation 4 3 5 3 6 2" xfId="14771" xr:uid="{00000000-0005-0000-0000-0000972C0000}"/>
    <cellStyle name="Calculation 4 3 5 3 6 3" xfId="14772" xr:uid="{00000000-0005-0000-0000-0000982C0000}"/>
    <cellStyle name="Calculation 4 3 5 3 7" xfId="14773" xr:uid="{00000000-0005-0000-0000-0000992C0000}"/>
    <cellStyle name="Calculation 4 3 5 3 7 2" xfId="14774" xr:uid="{00000000-0005-0000-0000-00009A2C0000}"/>
    <cellStyle name="Calculation 4 3 5 3 7 3" xfId="14775" xr:uid="{00000000-0005-0000-0000-00009B2C0000}"/>
    <cellStyle name="Calculation 4 3 5 3 8" xfId="14776" xr:uid="{00000000-0005-0000-0000-00009C2C0000}"/>
    <cellStyle name="Calculation 4 3 5 3 8 2" xfId="14777" xr:uid="{00000000-0005-0000-0000-00009D2C0000}"/>
    <cellStyle name="Calculation 4 3 5 3 8 3" xfId="14778" xr:uid="{00000000-0005-0000-0000-00009E2C0000}"/>
    <cellStyle name="Calculation 4 3 5 3 9" xfId="14779" xr:uid="{00000000-0005-0000-0000-00009F2C0000}"/>
    <cellStyle name="Calculation 4 3 5 4" xfId="14780" xr:uid="{00000000-0005-0000-0000-0000A02C0000}"/>
    <cellStyle name="Calculation 4 3 5 4 10" xfId="14781" xr:uid="{00000000-0005-0000-0000-0000A12C0000}"/>
    <cellStyle name="Calculation 4 3 5 4 2" xfId="14782" xr:uid="{00000000-0005-0000-0000-0000A22C0000}"/>
    <cellStyle name="Calculation 4 3 5 4 2 2" xfId="14783" xr:uid="{00000000-0005-0000-0000-0000A32C0000}"/>
    <cellStyle name="Calculation 4 3 5 4 2 2 2" xfId="14784" xr:uid="{00000000-0005-0000-0000-0000A42C0000}"/>
    <cellStyle name="Calculation 4 3 5 4 2 2 3" xfId="14785" xr:uid="{00000000-0005-0000-0000-0000A52C0000}"/>
    <cellStyle name="Calculation 4 3 5 4 2 3" xfId="14786" xr:uid="{00000000-0005-0000-0000-0000A62C0000}"/>
    <cellStyle name="Calculation 4 3 5 4 2 3 2" xfId="14787" xr:uid="{00000000-0005-0000-0000-0000A72C0000}"/>
    <cellStyle name="Calculation 4 3 5 4 2 3 3" xfId="14788" xr:uid="{00000000-0005-0000-0000-0000A82C0000}"/>
    <cellStyle name="Calculation 4 3 5 4 2 4" xfId="14789" xr:uid="{00000000-0005-0000-0000-0000A92C0000}"/>
    <cellStyle name="Calculation 4 3 5 4 2 4 2" xfId="14790" xr:uid="{00000000-0005-0000-0000-0000AA2C0000}"/>
    <cellStyle name="Calculation 4 3 5 4 2 4 3" xfId="14791" xr:uid="{00000000-0005-0000-0000-0000AB2C0000}"/>
    <cellStyle name="Calculation 4 3 5 4 2 5" xfId="14792" xr:uid="{00000000-0005-0000-0000-0000AC2C0000}"/>
    <cellStyle name="Calculation 4 3 5 4 2 5 2" xfId="14793" xr:uid="{00000000-0005-0000-0000-0000AD2C0000}"/>
    <cellStyle name="Calculation 4 3 5 4 2 5 3" xfId="14794" xr:uid="{00000000-0005-0000-0000-0000AE2C0000}"/>
    <cellStyle name="Calculation 4 3 5 4 2 6" xfId="14795" xr:uid="{00000000-0005-0000-0000-0000AF2C0000}"/>
    <cellStyle name="Calculation 4 3 5 4 2 6 2" xfId="14796" xr:uid="{00000000-0005-0000-0000-0000B02C0000}"/>
    <cellStyle name="Calculation 4 3 5 4 2 6 3" xfId="14797" xr:uid="{00000000-0005-0000-0000-0000B12C0000}"/>
    <cellStyle name="Calculation 4 3 5 4 2 7" xfId="14798" xr:uid="{00000000-0005-0000-0000-0000B22C0000}"/>
    <cellStyle name="Calculation 4 3 5 4 2 7 2" xfId="14799" xr:uid="{00000000-0005-0000-0000-0000B32C0000}"/>
    <cellStyle name="Calculation 4 3 5 4 2 7 3" xfId="14800" xr:uid="{00000000-0005-0000-0000-0000B42C0000}"/>
    <cellStyle name="Calculation 4 3 5 4 2 8" xfId="14801" xr:uid="{00000000-0005-0000-0000-0000B52C0000}"/>
    <cellStyle name="Calculation 4 3 5 4 2 9" xfId="14802" xr:uid="{00000000-0005-0000-0000-0000B62C0000}"/>
    <cellStyle name="Calculation 4 3 5 4 3" xfId="14803" xr:uid="{00000000-0005-0000-0000-0000B72C0000}"/>
    <cellStyle name="Calculation 4 3 5 4 3 2" xfId="14804" xr:uid="{00000000-0005-0000-0000-0000B82C0000}"/>
    <cellStyle name="Calculation 4 3 5 4 3 3" xfId="14805" xr:uid="{00000000-0005-0000-0000-0000B92C0000}"/>
    <cellStyle name="Calculation 4 3 5 4 4" xfId="14806" xr:uid="{00000000-0005-0000-0000-0000BA2C0000}"/>
    <cellStyle name="Calculation 4 3 5 4 4 2" xfId="14807" xr:uid="{00000000-0005-0000-0000-0000BB2C0000}"/>
    <cellStyle name="Calculation 4 3 5 4 4 3" xfId="14808" xr:uid="{00000000-0005-0000-0000-0000BC2C0000}"/>
    <cellStyle name="Calculation 4 3 5 4 5" xfId="14809" xr:uid="{00000000-0005-0000-0000-0000BD2C0000}"/>
    <cellStyle name="Calculation 4 3 5 4 5 2" xfId="14810" xr:uid="{00000000-0005-0000-0000-0000BE2C0000}"/>
    <cellStyle name="Calculation 4 3 5 4 5 3" xfId="14811" xr:uid="{00000000-0005-0000-0000-0000BF2C0000}"/>
    <cellStyle name="Calculation 4 3 5 4 6" xfId="14812" xr:uid="{00000000-0005-0000-0000-0000C02C0000}"/>
    <cellStyle name="Calculation 4 3 5 4 6 2" xfId="14813" xr:uid="{00000000-0005-0000-0000-0000C12C0000}"/>
    <cellStyle name="Calculation 4 3 5 4 6 3" xfId="14814" xr:uid="{00000000-0005-0000-0000-0000C22C0000}"/>
    <cellStyle name="Calculation 4 3 5 4 7" xfId="14815" xr:uid="{00000000-0005-0000-0000-0000C32C0000}"/>
    <cellStyle name="Calculation 4 3 5 4 7 2" xfId="14816" xr:uid="{00000000-0005-0000-0000-0000C42C0000}"/>
    <cellStyle name="Calculation 4 3 5 4 7 3" xfId="14817" xr:uid="{00000000-0005-0000-0000-0000C52C0000}"/>
    <cellStyle name="Calculation 4 3 5 4 8" xfId="14818" xr:uid="{00000000-0005-0000-0000-0000C62C0000}"/>
    <cellStyle name="Calculation 4 3 5 4 8 2" xfId="14819" xr:uid="{00000000-0005-0000-0000-0000C72C0000}"/>
    <cellStyle name="Calculation 4 3 5 4 8 3" xfId="14820" xr:uid="{00000000-0005-0000-0000-0000C82C0000}"/>
    <cellStyle name="Calculation 4 3 5 4 9" xfId="14821" xr:uid="{00000000-0005-0000-0000-0000C92C0000}"/>
    <cellStyle name="Calculation 4 3 5 5" xfId="14822" xr:uid="{00000000-0005-0000-0000-0000CA2C0000}"/>
    <cellStyle name="Calculation 4 3 5 5 2" xfId="14823" xr:uid="{00000000-0005-0000-0000-0000CB2C0000}"/>
    <cellStyle name="Calculation 4 3 5 5 2 2" xfId="14824" xr:uid="{00000000-0005-0000-0000-0000CC2C0000}"/>
    <cellStyle name="Calculation 4 3 5 5 2 3" xfId="14825" xr:uid="{00000000-0005-0000-0000-0000CD2C0000}"/>
    <cellStyle name="Calculation 4 3 5 5 3" xfId="14826" xr:uid="{00000000-0005-0000-0000-0000CE2C0000}"/>
    <cellStyle name="Calculation 4 3 5 5 3 2" xfId="14827" xr:uid="{00000000-0005-0000-0000-0000CF2C0000}"/>
    <cellStyle name="Calculation 4 3 5 5 3 3" xfId="14828" xr:uid="{00000000-0005-0000-0000-0000D02C0000}"/>
    <cellStyle name="Calculation 4 3 5 5 4" xfId="14829" xr:uid="{00000000-0005-0000-0000-0000D12C0000}"/>
    <cellStyle name="Calculation 4 3 5 5 4 2" xfId="14830" xr:uid="{00000000-0005-0000-0000-0000D22C0000}"/>
    <cellStyle name="Calculation 4 3 5 5 4 3" xfId="14831" xr:uid="{00000000-0005-0000-0000-0000D32C0000}"/>
    <cellStyle name="Calculation 4 3 5 5 5" xfId="14832" xr:uid="{00000000-0005-0000-0000-0000D42C0000}"/>
    <cellStyle name="Calculation 4 3 5 5 5 2" xfId="14833" xr:uid="{00000000-0005-0000-0000-0000D52C0000}"/>
    <cellStyle name="Calculation 4 3 5 5 5 3" xfId="14834" xr:uid="{00000000-0005-0000-0000-0000D62C0000}"/>
    <cellStyle name="Calculation 4 3 5 5 6" xfId="14835" xr:uid="{00000000-0005-0000-0000-0000D72C0000}"/>
    <cellStyle name="Calculation 4 3 5 5 6 2" xfId="14836" xr:uid="{00000000-0005-0000-0000-0000D82C0000}"/>
    <cellStyle name="Calculation 4 3 5 5 6 3" xfId="14837" xr:uid="{00000000-0005-0000-0000-0000D92C0000}"/>
    <cellStyle name="Calculation 4 3 5 5 7" xfId="14838" xr:uid="{00000000-0005-0000-0000-0000DA2C0000}"/>
    <cellStyle name="Calculation 4 3 5 5 7 2" xfId="14839" xr:uid="{00000000-0005-0000-0000-0000DB2C0000}"/>
    <cellStyle name="Calculation 4 3 5 5 7 3" xfId="14840" xr:uid="{00000000-0005-0000-0000-0000DC2C0000}"/>
    <cellStyle name="Calculation 4 3 5 5 8" xfId="14841" xr:uid="{00000000-0005-0000-0000-0000DD2C0000}"/>
    <cellStyle name="Calculation 4 3 5 5 9" xfId="14842" xr:uid="{00000000-0005-0000-0000-0000DE2C0000}"/>
    <cellStyle name="Calculation 4 3 5 6" xfId="14843" xr:uid="{00000000-0005-0000-0000-0000DF2C0000}"/>
    <cellStyle name="Calculation 4 3 5 6 2" xfId="14844" xr:uid="{00000000-0005-0000-0000-0000E02C0000}"/>
    <cellStyle name="Calculation 4 3 5 6 3" xfId="14845" xr:uid="{00000000-0005-0000-0000-0000E12C0000}"/>
    <cellStyle name="Calculation 4 3 5 7" xfId="14846" xr:uid="{00000000-0005-0000-0000-0000E22C0000}"/>
    <cellStyle name="Calculation 4 3 5 7 2" xfId="14847" xr:uid="{00000000-0005-0000-0000-0000E32C0000}"/>
    <cellStyle name="Calculation 4 3 5 7 3" xfId="14848" xr:uid="{00000000-0005-0000-0000-0000E42C0000}"/>
    <cellStyle name="Calculation 4 3 5 8" xfId="14849" xr:uid="{00000000-0005-0000-0000-0000E52C0000}"/>
    <cellStyle name="Calculation 4 3 5 8 2" xfId="14850" xr:uid="{00000000-0005-0000-0000-0000E62C0000}"/>
    <cellStyle name="Calculation 4 3 5 8 3" xfId="14851" xr:uid="{00000000-0005-0000-0000-0000E72C0000}"/>
    <cellStyle name="Calculation 4 3 5 9" xfId="14852" xr:uid="{00000000-0005-0000-0000-0000E82C0000}"/>
    <cellStyle name="Calculation 4 3 5 9 2" xfId="14853" xr:uid="{00000000-0005-0000-0000-0000E92C0000}"/>
    <cellStyle name="Calculation 4 3 5 9 3" xfId="14854" xr:uid="{00000000-0005-0000-0000-0000EA2C0000}"/>
    <cellStyle name="Calculation 4 3 6" xfId="14855" xr:uid="{00000000-0005-0000-0000-0000EB2C0000}"/>
    <cellStyle name="Calculation 4 3 6 10" xfId="14856" xr:uid="{00000000-0005-0000-0000-0000EC2C0000}"/>
    <cellStyle name="Calculation 4 3 6 2" xfId="14857" xr:uid="{00000000-0005-0000-0000-0000ED2C0000}"/>
    <cellStyle name="Calculation 4 3 6 2 2" xfId="14858" xr:uid="{00000000-0005-0000-0000-0000EE2C0000}"/>
    <cellStyle name="Calculation 4 3 6 2 2 2" xfId="14859" xr:uid="{00000000-0005-0000-0000-0000EF2C0000}"/>
    <cellStyle name="Calculation 4 3 6 2 2 3" xfId="14860" xr:uid="{00000000-0005-0000-0000-0000F02C0000}"/>
    <cellStyle name="Calculation 4 3 6 2 3" xfId="14861" xr:uid="{00000000-0005-0000-0000-0000F12C0000}"/>
    <cellStyle name="Calculation 4 3 6 2 3 2" xfId="14862" xr:uid="{00000000-0005-0000-0000-0000F22C0000}"/>
    <cellStyle name="Calculation 4 3 6 2 3 3" xfId="14863" xr:uid="{00000000-0005-0000-0000-0000F32C0000}"/>
    <cellStyle name="Calculation 4 3 6 2 4" xfId="14864" xr:uid="{00000000-0005-0000-0000-0000F42C0000}"/>
    <cellStyle name="Calculation 4 3 6 2 4 2" xfId="14865" xr:uid="{00000000-0005-0000-0000-0000F52C0000}"/>
    <cellStyle name="Calculation 4 3 6 2 4 3" xfId="14866" xr:uid="{00000000-0005-0000-0000-0000F62C0000}"/>
    <cellStyle name="Calculation 4 3 6 2 5" xfId="14867" xr:uid="{00000000-0005-0000-0000-0000F72C0000}"/>
    <cellStyle name="Calculation 4 3 6 2 5 2" xfId="14868" xr:uid="{00000000-0005-0000-0000-0000F82C0000}"/>
    <cellStyle name="Calculation 4 3 6 2 5 3" xfId="14869" xr:uid="{00000000-0005-0000-0000-0000F92C0000}"/>
    <cellStyle name="Calculation 4 3 6 2 6" xfId="14870" xr:uid="{00000000-0005-0000-0000-0000FA2C0000}"/>
    <cellStyle name="Calculation 4 3 6 2 6 2" xfId="14871" xr:uid="{00000000-0005-0000-0000-0000FB2C0000}"/>
    <cellStyle name="Calculation 4 3 6 2 6 3" xfId="14872" xr:uid="{00000000-0005-0000-0000-0000FC2C0000}"/>
    <cellStyle name="Calculation 4 3 6 2 7" xfId="14873" xr:uid="{00000000-0005-0000-0000-0000FD2C0000}"/>
    <cellStyle name="Calculation 4 3 6 2 7 2" xfId="14874" xr:uid="{00000000-0005-0000-0000-0000FE2C0000}"/>
    <cellStyle name="Calculation 4 3 6 2 7 3" xfId="14875" xr:uid="{00000000-0005-0000-0000-0000FF2C0000}"/>
    <cellStyle name="Calculation 4 3 6 2 8" xfId="14876" xr:uid="{00000000-0005-0000-0000-0000002D0000}"/>
    <cellStyle name="Calculation 4 3 6 2 9" xfId="14877" xr:uid="{00000000-0005-0000-0000-0000012D0000}"/>
    <cellStyle name="Calculation 4 3 6 3" xfId="14878" xr:uid="{00000000-0005-0000-0000-0000022D0000}"/>
    <cellStyle name="Calculation 4 3 6 3 2" xfId="14879" xr:uid="{00000000-0005-0000-0000-0000032D0000}"/>
    <cellStyle name="Calculation 4 3 6 3 3" xfId="14880" xr:uid="{00000000-0005-0000-0000-0000042D0000}"/>
    <cellStyle name="Calculation 4 3 6 4" xfId="14881" xr:uid="{00000000-0005-0000-0000-0000052D0000}"/>
    <cellStyle name="Calculation 4 3 6 4 2" xfId="14882" xr:uid="{00000000-0005-0000-0000-0000062D0000}"/>
    <cellStyle name="Calculation 4 3 6 4 3" xfId="14883" xr:uid="{00000000-0005-0000-0000-0000072D0000}"/>
    <cellStyle name="Calculation 4 3 6 5" xfId="14884" xr:uid="{00000000-0005-0000-0000-0000082D0000}"/>
    <cellStyle name="Calculation 4 3 6 5 2" xfId="14885" xr:uid="{00000000-0005-0000-0000-0000092D0000}"/>
    <cellStyle name="Calculation 4 3 6 5 3" xfId="14886" xr:uid="{00000000-0005-0000-0000-00000A2D0000}"/>
    <cellStyle name="Calculation 4 3 6 6" xfId="14887" xr:uid="{00000000-0005-0000-0000-00000B2D0000}"/>
    <cellStyle name="Calculation 4 3 6 6 2" xfId="14888" xr:uid="{00000000-0005-0000-0000-00000C2D0000}"/>
    <cellStyle name="Calculation 4 3 6 6 3" xfId="14889" xr:uid="{00000000-0005-0000-0000-00000D2D0000}"/>
    <cellStyle name="Calculation 4 3 6 7" xfId="14890" xr:uid="{00000000-0005-0000-0000-00000E2D0000}"/>
    <cellStyle name="Calculation 4 3 6 7 2" xfId="14891" xr:uid="{00000000-0005-0000-0000-00000F2D0000}"/>
    <cellStyle name="Calculation 4 3 6 7 3" xfId="14892" xr:uid="{00000000-0005-0000-0000-0000102D0000}"/>
    <cellStyle name="Calculation 4 3 6 8" xfId="14893" xr:uid="{00000000-0005-0000-0000-0000112D0000}"/>
    <cellStyle name="Calculation 4 3 6 8 2" xfId="14894" xr:uid="{00000000-0005-0000-0000-0000122D0000}"/>
    <cellStyle name="Calculation 4 3 6 8 3" xfId="14895" xr:uid="{00000000-0005-0000-0000-0000132D0000}"/>
    <cellStyle name="Calculation 4 3 6 9" xfId="14896" xr:uid="{00000000-0005-0000-0000-0000142D0000}"/>
    <cellStyle name="Calculation 4 3 7" xfId="14897" xr:uid="{00000000-0005-0000-0000-0000152D0000}"/>
    <cellStyle name="Calculation 4 3 7 10" xfId="14898" xr:uid="{00000000-0005-0000-0000-0000162D0000}"/>
    <cellStyle name="Calculation 4 3 7 2" xfId="14899" xr:uid="{00000000-0005-0000-0000-0000172D0000}"/>
    <cellStyle name="Calculation 4 3 7 2 2" xfId="14900" xr:uid="{00000000-0005-0000-0000-0000182D0000}"/>
    <cellStyle name="Calculation 4 3 7 2 2 2" xfId="14901" xr:uid="{00000000-0005-0000-0000-0000192D0000}"/>
    <cellStyle name="Calculation 4 3 7 2 2 3" xfId="14902" xr:uid="{00000000-0005-0000-0000-00001A2D0000}"/>
    <cellStyle name="Calculation 4 3 7 2 3" xfId="14903" xr:uid="{00000000-0005-0000-0000-00001B2D0000}"/>
    <cellStyle name="Calculation 4 3 7 2 3 2" xfId="14904" xr:uid="{00000000-0005-0000-0000-00001C2D0000}"/>
    <cellStyle name="Calculation 4 3 7 2 3 3" xfId="14905" xr:uid="{00000000-0005-0000-0000-00001D2D0000}"/>
    <cellStyle name="Calculation 4 3 7 2 4" xfId="14906" xr:uid="{00000000-0005-0000-0000-00001E2D0000}"/>
    <cellStyle name="Calculation 4 3 7 2 4 2" xfId="14907" xr:uid="{00000000-0005-0000-0000-00001F2D0000}"/>
    <cellStyle name="Calculation 4 3 7 2 4 3" xfId="14908" xr:uid="{00000000-0005-0000-0000-0000202D0000}"/>
    <cellStyle name="Calculation 4 3 7 2 5" xfId="14909" xr:uid="{00000000-0005-0000-0000-0000212D0000}"/>
    <cellStyle name="Calculation 4 3 7 2 5 2" xfId="14910" xr:uid="{00000000-0005-0000-0000-0000222D0000}"/>
    <cellStyle name="Calculation 4 3 7 2 5 3" xfId="14911" xr:uid="{00000000-0005-0000-0000-0000232D0000}"/>
    <cellStyle name="Calculation 4 3 7 2 6" xfId="14912" xr:uid="{00000000-0005-0000-0000-0000242D0000}"/>
    <cellStyle name="Calculation 4 3 7 2 6 2" xfId="14913" xr:uid="{00000000-0005-0000-0000-0000252D0000}"/>
    <cellStyle name="Calculation 4 3 7 2 6 3" xfId="14914" xr:uid="{00000000-0005-0000-0000-0000262D0000}"/>
    <cellStyle name="Calculation 4 3 7 2 7" xfId="14915" xr:uid="{00000000-0005-0000-0000-0000272D0000}"/>
    <cellStyle name="Calculation 4 3 7 2 7 2" xfId="14916" xr:uid="{00000000-0005-0000-0000-0000282D0000}"/>
    <cellStyle name="Calculation 4 3 7 2 7 3" xfId="14917" xr:uid="{00000000-0005-0000-0000-0000292D0000}"/>
    <cellStyle name="Calculation 4 3 7 2 8" xfId="14918" xr:uid="{00000000-0005-0000-0000-00002A2D0000}"/>
    <cellStyle name="Calculation 4 3 7 2 9" xfId="14919" xr:uid="{00000000-0005-0000-0000-00002B2D0000}"/>
    <cellStyle name="Calculation 4 3 7 3" xfId="14920" xr:uid="{00000000-0005-0000-0000-00002C2D0000}"/>
    <cellStyle name="Calculation 4 3 7 3 2" xfId="14921" xr:uid="{00000000-0005-0000-0000-00002D2D0000}"/>
    <cellStyle name="Calculation 4 3 7 3 3" xfId="14922" xr:uid="{00000000-0005-0000-0000-00002E2D0000}"/>
    <cellStyle name="Calculation 4 3 7 4" xfId="14923" xr:uid="{00000000-0005-0000-0000-00002F2D0000}"/>
    <cellStyle name="Calculation 4 3 7 4 2" xfId="14924" xr:uid="{00000000-0005-0000-0000-0000302D0000}"/>
    <cellStyle name="Calculation 4 3 7 4 3" xfId="14925" xr:uid="{00000000-0005-0000-0000-0000312D0000}"/>
    <cellStyle name="Calculation 4 3 7 5" xfId="14926" xr:uid="{00000000-0005-0000-0000-0000322D0000}"/>
    <cellStyle name="Calculation 4 3 7 5 2" xfId="14927" xr:uid="{00000000-0005-0000-0000-0000332D0000}"/>
    <cellStyle name="Calculation 4 3 7 5 3" xfId="14928" xr:uid="{00000000-0005-0000-0000-0000342D0000}"/>
    <cellStyle name="Calculation 4 3 7 6" xfId="14929" xr:uid="{00000000-0005-0000-0000-0000352D0000}"/>
    <cellStyle name="Calculation 4 3 7 6 2" xfId="14930" xr:uid="{00000000-0005-0000-0000-0000362D0000}"/>
    <cellStyle name="Calculation 4 3 7 6 3" xfId="14931" xr:uid="{00000000-0005-0000-0000-0000372D0000}"/>
    <cellStyle name="Calculation 4 3 7 7" xfId="14932" xr:uid="{00000000-0005-0000-0000-0000382D0000}"/>
    <cellStyle name="Calculation 4 3 7 7 2" xfId="14933" xr:uid="{00000000-0005-0000-0000-0000392D0000}"/>
    <cellStyle name="Calculation 4 3 7 7 3" xfId="14934" xr:uid="{00000000-0005-0000-0000-00003A2D0000}"/>
    <cellStyle name="Calculation 4 3 7 8" xfId="14935" xr:uid="{00000000-0005-0000-0000-00003B2D0000}"/>
    <cellStyle name="Calculation 4 3 7 8 2" xfId="14936" xr:uid="{00000000-0005-0000-0000-00003C2D0000}"/>
    <cellStyle name="Calculation 4 3 7 8 3" xfId="14937" xr:uid="{00000000-0005-0000-0000-00003D2D0000}"/>
    <cellStyle name="Calculation 4 3 7 9" xfId="14938" xr:uid="{00000000-0005-0000-0000-00003E2D0000}"/>
    <cellStyle name="Calculation 4 3 8" xfId="14939" xr:uid="{00000000-0005-0000-0000-00003F2D0000}"/>
    <cellStyle name="Calculation 4 3 8 10" xfId="14940" xr:uid="{00000000-0005-0000-0000-0000402D0000}"/>
    <cellStyle name="Calculation 4 3 8 2" xfId="14941" xr:uid="{00000000-0005-0000-0000-0000412D0000}"/>
    <cellStyle name="Calculation 4 3 8 2 2" xfId="14942" xr:uid="{00000000-0005-0000-0000-0000422D0000}"/>
    <cellStyle name="Calculation 4 3 8 2 2 2" xfId="14943" xr:uid="{00000000-0005-0000-0000-0000432D0000}"/>
    <cellStyle name="Calculation 4 3 8 2 2 3" xfId="14944" xr:uid="{00000000-0005-0000-0000-0000442D0000}"/>
    <cellStyle name="Calculation 4 3 8 2 3" xfId="14945" xr:uid="{00000000-0005-0000-0000-0000452D0000}"/>
    <cellStyle name="Calculation 4 3 8 2 3 2" xfId="14946" xr:uid="{00000000-0005-0000-0000-0000462D0000}"/>
    <cellStyle name="Calculation 4 3 8 2 3 3" xfId="14947" xr:uid="{00000000-0005-0000-0000-0000472D0000}"/>
    <cellStyle name="Calculation 4 3 8 2 4" xfId="14948" xr:uid="{00000000-0005-0000-0000-0000482D0000}"/>
    <cellStyle name="Calculation 4 3 8 2 4 2" xfId="14949" xr:uid="{00000000-0005-0000-0000-0000492D0000}"/>
    <cellStyle name="Calculation 4 3 8 2 4 3" xfId="14950" xr:uid="{00000000-0005-0000-0000-00004A2D0000}"/>
    <cellStyle name="Calculation 4 3 8 2 5" xfId="14951" xr:uid="{00000000-0005-0000-0000-00004B2D0000}"/>
    <cellStyle name="Calculation 4 3 8 2 5 2" xfId="14952" xr:uid="{00000000-0005-0000-0000-00004C2D0000}"/>
    <cellStyle name="Calculation 4 3 8 2 5 3" xfId="14953" xr:uid="{00000000-0005-0000-0000-00004D2D0000}"/>
    <cellStyle name="Calculation 4 3 8 2 6" xfId="14954" xr:uid="{00000000-0005-0000-0000-00004E2D0000}"/>
    <cellStyle name="Calculation 4 3 8 2 6 2" xfId="14955" xr:uid="{00000000-0005-0000-0000-00004F2D0000}"/>
    <cellStyle name="Calculation 4 3 8 2 6 3" xfId="14956" xr:uid="{00000000-0005-0000-0000-0000502D0000}"/>
    <cellStyle name="Calculation 4 3 8 2 7" xfId="14957" xr:uid="{00000000-0005-0000-0000-0000512D0000}"/>
    <cellStyle name="Calculation 4 3 8 2 7 2" xfId="14958" xr:uid="{00000000-0005-0000-0000-0000522D0000}"/>
    <cellStyle name="Calculation 4 3 8 2 7 3" xfId="14959" xr:uid="{00000000-0005-0000-0000-0000532D0000}"/>
    <cellStyle name="Calculation 4 3 8 2 8" xfId="14960" xr:uid="{00000000-0005-0000-0000-0000542D0000}"/>
    <cellStyle name="Calculation 4 3 8 2 9" xfId="14961" xr:uid="{00000000-0005-0000-0000-0000552D0000}"/>
    <cellStyle name="Calculation 4 3 8 3" xfId="14962" xr:uid="{00000000-0005-0000-0000-0000562D0000}"/>
    <cellStyle name="Calculation 4 3 8 3 2" xfId="14963" xr:uid="{00000000-0005-0000-0000-0000572D0000}"/>
    <cellStyle name="Calculation 4 3 8 3 3" xfId="14964" xr:uid="{00000000-0005-0000-0000-0000582D0000}"/>
    <cellStyle name="Calculation 4 3 8 4" xfId="14965" xr:uid="{00000000-0005-0000-0000-0000592D0000}"/>
    <cellStyle name="Calculation 4 3 8 4 2" xfId="14966" xr:uid="{00000000-0005-0000-0000-00005A2D0000}"/>
    <cellStyle name="Calculation 4 3 8 4 3" xfId="14967" xr:uid="{00000000-0005-0000-0000-00005B2D0000}"/>
    <cellStyle name="Calculation 4 3 8 5" xfId="14968" xr:uid="{00000000-0005-0000-0000-00005C2D0000}"/>
    <cellStyle name="Calculation 4 3 8 5 2" xfId="14969" xr:uid="{00000000-0005-0000-0000-00005D2D0000}"/>
    <cellStyle name="Calculation 4 3 8 5 3" xfId="14970" xr:uid="{00000000-0005-0000-0000-00005E2D0000}"/>
    <cellStyle name="Calculation 4 3 8 6" xfId="14971" xr:uid="{00000000-0005-0000-0000-00005F2D0000}"/>
    <cellStyle name="Calculation 4 3 8 6 2" xfId="14972" xr:uid="{00000000-0005-0000-0000-0000602D0000}"/>
    <cellStyle name="Calculation 4 3 8 6 3" xfId="14973" xr:uid="{00000000-0005-0000-0000-0000612D0000}"/>
    <cellStyle name="Calculation 4 3 8 7" xfId="14974" xr:uid="{00000000-0005-0000-0000-0000622D0000}"/>
    <cellStyle name="Calculation 4 3 8 7 2" xfId="14975" xr:uid="{00000000-0005-0000-0000-0000632D0000}"/>
    <cellStyle name="Calculation 4 3 8 7 3" xfId="14976" xr:uid="{00000000-0005-0000-0000-0000642D0000}"/>
    <cellStyle name="Calculation 4 3 8 8" xfId="14977" xr:uid="{00000000-0005-0000-0000-0000652D0000}"/>
    <cellStyle name="Calculation 4 3 8 8 2" xfId="14978" xr:uid="{00000000-0005-0000-0000-0000662D0000}"/>
    <cellStyle name="Calculation 4 3 8 8 3" xfId="14979" xr:uid="{00000000-0005-0000-0000-0000672D0000}"/>
    <cellStyle name="Calculation 4 3 8 9" xfId="14980" xr:uid="{00000000-0005-0000-0000-0000682D0000}"/>
    <cellStyle name="Calculation 4 3 9" xfId="14981" xr:uid="{00000000-0005-0000-0000-0000692D0000}"/>
    <cellStyle name="Calculation 4 3 9 2" xfId="14982" xr:uid="{00000000-0005-0000-0000-00006A2D0000}"/>
    <cellStyle name="Calculation 4 3 9 2 2" xfId="14983" xr:uid="{00000000-0005-0000-0000-00006B2D0000}"/>
    <cellStyle name="Calculation 4 3 9 2 3" xfId="14984" xr:uid="{00000000-0005-0000-0000-00006C2D0000}"/>
    <cellStyle name="Calculation 4 3 9 3" xfId="14985" xr:uid="{00000000-0005-0000-0000-00006D2D0000}"/>
    <cellStyle name="Calculation 4 3 9 3 2" xfId="14986" xr:uid="{00000000-0005-0000-0000-00006E2D0000}"/>
    <cellStyle name="Calculation 4 3 9 3 3" xfId="14987" xr:uid="{00000000-0005-0000-0000-00006F2D0000}"/>
    <cellStyle name="Calculation 4 3 9 4" xfId="14988" xr:uid="{00000000-0005-0000-0000-0000702D0000}"/>
    <cellStyle name="Calculation 4 3 9 4 2" xfId="14989" xr:uid="{00000000-0005-0000-0000-0000712D0000}"/>
    <cellStyle name="Calculation 4 3 9 4 3" xfId="14990" xr:uid="{00000000-0005-0000-0000-0000722D0000}"/>
    <cellStyle name="Calculation 4 3 9 5" xfId="14991" xr:uid="{00000000-0005-0000-0000-0000732D0000}"/>
    <cellStyle name="Calculation 4 3 9 5 2" xfId="14992" xr:uid="{00000000-0005-0000-0000-0000742D0000}"/>
    <cellStyle name="Calculation 4 3 9 5 3" xfId="14993" xr:uid="{00000000-0005-0000-0000-0000752D0000}"/>
    <cellStyle name="Calculation 4 3 9 6" xfId="14994" xr:uid="{00000000-0005-0000-0000-0000762D0000}"/>
    <cellStyle name="Calculation 4 3 9 6 2" xfId="14995" xr:uid="{00000000-0005-0000-0000-0000772D0000}"/>
    <cellStyle name="Calculation 4 3 9 6 3" xfId="14996" xr:uid="{00000000-0005-0000-0000-0000782D0000}"/>
    <cellStyle name="Calculation 4 3 9 7" xfId="14997" xr:uid="{00000000-0005-0000-0000-0000792D0000}"/>
    <cellStyle name="Calculation 4 3 9 7 2" xfId="14998" xr:uid="{00000000-0005-0000-0000-00007A2D0000}"/>
    <cellStyle name="Calculation 4 3 9 7 3" xfId="14999" xr:uid="{00000000-0005-0000-0000-00007B2D0000}"/>
    <cellStyle name="Calculation 4 3 9 8" xfId="15000" xr:uid="{00000000-0005-0000-0000-00007C2D0000}"/>
    <cellStyle name="Calculation 4 3 9 9" xfId="15001" xr:uid="{00000000-0005-0000-0000-00007D2D0000}"/>
    <cellStyle name="Calculation 4 4" xfId="15002" xr:uid="{00000000-0005-0000-0000-00007E2D0000}"/>
    <cellStyle name="Calculation 4 4 10" xfId="15003" xr:uid="{00000000-0005-0000-0000-00007F2D0000}"/>
    <cellStyle name="Calculation 4 4 10 2" xfId="15004" xr:uid="{00000000-0005-0000-0000-0000802D0000}"/>
    <cellStyle name="Calculation 4 4 10 3" xfId="15005" xr:uid="{00000000-0005-0000-0000-0000812D0000}"/>
    <cellStyle name="Calculation 4 4 11" xfId="15006" xr:uid="{00000000-0005-0000-0000-0000822D0000}"/>
    <cellStyle name="Calculation 4 4 11 2" xfId="15007" xr:uid="{00000000-0005-0000-0000-0000832D0000}"/>
    <cellStyle name="Calculation 4 4 11 3" xfId="15008" xr:uid="{00000000-0005-0000-0000-0000842D0000}"/>
    <cellStyle name="Calculation 4 4 12" xfId="44030" xr:uid="{00000000-0005-0000-0000-0000852D0000}"/>
    <cellStyle name="Calculation 4 4 2" xfId="15009" xr:uid="{00000000-0005-0000-0000-0000862D0000}"/>
    <cellStyle name="Calculation 4 4 2 10" xfId="15010" xr:uid="{00000000-0005-0000-0000-0000872D0000}"/>
    <cellStyle name="Calculation 4 4 2 2" xfId="15011" xr:uid="{00000000-0005-0000-0000-0000882D0000}"/>
    <cellStyle name="Calculation 4 4 2 2 2" xfId="15012" xr:uid="{00000000-0005-0000-0000-0000892D0000}"/>
    <cellStyle name="Calculation 4 4 2 2 2 2" xfId="15013" xr:uid="{00000000-0005-0000-0000-00008A2D0000}"/>
    <cellStyle name="Calculation 4 4 2 2 2 3" xfId="15014" xr:uid="{00000000-0005-0000-0000-00008B2D0000}"/>
    <cellStyle name="Calculation 4 4 2 2 3" xfId="15015" xr:uid="{00000000-0005-0000-0000-00008C2D0000}"/>
    <cellStyle name="Calculation 4 4 2 2 3 2" xfId="15016" xr:uid="{00000000-0005-0000-0000-00008D2D0000}"/>
    <cellStyle name="Calculation 4 4 2 2 3 3" xfId="15017" xr:uid="{00000000-0005-0000-0000-00008E2D0000}"/>
    <cellStyle name="Calculation 4 4 2 2 4" xfId="15018" xr:uid="{00000000-0005-0000-0000-00008F2D0000}"/>
    <cellStyle name="Calculation 4 4 2 2 4 2" xfId="15019" xr:uid="{00000000-0005-0000-0000-0000902D0000}"/>
    <cellStyle name="Calculation 4 4 2 2 4 3" xfId="15020" xr:uid="{00000000-0005-0000-0000-0000912D0000}"/>
    <cellStyle name="Calculation 4 4 2 2 5" xfId="15021" xr:uid="{00000000-0005-0000-0000-0000922D0000}"/>
    <cellStyle name="Calculation 4 4 2 2 5 2" xfId="15022" xr:uid="{00000000-0005-0000-0000-0000932D0000}"/>
    <cellStyle name="Calculation 4 4 2 2 5 3" xfId="15023" xr:uid="{00000000-0005-0000-0000-0000942D0000}"/>
    <cellStyle name="Calculation 4 4 2 2 6" xfId="15024" xr:uid="{00000000-0005-0000-0000-0000952D0000}"/>
    <cellStyle name="Calculation 4 4 2 2 6 2" xfId="15025" xr:uid="{00000000-0005-0000-0000-0000962D0000}"/>
    <cellStyle name="Calculation 4 4 2 2 6 3" xfId="15026" xr:uid="{00000000-0005-0000-0000-0000972D0000}"/>
    <cellStyle name="Calculation 4 4 2 2 7" xfId="15027" xr:uid="{00000000-0005-0000-0000-0000982D0000}"/>
    <cellStyle name="Calculation 4 4 2 2 7 2" xfId="15028" xr:uid="{00000000-0005-0000-0000-0000992D0000}"/>
    <cellStyle name="Calculation 4 4 2 2 7 3" xfId="15029" xr:uid="{00000000-0005-0000-0000-00009A2D0000}"/>
    <cellStyle name="Calculation 4 4 2 2 8" xfId="15030" xr:uid="{00000000-0005-0000-0000-00009B2D0000}"/>
    <cellStyle name="Calculation 4 4 2 2 9" xfId="15031" xr:uid="{00000000-0005-0000-0000-00009C2D0000}"/>
    <cellStyle name="Calculation 4 4 2 3" xfId="15032" xr:uid="{00000000-0005-0000-0000-00009D2D0000}"/>
    <cellStyle name="Calculation 4 4 2 3 2" xfId="15033" xr:uid="{00000000-0005-0000-0000-00009E2D0000}"/>
    <cellStyle name="Calculation 4 4 2 3 3" xfId="15034" xr:uid="{00000000-0005-0000-0000-00009F2D0000}"/>
    <cellStyle name="Calculation 4 4 2 4" xfId="15035" xr:uid="{00000000-0005-0000-0000-0000A02D0000}"/>
    <cellStyle name="Calculation 4 4 2 4 2" xfId="15036" xr:uid="{00000000-0005-0000-0000-0000A12D0000}"/>
    <cellStyle name="Calculation 4 4 2 4 3" xfId="15037" xr:uid="{00000000-0005-0000-0000-0000A22D0000}"/>
    <cellStyle name="Calculation 4 4 2 5" xfId="15038" xr:uid="{00000000-0005-0000-0000-0000A32D0000}"/>
    <cellStyle name="Calculation 4 4 2 5 2" xfId="15039" xr:uid="{00000000-0005-0000-0000-0000A42D0000}"/>
    <cellStyle name="Calculation 4 4 2 5 3" xfId="15040" xr:uid="{00000000-0005-0000-0000-0000A52D0000}"/>
    <cellStyle name="Calculation 4 4 2 6" xfId="15041" xr:uid="{00000000-0005-0000-0000-0000A62D0000}"/>
    <cellStyle name="Calculation 4 4 2 6 2" xfId="15042" xr:uid="{00000000-0005-0000-0000-0000A72D0000}"/>
    <cellStyle name="Calculation 4 4 2 6 3" xfId="15043" xr:uid="{00000000-0005-0000-0000-0000A82D0000}"/>
    <cellStyle name="Calculation 4 4 2 7" xfId="15044" xr:uid="{00000000-0005-0000-0000-0000A92D0000}"/>
    <cellStyle name="Calculation 4 4 2 7 2" xfId="15045" xr:uid="{00000000-0005-0000-0000-0000AA2D0000}"/>
    <cellStyle name="Calculation 4 4 2 7 3" xfId="15046" xr:uid="{00000000-0005-0000-0000-0000AB2D0000}"/>
    <cellStyle name="Calculation 4 4 2 8" xfId="15047" xr:uid="{00000000-0005-0000-0000-0000AC2D0000}"/>
    <cellStyle name="Calculation 4 4 2 8 2" xfId="15048" xr:uid="{00000000-0005-0000-0000-0000AD2D0000}"/>
    <cellStyle name="Calculation 4 4 2 8 3" xfId="15049" xr:uid="{00000000-0005-0000-0000-0000AE2D0000}"/>
    <cellStyle name="Calculation 4 4 2 9" xfId="15050" xr:uid="{00000000-0005-0000-0000-0000AF2D0000}"/>
    <cellStyle name="Calculation 4 4 3" xfId="15051" xr:uid="{00000000-0005-0000-0000-0000B02D0000}"/>
    <cellStyle name="Calculation 4 4 3 10" xfId="15052" xr:uid="{00000000-0005-0000-0000-0000B12D0000}"/>
    <cellStyle name="Calculation 4 4 3 2" xfId="15053" xr:uid="{00000000-0005-0000-0000-0000B22D0000}"/>
    <cellStyle name="Calculation 4 4 3 2 2" xfId="15054" xr:uid="{00000000-0005-0000-0000-0000B32D0000}"/>
    <cellStyle name="Calculation 4 4 3 2 2 2" xfId="15055" xr:uid="{00000000-0005-0000-0000-0000B42D0000}"/>
    <cellStyle name="Calculation 4 4 3 2 2 3" xfId="15056" xr:uid="{00000000-0005-0000-0000-0000B52D0000}"/>
    <cellStyle name="Calculation 4 4 3 2 3" xfId="15057" xr:uid="{00000000-0005-0000-0000-0000B62D0000}"/>
    <cellStyle name="Calculation 4 4 3 2 3 2" xfId="15058" xr:uid="{00000000-0005-0000-0000-0000B72D0000}"/>
    <cellStyle name="Calculation 4 4 3 2 3 3" xfId="15059" xr:uid="{00000000-0005-0000-0000-0000B82D0000}"/>
    <cellStyle name="Calculation 4 4 3 2 4" xfId="15060" xr:uid="{00000000-0005-0000-0000-0000B92D0000}"/>
    <cellStyle name="Calculation 4 4 3 2 4 2" xfId="15061" xr:uid="{00000000-0005-0000-0000-0000BA2D0000}"/>
    <cellStyle name="Calculation 4 4 3 2 4 3" xfId="15062" xr:uid="{00000000-0005-0000-0000-0000BB2D0000}"/>
    <cellStyle name="Calculation 4 4 3 2 5" xfId="15063" xr:uid="{00000000-0005-0000-0000-0000BC2D0000}"/>
    <cellStyle name="Calculation 4 4 3 2 5 2" xfId="15064" xr:uid="{00000000-0005-0000-0000-0000BD2D0000}"/>
    <cellStyle name="Calculation 4 4 3 2 5 3" xfId="15065" xr:uid="{00000000-0005-0000-0000-0000BE2D0000}"/>
    <cellStyle name="Calculation 4 4 3 2 6" xfId="15066" xr:uid="{00000000-0005-0000-0000-0000BF2D0000}"/>
    <cellStyle name="Calculation 4 4 3 2 6 2" xfId="15067" xr:uid="{00000000-0005-0000-0000-0000C02D0000}"/>
    <cellStyle name="Calculation 4 4 3 2 6 3" xfId="15068" xr:uid="{00000000-0005-0000-0000-0000C12D0000}"/>
    <cellStyle name="Calculation 4 4 3 2 7" xfId="15069" xr:uid="{00000000-0005-0000-0000-0000C22D0000}"/>
    <cellStyle name="Calculation 4 4 3 2 7 2" xfId="15070" xr:uid="{00000000-0005-0000-0000-0000C32D0000}"/>
    <cellStyle name="Calculation 4 4 3 2 7 3" xfId="15071" xr:uid="{00000000-0005-0000-0000-0000C42D0000}"/>
    <cellStyle name="Calculation 4 4 3 2 8" xfId="15072" xr:uid="{00000000-0005-0000-0000-0000C52D0000}"/>
    <cellStyle name="Calculation 4 4 3 2 9" xfId="15073" xr:uid="{00000000-0005-0000-0000-0000C62D0000}"/>
    <cellStyle name="Calculation 4 4 3 3" xfId="15074" xr:uid="{00000000-0005-0000-0000-0000C72D0000}"/>
    <cellStyle name="Calculation 4 4 3 3 2" xfId="15075" xr:uid="{00000000-0005-0000-0000-0000C82D0000}"/>
    <cellStyle name="Calculation 4 4 3 3 3" xfId="15076" xr:uid="{00000000-0005-0000-0000-0000C92D0000}"/>
    <cellStyle name="Calculation 4 4 3 4" xfId="15077" xr:uid="{00000000-0005-0000-0000-0000CA2D0000}"/>
    <cellStyle name="Calculation 4 4 3 4 2" xfId="15078" xr:uid="{00000000-0005-0000-0000-0000CB2D0000}"/>
    <cellStyle name="Calculation 4 4 3 4 3" xfId="15079" xr:uid="{00000000-0005-0000-0000-0000CC2D0000}"/>
    <cellStyle name="Calculation 4 4 3 5" xfId="15080" xr:uid="{00000000-0005-0000-0000-0000CD2D0000}"/>
    <cellStyle name="Calculation 4 4 3 5 2" xfId="15081" xr:uid="{00000000-0005-0000-0000-0000CE2D0000}"/>
    <cellStyle name="Calculation 4 4 3 5 3" xfId="15082" xr:uid="{00000000-0005-0000-0000-0000CF2D0000}"/>
    <cellStyle name="Calculation 4 4 3 6" xfId="15083" xr:uid="{00000000-0005-0000-0000-0000D02D0000}"/>
    <cellStyle name="Calculation 4 4 3 6 2" xfId="15084" xr:uid="{00000000-0005-0000-0000-0000D12D0000}"/>
    <cellStyle name="Calculation 4 4 3 6 3" xfId="15085" xr:uid="{00000000-0005-0000-0000-0000D22D0000}"/>
    <cellStyle name="Calculation 4 4 3 7" xfId="15086" xr:uid="{00000000-0005-0000-0000-0000D32D0000}"/>
    <cellStyle name="Calculation 4 4 3 7 2" xfId="15087" xr:uid="{00000000-0005-0000-0000-0000D42D0000}"/>
    <cellStyle name="Calculation 4 4 3 7 3" xfId="15088" xr:uid="{00000000-0005-0000-0000-0000D52D0000}"/>
    <cellStyle name="Calculation 4 4 3 8" xfId="15089" xr:uid="{00000000-0005-0000-0000-0000D62D0000}"/>
    <cellStyle name="Calculation 4 4 3 8 2" xfId="15090" xr:uid="{00000000-0005-0000-0000-0000D72D0000}"/>
    <cellStyle name="Calculation 4 4 3 8 3" xfId="15091" xr:uid="{00000000-0005-0000-0000-0000D82D0000}"/>
    <cellStyle name="Calculation 4 4 3 9" xfId="15092" xr:uid="{00000000-0005-0000-0000-0000D92D0000}"/>
    <cellStyle name="Calculation 4 4 4" xfId="15093" xr:uid="{00000000-0005-0000-0000-0000DA2D0000}"/>
    <cellStyle name="Calculation 4 4 4 10" xfId="15094" xr:uid="{00000000-0005-0000-0000-0000DB2D0000}"/>
    <cellStyle name="Calculation 4 4 4 2" xfId="15095" xr:uid="{00000000-0005-0000-0000-0000DC2D0000}"/>
    <cellStyle name="Calculation 4 4 4 2 2" xfId="15096" xr:uid="{00000000-0005-0000-0000-0000DD2D0000}"/>
    <cellStyle name="Calculation 4 4 4 2 2 2" xfId="15097" xr:uid="{00000000-0005-0000-0000-0000DE2D0000}"/>
    <cellStyle name="Calculation 4 4 4 2 2 3" xfId="15098" xr:uid="{00000000-0005-0000-0000-0000DF2D0000}"/>
    <cellStyle name="Calculation 4 4 4 2 3" xfId="15099" xr:uid="{00000000-0005-0000-0000-0000E02D0000}"/>
    <cellStyle name="Calculation 4 4 4 2 3 2" xfId="15100" xr:uid="{00000000-0005-0000-0000-0000E12D0000}"/>
    <cellStyle name="Calculation 4 4 4 2 3 3" xfId="15101" xr:uid="{00000000-0005-0000-0000-0000E22D0000}"/>
    <cellStyle name="Calculation 4 4 4 2 4" xfId="15102" xr:uid="{00000000-0005-0000-0000-0000E32D0000}"/>
    <cellStyle name="Calculation 4 4 4 2 4 2" xfId="15103" xr:uid="{00000000-0005-0000-0000-0000E42D0000}"/>
    <cellStyle name="Calculation 4 4 4 2 4 3" xfId="15104" xr:uid="{00000000-0005-0000-0000-0000E52D0000}"/>
    <cellStyle name="Calculation 4 4 4 2 5" xfId="15105" xr:uid="{00000000-0005-0000-0000-0000E62D0000}"/>
    <cellStyle name="Calculation 4 4 4 2 5 2" xfId="15106" xr:uid="{00000000-0005-0000-0000-0000E72D0000}"/>
    <cellStyle name="Calculation 4 4 4 2 5 3" xfId="15107" xr:uid="{00000000-0005-0000-0000-0000E82D0000}"/>
    <cellStyle name="Calculation 4 4 4 2 6" xfId="15108" xr:uid="{00000000-0005-0000-0000-0000E92D0000}"/>
    <cellStyle name="Calculation 4 4 4 2 6 2" xfId="15109" xr:uid="{00000000-0005-0000-0000-0000EA2D0000}"/>
    <cellStyle name="Calculation 4 4 4 2 6 3" xfId="15110" xr:uid="{00000000-0005-0000-0000-0000EB2D0000}"/>
    <cellStyle name="Calculation 4 4 4 2 7" xfId="15111" xr:uid="{00000000-0005-0000-0000-0000EC2D0000}"/>
    <cellStyle name="Calculation 4 4 4 2 7 2" xfId="15112" xr:uid="{00000000-0005-0000-0000-0000ED2D0000}"/>
    <cellStyle name="Calculation 4 4 4 2 7 3" xfId="15113" xr:uid="{00000000-0005-0000-0000-0000EE2D0000}"/>
    <cellStyle name="Calculation 4 4 4 2 8" xfId="15114" xr:uid="{00000000-0005-0000-0000-0000EF2D0000}"/>
    <cellStyle name="Calculation 4 4 4 2 9" xfId="15115" xr:uid="{00000000-0005-0000-0000-0000F02D0000}"/>
    <cellStyle name="Calculation 4 4 4 3" xfId="15116" xr:uid="{00000000-0005-0000-0000-0000F12D0000}"/>
    <cellStyle name="Calculation 4 4 4 3 2" xfId="15117" xr:uid="{00000000-0005-0000-0000-0000F22D0000}"/>
    <cellStyle name="Calculation 4 4 4 3 3" xfId="15118" xr:uid="{00000000-0005-0000-0000-0000F32D0000}"/>
    <cellStyle name="Calculation 4 4 4 4" xfId="15119" xr:uid="{00000000-0005-0000-0000-0000F42D0000}"/>
    <cellStyle name="Calculation 4 4 4 4 2" xfId="15120" xr:uid="{00000000-0005-0000-0000-0000F52D0000}"/>
    <cellStyle name="Calculation 4 4 4 4 3" xfId="15121" xr:uid="{00000000-0005-0000-0000-0000F62D0000}"/>
    <cellStyle name="Calculation 4 4 4 5" xfId="15122" xr:uid="{00000000-0005-0000-0000-0000F72D0000}"/>
    <cellStyle name="Calculation 4 4 4 5 2" xfId="15123" xr:uid="{00000000-0005-0000-0000-0000F82D0000}"/>
    <cellStyle name="Calculation 4 4 4 5 3" xfId="15124" xr:uid="{00000000-0005-0000-0000-0000F92D0000}"/>
    <cellStyle name="Calculation 4 4 4 6" xfId="15125" xr:uid="{00000000-0005-0000-0000-0000FA2D0000}"/>
    <cellStyle name="Calculation 4 4 4 6 2" xfId="15126" xr:uid="{00000000-0005-0000-0000-0000FB2D0000}"/>
    <cellStyle name="Calculation 4 4 4 6 3" xfId="15127" xr:uid="{00000000-0005-0000-0000-0000FC2D0000}"/>
    <cellStyle name="Calculation 4 4 4 7" xfId="15128" xr:uid="{00000000-0005-0000-0000-0000FD2D0000}"/>
    <cellStyle name="Calculation 4 4 4 7 2" xfId="15129" xr:uid="{00000000-0005-0000-0000-0000FE2D0000}"/>
    <cellStyle name="Calculation 4 4 4 7 3" xfId="15130" xr:uid="{00000000-0005-0000-0000-0000FF2D0000}"/>
    <cellStyle name="Calculation 4 4 4 8" xfId="15131" xr:uid="{00000000-0005-0000-0000-0000002E0000}"/>
    <cellStyle name="Calculation 4 4 4 8 2" xfId="15132" xr:uid="{00000000-0005-0000-0000-0000012E0000}"/>
    <cellStyle name="Calculation 4 4 4 8 3" xfId="15133" xr:uid="{00000000-0005-0000-0000-0000022E0000}"/>
    <cellStyle name="Calculation 4 4 4 9" xfId="15134" xr:uid="{00000000-0005-0000-0000-0000032E0000}"/>
    <cellStyle name="Calculation 4 4 5" xfId="15135" xr:uid="{00000000-0005-0000-0000-0000042E0000}"/>
    <cellStyle name="Calculation 4 4 5 2" xfId="15136" xr:uid="{00000000-0005-0000-0000-0000052E0000}"/>
    <cellStyle name="Calculation 4 4 5 2 2" xfId="15137" xr:uid="{00000000-0005-0000-0000-0000062E0000}"/>
    <cellStyle name="Calculation 4 4 5 2 3" xfId="15138" xr:uid="{00000000-0005-0000-0000-0000072E0000}"/>
    <cellStyle name="Calculation 4 4 5 3" xfId="15139" xr:uid="{00000000-0005-0000-0000-0000082E0000}"/>
    <cellStyle name="Calculation 4 4 5 3 2" xfId="15140" xr:uid="{00000000-0005-0000-0000-0000092E0000}"/>
    <cellStyle name="Calculation 4 4 5 3 3" xfId="15141" xr:uid="{00000000-0005-0000-0000-00000A2E0000}"/>
    <cellStyle name="Calculation 4 4 5 4" xfId="15142" xr:uid="{00000000-0005-0000-0000-00000B2E0000}"/>
    <cellStyle name="Calculation 4 4 5 4 2" xfId="15143" xr:uid="{00000000-0005-0000-0000-00000C2E0000}"/>
    <cellStyle name="Calculation 4 4 5 4 3" xfId="15144" xr:uid="{00000000-0005-0000-0000-00000D2E0000}"/>
    <cellStyle name="Calculation 4 4 5 5" xfId="15145" xr:uid="{00000000-0005-0000-0000-00000E2E0000}"/>
    <cellStyle name="Calculation 4 4 5 5 2" xfId="15146" xr:uid="{00000000-0005-0000-0000-00000F2E0000}"/>
    <cellStyle name="Calculation 4 4 5 5 3" xfId="15147" xr:uid="{00000000-0005-0000-0000-0000102E0000}"/>
    <cellStyle name="Calculation 4 4 5 6" xfId="15148" xr:uid="{00000000-0005-0000-0000-0000112E0000}"/>
    <cellStyle name="Calculation 4 4 5 6 2" xfId="15149" xr:uid="{00000000-0005-0000-0000-0000122E0000}"/>
    <cellStyle name="Calculation 4 4 5 6 3" xfId="15150" xr:uid="{00000000-0005-0000-0000-0000132E0000}"/>
    <cellStyle name="Calculation 4 4 5 7" xfId="15151" xr:uid="{00000000-0005-0000-0000-0000142E0000}"/>
    <cellStyle name="Calculation 4 4 5 7 2" xfId="15152" xr:uid="{00000000-0005-0000-0000-0000152E0000}"/>
    <cellStyle name="Calculation 4 4 5 7 3" xfId="15153" xr:uid="{00000000-0005-0000-0000-0000162E0000}"/>
    <cellStyle name="Calculation 4 4 5 8" xfId="15154" xr:uid="{00000000-0005-0000-0000-0000172E0000}"/>
    <cellStyle name="Calculation 4 4 5 9" xfId="15155" xr:uid="{00000000-0005-0000-0000-0000182E0000}"/>
    <cellStyle name="Calculation 4 4 6" xfId="15156" xr:uid="{00000000-0005-0000-0000-0000192E0000}"/>
    <cellStyle name="Calculation 4 4 6 2" xfId="15157" xr:uid="{00000000-0005-0000-0000-00001A2E0000}"/>
    <cellStyle name="Calculation 4 4 6 3" xfId="15158" xr:uid="{00000000-0005-0000-0000-00001B2E0000}"/>
    <cellStyle name="Calculation 4 4 7" xfId="15159" xr:uid="{00000000-0005-0000-0000-00001C2E0000}"/>
    <cellStyle name="Calculation 4 4 7 2" xfId="15160" xr:uid="{00000000-0005-0000-0000-00001D2E0000}"/>
    <cellStyle name="Calculation 4 4 7 3" xfId="15161" xr:uid="{00000000-0005-0000-0000-00001E2E0000}"/>
    <cellStyle name="Calculation 4 4 8" xfId="15162" xr:uid="{00000000-0005-0000-0000-00001F2E0000}"/>
    <cellStyle name="Calculation 4 4 8 2" xfId="15163" xr:uid="{00000000-0005-0000-0000-0000202E0000}"/>
    <cellStyle name="Calculation 4 4 8 3" xfId="15164" xr:uid="{00000000-0005-0000-0000-0000212E0000}"/>
    <cellStyle name="Calculation 4 4 9" xfId="15165" xr:uid="{00000000-0005-0000-0000-0000222E0000}"/>
    <cellStyle name="Calculation 4 4 9 2" xfId="15166" xr:uid="{00000000-0005-0000-0000-0000232E0000}"/>
    <cellStyle name="Calculation 4 4 9 3" xfId="15167" xr:uid="{00000000-0005-0000-0000-0000242E0000}"/>
    <cellStyle name="Calculation 4 5" xfId="15168" xr:uid="{00000000-0005-0000-0000-0000252E0000}"/>
    <cellStyle name="Calculation 4 5 10" xfId="15169" xr:uid="{00000000-0005-0000-0000-0000262E0000}"/>
    <cellStyle name="Calculation 4 5 2" xfId="15170" xr:uid="{00000000-0005-0000-0000-0000272E0000}"/>
    <cellStyle name="Calculation 4 5 2 2" xfId="15171" xr:uid="{00000000-0005-0000-0000-0000282E0000}"/>
    <cellStyle name="Calculation 4 5 2 2 2" xfId="15172" xr:uid="{00000000-0005-0000-0000-0000292E0000}"/>
    <cellStyle name="Calculation 4 5 2 2 3" xfId="15173" xr:uid="{00000000-0005-0000-0000-00002A2E0000}"/>
    <cellStyle name="Calculation 4 5 2 3" xfId="15174" xr:uid="{00000000-0005-0000-0000-00002B2E0000}"/>
    <cellStyle name="Calculation 4 5 2 3 2" xfId="15175" xr:uid="{00000000-0005-0000-0000-00002C2E0000}"/>
    <cellStyle name="Calculation 4 5 2 3 3" xfId="15176" xr:uid="{00000000-0005-0000-0000-00002D2E0000}"/>
    <cellStyle name="Calculation 4 5 2 4" xfId="15177" xr:uid="{00000000-0005-0000-0000-00002E2E0000}"/>
    <cellStyle name="Calculation 4 5 2 4 2" xfId="15178" xr:uid="{00000000-0005-0000-0000-00002F2E0000}"/>
    <cellStyle name="Calculation 4 5 2 4 3" xfId="15179" xr:uid="{00000000-0005-0000-0000-0000302E0000}"/>
    <cellStyle name="Calculation 4 5 2 5" xfId="15180" xr:uid="{00000000-0005-0000-0000-0000312E0000}"/>
    <cellStyle name="Calculation 4 5 2 5 2" xfId="15181" xr:uid="{00000000-0005-0000-0000-0000322E0000}"/>
    <cellStyle name="Calculation 4 5 2 5 3" xfId="15182" xr:uid="{00000000-0005-0000-0000-0000332E0000}"/>
    <cellStyle name="Calculation 4 5 2 6" xfId="15183" xr:uid="{00000000-0005-0000-0000-0000342E0000}"/>
    <cellStyle name="Calculation 4 5 2 6 2" xfId="15184" xr:uid="{00000000-0005-0000-0000-0000352E0000}"/>
    <cellStyle name="Calculation 4 5 2 6 3" xfId="15185" xr:uid="{00000000-0005-0000-0000-0000362E0000}"/>
    <cellStyle name="Calculation 4 5 2 7" xfId="15186" xr:uid="{00000000-0005-0000-0000-0000372E0000}"/>
    <cellStyle name="Calculation 4 5 2 7 2" xfId="15187" xr:uid="{00000000-0005-0000-0000-0000382E0000}"/>
    <cellStyle name="Calculation 4 5 2 7 3" xfId="15188" xr:uid="{00000000-0005-0000-0000-0000392E0000}"/>
    <cellStyle name="Calculation 4 5 2 8" xfId="15189" xr:uid="{00000000-0005-0000-0000-00003A2E0000}"/>
    <cellStyle name="Calculation 4 5 2 9" xfId="15190" xr:uid="{00000000-0005-0000-0000-00003B2E0000}"/>
    <cellStyle name="Calculation 4 5 3" xfId="15191" xr:uid="{00000000-0005-0000-0000-00003C2E0000}"/>
    <cellStyle name="Calculation 4 5 3 2" xfId="15192" xr:uid="{00000000-0005-0000-0000-00003D2E0000}"/>
    <cellStyle name="Calculation 4 5 3 3" xfId="15193" xr:uid="{00000000-0005-0000-0000-00003E2E0000}"/>
    <cellStyle name="Calculation 4 5 4" xfId="15194" xr:uid="{00000000-0005-0000-0000-00003F2E0000}"/>
    <cellStyle name="Calculation 4 5 4 2" xfId="15195" xr:uid="{00000000-0005-0000-0000-0000402E0000}"/>
    <cellStyle name="Calculation 4 5 4 3" xfId="15196" xr:uid="{00000000-0005-0000-0000-0000412E0000}"/>
    <cellStyle name="Calculation 4 5 5" xfId="15197" xr:uid="{00000000-0005-0000-0000-0000422E0000}"/>
    <cellStyle name="Calculation 4 5 5 2" xfId="15198" xr:uid="{00000000-0005-0000-0000-0000432E0000}"/>
    <cellStyle name="Calculation 4 5 5 3" xfId="15199" xr:uid="{00000000-0005-0000-0000-0000442E0000}"/>
    <cellStyle name="Calculation 4 5 6" xfId="15200" xr:uid="{00000000-0005-0000-0000-0000452E0000}"/>
    <cellStyle name="Calculation 4 5 6 2" xfId="15201" xr:uid="{00000000-0005-0000-0000-0000462E0000}"/>
    <cellStyle name="Calculation 4 5 6 3" xfId="15202" xr:uid="{00000000-0005-0000-0000-0000472E0000}"/>
    <cellStyle name="Calculation 4 5 7" xfId="15203" xr:uid="{00000000-0005-0000-0000-0000482E0000}"/>
    <cellStyle name="Calculation 4 5 7 2" xfId="15204" xr:uid="{00000000-0005-0000-0000-0000492E0000}"/>
    <cellStyle name="Calculation 4 5 7 3" xfId="15205" xr:uid="{00000000-0005-0000-0000-00004A2E0000}"/>
    <cellStyle name="Calculation 4 5 8" xfId="15206" xr:uid="{00000000-0005-0000-0000-00004B2E0000}"/>
    <cellStyle name="Calculation 4 5 8 2" xfId="15207" xr:uid="{00000000-0005-0000-0000-00004C2E0000}"/>
    <cellStyle name="Calculation 4 5 8 3" xfId="15208" xr:uid="{00000000-0005-0000-0000-00004D2E0000}"/>
    <cellStyle name="Calculation 4 5 9" xfId="15209" xr:uid="{00000000-0005-0000-0000-00004E2E0000}"/>
    <cellStyle name="Calculation 4 6" xfId="15210" xr:uid="{00000000-0005-0000-0000-00004F2E0000}"/>
    <cellStyle name="Calculation 4 6 10" xfId="15211" xr:uid="{00000000-0005-0000-0000-0000502E0000}"/>
    <cellStyle name="Calculation 4 6 2" xfId="15212" xr:uid="{00000000-0005-0000-0000-0000512E0000}"/>
    <cellStyle name="Calculation 4 6 2 2" xfId="15213" xr:uid="{00000000-0005-0000-0000-0000522E0000}"/>
    <cellStyle name="Calculation 4 6 2 2 2" xfId="15214" xr:uid="{00000000-0005-0000-0000-0000532E0000}"/>
    <cellStyle name="Calculation 4 6 2 2 3" xfId="15215" xr:uid="{00000000-0005-0000-0000-0000542E0000}"/>
    <cellStyle name="Calculation 4 6 2 3" xfId="15216" xr:uid="{00000000-0005-0000-0000-0000552E0000}"/>
    <cellStyle name="Calculation 4 6 2 3 2" xfId="15217" xr:uid="{00000000-0005-0000-0000-0000562E0000}"/>
    <cellStyle name="Calculation 4 6 2 3 3" xfId="15218" xr:uid="{00000000-0005-0000-0000-0000572E0000}"/>
    <cellStyle name="Calculation 4 6 2 4" xfId="15219" xr:uid="{00000000-0005-0000-0000-0000582E0000}"/>
    <cellStyle name="Calculation 4 6 2 4 2" xfId="15220" xr:uid="{00000000-0005-0000-0000-0000592E0000}"/>
    <cellStyle name="Calculation 4 6 2 4 3" xfId="15221" xr:uid="{00000000-0005-0000-0000-00005A2E0000}"/>
    <cellStyle name="Calculation 4 6 2 5" xfId="15222" xr:uid="{00000000-0005-0000-0000-00005B2E0000}"/>
    <cellStyle name="Calculation 4 6 2 5 2" xfId="15223" xr:uid="{00000000-0005-0000-0000-00005C2E0000}"/>
    <cellStyle name="Calculation 4 6 2 5 3" xfId="15224" xr:uid="{00000000-0005-0000-0000-00005D2E0000}"/>
    <cellStyle name="Calculation 4 6 2 6" xfId="15225" xr:uid="{00000000-0005-0000-0000-00005E2E0000}"/>
    <cellStyle name="Calculation 4 6 2 6 2" xfId="15226" xr:uid="{00000000-0005-0000-0000-00005F2E0000}"/>
    <cellStyle name="Calculation 4 6 2 6 3" xfId="15227" xr:uid="{00000000-0005-0000-0000-0000602E0000}"/>
    <cellStyle name="Calculation 4 6 2 7" xfId="15228" xr:uid="{00000000-0005-0000-0000-0000612E0000}"/>
    <cellStyle name="Calculation 4 6 2 7 2" xfId="15229" xr:uid="{00000000-0005-0000-0000-0000622E0000}"/>
    <cellStyle name="Calculation 4 6 2 7 3" xfId="15230" xr:uid="{00000000-0005-0000-0000-0000632E0000}"/>
    <cellStyle name="Calculation 4 6 2 8" xfId="15231" xr:uid="{00000000-0005-0000-0000-0000642E0000}"/>
    <cellStyle name="Calculation 4 6 2 9" xfId="15232" xr:uid="{00000000-0005-0000-0000-0000652E0000}"/>
    <cellStyle name="Calculation 4 6 3" xfId="15233" xr:uid="{00000000-0005-0000-0000-0000662E0000}"/>
    <cellStyle name="Calculation 4 6 3 2" xfId="15234" xr:uid="{00000000-0005-0000-0000-0000672E0000}"/>
    <cellStyle name="Calculation 4 6 3 3" xfId="15235" xr:uid="{00000000-0005-0000-0000-0000682E0000}"/>
    <cellStyle name="Calculation 4 6 4" xfId="15236" xr:uid="{00000000-0005-0000-0000-0000692E0000}"/>
    <cellStyle name="Calculation 4 6 4 2" xfId="15237" xr:uid="{00000000-0005-0000-0000-00006A2E0000}"/>
    <cellStyle name="Calculation 4 6 4 3" xfId="15238" xr:uid="{00000000-0005-0000-0000-00006B2E0000}"/>
    <cellStyle name="Calculation 4 6 5" xfId="15239" xr:uid="{00000000-0005-0000-0000-00006C2E0000}"/>
    <cellStyle name="Calculation 4 6 5 2" xfId="15240" xr:uid="{00000000-0005-0000-0000-00006D2E0000}"/>
    <cellStyle name="Calculation 4 6 5 3" xfId="15241" xr:uid="{00000000-0005-0000-0000-00006E2E0000}"/>
    <cellStyle name="Calculation 4 6 6" xfId="15242" xr:uid="{00000000-0005-0000-0000-00006F2E0000}"/>
    <cellStyle name="Calculation 4 6 6 2" xfId="15243" xr:uid="{00000000-0005-0000-0000-0000702E0000}"/>
    <cellStyle name="Calculation 4 6 6 3" xfId="15244" xr:uid="{00000000-0005-0000-0000-0000712E0000}"/>
    <cellStyle name="Calculation 4 6 7" xfId="15245" xr:uid="{00000000-0005-0000-0000-0000722E0000}"/>
    <cellStyle name="Calculation 4 6 7 2" xfId="15246" xr:uid="{00000000-0005-0000-0000-0000732E0000}"/>
    <cellStyle name="Calculation 4 6 7 3" xfId="15247" xr:uid="{00000000-0005-0000-0000-0000742E0000}"/>
    <cellStyle name="Calculation 4 6 8" xfId="15248" xr:uid="{00000000-0005-0000-0000-0000752E0000}"/>
    <cellStyle name="Calculation 4 6 8 2" xfId="15249" xr:uid="{00000000-0005-0000-0000-0000762E0000}"/>
    <cellStyle name="Calculation 4 6 8 3" xfId="15250" xr:uid="{00000000-0005-0000-0000-0000772E0000}"/>
    <cellStyle name="Calculation 4 6 9" xfId="15251" xr:uid="{00000000-0005-0000-0000-0000782E0000}"/>
    <cellStyle name="Calculation 4 7" xfId="15252" xr:uid="{00000000-0005-0000-0000-0000792E0000}"/>
    <cellStyle name="Calculation 4 7 10" xfId="15253" xr:uid="{00000000-0005-0000-0000-00007A2E0000}"/>
    <cellStyle name="Calculation 4 7 2" xfId="15254" xr:uid="{00000000-0005-0000-0000-00007B2E0000}"/>
    <cellStyle name="Calculation 4 7 2 2" xfId="15255" xr:uid="{00000000-0005-0000-0000-00007C2E0000}"/>
    <cellStyle name="Calculation 4 7 2 2 2" xfId="15256" xr:uid="{00000000-0005-0000-0000-00007D2E0000}"/>
    <cellStyle name="Calculation 4 7 2 2 3" xfId="15257" xr:uid="{00000000-0005-0000-0000-00007E2E0000}"/>
    <cellStyle name="Calculation 4 7 2 3" xfId="15258" xr:uid="{00000000-0005-0000-0000-00007F2E0000}"/>
    <cellStyle name="Calculation 4 7 2 3 2" xfId="15259" xr:uid="{00000000-0005-0000-0000-0000802E0000}"/>
    <cellStyle name="Calculation 4 7 2 3 3" xfId="15260" xr:uid="{00000000-0005-0000-0000-0000812E0000}"/>
    <cellStyle name="Calculation 4 7 2 4" xfId="15261" xr:uid="{00000000-0005-0000-0000-0000822E0000}"/>
    <cellStyle name="Calculation 4 7 2 4 2" xfId="15262" xr:uid="{00000000-0005-0000-0000-0000832E0000}"/>
    <cellStyle name="Calculation 4 7 2 4 3" xfId="15263" xr:uid="{00000000-0005-0000-0000-0000842E0000}"/>
    <cellStyle name="Calculation 4 7 2 5" xfId="15264" xr:uid="{00000000-0005-0000-0000-0000852E0000}"/>
    <cellStyle name="Calculation 4 7 2 5 2" xfId="15265" xr:uid="{00000000-0005-0000-0000-0000862E0000}"/>
    <cellStyle name="Calculation 4 7 2 5 3" xfId="15266" xr:uid="{00000000-0005-0000-0000-0000872E0000}"/>
    <cellStyle name="Calculation 4 7 2 6" xfId="15267" xr:uid="{00000000-0005-0000-0000-0000882E0000}"/>
    <cellStyle name="Calculation 4 7 2 6 2" xfId="15268" xr:uid="{00000000-0005-0000-0000-0000892E0000}"/>
    <cellStyle name="Calculation 4 7 2 6 3" xfId="15269" xr:uid="{00000000-0005-0000-0000-00008A2E0000}"/>
    <cellStyle name="Calculation 4 7 2 7" xfId="15270" xr:uid="{00000000-0005-0000-0000-00008B2E0000}"/>
    <cellStyle name="Calculation 4 7 2 7 2" xfId="15271" xr:uid="{00000000-0005-0000-0000-00008C2E0000}"/>
    <cellStyle name="Calculation 4 7 2 7 3" xfId="15272" xr:uid="{00000000-0005-0000-0000-00008D2E0000}"/>
    <cellStyle name="Calculation 4 7 2 8" xfId="15273" xr:uid="{00000000-0005-0000-0000-00008E2E0000}"/>
    <cellStyle name="Calculation 4 7 2 9" xfId="15274" xr:uid="{00000000-0005-0000-0000-00008F2E0000}"/>
    <cellStyle name="Calculation 4 7 3" xfId="15275" xr:uid="{00000000-0005-0000-0000-0000902E0000}"/>
    <cellStyle name="Calculation 4 7 3 2" xfId="15276" xr:uid="{00000000-0005-0000-0000-0000912E0000}"/>
    <cellStyle name="Calculation 4 7 3 3" xfId="15277" xr:uid="{00000000-0005-0000-0000-0000922E0000}"/>
    <cellStyle name="Calculation 4 7 4" xfId="15278" xr:uid="{00000000-0005-0000-0000-0000932E0000}"/>
    <cellStyle name="Calculation 4 7 4 2" xfId="15279" xr:uid="{00000000-0005-0000-0000-0000942E0000}"/>
    <cellStyle name="Calculation 4 7 4 3" xfId="15280" xr:uid="{00000000-0005-0000-0000-0000952E0000}"/>
    <cellStyle name="Calculation 4 7 5" xfId="15281" xr:uid="{00000000-0005-0000-0000-0000962E0000}"/>
    <cellStyle name="Calculation 4 7 5 2" xfId="15282" xr:uid="{00000000-0005-0000-0000-0000972E0000}"/>
    <cellStyle name="Calculation 4 7 5 3" xfId="15283" xr:uid="{00000000-0005-0000-0000-0000982E0000}"/>
    <cellStyle name="Calculation 4 7 6" xfId="15284" xr:uid="{00000000-0005-0000-0000-0000992E0000}"/>
    <cellStyle name="Calculation 4 7 6 2" xfId="15285" xr:uid="{00000000-0005-0000-0000-00009A2E0000}"/>
    <cellStyle name="Calculation 4 7 6 3" xfId="15286" xr:uid="{00000000-0005-0000-0000-00009B2E0000}"/>
    <cellStyle name="Calculation 4 7 7" xfId="15287" xr:uid="{00000000-0005-0000-0000-00009C2E0000}"/>
    <cellStyle name="Calculation 4 7 7 2" xfId="15288" xr:uid="{00000000-0005-0000-0000-00009D2E0000}"/>
    <cellStyle name="Calculation 4 7 7 3" xfId="15289" xr:uid="{00000000-0005-0000-0000-00009E2E0000}"/>
    <cellStyle name="Calculation 4 7 8" xfId="15290" xr:uid="{00000000-0005-0000-0000-00009F2E0000}"/>
    <cellStyle name="Calculation 4 7 8 2" xfId="15291" xr:uid="{00000000-0005-0000-0000-0000A02E0000}"/>
    <cellStyle name="Calculation 4 7 8 3" xfId="15292" xr:uid="{00000000-0005-0000-0000-0000A12E0000}"/>
    <cellStyle name="Calculation 4 7 9" xfId="15293" xr:uid="{00000000-0005-0000-0000-0000A22E0000}"/>
    <cellStyle name="Calculation 4 8" xfId="15294" xr:uid="{00000000-0005-0000-0000-0000A32E0000}"/>
    <cellStyle name="Calculation 4 8 2" xfId="15295" xr:uid="{00000000-0005-0000-0000-0000A42E0000}"/>
    <cellStyle name="Calculation 4 8 2 2" xfId="15296" xr:uid="{00000000-0005-0000-0000-0000A52E0000}"/>
    <cellStyle name="Calculation 4 8 2 3" xfId="15297" xr:uid="{00000000-0005-0000-0000-0000A62E0000}"/>
    <cellStyle name="Calculation 4 8 3" xfId="15298" xr:uid="{00000000-0005-0000-0000-0000A72E0000}"/>
    <cellStyle name="Calculation 4 8 3 2" xfId="15299" xr:uid="{00000000-0005-0000-0000-0000A82E0000}"/>
    <cellStyle name="Calculation 4 8 3 3" xfId="15300" xr:uid="{00000000-0005-0000-0000-0000A92E0000}"/>
    <cellStyle name="Calculation 4 8 4" xfId="15301" xr:uid="{00000000-0005-0000-0000-0000AA2E0000}"/>
    <cellStyle name="Calculation 4 8 4 2" xfId="15302" xr:uid="{00000000-0005-0000-0000-0000AB2E0000}"/>
    <cellStyle name="Calculation 4 8 4 3" xfId="15303" xr:uid="{00000000-0005-0000-0000-0000AC2E0000}"/>
    <cellStyle name="Calculation 4 8 5" xfId="15304" xr:uid="{00000000-0005-0000-0000-0000AD2E0000}"/>
    <cellStyle name="Calculation 4 8 5 2" xfId="15305" xr:uid="{00000000-0005-0000-0000-0000AE2E0000}"/>
    <cellStyle name="Calculation 4 8 5 3" xfId="15306" xr:uid="{00000000-0005-0000-0000-0000AF2E0000}"/>
    <cellStyle name="Calculation 4 8 6" xfId="15307" xr:uid="{00000000-0005-0000-0000-0000B02E0000}"/>
    <cellStyle name="Calculation 4 8 6 2" xfId="15308" xr:uid="{00000000-0005-0000-0000-0000B12E0000}"/>
    <cellStyle name="Calculation 4 8 6 3" xfId="15309" xr:uid="{00000000-0005-0000-0000-0000B22E0000}"/>
    <cellStyle name="Calculation 4 8 7" xfId="15310" xr:uid="{00000000-0005-0000-0000-0000B32E0000}"/>
    <cellStyle name="Calculation 4 8 7 2" xfId="15311" xr:uid="{00000000-0005-0000-0000-0000B42E0000}"/>
    <cellStyle name="Calculation 4 8 7 3" xfId="15312" xr:uid="{00000000-0005-0000-0000-0000B52E0000}"/>
    <cellStyle name="Calculation 4 8 8" xfId="15313" xr:uid="{00000000-0005-0000-0000-0000B62E0000}"/>
    <cellStyle name="Calculation 4 8 9" xfId="15314" xr:uid="{00000000-0005-0000-0000-0000B72E0000}"/>
    <cellStyle name="Calculation 4 9" xfId="15315" xr:uid="{00000000-0005-0000-0000-0000B82E0000}"/>
    <cellStyle name="Calculation 4 9 2" xfId="15316" xr:uid="{00000000-0005-0000-0000-0000B92E0000}"/>
    <cellStyle name="Calculation 4 9 3" xfId="15317" xr:uid="{00000000-0005-0000-0000-0000BA2E0000}"/>
    <cellStyle name="Check Cell 2" xfId="205" xr:uid="{00000000-0005-0000-0000-0000BB2E0000}"/>
    <cellStyle name="Check Cell 2 2" xfId="790" xr:uid="{00000000-0005-0000-0000-0000BC2E0000}"/>
    <cellStyle name="Check Cell 2 2 2" xfId="15318" xr:uid="{00000000-0005-0000-0000-0000BD2E0000}"/>
    <cellStyle name="Check Cell 2 3" xfId="791" xr:uid="{00000000-0005-0000-0000-0000BE2E0000}"/>
    <cellStyle name="Check Cell 2 4" xfId="792" xr:uid="{00000000-0005-0000-0000-0000BF2E0000}"/>
    <cellStyle name="Check Cell 2 4 2" xfId="15319" xr:uid="{00000000-0005-0000-0000-0000C02E0000}"/>
    <cellStyle name="Check Cell 2 5" xfId="46154" xr:uid="{00000000-0005-0000-0000-0000C12E0000}"/>
    <cellStyle name="Check Cell 3" xfId="206" xr:uid="{00000000-0005-0000-0000-0000C22E0000}"/>
    <cellStyle name="Check Cell 4" xfId="793" xr:uid="{00000000-0005-0000-0000-0000C32E0000}"/>
    <cellStyle name="Check Cell 4 2" xfId="15320" xr:uid="{00000000-0005-0000-0000-0000C42E0000}"/>
    <cellStyle name="Color" xfId="207" xr:uid="{00000000-0005-0000-0000-0000C52E0000}"/>
    <cellStyle name="combo" xfId="208" xr:uid="{00000000-0005-0000-0000-0000C62E0000}"/>
    <cellStyle name="Comma" xfId="1" builtinId="3"/>
    <cellStyle name="Comma 10" xfId="209" xr:uid="{00000000-0005-0000-0000-0000C82E0000}"/>
    <cellStyle name="Comma 10 2" xfId="210" xr:uid="{00000000-0005-0000-0000-0000C92E0000}"/>
    <cellStyle name="Comma 10 2 2" xfId="46155" xr:uid="{00000000-0005-0000-0000-0000CA2E0000}"/>
    <cellStyle name="Comma 11" xfId="211" xr:uid="{00000000-0005-0000-0000-0000CB2E0000}"/>
    <cellStyle name="Comma 11 2" xfId="212" xr:uid="{00000000-0005-0000-0000-0000CC2E0000}"/>
    <cellStyle name="Comma 11 2 2" xfId="794" xr:uid="{00000000-0005-0000-0000-0000CD2E0000}"/>
    <cellStyle name="Comma 11 2 2 2" xfId="795" xr:uid="{00000000-0005-0000-0000-0000CE2E0000}"/>
    <cellStyle name="Comma 11 2 2 2 2" xfId="15321" xr:uid="{00000000-0005-0000-0000-0000CF2E0000}"/>
    <cellStyle name="Comma 11 2 2 2 2 2" xfId="15322" xr:uid="{00000000-0005-0000-0000-0000D02E0000}"/>
    <cellStyle name="Comma 11 2 2 2 2 2 2" xfId="15323" xr:uid="{00000000-0005-0000-0000-0000D12E0000}"/>
    <cellStyle name="Comma 11 2 2 2 2 2 3" xfId="15324" xr:uid="{00000000-0005-0000-0000-0000D22E0000}"/>
    <cellStyle name="Comma 11 2 2 2 2 3" xfId="15325" xr:uid="{00000000-0005-0000-0000-0000D32E0000}"/>
    <cellStyle name="Comma 11 2 2 2 2 3 2" xfId="15326" xr:uid="{00000000-0005-0000-0000-0000D42E0000}"/>
    <cellStyle name="Comma 11 2 2 2 2 3 3" xfId="15327" xr:uid="{00000000-0005-0000-0000-0000D52E0000}"/>
    <cellStyle name="Comma 11 2 2 2 2 4" xfId="15328" xr:uid="{00000000-0005-0000-0000-0000D62E0000}"/>
    <cellStyle name="Comma 11 2 2 2 2 5" xfId="15329" xr:uid="{00000000-0005-0000-0000-0000D72E0000}"/>
    <cellStyle name="Comma 11 2 2 2 3" xfId="15330" xr:uid="{00000000-0005-0000-0000-0000D82E0000}"/>
    <cellStyle name="Comma 11 2 2 2 3 2" xfId="15331" xr:uid="{00000000-0005-0000-0000-0000D92E0000}"/>
    <cellStyle name="Comma 11 2 2 2 3 3" xfId="15332" xr:uid="{00000000-0005-0000-0000-0000DA2E0000}"/>
    <cellStyle name="Comma 11 2 2 2 4" xfId="15333" xr:uid="{00000000-0005-0000-0000-0000DB2E0000}"/>
    <cellStyle name="Comma 11 2 2 2 4 2" xfId="15334" xr:uid="{00000000-0005-0000-0000-0000DC2E0000}"/>
    <cellStyle name="Comma 11 2 2 2 4 3" xfId="15335" xr:uid="{00000000-0005-0000-0000-0000DD2E0000}"/>
    <cellStyle name="Comma 11 2 2 2 5" xfId="15336" xr:uid="{00000000-0005-0000-0000-0000DE2E0000}"/>
    <cellStyle name="Comma 11 2 2 2 6" xfId="15337" xr:uid="{00000000-0005-0000-0000-0000DF2E0000}"/>
    <cellStyle name="Comma 11 2 2 2 7" xfId="44842" xr:uid="{00000000-0005-0000-0000-0000E02E0000}"/>
    <cellStyle name="Comma 11 2 2 3" xfId="15338" xr:uid="{00000000-0005-0000-0000-0000E12E0000}"/>
    <cellStyle name="Comma 11 2 2 3 2" xfId="15339" xr:uid="{00000000-0005-0000-0000-0000E22E0000}"/>
    <cellStyle name="Comma 11 2 2 3 2 2" xfId="15340" xr:uid="{00000000-0005-0000-0000-0000E32E0000}"/>
    <cellStyle name="Comma 11 2 2 3 2 3" xfId="15341" xr:uid="{00000000-0005-0000-0000-0000E42E0000}"/>
    <cellStyle name="Comma 11 2 2 3 3" xfId="15342" xr:uid="{00000000-0005-0000-0000-0000E52E0000}"/>
    <cellStyle name="Comma 11 2 2 3 3 2" xfId="15343" xr:uid="{00000000-0005-0000-0000-0000E62E0000}"/>
    <cellStyle name="Comma 11 2 2 3 3 3" xfId="15344" xr:uid="{00000000-0005-0000-0000-0000E72E0000}"/>
    <cellStyle name="Comma 11 2 2 3 4" xfId="15345" xr:uid="{00000000-0005-0000-0000-0000E82E0000}"/>
    <cellStyle name="Comma 11 2 2 3 5" xfId="15346" xr:uid="{00000000-0005-0000-0000-0000E92E0000}"/>
    <cellStyle name="Comma 11 2 2 4" xfId="15347" xr:uid="{00000000-0005-0000-0000-0000EA2E0000}"/>
    <cellStyle name="Comma 11 2 2 4 2" xfId="15348" xr:uid="{00000000-0005-0000-0000-0000EB2E0000}"/>
    <cellStyle name="Comma 11 2 2 4 3" xfId="15349" xr:uid="{00000000-0005-0000-0000-0000EC2E0000}"/>
    <cellStyle name="Comma 11 2 2 5" xfId="15350" xr:uid="{00000000-0005-0000-0000-0000ED2E0000}"/>
    <cellStyle name="Comma 11 2 2 5 2" xfId="15351" xr:uid="{00000000-0005-0000-0000-0000EE2E0000}"/>
    <cellStyle name="Comma 11 2 2 5 3" xfId="15352" xr:uid="{00000000-0005-0000-0000-0000EF2E0000}"/>
    <cellStyle name="Comma 11 2 2 6" xfId="15353" xr:uid="{00000000-0005-0000-0000-0000F02E0000}"/>
    <cellStyle name="Comma 11 2 2 7" xfId="15354" xr:uid="{00000000-0005-0000-0000-0000F12E0000}"/>
    <cellStyle name="Comma 11 2 2 8" xfId="44843" xr:uid="{00000000-0005-0000-0000-0000F22E0000}"/>
    <cellStyle name="Comma 11 2 3" xfId="796" xr:uid="{00000000-0005-0000-0000-0000F32E0000}"/>
    <cellStyle name="Comma 11 2 3 2" xfId="15355" xr:uid="{00000000-0005-0000-0000-0000F42E0000}"/>
    <cellStyle name="Comma 11 2 3 2 2" xfId="15356" xr:uid="{00000000-0005-0000-0000-0000F52E0000}"/>
    <cellStyle name="Comma 11 2 3 2 2 2" xfId="15357" xr:uid="{00000000-0005-0000-0000-0000F62E0000}"/>
    <cellStyle name="Comma 11 2 3 2 2 3" xfId="15358" xr:uid="{00000000-0005-0000-0000-0000F72E0000}"/>
    <cellStyle name="Comma 11 2 3 2 3" xfId="15359" xr:uid="{00000000-0005-0000-0000-0000F82E0000}"/>
    <cellStyle name="Comma 11 2 3 2 3 2" xfId="15360" xr:uid="{00000000-0005-0000-0000-0000F92E0000}"/>
    <cellStyle name="Comma 11 2 3 2 3 3" xfId="15361" xr:uid="{00000000-0005-0000-0000-0000FA2E0000}"/>
    <cellStyle name="Comma 11 2 3 2 4" xfId="15362" xr:uid="{00000000-0005-0000-0000-0000FB2E0000}"/>
    <cellStyle name="Comma 11 2 3 2 5" xfId="15363" xr:uid="{00000000-0005-0000-0000-0000FC2E0000}"/>
    <cellStyle name="Comma 11 2 3 3" xfId="15364" xr:uid="{00000000-0005-0000-0000-0000FD2E0000}"/>
    <cellStyle name="Comma 11 2 3 3 2" xfId="15365" xr:uid="{00000000-0005-0000-0000-0000FE2E0000}"/>
    <cellStyle name="Comma 11 2 3 3 3" xfId="15366" xr:uid="{00000000-0005-0000-0000-0000FF2E0000}"/>
    <cellStyle name="Comma 11 2 3 4" xfId="15367" xr:uid="{00000000-0005-0000-0000-0000002F0000}"/>
    <cellStyle name="Comma 11 2 3 4 2" xfId="15368" xr:uid="{00000000-0005-0000-0000-0000012F0000}"/>
    <cellStyle name="Comma 11 2 3 4 3" xfId="15369" xr:uid="{00000000-0005-0000-0000-0000022F0000}"/>
    <cellStyle name="Comma 11 2 3 5" xfId="15370" xr:uid="{00000000-0005-0000-0000-0000032F0000}"/>
    <cellStyle name="Comma 11 2 3 6" xfId="15371" xr:uid="{00000000-0005-0000-0000-0000042F0000}"/>
    <cellStyle name="Comma 11 2 3 7" xfId="44844" xr:uid="{00000000-0005-0000-0000-0000052F0000}"/>
    <cellStyle name="Comma 11 2 4" xfId="15372" xr:uid="{00000000-0005-0000-0000-0000062F0000}"/>
    <cellStyle name="Comma 11 2 4 2" xfId="15373" xr:uid="{00000000-0005-0000-0000-0000072F0000}"/>
    <cellStyle name="Comma 11 2 4 2 2" xfId="15374" xr:uid="{00000000-0005-0000-0000-0000082F0000}"/>
    <cellStyle name="Comma 11 2 4 2 3" xfId="15375" xr:uid="{00000000-0005-0000-0000-0000092F0000}"/>
    <cellStyle name="Comma 11 2 4 3" xfId="15376" xr:uid="{00000000-0005-0000-0000-00000A2F0000}"/>
    <cellStyle name="Comma 11 2 4 3 2" xfId="15377" xr:uid="{00000000-0005-0000-0000-00000B2F0000}"/>
    <cellStyle name="Comma 11 2 4 3 3" xfId="15378" xr:uid="{00000000-0005-0000-0000-00000C2F0000}"/>
    <cellStyle name="Comma 11 2 4 4" xfId="15379" xr:uid="{00000000-0005-0000-0000-00000D2F0000}"/>
    <cellStyle name="Comma 11 2 4 5" xfId="15380" xr:uid="{00000000-0005-0000-0000-00000E2F0000}"/>
    <cellStyle name="Comma 11 2 5" xfId="15381" xr:uid="{00000000-0005-0000-0000-00000F2F0000}"/>
    <cellStyle name="Comma 11 2 5 2" xfId="15382" xr:uid="{00000000-0005-0000-0000-0000102F0000}"/>
    <cellStyle name="Comma 11 2 5 3" xfId="15383" xr:uid="{00000000-0005-0000-0000-0000112F0000}"/>
    <cellStyle name="Comma 11 2 6" xfId="15384" xr:uid="{00000000-0005-0000-0000-0000122F0000}"/>
    <cellStyle name="Comma 11 2 6 2" xfId="15385" xr:uid="{00000000-0005-0000-0000-0000132F0000}"/>
    <cellStyle name="Comma 11 2 6 3" xfId="15386" xr:uid="{00000000-0005-0000-0000-0000142F0000}"/>
    <cellStyle name="Comma 11 2 7" xfId="15387" xr:uid="{00000000-0005-0000-0000-0000152F0000}"/>
    <cellStyle name="Comma 11 2 8" xfId="15388" xr:uid="{00000000-0005-0000-0000-0000162F0000}"/>
    <cellStyle name="Comma 11 3" xfId="797" xr:uid="{00000000-0005-0000-0000-0000172F0000}"/>
    <cellStyle name="Comma 11 3 2" xfId="798" xr:uid="{00000000-0005-0000-0000-0000182F0000}"/>
    <cellStyle name="Comma 11 3 2 2" xfId="15389" xr:uid="{00000000-0005-0000-0000-0000192F0000}"/>
    <cellStyle name="Comma 11 3 2 2 2" xfId="15390" xr:uid="{00000000-0005-0000-0000-00001A2F0000}"/>
    <cellStyle name="Comma 11 3 2 2 2 2" xfId="15391" xr:uid="{00000000-0005-0000-0000-00001B2F0000}"/>
    <cellStyle name="Comma 11 3 2 2 2 3" xfId="15392" xr:uid="{00000000-0005-0000-0000-00001C2F0000}"/>
    <cellStyle name="Comma 11 3 2 2 3" xfId="15393" xr:uid="{00000000-0005-0000-0000-00001D2F0000}"/>
    <cellStyle name="Comma 11 3 2 2 3 2" xfId="15394" xr:uid="{00000000-0005-0000-0000-00001E2F0000}"/>
    <cellStyle name="Comma 11 3 2 2 3 3" xfId="15395" xr:uid="{00000000-0005-0000-0000-00001F2F0000}"/>
    <cellStyle name="Comma 11 3 2 2 4" xfId="15396" xr:uid="{00000000-0005-0000-0000-0000202F0000}"/>
    <cellStyle name="Comma 11 3 2 2 5" xfId="15397" xr:uid="{00000000-0005-0000-0000-0000212F0000}"/>
    <cellStyle name="Comma 11 3 2 3" xfId="15398" xr:uid="{00000000-0005-0000-0000-0000222F0000}"/>
    <cellStyle name="Comma 11 3 2 3 2" xfId="15399" xr:uid="{00000000-0005-0000-0000-0000232F0000}"/>
    <cellStyle name="Comma 11 3 2 3 3" xfId="15400" xr:uid="{00000000-0005-0000-0000-0000242F0000}"/>
    <cellStyle name="Comma 11 3 2 4" xfId="15401" xr:uid="{00000000-0005-0000-0000-0000252F0000}"/>
    <cellStyle name="Comma 11 3 2 4 2" xfId="15402" xr:uid="{00000000-0005-0000-0000-0000262F0000}"/>
    <cellStyle name="Comma 11 3 2 4 3" xfId="15403" xr:uid="{00000000-0005-0000-0000-0000272F0000}"/>
    <cellStyle name="Comma 11 3 2 5" xfId="15404" xr:uid="{00000000-0005-0000-0000-0000282F0000}"/>
    <cellStyle name="Comma 11 3 2 6" xfId="15405" xr:uid="{00000000-0005-0000-0000-0000292F0000}"/>
    <cellStyle name="Comma 11 3 2 7" xfId="44845" xr:uid="{00000000-0005-0000-0000-00002A2F0000}"/>
    <cellStyle name="Comma 11 3 3" xfId="15406" xr:uid="{00000000-0005-0000-0000-00002B2F0000}"/>
    <cellStyle name="Comma 11 3 3 2" xfId="15407" xr:uid="{00000000-0005-0000-0000-00002C2F0000}"/>
    <cellStyle name="Comma 11 3 3 2 2" xfId="15408" xr:uid="{00000000-0005-0000-0000-00002D2F0000}"/>
    <cellStyle name="Comma 11 3 3 2 3" xfId="15409" xr:uid="{00000000-0005-0000-0000-00002E2F0000}"/>
    <cellStyle name="Comma 11 3 3 3" xfId="15410" xr:uid="{00000000-0005-0000-0000-00002F2F0000}"/>
    <cellStyle name="Comma 11 3 3 3 2" xfId="15411" xr:uid="{00000000-0005-0000-0000-0000302F0000}"/>
    <cellStyle name="Comma 11 3 3 3 3" xfId="15412" xr:uid="{00000000-0005-0000-0000-0000312F0000}"/>
    <cellStyle name="Comma 11 3 3 4" xfId="15413" xr:uid="{00000000-0005-0000-0000-0000322F0000}"/>
    <cellStyle name="Comma 11 3 3 5" xfId="15414" xr:uid="{00000000-0005-0000-0000-0000332F0000}"/>
    <cellStyle name="Comma 11 3 4" xfId="15415" xr:uid="{00000000-0005-0000-0000-0000342F0000}"/>
    <cellStyle name="Comma 11 3 4 2" xfId="15416" xr:uid="{00000000-0005-0000-0000-0000352F0000}"/>
    <cellStyle name="Comma 11 3 4 3" xfId="15417" xr:uid="{00000000-0005-0000-0000-0000362F0000}"/>
    <cellStyle name="Comma 11 3 5" xfId="15418" xr:uid="{00000000-0005-0000-0000-0000372F0000}"/>
    <cellStyle name="Comma 11 3 5 2" xfId="15419" xr:uid="{00000000-0005-0000-0000-0000382F0000}"/>
    <cellStyle name="Comma 11 3 5 3" xfId="15420" xr:uid="{00000000-0005-0000-0000-0000392F0000}"/>
    <cellStyle name="Comma 11 3 6" xfId="15421" xr:uid="{00000000-0005-0000-0000-00003A2F0000}"/>
    <cellStyle name="Comma 11 3 7" xfId="15422" xr:uid="{00000000-0005-0000-0000-00003B2F0000}"/>
    <cellStyle name="Comma 11 3 8" xfId="44846" xr:uid="{00000000-0005-0000-0000-00003C2F0000}"/>
    <cellStyle name="Comma 11 4" xfId="799" xr:uid="{00000000-0005-0000-0000-00003D2F0000}"/>
    <cellStyle name="Comma 11 4 2" xfId="15423" xr:uid="{00000000-0005-0000-0000-00003E2F0000}"/>
    <cellStyle name="Comma 11 4 2 2" xfId="15424" xr:uid="{00000000-0005-0000-0000-00003F2F0000}"/>
    <cellStyle name="Comma 11 4 2 2 2" xfId="15425" xr:uid="{00000000-0005-0000-0000-0000402F0000}"/>
    <cellStyle name="Comma 11 4 2 2 3" xfId="15426" xr:uid="{00000000-0005-0000-0000-0000412F0000}"/>
    <cellStyle name="Comma 11 4 2 3" xfId="15427" xr:uid="{00000000-0005-0000-0000-0000422F0000}"/>
    <cellStyle name="Comma 11 4 2 3 2" xfId="15428" xr:uid="{00000000-0005-0000-0000-0000432F0000}"/>
    <cellStyle name="Comma 11 4 2 3 3" xfId="15429" xr:uid="{00000000-0005-0000-0000-0000442F0000}"/>
    <cellStyle name="Comma 11 4 2 4" xfId="15430" xr:uid="{00000000-0005-0000-0000-0000452F0000}"/>
    <cellStyle name="Comma 11 4 2 5" xfId="15431" xr:uid="{00000000-0005-0000-0000-0000462F0000}"/>
    <cellStyle name="Comma 11 4 3" xfId="15432" xr:uid="{00000000-0005-0000-0000-0000472F0000}"/>
    <cellStyle name="Comma 11 4 3 2" xfId="15433" xr:uid="{00000000-0005-0000-0000-0000482F0000}"/>
    <cellStyle name="Comma 11 4 3 3" xfId="15434" xr:uid="{00000000-0005-0000-0000-0000492F0000}"/>
    <cellStyle name="Comma 11 4 4" xfId="15435" xr:uid="{00000000-0005-0000-0000-00004A2F0000}"/>
    <cellStyle name="Comma 11 4 4 2" xfId="15436" xr:uid="{00000000-0005-0000-0000-00004B2F0000}"/>
    <cellStyle name="Comma 11 4 4 3" xfId="15437" xr:uid="{00000000-0005-0000-0000-00004C2F0000}"/>
    <cellStyle name="Comma 11 4 5" xfId="15438" xr:uid="{00000000-0005-0000-0000-00004D2F0000}"/>
    <cellStyle name="Comma 11 4 6" xfId="15439" xr:uid="{00000000-0005-0000-0000-00004E2F0000}"/>
    <cellStyle name="Comma 11 4 7" xfId="44847" xr:uid="{00000000-0005-0000-0000-00004F2F0000}"/>
    <cellStyle name="Comma 11 5" xfId="15440" xr:uid="{00000000-0005-0000-0000-0000502F0000}"/>
    <cellStyle name="Comma 11 5 2" xfId="15441" xr:uid="{00000000-0005-0000-0000-0000512F0000}"/>
    <cellStyle name="Comma 11 5 2 2" xfId="15442" xr:uid="{00000000-0005-0000-0000-0000522F0000}"/>
    <cellStyle name="Comma 11 5 2 3" xfId="15443" xr:uid="{00000000-0005-0000-0000-0000532F0000}"/>
    <cellStyle name="Comma 11 5 3" xfId="15444" xr:uid="{00000000-0005-0000-0000-0000542F0000}"/>
    <cellStyle name="Comma 11 5 3 2" xfId="15445" xr:uid="{00000000-0005-0000-0000-0000552F0000}"/>
    <cellStyle name="Comma 11 5 3 3" xfId="15446" xr:uid="{00000000-0005-0000-0000-0000562F0000}"/>
    <cellStyle name="Comma 11 5 4" xfId="15447" xr:uid="{00000000-0005-0000-0000-0000572F0000}"/>
    <cellStyle name="Comma 11 5 5" xfId="15448" xr:uid="{00000000-0005-0000-0000-0000582F0000}"/>
    <cellStyle name="Comma 11 6" xfId="15449" xr:uid="{00000000-0005-0000-0000-0000592F0000}"/>
    <cellStyle name="Comma 11 6 2" xfId="15450" xr:uid="{00000000-0005-0000-0000-00005A2F0000}"/>
    <cellStyle name="Comma 11 6 3" xfId="15451" xr:uid="{00000000-0005-0000-0000-00005B2F0000}"/>
    <cellStyle name="Comma 11 7" xfId="15452" xr:uid="{00000000-0005-0000-0000-00005C2F0000}"/>
    <cellStyle name="Comma 11 7 2" xfId="15453" xr:uid="{00000000-0005-0000-0000-00005D2F0000}"/>
    <cellStyle name="Comma 11 7 3" xfId="15454" xr:uid="{00000000-0005-0000-0000-00005E2F0000}"/>
    <cellStyle name="Comma 11 8" xfId="15455" xr:uid="{00000000-0005-0000-0000-00005F2F0000}"/>
    <cellStyle name="Comma 11 9" xfId="15456" xr:uid="{00000000-0005-0000-0000-0000602F0000}"/>
    <cellStyle name="Comma 12" xfId="213" xr:uid="{00000000-0005-0000-0000-0000612F0000}"/>
    <cellStyle name="Comma 12 2" xfId="214" xr:uid="{00000000-0005-0000-0000-0000622F0000}"/>
    <cellStyle name="Comma 12 2 2" xfId="215" xr:uid="{00000000-0005-0000-0000-0000632F0000}"/>
    <cellStyle name="Comma 12 2 2 2" xfId="15457" xr:uid="{00000000-0005-0000-0000-0000642F0000}"/>
    <cellStyle name="Comma 12 2 2 2 2" xfId="15458" xr:uid="{00000000-0005-0000-0000-0000652F0000}"/>
    <cellStyle name="Comma 12 2 2 2 2 2" xfId="15459" xr:uid="{00000000-0005-0000-0000-0000662F0000}"/>
    <cellStyle name="Comma 12 2 2 2 2 3" xfId="15460" xr:uid="{00000000-0005-0000-0000-0000672F0000}"/>
    <cellStyle name="Comma 12 2 2 2 3" xfId="15461" xr:uid="{00000000-0005-0000-0000-0000682F0000}"/>
    <cellStyle name="Comma 12 2 2 2 3 2" xfId="15462" xr:uid="{00000000-0005-0000-0000-0000692F0000}"/>
    <cellStyle name="Comma 12 2 2 2 3 3" xfId="15463" xr:uid="{00000000-0005-0000-0000-00006A2F0000}"/>
    <cellStyle name="Comma 12 2 2 2 4" xfId="15464" xr:uid="{00000000-0005-0000-0000-00006B2F0000}"/>
    <cellStyle name="Comma 12 2 2 2 5" xfId="15465" xr:uid="{00000000-0005-0000-0000-00006C2F0000}"/>
    <cellStyle name="Comma 12 2 2 3" xfId="15466" xr:uid="{00000000-0005-0000-0000-00006D2F0000}"/>
    <cellStyle name="Comma 12 2 2 3 2" xfId="15467" xr:uid="{00000000-0005-0000-0000-00006E2F0000}"/>
    <cellStyle name="Comma 12 2 2 3 3" xfId="15468" xr:uid="{00000000-0005-0000-0000-00006F2F0000}"/>
    <cellStyle name="Comma 12 2 2 4" xfId="15469" xr:uid="{00000000-0005-0000-0000-0000702F0000}"/>
    <cellStyle name="Comma 12 2 2 4 2" xfId="15470" xr:uid="{00000000-0005-0000-0000-0000712F0000}"/>
    <cellStyle name="Comma 12 2 2 4 3" xfId="15471" xr:uid="{00000000-0005-0000-0000-0000722F0000}"/>
    <cellStyle name="Comma 12 2 2 5" xfId="15472" xr:uid="{00000000-0005-0000-0000-0000732F0000}"/>
    <cellStyle name="Comma 12 2 2 6" xfId="15473" xr:uid="{00000000-0005-0000-0000-0000742F0000}"/>
    <cellStyle name="Comma 12 2 3" xfId="15474" xr:uid="{00000000-0005-0000-0000-0000752F0000}"/>
    <cellStyle name="Comma 12 2 3 2" xfId="15475" xr:uid="{00000000-0005-0000-0000-0000762F0000}"/>
    <cellStyle name="Comma 12 2 3 2 2" xfId="15476" xr:uid="{00000000-0005-0000-0000-0000772F0000}"/>
    <cellStyle name="Comma 12 2 3 2 3" xfId="15477" xr:uid="{00000000-0005-0000-0000-0000782F0000}"/>
    <cellStyle name="Comma 12 2 3 3" xfId="15478" xr:uid="{00000000-0005-0000-0000-0000792F0000}"/>
    <cellStyle name="Comma 12 2 3 3 2" xfId="15479" xr:uid="{00000000-0005-0000-0000-00007A2F0000}"/>
    <cellStyle name="Comma 12 2 3 3 3" xfId="15480" xr:uid="{00000000-0005-0000-0000-00007B2F0000}"/>
    <cellStyle name="Comma 12 2 3 4" xfId="15481" xr:uid="{00000000-0005-0000-0000-00007C2F0000}"/>
    <cellStyle name="Comma 12 2 3 5" xfId="15482" xr:uid="{00000000-0005-0000-0000-00007D2F0000}"/>
    <cellStyle name="Comma 12 2 4" xfId="15483" xr:uid="{00000000-0005-0000-0000-00007E2F0000}"/>
    <cellStyle name="Comma 12 2 4 2" xfId="15484" xr:uid="{00000000-0005-0000-0000-00007F2F0000}"/>
    <cellStyle name="Comma 12 2 4 3" xfId="15485" xr:uid="{00000000-0005-0000-0000-0000802F0000}"/>
    <cellStyle name="Comma 12 2 5" xfId="15486" xr:uid="{00000000-0005-0000-0000-0000812F0000}"/>
    <cellStyle name="Comma 12 2 5 2" xfId="15487" xr:uid="{00000000-0005-0000-0000-0000822F0000}"/>
    <cellStyle name="Comma 12 2 5 3" xfId="15488" xr:uid="{00000000-0005-0000-0000-0000832F0000}"/>
    <cellStyle name="Comma 12 2 6" xfId="15489" xr:uid="{00000000-0005-0000-0000-0000842F0000}"/>
    <cellStyle name="Comma 12 2 7" xfId="15490" xr:uid="{00000000-0005-0000-0000-0000852F0000}"/>
    <cellStyle name="Comma 12 3" xfId="216" xr:uid="{00000000-0005-0000-0000-0000862F0000}"/>
    <cellStyle name="Comma 12 4" xfId="217" xr:uid="{00000000-0005-0000-0000-0000872F0000}"/>
    <cellStyle name="Comma 12 5" xfId="218" xr:uid="{00000000-0005-0000-0000-0000882F0000}"/>
    <cellStyle name="Comma 12 6" xfId="15491" xr:uid="{00000000-0005-0000-0000-0000892F0000}"/>
    <cellStyle name="Comma 12 7" xfId="46156" xr:uid="{00000000-0005-0000-0000-00008A2F0000}"/>
    <cellStyle name="Comma 13" xfId="219" xr:uid="{00000000-0005-0000-0000-00008B2F0000}"/>
    <cellStyle name="Comma 13 10" xfId="46157" xr:uid="{00000000-0005-0000-0000-00008C2F0000}"/>
    <cellStyle name="Comma 13 2" xfId="220" xr:uid="{00000000-0005-0000-0000-00008D2F0000}"/>
    <cellStyle name="Comma 13 2 2" xfId="15492" xr:uid="{00000000-0005-0000-0000-00008E2F0000}"/>
    <cellStyle name="Comma 13 2 2 2" xfId="15493" xr:uid="{00000000-0005-0000-0000-00008F2F0000}"/>
    <cellStyle name="Comma 13 2 2 2 2" xfId="15494" xr:uid="{00000000-0005-0000-0000-0000902F0000}"/>
    <cellStyle name="Comma 13 2 2 2 2 2" xfId="15495" xr:uid="{00000000-0005-0000-0000-0000912F0000}"/>
    <cellStyle name="Comma 13 2 2 2 2 3" xfId="15496" xr:uid="{00000000-0005-0000-0000-0000922F0000}"/>
    <cellStyle name="Comma 13 2 2 2 3" xfId="15497" xr:uid="{00000000-0005-0000-0000-0000932F0000}"/>
    <cellStyle name="Comma 13 2 2 2 3 2" xfId="15498" xr:uid="{00000000-0005-0000-0000-0000942F0000}"/>
    <cellStyle name="Comma 13 2 2 2 3 3" xfId="15499" xr:uid="{00000000-0005-0000-0000-0000952F0000}"/>
    <cellStyle name="Comma 13 2 2 2 4" xfId="15500" xr:uid="{00000000-0005-0000-0000-0000962F0000}"/>
    <cellStyle name="Comma 13 2 2 2 5" xfId="15501" xr:uid="{00000000-0005-0000-0000-0000972F0000}"/>
    <cellStyle name="Comma 13 2 2 3" xfId="15502" xr:uid="{00000000-0005-0000-0000-0000982F0000}"/>
    <cellStyle name="Comma 13 2 2 3 2" xfId="15503" xr:uid="{00000000-0005-0000-0000-0000992F0000}"/>
    <cellStyle name="Comma 13 2 2 3 3" xfId="15504" xr:uid="{00000000-0005-0000-0000-00009A2F0000}"/>
    <cellStyle name="Comma 13 2 2 4" xfId="15505" xr:uid="{00000000-0005-0000-0000-00009B2F0000}"/>
    <cellStyle name="Comma 13 2 2 4 2" xfId="15506" xr:uid="{00000000-0005-0000-0000-00009C2F0000}"/>
    <cellStyle name="Comma 13 2 2 4 3" xfId="15507" xr:uid="{00000000-0005-0000-0000-00009D2F0000}"/>
    <cellStyle name="Comma 13 2 2 5" xfId="15508" xr:uid="{00000000-0005-0000-0000-00009E2F0000}"/>
    <cellStyle name="Comma 13 2 2 6" xfId="15509" xr:uid="{00000000-0005-0000-0000-00009F2F0000}"/>
    <cellStyle name="Comma 13 2 3" xfId="15510" xr:uid="{00000000-0005-0000-0000-0000A02F0000}"/>
    <cellStyle name="Comma 13 2 3 2" xfId="15511" xr:uid="{00000000-0005-0000-0000-0000A12F0000}"/>
    <cellStyle name="Comma 13 2 3 2 2" xfId="15512" xr:uid="{00000000-0005-0000-0000-0000A22F0000}"/>
    <cellStyle name="Comma 13 2 3 2 3" xfId="15513" xr:uid="{00000000-0005-0000-0000-0000A32F0000}"/>
    <cellStyle name="Comma 13 2 3 3" xfId="15514" xr:uid="{00000000-0005-0000-0000-0000A42F0000}"/>
    <cellStyle name="Comma 13 2 3 3 2" xfId="15515" xr:uid="{00000000-0005-0000-0000-0000A52F0000}"/>
    <cellStyle name="Comma 13 2 3 3 3" xfId="15516" xr:uid="{00000000-0005-0000-0000-0000A62F0000}"/>
    <cellStyle name="Comma 13 2 3 4" xfId="15517" xr:uid="{00000000-0005-0000-0000-0000A72F0000}"/>
    <cellStyle name="Comma 13 2 3 5" xfId="15518" xr:uid="{00000000-0005-0000-0000-0000A82F0000}"/>
    <cellStyle name="Comma 13 2 4" xfId="15519" xr:uid="{00000000-0005-0000-0000-0000A92F0000}"/>
    <cellStyle name="Comma 13 2 4 2" xfId="15520" xr:uid="{00000000-0005-0000-0000-0000AA2F0000}"/>
    <cellStyle name="Comma 13 2 4 3" xfId="15521" xr:uid="{00000000-0005-0000-0000-0000AB2F0000}"/>
    <cellStyle name="Comma 13 2 5" xfId="15522" xr:uid="{00000000-0005-0000-0000-0000AC2F0000}"/>
    <cellStyle name="Comma 13 2 5 2" xfId="15523" xr:uid="{00000000-0005-0000-0000-0000AD2F0000}"/>
    <cellStyle name="Comma 13 2 5 3" xfId="15524" xr:uid="{00000000-0005-0000-0000-0000AE2F0000}"/>
    <cellStyle name="Comma 13 2 6" xfId="15525" xr:uid="{00000000-0005-0000-0000-0000AF2F0000}"/>
    <cellStyle name="Comma 13 2 7" xfId="15526" xr:uid="{00000000-0005-0000-0000-0000B02F0000}"/>
    <cellStyle name="Comma 13 2 8" xfId="44848" xr:uid="{00000000-0005-0000-0000-0000B12F0000}"/>
    <cellStyle name="Comma 13 3" xfId="221" xr:uid="{00000000-0005-0000-0000-0000B22F0000}"/>
    <cellStyle name="Comma 13 3 2" xfId="15527" xr:uid="{00000000-0005-0000-0000-0000B32F0000}"/>
    <cellStyle name="Comma 13 3 2 2" xfId="15528" xr:uid="{00000000-0005-0000-0000-0000B42F0000}"/>
    <cellStyle name="Comma 13 3 2 2 2" xfId="15529" xr:uid="{00000000-0005-0000-0000-0000B52F0000}"/>
    <cellStyle name="Comma 13 3 2 2 3" xfId="15530" xr:uid="{00000000-0005-0000-0000-0000B62F0000}"/>
    <cellStyle name="Comma 13 3 2 3" xfId="15531" xr:uid="{00000000-0005-0000-0000-0000B72F0000}"/>
    <cellStyle name="Comma 13 3 2 3 2" xfId="15532" xr:uid="{00000000-0005-0000-0000-0000B82F0000}"/>
    <cellStyle name="Comma 13 3 2 3 3" xfId="15533" xr:uid="{00000000-0005-0000-0000-0000B92F0000}"/>
    <cellStyle name="Comma 13 3 2 4" xfId="15534" xr:uid="{00000000-0005-0000-0000-0000BA2F0000}"/>
    <cellStyle name="Comma 13 3 2 5" xfId="15535" xr:uid="{00000000-0005-0000-0000-0000BB2F0000}"/>
    <cellStyle name="Comma 13 3 3" xfId="15536" xr:uid="{00000000-0005-0000-0000-0000BC2F0000}"/>
    <cellStyle name="Comma 13 3 3 2" xfId="15537" xr:uid="{00000000-0005-0000-0000-0000BD2F0000}"/>
    <cellStyle name="Comma 13 3 3 3" xfId="15538" xr:uid="{00000000-0005-0000-0000-0000BE2F0000}"/>
    <cellStyle name="Comma 13 3 4" xfId="15539" xr:uid="{00000000-0005-0000-0000-0000BF2F0000}"/>
    <cellStyle name="Comma 13 3 4 2" xfId="15540" xr:uid="{00000000-0005-0000-0000-0000C02F0000}"/>
    <cellStyle name="Comma 13 3 4 3" xfId="15541" xr:uid="{00000000-0005-0000-0000-0000C12F0000}"/>
    <cellStyle name="Comma 13 3 5" xfId="15542" xr:uid="{00000000-0005-0000-0000-0000C22F0000}"/>
    <cellStyle name="Comma 13 3 6" xfId="15543" xr:uid="{00000000-0005-0000-0000-0000C32F0000}"/>
    <cellStyle name="Comma 13 4" xfId="15544" xr:uid="{00000000-0005-0000-0000-0000C42F0000}"/>
    <cellStyle name="Comma 13 4 2" xfId="15545" xr:uid="{00000000-0005-0000-0000-0000C52F0000}"/>
    <cellStyle name="Comma 13 4 2 2" xfId="15546" xr:uid="{00000000-0005-0000-0000-0000C62F0000}"/>
    <cellStyle name="Comma 13 4 2 3" xfId="15547" xr:uid="{00000000-0005-0000-0000-0000C72F0000}"/>
    <cellStyle name="Comma 13 4 3" xfId="15548" xr:uid="{00000000-0005-0000-0000-0000C82F0000}"/>
    <cellStyle name="Comma 13 4 3 2" xfId="15549" xr:uid="{00000000-0005-0000-0000-0000C92F0000}"/>
    <cellStyle name="Comma 13 4 3 3" xfId="15550" xr:uid="{00000000-0005-0000-0000-0000CA2F0000}"/>
    <cellStyle name="Comma 13 4 4" xfId="15551" xr:uid="{00000000-0005-0000-0000-0000CB2F0000}"/>
    <cellStyle name="Comma 13 4 5" xfId="15552" xr:uid="{00000000-0005-0000-0000-0000CC2F0000}"/>
    <cellStyle name="Comma 13 4 6" xfId="44031" xr:uid="{00000000-0005-0000-0000-0000CD2F0000}"/>
    <cellStyle name="Comma 13 5" xfId="15553" xr:uid="{00000000-0005-0000-0000-0000CE2F0000}"/>
    <cellStyle name="Comma 13 5 2" xfId="15554" xr:uid="{00000000-0005-0000-0000-0000CF2F0000}"/>
    <cellStyle name="Comma 13 5 3" xfId="15555" xr:uid="{00000000-0005-0000-0000-0000D02F0000}"/>
    <cellStyle name="Comma 13 6" xfId="15556" xr:uid="{00000000-0005-0000-0000-0000D12F0000}"/>
    <cellStyle name="Comma 13 6 2" xfId="15557" xr:uid="{00000000-0005-0000-0000-0000D22F0000}"/>
    <cellStyle name="Comma 13 6 3" xfId="15558" xr:uid="{00000000-0005-0000-0000-0000D32F0000}"/>
    <cellStyle name="Comma 13 7" xfId="15559" xr:uid="{00000000-0005-0000-0000-0000D42F0000}"/>
    <cellStyle name="Comma 13 8" xfId="15560" xr:uid="{00000000-0005-0000-0000-0000D52F0000}"/>
    <cellStyle name="Comma 13 9" xfId="44032" xr:uid="{00000000-0005-0000-0000-0000D62F0000}"/>
    <cellStyle name="Comma 14" xfId="222" xr:uid="{00000000-0005-0000-0000-0000D72F0000}"/>
    <cellStyle name="Comma 14 2" xfId="800" xr:uid="{00000000-0005-0000-0000-0000D82F0000}"/>
    <cellStyle name="Comma 15" xfId="223" xr:uid="{00000000-0005-0000-0000-0000D92F0000}"/>
    <cellStyle name="Comma 15 2" xfId="224" xr:uid="{00000000-0005-0000-0000-0000DA2F0000}"/>
    <cellStyle name="Comma 15 2 2" xfId="15561" xr:uid="{00000000-0005-0000-0000-0000DB2F0000}"/>
    <cellStyle name="Comma 15 2 3" xfId="44849" xr:uid="{00000000-0005-0000-0000-0000DC2F0000}"/>
    <cellStyle name="Comma 15 3" xfId="225" xr:uid="{00000000-0005-0000-0000-0000DD2F0000}"/>
    <cellStyle name="Comma 15 4" xfId="15562" xr:uid="{00000000-0005-0000-0000-0000DE2F0000}"/>
    <cellStyle name="Comma 15 5" xfId="46158" xr:uid="{00000000-0005-0000-0000-0000DF2F0000}"/>
    <cellStyle name="Comma 16" xfId="226" xr:uid="{00000000-0005-0000-0000-0000E02F0000}"/>
    <cellStyle name="Comma 16 2" xfId="801" xr:uid="{00000000-0005-0000-0000-0000E12F0000}"/>
    <cellStyle name="Comma 16 2 2" xfId="15563" xr:uid="{00000000-0005-0000-0000-0000E22F0000}"/>
    <cellStyle name="Comma 16 2 2 2" xfId="15564" xr:uid="{00000000-0005-0000-0000-0000E32F0000}"/>
    <cellStyle name="Comma 16 2 2 3" xfId="15565" xr:uid="{00000000-0005-0000-0000-0000E42F0000}"/>
    <cellStyle name="Comma 16 2 3" xfId="15566" xr:uid="{00000000-0005-0000-0000-0000E52F0000}"/>
    <cellStyle name="Comma 16 2 3 2" xfId="15567" xr:uid="{00000000-0005-0000-0000-0000E62F0000}"/>
    <cellStyle name="Comma 16 2 3 3" xfId="15568" xr:uid="{00000000-0005-0000-0000-0000E72F0000}"/>
    <cellStyle name="Comma 16 2 4" xfId="15569" xr:uid="{00000000-0005-0000-0000-0000E82F0000}"/>
    <cellStyle name="Comma 16 2 5" xfId="15570" xr:uid="{00000000-0005-0000-0000-0000E92F0000}"/>
    <cellStyle name="Comma 16 3" xfId="802" xr:uid="{00000000-0005-0000-0000-0000EA2F0000}"/>
    <cellStyle name="Comma 16 3 2" xfId="15571" xr:uid="{00000000-0005-0000-0000-0000EB2F0000}"/>
    <cellStyle name="Comma 16 3 3" xfId="15572" xr:uid="{00000000-0005-0000-0000-0000EC2F0000}"/>
    <cellStyle name="Comma 16 4" xfId="15573" xr:uid="{00000000-0005-0000-0000-0000ED2F0000}"/>
    <cellStyle name="Comma 16 4 2" xfId="15574" xr:uid="{00000000-0005-0000-0000-0000EE2F0000}"/>
    <cellStyle name="Comma 16 4 3" xfId="15575" xr:uid="{00000000-0005-0000-0000-0000EF2F0000}"/>
    <cellStyle name="Comma 16 5" xfId="15576" xr:uid="{00000000-0005-0000-0000-0000F02F0000}"/>
    <cellStyle name="Comma 16 6" xfId="15577" xr:uid="{00000000-0005-0000-0000-0000F12F0000}"/>
    <cellStyle name="Comma 17" xfId="227" xr:uid="{00000000-0005-0000-0000-0000F22F0000}"/>
    <cellStyle name="Comma 17 2" xfId="228" xr:uid="{00000000-0005-0000-0000-0000F32F0000}"/>
    <cellStyle name="Comma 17 2 2" xfId="803" xr:uid="{00000000-0005-0000-0000-0000F42F0000}"/>
    <cellStyle name="Comma 17 3" xfId="229" xr:uid="{00000000-0005-0000-0000-0000F52F0000}"/>
    <cellStyle name="Comma 17 3 2" xfId="15578" xr:uid="{00000000-0005-0000-0000-0000F62F0000}"/>
    <cellStyle name="Comma 17 4" xfId="804" xr:uid="{00000000-0005-0000-0000-0000F72F0000}"/>
    <cellStyle name="Comma 17 5" xfId="15579" xr:uid="{00000000-0005-0000-0000-0000F82F0000}"/>
    <cellStyle name="Comma 17 6" xfId="42448" xr:uid="{00000000-0005-0000-0000-0000F92F0000}"/>
    <cellStyle name="Comma 18" xfId="230" xr:uid="{00000000-0005-0000-0000-0000FA2F0000}"/>
    <cellStyle name="Comma 18 2" xfId="231" xr:uid="{00000000-0005-0000-0000-0000FB2F0000}"/>
    <cellStyle name="Comma 18 2 2" xfId="805" xr:uid="{00000000-0005-0000-0000-0000FC2F0000}"/>
    <cellStyle name="Comma 18 3" xfId="232" xr:uid="{00000000-0005-0000-0000-0000FD2F0000}"/>
    <cellStyle name="Comma 18 4" xfId="806" xr:uid="{00000000-0005-0000-0000-0000FE2F0000}"/>
    <cellStyle name="Comma 18 5" xfId="15580" xr:uid="{00000000-0005-0000-0000-0000FF2F0000}"/>
    <cellStyle name="Comma 19" xfId="233" xr:uid="{00000000-0005-0000-0000-000000300000}"/>
    <cellStyle name="Comma 19 2" xfId="807" xr:uid="{00000000-0005-0000-0000-000001300000}"/>
    <cellStyle name="Comma 19 2 2" xfId="15581" xr:uid="{00000000-0005-0000-0000-000002300000}"/>
    <cellStyle name="Comma 19 3" xfId="808" xr:uid="{00000000-0005-0000-0000-000003300000}"/>
    <cellStyle name="Comma 19 4" xfId="809" xr:uid="{00000000-0005-0000-0000-000004300000}"/>
    <cellStyle name="Comma 19 4 2" xfId="42536" xr:uid="{00000000-0005-0000-0000-000005300000}"/>
    <cellStyle name="Comma 19 4 3" xfId="44850" xr:uid="{00000000-0005-0000-0000-000006300000}"/>
    <cellStyle name="Comma 19 5" xfId="15582" xr:uid="{00000000-0005-0000-0000-000007300000}"/>
    <cellStyle name="Comma 19 5 2" xfId="42535" xr:uid="{00000000-0005-0000-0000-000008300000}"/>
    <cellStyle name="Comma 19 5 3" xfId="44851" xr:uid="{00000000-0005-0000-0000-000009300000}"/>
    <cellStyle name="Comma 19 6" xfId="38920" xr:uid="{00000000-0005-0000-0000-00000A300000}"/>
    <cellStyle name="Comma 19 7" xfId="44852" xr:uid="{00000000-0005-0000-0000-00000B300000}"/>
    <cellStyle name="Comma 2" xfId="4" xr:uid="{00000000-0005-0000-0000-00000C300000}"/>
    <cellStyle name="Comma 2 2" xfId="66" xr:uid="{00000000-0005-0000-0000-00000D300000}"/>
    <cellStyle name="Comma 2 2 2" xfId="83" xr:uid="{00000000-0005-0000-0000-00000E300000}"/>
    <cellStyle name="Comma 2 2 2 2" xfId="234" xr:uid="{00000000-0005-0000-0000-00000F300000}"/>
    <cellStyle name="Comma 2 2 2 2 2" xfId="810" xr:uid="{00000000-0005-0000-0000-000010300000}"/>
    <cellStyle name="Comma 2 2 2 2 2 2" xfId="15583" xr:uid="{00000000-0005-0000-0000-000011300000}"/>
    <cellStyle name="Comma 2 2 2 2 3" xfId="15584" xr:uid="{00000000-0005-0000-0000-000012300000}"/>
    <cellStyle name="Comma 2 2 2 2 4" xfId="15585" xr:uid="{00000000-0005-0000-0000-000013300000}"/>
    <cellStyle name="Comma 2 2 2 2 5" xfId="44853" xr:uid="{00000000-0005-0000-0000-000014300000}"/>
    <cellStyle name="Comma 2 2 2 3" xfId="627" xr:uid="{00000000-0005-0000-0000-000015300000}"/>
    <cellStyle name="Comma 2 2 2 4" xfId="15586" xr:uid="{00000000-0005-0000-0000-000016300000}"/>
    <cellStyle name="Comma 2 2 2 5" xfId="46159" xr:uid="{00000000-0005-0000-0000-000017300000}"/>
    <cellStyle name="Comma 2 2 3" xfId="235" xr:uid="{00000000-0005-0000-0000-000018300000}"/>
    <cellStyle name="Comma 2 2 3 2" xfId="15587" xr:uid="{00000000-0005-0000-0000-000019300000}"/>
    <cellStyle name="Comma 2 2 3 3" xfId="15588" xr:uid="{00000000-0005-0000-0000-00001A300000}"/>
    <cellStyle name="Comma 2 2 4" xfId="2370" xr:uid="{00000000-0005-0000-0000-00001B300000}"/>
    <cellStyle name="Comma 2 2 4 2" xfId="15589" xr:uid="{00000000-0005-0000-0000-00001C300000}"/>
    <cellStyle name="Comma 2 2 4 3" xfId="15590" xr:uid="{00000000-0005-0000-0000-00001D300000}"/>
    <cellStyle name="Comma 2 2 4 4" xfId="44033" xr:uid="{00000000-0005-0000-0000-00001E300000}"/>
    <cellStyle name="Comma 2 2 5" xfId="43871" xr:uid="{00000000-0005-0000-0000-00001F300000}"/>
    <cellStyle name="Comma 2 2 6" xfId="46160" xr:uid="{00000000-0005-0000-0000-000020300000}"/>
    <cellStyle name="Comma 2 3" xfId="236" xr:uid="{00000000-0005-0000-0000-000021300000}"/>
    <cellStyle name="Comma 2 3 2" xfId="628" xr:uid="{00000000-0005-0000-0000-000022300000}"/>
    <cellStyle name="Comma 2 3 2 2" xfId="15591" xr:uid="{00000000-0005-0000-0000-000023300000}"/>
    <cellStyle name="Comma 2 3 2 3" xfId="42503" xr:uid="{00000000-0005-0000-0000-000024300000}"/>
    <cellStyle name="Comma 2 3 2 4" xfId="44854" xr:uid="{00000000-0005-0000-0000-000025300000}"/>
    <cellStyle name="Comma 2 3 3" xfId="2371" xr:uid="{00000000-0005-0000-0000-000026300000}"/>
    <cellStyle name="Comma 2 3 3 2" xfId="42460" xr:uid="{00000000-0005-0000-0000-000027300000}"/>
    <cellStyle name="Comma 2 3 3 3" xfId="44855" xr:uid="{00000000-0005-0000-0000-000028300000}"/>
    <cellStyle name="Comma 2 4" xfId="237" xr:uid="{00000000-0005-0000-0000-000029300000}"/>
    <cellStyle name="Comma 2 4 2" xfId="238" xr:uid="{00000000-0005-0000-0000-00002A300000}"/>
    <cellStyle name="Comma 2 4 2 2" xfId="646" xr:uid="{00000000-0005-0000-0000-00002B300000}"/>
    <cellStyle name="Comma 2 4 2 2 2" xfId="38921" xr:uid="{00000000-0005-0000-0000-00002C300000}"/>
    <cellStyle name="Comma 2 4 2 3" xfId="15592" xr:uid="{00000000-0005-0000-0000-00002D300000}"/>
    <cellStyle name="Comma 2 4 3" xfId="239" xr:uid="{00000000-0005-0000-0000-00002E300000}"/>
    <cellStyle name="Comma 2 4 4" xfId="811" xr:uid="{00000000-0005-0000-0000-00002F300000}"/>
    <cellStyle name="Comma 2 4 5" xfId="15593" xr:uid="{00000000-0005-0000-0000-000030300000}"/>
    <cellStyle name="Comma 2 4 6" xfId="15594" xr:uid="{00000000-0005-0000-0000-000031300000}"/>
    <cellStyle name="Comma 2 4 7" xfId="46161" xr:uid="{00000000-0005-0000-0000-000032300000}"/>
    <cellStyle name="Comma 2 5" xfId="240" xr:uid="{00000000-0005-0000-0000-000033300000}"/>
    <cellStyle name="Comma 2 5 2" xfId="647" xr:uid="{00000000-0005-0000-0000-000034300000}"/>
    <cellStyle name="Comma 2 5 3" xfId="2372" xr:uid="{00000000-0005-0000-0000-000035300000}"/>
    <cellStyle name="Comma 2 5 4" xfId="44856" xr:uid="{00000000-0005-0000-0000-000036300000}"/>
    <cellStyle name="Comma 2 6" xfId="241" xr:uid="{00000000-0005-0000-0000-000037300000}"/>
    <cellStyle name="Comma 2 6 2" xfId="242" xr:uid="{00000000-0005-0000-0000-000038300000}"/>
    <cellStyle name="Comma 2 6 2 2" xfId="812" xr:uid="{00000000-0005-0000-0000-000039300000}"/>
    <cellStyle name="Comma 2 6 3" xfId="813" xr:uid="{00000000-0005-0000-0000-00003A300000}"/>
    <cellStyle name="Comma 2 6 3 2" xfId="15595" xr:uid="{00000000-0005-0000-0000-00003B300000}"/>
    <cellStyle name="Comma 2 6 3 3" xfId="38922" xr:uid="{00000000-0005-0000-0000-00003C300000}"/>
    <cellStyle name="Comma 2 6 4" xfId="814" xr:uid="{00000000-0005-0000-0000-00003D300000}"/>
    <cellStyle name="Comma 2 6 4 2" xfId="42537" xr:uid="{00000000-0005-0000-0000-00003E300000}"/>
    <cellStyle name="Comma 2 6 4 3" xfId="44857" xr:uid="{00000000-0005-0000-0000-00003F300000}"/>
    <cellStyle name="Comma 2 6 5" xfId="38923" xr:uid="{00000000-0005-0000-0000-000040300000}"/>
    <cellStyle name="Comma 2 7" xfId="815" xr:uid="{00000000-0005-0000-0000-000041300000}"/>
    <cellStyle name="Comma 2 7 2" xfId="816" xr:uid="{00000000-0005-0000-0000-000042300000}"/>
    <cellStyle name="Comma 2 7 3" xfId="15596" xr:uid="{00000000-0005-0000-0000-000043300000}"/>
    <cellStyle name="Comma 2 7 3 2" xfId="42538" xr:uid="{00000000-0005-0000-0000-000044300000}"/>
    <cellStyle name="Comma 2 7 3 3" xfId="44858" xr:uid="{00000000-0005-0000-0000-000045300000}"/>
    <cellStyle name="Comma 2 7 4" xfId="15597" xr:uid="{00000000-0005-0000-0000-000046300000}"/>
    <cellStyle name="Comma 2 7 5" xfId="15598" xr:uid="{00000000-0005-0000-0000-000047300000}"/>
    <cellStyle name="Comma 2 7 6" xfId="46162" xr:uid="{00000000-0005-0000-0000-000048300000}"/>
    <cellStyle name="Comma 2 8" xfId="691" xr:uid="{00000000-0005-0000-0000-000049300000}"/>
    <cellStyle name="Comma 2 8 2" xfId="15599" xr:uid="{00000000-0005-0000-0000-00004A300000}"/>
    <cellStyle name="Comma 2 8 3" xfId="44859" xr:uid="{00000000-0005-0000-0000-00004B300000}"/>
    <cellStyle name="Comma 2 8 4" xfId="46163" xr:uid="{00000000-0005-0000-0000-00004C300000}"/>
    <cellStyle name="Comma 2 9" xfId="817" xr:uid="{00000000-0005-0000-0000-00004D300000}"/>
    <cellStyle name="Comma 2 9 2" xfId="15600" xr:uid="{00000000-0005-0000-0000-00004E300000}"/>
    <cellStyle name="Comma 20" xfId="243" xr:uid="{00000000-0005-0000-0000-00004F300000}"/>
    <cellStyle name="Comma 20 2" xfId="818" xr:uid="{00000000-0005-0000-0000-000050300000}"/>
    <cellStyle name="Comma 20 2 2" xfId="15601" xr:uid="{00000000-0005-0000-0000-000051300000}"/>
    <cellStyle name="Comma 20 2 3" xfId="44860" xr:uid="{00000000-0005-0000-0000-000052300000}"/>
    <cellStyle name="Comma 20 2 4" xfId="46164" xr:uid="{00000000-0005-0000-0000-000053300000}"/>
    <cellStyle name="Comma 20 3" xfId="15602" xr:uid="{00000000-0005-0000-0000-000054300000}"/>
    <cellStyle name="Comma 20 4" xfId="15603" xr:uid="{00000000-0005-0000-0000-000055300000}"/>
    <cellStyle name="Comma 21" xfId="244" xr:uid="{00000000-0005-0000-0000-000056300000}"/>
    <cellStyle name="Comma 21 2" xfId="245" xr:uid="{00000000-0005-0000-0000-000057300000}"/>
    <cellStyle name="Comma 21 3" xfId="643" xr:uid="{00000000-0005-0000-0000-000058300000}"/>
    <cellStyle name="Comma 21 3 2" xfId="15604" xr:uid="{00000000-0005-0000-0000-000059300000}"/>
    <cellStyle name="Comma 21 4" xfId="692" xr:uid="{00000000-0005-0000-0000-00005A300000}"/>
    <cellStyle name="Comma 21 5" xfId="44861" xr:uid="{00000000-0005-0000-0000-00005B300000}"/>
    <cellStyle name="Comma 22" xfId="819" xr:uid="{00000000-0005-0000-0000-00005C300000}"/>
    <cellStyle name="Comma 22 2" xfId="15605" xr:uid="{00000000-0005-0000-0000-00005D300000}"/>
    <cellStyle name="Comma 23" xfId="820" xr:uid="{00000000-0005-0000-0000-00005E300000}"/>
    <cellStyle name="Comma 24" xfId="821" xr:uid="{00000000-0005-0000-0000-00005F300000}"/>
    <cellStyle name="Comma 24 2" xfId="15606" xr:uid="{00000000-0005-0000-0000-000060300000}"/>
    <cellStyle name="Comma 24 2 2" xfId="42539" xr:uid="{00000000-0005-0000-0000-000061300000}"/>
    <cellStyle name="Comma 24 2 3" xfId="44862" xr:uid="{00000000-0005-0000-0000-000062300000}"/>
    <cellStyle name="Comma 24 3" xfId="44863" xr:uid="{00000000-0005-0000-0000-000063300000}"/>
    <cellStyle name="Comma 25" xfId="822" xr:uid="{00000000-0005-0000-0000-000064300000}"/>
    <cellStyle name="Comma 25 2" xfId="823" xr:uid="{00000000-0005-0000-0000-000065300000}"/>
    <cellStyle name="Comma 25 2 2" xfId="15607" xr:uid="{00000000-0005-0000-0000-000066300000}"/>
    <cellStyle name="Comma 25 2 2 2" xfId="42540" xr:uid="{00000000-0005-0000-0000-000067300000}"/>
    <cellStyle name="Comma 25 2 2 3" xfId="44864" xr:uid="{00000000-0005-0000-0000-000068300000}"/>
    <cellStyle name="Comma 25 2 3" xfId="44865" xr:uid="{00000000-0005-0000-0000-000069300000}"/>
    <cellStyle name="Comma 26" xfId="824" xr:uid="{00000000-0005-0000-0000-00006A300000}"/>
    <cellStyle name="Comma 27" xfId="825" xr:uid="{00000000-0005-0000-0000-00006B300000}"/>
    <cellStyle name="Comma 28" xfId="826" xr:uid="{00000000-0005-0000-0000-00006C300000}"/>
    <cellStyle name="Comma 28 2" xfId="42541" xr:uid="{00000000-0005-0000-0000-00006D300000}"/>
    <cellStyle name="Comma 28 3" xfId="44866" xr:uid="{00000000-0005-0000-0000-00006E300000}"/>
    <cellStyle name="Comma 29" xfId="827" xr:uid="{00000000-0005-0000-0000-00006F300000}"/>
    <cellStyle name="Comma 29 2" xfId="15608" xr:uid="{00000000-0005-0000-0000-000070300000}"/>
    <cellStyle name="Comma 3" xfId="6" xr:uid="{00000000-0005-0000-0000-000071300000}"/>
    <cellStyle name="Comma 3 2" xfId="14" xr:uid="{00000000-0005-0000-0000-000072300000}"/>
    <cellStyle name="Comma 3 2 2" xfId="246" xr:uid="{00000000-0005-0000-0000-000073300000}"/>
    <cellStyle name="Comma 3 3" xfId="67" xr:uid="{00000000-0005-0000-0000-000074300000}"/>
    <cellStyle name="Comma 3 4" xfId="247" xr:uid="{00000000-0005-0000-0000-000075300000}"/>
    <cellStyle name="Comma 3 5" xfId="38924" xr:uid="{00000000-0005-0000-0000-000076300000}"/>
    <cellStyle name="Comma 3 6" xfId="43872" xr:uid="{00000000-0005-0000-0000-000077300000}"/>
    <cellStyle name="Comma 3 7" xfId="46310" xr:uid="{00000000-0005-0000-0000-000078300000}"/>
    <cellStyle name="Comma 3_2186" xfId="15609" xr:uid="{00000000-0005-0000-0000-000079300000}"/>
    <cellStyle name="Comma 30" xfId="15610" xr:uid="{00000000-0005-0000-0000-00007A300000}"/>
    <cellStyle name="Comma 30 2" xfId="42459" xr:uid="{00000000-0005-0000-0000-00007B300000}"/>
    <cellStyle name="Comma 30 3" xfId="44867" xr:uid="{00000000-0005-0000-0000-00007C300000}"/>
    <cellStyle name="Comma 31" xfId="15611" xr:uid="{00000000-0005-0000-0000-00007D300000}"/>
    <cellStyle name="Comma 32" xfId="15612" xr:uid="{00000000-0005-0000-0000-00007E300000}"/>
    <cellStyle name="Comma 33" xfId="43884" xr:uid="{00000000-0005-0000-0000-00007F300000}"/>
    <cellStyle name="Comma 34" xfId="43885" xr:uid="{00000000-0005-0000-0000-000080300000}"/>
    <cellStyle name="Comma 35" xfId="43886" xr:uid="{00000000-0005-0000-0000-000081300000}"/>
    <cellStyle name="Comma 36" xfId="43887" xr:uid="{00000000-0005-0000-0000-000082300000}"/>
    <cellStyle name="Comma 37" xfId="43888" xr:uid="{00000000-0005-0000-0000-000083300000}"/>
    <cellStyle name="Comma 38" xfId="43889" xr:uid="{00000000-0005-0000-0000-000084300000}"/>
    <cellStyle name="Comma 39" xfId="43890" xr:uid="{00000000-0005-0000-0000-000085300000}"/>
    <cellStyle name="Comma 4" xfId="15" xr:uid="{00000000-0005-0000-0000-000086300000}"/>
    <cellStyle name="Comma 4 10" xfId="828" xr:uid="{00000000-0005-0000-0000-000087300000}"/>
    <cellStyle name="Comma 4 10 2" xfId="2374" xr:uid="{00000000-0005-0000-0000-000088300000}"/>
    <cellStyle name="Comma 4 10 2 2" xfId="2615" xr:uid="{00000000-0005-0000-0000-000089300000}"/>
    <cellStyle name="Comma 4 10 2 2 2" xfId="3645" xr:uid="{00000000-0005-0000-0000-00008A300000}"/>
    <cellStyle name="Comma 4 10 2 2 3" xfId="3129" xr:uid="{00000000-0005-0000-0000-00008B300000}"/>
    <cellStyle name="Comma 4 10 2 3" xfId="3381" xr:uid="{00000000-0005-0000-0000-00008C300000}"/>
    <cellStyle name="Comma 4 10 2 4" xfId="2863" xr:uid="{00000000-0005-0000-0000-00008D300000}"/>
    <cellStyle name="Comma 4 10 3" xfId="2614" xr:uid="{00000000-0005-0000-0000-00008E300000}"/>
    <cellStyle name="Comma 4 10 3 2" xfId="3644" xr:uid="{00000000-0005-0000-0000-00008F300000}"/>
    <cellStyle name="Comma 4 10 3 3" xfId="3128" xr:uid="{00000000-0005-0000-0000-000090300000}"/>
    <cellStyle name="Comma 4 10 4" xfId="3380" xr:uid="{00000000-0005-0000-0000-000091300000}"/>
    <cellStyle name="Comma 4 10 5" xfId="2862" xr:uid="{00000000-0005-0000-0000-000092300000}"/>
    <cellStyle name="Comma 4 10 6" xfId="2373" xr:uid="{00000000-0005-0000-0000-000093300000}"/>
    <cellStyle name="Comma 4 11" xfId="829" xr:uid="{00000000-0005-0000-0000-000094300000}"/>
    <cellStyle name="Comma 4 11 2" xfId="2616" xr:uid="{00000000-0005-0000-0000-000095300000}"/>
    <cellStyle name="Comma 4 11 2 2" xfId="3646" xr:uid="{00000000-0005-0000-0000-000096300000}"/>
    <cellStyle name="Comma 4 11 2 3" xfId="3130" xr:uid="{00000000-0005-0000-0000-000097300000}"/>
    <cellStyle name="Comma 4 11 3" xfId="3382" xr:uid="{00000000-0005-0000-0000-000098300000}"/>
    <cellStyle name="Comma 4 11 4" xfId="2864" xr:uid="{00000000-0005-0000-0000-000099300000}"/>
    <cellStyle name="Comma 4 11 5" xfId="2375" xr:uid="{00000000-0005-0000-0000-00009A300000}"/>
    <cellStyle name="Comma 4 12" xfId="830" xr:uid="{00000000-0005-0000-0000-00009B300000}"/>
    <cellStyle name="Comma 4 12 2" xfId="3634" xr:uid="{00000000-0005-0000-0000-00009C300000}"/>
    <cellStyle name="Comma 4 12 3" xfId="3118" xr:uid="{00000000-0005-0000-0000-00009D300000}"/>
    <cellStyle name="Comma 4 12 4" xfId="44868" xr:uid="{00000000-0005-0000-0000-00009E300000}"/>
    <cellStyle name="Comma 4 13" xfId="3379" xr:uid="{00000000-0005-0000-0000-00009F300000}"/>
    <cellStyle name="Comma 4 14" xfId="2861" xr:uid="{00000000-0005-0000-0000-0000A0300000}"/>
    <cellStyle name="Comma 4 15" xfId="44869" xr:uid="{00000000-0005-0000-0000-0000A1300000}"/>
    <cellStyle name="Comma 4 2" xfId="16" xr:uid="{00000000-0005-0000-0000-0000A2300000}"/>
    <cellStyle name="Comma 4 2 10" xfId="2607" xr:uid="{00000000-0005-0000-0000-0000A3300000}"/>
    <cellStyle name="Comma 4 2 10 2" xfId="3635" xr:uid="{00000000-0005-0000-0000-0000A4300000}"/>
    <cellStyle name="Comma 4 2 10 3" xfId="3119" xr:uid="{00000000-0005-0000-0000-0000A5300000}"/>
    <cellStyle name="Comma 4 2 11" xfId="3383" xr:uid="{00000000-0005-0000-0000-0000A6300000}"/>
    <cellStyle name="Comma 4 2 12" xfId="2865" xr:uid="{00000000-0005-0000-0000-0000A7300000}"/>
    <cellStyle name="Comma 4 2 2" xfId="17" xr:uid="{00000000-0005-0000-0000-0000A8300000}"/>
    <cellStyle name="Comma 4 2 2 10" xfId="38925" xr:uid="{00000000-0005-0000-0000-0000A9300000}"/>
    <cellStyle name="Comma 4 2 2 11" xfId="44870" xr:uid="{00000000-0005-0000-0000-0000AA300000}"/>
    <cellStyle name="Comma 4 2 2 2" xfId="831" xr:uid="{00000000-0005-0000-0000-0000AB300000}"/>
    <cellStyle name="Comma 4 2 2 2 2" xfId="832" xr:uid="{00000000-0005-0000-0000-0000AC300000}"/>
    <cellStyle name="Comma 4 2 2 2 2 2" xfId="2377" xr:uid="{00000000-0005-0000-0000-0000AD300000}"/>
    <cellStyle name="Comma 4 2 2 2 2 2 2" xfId="2619" xr:uid="{00000000-0005-0000-0000-0000AE300000}"/>
    <cellStyle name="Comma 4 2 2 2 2 2 2 2" xfId="3649" xr:uid="{00000000-0005-0000-0000-0000AF300000}"/>
    <cellStyle name="Comma 4 2 2 2 2 2 2 3" xfId="3133" xr:uid="{00000000-0005-0000-0000-0000B0300000}"/>
    <cellStyle name="Comma 4 2 2 2 2 2 3" xfId="3387" xr:uid="{00000000-0005-0000-0000-0000B1300000}"/>
    <cellStyle name="Comma 4 2 2 2 2 2 3 2" xfId="15613" xr:uid="{00000000-0005-0000-0000-0000B2300000}"/>
    <cellStyle name="Comma 4 2 2 2 2 2 3 3" xfId="15614" xr:uid="{00000000-0005-0000-0000-0000B3300000}"/>
    <cellStyle name="Comma 4 2 2 2 2 2 4" xfId="2869" xr:uid="{00000000-0005-0000-0000-0000B4300000}"/>
    <cellStyle name="Comma 4 2 2 2 2 2 5" xfId="15615" xr:uid="{00000000-0005-0000-0000-0000B5300000}"/>
    <cellStyle name="Comma 4 2 2 2 2 3" xfId="2618" xr:uid="{00000000-0005-0000-0000-0000B6300000}"/>
    <cellStyle name="Comma 4 2 2 2 2 3 2" xfId="3648" xr:uid="{00000000-0005-0000-0000-0000B7300000}"/>
    <cellStyle name="Comma 4 2 2 2 2 3 3" xfId="3132" xr:uid="{00000000-0005-0000-0000-0000B8300000}"/>
    <cellStyle name="Comma 4 2 2 2 2 4" xfId="3386" xr:uid="{00000000-0005-0000-0000-0000B9300000}"/>
    <cellStyle name="Comma 4 2 2 2 2 4 2" xfId="15616" xr:uid="{00000000-0005-0000-0000-0000BA300000}"/>
    <cellStyle name="Comma 4 2 2 2 2 4 3" xfId="15617" xr:uid="{00000000-0005-0000-0000-0000BB300000}"/>
    <cellStyle name="Comma 4 2 2 2 2 5" xfId="2868" xr:uid="{00000000-0005-0000-0000-0000BC300000}"/>
    <cellStyle name="Comma 4 2 2 2 2 6" xfId="2376" xr:uid="{00000000-0005-0000-0000-0000BD300000}"/>
    <cellStyle name="Comma 4 2 2 2 3" xfId="2378" xr:uid="{00000000-0005-0000-0000-0000BE300000}"/>
    <cellStyle name="Comma 4 2 2 2 3 2" xfId="2379" xr:uid="{00000000-0005-0000-0000-0000BF300000}"/>
    <cellStyle name="Comma 4 2 2 2 3 2 2" xfId="2621" xr:uid="{00000000-0005-0000-0000-0000C0300000}"/>
    <cellStyle name="Comma 4 2 2 2 3 2 2 2" xfId="3651" xr:uid="{00000000-0005-0000-0000-0000C1300000}"/>
    <cellStyle name="Comma 4 2 2 2 3 2 2 3" xfId="3135" xr:uid="{00000000-0005-0000-0000-0000C2300000}"/>
    <cellStyle name="Comma 4 2 2 2 3 2 3" xfId="3389" xr:uid="{00000000-0005-0000-0000-0000C3300000}"/>
    <cellStyle name="Comma 4 2 2 2 3 2 4" xfId="2871" xr:uid="{00000000-0005-0000-0000-0000C4300000}"/>
    <cellStyle name="Comma 4 2 2 2 3 3" xfId="2620" xr:uid="{00000000-0005-0000-0000-0000C5300000}"/>
    <cellStyle name="Comma 4 2 2 2 3 3 2" xfId="3650" xr:uid="{00000000-0005-0000-0000-0000C6300000}"/>
    <cellStyle name="Comma 4 2 2 2 3 3 3" xfId="3134" xr:uid="{00000000-0005-0000-0000-0000C7300000}"/>
    <cellStyle name="Comma 4 2 2 2 3 4" xfId="3388" xr:uid="{00000000-0005-0000-0000-0000C8300000}"/>
    <cellStyle name="Comma 4 2 2 2 3 5" xfId="2870" xr:uid="{00000000-0005-0000-0000-0000C9300000}"/>
    <cellStyle name="Comma 4 2 2 2 4" xfId="2380" xr:uid="{00000000-0005-0000-0000-0000CA300000}"/>
    <cellStyle name="Comma 4 2 2 2 4 2" xfId="2622" xr:uid="{00000000-0005-0000-0000-0000CB300000}"/>
    <cellStyle name="Comma 4 2 2 2 4 2 2" xfId="3652" xr:uid="{00000000-0005-0000-0000-0000CC300000}"/>
    <cellStyle name="Comma 4 2 2 2 4 2 3" xfId="3136" xr:uid="{00000000-0005-0000-0000-0000CD300000}"/>
    <cellStyle name="Comma 4 2 2 2 4 3" xfId="3390" xr:uid="{00000000-0005-0000-0000-0000CE300000}"/>
    <cellStyle name="Comma 4 2 2 2 4 4" xfId="2872" xr:uid="{00000000-0005-0000-0000-0000CF300000}"/>
    <cellStyle name="Comma 4 2 2 2 5" xfId="2617" xr:uid="{00000000-0005-0000-0000-0000D0300000}"/>
    <cellStyle name="Comma 4 2 2 2 5 2" xfId="3647" xr:uid="{00000000-0005-0000-0000-0000D1300000}"/>
    <cellStyle name="Comma 4 2 2 2 5 3" xfId="3131" xr:uid="{00000000-0005-0000-0000-0000D2300000}"/>
    <cellStyle name="Comma 4 2 2 2 6" xfId="3385" xr:uid="{00000000-0005-0000-0000-0000D3300000}"/>
    <cellStyle name="Comma 4 2 2 2 7" xfId="2867" xr:uid="{00000000-0005-0000-0000-0000D4300000}"/>
    <cellStyle name="Comma 4 2 2 2 8" xfId="15618" xr:uid="{00000000-0005-0000-0000-0000D5300000}"/>
    <cellStyle name="Comma 4 2 2 2 9" xfId="46165" xr:uid="{00000000-0005-0000-0000-0000D6300000}"/>
    <cellStyle name="Comma 4 2 2 3" xfId="833" xr:uid="{00000000-0005-0000-0000-0000D7300000}"/>
    <cellStyle name="Comma 4 2 2 3 2" xfId="834" xr:uid="{00000000-0005-0000-0000-0000D8300000}"/>
    <cellStyle name="Comma 4 2 2 3 2 2" xfId="2624" xr:uid="{00000000-0005-0000-0000-0000D9300000}"/>
    <cellStyle name="Comma 4 2 2 3 2 2 2" xfId="3654" xr:uid="{00000000-0005-0000-0000-0000DA300000}"/>
    <cellStyle name="Comma 4 2 2 3 2 2 2 2" xfId="15619" xr:uid="{00000000-0005-0000-0000-0000DB300000}"/>
    <cellStyle name="Comma 4 2 2 3 2 2 2 3" xfId="15620" xr:uid="{00000000-0005-0000-0000-0000DC300000}"/>
    <cellStyle name="Comma 4 2 2 3 2 2 3" xfId="3138" xr:uid="{00000000-0005-0000-0000-0000DD300000}"/>
    <cellStyle name="Comma 4 2 2 3 2 2 3 2" xfId="15621" xr:uid="{00000000-0005-0000-0000-0000DE300000}"/>
    <cellStyle name="Comma 4 2 2 3 2 2 3 3" xfId="15622" xr:uid="{00000000-0005-0000-0000-0000DF300000}"/>
    <cellStyle name="Comma 4 2 2 3 2 2 4" xfId="15623" xr:uid="{00000000-0005-0000-0000-0000E0300000}"/>
    <cellStyle name="Comma 4 2 2 3 2 2 5" xfId="15624" xr:uid="{00000000-0005-0000-0000-0000E1300000}"/>
    <cellStyle name="Comma 4 2 2 3 2 3" xfId="3392" xr:uid="{00000000-0005-0000-0000-0000E2300000}"/>
    <cellStyle name="Comma 4 2 2 3 2 3 2" xfId="15625" xr:uid="{00000000-0005-0000-0000-0000E3300000}"/>
    <cellStyle name="Comma 4 2 2 3 2 3 3" xfId="15626" xr:uid="{00000000-0005-0000-0000-0000E4300000}"/>
    <cellStyle name="Comma 4 2 2 3 2 4" xfId="2874" xr:uid="{00000000-0005-0000-0000-0000E5300000}"/>
    <cellStyle name="Comma 4 2 2 3 2 4 2" xfId="15627" xr:uid="{00000000-0005-0000-0000-0000E6300000}"/>
    <cellStyle name="Comma 4 2 2 3 2 4 3" xfId="15628" xr:uid="{00000000-0005-0000-0000-0000E7300000}"/>
    <cellStyle name="Comma 4 2 2 3 2 5" xfId="15629" xr:uid="{00000000-0005-0000-0000-0000E8300000}"/>
    <cellStyle name="Comma 4 2 2 3 2 6" xfId="15630" xr:uid="{00000000-0005-0000-0000-0000E9300000}"/>
    <cellStyle name="Comma 4 2 2 3 2 7" xfId="44871" xr:uid="{00000000-0005-0000-0000-0000EA300000}"/>
    <cellStyle name="Comma 4 2 2 3 3" xfId="2623" xr:uid="{00000000-0005-0000-0000-0000EB300000}"/>
    <cellStyle name="Comma 4 2 2 3 3 2" xfId="3653" xr:uid="{00000000-0005-0000-0000-0000EC300000}"/>
    <cellStyle name="Comma 4 2 2 3 3 2 2" xfId="15631" xr:uid="{00000000-0005-0000-0000-0000ED300000}"/>
    <cellStyle name="Comma 4 2 2 3 3 2 3" xfId="15632" xr:uid="{00000000-0005-0000-0000-0000EE300000}"/>
    <cellStyle name="Comma 4 2 2 3 3 3" xfId="3137" xr:uid="{00000000-0005-0000-0000-0000EF300000}"/>
    <cellStyle name="Comma 4 2 2 3 3 3 2" xfId="15633" xr:uid="{00000000-0005-0000-0000-0000F0300000}"/>
    <cellStyle name="Comma 4 2 2 3 3 3 3" xfId="15634" xr:uid="{00000000-0005-0000-0000-0000F1300000}"/>
    <cellStyle name="Comma 4 2 2 3 3 4" xfId="15635" xr:uid="{00000000-0005-0000-0000-0000F2300000}"/>
    <cellStyle name="Comma 4 2 2 3 3 5" xfId="15636" xr:uid="{00000000-0005-0000-0000-0000F3300000}"/>
    <cellStyle name="Comma 4 2 2 3 4" xfId="3391" xr:uid="{00000000-0005-0000-0000-0000F4300000}"/>
    <cellStyle name="Comma 4 2 2 3 4 2" xfId="15637" xr:uid="{00000000-0005-0000-0000-0000F5300000}"/>
    <cellStyle name="Comma 4 2 2 3 4 3" xfId="15638" xr:uid="{00000000-0005-0000-0000-0000F6300000}"/>
    <cellStyle name="Comma 4 2 2 3 5" xfId="2873" xr:uid="{00000000-0005-0000-0000-0000F7300000}"/>
    <cellStyle name="Comma 4 2 2 3 5 2" xfId="15639" xr:uid="{00000000-0005-0000-0000-0000F8300000}"/>
    <cellStyle name="Comma 4 2 2 3 5 3" xfId="15640" xr:uid="{00000000-0005-0000-0000-0000F9300000}"/>
    <cellStyle name="Comma 4 2 2 3 6" xfId="15641" xr:uid="{00000000-0005-0000-0000-0000FA300000}"/>
    <cellStyle name="Comma 4 2 2 3 7" xfId="15642" xr:uid="{00000000-0005-0000-0000-0000FB300000}"/>
    <cellStyle name="Comma 4 2 2 3 8" xfId="44872" xr:uid="{00000000-0005-0000-0000-0000FC300000}"/>
    <cellStyle name="Comma 4 2 2 4" xfId="835" xr:uid="{00000000-0005-0000-0000-0000FD300000}"/>
    <cellStyle name="Comma 4 2 2 4 2" xfId="2381" xr:uid="{00000000-0005-0000-0000-0000FE300000}"/>
    <cellStyle name="Comma 4 2 2 4 2 2" xfId="2626" xr:uid="{00000000-0005-0000-0000-0000FF300000}"/>
    <cellStyle name="Comma 4 2 2 4 2 2 2" xfId="3656" xr:uid="{00000000-0005-0000-0000-000000310000}"/>
    <cellStyle name="Comma 4 2 2 4 2 2 3" xfId="3140" xr:uid="{00000000-0005-0000-0000-000001310000}"/>
    <cellStyle name="Comma 4 2 2 4 2 3" xfId="3394" xr:uid="{00000000-0005-0000-0000-000002310000}"/>
    <cellStyle name="Comma 4 2 2 4 2 3 2" xfId="15643" xr:uid="{00000000-0005-0000-0000-000003310000}"/>
    <cellStyle name="Comma 4 2 2 4 2 3 3" xfId="15644" xr:uid="{00000000-0005-0000-0000-000004310000}"/>
    <cellStyle name="Comma 4 2 2 4 2 4" xfId="2876" xr:uid="{00000000-0005-0000-0000-000005310000}"/>
    <cellStyle name="Comma 4 2 2 4 2 5" xfId="15645" xr:uid="{00000000-0005-0000-0000-000006310000}"/>
    <cellStyle name="Comma 4 2 2 4 3" xfId="2625" xr:uid="{00000000-0005-0000-0000-000007310000}"/>
    <cellStyle name="Comma 4 2 2 4 3 2" xfId="3655" xr:uid="{00000000-0005-0000-0000-000008310000}"/>
    <cellStyle name="Comma 4 2 2 4 3 3" xfId="3139" xr:uid="{00000000-0005-0000-0000-000009310000}"/>
    <cellStyle name="Comma 4 2 2 4 4" xfId="3393" xr:uid="{00000000-0005-0000-0000-00000A310000}"/>
    <cellStyle name="Comma 4 2 2 4 4 2" xfId="15646" xr:uid="{00000000-0005-0000-0000-00000B310000}"/>
    <cellStyle name="Comma 4 2 2 4 4 3" xfId="15647" xr:uid="{00000000-0005-0000-0000-00000C310000}"/>
    <cellStyle name="Comma 4 2 2 4 5" xfId="2875" xr:uid="{00000000-0005-0000-0000-00000D310000}"/>
    <cellStyle name="Comma 4 2 2 4 6" xfId="15648" xr:uid="{00000000-0005-0000-0000-00000E310000}"/>
    <cellStyle name="Comma 4 2 2 4 7" xfId="44873" xr:uid="{00000000-0005-0000-0000-00000F310000}"/>
    <cellStyle name="Comma 4 2 2 5" xfId="2382" xr:uid="{00000000-0005-0000-0000-000010310000}"/>
    <cellStyle name="Comma 4 2 2 5 2" xfId="2627" xr:uid="{00000000-0005-0000-0000-000011310000}"/>
    <cellStyle name="Comma 4 2 2 5 2 2" xfId="3657" xr:uid="{00000000-0005-0000-0000-000012310000}"/>
    <cellStyle name="Comma 4 2 2 5 2 3" xfId="3141" xr:uid="{00000000-0005-0000-0000-000013310000}"/>
    <cellStyle name="Comma 4 2 2 5 3" xfId="3395" xr:uid="{00000000-0005-0000-0000-000014310000}"/>
    <cellStyle name="Comma 4 2 2 5 3 2" xfId="15649" xr:uid="{00000000-0005-0000-0000-000015310000}"/>
    <cellStyle name="Comma 4 2 2 5 3 3" xfId="15650" xr:uid="{00000000-0005-0000-0000-000016310000}"/>
    <cellStyle name="Comma 4 2 2 5 4" xfId="2877" xr:uid="{00000000-0005-0000-0000-000017310000}"/>
    <cellStyle name="Comma 4 2 2 5 5" xfId="15651" xr:uid="{00000000-0005-0000-0000-000018310000}"/>
    <cellStyle name="Comma 4 2 2 6" xfId="2612" xr:uid="{00000000-0005-0000-0000-000019310000}"/>
    <cellStyle name="Comma 4 2 2 6 2" xfId="3640" xr:uid="{00000000-0005-0000-0000-00001A310000}"/>
    <cellStyle name="Comma 4 2 2 6 3" xfId="3124" xr:uid="{00000000-0005-0000-0000-00001B310000}"/>
    <cellStyle name="Comma 4 2 2 7" xfId="3384" xr:uid="{00000000-0005-0000-0000-00001C310000}"/>
    <cellStyle name="Comma 4 2 2 7 2" xfId="15652" xr:uid="{00000000-0005-0000-0000-00001D310000}"/>
    <cellStyle name="Comma 4 2 2 7 3" xfId="15653" xr:uid="{00000000-0005-0000-0000-00001E310000}"/>
    <cellStyle name="Comma 4 2 2 8" xfId="2866" xr:uid="{00000000-0005-0000-0000-00001F310000}"/>
    <cellStyle name="Comma 4 2 2 9" xfId="15654" xr:uid="{00000000-0005-0000-0000-000020310000}"/>
    <cellStyle name="Comma 4 2 3" xfId="18" xr:uid="{00000000-0005-0000-0000-000021310000}"/>
    <cellStyle name="Comma 4 2 3 2" xfId="836" xr:uid="{00000000-0005-0000-0000-000022310000}"/>
    <cellStyle name="Comma 4 2 3 2 2" xfId="2383" xr:uid="{00000000-0005-0000-0000-000023310000}"/>
    <cellStyle name="Comma 4 2 3 2 2 2" xfId="2384" xr:uid="{00000000-0005-0000-0000-000024310000}"/>
    <cellStyle name="Comma 4 2 3 2 2 2 2" xfId="2631" xr:uid="{00000000-0005-0000-0000-000025310000}"/>
    <cellStyle name="Comma 4 2 3 2 2 2 2 2" xfId="3661" xr:uid="{00000000-0005-0000-0000-000026310000}"/>
    <cellStyle name="Comma 4 2 3 2 2 2 2 3" xfId="3145" xr:uid="{00000000-0005-0000-0000-000027310000}"/>
    <cellStyle name="Comma 4 2 3 2 2 2 3" xfId="3399" xr:uid="{00000000-0005-0000-0000-000028310000}"/>
    <cellStyle name="Comma 4 2 3 2 2 2 4" xfId="2881" xr:uid="{00000000-0005-0000-0000-000029310000}"/>
    <cellStyle name="Comma 4 2 3 2 2 3" xfId="2630" xr:uid="{00000000-0005-0000-0000-00002A310000}"/>
    <cellStyle name="Comma 4 2 3 2 2 3 2" xfId="3660" xr:uid="{00000000-0005-0000-0000-00002B310000}"/>
    <cellStyle name="Comma 4 2 3 2 2 3 3" xfId="3144" xr:uid="{00000000-0005-0000-0000-00002C310000}"/>
    <cellStyle name="Comma 4 2 3 2 2 4" xfId="3398" xr:uid="{00000000-0005-0000-0000-00002D310000}"/>
    <cellStyle name="Comma 4 2 3 2 2 5" xfId="2880" xr:uid="{00000000-0005-0000-0000-00002E310000}"/>
    <cellStyle name="Comma 4 2 3 2 3" xfId="2385" xr:uid="{00000000-0005-0000-0000-00002F310000}"/>
    <cellStyle name="Comma 4 2 3 2 3 2" xfId="2386" xr:uid="{00000000-0005-0000-0000-000030310000}"/>
    <cellStyle name="Comma 4 2 3 2 3 2 2" xfId="2633" xr:uid="{00000000-0005-0000-0000-000031310000}"/>
    <cellStyle name="Comma 4 2 3 2 3 2 2 2" xfId="3663" xr:uid="{00000000-0005-0000-0000-000032310000}"/>
    <cellStyle name="Comma 4 2 3 2 3 2 2 3" xfId="3147" xr:uid="{00000000-0005-0000-0000-000033310000}"/>
    <cellStyle name="Comma 4 2 3 2 3 2 3" xfId="3401" xr:uid="{00000000-0005-0000-0000-000034310000}"/>
    <cellStyle name="Comma 4 2 3 2 3 2 4" xfId="2883" xr:uid="{00000000-0005-0000-0000-000035310000}"/>
    <cellStyle name="Comma 4 2 3 2 3 3" xfId="2632" xr:uid="{00000000-0005-0000-0000-000036310000}"/>
    <cellStyle name="Comma 4 2 3 2 3 3 2" xfId="3662" xr:uid="{00000000-0005-0000-0000-000037310000}"/>
    <cellStyle name="Comma 4 2 3 2 3 3 3" xfId="3146" xr:uid="{00000000-0005-0000-0000-000038310000}"/>
    <cellStyle name="Comma 4 2 3 2 3 4" xfId="3400" xr:uid="{00000000-0005-0000-0000-000039310000}"/>
    <cellStyle name="Comma 4 2 3 2 3 5" xfId="2882" xr:uid="{00000000-0005-0000-0000-00003A310000}"/>
    <cellStyle name="Comma 4 2 3 2 4" xfId="2387" xr:uid="{00000000-0005-0000-0000-00003B310000}"/>
    <cellStyle name="Comma 4 2 3 2 4 2" xfId="2634" xr:uid="{00000000-0005-0000-0000-00003C310000}"/>
    <cellStyle name="Comma 4 2 3 2 4 2 2" xfId="3664" xr:uid="{00000000-0005-0000-0000-00003D310000}"/>
    <cellStyle name="Comma 4 2 3 2 4 2 3" xfId="3148" xr:uid="{00000000-0005-0000-0000-00003E310000}"/>
    <cellStyle name="Comma 4 2 3 2 4 3" xfId="3402" xr:uid="{00000000-0005-0000-0000-00003F310000}"/>
    <cellStyle name="Comma 4 2 3 2 4 4" xfId="2884" xr:uid="{00000000-0005-0000-0000-000040310000}"/>
    <cellStyle name="Comma 4 2 3 2 5" xfId="2629" xr:uid="{00000000-0005-0000-0000-000041310000}"/>
    <cellStyle name="Comma 4 2 3 2 5 2" xfId="3659" xr:uid="{00000000-0005-0000-0000-000042310000}"/>
    <cellStyle name="Comma 4 2 3 2 5 3" xfId="3143" xr:uid="{00000000-0005-0000-0000-000043310000}"/>
    <cellStyle name="Comma 4 2 3 2 6" xfId="3397" xr:uid="{00000000-0005-0000-0000-000044310000}"/>
    <cellStyle name="Comma 4 2 3 2 7" xfId="2879" xr:uid="{00000000-0005-0000-0000-000045310000}"/>
    <cellStyle name="Comma 4 2 3 2 8" xfId="44874" xr:uid="{00000000-0005-0000-0000-000046310000}"/>
    <cellStyle name="Comma 4 2 3 3" xfId="2388" xr:uid="{00000000-0005-0000-0000-000047310000}"/>
    <cellStyle name="Comma 4 2 3 3 2" xfId="2389" xr:uid="{00000000-0005-0000-0000-000048310000}"/>
    <cellStyle name="Comma 4 2 3 3 2 2" xfId="2636" xr:uid="{00000000-0005-0000-0000-000049310000}"/>
    <cellStyle name="Comma 4 2 3 3 2 2 2" xfId="3666" xr:uid="{00000000-0005-0000-0000-00004A310000}"/>
    <cellStyle name="Comma 4 2 3 3 2 2 3" xfId="3150" xr:uid="{00000000-0005-0000-0000-00004B310000}"/>
    <cellStyle name="Comma 4 2 3 3 2 3" xfId="3404" xr:uid="{00000000-0005-0000-0000-00004C310000}"/>
    <cellStyle name="Comma 4 2 3 3 2 4" xfId="2886" xr:uid="{00000000-0005-0000-0000-00004D310000}"/>
    <cellStyle name="Comma 4 2 3 3 3" xfId="2635" xr:uid="{00000000-0005-0000-0000-00004E310000}"/>
    <cellStyle name="Comma 4 2 3 3 3 2" xfId="3665" xr:uid="{00000000-0005-0000-0000-00004F310000}"/>
    <cellStyle name="Comma 4 2 3 3 3 3" xfId="3149" xr:uid="{00000000-0005-0000-0000-000050310000}"/>
    <cellStyle name="Comma 4 2 3 3 4" xfId="3403" xr:uid="{00000000-0005-0000-0000-000051310000}"/>
    <cellStyle name="Comma 4 2 3 3 5" xfId="2885" xr:uid="{00000000-0005-0000-0000-000052310000}"/>
    <cellStyle name="Comma 4 2 3 4" xfId="2390" xr:uid="{00000000-0005-0000-0000-000053310000}"/>
    <cellStyle name="Comma 4 2 3 4 2" xfId="2391" xr:uid="{00000000-0005-0000-0000-000054310000}"/>
    <cellStyle name="Comma 4 2 3 4 2 2" xfId="2638" xr:uid="{00000000-0005-0000-0000-000055310000}"/>
    <cellStyle name="Comma 4 2 3 4 2 2 2" xfId="3668" xr:uid="{00000000-0005-0000-0000-000056310000}"/>
    <cellStyle name="Comma 4 2 3 4 2 2 3" xfId="3152" xr:uid="{00000000-0005-0000-0000-000057310000}"/>
    <cellStyle name="Comma 4 2 3 4 2 3" xfId="3406" xr:uid="{00000000-0005-0000-0000-000058310000}"/>
    <cellStyle name="Comma 4 2 3 4 2 4" xfId="2888" xr:uid="{00000000-0005-0000-0000-000059310000}"/>
    <cellStyle name="Comma 4 2 3 4 3" xfId="2637" xr:uid="{00000000-0005-0000-0000-00005A310000}"/>
    <cellStyle name="Comma 4 2 3 4 3 2" xfId="3667" xr:uid="{00000000-0005-0000-0000-00005B310000}"/>
    <cellStyle name="Comma 4 2 3 4 3 3" xfId="3151" xr:uid="{00000000-0005-0000-0000-00005C310000}"/>
    <cellStyle name="Comma 4 2 3 4 4" xfId="3405" xr:uid="{00000000-0005-0000-0000-00005D310000}"/>
    <cellStyle name="Comma 4 2 3 4 5" xfId="2887" xr:uid="{00000000-0005-0000-0000-00005E310000}"/>
    <cellStyle name="Comma 4 2 3 5" xfId="2392" xr:uid="{00000000-0005-0000-0000-00005F310000}"/>
    <cellStyle name="Comma 4 2 3 5 2" xfId="2639" xr:uid="{00000000-0005-0000-0000-000060310000}"/>
    <cellStyle name="Comma 4 2 3 5 2 2" xfId="3669" xr:uid="{00000000-0005-0000-0000-000061310000}"/>
    <cellStyle name="Comma 4 2 3 5 2 3" xfId="3153" xr:uid="{00000000-0005-0000-0000-000062310000}"/>
    <cellStyle name="Comma 4 2 3 5 3" xfId="3407" xr:uid="{00000000-0005-0000-0000-000063310000}"/>
    <cellStyle name="Comma 4 2 3 5 4" xfId="2889" xr:uid="{00000000-0005-0000-0000-000064310000}"/>
    <cellStyle name="Comma 4 2 3 6" xfId="2628" xr:uid="{00000000-0005-0000-0000-000065310000}"/>
    <cellStyle name="Comma 4 2 3 6 2" xfId="3658" xr:uid="{00000000-0005-0000-0000-000066310000}"/>
    <cellStyle name="Comma 4 2 3 6 3" xfId="3142" xr:uid="{00000000-0005-0000-0000-000067310000}"/>
    <cellStyle name="Comma 4 2 3 7" xfId="3396" xr:uid="{00000000-0005-0000-0000-000068310000}"/>
    <cellStyle name="Comma 4 2 3 8" xfId="2878" xr:uid="{00000000-0005-0000-0000-000069310000}"/>
    <cellStyle name="Comma 4 2 3 9" xfId="44875" xr:uid="{00000000-0005-0000-0000-00006A310000}"/>
    <cellStyle name="Comma 4 2 4" xfId="248" xr:uid="{00000000-0005-0000-0000-00006B310000}"/>
    <cellStyle name="Comma 4 2 4 2" xfId="644" xr:uid="{00000000-0005-0000-0000-00006C310000}"/>
    <cellStyle name="Comma 4 2 4 2 2" xfId="2394" xr:uid="{00000000-0005-0000-0000-00006D310000}"/>
    <cellStyle name="Comma 4 2 4 2 2 2" xfId="2395" xr:uid="{00000000-0005-0000-0000-00006E310000}"/>
    <cellStyle name="Comma 4 2 4 2 2 2 2" xfId="2643" xr:uid="{00000000-0005-0000-0000-00006F310000}"/>
    <cellStyle name="Comma 4 2 4 2 2 2 2 2" xfId="3673" xr:uid="{00000000-0005-0000-0000-000070310000}"/>
    <cellStyle name="Comma 4 2 4 2 2 2 2 3" xfId="3157" xr:uid="{00000000-0005-0000-0000-000071310000}"/>
    <cellStyle name="Comma 4 2 4 2 2 2 3" xfId="3411" xr:uid="{00000000-0005-0000-0000-000072310000}"/>
    <cellStyle name="Comma 4 2 4 2 2 2 4" xfId="2893" xr:uid="{00000000-0005-0000-0000-000073310000}"/>
    <cellStyle name="Comma 4 2 4 2 2 3" xfId="2642" xr:uid="{00000000-0005-0000-0000-000074310000}"/>
    <cellStyle name="Comma 4 2 4 2 2 3 2" xfId="3672" xr:uid="{00000000-0005-0000-0000-000075310000}"/>
    <cellStyle name="Comma 4 2 4 2 2 3 3" xfId="3156" xr:uid="{00000000-0005-0000-0000-000076310000}"/>
    <cellStyle name="Comma 4 2 4 2 2 4" xfId="3410" xr:uid="{00000000-0005-0000-0000-000077310000}"/>
    <cellStyle name="Comma 4 2 4 2 2 5" xfId="2892" xr:uid="{00000000-0005-0000-0000-000078310000}"/>
    <cellStyle name="Comma 4 2 4 2 2 6" xfId="15655" xr:uid="{00000000-0005-0000-0000-000079310000}"/>
    <cellStyle name="Comma 4 2 4 2 2 7" xfId="44034" xr:uid="{00000000-0005-0000-0000-00007A310000}"/>
    <cellStyle name="Comma 4 2 4 2 3" xfId="2396" xr:uid="{00000000-0005-0000-0000-00007B310000}"/>
    <cellStyle name="Comma 4 2 4 2 3 2" xfId="2397" xr:uid="{00000000-0005-0000-0000-00007C310000}"/>
    <cellStyle name="Comma 4 2 4 2 3 2 2" xfId="2645" xr:uid="{00000000-0005-0000-0000-00007D310000}"/>
    <cellStyle name="Comma 4 2 4 2 3 2 2 2" xfId="3675" xr:uid="{00000000-0005-0000-0000-00007E310000}"/>
    <cellStyle name="Comma 4 2 4 2 3 2 2 3" xfId="3159" xr:uid="{00000000-0005-0000-0000-00007F310000}"/>
    <cellStyle name="Comma 4 2 4 2 3 2 3" xfId="3413" xr:uid="{00000000-0005-0000-0000-000080310000}"/>
    <cellStyle name="Comma 4 2 4 2 3 2 4" xfId="2895" xr:uid="{00000000-0005-0000-0000-000081310000}"/>
    <cellStyle name="Comma 4 2 4 2 3 3" xfId="2644" xr:uid="{00000000-0005-0000-0000-000082310000}"/>
    <cellStyle name="Comma 4 2 4 2 3 3 2" xfId="3674" xr:uid="{00000000-0005-0000-0000-000083310000}"/>
    <cellStyle name="Comma 4 2 4 2 3 3 3" xfId="3158" xr:uid="{00000000-0005-0000-0000-000084310000}"/>
    <cellStyle name="Comma 4 2 4 2 3 4" xfId="3412" xr:uid="{00000000-0005-0000-0000-000085310000}"/>
    <cellStyle name="Comma 4 2 4 2 3 5" xfId="2894" xr:uid="{00000000-0005-0000-0000-000086310000}"/>
    <cellStyle name="Comma 4 2 4 2 4" xfId="2398" xr:uid="{00000000-0005-0000-0000-000087310000}"/>
    <cellStyle name="Comma 4 2 4 2 4 2" xfId="2646" xr:uid="{00000000-0005-0000-0000-000088310000}"/>
    <cellStyle name="Comma 4 2 4 2 4 2 2" xfId="3676" xr:uid="{00000000-0005-0000-0000-000089310000}"/>
    <cellStyle name="Comma 4 2 4 2 4 2 3" xfId="3160" xr:uid="{00000000-0005-0000-0000-00008A310000}"/>
    <cellStyle name="Comma 4 2 4 2 4 3" xfId="3414" xr:uid="{00000000-0005-0000-0000-00008B310000}"/>
    <cellStyle name="Comma 4 2 4 2 4 4" xfId="2896" xr:uid="{00000000-0005-0000-0000-00008C310000}"/>
    <cellStyle name="Comma 4 2 4 2 5" xfId="2641" xr:uid="{00000000-0005-0000-0000-00008D310000}"/>
    <cellStyle name="Comma 4 2 4 2 5 2" xfId="3671" xr:uid="{00000000-0005-0000-0000-00008E310000}"/>
    <cellStyle name="Comma 4 2 4 2 5 3" xfId="3155" xr:uid="{00000000-0005-0000-0000-00008F310000}"/>
    <cellStyle name="Comma 4 2 4 2 6" xfId="3409" xr:uid="{00000000-0005-0000-0000-000090310000}"/>
    <cellStyle name="Comma 4 2 4 2 7" xfId="2891" xr:uid="{00000000-0005-0000-0000-000091310000}"/>
    <cellStyle name="Comma 4 2 4 2 8" xfId="2393" xr:uid="{00000000-0005-0000-0000-000092310000}"/>
    <cellStyle name="Comma 4 2 4 3" xfId="837" xr:uid="{00000000-0005-0000-0000-000093310000}"/>
    <cellStyle name="Comma 4 2 4 3 2" xfId="2400" xr:uid="{00000000-0005-0000-0000-000094310000}"/>
    <cellStyle name="Comma 4 2 4 3 2 2" xfId="2648" xr:uid="{00000000-0005-0000-0000-000095310000}"/>
    <cellStyle name="Comma 4 2 4 3 2 2 2" xfId="3678" xr:uid="{00000000-0005-0000-0000-000096310000}"/>
    <cellStyle name="Comma 4 2 4 3 2 2 3" xfId="3162" xr:uid="{00000000-0005-0000-0000-000097310000}"/>
    <cellStyle name="Comma 4 2 4 3 2 3" xfId="3416" xr:uid="{00000000-0005-0000-0000-000098310000}"/>
    <cellStyle name="Comma 4 2 4 3 2 4" xfId="2898" xr:uid="{00000000-0005-0000-0000-000099310000}"/>
    <cellStyle name="Comma 4 2 4 3 3" xfId="2647" xr:uid="{00000000-0005-0000-0000-00009A310000}"/>
    <cellStyle name="Comma 4 2 4 3 3 2" xfId="3677" xr:uid="{00000000-0005-0000-0000-00009B310000}"/>
    <cellStyle name="Comma 4 2 4 3 3 3" xfId="3161" xr:uid="{00000000-0005-0000-0000-00009C310000}"/>
    <cellStyle name="Comma 4 2 4 3 4" xfId="3415" xr:uid="{00000000-0005-0000-0000-00009D310000}"/>
    <cellStyle name="Comma 4 2 4 3 5" xfId="2897" xr:uid="{00000000-0005-0000-0000-00009E310000}"/>
    <cellStyle name="Comma 4 2 4 3 6" xfId="2399" xr:uid="{00000000-0005-0000-0000-00009F310000}"/>
    <cellStyle name="Comma 4 2 4 4" xfId="2401" xr:uid="{00000000-0005-0000-0000-0000A0310000}"/>
    <cellStyle name="Comma 4 2 4 4 2" xfId="2402" xr:uid="{00000000-0005-0000-0000-0000A1310000}"/>
    <cellStyle name="Comma 4 2 4 4 2 2" xfId="2650" xr:uid="{00000000-0005-0000-0000-0000A2310000}"/>
    <cellStyle name="Comma 4 2 4 4 2 2 2" xfId="3680" xr:uid="{00000000-0005-0000-0000-0000A3310000}"/>
    <cellStyle name="Comma 4 2 4 4 2 2 3" xfId="3164" xr:uid="{00000000-0005-0000-0000-0000A4310000}"/>
    <cellStyle name="Comma 4 2 4 4 2 3" xfId="3418" xr:uid="{00000000-0005-0000-0000-0000A5310000}"/>
    <cellStyle name="Comma 4 2 4 4 2 4" xfId="2900" xr:uid="{00000000-0005-0000-0000-0000A6310000}"/>
    <cellStyle name="Comma 4 2 4 4 3" xfId="2649" xr:uid="{00000000-0005-0000-0000-0000A7310000}"/>
    <cellStyle name="Comma 4 2 4 4 3 2" xfId="3679" xr:uid="{00000000-0005-0000-0000-0000A8310000}"/>
    <cellStyle name="Comma 4 2 4 4 3 3" xfId="3163" xr:uid="{00000000-0005-0000-0000-0000A9310000}"/>
    <cellStyle name="Comma 4 2 4 4 4" xfId="3417" xr:uid="{00000000-0005-0000-0000-0000AA310000}"/>
    <cellStyle name="Comma 4 2 4 4 5" xfId="2899" xr:uid="{00000000-0005-0000-0000-0000AB310000}"/>
    <cellStyle name="Comma 4 2 4 5" xfId="2403" xr:uid="{00000000-0005-0000-0000-0000AC310000}"/>
    <cellStyle name="Comma 4 2 4 5 2" xfId="2651" xr:uid="{00000000-0005-0000-0000-0000AD310000}"/>
    <cellStyle name="Comma 4 2 4 5 2 2" xfId="3681" xr:uid="{00000000-0005-0000-0000-0000AE310000}"/>
    <cellStyle name="Comma 4 2 4 5 2 3" xfId="3165" xr:uid="{00000000-0005-0000-0000-0000AF310000}"/>
    <cellStyle name="Comma 4 2 4 5 3" xfId="3419" xr:uid="{00000000-0005-0000-0000-0000B0310000}"/>
    <cellStyle name="Comma 4 2 4 5 4" xfId="2901" xr:uid="{00000000-0005-0000-0000-0000B1310000}"/>
    <cellStyle name="Comma 4 2 4 6" xfId="2640" xr:uid="{00000000-0005-0000-0000-0000B2310000}"/>
    <cellStyle name="Comma 4 2 4 6 2" xfId="3670" xr:uid="{00000000-0005-0000-0000-0000B3310000}"/>
    <cellStyle name="Comma 4 2 4 6 3" xfId="3154" xr:uid="{00000000-0005-0000-0000-0000B4310000}"/>
    <cellStyle name="Comma 4 2 4 7" xfId="3408" xr:uid="{00000000-0005-0000-0000-0000B5310000}"/>
    <cellStyle name="Comma 4 2 4 8" xfId="2890" xr:uid="{00000000-0005-0000-0000-0000B6310000}"/>
    <cellStyle name="Comma 4 2 4 9" xfId="44876" xr:uid="{00000000-0005-0000-0000-0000B7310000}"/>
    <cellStyle name="Comma 4 2 5" xfId="838" xr:uid="{00000000-0005-0000-0000-0000B8310000}"/>
    <cellStyle name="Comma 4 2 5 2" xfId="2351" xr:uid="{00000000-0005-0000-0000-0000B9310000}"/>
    <cellStyle name="Comma 4 2 5 2 2" xfId="2404" xr:uid="{00000000-0005-0000-0000-0000BA310000}"/>
    <cellStyle name="Comma 4 2 5 2 2 2" xfId="2405" xr:uid="{00000000-0005-0000-0000-0000BB310000}"/>
    <cellStyle name="Comma 4 2 5 2 2 2 2" xfId="2655" xr:uid="{00000000-0005-0000-0000-0000BC310000}"/>
    <cellStyle name="Comma 4 2 5 2 2 2 2 2" xfId="3685" xr:uid="{00000000-0005-0000-0000-0000BD310000}"/>
    <cellStyle name="Comma 4 2 5 2 2 2 2 3" xfId="3169" xr:uid="{00000000-0005-0000-0000-0000BE310000}"/>
    <cellStyle name="Comma 4 2 5 2 2 2 3" xfId="3423" xr:uid="{00000000-0005-0000-0000-0000BF310000}"/>
    <cellStyle name="Comma 4 2 5 2 2 2 4" xfId="2905" xr:uid="{00000000-0005-0000-0000-0000C0310000}"/>
    <cellStyle name="Comma 4 2 5 2 2 3" xfId="2654" xr:uid="{00000000-0005-0000-0000-0000C1310000}"/>
    <cellStyle name="Comma 4 2 5 2 2 3 2" xfId="3684" xr:uid="{00000000-0005-0000-0000-0000C2310000}"/>
    <cellStyle name="Comma 4 2 5 2 2 3 3" xfId="3168" xr:uid="{00000000-0005-0000-0000-0000C3310000}"/>
    <cellStyle name="Comma 4 2 5 2 2 4" xfId="3422" xr:uid="{00000000-0005-0000-0000-0000C4310000}"/>
    <cellStyle name="Comma 4 2 5 2 2 5" xfId="2904" xr:uid="{00000000-0005-0000-0000-0000C5310000}"/>
    <cellStyle name="Comma 4 2 5 2 3" xfId="2406" xr:uid="{00000000-0005-0000-0000-0000C6310000}"/>
    <cellStyle name="Comma 4 2 5 2 3 2" xfId="2407" xr:uid="{00000000-0005-0000-0000-0000C7310000}"/>
    <cellStyle name="Comma 4 2 5 2 3 2 2" xfId="2657" xr:uid="{00000000-0005-0000-0000-0000C8310000}"/>
    <cellStyle name="Comma 4 2 5 2 3 2 2 2" xfId="3687" xr:uid="{00000000-0005-0000-0000-0000C9310000}"/>
    <cellStyle name="Comma 4 2 5 2 3 2 2 3" xfId="3171" xr:uid="{00000000-0005-0000-0000-0000CA310000}"/>
    <cellStyle name="Comma 4 2 5 2 3 2 3" xfId="3425" xr:uid="{00000000-0005-0000-0000-0000CB310000}"/>
    <cellStyle name="Comma 4 2 5 2 3 2 4" xfId="2907" xr:uid="{00000000-0005-0000-0000-0000CC310000}"/>
    <cellStyle name="Comma 4 2 5 2 3 3" xfId="2656" xr:uid="{00000000-0005-0000-0000-0000CD310000}"/>
    <cellStyle name="Comma 4 2 5 2 3 3 2" xfId="3686" xr:uid="{00000000-0005-0000-0000-0000CE310000}"/>
    <cellStyle name="Comma 4 2 5 2 3 3 3" xfId="3170" xr:uid="{00000000-0005-0000-0000-0000CF310000}"/>
    <cellStyle name="Comma 4 2 5 2 3 4" xfId="3424" xr:uid="{00000000-0005-0000-0000-0000D0310000}"/>
    <cellStyle name="Comma 4 2 5 2 3 5" xfId="2906" xr:uid="{00000000-0005-0000-0000-0000D1310000}"/>
    <cellStyle name="Comma 4 2 5 2 4" xfId="2408" xr:uid="{00000000-0005-0000-0000-0000D2310000}"/>
    <cellStyle name="Comma 4 2 5 2 4 2" xfId="2658" xr:uid="{00000000-0005-0000-0000-0000D3310000}"/>
    <cellStyle name="Comma 4 2 5 2 4 2 2" xfId="3688" xr:uid="{00000000-0005-0000-0000-0000D4310000}"/>
    <cellStyle name="Comma 4 2 5 2 4 2 3" xfId="3172" xr:uid="{00000000-0005-0000-0000-0000D5310000}"/>
    <cellStyle name="Comma 4 2 5 2 4 3" xfId="3426" xr:uid="{00000000-0005-0000-0000-0000D6310000}"/>
    <cellStyle name="Comma 4 2 5 2 4 4" xfId="2908" xr:uid="{00000000-0005-0000-0000-0000D7310000}"/>
    <cellStyle name="Comma 4 2 5 2 5" xfId="2653" xr:uid="{00000000-0005-0000-0000-0000D8310000}"/>
    <cellStyle name="Comma 4 2 5 2 5 2" xfId="3683" xr:uid="{00000000-0005-0000-0000-0000D9310000}"/>
    <cellStyle name="Comma 4 2 5 2 5 3" xfId="3167" xr:uid="{00000000-0005-0000-0000-0000DA310000}"/>
    <cellStyle name="Comma 4 2 5 2 6" xfId="3421" xr:uid="{00000000-0005-0000-0000-0000DB310000}"/>
    <cellStyle name="Comma 4 2 5 2 7" xfId="2903" xr:uid="{00000000-0005-0000-0000-0000DC310000}"/>
    <cellStyle name="Comma 4 2 5 2 8" xfId="44877" xr:uid="{00000000-0005-0000-0000-0000DD310000}"/>
    <cellStyle name="Comma 4 2 5 3" xfId="2409" xr:uid="{00000000-0005-0000-0000-0000DE310000}"/>
    <cellStyle name="Comma 4 2 5 3 2" xfId="2410" xr:uid="{00000000-0005-0000-0000-0000DF310000}"/>
    <cellStyle name="Comma 4 2 5 3 2 2" xfId="2660" xr:uid="{00000000-0005-0000-0000-0000E0310000}"/>
    <cellStyle name="Comma 4 2 5 3 2 2 2" xfId="3690" xr:uid="{00000000-0005-0000-0000-0000E1310000}"/>
    <cellStyle name="Comma 4 2 5 3 2 2 3" xfId="3174" xr:uid="{00000000-0005-0000-0000-0000E2310000}"/>
    <cellStyle name="Comma 4 2 5 3 2 3" xfId="3428" xr:uid="{00000000-0005-0000-0000-0000E3310000}"/>
    <cellStyle name="Comma 4 2 5 3 2 4" xfId="2910" xr:uid="{00000000-0005-0000-0000-0000E4310000}"/>
    <cellStyle name="Comma 4 2 5 3 3" xfId="2659" xr:uid="{00000000-0005-0000-0000-0000E5310000}"/>
    <cellStyle name="Comma 4 2 5 3 3 2" xfId="3689" xr:uid="{00000000-0005-0000-0000-0000E6310000}"/>
    <cellStyle name="Comma 4 2 5 3 3 3" xfId="3173" xr:uid="{00000000-0005-0000-0000-0000E7310000}"/>
    <cellStyle name="Comma 4 2 5 3 4" xfId="3427" xr:uid="{00000000-0005-0000-0000-0000E8310000}"/>
    <cellStyle name="Comma 4 2 5 3 5" xfId="2909" xr:uid="{00000000-0005-0000-0000-0000E9310000}"/>
    <cellStyle name="Comma 4 2 5 4" xfId="2411" xr:uid="{00000000-0005-0000-0000-0000EA310000}"/>
    <cellStyle name="Comma 4 2 5 4 2" xfId="2412" xr:uid="{00000000-0005-0000-0000-0000EB310000}"/>
    <cellStyle name="Comma 4 2 5 4 2 2" xfId="2662" xr:uid="{00000000-0005-0000-0000-0000EC310000}"/>
    <cellStyle name="Comma 4 2 5 4 2 2 2" xfId="3692" xr:uid="{00000000-0005-0000-0000-0000ED310000}"/>
    <cellStyle name="Comma 4 2 5 4 2 2 3" xfId="3176" xr:uid="{00000000-0005-0000-0000-0000EE310000}"/>
    <cellStyle name="Comma 4 2 5 4 2 3" xfId="3430" xr:uid="{00000000-0005-0000-0000-0000EF310000}"/>
    <cellStyle name="Comma 4 2 5 4 2 4" xfId="2912" xr:uid="{00000000-0005-0000-0000-0000F0310000}"/>
    <cellStyle name="Comma 4 2 5 4 3" xfId="2661" xr:uid="{00000000-0005-0000-0000-0000F1310000}"/>
    <cellStyle name="Comma 4 2 5 4 3 2" xfId="3691" xr:uid="{00000000-0005-0000-0000-0000F2310000}"/>
    <cellStyle name="Comma 4 2 5 4 3 3" xfId="3175" xr:uid="{00000000-0005-0000-0000-0000F3310000}"/>
    <cellStyle name="Comma 4 2 5 4 4" xfId="3429" xr:uid="{00000000-0005-0000-0000-0000F4310000}"/>
    <cellStyle name="Comma 4 2 5 4 5" xfId="2911" xr:uid="{00000000-0005-0000-0000-0000F5310000}"/>
    <cellStyle name="Comma 4 2 5 5" xfId="2413" xr:uid="{00000000-0005-0000-0000-0000F6310000}"/>
    <cellStyle name="Comma 4 2 5 5 2" xfId="2663" xr:uid="{00000000-0005-0000-0000-0000F7310000}"/>
    <cellStyle name="Comma 4 2 5 5 2 2" xfId="3693" xr:uid="{00000000-0005-0000-0000-0000F8310000}"/>
    <cellStyle name="Comma 4 2 5 5 2 3" xfId="3177" xr:uid="{00000000-0005-0000-0000-0000F9310000}"/>
    <cellStyle name="Comma 4 2 5 5 3" xfId="3431" xr:uid="{00000000-0005-0000-0000-0000FA310000}"/>
    <cellStyle name="Comma 4 2 5 5 4" xfId="2913" xr:uid="{00000000-0005-0000-0000-0000FB310000}"/>
    <cellStyle name="Comma 4 2 5 6" xfId="2652" xr:uid="{00000000-0005-0000-0000-0000FC310000}"/>
    <cellStyle name="Comma 4 2 5 6 2" xfId="3682" xr:uid="{00000000-0005-0000-0000-0000FD310000}"/>
    <cellStyle name="Comma 4 2 5 6 3" xfId="3166" xr:uid="{00000000-0005-0000-0000-0000FE310000}"/>
    <cellStyle name="Comma 4 2 5 7" xfId="3420" xr:uid="{00000000-0005-0000-0000-0000FF310000}"/>
    <cellStyle name="Comma 4 2 5 8" xfId="2902" xr:uid="{00000000-0005-0000-0000-000000320000}"/>
    <cellStyle name="Comma 4 2 6" xfId="839" xr:uid="{00000000-0005-0000-0000-000001320000}"/>
    <cellStyle name="Comma 4 2 6 2" xfId="2414" xr:uid="{00000000-0005-0000-0000-000002320000}"/>
    <cellStyle name="Comma 4 2 6 2 2" xfId="2415" xr:uid="{00000000-0005-0000-0000-000003320000}"/>
    <cellStyle name="Comma 4 2 6 2 2 2" xfId="2666" xr:uid="{00000000-0005-0000-0000-000004320000}"/>
    <cellStyle name="Comma 4 2 6 2 2 2 2" xfId="3696" xr:uid="{00000000-0005-0000-0000-000005320000}"/>
    <cellStyle name="Comma 4 2 6 2 2 2 3" xfId="3180" xr:uid="{00000000-0005-0000-0000-000006320000}"/>
    <cellStyle name="Comma 4 2 6 2 2 3" xfId="3434" xr:uid="{00000000-0005-0000-0000-000007320000}"/>
    <cellStyle name="Comma 4 2 6 2 2 4" xfId="2916" xr:uid="{00000000-0005-0000-0000-000008320000}"/>
    <cellStyle name="Comma 4 2 6 2 3" xfId="2665" xr:uid="{00000000-0005-0000-0000-000009320000}"/>
    <cellStyle name="Comma 4 2 6 2 3 2" xfId="3695" xr:uid="{00000000-0005-0000-0000-00000A320000}"/>
    <cellStyle name="Comma 4 2 6 2 3 3" xfId="3179" xr:uid="{00000000-0005-0000-0000-00000B320000}"/>
    <cellStyle name="Comma 4 2 6 2 4" xfId="3433" xr:uid="{00000000-0005-0000-0000-00000C320000}"/>
    <cellStyle name="Comma 4 2 6 2 5" xfId="2915" xr:uid="{00000000-0005-0000-0000-00000D320000}"/>
    <cellStyle name="Comma 4 2 6 3" xfId="2416" xr:uid="{00000000-0005-0000-0000-00000E320000}"/>
    <cellStyle name="Comma 4 2 6 3 2" xfId="2417" xr:uid="{00000000-0005-0000-0000-00000F320000}"/>
    <cellStyle name="Comma 4 2 6 3 2 2" xfId="2668" xr:uid="{00000000-0005-0000-0000-000010320000}"/>
    <cellStyle name="Comma 4 2 6 3 2 2 2" xfId="3698" xr:uid="{00000000-0005-0000-0000-000011320000}"/>
    <cellStyle name="Comma 4 2 6 3 2 2 3" xfId="3182" xr:uid="{00000000-0005-0000-0000-000012320000}"/>
    <cellStyle name="Comma 4 2 6 3 2 3" xfId="3436" xr:uid="{00000000-0005-0000-0000-000013320000}"/>
    <cellStyle name="Comma 4 2 6 3 2 4" xfId="2918" xr:uid="{00000000-0005-0000-0000-000014320000}"/>
    <cellStyle name="Comma 4 2 6 3 3" xfId="2667" xr:uid="{00000000-0005-0000-0000-000015320000}"/>
    <cellStyle name="Comma 4 2 6 3 3 2" xfId="3697" xr:uid="{00000000-0005-0000-0000-000016320000}"/>
    <cellStyle name="Comma 4 2 6 3 3 3" xfId="3181" xr:uid="{00000000-0005-0000-0000-000017320000}"/>
    <cellStyle name="Comma 4 2 6 3 4" xfId="3435" xr:uid="{00000000-0005-0000-0000-000018320000}"/>
    <cellStyle name="Comma 4 2 6 3 5" xfId="2917" xr:uid="{00000000-0005-0000-0000-000019320000}"/>
    <cellStyle name="Comma 4 2 6 4" xfId="2418" xr:uid="{00000000-0005-0000-0000-00001A320000}"/>
    <cellStyle name="Comma 4 2 6 4 2" xfId="2669" xr:uid="{00000000-0005-0000-0000-00001B320000}"/>
    <cellStyle name="Comma 4 2 6 4 2 2" xfId="3699" xr:uid="{00000000-0005-0000-0000-00001C320000}"/>
    <cellStyle name="Comma 4 2 6 4 2 3" xfId="3183" xr:uid="{00000000-0005-0000-0000-00001D320000}"/>
    <cellStyle name="Comma 4 2 6 4 3" xfId="3437" xr:uid="{00000000-0005-0000-0000-00001E320000}"/>
    <cellStyle name="Comma 4 2 6 4 4" xfId="2919" xr:uid="{00000000-0005-0000-0000-00001F320000}"/>
    <cellStyle name="Comma 4 2 6 5" xfId="2664" xr:uid="{00000000-0005-0000-0000-000020320000}"/>
    <cellStyle name="Comma 4 2 6 5 2" xfId="3694" xr:uid="{00000000-0005-0000-0000-000021320000}"/>
    <cellStyle name="Comma 4 2 6 5 3" xfId="3178" xr:uid="{00000000-0005-0000-0000-000022320000}"/>
    <cellStyle name="Comma 4 2 6 6" xfId="3432" xr:uid="{00000000-0005-0000-0000-000023320000}"/>
    <cellStyle name="Comma 4 2 6 7" xfId="2914" xr:uid="{00000000-0005-0000-0000-000024320000}"/>
    <cellStyle name="Comma 4 2 6 8" xfId="44878" xr:uid="{00000000-0005-0000-0000-000025320000}"/>
    <cellStyle name="Comma 4 2 7" xfId="2419" xr:uid="{00000000-0005-0000-0000-000026320000}"/>
    <cellStyle name="Comma 4 2 7 2" xfId="2420" xr:uid="{00000000-0005-0000-0000-000027320000}"/>
    <cellStyle name="Comma 4 2 7 2 2" xfId="2671" xr:uid="{00000000-0005-0000-0000-000028320000}"/>
    <cellStyle name="Comma 4 2 7 2 2 2" xfId="3701" xr:uid="{00000000-0005-0000-0000-000029320000}"/>
    <cellStyle name="Comma 4 2 7 2 2 3" xfId="3185" xr:uid="{00000000-0005-0000-0000-00002A320000}"/>
    <cellStyle name="Comma 4 2 7 2 3" xfId="3439" xr:uid="{00000000-0005-0000-0000-00002B320000}"/>
    <cellStyle name="Comma 4 2 7 2 4" xfId="2921" xr:uid="{00000000-0005-0000-0000-00002C320000}"/>
    <cellStyle name="Comma 4 2 7 3" xfId="2670" xr:uid="{00000000-0005-0000-0000-00002D320000}"/>
    <cellStyle name="Comma 4 2 7 3 2" xfId="3700" xr:uid="{00000000-0005-0000-0000-00002E320000}"/>
    <cellStyle name="Comma 4 2 7 3 3" xfId="3184" xr:uid="{00000000-0005-0000-0000-00002F320000}"/>
    <cellStyle name="Comma 4 2 7 4" xfId="3438" xr:uid="{00000000-0005-0000-0000-000030320000}"/>
    <cellStyle name="Comma 4 2 7 5" xfId="2920" xr:uid="{00000000-0005-0000-0000-000031320000}"/>
    <cellStyle name="Comma 4 2 8" xfId="2421" xr:uid="{00000000-0005-0000-0000-000032320000}"/>
    <cellStyle name="Comma 4 2 8 2" xfId="2422" xr:uid="{00000000-0005-0000-0000-000033320000}"/>
    <cellStyle name="Comma 4 2 8 2 2" xfId="2673" xr:uid="{00000000-0005-0000-0000-000034320000}"/>
    <cellStyle name="Comma 4 2 8 2 2 2" xfId="3703" xr:uid="{00000000-0005-0000-0000-000035320000}"/>
    <cellStyle name="Comma 4 2 8 2 2 3" xfId="3187" xr:uid="{00000000-0005-0000-0000-000036320000}"/>
    <cellStyle name="Comma 4 2 8 2 3" xfId="3441" xr:uid="{00000000-0005-0000-0000-000037320000}"/>
    <cellStyle name="Comma 4 2 8 2 4" xfId="2923" xr:uid="{00000000-0005-0000-0000-000038320000}"/>
    <cellStyle name="Comma 4 2 8 3" xfId="2672" xr:uid="{00000000-0005-0000-0000-000039320000}"/>
    <cellStyle name="Comma 4 2 8 3 2" xfId="3702" xr:uid="{00000000-0005-0000-0000-00003A320000}"/>
    <cellStyle name="Comma 4 2 8 3 3" xfId="3186" xr:uid="{00000000-0005-0000-0000-00003B320000}"/>
    <cellStyle name="Comma 4 2 8 4" xfId="3440" xr:uid="{00000000-0005-0000-0000-00003C320000}"/>
    <cellStyle name="Comma 4 2 8 5" xfId="2922" xr:uid="{00000000-0005-0000-0000-00003D320000}"/>
    <cellStyle name="Comma 4 2 9" xfId="2423" xr:uid="{00000000-0005-0000-0000-00003E320000}"/>
    <cellStyle name="Comma 4 2 9 2" xfId="2674" xr:uid="{00000000-0005-0000-0000-00003F320000}"/>
    <cellStyle name="Comma 4 2 9 2 2" xfId="3704" xr:uid="{00000000-0005-0000-0000-000040320000}"/>
    <cellStyle name="Comma 4 2 9 2 3" xfId="3188" xr:uid="{00000000-0005-0000-0000-000041320000}"/>
    <cellStyle name="Comma 4 2 9 3" xfId="3442" xr:uid="{00000000-0005-0000-0000-000042320000}"/>
    <cellStyle name="Comma 4 2 9 4" xfId="2924" xr:uid="{00000000-0005-0000-0000-000043320000}"/>
    <cellStyle name="Comma 4 3" xfId="19" xr:uid="{00000000-0005-0000-0000-000044320000}"/>
    <cellStyle name="Comma 4 3 10" xfId="840" xr:uid="{00000000-0005-0000-0000-000045320000}"/>
    <cellStyle name="Comma 4 3 10 2" xfId="42542" xr:uid="{00000000-0005-0000-0000-000046320000}"/>
    <cellStyle name="Comma 4 3 10 3" xfId="44879" xr:uid="{00000000-0005-0000-0000-000047320000}"/>
    <cellStyle name="Comma 4 3 11" xfId="2925" xr:uid="{00000000-0005-0000-0000-000048320000}"/>
    <cellStyle name="Comma 4 3 2" xfId="20" xr:uid="{00000000-0005-0000-0000-000049320000}"/>
    <cellStyle name="Comma 4 3 2 2" xfId="841" xr:uid="{00000000-0005-0000-0000-00004A320000}"/>
    <cellStyle name="Comma 4 3 2 2 2" xfId="842" xr:uid="{00000000-0005-0000-0000-00004B320000}"/>
    <cellStyle name="Comma 4 3 2 2 2 2" xfId="2425" xr:uid="{00000000-0005-0000-0000-00004C320000}"/>
    <cellStyle name="Comma 4 3 2 2 2 2 2" xfId="2677" xr:uid="{00000000-0005-0000-0000-00004D320000}"/>
    <cellStyle name="Comma 4 3 2 2 2 2 2 2" xfId="3707" xr:uid="{00000000-0005-0000-0000-00004E320000}"/>
    <cellStyle name="Comma 4 3 2 2 2 2 2 3" xfId="3191" xr:uid="{00000000-0005-0000-0000-00004F320000}"/>
    <cellStyle name="Comma 4 3 2 2 2 2 3" xfId="3446" xr:uid="{00000000-0005-0000-0000-000050320000}"/>
    <cellStyle name="Comma 4 3 2 2 2 2 4" xfId="2929" xr:uid="{00000000-0005-0000-0000-000051320000}"/>
    <cellStyle name="Comma 4 3 2 2 2 3" xfId="2676" xr:uid="{00000000-0005-0000-0000-000052320000}"/>
    <cellStyle name="Comma 4 3 2 2 2 3 2" xfId="3706" xr:uid="{00000000-0005-0000-0000-000053320000}"/>
    <cellStyle name="Comma 4 3 2 2 2 3 3" xfId="3190" xr:uid="{00000000-0005-0000-0000-000054320000}"/>
    <cellStyle name="Comma 4 3 2 2 2 4" xfId="3445" xr:uid="{00000000-0005-0000-0000-000055320000}"/>
    <cellStyle name="Comma 4 3 2 2 2 5" xfId="2928" xr:uid="{00000000-0005-0000-0000-000056320000}"/>
    <cellStyle name="Comma 4 3 2 2 2 6" xfId="2424" xr:uid="{00000000-0005-0000-0000-000057320000}"/>
    <cellStyle name="Comma 4 3 2 2 3" xfId="843" xr:uid="{00000000-0005-0000-0000-000058320000}"/>
    <cellStyle name="Comma 4 3 2 2 3 2" xfId="2427" xr:uid="{00000000-0005-0000-0000-000059320000}"/>
    <cellStyle name="Comma 4 3 2 2 3 2 2" xfId="2679" xr:uid="{00000000-0005-0000-0000-00005A320000}"/>
    <cellStyle name="Comma 4 3 2 2 3 2 2 2" xfId="3709" xr:uid="{00000000-0005-0000-0000-00005B320000}"/>
    <cellStyle name="Comma 4 3 2 2 3 2 2 3" xfId="3193" xr:uid="{00000000-0005-0000-0000-00005C320000}"/>
    <cellStyle name="Comma 4 3 2 2 3 2 3" xfId="3448" xr:uid="{00000000-0005-0000-0000-00005D320000}"/>
    <cellStyle name="Comma 4 3 2 2 3 2 4" xfId="2931" xr:uid="{00000000-0005-0000-0000-00005E320000}"/>
    <cellStyle name="Comma 4 3 2 2 3 3" xfId="2678" xr:uid="{00000000-0005-0000-0000-00005F320000}"/>
    <cellStyle name="Comma 4 3 2 2 3 3 2" xfId="3708" xr:uid="{00000000-0005-0000-0000-000060320000}"/>
    <cellStyle name="Comma 4 3 2 2 3 3 3" xfId="3192" xr:uid="{00000000-0005-0000-0000-000061320000}"/>
    <cellStyle name="Comma 4 3 2 2 3 4" xfId="3447" xr:uid="{00000000-0005-0000-0000-000062320000}"/>
    <cellStyle name="Comma 4 3 2 2 3 5" xfId="2930" xr:uid="{00000000-0005-0000-0000-000063320000}"/>
    <cellStyle name="Comma 4 3 2 2 3 6" xfId="2426" xr:uid="{00000000-0005-0000-0000-000064320000}"/>
    <cellStyle name="Comma 4 3 2 2 4" xfId="2428" xr:uid="{00000000-0005-0000-0000-000065320000}"/>
    <cellStyle name="Comma 4 3 2 2 4 2" xfId="2680" xr:uid="{00000000-0005-0000-0000-000066320000}"/>
    <cellStyle name="Comma 4 3 2 2 4 2 2" xfId="3710" xr:uid="{00000000-0005-0000-0000-000067320000}"/>
    <cellStyle name="Comma 4 3 2 2 4 2 3" xfId="3194" xr:uid="{00000000-0005-0000-0000-000068320000}"/>
    <cellStyle name="Comma 4 3 2 2 4 3" xfId="3449" xr:uid="{00000000-0005-0000-0000-000069320000}"/>
    <cellStyle name="Comma 4 3 2 2 4 4" xfId="2932" xr:uid="{00000000-0005-0000-0000-00006A320000}"/>
    <cellStyle name="Comma 4 3 2 2 5" xfId="2675" xr:uid="{00000000-0005-0000-0000-00006B320000}"/>
    <cellStyle name="Comma 4 3 2 2 5 2" xfId="3705" xr:uid="{00000000-0005-0000-0000-00006C320000}"/>
    <cellStyle name="Comma 4 3 2 2 5 3" xfId="3189" xr:uid="{00000000-0005-0000-0000-00006D320000}"/>
    <cellStyle name="Comma 4 3 2 2 6" xfId="3444" xr:uid="{00000000-0005-0000-0000-00006E320000}"/>
    <cellStyle name="Comma 4 3 2 2 7" xfId="2927" xr:uid="{00000000-0005-0000-0000-00006F320000}"/>
    <cellStyle name="Comma 4 3 2 2 8" xfId="44880" xr:uid="{00000000-0005-0000-0000-000070320000}"/>
    <cellStyle name="Comma 4 3 2 3" xfId="844" xr:uid="{00000000-0005-0000-0000-000071320000}"/>
    <cellStyle name="Comma 4 3 2 3 2" xfId="845" xr:uid="{00000000-0005-0000-0000-000072320000}"/>
    <cellStyle name="Comma 4 3 2 3 2 2" xfId="2682" xr:uid="{00000000-0005-0000-0000-000073320000}"/>
    <cellStyle name="Comma 4 3 2 3 2 2 2" xfId="3712" xr:uid="{00000000-0005-0000-0000-000074320000}"/>
    <cellStyle name="Comma 4 3 2 3 2 2 3" xfId="3196" xr:uid="{00000000-0005-0000-0000-000075320000}"/>
    <cellStyle name="Comma 4 3 2 3 2 3" xfId="3451" xr:uid="{00000000-0005-0000-0000-000076320000}"/>
    <cellStyle name="Comma 4 3 2 3 2 4" xfId="2934" xr:uid="{00000000-0005-0000-0000-000077320000}"/>
    <cellStyle name="Comma 4 3 2 3 2 5" xfId="2430" xr:uid="{00000000-0005-0000-0000-000078320000}"/>
    <cellStyle name="Comma 4 3 2 3 3" xfId="846" xr:uid="{00000000-0005-0000-0000-000079320000}"/>
    <cellStyle name="Comma 4 3 2 3 3 2" xfId="3711" xr:uid="{00000000-0005-0000-0000-00007A320000}"/>
    <cellStyle name="Comma 4 3 2 3 3 3" xfId="3195" xr:uid="{00000000-0005-0000-0000-00007B320000}"/>
    <cellStyle name="Comma 4 3 2 3 3 4" xfId="2681" xr:uid="{00000000-0005-0000-0000-00007C320000}"/>
    <cellStyle name="Comma 4 3 2 3 4" xfId="3450" xr:uid="{00000000-0005-0000-0000-00007D320000}"/>
    <cellStyle name="Comma 4 3 2 3 5" xfId="2933" xr:uid="{00000000-0005-0000-0000-00007E320000}"/>
    <cellStyle name="Comma 4 3 2 3 6" xfId="2429" xr:uid="{00000000-0005-0000-0000-00007F320000}"/>
    <cellStyle name="Comma 4 3 2 4" xfId="847" xr:uid="{00000000-0005-0000-0000-000080320000}"/>
    <cellStyle name="Comma 4 3 2 4 2" xfId="2432" xr:uid="{00000000-0005-0000-0000-000081320000}"/>
    <cellStyle name="Comma 4 3 2 4 2 2" xfId="2684" xr:uid="{00000000-0005-0000-0000-000082320000}"/>
    <cellStyle name="Comma 4 3 2 4 2 2 2" xfId="3714" xr:uid="{00000000-0005-0000-0000-000083320000}"/>
    <cellStyle name="Comma 4 3 2 4 2 2 3" xfId="3198" xr:uid="{00000000-0005-0000-0000-000084320000}"/>
    <cellStyle name="Comma 4 3 2 4 2 3" xfId="3453" xr:uid="{00000000-0005-0000-0000-000085320000}"/>
    <cellStyle name="Comma 4 3 2 4 2 4" xfId="2936" xr:uid="{00000000-0005-0000-0000-000086320000}"/>
    <cellStyle name="Comma 4 3 2 4 3" xfId="2683" xr:uid="{00000000-0005-0000-0000-000087320000}"/>
    <cellStyle name="Comma 4 3 2 4 3 2" xfId="3713" xr:uid="{00000000-0005-0000-0000-000088320000}"/>
    <cellStyle name="Comma 4 3 2 4 3 3" xfId="3197" xr:uid="{00000000-0005-0000-0000-000089320000}"/>
    <cellStyle name="Comma 4 3 2 4 4" xfId="3452" xr:uid="{00000000-0005-0000-0000-00008A320000}"/>
    <cellStyle name="Comma 4 3 2 4 5" xfId="2935" xr:uid="{00000000-0005-0000-0000-00008B320000}"/>
    <cellStyle name="Comma 4 3 2 4 6" xfId="2431" xr:uid="{00000000-0005-0000-0000-00008C320000}"/>
    <cellStyle name="Comma 4 3 2 5" xfId="848" xr:uid="{00000000-0005-0000-0000-00008D320000}"/>
    <cellStyle name="Comma 4 3 2 5 2" xfId="2685" xr:uid="{00000000-0005-0000-0000-00008E320000}"/>
    <cellStyle name="Comma 4 3 2 5 2 2" xfId="3715" xr:uid="{00000000-0005-0000-0000-00008F320000}"/>
    <cellStyle name="Comma 4 3 2 5 2 3" xfId="3199" xr:uid="{00000000-0005-0000-0000-000090320000}"/>
    <cellStyle name="Comma 4 3 2 5 3" xfId="3454" xr:uid="{00000000-0005-0000-0000-000091320000}"/>
    <cellStyle name="Comma 4 3 2 5 4" xfId="2937" xr:uid="{00000000-0005-0000-0000-000092320000}"/>
    <cellStyle name="Comma 4 3 2 5 5" xfId="2433" xr:uid="{00000000-0005-0000-0000-000093320000}"/>
    <cellStyle name="Comma 4 3 2 6" xfId="849" xr:uid="{00000000-0005-0000-0000-000094320000}"/>
    <cellStyle name="Comma 4 3 2 6 2" xfId="3641" xr:uid="{00000000-0005-0000-0000-000095320000}"/>
    <cellStyle name="Comma 4 3 2 6 3" xfId="3125" xr:uid="{00000000-0005-0000-0000-000096320000}"/>
    <cellStyle name="Comma 4 3 2 6 4" xfId="44881" xr:uid="{00000000-0005-0000-0000-000097320000}"/>
    <cellStyle name="Comma 4 3 2 7" xfId="3443" xr:uid="{00000000-0005-0000-0000-000098320000}"/>
    <cellStyle name="Comma 4 3 2 8" xfId="2926" xr:uid="{00000000-0005-0000-0000-000099320000}"/>
    <cellStyle name="Comma 4 3 2 9" xfId="44882" xr:uid="{00000000-0005-0000-0000-00009A320000}"/>
    <cellStyle name="Comma 4 3 3" xfId="249" xr:uid="{00000000-0005-0000-0000-00009B320000}"/>
    <cellStyle name="Comma 4 3 3 2" xfId="850" xr:uid="{00000000-0005-0000-0000-00009C320000}"/>
    <cellStyle name="Comma 4 3 3 2 2" xfId="2434" xr:uid="{00000000-0005-0000-0000-00009D320000}"/>
    <cellStyle name="Comma 4 3 3 2 2 2" xfId="2435" xr:uid="{00000000-0005-0000-0000-00009E320000}"/>
    <cellStyle name="Comma 4 3 3 2 2 2 2" xfId="2689" xr:uid="{00000000-0005-0000-0000-00009F320000}"/>
    <cellStyle name="Comma 4 3 3 2 2 2 2 2" xfId="3719" xr:uid="{00000000-0005-0000-0000-0000A0320000}"/>
    <cellStyle name="Comma 4 3 3 2 2 2 2 3" xfId="3203" xr:uid="{00000000-0005-0000-0000-0000A1320000}"/>
    <cellStyle name="Comma 4 3 3 2 2 2 3" xfId="3458" xr:uid="{00000000-0005-0000-0000-0000A2320000}"/>
    <cellStyle name="Comma 4 3 3 2 2 2 4" xfId="2941" xr:uid="{00000000-0005-0000-0000-0000A3320000}"/>
    <cellStyle name="Comma 4 3 3 2 2 3" xfId="2688" xr:uid="{00000000-0005-0000-0000-0000A4320000}"/>
    <cellStyle name="Comma 4 3 3 2 2 3 2" xfId="3718" xr:uid="{00000000-0005-0000-0000-0000A5320000}"/>
    <cellStyle name="Comma 4 3 3 2 2 3 3" xfId="3202" xr:uid="{00000000-0005-0000-0000-0000A6320000}"/>
    <cellStyle name="Comma 4 3 3 2 2 4" xfId="3457" xr:uid="{00000000-0005-0000-0000-0000A7320000}"/>
    <cellStyle name="Comma 4 3 3 2 2 5" xfId="2940" xr:uid="{00000000-0005-0000-0000-0000A8320000}"/>
    <cellStyle name="Comma 4 3 3 2 3" xfId="2436" xr:uid="{00000000-0005-0000-0000-0000A9320000}"/>
    <cellStyle name="Comma 4 3 3 2 3 2" xfId="2437" xr:uid="{00000000-0005-0000-0000-0000AA320000}"/>
    <cellStyle name="Comma 4 3 3 2 3 2 2" xfId="2691" xr:uid="{00000000-0005-0000-0000-0000AB320000}"/>
    <cellStyle name="Comma 4 3 3 2 3 2 2 2" xfId="3721" xr:uid="{00000000-0005-0000-0000-0000AC320000}"/>
    <cellStyle name="Comma 4 3 3 2 3 2 2 3" xfId="3205" xr:uid="{00000000-0005-0000-0000-0000AD320000}"/>
    <cellStyle name="Comma 4 3 3 2 3 2 3" xfId="3460" xr:uid="{00000000-0005-0000-0000-0000AE320000}"/>
    <cellStyle name="Comma 4 3 3 2 3 2 4" xfId="2943" xr:uid="{00000000-0005-0000-0000-0000AF320000}"/>
    <cellStyle name="Comma 4 3 3 2 3 3" xfId="2690" xr:uid="{00000000-0005-0000-0000-0000B0320000}"/>
    <cellStyle name="Comma 4 3 3 2 3 3 2" xfId="3720" xr:uid="{00000000-0005-0000-0000-0000B1320000}"/>
    <cellStyle name="Comma 4 3 3 2 3 3 3" xfId="3204" xr:uid="{00000000-0005-0000-0000-0000B2320000}"/>
    <cellStyle name="Comma 4 3 3 2 3 4" xfId="3459" xr:uid="{00000000-0005-0000-0000-0000B3320000}"/>
    <cellStyle name="Comma 4 3 3 2 3 5" xfId="2942" xr:uid="{00000000-0005-0000-0000-0000B4320000}"/>
    <cellStyle name="Comma 4 3 3 2 4" xfId="2438" xr:uid="{00000000-0005-0000-0000-0000B5320000}"/>
    <cellStyle name="Comma 4 3 3 2 4 2" xfId="2692" xr:uid="{00000000-0005-0000-0000-0000B6320000}"/>
    <cellStyle name="Comma 4 3 3 2 4 2 2" xfId="3722" xr:uid="{00000000-0005-0000-0000-0000B7320000}"/>
    <cellStyle name="Comma 4 3 3 2 4 2 3" xfId="3206" xr:uid="{00000000-0005-0000-0000-0000B8320000}"/>
    <cellStyle name="Comma 4 3 3 2 4 3" xfId="3461" xr:uid="{00000000-0005-0000-0000-0000B9320000}"/>
    <cellStyle name="Comma 4 3 3 2 4 4" xfId="2944" xr:uid="{00000000-0005-0000-0000-0000BA320000}"/>
    <cellStyle name="Comma 4 3 3 2 5" xfId="2687" xr:uid="{00000000-0005-0000-0000-0000BB320000}"/>
    <cellStyle name="Comma 4 3 3 2 5 2" xfId="3717" xr:uid="{00000000-0005-0000-0000-0000BC320000}"/>
    <cellStyle name="Comma 4 3 3 2 5 3" xfId="3201" xr:uid="{00000000-0005-0000-0000-0000BD320000}"/>
    <cellStyle name="Comma 4 3 3 2 6" xfId="3456" xr:uid="{00000000-0005-0000-0000-0000BE320000}"/>
    <cellStyle name="Comma 4 3 3 2 7" xfId="2939" xr:uid="{00000000-0005-0000-0000-0000BF320000}"/>
    <cellStyle name="Comma 4 3 3 2 8" xfId="44883" xr:uid="{00000000-0005-0000-0000-0000C0320000}"/>
    <cellStyle name="Comma 4 3 3 3" xfId="851" xr:uid="{00000000-0005-0000-0000-0000C1320000}"/>
    <cellStyle name="Comma 4 3 3 3 2" xfId="2440" xr:uid="{00000000-0005-0000-0000-0000C2320000}"/>
    <cellStyle name="Comma 4 3 3 3 2 2" xfId="2694" xr:uid="{00000000-0005-0000-0000-0000C3320000}"/>
    <cellStyle name="Comma 4 3 3 3 2 2 2" xfId="3724" xr:uid="{00000000-0005-0000-0000-0000C4320000}"/>
    <cellStyle name="Comma 4 3 3 3 2 2 3" xfId="3208" xr:uid="{00000000-0005-0000-0000-0000C5320000}"/>
    <cellStyle name="Comma 4 3 3 3 2 3" xfId="3463" xr:uid="{00000000-0005-0000-0000-0000C6320000}"/>
    <cellStyle name="Comma 4 3 3 3 2 4" xfId="2946" xr:uid="{00000000-0005-0000-0000-0000C7320000}"/>
    <cellStyle name="Comma 4 3 3 3 3" xfId="2693" xr:uid="{00000000-0005-0000-0000-0000C8320000}"/>
    <cellStyle name="Comma 4 3 3 3 3 2" xfId="3723" xr:uid="{00000000-0005-0000-0000-0000C9320000}"/>
    <cellStyle name="Comma 4 3 3 3 3 3" xfId="3207" xr:uid="{00000000-0005-0000-0000-0000CA320000}"/>
    <cellStyle name="Comma 4 3 3 3 4" xfId="3462" xr:uid="{00000000-0005-0000-0000-0000CB320000}"/>
    <cellStyle name="Comma 4 3 3 3 5" xfId="2945" xr:uid="{00000000-0005-0000-0000-0000CC320000}"/>
    <cellStyle name="Comma 4 3 3 3 6" xfId="2439" xr:uid="{00000000-0005-0000-0000-0000CD320000}"/>
    <cellStyle name="Comma 4 3 3 4" xfId="852" xr:uid="{00000000-0005-0000-0000-0000CE320000}"/>
    <cellStyle name="Comma 4 3 3 4 2" xfId="2441" xr:uid="{00000000-0005-0000-0000-0000CF320000}"/>
    <cellStyle name="Comma 4 3 3 4 2 2" xfId="2696" xr:uid="{00000000-0005-0000-0000-0000D0320000}"/>
    <cellStyle name="Comma 4 3 3 4 2 2 2" xfId="3726" xr:uid="{00000000-0005-0000-0000-0000D1320000}"/>
    <cellStyle name="Comma 4 3 3 4 2 2 3" xfId="3210" xr:uid="{00000000-0005-0000-0000-0000D2320000}"/>
    <cellStyle name="Comma 4 3 3 4 2 3" xfId="3465" xr:uid="{00000000-0005-0000-0000-0000D3320000}"/>
    <cellStyle name="Comma 4 3 3 4 2 4" xfId="2948" xr:uid="{00000000-0005-0000-0000-0000D4320000}"/>
    <cellStyle name="Comma 4 3 3 4 3" xfId="2695" xr:uid="{00000000-0005-0000-0000-0000D5320000}"/>
    <cellStyle name="Comma 4 3 3 4 3 2" xfId="3725" xr:uid="{00000000-0005-0000-0000-0000D6320000}"/>
    <cellStyle name="Comma 4 3 3 4 3 3" xfId="3209" xr:uid="{00000000-0005-0000-0000-0000D7320000}"/>
    <cellStyle name="Comma 4 3 3 4 4" xfId="3464" xr:uid="{00000000-0005-0000-0000-0000D8320000}"/>
    <cellStyle name="Comma 4 3 3 4 5" xfId="2947" xr:uid="{00000000-0005-0000-0000-0000D9320000}"/>
    <cellStyle name="Comma 4 3 3 4 6" xfId="44884" xr:uid="{00000000-0005-0000-0000-0000DA320000}"/>
    <cellStyle name="Comma 4 3 3 5" xfId="2442" xr:uid="{00000000-0005-0000-0000-0000DB320000}"/>
    <cellStyle name="Comma 4 3 3 5 2" xfId="2697" xr:uid="{00000000-0005-0000-0000-0000DC320000}"/>
    <cellStyle name="Comma 4 3 3 5 2 2" xfId="3727" xr:uid="{00000000-0005-0000-0000-0000DD320000}"/>
    <cellStyle name="Comma 4 3 3 5 2 3" xfId="3211" xr:uid="{00000000-0005-0000-0000-0000DE320000}"/>
    <cellStyle name="Comma 4 3 3 5 3" xfId="3466" xr:uid="{00000000-0005-0000-0000-0000DF320000}"/>
    <cellStyle name="Comma 4 3 3 5 4" xfId="2949" xr:uid="{00000000-0005-0000-0000-0000E0320000}"/>
    <cellStyle name="Comma 4 3 3 6" xfId="2686" xr:uid="{00000000-0005-0000-0000-0000E1320000}"/>
    <cellStyle name="Comma 4 3 3 6 2" xfId="3716" xr:uid="{00000000-0005-0000-0000-0000E2320000}"/>
    <cellStyle name="Comma 4 3 3 6 3" xfId="3200" xr:uid="{00000000-0005-0000-0000-0000E3320000}"/>
    <cellStyle name="Comma 4 3 3 7" xfId="3455" xr:uid="{00000000-0005-0000-0000-0000E4320000}"/>
    <cellStyle name="Comma 4 3 3 8" xfId="2938" xr:uid="{00000000-0005-0000-0000-0000E5320000}"/>
    <cellStyle name="Comma 4 3 3 9" xfId="44885" xr:uid="{00000000-0005-0000-0000-0000E6320000}"/>
    <cellStyle name="Comma 4 3 4" xfId="621" xr:uid="{00000000-0005-0000-0000-0000E7320000}"/>
    <cellStyle name="Comma 4 3 4 2" xfId="853" xr:uid="{00000000-0005-0000-0000-0000E8320000}"/>
    <cellStyle name="Comma 4 3 4 2 2" xfId="2443" xr:uid="{00000000-0005-0000-0000-0000E9320000}"/>
    <cellStyle name="Comma 4 3 4 2 2 2" xfId="2444" xr:uid="{00000000-0005-0000-0000-0000EA320000}"/>
    <cellStyle name="Comma 4 3 4 2 2 2 2" xfId="2701" xr:uid="{00000000-0005-0000-0000-0000EB320000}"/>
    <cellStyle name="Comma 4 3 4 2 2 2 2 2" xfId="3731" xr:uid="{00000000-0005-0000-0000-0000EC320000}"/>
    <cellStyle name="Comma 4 3 4 2 2 2 2 3" xfId="3215" xr:uid="{00000000-0005-0000-0000-0000ED320000}"/>
    <cellStyle name="Comma 4 3 4 2 2 2 3" xfId="3470" xr:uid="{00000000-0005-0000-0000-0000EE320000}"/>
    <cellStyle name="Comma 4 3 4 2 2 2 4" xfId="2953" xr:uid="{00000000-0005-0000-0000-0000EF320000}"/>
    <cellStyle name="Comma 4 3 4 2 2 3" xfId="2700" xr:uid="{00000000-0005-0000-0000-0000F0320000}"/>
    <cellStyle name="Comma 4 3 4 2 2 3 2" xfId="3730" xr:uid="{00000000-0005-0000-0000-0000F1320000}"/>
    <cellStyle name="Comma 4 3 4 2 2 3 3" xfId="3214" xr:uid="{00000000-0005-0000-0000-0000F2320000}"/>
    <cellStyle name="Comma 4 3 4 2 2 4" xfId="3469" xr:uid="{00000000-0005-0000-0000-0000F3320000}"/>
    <cellStyle name="Comma 4 3 4 2 2 5" xfId="2952" xr:uid="{00000000-0005-0000-0000-0000F4320000}"/>
    <cellStyle name="Comma 4 3 4 2 3" xfId="2445" xr:uid="{00000000-0005-0000-0000-0000F5320000}"/>
    <cellStyle name="Comma 4 3 4 2 3 2" xfId="2446" xr:uid="{00000000-0005-0000-0000-0000F6320000}"/>
    <cellStyle name="Comma 4 3 4 2 3 2 2" xfId="2703" xr:uid="{00000000-0005-0000-0000-0000F7320000}"/>
    <cellStyle name="Comma 4 3 4 2 3 2 2 2" xfId="3733" xr:uid="{00000000-0005-0000-0000-0000F8320000}"/>
    <cellStyle name="Comma 4 3 4 2 3 2 2 3" xfId="3217" xr:uid="{00000000-0005-0000-0000-0000F9320000}"/>
    <cellStyle name="Comma 4 3 4 2 3 2 3" xfId="3472" xr:uid="{00000000-0005-0000-0000-0000FA320000}"/>
    <cellStyle name="Comma 4 3 4 2 3 2 4" xfId="2955" xr:uid="{00000000-0005-0000-0000-0000FB320000}"/>
    <cellStyle name="Comma 4 3 4 2 3 3" xfId="2702" xr:uid="{00000000-0005-0000-0000-0000FC320000}"/>
    <cellStyle name="Comma 4 3 4 2 3 3 2" xfId="3732" xr:uid="{00000000-0005-0000-0000-0000FD320000}"/>
    <cellStyle name="Comma 4 3 4 2 3 3 3" xfId="3216" xr:uid="{00000000-0005-0000-0000-0000FE320000}"/>
    <cellStyle name="Comma 4 3 4 2 3 4" xfId="3471" xr:uid="{00000000-0005-0000-0000-0000FF320000}"/>
    <cellStyle name="Comma 4 3 4 2 3 5" xfId="2954" xr:uid="{00000000-0005-0000-0000-000000330000}"/>
    <cellStyle name="Comma 4 3 4 2 4" xfId="2447" xr:uid="{00000000-0005-0000-0000-000001330000}"/>
    <cellStyle name="Comma 4 3 4 2 4 2" xfId="2704" xr:uid="{00000000-0005-0000-0000-000002330000}"/>
    <cellStyle name="Comma 4 3 4 2 4 2 2" xfId="3734" xr:uid="{00000000-0005-0000-0000-000003330000}"/>
    <cellStyle name="Comma 4 3 4 2 4 2 3" xfId="3218" xr:uid="{00000000-0005-0000-0000-000004330000}"/>
    <cellStyle name="Comma 4 3 4 2 4 3" xfId="3473" xr:uid="{00000000-0005-0000-0000-000005330000}"/>
    <cellStyle name="Comma 4 3 4 2 4 4" xfId="2956" xr:uid="{00000000-0005-0000-0000-000006330000}"/>
    <cellStyle name="Comma 4 3 4 2 5" xfId="2699" xr:uid="{00000000-0005-0000-0000-000007330000}"/>
    <cellStyle name="Comma 4 3 4 2 5 2" xfId="3729" xr:uid="{00000000-0005-0000-0000-000008330000}"/>
    <cellStyle name="Comma 4 3 4 2 5 3" xfId="3213" xr:uid="{00000000-0005-0000-0000-000009330000}"/>
    <cellStyle name="Comma 4 3 4 2 6" xfId="3468" xr:uid="{00000000-0005-0000-0000-00000A330000}"/>
    <cellStyle name="Comma 4 3 4 2 7" xfId="2951" xr:uid="{00000000-0005-0000-0000-00000B330000}"/>
    <cellStyle name="Comma 4 3 4 2 8" xfId="44886" xr:uid="{00000000-0005-0000-0000-00000C330000}"/>
    <cellStyle name="Comma 4 3 4 3" xfId="854" xr:uid="{00000000-0005-0000-0000-00000D330000}"/>
    <cellStyle name="Comma 4 3 4 3 2" xfId="2449" xr:uid="{00000000-0005-0000-0000-00000E330000}"/>
    <cellStyle name="Comma 4 3 4 3 2 2" xfId="2706" xr:uid="{00000000-0005-0000-0000-00000F330000}"/>
    <cellStyle name="Comma 4 3 4 3 2 2 2" xfId="3736" xr:uid="{00000000-0005-0000-0000-000010330000}"/>
    <cellStyle name="Comma 4 3 4 3 2 2 3" xfId="3220" xr:uid="{00000000-0005-0000-0000-000011330000}"/>
    <cellStyle name="Comma 4 3 4 3 2 3" xfId="3475" xr:uid="{00000000-0005-0000-0000-000012330000}"/>
    <cellStyle name="Comma 4 3 4 3 2 4" xfId="2958" xr:uid="{00000000-0005-0000-0000-000013330000}"/>
    <cellStyle name="Comma 4 3 4 3 3" xfId="2705" xr:uid="{00000000-0005-0000-0000-000014330000}"/>
    <cellStyle name="Comma 4 3 4 3 3 2" xfId="3735" xr:uid="{00000000-0005-0000-0000-000015330000}"/>
    <cellStyle name="Comma 4 3 4 3 3 3" xfId="3219" xr:uid="{00000000-0005-0000-0000-000016330000}"/>
    <cellStyle name="Comma 4 3 4 3 4" xfId="3474" xr:uid="{00000000-0005-0000-0000-000017330000}"/>
    <cellStyle name="Comma 4 3 4 3 5" xfId="2957" xr:uid="{00000000-0005-0000-0000-000018330000}"/>
    <cellStyle name="Comma 4 3 4 3 6" xfId="2448" xr:uid="{00000000-0005-0000-0000-000019330000}"/>
    <cellStyle name="Comma 4 3 4 4" xfId="2450" xr:uid="{00000000-0005-0000-0000-00001A330000}"/>
    <cellStyle name="Comma 4 3 4 4 2" xfId="2451" xr:uid="{00000000-0005-0000-0000-00001B330000}"/>
    <cellStyle name="Comma 4 3 4 4 2 2" xfId="2708" xr:uid="{00000000-0005-0000-0000-00001C330000}"/>
    <cellStyle name="Comma 4 3 4 4 2 2 2" xfId="3738" xr:uid="{00000000-0005-0000-0000-00001D330000}"/>
    <cellStyle name="Comma 4 3 4 4 2 2 3" xfId="3222" xr:uid="{00000000-0005-0000-0000-00001E330000}"/>
    <cellStyle name="Comma 4 3 4 4 2 3" xfId="3477" xr:uid="{00000000-0005-0000-0000-00001F330000}"/>
    <cellStyle name="Comma 4 3 4 4 2 4" xfId="2960" xr:uid="{00000000-0005-0000-0000-000020330000}"/>
    <cellStyle name="Comma 4 3 4 4 3" xfId="2707" xr:uid="{00000000-0005-0000-0000-000021330000}"/>
    <cellStyle name="Comma 4 3 4 4 3 2" xfId="3737" xr:uid="{00000000-0005-0000-0000-000022330000}"/>
    <cellStyle name="Comma 4 3 4 4 3 3" xfId="3221" xr:uid="{00000000-0005-0000-0000-000023330000}"/>
    <cellStyle name="Comma 4 3 4 4 4" xfId="3476" xr:uid="{00000000-0005-0000-0000-000024330000}"/>
    <cellStyle name="Comma 4 3 4 4 5" xfId="2959" xr:uid="{00000000-0005-0000-0000-000025330000}"/>
    <cellStyle name="Comma 4 3 4 5" xfId="2452" xr:uid="{00000000-0005-0000-0000-000026330000}"/>
    <cellStyle name="Comma 4 3 4 5 2" xfId="2709" xr:uid="{00000000-0005-0000-0000-000027330000}"/>
    <cellStyle name="Comma 4 3 4 5 2 2" xfId="3739" xr:uid="{00000000-0005-0000-0000-000028330000}"/>
    <cellStyle name="Comma 4 3 4 5 2 3" xfId="3223" xr:uid="{00000000-0005-0000-0000-000029330000}"/>
    <cellStyle name="Comma 4 3 4 5 3" xfId="3478" xr:uid="{00000000-0005-0000-0000-00002A330000}"/>
    <cellStyle name="Comma 4 3 4 5 4" xfId="2961" xr:uid="{00000000-0005-0000-0000-00002B330000}"/>
    <cellStyle name="Comma 4 3 4 6" xfId="2698" xr:uid="{00000000-0005-0000-0000-00002C330000}"/>
    <cellStyle name="Comma 4 3 4 6 2" xfId="3728" xr:uid="{00000000-0005-0000-0000-00002D330000}"/>
    <cellStyle name="Comma 4 3 4 6 3" xfId="3212" xr:uid="{00000000-0005-0000-0000-00002E330000}"/>
    <cellStyle name="Comma 4 3 4 7" xfId="3467" xr:uid="{00000000-0005-0000-0000-00002F330000}"/>
    <cellStyle name="Comma 4 3 4 8" xfId="2950" xr:uid="{00000000-0005-0000-0000-000030330000}"/>
    <cellStyle name="Comma 4 3 5" xfId="855" xr:uid="{00000000-0005-0000-0000-000031330000}"/>
    <cellStyle name="Comma 4 3 5 2" xfId="856" xr:uid="{00000000-0005-0000-0000-000032330000}"/>
    <cellStyle name="Comma 4 3 5 2 2" xfId="2455" xr:uid="{00000000-0005-0000-0000-000033330000}"/>
    <cellStyle name="Comma 4 3 5 2 2 2" xfId="2712" xr:uid="{00000000-0005-0000-0000-000034330000}"/>
    <cellStyle name="Comma 4 3 5 2 2 2 2" xfId="3742" xr:uid="{00000000-0005-0000-0000-000035330000}"/>
    <cellStyle name="Comma 4 3 5 2 2 2 3" xfId="3226" xr:uid="{00000000-0005-0000-0000-000036330000}"/>
    <cellStyle name="Comma 4 3 5 2 2 3" xfId="3481" xr:uid="{00000000-0005-0000-0000-000037330000}"/>
    <cellStyle name="Comma 4 3 5 2 2 4" xfId="2964" xr:uid="{00000000-0005-0000-0000-000038330000}"/>
    <cellStyle name="Comma 4 3 5 2 3" xfId="2711" xr:uid="{00000000-0005-0000-0000-000039330000}"/>
    <cellStyle name="Comma 4 3 5 2 3 2" xfId="3741" xr:uid="{00000000-0005-0000-0000-00003A330000}"/>
    <cellStyle name="Comma 4 3 5 2 3 3" xfId="3225" xr:uid="{00000000-0005-0000-0000-00003B330000}"/>
    <cellStyle name="Comma 4 3 5 2 4" xfId="3480" xr:uid="{00000000-0005-0000-0000-00003C330000}"/>
    <cellStyle name="Comma 4 3 5 2 5" xfId="2963" xr:uid="{00000000-0005-0000-0000-00003D330000}"/>
    <cellStyle name="Comma 4 3 5 2 6" xfId="2454" xr:uid="{00000000-0005-0000-0000-00003E330000}"/>
    <cellStyle name="Comma 4 3 5 3" xfId="857" xr:uid="{00000000-0005-0000-0000-00003F330000}"/>
    <cellStyle name="Comma 4 3 5 3 2" xfId="2457" xr:uid="{00000000-0005-0000-0000-000040330000}"/>
    <cellStyle name="Comma 4 3 5 3 2 2" xfId="2714" xr:uid="{00000000-0005-0000-0000-000041330000}"/>
    <cellStyle name="Comma 4 3 5 3 2 2 2" xfId="3744" xr:uid="{00000000-0005-0000-0000-000042330000}"/>
    <cellStyle name="Comma 4 3 5 3 2 2 3" xfId="3228" xr:uid="{00000000-0005-0000-0000-000043330000}"/>
    <cellStyle name="Comma 4 3 5 3 2 3" xfId="3483" xr:uid="{00000000-0005-0000-0000-000044330000}"/>
    <cellStyle name="Comma 4 3 5 3 2 4" xfId="2966" xr:uid="{00000000-0005-0000-0000-000045330000}"/>
    <cellStyle name="Comma 4 3 5 3 3" xfId="2713" xr:uid="{00000000-0005-0000-0000-000046330000}"/>
    <cellStyle name="Comma 4 3 5 3 3 2" xfId="3743" xr:uid="{00000000-0005-0000-0000-000047330000}"/>
    <cellStyle name="Comma 4 3 5 3 3 3" xfId="3227" xr:uid="{00000000-0005-0000-0000-000048330000}"/>
    <cellStyle name="Comma 4 3 5 3 4" xfId="3482" xr:uid="{00000000-0005-0000-0000-000049330000}"/>
    <cellStyle name="Comma 4 3 5 3 5" xfId="2965" xr:uid="{00000000-0005-0000-0000-00004A330000}"/>
    <cellStyle name="Comma 4 3 5 3 6" xfId="2456" xr:uid="{00000000-0005-0000-0000-00004B330000}"/>
    <cellStyle name="Comma 4 3 5 4" xfId="2458" xr:uid="{00000000-0005-0000-0000-00004C330000}"/>
    <cellStyle name="Comma 4 3 5 4 2" xfId="2715" xr:uid="{00000000-0005-0000-0000-00004D330000}"/>
    <cellStyle name="Comma 4 3 5 4 2 2" xfId="3745" xr:uid="{00000000-0005-0000-0000-00004E330000}"/>
    <cellStyle name="Comma 4 3 5 4 2 3" xfId="3229" xr:uid="{00000000-0005-0000-0000-00004F330000}"/>
    <cellStyle name="Comma 4 3 5 4 3" xfId="3484" xr:uid="{00000000-0005-0000-0000-000050330000}"/>
    <cellStyle name="Comma 4 3 5 4 4" xfId="2967" xr:uid="{00000000-0005-0000-0000-000051330000}"/>
    <cellStyle name="Comma 4 3 5 5" xfId="2710" xr:uid="{00000000-0005-0000-0000-000052330000}"/>
    <cellStyle name="Comma 4 3 5 5 2" xfId="3740" xr:uid="{00000000-0005-0000-0000-000053330000}"/>
    <cellStyle name="Comma 4 3 5 5 3" xfId="3224" xr:uid="{00000000-0005-0000-0000-000054330000}"/>
    <cellStyle name="Comma 4 3 5 6" xfId="3479" xr:uid="{00000000-0005-0000-0000-000055330000}"/>
    <cellStyle name="Comma 4 3 5 7" xfId="2962" xr:uid="{00000000-0005-0000-0000-000056330000}"/>
    <cellStyle name="Comma 4 3 5 8" xfId="2453" xr:uid="{00000000-0005-0000-0000-000057330000}"/>
    <cellStyle name="Comma 4 3 6" xfId="858" xr:uid="{00000000-0005-0000-0000-000058330000}"/>
    <cellStyle name="Comma 4 3 6 2" xfId="2460" xr:uid="{00000000-0005-0000-0000-000059330000}"/>
    <cellStyle name="Comma 4 3 6 2 2" xfId="2717" xr:uid="{00000000-0005-0000-0000-00005A330000}"/>
    <cellStyle name="Comma 4 3 6 2 2 2" xfId="3747" xr:uid="{00000000-0005-0000-0000-00005B330000}"/>
    <cellStyle name="Comma 4 3 6 2 2 3" xfId="3231" xr:uid="{00000000-0005-0000-0000-00005C330000}"/>
    <cellStyle name="Comma 4 3 6 2 3" xfId="3486" xr:uid="{00000000-0005-0000-0000-00005D330000}"/>
    <cellStyle name="Comma 4 3 6 2 4" xfId="2969" xr:uid="{00000000-0005-0000-0000-00005E330000}"/>
    <cellStyle name="Comma 4 3 6 3" xfId="2716" xr:uid="{00000000-0005-0000-0000-00005F330000}"/>
    <cellStyle name="Comma 4 3 6 3 2" xfId="3746" xr:uid="{00000000-0005-0000-0000-000060330000}"/>
    <cellStyle name="Comma 4 3 6 3 3" xfId="3230" xr:uid="{00000000-0005-0000-0000-000061330000}"/>
    <cellStyle name="Comma 4 3 6 4" xfId="3485" xr:uid="{00000000-0005-0000-0000-000062330000}"/>
    <cellStyle name="Comma 4 3 6 5" xfId="2968" xr:uid="{00000000-0005-0000-0000-000063330000}"/>
    <cellStyle name="Comma 4 3 6 6" xfId="2459" xr:uid="{00000000-0005-0000-0000-000064330000}"/>
    <cellStyle name="Comma 4 3 7" xfId="859" xr:uid="{00000000-0005-0000-0000-000065330000}"/>
    <cellStyle name="Comma 4 3 7 2" xfId="2462" xr:uid="{00000000-0005-0000-0000-000066330000}"/>
    <cellStyle name="Comma 4 3 7 2 2" xfId="2719" xr:uid="{00000000-0005-0000-0000-000067330000}"/>
    <cellStyle name="Comma 4 3 7 2 2 2" xfId="3749" xr:uid="{00000000-0005-0000-0000-000068330000}"/>
    <cellStyle name="Comma 4 3 7 2 2 3" xfId="3233" xr:uid="{00000000-0005-0000-0000-000069330000}"/>
    <cellStyle name="Comma 4 3 7 2 3" xfId="3488" xr:uid="{00000000-0005-0000-0000-00006A330000}"/>
    <cellStyle name="Comma 4 3 7 2 4" xfId="2971" xr:uid="{00000000-0005-0000-0000-00006B330000}"/>
    <cellStyle name="Comma 4 3 7 3" xfId="2718" xr:uid="{00000000-0005-0000-0000-00006C330000}"/>
    <cellStyle name="Comma 4 3 7 3 2" xfId="3748" xr:uid="{00000000-0005-0000-0000-00006D330000}"/>
    <cellStyle name="Comma 4 3 7 3 3" xfId="3232" xr:uid="{00000000-0005-0000-0000-00006E330000}"/>
    <cellStyle name="Comma 4 3 7 4" xfId="3487" xr:uid="{00000000-0005-0000-0000-00006F330000}"/>
    <cellStyle name="Comma 4 3 7 5" xfId="2970" xr:uid="{00000000-0005-0000-0000-000070330000}"/>
    <cellStyle name="Comma 4 3 7 6" xfId="2461" xr:uid="{00000000-0005-0000-0000-000071330000}"/>
    <cellStyle name="Comma 4 3 8" xfId="860" xr:uid="{00000000-0005-0000-0000-000072330000}"/>
    <cellStyle name="Comma 4 3 8 2" xfId="2720" xr:uid="{00000000-0005-0000-0000-000073330000}"/>
    <cellStyle name="Comma 4 3 8 2 2" xfId="3750" xr:uid="{00000000-0005-0000-0000-000074330000}"/>
    <cellStyle name="Comma 4 3 8 2 3" xfId="3234" xr:uid="{00000000-0005-0000-0000-000075330000}"/>
    <cellStyle name="Comma 4 3 8 3" xfId="3489" xr:uid="{00000000-0005-0000-0000-000076330000}"/>
    <cellStyle name="Comma 4 3 8 4" xfId="2972" xr:uid="{00000000-0005-0000-0000-000077330000}"/>
    <cellStyle name="Comma 4 3 8 5" xfId="2463" xr:uid="{00000000-0005-0000-0000-000078330000}"/>
    <cellStyle name="Comma 4 3 9" xfId="861" xr:uid="{00000000-0005-0000-0000-000079330000}"/>
    <cellStyle name="Comma 4 3 9 2" xfId="3636" xr:uid="{00000000-0005-0000-0000-00007A330000}"/>
    <cellStyle name="Comma 4 3 9 3" xfId="3120" xr:uid="{00000000-0005-0000-0000-00007B330000}"/>
    <cellStyle name="Comma 4 3 9 4" xfId="2608" xr:uid="{00000000-0005-0000-0000-00007C330000}"/>
    <cellStyle name="Comma 4 4" xfId="21" xr:uid="{00000000-0005-0000-0000-00007D330000}"/>
    <cellStyle name="Comma 4 4 10" xfId="862" xr:uid="{00000000-0005-0000-0000-00007E330000}"/>
    <cellStyle name="Comma 4 4 10 2" xfId="42543" xr:uid="{00000000-0005-0000-0000-00007F330000}"/>
    <cellStyle name="Comma 4 4 10 3" xfId="44887" xr:uid="{00000000-0005-0000-0000-000080330000}"/>
    <cellStyle name="Comma 4 4 11" xfId="2973" xr:uid="{00000000-0005-0000-0000-000081330000}"/>
    <cellStyle name="Comma 4 4 2" xfId="22" xr:uid="{00000000-0005-0000-0000-000082330000}"/>
    <cellStyle name="Comma 4 4 2 2" xfId="863" xr:uid="{00000000-0005-0000-0000-000083330000}"/>
    <cellStyle name="Comma 4 4 2 2 2" xfId="864" xr:uid="{00000000-0005-0000-0000-000084330000}"/>
    <cellStyle name="Comma 4 4 2 2 2 2" xfId="2465" xr:uid="{00000000-0005-0000-0000-000085330000}"/>
    <cellStyle name="Comma 4 4 2 2 2 2 2" xfId="2723" xr:uid="{00000000-0005-0000-0000-000086330000}"/>
    <cellStyle name="Comma 4 4 2 2 2 2 2 2" xfId="3753" xr:uid="{00000000-0005-0000-0000-000087330000}"/>
    <cellStyle name="Comma 4 4 2 2 2 2 2 3" xfId="3237" xr:uid="{00000000-0005-0000-0000-000088330000}"/>
    <cellStyle name="Comma 4 4 2 2 2 2 3" xfId="3493" xr:uid="{00000000-0005-0000-0000-000089330000}"/>
    <cellStyle name="Comma 4 4 2 2 2 2 4" xfId="2977" xr:uid="{00000000-0005-0000-0000-00008A330000}"/>
    <cellStyle name="Comma 4 4 2 2 2 3" xfId="2722" xr:uid="{00000000-0005-0000-0000-00008B330000}"/>
    <cellStyle name="Comma 4 4 2 2 2 3 2" xfId="3752" xr:uid="{00000000-0005-0000-0000-00008C330000}"/>
    <cellStyle name="Comma 4 4 2 2 2 3 3" xfId="3236" xr:uid="{00000000-0005-0000-0000-00008D330000}"/>
    <cellStyle name="Comma 4 4 2 2 2 4" xfId="3492" xr:uid="{00000000-0005-0000-0000-00008E330000}"/>
    <cellStyle name="Comma 4 4 2 2 2 5" xfId="2976" xr:uid="{00000000-0005-0000-0000-00008F330000}"/>
    <cellStyle name="Comma 4 4 2 2 2 6" xfId="2464" xr:uid="{00000000-0005-0000-0000-000090330000}"/>
    <cellStyle name="Comma 4 4 2 2 3" xfId="865" xr:uid="{00000000-0005-0000-0000-000091330000}"/>
    <cellStyle name="Comma 4 4 2 2 3 2" xfId="2467" xr:uid="{00000000-0005-0000-0000-000092330000}"/>
    <cellStyle name="Comma 4 4 2 2 3 2 2" xfId="2725" xr:uid="{00000000-0005-0000-0000-000093330000}"/>
    <cellStyle name="Comma 4 4 2 2 3 2 2 2" xfId="3755" xr:uid="{00000000-0005-0000-0000-000094330000}"/>
    <cellStyle name="Comma 4 4 2 2 3 2 2 3" xfId="3239" xr:uid="{00000000-0005-0000-0000-000095330000}"/>
    <cellStyle name="Comma 4 4 2 2 3 2 3" xfId="3495" xr:uid="{00000000-0005-0000-0000-000096330000}"/>
    <cellStyle name="Comma 4 4 2 2 3 2 4" xfId="2979" xr:uid="{00000000-0005-0000-0000-000097330000}"/>
    <cellStyle name="Comma 4 4 2 2 3 3" xfId="2724" xr:uid="{00000000-0005-0000-0000-000098330000}"/>
    <cellStyle name="Comma 4 4 2 2 3 3 2" xfId="3754" xr:uid="{00000000-0005-0000-0000-000099330000}"/>
    <cellStyle name="Comma 4 4 2 2 3 3 3" xfId="3238" xr:uid="{00000000-0005-0000-0000-00009A330000}"/>
    <cellStyle name="Comma 4 4 2 2 3 4" xfId="3494" xr:uid="{00000000-0005-0000-0000-00009B330000}"/>
    <cellStyle name="Comma 4 4 2 2 3 5" xfId="2978" xr:uid="{00000000-0005-0000-0000-00009C330000}"/>
    <cellStyle name="Comma 4 4 2 2 3 6" xfId="2466" xr:uid="{00000000-0005-0000-0000-00009D330000}"/>
    <cellStyle name="Comma 4 4 2 2 4" xfId="2468" xr:uid="{00000000-0005-0000-0000-00009E330000}"/>
    <cellStyle name="Comma 4 4 2 2 4 2" xfId="2726" xr:uid="{00000000-0005-0000-0000-00009F330000}"/>
    <cellStyle name="Comma 4 4 2 2 4 2 2" xfId="3756" xr:uid="{00000000-0005-0000-0000-0000A0330000}"/>
    <cellStyle name="Comma 4 4 2 2 4 2 3" xfId="3240" xr:uid="{00000000-0005-0000-0000-0000A1330000}"/>
    <cellStyle name="Comma 4 4 2 2 4 3" xfId="3496" xr:uid="{00000000-0005-0000-0000-0000A2330000}"/>
    <cellStyle name="Comma 4 4 2 2 4 4" xfId="2980" xr:uid="{00000000-0005-0000-0000-0000A3330000}"/>
    <cellStyle name="Comma 4 4 2 2 5" xfId="2721" xr:uid="{00000000-0005-0000-0000-0000A4330000}"/>
    <cellStyle name="Comma 4 4 2 2 5 2" xfId="3751" xr:uid="{00000000-0005-0000-0000-0000A5330000}"/>
    <cellStyle name="Comma 4 4 2 2 5 3" xfId="3235" xr:uid="{00000000-0005-0000-0000-0000A6330000}"/>
    <cellStyle name="Comma 4 4 2 2 6" xfId="3491" xr:uid="{00000000-0005-0000-0000-0000A7330000}"/>
    <cellStyle name="Comma 4 4 2 2 7" xfId="2975" xr:uid="{00000000-0005-0000-0000-0000A8330000}"/>
    <cellStyle name="Comma 4 4 2 2 8" xfId="44888" xr:uid="{00000000-0005-0000-0000-0000A9330000}"/>
    <cellStyle name="Comma 4 4 2 3" xfId="866" xr:uid="{00000000-0005-0000-0000-0000AA330000}"/>
    <cellStyle name="Comma 4 4 2 3 2" xfId="867" xr:uid="{00000000-0005-0000-0000-0000AB330000}"/>
    <cellStyle name="Comma 4 4 2 3 2 2" xfId="2728" xr:uid="{00000000-0005-0000-0000-0000AC330000}"/>
    <cellStyle name="Comma 4 4 2 3 2 2 2" xfId="3758" xr:uid="{00000000-0005-0000-0000-0000AD330000}"/>
    <cellStyle name="Comma 4 4 2 3 2 2 3" xfId="3242" xr:uid="{00000000-0005-0000-0000-0000AE330000}"/>
    <cellStyle name="Comma 4 4 2 3 2 3" xfId="3498" xr:uid="{00000000-0005-0000-0000-0000AF330000}"/>
    <cellStyle name="Comma 4 4 2 3 2 4" xfId="2982" xr:uid="{00000000-0005-0000-0000-0000B0330000}"/>
    <cellStyle name="Comma 4 4 2 3 2 5" xfId="2470" xr:uid="{00000000-0005-0000-0000-0000B1330000}"/>
    <cellStyle name="Comma 4 4 2 3 3" xfId="868" xr:uid="{00000000-0005-0000-0000-0000B2330000}"/>
    <cellStyle name="Comma 4 4 2 3 3 2" xfId="3757" xr:uid="{00000000-0005-0000-0000-0000B3330000}"/>
    <cellStyle name="Comma 4 4 2 3 3 3" xfId="3241" xr:uid="{00000000-0005-0000-0000-0000B4330000}"/>
    <cellStyle name="Comma 4 4 2 3 3 4" xfId="2727" xr:uid="{00000000-0005-0000-0000-0000B5330000}"/>
    <cellStyle name="Comma 4 4 2 3 4" xfId="3497" xr:uid="{00000000-0005-0000-0000-0000B6330000}"/>
    <cellStyle name="Comma 4 4 2 3 5" xfId="2981" xr:uid="{00000000-0005-0000-0000-0000B7330000}"/>
    <cellStyle name="Comma 4 4 2 3 6" xfId="2469" xr:uid="{00000000-0005-0000-0000-0000B8330000}"/>
    <cellStyle name="Comma 4 4 2 4" xfId="869" xr:uid="{00000000-0005-0000-0000-0000B9330000}"/>
    <cellStyle name="Comma 4 4 2 4 2" xfId="2472" xr:uid="{00000000-0005-0000-0000-0000BA330000}"/>
    <cellStyle name="Comma 4 4 2 4 2 2" xfId="2730" xr:uid="{00000000-0005-0000-0000-0000BB330000}"/>
    <cellStyle name="Comma 4 4 2 4 2 2 2" xfId="3760" xr:uid="{00000000-0005-0000-0000-0000BC330000}"/>
    <cellStyle name="Comma 4 4 2 4 2 2 3" xfId="3244" xr:uid="{00000000-0005-0000-0000-0000BD330000}"/>
    <cellStyle name="Comma 4 4 2 4 2 3" xfId="3500" xr:uid="{00000000-0005-0000-0000-0000BE330000}"/>
    <cellStyle name="Comma 4 4 2 4 2 4" xfId="2984" xr:uid="{00000000-0005-0000-0000-0000BF330000}"/>
    <cellStyle name="Comma 4 4 2 4 3" xfId="2729" xr:uid="{00000000-0005-0000-0000-0000C0330000}"/>
    <cellStyle name="Comma 4 4 2 4 3 2" xfId="3759" xr:uid="{00000000-0005-0000-0000-0000C1330000}"/>
    <cellStyle name="Comma 4 4 2 4 3 3" xfId="3243" xr:uid="{00000000-0005-0000-0000-0000C2330000}"/>
    <cellStyle name="Comma 4 4 2 4 4" xfId="3499" xr:uid="{00000000-0005-0000-0000-0000C3330000}"/>
    <cellStyle name="Comma 4 4 2 4 5" xfId="2983" xr:uid="{00000000-0005-0000-0000-0000C4330000}"/>
    <cellStyle name="Comma 4 4 2 4 6" xfId="2471" xr:uid="{00000000-0005-0000-0000-0000C5330000}"/>
    <cellStyle name="Comma 4 4 2 5" xfId="870" xr:uid="{00000000-0005-0000-0000-0000C6330000}"/>
    <cellStyle name="Comma 4 4 2 5 2" xfId="2731" xr:uid="{00000000-0005-0000-0000-0000C7330000}"/>
    <cellStyle name="Comma 4 4 2 5 2 2" xfId="3761" xr:uid="{00000000-0005-0000-0000-0000C8330000}"/>
    <cellStyle name="Comma 4 4 2 5 2 3" xfId="3245" xr:uid="{00000000-0005-0000-0000-0000C9330000}"/>
    <cellStyle name="Comma 4 4 2 5 3" xfId="3501" xr:uid="{00000000-0005-0000-0000-0000CA330000}"/>
    <cellStyle name="Comma 4 4 2 5 4" xfId="2985" xr:uid="{00000000-0005-0000-0000-0000CB330000}"/>
    <cellStyle name="Comma 4 4 2 5 5" xfId="2473" xr:uid="{00000000-0005-0000-0000-0000CC330000}"/>
    <cellStyle name="Comma 4 4 2 6" xfId="871" xr:uid="{00000000-0005-0000-0000-0000CD330000}"/>
    <cellStyle name="Comma 4 4 2 6 2" xfId="3642" xr:uid="{00000000-0005-0000-0000-0000CE330000}"/>
    <cellStyle name="Comma 4 4 2 6 3" xfId="3126" xr:uid="{00000000-0005-0000-0000-0000CF330000}"/>
    <cellStyle name="Comma 4 4 2 6 4" xfId="44889" xr:uid="{00000000-0005-0000-0000-0000D0330000}"/>
    <cellStyle name="Comma 4 4 2 7" xfId="3490" xr:uid="{00000000-0005-0000-0000-0000D1330000}"/>
    <cellStyle name="Comma 4 4 2 8" xfId="2974" xr:uid="{00000000-0005-0000-0000-0000D2330000}"/>
    <cellStyle name="Comma 4 4 2 9" xfId="44890" xr:uid="{00000000-0005-0000-0000-0000D3330000}"/>
    <cellStyle name="Comma 4 4 3" xfId="250" xr:uid="{00000000-0005-0000-0000-0000D4330000}"/>
    <cellStyle name="Comma 4 4 3 2" xfId="872" xr:uid="{00000000-0005-0000-0000-0000D5330000}"/>
    <cellStyle name="Comma 4 4 3 2 2" xfId="2474" xr:uid="{00000000-0005-0000-0000-0000D6330000}"/>
    <cellStyle name="Comma 4 4 3 2 2 2" xfId="2475" xr:uid="{00000000-0005-0000-0000-0000D7330000}"/>
    <cellStyle name="Comma 4 4 3 2 2 2 2" xfId="2735" xr:uid="{00000000-0005-0000-0000-0000D8330000}"/>
    <cellStyle name="Comma 4 4 3 2 2 2 2 2" xfId="3765" xr:uid="{00000000-0005-0000-0000-0000D9330000}"/>
    <cellStyle name="Comma 4 4 3 2 2 2 2 3" xfId="3249" xr:uid="{00000000-0005-0000-0000-0000DA330000}"/>
    <cellStyle name="Comma 4 4 3 2 2 2 3" xfId="3505" xr:uid="{00000000-0005-0000-0000-0000DB330000}"/>
    <cellStyle name="Comma 4 4 3 2 2 2 4" xfId="2989" xr:uid="{00000000-0005-0000-0000-0000DC330000}"/>
    <cellStyle name="Comma 4 4 3 2 2 3" xfId="2734" xr:uid="{00000000-0005-0000-0000-0000DD330000}"/>
    <cellStyle name="Comma 4 4 3 2 2 3 2" xfId="3764" xr:uid="{00000000-0005-0000-0000-0000DE330000}"/>
    <cellStyle name="Comma 4 4 3 2 2 3 3" xfId="3248" xr:uid="{00000000-0005-0000-0000-0000DF330000}"/>
    <cellStyle name="Comma 4 4 3 2 2 4" xfId="3504" xr:uid="{00000000-0005-0000-0000-0000E0330000}"/>
    <cellStyle name="Comma 4 4 3 2 2 5" xfId="2988" xr:uid="{00000000-0005-0000-0000-0000E1330000}"/>
    <cellStyle name="Comma 4 4 3 2 3" xfId="2476" xr:uid="{00000000-0005-0000-0000-0000E2330000}"/>
    <cellStyle name="Comma 4 4 3 2 3 2" xfId="2477" xr:uid="{00000000-0005-0000-0000-0000E3330000}"/>
    <cellStyle name="Comma 4 4 3 2 3 2 2" xfId="2737" xr:uid="{00000000-0005-0000-0000-0000E4330000}"/>
    <cellStyle name="Comma 4 4 3 2 3 2 2 2" xfId="3767" xr:uid="{00000000-0005-0000-0000-0000E5330000}"/>
    <cellStyle name="Comma 4 4 3 2 3 2 2 3" xfId="3251" xr:uid="{00000000-0005-0000-0000-0000E6330000}"/>
    <cellStyle name="Comma 4 4 3 2 3 2 3" xfId="3507" xr:uid="{00000000-0005-0000-0000-0000E7330000}"/>
    <cellStyle name="Comma 4 4 3 2 3 2 4" xfId="2991" xr:uid="{00000000-0005-0000-0000-0000E8330000}"/>
    <cellStyle name="Comma 4 4 3 2 3 3" xfId="2736" xr:uid="{00000000-0005-0000-0000-0000E9330000}"/>
    <cellStyle name="Comma 4 4 3 2 3 3 2" xfId="3766" xr:uid="{00000000-0005-0000-0000-0000EA330000}"/>
    <cellStyle name="Comma 4 4 3 2 3 3 3" xfId="3250" xr:uid="{00000000-0005-0000-0000-0000EB330000}"/>
    <cellStyle name="Comma 4 4 3 2 3 4" xfId="3506" xr:uid="{00000000-0005-0000-0000-0000EC330000}"/>
    <cellStyle name="Comma 4 4 3 2 3 5" xfId="2990" xr:uid="{00000000-0005-0000-0000-0000ED330000}"/>
    <cellStyle name="Comma 4 4 3 2 4" xfId="2478" xr:uid="{00000000-0005-0000-0000-0000EE330000}"/>
    <cellStyle name="Comma 4 4 3 2 4 2" xfId="2738" xr:uid="{00000000-0005-0000-0000-0000EF330000}"/>
    <cellStyle name="Comma 4 4 3 2 4 2 2" xfId="3768" xr:uid="{00000000-0005-0000-0000-0000F0330000}"/>
    <cellStyle name="Comma 4 4 3 2 4 2 3" xfId="3252" xr:uid="{00000000-0005-0000-0000-0000F1330000}"/>
    <cellStyle name="Comma 4 4 3 2 4 3" xfId="3508" xr:uid="{00000000-0005-0000-0000-0000F2330000}"/>
    <cellStyle name="Comma 4 4 3 2 4 4" xfId="2992" xr:uid="{00000000-0005-0000-0000-0000F3330000}"/>
    <cellStyle name="Comma 4 4 3 2 5" xfId="2733" xr:uid="{00000000-0005-0000-0000-0000F4330000}"/>
    <cellStyle name="Comma 4 4 3 2 5 2" xfId="3763" xr:uid="{00000000-0005-0000-0000-0000F5330000}"/>
    <cellStyle name="Comma 4 4 3 2 5 3" xfId="3247" xr:uid="{00000000-0005-0000-0000-0000F6330000}"/>
    <cellStyle name="Comma 4 4 3 2 6" xfId="3503" xr:uid="{00000000-0005-0000-0000-0000F7330000}"/>
    <cellStyle name="Comma 4 4 3 2 7" xfId="2987" xr:uid="{00000000-0005-0000-0000-0000F8330000}"/>
    <cellStyle name="Comma 4 4 3 2 8" xfId="44891" xr:uid="{00000000-0005-0000-0000-0000F9330000}"/>
    <cellStyle name="Comma 4 4 3 3" xfId="873" xr:uid="{00000000-0005-0000-0000-0000FA330000}"/>
    <cellStyle name="Comma 4 4 3 3 2" xfId="2480" xr:uid="{00000000-0005-0000-0000-0000FB330000}"/>
    <cellStyle name="Comma 4 4 3 3 2 2" xfId="2740" xr:uid="{00000000-0005-0000-0000-0000FC330000}"/>
    <cellStyle name="Comma 4 4 3 3 2 2 2" xfId="3770" xr:uid="{00000000-0005-0000-0000-0000FD330000}"/>
    <cellStyle name="Comma 4 4 3 3 2 2 3" xfId="3254" xr:uid="{00000000-0005-0000-0000-0000FE330000}"/>
    <cellStyle name="Comma 4 4 3 3 2 3" xfId="3510" xr:uid="{00000000-0005-0000-0000-0000FF330000}"/>
    <cellStyle name="Comma 4 4 3 3 2 4" xfId="2994" xr:uid="{00000000-0005-0000-0000-000000340000}"/>
    <cellStyle name="Comma 4 4 3 3 3" xfId="2739" xr:uid="{00000000-0005-0000-0000-000001340000}"/>
    <cellStyle name="Comma 4 4 3 3 3 2" xfId="3769" xr:uid="{00000000-0005-0000-0000-000002340000}"/>
    <cellStyle name="Comma 4 4 3 3 3 3" xfId="3253" xr:uid="{00000000-0005-0000-0000-000003340000}"/>
    <cellStyle name="Comma 4 4 3 3 4" xfId="3509" xr:uid="{00000000-0005-0000-0000-000004340000}"/>
    <cellStyle name="Comma 4 4 3 3 5" xfId="2993" xr:uid="{00000000-0005-0000-0000-000005340000}"/>
    <cellStyle name="Comma 4 4 3 3 6" xfId="2479" xr:uid="{00000000-0005-0000-0000-000006340000}"/>
    <cellStyle name="Comma 4 4 3 4" xfId="874" xr:uid="{00000000-0005-0000-0000-000007340000}"/>
    <cellStyle name="Comma 4 4 3 4 2" xfId="2481" xr:uid="{00000000-0005-0000-0000-000008340000}"/>
    <cellStyle name="Comma 4 4 3 4 2 2" xfId="2742" xr:uid="{00000000-0005-0000-0000-000009340000}"/>
    <cellStyle name="Comma 4 4 3 4 2 2 2" xfId="3772" xr:uid="{00000000-0005-0000-0000-00000A340000}"/>
    <cellStyle name="Comma 4 4 3 4 2 2 3" xfId="3256" xr:uid="{00000000-0005-0000-0000-00000B340000}"/>
    <cellStyle name="Comma 4 4 3 4 2 3" xfId="3512" xr:uid="{00000000-0005-0000-0000-00000C340000}"/>
    <cellStyle name="Comma 4 4 3 4 2 4" xfId="2996" xr:uid="{00000000-0005-0000-0000-00000D340000}"/>
    <cellStyle name="Comma 4 4 3 4 3" xfId="2741" xr:uid="{00000000-0005-0000-0000-00000E340000}"/>
    <cellStyle name="Comma 4 4 3 4 3 2" xfId="3771" xr:uid="{00000000-0005-0000-0000-00000F340000}"/>
    <cellStyle name="Comma 4 4 3 4 3 3" xfId="3255" xr:uid="{00000000-0005-0000-0000-000010340000}"/>
    <cellStyle name="Comma 4 4 3 4 4" xfId="3511" xr:uid="{00000000-0005-0000-0000-000011340000}"/>
    <cellStyle name="Comma 4 4 3 4 5" xfId="2995" xr:uid="{00000000-0005-0000-0000-000012340000}"/>
    <cellStyle name="Comma 4 4 3 4 6" xfId="44892" xr:uid="{00000000-0005-0000-0000-000013340000}"/>
    <cellStyle name="Comma 4 4 3 5" xfId="2482" xr:uid="{00000000-0005-0000-0000-000014340000}"/>
    <cellStyle name="Comma 4 4 3 5 2" xfId="2743" xr:uid="{00000000-0005-0000-0000-000015340000}"/>
    <cellStyle name="Comma 4 4 3 5 2 2" xfId="3773" xr:uid="{00000000-0005-0000-0000-000016340000}"/>
    <cellStyle name="Comma 4 4 3 5 2 3" xfId="3257" xr:uid="{00000000-0005-0000-0000-000017340000}"/>
    <cellStyle name="Comma 4 4 3 5 3" xfId="3513" xr:uid="{00000000-0005-0000-0000-000018340000}"/>
    <cellStyle name="Comma 4 4 3 5 4" xfId="2997" xr:uid="{00000000-0005-0000-0000-000019340000}"/>
    <cellStyle name="Comma 4 4 3 6" xfId="2732" xr:uid="{00000000-0005-0000-0000-00001A340000}"/>
    <cellStyle name="Comma 4 4 3 6 2" xfId="3762" xr:uid="{00000000-0005-0000-0000-00001B340000}"/>
    <cellStyle name="Comma 4 4 3 6 3" xfId="3246" xr:uid="{00000000-0005-0000-0000-00001C340000}"/>
    <cellStyle name="Comma 4 4 3 7" xfId="3502" xr:uid="{00000000-0005-0000-0000-00001D340000}"/>
    <cellStyle name="Comma 4 4 3 8" xfId="2986" xr:uid="{00000000-0005-0000-0000-00001E340000}"/>
    <cellStyle name="Comma 4 4 3 9" xfId="44893" xr:uid="{00000000-0005-0000-0000-00001F340000}"/>
    <cellStyle name="Comma 4 4 4" xfId="622" xr:uid="{00000000-0005-0000-0000-000020340000}"/>
    <cellStyle name="Comma 4 4 4 2" xfId="875" xr:uid="{00000000-0005-0000-0000-000021340000}"/>
    <cellStyle name="Comma 4 4 4 2 2" xfId="2483" xr:uid="{00000000-0005-0000-0000-000022340000}"/>
    <cellStyle name="Comma 4 4 4 2 2 2" xfId="2484" xr:uid="{00000000-0005-0000-0000-000023340000}"/>
    <cellStyle name="Comma 4 4 4 2 2 2 2" xfId="2747" xr:uid="{00000000-0005-0000-0000-000024340000}"/>
    <cellStyle name="Comma 4 4 4 2 2 2 2 2" xfId="3777" xr:uid="{00000000-0005-0000-0000-000025340000}"/>
    <cellStyle name="Comma 4 4 4 2 2 2 2 3" xfId="3261" xr:uid="{00000000-0005-0000-0000-000026340000}"/>
    <cellStyle name="Comma 4 4 4 2 2 2 3" xfId="3517" xr:uid="{00000000-0005-0000-0000-000027340000}"/>
    <cellStyle name="Comma 4 4 4 2 2 2 4" xfId="3001" xr:uid="{00000000-0005-0000-0000-000028340000}"/>
    <cellStyle name="Comma 4 4 4 2 2 3" xfId="2746" xr:uid="{00000000-0005-0000-0000-000029340000}"/>
    <cellStyle name="Comma 4 4 4 2 2 3 2" xfId="3776" xr:uid="{00000000-0005-0000-0000-00002A340000}"/>
    <cellStyle name="Comma 4 4 4 2 2 3 3" xfId="3260" xr:uid="{00000000-0005-0000-0000-00002B340000}"/>
    <cellStyle name="Comma 4 4 4 2 2 4" xfId="3516" xr:uid="{00000000-0005-0000-0000-00002C340000}"/>
    <cellStyle name="Comma 4 4 4 2 2 5" xfId="3000" xr:uid="{00000000-0005-0000-0000-00002D340000}"/>
    <cellStyle name="Comma 4 4 4 2 3" xfId="2485" xr:uid="{00000000-0005-0000-0000-00002E340000}"/>
    <cellStyle name="Comma 4 4 4 2 3 2" xfId="2486" xr:uid="{00000000-0005-0000-0000-00002F340000}"/>
    <cellStyle name="Comma 4 4 4 2 3 2 2" xfId="2749" xr:uid="{00000000-0005-0000-0000-000030340000}"/>
    <cellStyle name="Comma 4 4 4 2 3 2 2 2" xfId="3779" xr:uid="{00000000-0005-0000-0000-000031340000}"/>
    <cellStyle name="Comma 4 4 4 2 3 2 2 3" xfId="3263" xr:uid="{00000000-0005-0000-0000-000032340000}"/>
    <cellStyle name="Comma 4 4 4 2 3 2 3" xfId="3519" xr:uid="{00000000-0005-0000-0000-000033340000}"/>
    <cellStyle name="Comma 4 4 4 2 3 2 4" xfId="3003" xr:uid="{00000000-0005-0000-0000-000034340000}"/>
    <cellStyle name="Comma 4 4 4 2 3 3" xfId="2748" xr:uid="{00000000-0005-0000-0000-000035340000}"/>
    <cellStyle name="Comma 4 4 4 2 3 3 2" xfId="3778" xr:uid="{00000000-0005-0000-0000-000036340000}"/>
    <cellStyle name="Comma 4 4 4 2 3 3 3" xfId="3262" xr:uid="{00000000-0005-0000-0000-000037340000}"/>
    <cellStyle name="Comma 4 4 4 2 3 4" xfId="3518" xr:uid="{00000000-0005-0000-0000-000038340000}"/>
    <cellStyle name="Comma 4 4 4 2 3 5" xfId="3002" xr:uid="{00000000-0005-0000-0000-000039340000}"/>
    <cellStyle name="Comma 4 4 4 2 4" xfId="2487" xr:uid="{00000000-0005-0000-0000-00003A340000}"/>
    <cellStyle name="Comma 4 4 4 2 4 2" xfId="2750" xr:uid="{00000000-0005-0000-0000-00003B340000}"/>
    <cellStyle name="Comma 4 4 4 2 4 2 2" xfId="3780" xr:uid="{00000000-0005-0000-0000-00003C340000}"/>
    <cellStyle name="Comma 4 4 4 2 4 2 3" xfId="3264" xr:uid="{00000000-0005-0000-0000-00003D340000}"/>
    <cellStyle name="Comma 4 4 4 2 4 3" xfId="3520" xr:uid="{00000000-0005-0000-0000-00003E340000}"/>
    <cellStyle name="Comma 4 4 4 2 4 4" xfId="3004" xr:uid="{00000000-0005-0000-0000-00003F340000}"/>
    <cellStyle name="Comma 4 4 4 2 5" xfId="2745" xr:uid="{00000000-0005-0000-0000-000040340000}"/>
    <cellStyle name="Comma 4 4 4 2 5 2" xfId="3775" xr:uid="{00000000-0005-0000-0000-000041340000}"/>
    <cellStyle name="Comma 4 4 4 2 5 3" xfId="3259" xr:uid="{00000000-0005-0000-0000-000042340000}"/>
    <cellStyle name="Comma 4 4 4 2 6" xfId="3515" xr:uid="{00000000-0005-0000-0000-000043340000}"/>
    <cellStyle name="Comma 4 4 4 2 7" xfId="2999" xr:uid="{00000000-0005-0000-0000-000044340000}"/>
    <cellStyle name="Comma 4 4 4 2 8" xfId="44894" xr:uid="{00000000-0005-0000-0000-000045340000}"/>
    <cellStyle name="Comma 4 4 4 3" xfId="876" xr:uid="{00000000-0005-0000-0000-000046340000}"/>
    <cellStyle name="Comma 4 4 4 3 2" xfId="2489" xr:uid="{00000000-0005-0000-0000-000047340000}"/>
    <cellStyle name="Comma 4 4 4 3 2 2" xfId="2752" xr:uid="{00000000-0005-0000-0000-000048340000}"/>
    <cellStyle name="Comma 4 4 4 3 2 2 2" xfId="3782" xr:uid="{00000000-0005-0000-0000-000049340000}"/>
    <cellStyle name="Comma 4 4 4 3 2 2 3" xfId="3266" xr:uid="{00000000-0005-0000-0000-00004A340000}"/>
    <cellStyle name="Comma 4 4 4 3 2 3" xfId="3522" xr:uid="{00000000-0005-0000-0000-00004B340000}"/>
    <cellStyle name="Comma 4 4 4 3 2 4" xfId="3006" xr:uid="{00000000-0005-0000-0000-00004C340000}"/>
    <cellStyle name="Comma 4 4 4 3 3" xfId="2751" xr:uid="{00000000-0005-0000-0000-00004D340000}"/>
    <cellStyle name="Comma 4 4 4 3 3 2" xfId="3781" xr:uid="{00000000-0005-0000-0000-00004E340000}"/>
    <cellStyle name="Comma 4 4 4 3 3 3" xfId="3265" xr:uid="{00000000-0005-0000-0000-00004F340000}"/>
    <cellStyle name="Comma 4 4 4 3 4" xfId="3521" xr:uid="{00000000-0005-0000-0000-000050340000}"/>
    <cellStyle name="Comma 4 4 4 3 5" xfId="3005" xr:uid="{00000000-0005-0000-0000-000051340000}"/>
    <cellStyle name="Comma 4 4 4 3 6" xfId="2488" xr:uid="{00000000-0005-0000-0000-000052340000}"/>
    <cellStyle name="Comma 4 4 4 4" xfId="2490" xr:uid="{00000000-0005-0000-0000-000053340000}"/>
    <cellStyle name="Comma 4 4 4 4 2" xfId="2491" xr:uid="{00000000-0005-0000-0000-000054340000}"/>
    <cellStyle name="Comma 4 4 4 4 2 2" xfId="2754" xr:uid="{00000000-0005-0000-0000-000055340000}"/>
    <cellStyle name="Comma 4 4 4 4 2 2 2" xfId="3784" xr:uid="{00000000-0005-0000-0000-000056340000}"/>
    <cellStyle name="Comma 4 4 4 4 2 2 3" xfId="3268" xr:uid="{00000000-0005-0000-0000-000057340000}"/>
    <cellStyle name="Comma 4 4 4 4 2 3" xfId="3524" xr:uid="{00000000-0005-0000-0000-000058340000}"/>
    <cellStyle name="Comma 4 4 4 4 2 4" xfId="3008" xr:uid="{00000000-0005-0000-0000-000059340000}"/>
    <cellStyle name="Comma 4 4 4 4 3" xfId="2753" xr:uid="{00000000-0005-0000-0000-00005A340000}"/>
    <cellStyle name="Comma 4 4 4 4 3 2" xfId="3783" xr:uid="{00000000-0005-0000-0000-00005B340000}"/>
    <cellStyle name="Comma 4 4 4 4 3 3" xfId="3267" xr:uid="{00000000-0005-0000-0000-00005C340000}"/>
    <cellStyle name="Comma 4 4 4 4 4" xfId="3523" xr:uid="{00000000-0005-0000-0000-00005D340000}"/>
    <cellStyle name="Comma 4 4 4 4 5" xfId="3007" xr:uid="{00000000-0005-0000-0000-00005E340000}"/>
    <cellStyle name="Comma 4 4 4 5" xfId="2492" xr:uid="{00000000-0005-0000-0000-00005F340000}"/>
    <cellStyle name="Comma 4 4 4 5 2" xfId="2755" xr:uid="{00000000-0005-0000-0000-000060340000}"/>
    <cellStyle name="Comma 4 4 4 5 2 2" xfId="3785" xr:uid="{00000000-0005-0000-0000-000061340000}"/>
    <cellStyle name="Comma 4 4 4 5 2 3" xfId="3269" xr:uid="{00000000-0005-0000-0000-000062340000}"/>
    <cellStyle name="Comma 4 4 4 5 3" xfId="3525" xr:uid="{00000000-0005-0000-0000-000063340000}"/>
    <cellStyle name="Comma 4 4 4 5 4" xfId="3009" xr:uid="{00000000-0005-0000-0000-000064340000}"/>
    <cellStyle name="Comma 4 4 4 6" xfId="2744" xr:uid="{00000000-0005-0000-0000-000065340000}"/>
    <cellStyle name="Comma 4 4 4 6 2" xfId="3774" xr:uid="{00000000-0005-0000-0000-000066340000}"/>
    <cellStyle name="Comma 4 4 4 6 3" xfId="3258" xr:uid="{00000000-0005-0000-0000-000067340000}"/>
    <cellStyle name="Comma 4 4 4 7" xfId="3514" xr:uid="{00000000-0005-0000-0000-000068340000}"/>
    <cellStyle name="Comma 4 4 4 8" xfId="2998" xr:uid="{00000000-0005-0000-0000-000069340000}"/>
    <cellStyle name="Comma 4 4 5" xfId="877" xr:uid="{00000000-0005-0000-0000-00006A340000}"/>
    <cellStyle name="Comma 4 4 5 2" xfId="878" xr:uid="{00000000-0005-0000-0000-00006B340000}"/>
    <cellStyle name="Comma 4 4 5 2 2" xfId="2495" xr:uid="{00000000-0005-0000-0000-00006C340000}"/>
    <cellStyle name="Comma 4 4 5 2 2 2" xfId="2758" xr:uid="{00000000-0005-0000-0000-00006D340000}"/>
    <cellStyle name="Comma 4 4 5 2 2 2 2" xfId="3788" xr:uid="{00000000-0005-0000-0000-00006E340000}"/>
    <cellStyle name="Comma 4 4 5 2 2 2 3" xfId="3272" xr:uid="{00000000-0005-0000-0000-00006F340000}"/>
    <cellStyle name="Comma 4 4 5 2 2 3" xfId="3528" xr:uid="{00000000-0005-0000-0000-000070340000}"/>
    <cellStyle name="Comma 4 4 5 2 2 4" xfId="3012" xr:uid="{00000000-0005-0000-0000-000071340000}"/>
    <cellStyle name="Comma 4 4 5 2 3" xfId="2757" xr:uid="{00000000-0005-0000-0000-000072340000}"/>
    <cellStyle name="Comma 4 4 5 2 3 2" xfId="3787" xr:uid="{00000000-0005-0000-0000-000073340000}"/>
    <cellStyle name="Comma 4 4 5 2 3 3" xfId="3271" xr:uid="{00000000-0005-0000-0000-000074340000}"/>
    <cellStyle name="Comma 4 4 5 2 4" xfId="3527" xr:uid="{00000000-0005-0000-0000-000075340000}"/>
    <cellStyle name="Comma 4 4 5 2 5" xfId="3011" xr:uid="{00000000-0005-0000-0000-000076340000}"/>
    <cellStyle name="Comma 4 4 5 2 6" xfId="2494" xr:uid="{00000000-0005-0000-0000-000077340000}"/>
    <cellStyle name="Comma 4 4 5 3" xfId="879" xr:uid="{00000000-0005-0000-0000-000078340000}"/>
    <cellStyle name="Comma 4 4 5 3 2" xfId="2497" xr:uid="{00000000-0005-0000-0000-000079340000}"/>
    <cellStyle name="Comma 4 4 5 3 2 2" xfId="2760" xr:uid="{00000000-0005-0000-0000-00007A340000}"/>
    <cellStyle name="Comma 4 4 5 3 2 2 2" xfId="3790" xr:uid="{00000000-0005-0000-0000-00007B340000}"/>
    <cellStyle name="Comma 4 4 5 3 2 2 3" xfId="3274" xr:uid="{00000000-0005-0000-0000-00007C340000}"/>
    <cellStyle name="Comma 4 4 5 3 2 3" xfId="3530" xr:uid="{00000000-0005-0000-0000-00007D340000}"/>
    <cellStyle name="Comma 4 4 5 3 2 4" xfId="3014" xr:uid="{00000000-0005-0000-0000-00007E340000}"/>
    <cellStyle name="Comma 4 4 5 3 3" xfId="2759" xr:uid="{00000000-0005-0000-0000-00007F340000}"/>
    <cellStyle name="Comma 4 4 5 3 3 2" xfId="3789" xr:uid="{00000000-0005-0000-0000-000080340000}"/>
    <cellStyle name="Comma 4 4 5 3 3 3" xfId="3273" xr:uid="{00000000-0005-0000-0000-000081340000}"/>
    <cellStyle name="Comma 4 4 5 3 4" xfId="3529" xr:uid="{00000000-0005-0000-0000-000082340000}"/>
    <cellStyle name="Comma 4 4 5 3 5" xfId="3013" xr:uid="{00000000-0005-0000-0000-000083340000}"/>
    <cellStyle name="Comma 4 4 5 3 6" xfId="2496" xr:uid="{00000000-0005-0000-0000-000084340000}"/>
    <cellStyle name="Comma 4 4 5 4" xfId="2498" xr:uid="{00000000-0005-0000-0000-000085340000}"/>
    <cellStyle name="Comma 4 4 5 4 2" xfId="2761" xr:uid="{00000000-0005-0000-0000-000086340000}"/>
    <cellStyle name="Comma 4 4 5 4 2 2" xfId="3791" xr:uid="{00000000-0005-0000-0000-000087340000}"/>
    <cellStyle name="Comma 4 4 5 4 2 3" xfId="3275" xr:uid="{00000000-0005-0000-0000-000088340000}"/>
    <cellStyle name="Comma 4 4 5 4 3" xfId="3531" xr:uid="{00000000-0005-0000-0000-000089340000}"/>
    <cellStyle name="Comma 4 4 5 4 4" xfId="3015" xr:uid="{00000000-0005-0000-0000-00008A340000}"/>
    <cellStyle name="Comma 4 4 5 5" xfId="2756" xr:uid="{00000000-0005-0000-0000-00008B340000}"/>
    <cellStyle name="Comma 4 4 5 5 2" xfId="3786" xr:uid="{00000000-0005-0000-0000-00008C340000}"/>
    <cellStyle name="Comma 4 4 5 5 3" xfId="3270" xr:uid="{00000000-0005-0000-0000-00008D340000}"/>
    <cellStyle name="Comma 4 4 5 6" xfId="3526" xr:uid="{00000000-0005-0000-0000-00008E340000}"/>
    <cellStyle name="Comma 4 4 5 7" xfId="3010" xr:uid="{00000000-0005-0000-0000-00008F340000}"/>
    <cellStyle name="Comma 4 4 5 8" xfId="2493" xr:uid="{00000000-0005-0000-0000-000090340000}"/>
    <cellStyle name="Comma 4 4 6" xfId="880" xr:uid="{00000000-0005-0000-0000-000091340000}"/>
    <cellStyle name="Comma 4 4 6 2" xfId="2500" xr:uid="{00000000-0005-0000-0000-000092340000}"/>
    <cellStyle name="Comma 4 4 6 2 2" xfId="2763" xr:uid="{00000000-0005-0000-0000-000093340000}"/>
    <cellStyle name="Comma 4 4 6 2 2 2" xfId="3793" xr:uid="{00000000-0005-0000-0000-000094340000}"/>
    <cellStyle name="Comma 4 4 6 2 2 3" xfId="3277" xr:uid="{00000000-0005-0000-0000-000095340000}"/>
    <cellStyle name="Comma 4 4 6 2 3" xfId="3533" xr:uid="{00000000-0005-0000-0000-000096340000}"/>
    <cellStyle name="Comma 4 4 6 2 4" xfId="3017" xr:uid="{00000000-0005-0000-0000-000097340000}"/>
    <cellStyle name="Comma 4 4 6 3" xfId="2762" xr:uid="{00000000-0005-0000-0000-000098340000}"/>
    <cellStyle name="Comma 4 4 6 3 2" xfId="3792" xr:uid="{00000000-0005-0000-0000-000099340000}"/>
    <cellStyle name="Comma 4 4 6 3 3" xfId="3276" xr:uid="{00000000-0005-0000-0000-00009A340000}"/>
    <cellStyle name="Comma 4 4 6 4" xfId="3532" xr:uid="{00000000-0005-0000-0000-00009B340000}"/>
    <cellStyle name="Comma 4 4 6 5" xfId="3016" xr:uid="{00000000-0005-0000-0000-00009C340000}"/>
    <cellStyle name="Comma 4 4 6 6" xfId="2499" xr:uid="{00000000-0005-0000-0000-00009D340000}"/>
    <cellStyle name="Comma 4 4 7" xfId="881" xr:uid="{00000000-0005-0000-0000-00009E340000}"/>
    <cellStyle name="Comma 4 4 7 2" xfId="2502" xr:uid="{00000000-0005-0000-0000-00009F340000}"/>
    <cellStyle name="Comma 4 4 7 2 2" xfId="2765" xr:uid="{00000000-0005-0000-0000-0000A0340000}"/>
    <cellStyle name="Comma 4 4 7 2 2 2" xfId="3795" xr:uid="{00000000-0005-0000-0000-0000A1340000}"/>
    <cellStyle name="Comma 4 4 7 2 2 3" xfId="3279" xr:uid="{00000000-0005-0000-0000-0000A2340000}"/>
    <cellStyle name="Comma 4 4 7 2 3" xfId="3535" xr:uid="{00000000-0005-0000-0000-0000A3340000}"/>
    <cellStyle name="Comma 4 4 7 2 4" xfId="3019" xr:uid="{00000000-0005-0000-0000-0000A4340000}"/>
    <cellStyle name="Comma 4 4 7 3" xfId="2764" xr:uid="{00000000-0005-0000-0000-0000A5340000}"/>
    <cellStyle name="Comma 4 4 7 3 2" xfId="3794" xr:uid="{00000000-0005-0000-0000-0000A6340000}"/>
    <cellStyle name="Comma 4 4 7 3 3" xfId="3278" xr:uid="{00000000-0005-0000-0000-0000A7340000}"/>
    <cellStyle name="Comma 4 4 7 4" xfId="3534" xr:uid="{00000000-0005-0000-0000-0000A8340000}"/>
    <cellStyle name="Comma 4 4 7 5" xfId="3018" xr:uid="{00000000-0005-0000-0000-0000A9340000}"/>
    <cellStyle name="Comma 4 4 7 6" xfId="2501" xr:uid="{00000000-0005-0000-0000-0000AA340000}"/>
    <cellStyle name="Comma 4 4 8" xfId="882" xr:uid="{00000000-0005-0000-0000-0000AB340000}"/>
    <cellStyle name="Comma 4 4 8 2" xfId="2766" xr:uid="{00000000-0005-0000-0000-0000AC340000}"/>
    <cellStyle name="Comma 4 4 8 2 2" xfId="3796" xr:uid="{00000000-0005-0000-0000-0000AD340000}"/>
    <cellStyle name="Comma 4 4 8 2 3" xfId="3280" xr:uid="{00000000-0005-0000-0000-0000AE340000}"/>
    <cellStyle name="Comma 4 4 8 3" xfId="3536" xr:uid="{00000000-0005-0000-0000-0000AF340000}"/>
    <cellStyle name="Comma 4 4 8 4" xfId="3020" xr:uid="{00000000-0005-0000-0000-0000B0340000}"/>
    <cellStyle name="Comma 4 4 8 5" xfId="2503" xr:uid="{00000000-0005-0000-0000-0000B1340000}"/>
    <cellStyle name="Comma 4 4 9" xfId="883" xr:uid="{00000000-0005-0000-0000-0000B2340000}"/>
    <cellStyle name="Comma 4 4 9 2" xfId="3637" xr:uid="{00000000-0005-0000-0000-0000B3340000}"/>
    <cellStyle name="Comma 4 4 9 3" xfId="3121" xr:uid="{00000000-0005-0000-0000-0000B4340000}"/>
    <cellStyle name="Comma 4 4 9 4" xfId="2609" xr:uid="{00000000-0005-0000-0000-0000B5340000}"/>
    <cellStyle name="Comma 4 5" xfId="23" xr:uid="{00000000-0005-0000-0000-0000B6340000}"/>
    <cellStyle name="Comma 4 5 2" xfId="251" xr:uid="{00000000-0005-0000-0000-0000B7340000}"/>
    <cellStyle name="Comma 4 5 2 2" xfId="884" xr:uid="{00000000-0005-0000-0000-0000B8340000}"/>
    <cellStyle name="Comma 4 5 2 2 2" xfId="2504" xr:uid="{00000000-0005-0000-0000-0000B9340000}"/>
    <cellStyle name="Comma 4 5 2 2 2 2" xfId="2769" xr:uid="{00000000-0005-0000-0000-0000BA340000}"/>
    <cellStyle name="Comma 4 5 2 2 2 2 2" xfId="3799" xr:uid="{00000000-0005-0000-0000-0000BB340000}"/>
    <cellStyle name="Comma 4 5 2 2 2 2 3" xfId="3283" xr:uid="{00000000-0005-0000-0000-0000BC340000}"/>
    <cellStyle name="Comma 4 5 2 2 2 3" xfId="3540" xr:uid="{00000000-0005-0000-0000-0000BD340000}"/>
    <cellStyle name="Comma 4 5 2 2 2 4" xfId="3024" xr:uid="{00000000-0005-0000-0000-0000BE340000}"/>
    <cellStyle name="Comma 4 5 2 2 3" xfId="2768" xr:uid="{00000000-0005-0000-0000-0000BF340000}"/>
    <cellStyle name="Comma 4 5 2 2 3 2" xfId="3798" xr:uid="{00000000-0005-0000-0000-0000C0340000}"/>
    <cellStyle name="Comma 4 5 2 2 3 3" xfId="3282" xr:uid="{00000000-0005-0000-0000-0000C1340000}"/>
    <cellStyle name="Comma 4 5 2 2 4" xfId="3539" xr:uid="{00000000-0005-0000-0000-0000C2340000}"/>
    <cellStyle name="Comma 4 5 2 2 5" xfId="3023" xr:uid="{00000000-0005-0000-0000-0000C3340000}"/>
    <cellStyle name="Comma 4 5 2 2 6" xfId="44895" xr:uid="{00000000-0005-0000-0000-0000C4340000}"/>
    <cellStyle name="Comma 4 5 2 3" xfId="2505" xr:uid="{00000000-0005-0000-0000-0000C5340000}"/>
    <cellStyle name="Comma 4 5 2 3 2" xfId="2506" xr:uid="{00000000-0005-0000-0000-0000C6340000}"/>
    <cellStyle name="Comma 4 5 2 3 2 2" xfId="2771" xr:uid="{00000000-0005-0000-0000-0000C7340000}"/>
    <cellStyle name="Comma 4 5 2 3 2 2 2" xfId="3801" xr:uid="{00000000-0005-0000-0000-0000C8340000}"/>
    <cellStyle name="Comma 4 5 2 3 2 2 3" xfId="3285" xr:uid="{00000000-0005-0000-0000-0000C9340000}"/>
    <cellStyle name="Comma 4 5 2 3 2 3" xfId="3542" xr:uid="{00000000-0005-0000-0000-0000CA340000}"/>
    <cellStyle name="Comma 4 5 2 3 2 4" xfId="3026" xr:uid="{00000000-0005-0000-0000-0000CB340000}"/>
    <cellStyle name="Comma 4 5 2 3 3" xfId="2770" xr:uid="{00000000-0005-0000-0000-0000CC340000}"/>
    <cellStyle name="Comma 4 5 2 3 3 2" xfId="3800" xr:uid="{00000000-0005-0000-0000-0000CD340000}"/>
    <cellStyle name="Comma 4 5 2 3 3 3" xfId="3284" xr:uid="{00000000-0005-0000-0000-0000CE340000}"/>
    <cellStyle name="Comma 4 5 2 3 4" xfId="3541" xr:uid="{00000000-0005-0000-0000-0000CF340000}"/>
    <cellStyle name="Comma 4 5 2 3 5" xfId="3025" xr:uid="{00000000-0005-0000-0000-0000D0340000}"/>
    <cellStyle name="Comma 4 5 2 4" xfId="2507" xr:uid="{00000000-0005-0000-0000-0000D1340000}"/>
    <cellStyle name="Comma 4 5 2 4 2" xfId="2772" xr:uid="{00000000-0005-0000-0000-0000D2340000}"/>
    <cellStyle name="Comma 4 5 2 4 2 2" xfId="3802" xr:uid="{00000000-0005-0000-0000-0000D3340000}"/>
    <cellStyle name="Comma 4 5 2 4 2 3" xfId="3286" xr:uid="{00000000-0005-0000-0000-0000D4340000}"/>
    <cellStyle name="Comma 4 5 2 4 3" xfId="3543" xr:uid="{00000000-0005-0000-0000-0000D5340000}"/>
    <cellStyle name="Comma 4 5 2 4 4" xfId="3027" xr:uid="{00000000-0005-0000-0000-0000D6340000}"/>
    <cellStyle name="Comma 4 5 2 5" xfId="2767" xr:uid="{00000000-0005-0000-0000-0000D7340000}"/>
    <cellStyle name="Comma 4 5 2 5 2" xfId="3797" xr:uid="{00000000-0005-0000-0000-0000D8340000}"/>
    <cellStyle name="Comma 4 5 2 5 3" xfId="3281" xr:uid="{00000000-0005-0000-0000-0000D9340000}"/>
    <cellStyle name="Comma 4 5 2 6" xfId="3538" xr:uid="{00000000-0005-0000-0000-0000DA340000}"/>
    <cellStyle name="Comma 4 5 2 7" xfId="3022" xr:uid="{00000000-0005-0000-0000-0000DB340000}"/>
    <cellStyle name="Comma 4 5 2 8" xfId="44896" xr:uid="{00000000-0005-0000-0000-0000DC340000}"/>
    <cellStyle name="Comma 4 5 3" xfId="629" xr:uid="{00000000-0005-0000-0000-0000DD340000}"/>
    <cellStyle name="Comma 4 5 3 2" xfId="2509" xr:uid="{00000000-0005-0000-0000-0000DE340000}"/>
    <cellStyle name="Comma 4 5 3 2 2" xfId="2774" xr:uid="{00000000-0005-0000-0000-0000DF340000}"/>
    <cellStyle name="Comma 4 5 3 2 2 2" xfId="3804" xr:uid="{00000000-0005-0000-0000-0000E0340000}"/>
    <cellStyle name="Comma 4 5 3 2 2 3" xfId="3288" xr:uid="{00000000-0005-0000-0000-0000E1340000}"/>
    <cellStyle name="Comma 4 5 3 2 3" xfId="3545" xr:uid="{00000000-0005-0000-0000-0000E2340000}"/>
    <cellStyle name="Comma 4 5 3 2 4" xfId="3029" xr:uid="{00000000-0005-0000-0000-0000E3340000}"/>
    <cellStyle name="Comma 4 5 3 3" xfId="2773" xr:uid="{00000000-0005-0000-0000-0000E4340000}"/>
    <cellStyle name="Comma 4 5 3 3 2" xfId="3803" xr:uid="{00000000-0005-0000-0000-0000E5340000}"/>
    <cellStyle name="Comma 4 5 3 3 3" xfId="3287" xr:uid="{00000000-0005-0000-0000-0000E6340000}"/>
    <cellStyle name="Comma 4 5 3 4" xfId="3544" xr:uid="{00000000-0005-0000-0000-0000E7340000}"/>
    <cellStyle name="Comma 4 5 3 5" xfId="3028" xr:uid="{00000000-0005-0000-0000-0000E8340000}"/>
    <cellStyle name="Comma 4 5 3 6" xfId="2508" xr:uid="{00000000-0005-0000-0000-0000E9340000}"/>
    <cellStyle name="Comma 4 5 3 7" xfId="42504" xr:uid="{00000000-0005-0000-0000-0000EA340000}"/>
    <cellStyle name="Comma 4 5 3 8" xfId="44897" xr:uid="{00000000-0005-0000-0000-0000EB340000}"/>
    <cellStyle name="Comma 4 5 4" xfId="885" xr:uid="{00000000-0005-0000-0000-0000EC340000}"/>
    <cellStyle name="Comma 4 5 4 2" xfId="2511" xr:uid="{00000000-0005-0000-0000-0000ED340000}"/>
    <cellStyle name="Comma 4 5 4 2 2" xfId="2776" xr:uid="{00000000-0005-0000-0000-0000EE340000}"/>
    <cellStyle name="Comma 4 5 4 2 2 2" xfId="3806" xr:uid="{00000000-0005-0000-0000-0000EF340000}"/>
    <cellStyle name="Comma 4 5 4 2 2 3" xfId="3290" xr:uid="{00000000-0005-0000-0000-0000F0340000}"/>
    <cellStyle name="Comma 4 5 4 2 3" xfId="3547" xr:uid="{00000000-0005-0000-0000-0000F1340000}"/>
    <cellStyle name="Comma 4 5 4 2 4" xfId="3031" xr:uid="{00000000-0005-0000-0000-0000F2340000}"/>
    <cellStyle name="Comma 4 5 4 3" xfId="2775" xr:uid="{00000000-0005-0000-0000-0000F3340000}"/>
    <cellStyle name="Comma 4 5 4 3 2" xfId="3805" xr:uid="{00000000-0005-0000-0000-0000F4340000}"/>
    <cellStyle name="Comma 4 5 4 3 3" xfId="3289" xr:uid="{00000000-0005-0000-0000-0000F5340000}"/>
    <cellStyle name="Comma 4 5 4 4" xfId="3546" xr:uid="{00000000-0005-0000-0000-0000F6340000}"/>
    <cellStyle name="Comma 4 5 4 5" xfId="3030" xr:uid="{00000000-0005-0000-0000-0000F7340000}"/>
    <cellStyle name="Comma 4 5 4 6" xfId="2510" xr:uid="{00000000-0005-0000-0000-0000F8340000}"/>
    <cellStyle name="Comma 4 5 5" xfId="2512" xr:uid="{00000000-0005-0000-0000-0000F9340000}"/>
    <cellStyle name="Comma 4 5 5 2" xfId="2777" xr:uid="{00000000-0005-0000-0000-0000FA340000}"/>
    <cellStyle name="Comma 4 5 5 2 2" xfId="3807" xr:uid="{00000000-0005-0000-0000-0000FB340000}"/>
    <cellStyle name="Comma 4 5 5 2 3" xfId="3291" xr:uid="{00000000-0005-0000-0000-0000FC340000}"/>
    <cellStyle name="Comma 4 5 5 3" xfId="3548" xr:uid="{00000000-0005-0000-0000-0000FD340000}"/>
    <cellStyle name="Comma 4 5 5 4" xfId="3032" xr:uid="{00000000-0005-0000-0000-0000FE340000}"/>
    <cellStyle name="Comma 4 5 6" xfId="2611" xr:uid="{00000000-0005-0000-0000-0000FF340000}"/>
    <cellStyle name="Comma 4 5 6 2" xfId="3639" xr:uid="{00000000-0005-0000-0000-000000350000}"/>
    <cellStyle name="Comma 4 5 6 3" xfId="3123" xr:uid="{00000000-0005-0000-0000-000001350000}"/>
    <cellStyle name="Comma 4 5 7" xfId="3537" xr:uid="{00000000-0005-0000-0000-000002350000}"/>
    <cellStyle name="Comma 4 5 8" xfId="3021" xr:uid="{00000000-0005-0000-0000-000003350000}"/>
    <cellStyle name="Comma 4 5 9" xfId="46285" xr:uid="{00000000-0005-0000-0000-000004350000}"/>
    <cellStyle name="Comma 4 6" xfId="252" xr:uid="{00000000-0005-0000-0000-000005350000}"/>
    <cellStyle name="Comma 4 6 2" xfId="886" xr:uid="{00000000-0005-0000-0000-000006350000}"/>
    <cellStyle name="Comma 4 6 2 2" xfId="2513" xr:uid="{00000000-0005-0000-0000-000007350000}"/>
    <cellStyle name="Comma 4 6 2 2 2" xfId="2514" xr:uid="{00000000-0005-0000-0000-000008350000}"/>
    <cellStyle name="Comma 4 6 2 2 2 2" xfId="2781" xr:uid="{00000000-0005-0000-0000-000009350000}"/>
    <cellStyle name="Comma 4 6 2 2 2 2 2" xfId="3811" xr:uid="{00000000-0005-0000-0000-00000A350000}"/>
    <cellStyle name="Comma 4 6 2 2 2 2 3" xfId="3295" xr:uid="{00000000-0005-0000-0000-00000B350000}"/>
    <cellStyle name="Comma 4 6 2 2 2 3" xfId="3552" xr:uid="{00000000-0005-0000-0000-00000C350000}"/>
    <cellStyle name="Comma 4 6 2 2 2 4" xfId="3036" xr:uid="{00000000-0005-0000-0000-00000D350000}"/>
    <cellStyle name="Comma 4 6 2 2 3" xfId="2780" xr:uid="{00000000-0005-0000-0000-00000E350000}"/>
    <cellStyle name="Comma 4 6 2 2 3 2" xfId="3810" xr:uid="{00000000-0005-0000-0000-00000F350000}"/>
    <cellStyle name="Comma 4 6 2 2 3 3" xfId="3294" xr:uid="{00000000-0005-0000-0000-000010350000}"/>
    <cellStyle name="Comma 4 6 2 2 4" xfId="3551" xr:uid="{00000000-0005-0000-0000-000011350000}"/>
    <cellStyle name="Comma 4 6 2 2 5" xfId="3035" xr:uid="{00000000-0005-0000-0000-000012350000}"/>
    <cellStyle name="Comma 4 6 2 3" xfId="2515" xr:uid="{00000000-0005-0000-0000-000013350000}"/>
    <cellStyle name="Comma 4 6 2 3 2" xfId="2516" xr:uid="{00000000-0005-0000-0000-000014350000}"/>
    <cellStyle name="Comma 4 6 2 3 2 2" xfId="2783" xr:uid="{00000000-0005-0000-0000-000015350000}"/>
    <cellStyle name="Comma 4 6 2 3 2 2 2" xfId="3813" xr:uid="{00000000-0005-0000-0000-000016350000}"/>
    <cellStyle name="Comma 4 6 2 3 2 2 3" xfId="3297" xr:uid="{00000000-0005-0000-0000-000017350000}"/>
    <cellStyle name="Comma 4 6 2 3 2 3" xfId="3554" xr:uid="{00000000-0005-0000-0000-000018350000}"/>
    <cellStyle name="Comma 4 6 2 3 2 4" xfId="3038" xr:uid="{00000000-0005-0000-0000-000019350000}"/>
    <cellStyle name="Comma 4 6 2 3 3" xfId="2782" xr:uid="{00000000-0005-0000-0000-00001A350000}"/>
    <cellStyle name="Comma 4 6 2 3 3 2" xfId="3812" xr:uid="{00000000-0005-0000-0000-00001B350000}"/>
    <cellStyle name="Comma 4 6 2 3 3 3" xfId="3296" xr:uid="{00000000-0005-0000-0000-00001C350000}"/>
    <cellStyle name="Comma 4 6 2 3 4" xfId="3553" xr:uid="{00000000-0005-0000-0000-00001D350000}"/>
    <cellStyle name="Comma 4 6 2 3 5" xfId="3037" xr:uid="{00000000-0005-0000-0000-00001E350000}"/>
    <cellStyle name="Comma 4 6 2 4" xfId="2517" xr:uid="{00000000-0005-0000-0000-00001F350000}"/>
    <cellStyle name="Comma 4 6 2 4 2" xfId="2784" xr:uid="{00000000-0005-0000-0000-000020350000}"/>
    <cellStyle name="Comma 4 6 2 4 2 2" xfId="3814" xr:uid="{00000000-0005-0000-0000-000021350000}"/>
    <cellStyle name="Comma 4 6 2 4 2 3" xfId="3298" xr:uid="{00000000-0005-0000-0000-000022350000}"/>
    <cellStyle name="Comma 4 6 2 4 3" xfId="3555" xr:uid="{00000000-0005-0000-0000-000023350000}"/>
    <cellStyle name="Comma 4 6 2 4 4" xfId="3039" xr:uid="{00000000-0005-0000-0000-000024350000}"/>
    <cellStyle name="Comma 4 6 2 5" xfId="2779" xr:uid="{00000000-0005-0000-0000-000025350000}"/>
    <cellStyle name="Comma 4 6 2 5 2" xfId="3809" xr:uid="{00000000-0005-0000-0000-000026350000}"/>
    <cellStyle name="Comma 4 6 2 5 3" xfId="3293" xr:uid="{00000000-0005-0000-0000-000027350000}"/>
    <cellStyle name="Comma 4 6 2 6" xfId="3550" xr:uid="{00000000-0005-0000-0000-000028350000}"/>
    <cellStyle name="Comma 4 6 2 7" xfId="3034" xr:uid="{00000000-0005-0000-0000-000029350000}"/>
    <cellStyle name="Comma 4 6 2 8" xfId="44898" xr:uid="{00000000-0005-0000-0000-00002A350000}"/>
    <cellStyle name="Comma 4 6 3" xfId="887" xr:uid="{00000000-0005-0000-0000-00002B350000}"/>
    <cellStyle name="Comma 4 6 3 2" xfId="2519" xr:uid="{00000000-0005-0000-0000-00002C350000}"/>
    <cellStyle name="Comma 4 6 3 2 2" xfId="2786" xr:uid="{00000000-0005-0000-0000-00002D350000}"/>
    <cellStyle name="Comma 4 6 3 2 2 2" xfId="3816" xr:uid="{00000000-0005-0000-0000-00002E350000}"/>
    <cellStyle name="Comma 4 6 3 2 2 3" xfId="3300" xr:uid="{00000000-0005-0000-0000-00002F350000}"/>
    <cellStyle name="Comma 4 6 3 2 3" xfId="3557" xr:uid="{00000000-0005-0000-0000-000030350000}"/>
    <cellStyle name="Comma 4 6 3 2 4" xfId="3041" xr:uid="{00000000-0005-0000-0000-000031350000}"/>
    <cellStyle name="Comma 4 6 3 3" xfId="2785" xr:uid="{00000000-0005-0000-0000-000032350000}"/>
    <cellStyle name="Comma 4 6 3 3 2" xfId="3815" xr:uid="{00000000-0005-0000-0000-000033350000}"/>
    <cellStyle name="Comma 4 6 3 3 3" xfId="3299" xr:uid="{00000000-0005-0000-0000-000034350000}"/>
    <cellStyle name="Comma 4 6 3 4" xfId="3556" xr:uid="{00000000-0005-0000-0000-000035350000}"/>
    <cellStyle name="Comma 4 6 3 5" xfId="3040" xr:uid="{00000000-0005-0000-0000-000036350000}"/>
    <cellStyle name="Comma 4 6 3 6" xfId="2518" xr:uid="{00000000-0005-0000-0000-000037350000}"/>
    <cellStyle name="Comma 4 6 4" xfId="2520" xr:uid="{00000000-0005-0000-0000-000038350000}"/>
    <cellStyle name="Comma 4 6 4 2" xfId="2521" xr:uid="{00000000-0005-0000-0000-000039350000}"/>
    <cellStyle name="Comma 4 6 4 2 2" xfId="2788" xr:uid="{00000000-0005-0000-0000-00003A350000}"/>
    <cellStyle name="Comma 4 6 4 2 2 2" xfId="3818" xr:uid="{00000000-0005-0000-0000-00003B350000}"/>
    <cellStyle name="Comma 4 6 4 2 2 3" xfId="3302" xr:uid="{00000000-0005-0000-0000-00003C350000}"/>
    <cellStyle name="Comma 4 6 4 2 3" xfId="3559" xr:uid="{00000000-0005-0000-0000-00003D350000}"/>
    <cellStyle name="Comma 4 6 4 2 4" xfId="3043" xr:uid="{00000000-0005-0000-0000-00003E350000}"/>
    <cellStyle name="Comma 4 6 4 3" xfId="2787" xr:uid="{00000000-0005-0000-0000-00003F350000}"/>
    <cellStyle name="Comma 4 6 4 3 2" xfId="3817" xr:uid="{00000000-0005-0000-0000-000040350000}"/>
    <cellStyle name="Comma 4 6 4 3 3" xfId="3301" xr:uid="{00000000-0005-0000-0000-000041350000}"/>
    <cellStyle name="Comma 4 6 4 4" xfId="3558" xr:uid="{00000000-0005-0000-0000-000042350000}"/>
    <cellStyle name="Comma 4 6 4 5" xfId="3042" xr:uid="{00000000-0005-0000-0000-000043350000}"/>
    <cellStyle name="Comma 4 6 4 6" xfId="42461" xr:uid="{00000000-0005-0000-0000-000044350000}"/>
    <cellStyle name="Comma 4 6 4 7" xfId="44899" xr:uid="{00000000-0005-0000-0000-000045350000}"/>
    <cellStyle name="Comma 4 6 5" xfId="2522" xr:uid="{00000000-0005-0000-0000-000046350000}"/>
    <cellStyle name="Comma 4 6 5 2" xfId="2789" xr:uid="{00000000-0005-0000-0000-000047350000}"/>
    <cellStyle name="Comma 4 6 5 2 2" xfId="3819" xr:uid="{00000000-0005-0000-0000-000048350000}"/>
    <cellStyle name="Comma 4 6 5 2 3" xfId="3303" xr:uid="{00000000-0005-0000-0000-000049350000}"/>
    <cellStyle name="Comma 4 6 5 3" xfId="3560" xr:uid="{00000000-0005-0000-0000-00004A350000}"/>
    <cellStyle name="Comma 4 6 5 4" xfId="3044" xr:uid="{00000000-0005-0000-0000-00004B350000}"/>
    <cellStyle name="Comma 4 6 6" xfId="2778" xr:uid="{00000000-0005-0000-0000-00004C350000}"/>
    <cellStyle name="Comma 4 6 6 2" xfId="3808" xr:uid="{00000000-0005-0000-0000-00004D350000}"/>
    <cellStyle name="Comma 4 6 6 3" xfId="3292" xr:uid="{00000000-0005-0000-0000-00004E350000}"/>
    <cellStyle name="Comma 4 6 7" xfId="3549" xr:uid="{00000000-0005-0000-0000-00004F350000}"/>
    <cellStyle name="Comma 4 6 8" xfId="3033" xr:uid="{00000000-0005-0000-0000-000050350000}"/>
    <cellStyle name="Comma 4 6 9" xfId="46166" xr:uid="{00000000-0005-0000-0000-000051350000}"/>
    <cellStyle name="Comma 4 7" xfId="888" xr:uid="{00000000-0005-0000-0000-000052350000}"/>
    <cellStyle name="Comma 4 7 2" xfId="2350" xr:uid="{00000000-0005-0000-0000-000053350000}"/>
    <cellStyle name="Comma 4 7 2 2" xfId="2523" xr:uid="{00000000-0005-0000-0000-000054350000}"/>
    <cellStyle name="Comma 4 7 2 2 2" xfId="2524" xr:uid="{00000000-0005-0000-0000-000055350000}"/>
    <cellStyle name="Comma 4 7 2 2 2 2" xfId="2793" xr:uid="{00000000-0005-0000-0000-000056350000}"/>
    <cellStyle name="Comma 4 7 2 2 2 2 2" xfId="3823" xr:uid="{00000000-0005-0000-0000-000057350000}"/>
    <cellStyle name="Comma 4 7 2 2 2 2 3" xfId="3307" xr:uid="{00000000-0005-0000-0000-000058350000}"/>
    <cellStyle name="Comma 4 7 2 2 2 3" xfId="3564" xr:uid="{00000000-0005-0000-0000-000059350000}"/>
    <cellStyle name="Comma 4 7 2 2 2 4" xfId="3048" xr:uid="{00000000-0005-0000-0000-00005A350000}"/>
    <cellStyle name="Comma 4 7 2 2 3" xfId="2792" xr:uid="{00000000-0005-0000-0000-00005B350000}"/>
    <cellStyle name="Comma 4 7 2 2 3 2" xfId="3822" xr:uid="{00000000-0005-0000-0000-00005C350000}"/>
    <cellStyle name="Comma 4 7 2 2 3 3" xfId="3306" xr:uid="{00000000-0005-0000-0000-00005D350000}"/>
    <cellStyle name="Comma 4 7 2 2 4" xfId="3563" xr:uid="{00000000-0005-0000-0000-00005E350000}"/>
    <cellStyle name="Comma 4 7 2 2 5" xfId="3047" xr:uid="{00000000-0005-0000-0000-00005F350000}"/>
    <cellStyle name="Comma 4 7 2 3" xfId="2525" xr:uid="{00000000-0005-0000-0000-000060350000}"/>
    <cellStyle name="Comma 4 7 2 3 2" xfId="2526" xr:uid="{00000000-0005-0000-0000-000061350000}"/>
    <cellStyle name="Comma 4 7 2 3 2 2" xfId="2795" xr:uid="{00000000-0005-0000-0000-000062350000}"/>
    <cellStyle name="Comma 4 7 2 3 2 2 2" xfId="3825" xr:uid="{00000000-0005-0000-0000-000063350000}"/>
    <cellStyle name="Comma 4 7 2 3 2 2 3" xfId="3309" xr:uid="{00000000-0005-0000-0000-000064350000}"/>
    <cellStyle name="Comma 4 7 2 3 2 3" xfId="3566" xr:uid="{00000000-0005-0000-0000-000065350000}"/>
    <cellStyle name="Comma 4 7 2 3 2 4" xfId="3050" xr:uid="{00000000-0005-0000-0000-000066350000}"/>
    <cellStyle name="Comma 4 7 2 3 3" xfId="2794" xr:uid="{00000000-0005-0000-0000-000067350000}"/>
    <cellStyle name="Comma 4 7 2 3 3 2" xfId="3824" xr:uid="{00000000-0005-0000-0000-000068350000}"/>
    <cellStyle name="Comma 4 7 2 3 3 3" xfId="3308" xr:uid="{00000000-0005-0000-0000-000069350000}"/>
    <cellStyle name="Comma 4 7 2 3 4" xfId="3565" xr:uid="{00000000-0005-0000-0000-00006A350000}"/>
    <cellStyle name="Comma 4 7 2 3 5" xfId="3049" xr:uid="{00000000-0005-0000-0000-00006B350000}"/>
    <cellStyle name="Comma 4 7 2 4" xfId="2527" xr:uid="{00000000-0005-0000-0000-00006C350000}"/>
    <cellStyle name="Comma 4 7 2 4 2" xfId="2796" xr:uid="{00000000-0005-0000-0000-00006D350000}"/>
    <cellStyle name="Comma 4 7 2 4 2 2" xfId="3826" xr:uid="{00000000-0005-0000-0000-00006E350000}"/>
    <cellStyle name="Comma 4 7 2 4 2 3" xfId="3310" xr:uid="{00000000-0005-0000-0000-00006F350000}"/>
    <cellStyle name="Comma 4 7 2 4 3" xfId="3567" xr:uid="{00000000-0005-0000-0000-000070350000}"/>
    <cellStyle name="Comma 4 7 2 4 4" xfId="3051" xr:uid="{00000000-0005-0000-0000-000071350000}"/>
    <cellStyle name="Comma 4 7 2 5" xfId="2791" xr:uid="{00000000-0005-0000-0000-000072350000}"/>
    <cellStyle name="Comma 4 7 2 5 2" xfId="3821" xr:uid="{00000000-0005-0000-0000-000073350000}"/>
    <cellStyle name="Comma 4 7 2 5 3" xfId="3305" xr:uid="{00000000-0005-0000-0000-000074350000}"/>
    <cellStyle name="Comma 4 7 2 6" xfId="3562" xr:uid="{00000000-0005-0000-0000-000075350000}"/>
    <cellStyle name="Comma 4 7 2 7" xfId="3046" xr:uid="{00000000-0005-0000-0000-000076350000}"/>
    <cellStyle name="Comma 4 7 2 8" xfId="44900" xr:uid="{00000000-0005-0000-0000-000077350000}"/>
    <cellStyle name="Comma 4 7 3" xfId="2528" xr:uid="{00000000-0005-0000-0000-000078350000}"/>
    <cellStyle name="Comma 4 7 3 2" xfId="2529" xr:uid="{00000000-0005-0000-0000-000079350000}"/>
    <cellStyle name="Comma 4 7 3 2 2" xfId="2798" xr:uid="{00000000-0005-0000-0000-00007A350000}"/>
    <cellStyle name="Comma 4 7 3 2 2 2" xfId="3828" xr:uid="{00000000-0005-0000-0000-00007B350000}"/>
    <cellStyle name="Comma 4 7 3 2 2 3" xfId="3312" xr:uid="{00000000-0005-0000-0000-00007C350000}"/>
    <cellStyle name="Comma 4 7 3 2 3" xfId="3569" xr:uid="{00000000-0005-0000-0000-00007D350000}"/>
    <cellStyle name="Comma 4 7 3 2 4" xfId="3053" xr:uid="{00000000-0005-0000-0000-00007E350000}"/>
    <cellStyle name="Comma 4 7 3 3" xfId="2797" xr:uid="{00000000-0005-0000-0000-00007F350000}"/>
    <cellStyle name="Comma 4 7 3 3 2" xfId="3827" xr:uid="{00000000-0005-0000-0000-000080350000}"/>
    <cellStyle name="Comma 4 7 3 3 3" xfId="3311" xr:uid="{00000000-0005-0000-0000-000081350000}"/>
    <cellStyle name="Comma 4 7 3 4" xfId="3568" xr:uid="{00000000-0005-0000-0000-000082350000}"/>
    <cellStyle name="Comma 4 7 3 5" xfId="3052" xr:uid="{00000000-0005-0000-0000-000083350000}"/>
    <cellStyle name="Comma 4 7 4" xfId="2530" xr:uid="{00000000-0005-0000-0000-000084350000}"/>
    <cellStyle name="Comma 4 7 4 2" xfId="2531" xr:uid="{00000000-0005-0000-0000-000085350000}"/>
    <cellStyle name="Comma 4 7 4 2 2" xfId="2800" xr:uid="{00000000-0005-0000-0000-000086350000}"/>
    <cellStyle name="Comma 4 7 4 2 2 2" xfId="3830" xr:uid="{00000000-0005-0000-0000-000087350000}"/>
    <cellStyle name="Comma 4 7 4 2 2 3" xfId="3314" xr:uid="{00000000-0005-0000-0000-000088350000}"/>
    <cellStyle name="Comma 4 7 4 2 3" xfId="3571" xr:uid="{00000000-0005-0000-0000-000089350000}"/>
    <cellStyle name="Comma 4 7 4 2 4" xfId="3055" xr:uid="{00000000-0005-0000-0000-00008A350000}"/>
    <cellStyle name="Comma 4 7 4 3" xfId="2799" xr:uid="{00000000-0005-0000-0000-00008B350000}"/>
    <cellStyle name="Comma 4 7 4 3 2" xfId="3829" xr:uid="{00000000-0005-0000-0000-00008C350000}"/>
    <cellStyle name="Comma 4 7 4 3 3" xfId="3313" xr:uid="{00000000-0005-0000-0000-00008D350000}"/>
    <cellStyle name="Comma 4 7 4 4" xfId="3570" xr:uid="{00000000-0005-0000-0000-00008E350000}"/>
    <cellStyle name="Comma 4 7 4 5" xfId="3054" xr:uid="{00000000-0005-0000-0000-00008F350000}"/>
    <cellStyle name="Comma 4 7 5" xfId="2532" xr:uid="{00000000-0005-0000-0000-000090350000}"/>
    <cellStyle name="Comma 4 7 5 2" xfId="2801" xr:uid="{00000000-0005-0000-0000-000091350000}"/>
    <cellStyle name="Comma 4 7 5 2 2" xfId="3831" xr:uid="{00000000-0005-0000-0000-000092350000}"/>
    <cellStyle name="Comma 4 7 5 2 3" xfId="3315" xr:uid="{00000000-0005-0000-0000-000093350000}"/>
    <cellStyle name="Comma 4 7 5 3" xfId="3572" xr:uid="{00000000-0005-0000-0000-000094350000}"/>
    <cellStyle name="Comma 4 7 5 4" xfId="3056" xr:uid="{00000000-0005-0000-0000-000095350000}"/>
    <cellStyle name="Comma 4 7 6" xfId="2790" xr:uid="{00000000-0005-0000-0000-000096350000}"/>
    <cellStyle name="Comma 4 7 6 2" xfId="3820" xr:uid="{00000000-0005-0000-0000-000097350000}"/>
    <cellStyle name="Comma 4 7 6 3" xfId="3304" xr:uid="{00000000-0005-0000-0000-000098350000}"/>
    <cellStyle name="Comma 4 7 7" xfId="3561" xr:uid="{00000000-0005-0000-0000-000099350000}"/>
    <cellStyle name="Comma 4 7 8" xfId="3045" xr:uid="{00000000-0005-0000-0000-00009A350000}"/>
    <cellStyle name="Comma 4 7 9" xfId="44901" xr:uid="{00000000-0005-0000-0000-00009B350000}"/>
    <cellStyle name="Comma 4 8" xfId="889" xr:uid="{00000000-0005-0000-0000-00009C350000}"/>
    <cellStyle name="Comma 4 8 2" xfId="2534" xr:uid="{00000000-0005-0000-0000-00009D350000}"/>
    <cellStyle name="Comma 4 8 2 2" xfId="2535" xr:uid="{00000000-0005-0000-0000-00009E350000}"/>
    <cellStyle name="Comma 4 8 2 2 2" xfId="2804" xr:uid="{00000000-0005-0000-0000-00009F350000}"/>
    <cellStyle name="Comma 4 8 2 2 2 2" xfId="3834" xr:uid="{00000000-0005-0000-0000-0000A0350000}"/>
    <cellStyle name="Comma 4 8 2 2 2 3" xfId="3318" xr:uid="{00000000-0005-0000-0000-0000A1350000}"/>
    <cellStyle name="Comma 4 8 2 2 3" xfId="3575" xr:uid="{00000000-0005-0000-0000-0000A2350000}"/>
    <cellStyle name="Comma 4 8 2 2 4" xfId="3059" xr:uid="{00000000-0005-0000-0000-0000A3350000}"/>
    <cellStyle name="Comma 4 8 2 3" xfId="2803" xr:uid="{00000000-0005-0000-0000-0000A4350000}"/>
    <cellStyle name="Comma 4 8 2 3 2" xfId="3833" xr:uid="{00000000-0005-0000-0000-0000A5350000}"/>
    <cellStyle name="Comma 4 8 2 3 3" xfId="3317" xr:uid="{00000000-0005-0000-0000-0000A6350000}"/>
    <cellStyle name="Comma 4 8 2 4" xfId="3574" xr:uid="{00000000-0005-0000-0000-0000A7350000}"/>
    <cellStyle name="Comma 4 8 2 5" xfId="3058" xr:uid="{00000000-0005-0000-0000-0000A8350000}"/>
    <cellStyle name="Comma 4 8 3" xfId="2536" xr:uid="{00000000-0005-0000-0000-0000A9350000}"/>
    <cellStyle name="Comma 4 8 3 2" xfId="2537" xr:uid="{00000000-0005-0000-0000-0000AA350000}"/>
    <cellStyle name="Comma 4 8 3 2 2" xfId="2806" xr:uid="{00000000-0005-0000-0000-0000AB350000}"/>
    <cellStyle name="Comma 4 8 3 2 2 2" xfId="3836" xr:uid="{00000000-0005-0000-0000-0000AC350000}"/>
    <cellStyle name="Comma 4 8 3 2 2 3" xfId="3320" xr:uid="{00000000-0005-0000-0000-0000AD350000}"/>
    <cellStyle name="Comma 4 8 3 2 3" xfId="3577" xr:uid="{00000000-0005-0000-0000-0000AE350000}"/>
    <cellStyle name="Comma 4 8 3 2 4" xfId="3061" xr:uid="{00000000-0005-0000-0000-0000AF350000}"/>
    <cellStyle name="Comma 4 8 3 3" xfId="2805" xr:uid="{00000000-0005-0000-0000-0000B0350000}"/>
    <cellStyle name="Comma 4 8 3 3 2" xfId="3835" xr:uid="{00000000-0005-0000-0000-0000B1350000}"/>
    <cellStyle name="Comma 4 8 3 3 3" xfId="3319" xr:uid="{00000000-0005-0000-0000-0000B2350000}"/>
    <cellStyle name="Comma 4 8 3 4" xfId="3576" xr:uid="{00000000-0005-0000-0000-0000B3350000}"/>
    <cellStyle name="Comma 4 8 3 5" xfId="3060" xr:uid="{00000000-0005-0000-0000-0000B4350000}"/>
    <cellStyle name="Comma 4 8 4" xfId="2538" xr:uid="{00000000-0005-0000-0000-0000B5350000}"/>
    <cellStyle name="Comma 4 8 4 2" xfId="2807" xr:uid="{00000000-0005-0000-0000-0000B6350000}"/>
    <cellStyle name="Comma 4 8 4 2 2" xfId="3837" xr:uid="{00000000-0005-0000-0000-0000B7350000}"/>
    <cellStyle name="Comma 4 8 4 2 3" xfId="3321" xr:uid="{00000000-0005-0000-0000-0000B8350000}"/>
    <cellStyle name="Comma 4 8 4 3" xfId="3578" xr:uid="{00000000-0005-0000-0000-0000B9350000}"/>
    <cellStyle name="Comma 4 8 4 4" xfId="3062" xr:uid="{00000000-0005-0000-0000-0000BA350000}"/>
    <cellStyle name="Comma 4 8 5" xfId="2802" xr:uid="{00000000-0005-0000-0000-0000BB350000}"/>
    <cellStyle name="Comma 4 8 5 2" xfId="3832" xr:uid="{00000000-0005-0000-0000-0000BC350000}"/>
    <cellStyle name="Comma 4 8 5 3" xfId="3316" xr:uid="{00000000-0005-0000-0000-0000BD350000}"/>
    <cellStyle name="Comma 4 8 6" xfId="3573" xr:uid="{00000000-0005-0000-0000-0000BE350000}"/>
    <cellStyle name="Comma 4 8 7" xfId="3057" xr:uid="{00000000-0005-0000-0000-0000BF350000}"/>
    <cellStyle name="Comma 4 8 8" xfId="2533" xr:uid="{00000000-0005-0000-0000-0000C0350000}"/>
    <cellStyle name="Comma 4 9" xfId="890" xr:uid="{00000000-0005-0000-0000-0000C1350000}"/>
    <cellStyle name="Comma 4 9 2" xfId="2540" xr:uid="{00000000-0005-0000-0000-0000C2350000}"/>
    <cellStyle name="Comma 4 9 2 2" xfId="2809" xr:uid="{00000000-0005-0000-0000-0000C3350000}"/>
    <cellStyle name="Comma 4 9 2 2 2" xfId="3839" xr:uid="{00000000-0005-0000-0000-0000C4350000}"/>
    <cellStyle name="Comma 4 9 2 2 3" xfId="3323" xr:uid="{00000000-0005-0000-0000-0000C5350000}"/>
    <cellStyle name="Comma 4 9 2 3" xfId="3580" xr:uid="{00000000-0005-0000-0000-0000C6350000}"/>
    <cellStyle name="Comma 4 9 2 4" xfId="3064" xr:uid="{00000000-0005-0000-0000-0000C7350000}"/>
    <cellStyle name="Comma 4 9 3" xfId="2808" xr:uid="{00000000-0005-0000-0000-0000C8350000}"/>
    <cellStyle name="Comma 4 9 3 2" xfId="3838" xr:uid="{00000000-0005-0000-0000-0000C9350000}"/>
    <cellStyle name="Comma 4 9 3 3" xfId="3322" xr:uid="{00000000-0005-0000-0000-0000CA350000}"/>
    <cellStyle name="Comma 4 9 4" xfId="3579" xr:uid="{00000000-0005-0000-0000-0000CB350000}"/>
    <cellStyle name="Comma 4 9 5" xfId="3063" xr:uid="{00000000-0005-0000-0000-0000CC350000}"/>
    <cellStyle name="Comma 4 9 6" xfId="2539" xr:uid="{00000000-0005-0000-0000-0000CD350000}"/>
    <cellStyle name="Comma 4_2186" xfId="15656" xr:uid="{00000000-0005-0000-0000-0000CE350000}"/>
    <cellStyle name="Comma 40" xfId="43891" xr:uid="{00000000-0005-0000-0000-0000CF350000}"/>
    <cellStyle name="Comma 41" xfId="43892" xr:uid="{00000000-0005-0000-0000-0000D0350000}"/>
    <cellStyle name="Comma 42" xfId="43893" xr:uid="{00000000-0005-0000-0000-0000D1350000}"/>
    <cellStyle name="Comma 43" xfId="43894" xr:uid="{00000000-0005-0000-0000-0000D2350000}"/>
    <cellStyle name="Comma 44" xfId="44902" xr:uid="{00000000-0005-0000-0000-0000D3350000}"/>
    <cellStyle name="Comma 45" xfId="44903" xr:uid="{00000000-0005-0000-0000-0000D4350000}"/>
    <cellStyle name="Comma 5" xfId="24" xr:uid="{00000000-0005-0000-0000-0000D5350000}"/>
    <cellStyle name="Comma 5 10" xfId="3581" xr:uid="{00000000-0005-0000-0000-0000D6350000}"/>
    <cellStyle name="Comma 5 11" xfId="3065" xr:uid="{00000000-0005-0000-0000-0000D7350000}"/>
    <cellStyle name="Comma 5 2" xfId="25" xr:uid="{00000000-0005-0000-0000-0000D8350000}"/>
    <cellStyle name="Comma 5 2 10" xfId="44904" xr:uid="{00000000-0005-0000-0000-0000D9350000}"/>
    <cellStyle name="Comma 5 2 2" xfId="253" xr:uid="{00000000-0005-0000-0000-0000DA350000}"/>
    <cellStyle name="Comma 5 2 2 2" xfId="891" xr:uid="{00000000-0005-0000-0000-0000DB350000}"/>
    <cellStyle name="Comma 5 2 2 2 2" xfId="892" xr:uid="{00000000-0005-0000-0000-0000DC350000}"/>
    <cellStyle name="Comma 5 2 2 2 2 2" xfId="2812" xr:uid="{00000000-0005-0000-0000-0000DD350000}"/>
    <cellStyle name="Comma 5 2 2 2 2 2 2" xfId="3842" xr:uid="{00000000-0005-0000-0000-0000DE350000}"/>
    <cellStyle name="Comma 5 2 2 2 2 2 2 2" xfId="15657" xr:uid="{00000000-0005-0000-0000-0000DF350000}"/>
    <cellStyle name="Comma 5 2 2 2 2 2 2 3" xfId="15658" xr:uid="{00000000-0005-0000-0000-0000E0350000}"/>
    <cellStyle name="Comma 5 2 2 2 2 2 3" xfId="3326" xr:uid="{00000000-0005-0000-0000-0000E1350000}"/>
    <cellStyle name="Comma 5 2 2 2 2 2 3 2" xfId="15659" xr:uid="{00000000-0005-0000-0000-0000E2350000}"/>
    <cellStyle name="Comma 5 2 2 2 2 2 3 3" xfId="15660" xr:uid="{00000000-0005-0000-0000-0000E3350000}"/>
    <cellStyle name="Comma 5 2 2 2 2 2 4" xfId="15661" xr:uid="{00000000-0005-0000-0000-0000E4350000}"/>
    <cellStyle name="Comma 5 2 2 2 2 2 5" xfId="15662" xr:uid="{00000000-0005-0000-0000-0000E5350000}"/>
    <cellStyle name="Comma 5 2 2 2 2 3" xfId="3585" xr:uid="{00000000-0005-0000-0000-0000E6350000}"/>
    <cellStyle name="Comma 5 2 2 2 2 3 2" xfId="15663" xr:uid="{00000000-0005-0000-0000-0000E7350000}"/>
    <cellStyle name="Comma 5 2 2 2 2 3 3" xfId="15664" xr:uid="{00000000-0005-0000-0000-0000E8350000}"/>
    <cellStyle name="Comma 5 2 2 2 2 4" xfId="3069" xr:uid="{00000000-0005-0000-0000-0000E9350000}"/>
    <cellStyle name="Comma 5 2 2 2 2 4 2" xfId="15665" xr:uid="{00000000-0005-0000-0000-0000EA350000}"/>
    <cellStyle name="Comma 5 2 2 2 2 4 3" xfId="15666" xr:uid="{00000000-0005-0000-0000-0000EB350000}"/>
    <cellStyle name="Comma 5 2 2 2 2 5" xfId="15667" xr:uid="{00000000-0005-0000-0000-0000EC350000}"/>
    <cellStyle name="Comma 5 2 2 2 2 6" xfId="15668" xr:uid="{00000000-0005-0000-0000-0000ED350000}"/>
    <cellStyle name="Comma 5 2 2 2 2 7" xfId="44905" xr:uid="{00000000-0005-0000-0000-0000EE350000}"/>
    <cellStyle name="Comma 5 2 2 2 3" xfId="2811" xr:uid="{00000000-0005-0000-0000-0000EF350000}"/>
    <cellStyle name="Comma 5 2 2 2 3 2" xfId="3841" xr:uid="{00000000-0005-0000-0000-0000F0350000}"/>
    <cellStyle name="Comma 5 2 2 2 3 2 2" xfId="15669" xr:uid="{00000000-0005-0000-0000-0000F1350000}"/>
    <cellStyle name="Comma 5 2 2 2 3 2 3" xfId="15670" xr:uid="{00000000-0005-0000-0000-0000F2350000}"/>
    <cellStyle name="Comma 5 2 2 2 3 3" xfId="3325" xr:uid="{00000000-0005-0000-0000-0000F3350000}"/>
    <cellStyle name="Comma 5 2 2 2 3 3 2" xfId="15671" xr:uid="{00000000-0005-0000-0000-0000F4350000}"/>
    <cellStyle name="Comma 5 2 2 2 3 3 3" xfId="15672" xr:uid="{00000000-0005-0000-0000-0000F5350000}"/>
    <cellStyle name="Comma 5 2 2 2 3 4" xfId="15673" xr:uid="{00000000-0005-0000-0000-0000F6350000}"/>
    <cellStyle name="Comma 5 2 2 2 3 5" xfId="15674" xr:uid="{00000000-0005-0000-0000-0000F7350000}"/>
    <cellStyle name="Comma 5 2 2 2 4" xfId="3584" xr:uid="{00000000-0005-0000-0000-0000F8350000}"/>
    <cellStyle name="Comma 5 2 2 2 4 2" xfId="15675" xr:uid="{00000000-0005-0000-0000-0000F9350000}"/>
    <cellStyle name="Comma 5 2 2 2 4 3" xfId="15676" xr:uid="{00000000-0005-0000-0000-0000FA350000}"/>
    <cellStyle name="Comma 5 2 2 2 5" xfId="3068" xr:uid="{00000000-0005-0000-0000-0000FB350000}"/>
    <cellStyle name="Comma 5 2 2 2 5 2" xfId="15677" xr:uid="{00000000-0005-0000-0000-0000FC350000}"/>
    <cellStyle name="Comma 5 2 2 2 5 3" xfId="15678" xr:uid="{00000000-0005-0000-0000-0000FD350000}"/>
    <cellStyle name="Comma 5 2 2 2 6" xfId="15679" xr:uid="{00000000-0005-0000-0000-0000FE350000}"/>
    <cellStyle name="Comma 5 2 2 2 7" xfId="15680" xr:uid="{00000000-0005-0000-0000-0000FF350000}"/>
    <cellStyle name="Comma 5 2 2 2 8" xfId="44906" xr:uid="{00000000-0005-0000-0000-000000360000}"/>
    <cellStyle name="Comma 5 2 2 3" xfId="893" xr:uid="{00000000-0005-0000-0000-000001360000}"/>
    <cellStyle name="Comma 5 2 2 3 2" xfId="2541" xr:uid="{00000000-0005-0000-0000-000002360000}"/>
    <cellStyle name="Comma 5 2 2 3 2 2" xfId="2814" xr:uid="{00000000-0005-0000-0000-000003360000}"/>
    <cellStyle name="Comma 5 2 2 3 2 2 2" xfId="3844" xr:uid="{00000000-0005-0000-0000-000004360000}"/>
    <cellStyle name="Comma 5 2 2 3 2 2 3" xfId="3328" xr:uid="{00000000-0005-0000-0000-000005360000}"/>
    <cellStyle name="Comma 5 2 2 3 2 3" xfId="3587" xr:uid="{00000000-0005-0000-0000-000006360000}"/>
    <cellStyle name="Comma 5 2 2 3 2 3 2" xfId="15681" xr:uid="{00000000-0005-0000-0000-000007360000}"/>
    <cellStyle name="Comma 5 2 2 3 2 3 3" xfId="15682" xr:uid="{00000000-0005-0000-0000-000008360000}"/>
    <cellStyle name="Comma 5 2 2 3 2 4" xfId="3071" xr:uid="{00000000-0005-0000-0000-000009360000}"/>
    <cellStyle name="Comma 5 2 2 3 2 5" xfId="15683" xr:uid="{00000000-0005-0000-0000-00000A360000}"/>
    <cellStyle name="Comma 5 2 2 3 3" xfId="2813" xr:uid="{00000000-0005-0000-0000-00000B360000}"/>
    <cellStyle name="Comma 5 2 2 3 3 2" xfId="3843" xr:uid="{00000000-0005-0000-0000-00000C360000}"/>
    <cellStyle name="Comma 5 2 2 3 3 3" xfId="3327" xr:uid="{00000000-0005-0000-0000-00000D360000}"/>
    <cellStyle name="Comma 5 2 2 3 4" xfId="3586" xr:uid="{00000000-0005-0000-0000-00000E360000}"/>
    <cellStyle name="Comma 5 2 2 3 4 2" xfId="15684" xr:uid="{00000000-0005-0000-0000-00000F360000}"/>
    <cellStyle name="Comma 5 2 2 3 4 3" xfId="15685" xr:uid="{00000000-0005-0000-0000-000010360000}"/>
    <cellStyle name="Comma 5 2 2 3 5" xfId="3070" xr:uid="{00000000-0005-0000-0000-000011360000}"/>
    <cellStyle name="Comma 5 2 2 3 6" xfId="15686" xr:uid="{00000000-0005-0000-0000-000012360000}"/>
    <cellStyle name="Comma 5 2 2 3 7" xfId="44907" xr:uid="{00000000-0005-0000-0000-000013360000}"/>
    <cellStyle name="Comma 5 2 2 4" xfId="2542" xr:uid="{00000000-0005-0000-0000-000014360000}"/>
    <cellStyle name="Comma 5 2 2 4 2" xfId="2815" xr:uid="{00000000-0005-0000-0000-000015360000}"/>
    <cellStyle name="Comma 5 2 2 4 2 2" xfId="3845" xr:uid="{00000000-0005-0000-0000-000016360000}"/>
    <cellStyle name="Comma 5 2 2 4 2 3" xfId="3329" xr:uid="{00000000-0005-0000-0000-000017360000}"/>
    <cellStyle name="Comma 5 2 2 4 3" xfId="3588" xr:uid="{00000000-0005-0000-0000-000018360000}"/>
    <cellStyle name="Comma 5 2 2 4 3 2" xfId="15687" xr:uid="{00000000-0005-0000-0000-000019360000}"/>
    <cellStyle name="Comma 5 2 2 4 3 3" xfId="15688" xr:uid="{00000000-0005-0000-0000-00001A360000}"/>
    <cellStyle name="Comma 5 2 2 4 4" xfId="3072" xr:uid="{00000000-0005-0000-0000-00001B360000}"/>
    <cellStyle name="Comma 5 2 2 4 5" xfId="15689" xr:uid="{00000000-0005-0000-0000-00001C360000}"/>
    <cellStyle name="Comma 5 2 2 5" xfId="2810" xr:uid="{00000000-0005-0000-0000-00001D360000}"/>
    <cellStyle name="Comma 5 2 2 5 2" xfId="3840" xr:uid="{00000000-0005-0000-0000-00001E360000}"/>
    <cellStyle name="Comma 5 2 2 5 3" xfId="3324" xr:uid="{00000000-0005-0000-0000-00001F360000}"/>
    <cellStyle name="Comma 5 2 2 6" xfId="3583" xr:uid="{00000000-0005-0000-0000-000020360000}"/>
    <cellStyle name="Comma 5 2 2 6 2" xfId="15690" xr:uid="{00000000-0005-0000-0000-000021360000}"/>
    <cellStyle name="Comma 5 2 2 6 3" xfId="15691" xr:uid="{00000000-0005-0000-0000-000022360000}"/>
    <cellStyle name="Comma 5 2 2 7" xfId="3067" xr:uid="{00000000-0005-0000-0000-000023360000}"/>
    <cellStyle name="Comma 5 2 2 8" xfId="15692" xr:uid="{00000000-0005-0000-0000-000024360000}"/>
    <cellStyle name="Comma 5 2 2 9" xfId="44908" xr:uid="{00000000-0005-0000-0000-000025360000}"/>
    <cellStyle name="Comma 5 2 3" xfId="894" xr:uid="{00000000-0005-0000-0000-000026360000}"/>
    <cellStyle name="Comma 5 2 3 2" xfId="895" xr:uid="{00000000-0005-0000-0000-000027360000}"/>
    <cellStyle name="Comma 5 2 3 2 2" xfId="2817" xr:uid="{00000000-0005-0000-0000-000028360000}"/>
    <cellStyle name="Comma 5 2 3 2 2 2" xfId="3847" xr:uid="{00000000-0005-0000-0000-000029360000}"/>
    <cellStyle name="Comma 5 2 3 2 2 2 2" xfId="15693" xr:uid="{00000000-0005-0000-0000-00002A360000}"/>
    <cellStyle name="Comma 5 2 3 2 2 2 3" xfId="15694" xr:uid="{00000000-0005-0000-0000-00002B360000}"/>
    <cellStyle name="Comma 5 2 3 2 2 3" xfId="3331" xr:uid="{00000000-0005-0000-0000-00002C360000}"/>
    <cellStyle name="Comma 5 2 3 2 2 3 2" xfId="15695" xr:uid="{00000000-0005-0000-0000-00002D360000}"/>
    <cellStyle name="Comma 5 2 3 2 2 3 3" xfId="15696" xr:uid="{00000000-0005-0000-0000-00002E360000}"/>
    <cellStyle name="Comma 5 2 3 2 2 4" xfId="15697" xr:uid="{00000000-0005-0000-0000-00002F360000}"/>
    <cellStyle name="Comma 5 2 3 2 2 5" xfId="15698" xr:uid="{00000000-0005-0000-0000-000030360000}"/>
    <cellStyle name="Comma 5 2 3 2 3" xfId="3590" xr:uid="{00000000-0005-0000-0000-000031360000}"/>
    <cellStyle name="Comma 5 2 3 2 3 2" xfId="15699" xr:uid="{00000000-0005-0000-0000-000032360000}"/>
    <cellStyle name="Comma 5 2 3 2 3 3" xfId="15700" xr:uid="{00000000-0005-0000-0000-000033360000}"/>
    <cellStyle name="Comma 5 2 3 2 4" xfId="3074" xr:uid="{00000000-0005-0000-0000-000034360000}"/>
    <cellStyle name="Comma 5 2 3 2 4 2" xfId="15701" xr:uid="{00000000-0005-0000-0000-000035360000}"/>
    <cellStyle name="Comma 5 2 3 2 4 3" xfId="15702" xr:uid="{00000000-0005-0000-0000-000036360000}"/>
    <cellStyle name="Comma 5 2 3 2 5" xfId="2543" xr:uid="{00000000-0005-0000-0000-000037360000}"/>
    <cellStyle name="Comma 5 2 3 2 6" xfId="15703" xr:uid="{00000000-0005-0000-0000-000038360000}"/>
    <cellStyle name="Comma 5 2 3 3" xfId="2816" xr:uid="{00000000-0005-0000-0000-000039360000}"/>
    <cellStyle name="Comma 5 2 3 3 2" xfId="3846" xr:uid="{00000000-0005-0000-0000-00003A360000}"/>
    <cellStyle name="Comma 5 2 3 3 2 2" xfId="15704" xr:uid="{00000000-0005-0000-0000-00003B360000}"/>
    <cellStyle name="Comma 5 2 3 3 2 3" xfId="15705" xr:uid="{00000000-0005-0000-0000-00003C360000}"/>
    <cellStyle name="Comma 5 2 3 3 3" xfId="3330" xr:uid="{00000000-0005-0000-0000-00003D360000}"/>
    <cellStyle name="Comma 5 2 3 3 3 2" xfId="15706" xr:uid="{00000000-0005-0000-0000-00003E360000}"/>
    <cellStyle name="Comma 5 2 3 3 3 3" xfId="15707" xr:uid="{00000000-0005-0000-0000-00003F360000}"/>
    <cellStyle name="Comma 5 2 3 3 4" xfId="15708" xr:uid="{00000000-0005-0000-0000-000040360000}"/>
    <cellStyle name="Comma 5 2 3 3 5" xfId="15709" xr:uid="{00000000-0005-0000-0000-000041360000}"/>
    <cellStyle name="Comma 5 2 3 3 6" xfId="15710" xr:uid="{00000000-0005-0000-0000-000042360000}"/>
    <cellStyle name="Comma 5 2 3 3 7" xfId="44035" xr:uid="{00000000-0005-0000-0000-000043360000}"/>
    <cellStyle name="Comma 5 2 3 4" xfId="3589" xr:uid="{00000000-0005-0000-0000-000044360000}"/>
    <cellStyle name="Comma 5 2 3 4 2" xfId="15711" xr:uid="{00000000-0005-0000-0000-000045360000}"/>
    <cellStyle name="Comma 5 2 3 4 3" xfId="15712" xr:uid="{00000000-0005-0000-0000-000046360000}"/>
    <cellStyle name="Comma 5 2 3 5" xfId="3073" xr:uid="{00000000-0005-0000-0000-000047360000}"/>
    <cellStyle name="Comma 5 2 3 5 2" xfId="15713" xr:uid="{00000000-0005-0000-0000-000048360000}"/>
    <cellStyle name="Comma 5 2 3 5 3" xfId="15714" xr:uid="{00000000-0005-0000-0000-000049360000}"/>
    <cellStyle name="Comma 5 2 3 6" xfId="15715" xr:uid="{00000000-0005-0000-0000-00004A360000}"/>
    <cellStyle name="Comma 5 2 3 7" xfId="15716" xr:uid="{00000000-0005-0000-0000-00004B360000}"/>
    <cellStyle name="Comma 5 2 3 8" xfId="46167" xr:uid="{00000000-0005-0000-0000-00004C360000}"/>
    <cellStyle name="Comma 5 2 4" xfId="896" xr:uid="{00000000-0005-0000-0000-00004D360000}"/>
    <cellStyle name="Comma 5 2 4 2" xfId="2544" xr:uid="{00000000-0005-0000-0000-00004E360000}"/>
    <cellStyle name="Comma 5 2 4 2 2" xfId="2819" xr:uid="{00000000-0005-0000-0000-00004F360000}"/>
    <cellStyle name="Comma 5 2 4 2 2 2" xfId="3849" xr:uid="{00000000-0005-0000-0000-000050360000}"/>
    <cellStyle name="Comma 5 2 4 2 2 3" xfId="3333" xr:uid="{00000000-0005-0000-0000-000051360000}"/>
    <cellStyle name="Comma 5 2 4 2 3" xfId="3592" xr:uid="{00000000-0005-0000-0000-000052360000}"/>
    <cellStyle name="Comma 5 2 4 2 3 2" xfId="15717" xr:uid="{00000000-0005-0000-0000-000053360000}"/>
    <cellStyle name="Comma 5 2 4 2 3 3" xfId="15718" xr:uid="{00000000-0005-0000-0000-000054360000}"/>
    <cellStyle name="Comma 5 2 4 2 4" xfId="3076" xr:uid="{00000000-0005-0000-0000-000055360000}"/>
    <cellStyle name="Comma 5 2 4 2 5" xfId="15719" xr:uid="{00000000-0005-0000-0000-000056360000}"/>
    <cellStyle name="Comma 5 2 4 3" xfId="2818" xr:uid="{00000000-0005-0000-0000-000057360000}"/>
    <cellStyle name="Comma 5 2 4 3 2" xfId="3848" xr:uid="{00000000-0005-0000-0000-000058360000}"/>
    <cellStyle name="Comma 5 2 4 3 3" xfId="3332" xr:uid="{00000000-0005-0000-0000-000059360000}"/>
    <cellStyle name="Comma 5 2 4 4" xfId="3591" xr:uid="{00000000-0005-0000-0000-00005A360000}"/>
    <cellStyle name="Comma 5 2 4 4 2" xfId="15720" xr:uid="{00000000-0005-0000-0000-00005B360000}"/>
    <cellStyle name="Comma 5 2 4 4 3" xfId="15721" xr:uid="{00000000-0005-0000-0000-00005C360000}"/>
    <cellStyle name="Comma 5 2 4 5" xfId="3075" xr:uid="{00000000-0005-0000-0000-00005D360000}"/>
    <cellStyle name="Comma 5 2 4 6" xfId="15722" xr:uid="{00000000-0005-0000-0000-00005E360000}"/>
    <cellStyle name="Comma 5 2 4 7" xfId="44909" xr:uid="{00000000-0005-0000-0000-00005F360000}"/>
    <cellStyle name="Comma 5 2 5" xfId="2545" xr:uid="{00000000-0005-0000-0000-000060360000}"/>
    <cellStyle name="Comma 5 2 5 2" xfId="2820" xr:uid="{00000000-0005-0000-0000-000061360000}"/>
    <cellStyle name="Comma 5 2 5 2 2" xfId="3850" xr:uid="{00000000-0005-0000-0000-000062360000}"/>
    <cellStyle name="Comma 5 2 5 2 3" xfId="3334" xr:uid="{00000000-0005-0000-0000-000063360000}"/>
    <cellStyle name="Comma 5 2 5 3" xfId="3593" xr:uid="{00000000-0005-0000-0000-000064360000}"/>
    <cellStyle name="Comma 5 2 5 3 2" xfId="15723" xr:uid="{00000000-0005-0000-0000-000065360000}"/>
    <cellStyle name="Comma 5 2 5 3 3" xfId="15724" xr:uid="{00000000-0005-0000-0000-000066360000}"/>
    <cellStyle name="Comma 5 2 5 4" xfId="3077" xr:uid="{00000000-0005-0000-0000-000067360000}"/>
    <cellStyle name="Comma 5 2 5 5" xfId="15725" xr:uid="{00000000-0005-0000-0000-000068360000}"/>
    <cellStyle name="Comma 5 2 6" xfId="2613" xr:uid="{00000000-0005-0000-0000-000069360000}"/>
    <cellStyle name="Comma 5 2 6 2" xfId="3643" xr:uid="{00000000-0005-0000-0000-00006A360000}"/>
    <cellStyle name="Comma 5 2 6 3" xfId="3127" xr:uid="{00000000-0005-0000-0000-00006B360000}"/>
    <cellStyle name="Comma 5 2 7" xfId="3582" xr:uid="{00000000-0005-0000-0000-00006C360000}"/>
    <cellStyle name="Comma 5 2 7 2" xfId="15726" xr:uid="{00000000-0005-0000-0000-00006D360000}"/>
    <cellStyle name="Comma 5 2 7 3" xfId="15727" xr:uid="{00000000-0005-0000-0000-00006E360000}"/>
    <cellStyle name="Comma 5 2 8" xfId="3066" xr:uid="{00000000-0005-0000-0000-00006F360000}"/>
    <cellStyle name="Comma 5 2 9" xfId="15728" xr:uid="{00000000-0005-0000-0000-000070360000}"/>
    <cellStyle name="Comma 5 3" xfId="254" xr:uid="{00000000-0005-0000-0000-000071360000}"/>
    <cellStyle name="Comma 5 3 2" xfId="897" xr:uid="{00000000-0005-0000-0000-000072360000}"/>
    <cellStyle name="Comma 5 3 2 2" xfId="898" xr:uid="{00000000-0005-0000-0000-000073360000}"/>
    <cellStyle name="Comma 5 3 2 2 2" xfId="2546" xr:uid="{00000000-0005-0000-0000-000074360000}"/>
    <cellStyle name="Comma 5 3 2 2 2 2" xfId="2824" xr:uid="{00000000-0005-0000-0000-000075360000}"/>
    <cellStyle name="Comma 5 3 2 2 2 2 2" xfId="3854" xr:uid="{00000000-0005-0000-0000-000076360000}"/>
    <cellStyle name="Comma 5 3 2 2 2 2 3" xfId="3338" xr:uid="{00000000-0005-0000-0000-000077360000}"/>
    <cellStyle name="Comma 5 3 2 2 2 3" xfId="3597" xr:uid="{00000000-0005-0000-0000-000078360000}"/>
    <cellStyle name="Comma 5 3 2 2 2 3 2" xfId="15729" xr:uid="{00000000-0005-0000-0000-000079360000}"/>
    <cellStyle name="Comma 5 3 2 2 2 3 3" xfId="15730" xr:uid="{00000000-0005-0000-0000-00007A360000}"/>
    <cellStyle name="Comma 5 3 2 2 2 4" xfId="3081" xr:uid="{00000000-0005-0000-0000-00007B360000}"/>
    <cellStyle name="Comma 5 3 2 2 2 5" xfId="15731" xr:uid="{00000000-0005-0000-0000-00007C360000}"/>
    <cellStyle name="Comma 5 3 2 2 3" xfId="2823" xr:uid="{00000000-0005-0000-0000-00007D360000}"/>
    <cellStyle name="Comma 5 3 2 2 3 2" xfId="3853" xr:uid="{00000000-0005-0000-0000-00007E360000}"/>
    <cellStyle name="Comma 5 3 2 2 3 3" xfId="3337" xr:uid="{00000000-0005-0000-0000-00007F360000}"/>
    <cellStyle name="Comma 5 3 2 2 4" xfId="3596" xr:uid="{00000000-0005-0000-0000-000080360000}"/>
    <cellStyle name="Comma 5 3 2 2 4 2" xfId="15732" xr:uid="{00000000-0005-0000-0000-000081360000}"/>
    <cellStyle name="Comma 5 3 2 2 4 3" xfId="15733" xr:uid="{00000000-0005-0000-0000-000082360000}"/>
    <cellStyle name="Comma 5 3 2 2 5" xfId="3080" xr:uid="{00000000-0005-0000-0000-000083360000}"/>
    <cellStyle name="Comma 5 3 2 2 6" xfId="15734" xr:uid="{00000000-0005-0000-0000-000084360000}"/>
    <cellStyle name="Comma 5 3 2 2 7" xfId="44910" xr:uid="{00000000-0005-0000-0000-000085360000}"/>
    <cellStyle name="Comma 5 3 2 3" xfId="2547" xr:uid="{00000000-0005-0000-0000-000086360000}"/>
    <cellStyle name="Comma 5 3 2 3 2" xfId="2548" xr:uid="{00000000-0005-0000-0000-000087360000}"/>
    <cellStyle name="Comma 5 3 2 3 2 2" xfId="2826" xr:uid="{00000000-0005-0000-0000-000088360000}"/>
    <cellStyle name="Comma 5 3 2 3 2 2 2" xfId="3856" xr:uid="{00000000-0005-0000-0000-000089360000}"/>
    <cellStyle name="Comma 5 3 2 3 2 2 3" xfId="3340" xr:uid="{00000000-0005-0000-0000-00008A360000}"/>
    <cellStyle name="Comma 5 3 2 3 2 3" xfId="3599" xr:uid="{00000000-0005-0000-0000-00008B360000}"/>
    <cellStyle name="Comma 5 3 2 3 2 4" xfId="3083" xr:uid="{00000000-0005-0000-0000-00008C360000}"/>
    <cellStyle name="Comma 5 3 2 3 3" xfId="2825" xr:uid="{00000000-0005-0000-0000-00008D360000}"/>
    <cellStyle name="Comma 5 3 2 3 3 2" xfId="3855" xr:uid="{00000000-0005-0000-0000-00008E360000}"/>
    <cellStyle name="Comma 5 3 2 3 3 3" xfId="3339" xr:uid="{00000000-0005-0000-0000-00008F360000}"/>
    <cellStyle name="Comma 5 3 2 3 4" xfId="3598" xr:uid="{00000000-0005-0000-0000-000090360000}"/>
    <cellStyle name="Comma 5 3 2 3 5" xfId="3082" xr:uid="{00000000-0005-0000-0000-000091360000}"/>
    <cellStyle name="Comma 5 3 2 4" xfId="2549" xr:uid="{00000000-0005-0000-0000-000092360000}"/>
    <cellStyle name="Comma 5 3 2 4 2" xfId="2827" xr:uid="{00000000-0005-0000-0000-000093360000}"/>
    <cellStyle name="Comma 5 3 2 4 2 2" xfId="3857" xr:uid="{00000000-0005-0000-0000-000094360000}"/>
    <cellStyle name="Comma 5 3 2 4 2 3" xfId="3341" xr:uid="{00000000-0005-0000-0000-000095360000}"/>
    <cellStyle name="Comma 5 3 2 4 3" xfId="3600" xr:uid="{00000000-0005-0000-0000-000096360000}"/>
    <cellStyle name="Comma 5 3 2 4 4" xfId="3084" xr:uid="{00000000-0005-0000-0000-000097360000}"/>
    <cellStyle name="Comma 5 3 2 5" xfId="2822" xr:uid="{00000000-0005-0000-0000-000098360000}"/>
    <cellStyle name="Comma 5 3 2 5 2" xfId="3852" xr:uid="{00000000-0005-0000-0000-000099360000}"/>
    <cellStyle name="Comma 5 3 2 5 3" xfId="3336" xr:uid="{00000000-0005-0000-0000-00009A360000}"/>
    <cellStyle name="Comma 5 3 2 6" xfId="3595" xr:uid="{00000000-0005-0000-0000-00009B360000}"/>
    <cellStyle name="Comma 5 3 2 7" xfId="3079" xr:uid="{00000000-0005-0000-0000-00009C360000}"/>
    <cellStyle name="Comma 5 3 2 8" xfId="44911" xr:uid="{00000000-0005-0000-0000-00009D360000}"/>
    <cellStyle name="Comma 5 3 3" xfId="899" xr:uid="{00000000-0005-0000-0000-00009E360000}"/>
    <cellStyle name="Comma 5 3 3 2" xfId="2550" xr:uid="{00000000-0005-0000-0000-00009F360000}"/>
    <cellStyle name="Comma 5 3 3 2 2" xfId="2829" xr:uid="{00000000-0005-0000-0000-0000A0360000}"/>
    <cellStyle name="Comma 5 3 3 2 2 2" xfId="3859" xr:uid="{00000000-0005-0000-0000-0000A1360000}"/>
    <cellStyle name="Comma 5 3 3 2 2 3" xfId="3343" xr:uid="{00000000-0005-0000-0000-0000A2360000}"/>
    <cellStyle name="Comma 5 3 3 2 3" xfId="3602" xr:uid="{00000000-0005-0000-0000-0000A3360000}"/>
    <cellStyle name="Comma 5 3 3 2 3 2" xfId="15735" xr:uid="{00000000-0005-0000-0000-0000A4360000}"/>
    <cellStyle name="Comma 5 3 3 2 3 3" xfId="15736" xr:uid="{00000000-0005-0000-0000-0000A5360000}"/>
    <cellStyle name="Comma 5 3 3 2 4" xfId="3086" xr:uid="{00000000-0005-0000-0000-0000A6360000}"/>
    <cellStyle name="Comma 5 3 3 2 5" xfId="15737" xr:uid="{00000000-0005-0000-0000-0000A7360000}"/>
    <cellStyle name="Comma 5 3 3 3" xfId="2828" xr:uid="{00000000-0005-0000-0000-0000A8360000}"/>
    <cellStyle name="Comma 5 3 3 3 2" xfId="3858" xr:uid="{00000000-0005-0000-0000-0000A9360000}"/>
    <cellStyle name="Comma 5 3 3 3 3" xfId="3342" xr:uid="{00000000-0005-0000-0000-0000AA360000}"/>
    <cellStyle name="Comma 5 3 3 4" xfId="3601" xr:uid="{00000000-0005-0000-0000-0000AB360000}"/>
    <cellStyle name="Comma 5 3 3 4 2" xfId="15738" xr:uid="{00000000-0005-0000-0000-0000AC360000}"/>
    <cellStyle name="Comma 5 3 3 4 3" xfId="15739" xr:uid="{00000000-0005-0000-0000-0000AD360000}"/>
    <cellStyle name="Comma 5 3 3 5" xfId="3085" xr:uid="{00000000-0005-0000-0000-0000AE360000}"/>
    <cellStyle name="Comma 5 3 3 6" xfId="15740" xr:uid="{00000000-0005-0000-0000-0000AF360000}"/>
    <cellStyle name="Comma 5 3 3 7" xfId="44912" xr:uid="{00000000-0005-0000-0000-0000B0360000}"/>
    <cellStyle name="Comma 5 3 4" xfId="900" xr:uid="{00000000-0005-0000-0000-0000B1360000}"/>
    <cellStyle name="Comma 5 3 4 2" xfId="2551" xr:uid="{00000000-0005-0000-0000-0000B2360000}"/>
    <cellStyle name="Comma 5 3 4 2 2" xfId="2831" xr:uid="{00000000-0005-0000-0000-0000B3360000}"/>
    <cellStyle name="Comma 5 3 4 2 2 2" xfId="3861" xr:uid="{00000000-0005-0000-0000-0000B4360000}"/>
    <cellStyle name="Comma 5 3 4 2 2 3" xfId="3345" xr:uid="{00000000-0005-0000-0000-0000B5360000}"/>
    <cellStyle name="Comma 5 3 4 2 3" xfId="3604" xr:uid="{00000000-0005-0000-0000-0000B6360000}"/>
    <cellStyle name="Comma 5 3 4 2 4" xfId="3088" xr:uid="{00000000-0005-0000-0000-0000B7360000}"/>
    <cellStyle name="Comma 5 3 4 3" xfId="2830" xr:uid="{00000000-0005-0000-0000-0000B8360000}"/>
    <cellStyle name="Comma 5 3 4 3 2" xfId="3860" xr:uid="{00000000-0005-0000-0000-0000B9360000}"/>
    <cellStyle name="Comma 5 3 4 3 3" xfId="3344" xr:uid="{00000000-0005-0000-0000-0000BA360000}"/>
    <cellStyle name="Comma 5 3 4 4" xfId="3603" xr:uid="{00000000-0005-0000-0000-0000BB360000}"/>
    <cellStyle name="Comma 5 3 4 5" xfId="3087" xr:uid="{00000000-0005-0000-0000-0000BC360000}"/>
    <cellStyle name="Comma 5 3 4 6" xfId="44913" xr:uid="{00000000-0005-0000-0000-0000BD360000}"/>
    <cellStyle name="Comma 5 3 5" xfId="2552" xr:uid="{00000000-0005-0000-0000-0000BE360000}"/>
    <cellStyle name="Comma 5 3 5 2" xfId="2832" xr:uid="{00000000-0005-0000-0000-0000BF360000}"/>
    <cellStyle name="Comma 5 3 5 2 2" xfId="3862" xr:uid="{00000000-0005-0000-0000-0000C0360000}"/>
    <cellStyle name="Comma 5 3 5 2 3" xfId="3346" xr:uid="{00000000-0005-0000-0000-0000C1360000}"/>
    <cellStyle name="Comma 5 3 5 3" xfId="3605" xr:uid="{00000000-0005-0000-0000-0000C2360000}"/>
    <cellStyle name="Comma 5 3 5 4" xfId="3089" xr:uid="{00000000-0005-0000-0000-0000C3360000}"/>
    <cellStyle name="Comma 5 3 6" xfId="2821" xr:uid="{00000000-0005-0000-0000-0000C4360000}"/>
    <cellStyle name="Comma 5 3 6 2" xfId="3851" xr:uid="{00000000-0005-0000-0000-0000C5360000}"/>
    <cellStyle name="Comma 5 3 6 3" xfId="3335" xr:uid="{00000000-0005-0000-0000-0000C6360000}"/>
    <cellStyle name="Comma 5 3 7" xfId="3594" xr:uid="{00000000-0005-0000-0000-0000C7360000}"/>
    <cellStyle name="Comma 5 3 8" xfId="3078" xr:uid="{00000000-0005-0000-0000-0000C8360000}"/>
    <cellStyle name="Comma 5 3 9" xfId="44914" xr:uid="{00000000-0005-0000-0000-0000C9360000}"/>
    <cellStyle name="Comma 5 4" xfId="255" xr:uid="{00000000-0005-0000-0000-0000CA360000}"/>
    <cellStyle name="Comma 5 4 2" xfId="901" xr:uid="{00000000-0005-0000-0000-0000CB360000}"/>
    <cellStyle name="Comma 5 4 2 2" xfId="2553" xr:uid="{00000000-0005-0000-0000-0000CC360000}"/>
    <cellStyle name="Comma 5 4 2 2 2" xfId="2554" xr:uid="{00000000-0005-0000-0000-0000CD360000}"/>
    <cellStyle name="Comma 5 4 2 2 2 2" xfId="2836" xr:uid="{00000000-0005-0000-0000-0000CE360000}"/>
    <cellStyle name="Comma 5 4 2 2 2 2 2" xfId="3866" xr:uid="{00000000-0005-0000-0000-0000CF360000}"/>
    <cellStyle name="Comma 5 4 2 2 2 2 3" xfId="3350" xr:uid="{00000000-0005-0000-0000-0000D0360000}"/>
    <cellStyle name="Comma 5 4 2 2 2 3" xfId="3609" xr:uid="{00000000-0005-0000-0000-0000D1360000}"/>
    <cellStyle name="Comma 5 4 2 2 2 3 2" xfId="15741" xr:uid="{00000000-0005-0000-0000-0000D2360000}"/>
    <cellStyle name="Comma 5 4 2 2 2 3 3" xfId="15742" xr:uid="{00000000-0005-0000-0000-0000D3360000}"/>
    <cellStyle name="Comma 5 4 2 2 2 4" xfId="3093" xr:uid="{00000000-0005-0000-0000-0000D4360000}"/>
    <cellStyle name="Comma 5 4 2 2 2 5" xfId="15743" xr:uid="{00000000-0005-0000-0000-0000D5360000}"/>
    <cellStyle name="Comma 5 4 2 2 3" xfId="2835" xr:uid="{00000000-0005-0000-0000-0000D6360000}"/>
    <cellStyle name="Comma 5 4 2 2 3 2" xfId="3865" xr:uid="{00000000-0005-0000-0000-0000D7360000}"/>
    <cellStyle name="Comma 5 4 2 2 3 3" xfId="3349" xr:uid="{00000000-0005-0000-0000-0000D8360000}"/>
    <cellStyle name="Comma 5 4 2 2 4" xfId="3608" xr:uid="{00000000-0005-0000-0000-0000D9360000}"/>
    <cellStyle name="Comma 5 4 2 2 4 2" xfId="15744" xr:uid="{00000000-0005-0000-0000-0000DA360000}"/>
    <cellStyle name="Comma 5 4 2 2 4 3" xfId="15745" xr:uid="{00000000-0005-0000-0000-0000DB360000}"/>
    <cellStyle name="Comma 5 4 2 2 5" xfId="3092" xr:uid="{00000000-0005-0000-0000-0000DC360000}"/>
    <cellStyle name="Comma 5 4 2 2 6" xfId="15746" xr:uid="{00000000-0005-0000-0000-0000DD360000}"/>
    <cellStyle name="Comma 5 4 2 3" xfId="2555" xr:uid="{00000000-0005-0000-0000-0000DE360000}"/>
    <cellStyle name="Comma 5 4 2 3 2" xfId="2556" xr:uid="{00000000-0005-0000-0000-0000DF360000}"/>
    <cellStyle name="Comma 5 4 2 3 2 2" xfId="2838" xr:uid="{00000000-0005-0000-0000-0000E0360000}"/>
    <cellStyle name="Comma 5 4 2 3 2 2 2" xfId="3868" xr:uid="{00000000-0005-0000-0000-0000E1360000}"/>
    <cellStyle name="Comma 5 4 2 3 2 2 3" xfId="3352" xr:uid="{00000000-0005-0000-0000-0000E2360000}"/>
    <cellStyle name="Comma 5 4 2 3 2 3" xfId="3611" xr:uid="{00000000-0005-0000-0000-0000E3360000}"/>
    <cellStyle name="Comma 5 4 2 3 2 4" xfId="3095" xr:uid="{00000000-0005-0000-0000-0000E4360000}"/>
    <cellStyle name="Comma 5 4 2 3 3" xfId="2837" xr:uid="{00000000-0005-0000-0000-0000E5360000}"/>
    <cellStyle name="Comma 5 4 2 3 3 2" xfId="3867" xr:uid="{00000000-0005-0000-0000-0000E6360000}"/>
    <cellStyle name="Comma 5 4 2 3 3 3" xfId="3351" xr:uid="{00000000-0005-0000-0000-0000E7360000}"/>
    <cellStyle name="Comma 5 4 2 3 4" xfId="3610" xr:uid="{00000000-0005-0000-0000-0000E8360000}"/>
    <cellStyle name="Comma 5 4 2 3 5" xfId="3094" xr:uid="{00000000-0005-0000-0000-0000E9360000}"/>
    <cellStyle name="Comma 5 4 2 4" xfId="2557" xr:uid="{00000000-0005-0000-0000-0000EA360000}"/>
    <cellStyle name="Comma 5 4 2 4 2" xfId="2839" xr:uid="{00000000-0005-0000-0000-0000EB360000}"/>
    <cellStyle name="Comma 5 4 2 4 2 2" xfId="3869" xr:uid="{00000000-0005-0000-0000-0000EC360000}"/>
    <cellStyle name="Comma 5 4 2 4 2 3" xfId="3353" xr:uid="{00000000-0005-0000-0000-0000ED360000}"/>
    <cellStyle name="Comma 5 4 2 4 3" xfId="3612" xr:uid="{00000000-0005-0000-0000-0000EE360000}"/>
    <cellStyle name="Comma 5 4 2 4 4" xfId="3096" xr:uid="{00000000-0005-0000-0000-0000EF360000}"/>
    <cellStyle name="Comma 5 4 2 5" xfId="2834" xr:uid="{00000000-0005-0000-0000-0000F0360000}"/>
    <cellStyle name="Comma 5 4 2 5 2" xfId="3864" xr:uid="{00000000-0005-0000-0000-0000F1360000}"/>
    <cellStyle name="Comma 5 4 2 5 3" xfId="3348" xr:uid="{00000000-0005-0000-0000-0000F2360000}"/>
    <cellStyle name="Comma 5 4 2 6" xfId="3607" xr:uid="{00000000-0005-0000-0000-0000F3360000}"/>
    <cellStyle name="Comma 5 4 2 7" xfId="3091" xr:uid="{00000000-0005-0000-0000-0000F4360000}"/>
    <cellStyle name="Comma 5 4 2 8" xfId="44915" xr:uid="{00000000-0005-0000-0000-0000F5360000}"/>
    <cellStyle name="Comma 5 4 3" xfId="902" xr:uid="{00000000-0005-0000-0000-0000F6360000}"/>
    <cellStyle name="Comma 5 4 3 2" xfId="2559" xr:uid="{00000000-0005-0000-0000-0000F7360000}"/>
    <cellStyle name="Comma 5 4 3 2 2" xfId="2841" xr:uid="{00000000-0005-0000-0000-0000F8360000}"/>
    <cellStyle name="Comma 5 4 3 2 2 2" xfId="3871" xr:uid="{00000000-0005-0000-0000-0000F9360000}"/>
    <cellStyle name="Comma 5 4 3 2 2 3" xfId="3355" xr:uid="{00000000-0005-0000-0000-0000FA360000}"/>
    <cellStyle name="Comma 5 4 3 2 3" xfId="3614" xr:uid="{00000000-0005-0000-0000-0000FB360000}"/>
    <cellStyle name="Comma 5 4 3 2 3 2" xfId="15747" xr:uid="{00000000-0005-0000-0000-0000FC360000}"/>
    <cellStyle name="Comma 5 4 3 2 3 3" xfId="15748" xr:uid="{00000000-0005-0000-0000-0000FD360000}"/>
    <cellStyle name="Comma 5 4 3 2 4" xfId="3098" xr:uid="{00000000-0005-0000-0000-0000FE360000}"/>
    <cellStyle name="Comma 5 4 3 2 5" xfId="15749" xr:uid="{00000000-0005-0000-0000-0000FF360000}"/>
    <cellStyle name="Comma 5 4 3 3" xfId="2840" xr:uid="{00000000-0005-0000-0000-000000370000}"/>
    <cellStyle name="Comma 5 4 3 3 2" xfId="3870" xr:uid="{00000000-0005-0000-0000-000001370000}"/>
    <cellStyle name="Comma 5 4 3 3 3" xfId="3354" xr:uid="{00000000-0005-0000-0000-000002370000}"/>
    <cellStyle name="Comma 5 4 3 4" xfId="3613" xr:uid="{00000000-0005-0000-0000-000003370000}"/>
    <cellStyle name="Comma 5 4 3 4 2" xfId="15750" xr:uid="{00000000-0005-0000-0000-000004370000}"/>
    <cellStyle name="Comma 5 4 3 4 3" xfId="15751" xr:uid="{00000000-0005-0000-0000-000005370000}"/>
    <cellStyle name="Comma 5 4 3 5" xfId="3097" xr:uid="{00000000-0005-0000-0000-000006370000}"/>
    <cellStyle name="Comma 5 4 3 6" xfId="2558" xr:uid="{00000000-0005-0000-0000-000007370000}"/>
    <cellStyle name="Comma 5 4 4" xfId="2560" xr:uid="{00000000-0005-0000-0000-000008370000}"/>
    <cellStyle name="Comma 5 4 4 2" xfId="2561" xr:uid="{00000000-0005-0000-0000-000009370000}"/>
    <cellStyle name="Comma 5 4 4 2 2" xfId="2843" xr:uid="{00000000-0005-0000-0000-00000A370000}"/>
    <cellStyle name="Comma 5 4 4 2 2 2" xfId="3873" xr:uid="{00000000-0005-0000-0000-00000B370000}"/>
    <cellStyle name="Comma 5 4 4 2 2 3" xfId="3357" xr:uid="{00000000-0005-0000-0000-00000C370000}"/>
    <cellStyle name="Comma 5 4 4 2 3" xfId="3616" xr:uid="{00000000-0005-0000-0000-00000D370000}"/>
    <cellStyle name="Comma 5 4 4 2 4" xfId="3100" xr:uid="{00000000-0005-0000-0000-00000E370000}"/>
    <cellStyle name="Comma 5 4 4 3" xfId="2842" xr:uid="{00000000-0005-0000-0000-00000F370000}"/>
    <cellStyle name="Comma 5 4 4 3 2" xfId="3872" xr:uid="{00000000-0005-0000-0000-000010370000}"/>
    <cellStyle name="Comma 5 4 4 3 3" xfId="3356" xr:uid="{00000000-0005-0000-0000-000011370000}"/>
    <cellStyle name="Comma 5 4 4 4" xfId="3615" xr:uid="{00000000-0005-0000-0000-000012370000}"/>
    <cellStyle name="Comma 5 4 4 5" xfId="3099" xr:uid="{00000000-0005-0000-0000-000013370000}"/>
    <cellStyle name="Comma 5 4 4 6" xfId="15752" xr:uid="{00000000-0005-0000-0000-000014370000}"/>
    <cellStyle name="Comma 5 4 4 7" xfId="44036" xr:uid="{00000000-0005-0000-0000-000015370000}"/>
    <cellStyle name="Comma 5 4 5" xfId="2562" xr:uid="{00000000-0005-0000-0000-000016370000}"/>
    <cellStyle name="Comma 5 4 5 2" xfId="2844" xr:uid="{00000000-0005-0000-0000-000017370000}"/>
    <cellStyle name="Comma 5 4 5 2 2" xfId="3874" xr:uid="{00000000-0005-0000-0000-000018370000}"/>
    <cellStyle name="Comma 5 4 5 2 3" xfId="3358" xr:uid="{00000000-0005-0000-0000-000019370000}"/>
    <cellStyle name="Comma 5 4 5 3" xfId="3617" xr:uid="{00000000-0005-0000-0000-00001A370000}"/>
    <cellStyle name="Comma 5 4 5 4" xfId="3101" xr:uid="{00000000-0005-0000-0000-00001B370000}"/>
    <cellStyle name="Comma 5 4 6" xfId="2833" xr:uid="{00000000-0005-0000-0000-00001C370000}"/>
    <cellStyle name="Comma 5 4 6 2" xfId="3863" xr:uid="{00000000-0005-0000-0000-00001D370000}"/>
    <cellStyle name="Comma 5 4 6 3" xfId="3347" xr:uid="{00000000-0005-0000-0000-00001E370000}"/>
    <cellStyle name="Comma 5 4 7" xfId="3606" xr:uid="{00000000-0005-0000-0000-00001F370000}"/>
    <cellStyle name="Comma 5 4 8" xfId="3090" xr:uid="{00000000-0005-0000-0000-000020370000}"/>
    <cellStyle name="Comma 5 5" xfId="256" xr:uid="{00000000-0005-0000-0000-000021370000}"/>
    <cellStyle name="Comma 5 5 2" xfId="903" xr:uid="{00000000-0005-0000-0000-000022370000}"/>
    <cellStyle name="Comma 5 5 2 2" xfId="2563" xr:uid="{00000000-0005-0000-0000-000023370000}"/>
    <cellStyle name="Comma 5 5 2 2 2" xfId="2847" xr:uid="{00000000-0005-0000-0000-000024370000}"/>
    <cellStyle name="Comma 5 5 2 2 2 2" xfId="3877" xr:uid="{00000000-0005-0000-0000-000025370000}"/>
    <cellStyle name="Comma 5 5 2 2 2 3" xfId="3361" xr:uid="{00000000-0005-0000-0000-000026370000}"/>
    <cellStyle name="Comma 5 5 2 2 3" xfId="3620" xr:uid="{00000000-0005-0000-0000-000027370000}"/>
    <cellStyle name="Comma 5 5 2 2 3 2" xfId="15753" xr:uid="{00000000-0005-0000-0000-000028370000}"/>
    <cellStyle name="Comma 5 5 2 2 3 3" xfId="15754" xr:uid="{00000000-0005-0000-0000-000029370000}"/>
    <cellStyle name="Comma 5 5 2 2 4" xfId="3104" xr:uid="{00000000-0005-0000-0000-00002A370000}"/>
    <cellStyle name="Comma 5 5 2 2 5" xfId="15755" xr:uid="{00000000-0005-0000-0000-00002B370000}"/>
    <cellStyle name="Comma 5 5 2 3" xfId="2846" xr:uid="{00000000-0005-0000-0000-00002C370000}"/>
    <cellStyle name="Comma 5 5 2 3 2" xfId="3876" xr:uid="{00000000-0005-0000-0000-00002D370000}"/>
    <cellStyle name="Comma 5 5 2 3 3" xfId="3360" xr:uid="{00000000-0005-0000-0000-00002E370000}"/>
    <cellStyle name="Comma 5 5 2 4" xfId="3619" xr:uid="{00000000-0005-0000-0000-00002F370000}"/>
    <cellStyle name="Comma 5 5 2 4 2" xfId="15756" xr:uid="{00000000-0005-0000-0000-000030370000}"/>
    <cellStyle name="Comma 5 5 2 4 3" xfId="15757" xr:uid="{00000000-0005-0000-0000-000031370000}"/>
    <cellStyle name="Comma 5 5 2 5" xfId="3103" xr:uid="{00000000-0005-0000-0000-000032370000}"/>
    <cellStyle name="Comma 5 5 2 6" xfId="15758" xr:uid="{00000000-0005-0000-0000-000033370000}"/>
    <cellStyle name="Comma 5 5 2 7" xfId="44916" xr:uid="{00000000-0005-0000-0000-000034370000}"/>
    <cellStyle name="Comma 5 5 3" xfId="2564" xr:uid="{00000000-0005-0000-0000-000035370000}"/>
    <cellStyle name="Comma 5 5 3 2" xfId="2565" xr:uid="{00000000-0005-0000-0000-000036370000}"/>
    <cellStyle name="Comma 5 5 3 2 2" xfId="2849" xr:uid="{00000000-0005-0000-0000-000037370000}"/>
    <cellStyle name="Comma 5 5 3 2 2 2" xfId="3879" xr:uid="{00000000-0005-0000-0000-000038370000}"/>
    <cellStyle name="Comma 5 5 3 2 2 3" xfId="3363" xr:uid="{00000000-0005-0000-0000-000039370000}"/>
    <cellStyle name="Comma 5 5 3 2 3" xfId="3622" xr:uid="{00000000-0005-0000-0000-00003A370000}"/>
    <cellStyle name="Comma 5 5 3 2 4" xfId="3106" xr:uid="{00000000-0005-0000-0000-00003B370000}"/>
    <cellStyle name="Comma 5 5 3 3" xfId="2848" xr:uid="{00000000-0005-0000-0000-00003C370000}"/>
    <cellStyle name="Comma 5 5 3 3 2" xfId="3878" xr:uid="{00000000-0005-0000-0000-00003D370000}"/>
    <cellStyle name="Comma 5 5 3 3 3" xfId="3362" xr:uid="{00000000-0005-0000-0000-00003E370000}"/>
    <cellStyle name="Comma 5 5 3 4" xfId="3621" xr:uid="{00000000-0005-0000-0000-00003F370000}"/>
    <cellStyle name="Comma 5 5 3 5" xfId="3105" xr:uid="{00000000-0005-0000-0000-000040370000}"/>
    <cellStyle name="Comma 5 5 4" xfId="2566" xr:uid="{00000000-0005-0000-0000-000041370000}"/>
    <cellStyle name="Comma 5 5 4 2" xfId="2850" xr:uid="{00000000-0005-0000-0000-000042370000}"/>
    <cellStyle name="Comma 5 5 4 2 2" xfId="3880" xr:uid="{00000000-0005-0000-0000-000043370000}"/>
    <cellStyle name="Comma 5 5 4 2 3" xfId="3364" xr:uid="{00000000-0005-0000-0000-000044370000}"/>
    <cellStyle name="Comma 5 5 4 3" xfId="3623" xr:uid="{00000000-0005-0000-0000-000045370000}"/>
    <cellStyle name="Comma 5 5 4 4" xfId="3107" xr:uid="{00000000-0005-0000-0000-000046370000}"/>
    <cellStyle name="Comma 5 5 5" xfId="2845" xr:uid="{00000000-0005-0000-0000-000047370000}"/>
    <cellStyle name="Comma 5 5 5 2" xfId="3875" xr:uid="{00000000-0005-0000-0000-000048370000}"/>
    <cellStyle name="Comma 5 5 5 3" xfId="3359" xr:uid="{00000000-0005-0000-0000-000049370000}"/>
    <cellStyle name="Comma 5 5 6" xfId="3618" xr:uid="{00000000-0005-0000-0000-00004A370000}"/>
    <cellStyle name="Comma 5 5 7" xfId="3102" xr:uid="{00000000-0005-0000-0000-00004B370000}"/>
    <cellStyle name="Comma 5 6" xfId="904" xr:uid="{00000000-0005-0000-0000-00004C370000}"/>
    <cellStyle name="Comma 5 6 2" xfId="2567" xr:uid="{00000000-0005-0000-0000-00004D370000}"/>
    <cellStyle name="Comma 5 6 2 2" xfId="2852" xr:uid="{00000000-0005-0000-0000-00004E370000}"/>
    <cellStyle name="Comma 5 6 2 2 2" xfId="3882" xr:uid="{00000000-0005-0000-0000-00004F370000}"/>
    <cellStyle name="Comma 5 6 2 2 3" xfId="3366" xr:uid="{00000000-0005-0000-0000-000050370000}"/>
    <cellStyle name="Comma 5 6 2 3" xfId="3625" xr:uid="{00000000-0005-0000-0000-000051370000}"/>
    <cellStyle name="Comma 5 6 2 3 2" xfId="15759" xr:uid="{00000000-0005-0000-0000-000052370000}"/>
    <cellStyle name="Comma 5 6 2 3 3" xfId="15760" xr:uid="{00000000-0005-0000-0000-000053370000}"/>
    <cellStyle name="Comma 5 6 2 4" xfId="3109" xr:uid="{00000000-0005-0000-0000-000054370000}"/>
    <cellStyle name="Comma 5 6 2 5" xfId="15761" xr:uid="{00000000-0005-0000-0000-000055370000}"/>
    <cellStyle name="Comma 5 6 3" xfId="2851" xr:uid="{00000000-0005-0000-0000-000056370000}"/>
    <cellStyle name="Comma 5 6 3 2" xfId="3881" xr:uid="{00000000-0005-0000-0000-000057370000}"/>
    <cellStyle name="Comma 5 6 3 3" xfId="3365" xr:uid="{00000000-0005-0000-0000-000058370000}"/>
    <cellStyle name="Comma 5 6 4" xfId="3624" xr:uid="{00000000-0005-0000-0000-000059370000}"/>
    <cellStyle name="Comma 5 6 4 2" xfId="15762" xr:uid="{00000000-0005-0000-0000-00005A370000}"/>
    <cellStyle name="Comma 5 6 4 3" xfId="15763" xr:uid="{00000000-0005-0000-0000-00005B370000}"/>
    <cellStyle name="Comma 5 6 5" xfId="3108" xr:uid="{00000000-0005-0000-0000-00005C370000}"/>
    <cellStyle name="Comma 5 6 6" xfId="15764" xr:uid="{00000000-0005-0000-0000-00005D370000}"/>
    <cellStyle name="Comma 5 6 7" xfId="44917" xr:uid="{00000000-0005-0000-0000-00005E370000}"/>
    <cellStyle name="Comma 5 7" xfId="2568" xr:uid="{00000000-0005-0000-0000-00005F370000}"/>
    <cellStyle name="Comma 5 7 2" xfId="2569" xr:uid="{00000000-0005-0000-0000-000060370000}"/>
    <cellStyle name="Comma 5 7 2 2" xfId="2854" xr:uid="{00000000-0005-0000-0000-000061370000}"/>
    <cellStyle name="Comma 5 7 2 2 2" xfId="3884" xr:uid="{00000000-0005-0000-0000-000062370000}"/>
    <cellStyle name="Comma 5 7 2 2 3" xfId="3368" xr:uid="{00000000-0005-0000-0000-000063370000}"/>
    <cellStyle name="Comma 5 7 2 3" xfId="3627" xr:uid="{00000000-0005-0000-0000-000064370000}"/>
    <cellStyle name="Comma 5 7 2 4" xfId="3111" xr:uid="{00000000-0005-0000-0000-000065370000}"/>
    <cellStyle name="Comma 5 7 3" xfId="2853" xr:uid="{00000000-0005-0000-0000-000066370000}"/>
    <cellStyle name="Comma 5 7 3 2" xfId="3883" xr:uid="{00000000-0005-0000-0000-000067370000}"/>
    <cellStyle name="Comma 5 7 3 3" xfId="3367" xr:uid="{00000000-0005-0000-0000-000068370000}"/>
    <cellStyle name="Comma 5 7 4" xfId="3626" xr:uid="{00000000-0005-0000-0000-000069370000}"/>
    <cellStyle name="Comma 5 7 5" xfId="3110" xr:uid="{00000000-0005-0000-0000-00006A370000}"/>
    <cellStyle name="Comma 5 8" xfId="2570" xr:uid="{00000000-0005-0000-0000-00006B370000}"/>
    <cellStyle name="Comma 5 8 2" xfId="2855" xr:uid="{00000000-0005-0000-0000-00006C370000}"/>
    <cellStyle name="Comma 5 8 2 2" xfId="3885" xr:uid="{00000000-0005-0000-0000-00006D370000}"/>
    <cellStyle name="Comma 5 8 2 3" xfId="3369" xr:uid="{00000000-0005-0000-0000-00006E370000}"/>
    <cellStyle name="Comma 5 8 3" xfId="3628" xr:uid="{00000000-0005-0000-0000-00006F370000}"/>
    <cellStyle name="Comma 5 8 4" xfId="3112" xr:uid="{00000000-0005-0000-0000-000070370000}"/>
    <cellStyle name="Comma 5 9" xfId="2610" xr:uid="{00000000-0005-0000-0000-000071370000}"/>
    <cellStyle name="Comma 5 9 2" xfId="3638" xr:uid="{00000000-0005-0000-0000-000072370000}"/>
    <cellStyle name="Comma 5 9 3" xfId="3122" xr:uid="{00000000-0005-0000-0000-000073370000}"/>
    <cellStyle name="Comma 6" xfId="26" xr:uid="{00000000-0005-0000-0000-000074370000}"/>
    <cellStyle name="Comma 6 10" xfId="15765" xr:uid="{00000000-0005-0000-0000-000075370000}"/>
    <cellStyle name="Comma 6 11" xfId="15766" xr:uid="{00000000-0005-0000-0000-000076370000}"/>
    <cellStyle name="Comma 6 12" xfId="46286" xr:uid="{00000000-0005-0000-0000-000077370000}"/>
    <cellStyle name="Comma 6 2" xfId="257" xr:uid="{00000000-0005-0000-0000-000078370000}"/>
    <cellStyle name="Comma 6 2 2" xfId="258" xr:uid="{00000000-0005-0000-0000-000079370000}"/>
    <cellStyle name="Comma 6 2 2 2" xfId="905" xr:uid="{00000000-0005-0000-0000-00007A370000}"/>
    <cellStyle name="Comma 6 2 2 2 2" xfId="906" xr:uid="{00000000-0005-0000-0000-00007B370000}"/>
    <cellStyle name="Comma 6 2 2 2 2 2" xfId="15767" xr:uid="{00000000-0005-0000-0000-00007C370000}"/>
    <cellStyle name="Comma 6 2 2 2 2 2 2" xfId="15768" xr:uid="{00000000-0005-0000-0000-00007D370000}"/>
    <cellStyle name="Comma 6 2 2 2 2 2 2 2" xfId="15769" xr:uid="{00000000-0005-0000-0000-00007E370000}"/>
    <cellStyle name="Comma 6 2 2 2 2 2 2 3" xfId="15770" xr:uid="{00000000-0005-0000-0000-00007F370000}"/>
    <cellStyle name="Comma 6 2 2 2 2 2 3" xfId="15771" xr:uid="{00000000-0005-0000-0000-000080370000}"/>
    <cellStyle name="Comma 6 2 2 2 2 2 3 2" xfId="15772" xr:uid="{00000000-0005-0000-0000-000081370000}"/>
    <cellStyle name="Comma 6 2 2 2 2 2 3 3" xfId="15773" xr:uid="{00000000-0005-0000-0000-000082370000}"/>
    <cellStyle name="Comma 6 2 2 2 2 2 4" xfId="15774" xr:uid="{00000000-0005-0000-0000-000083370000}"/>
    <cellStyle name="Comma 6 2 2 2 2 2 5" xfId="15775" xr:uid="{00000000-0005-0000-0000-000084370000}"/>
    <cellStyle name="Comma 6 2 2 2 2 3" xfId="15776" xr:uid="{00000000-0005-0000-0000-000085370000}"/>
    <cellStyle name="Comma 6 2 2 2 2 3 2" xfId="15777" xr:uid="{00000000-0005-0000-0000-000086370000}"/>
    <cellStyle name="Comma 6 2 2 2 2 3 3" xfId="15778" xr:uid="{00000000-0005-0000-0000-000087370000}"/>
    <cellStyle name="Comma 6 2 2 2 2 4" xfId="15779" xr:uid="{00000000-0005-0000-0000-000088370000}"/>
    <cellStyle name="Comma 6 2 2 2 2 4 2" xfId="15780" xr:uid="{00000000-0005-0000-0000-000089370000}"/>
    <cellStyle name="Comma 6 2 2 2 2 4 3" xfId="15781" xr:uid="{00000000-0005-0000-0000-00008A370000}"/>
    <cellStyle name="Comma 6 2 2 2 2 5" xfId="15782" xr:uid="{00000000-0005-0000-0000-00008B370000}"/>
    <cellStyle name="Comma 6 2 2 2 2 6" xfId="15783" xr:uid="{00000000-0005-0000-0000-00008C370000}"/>
    <cellStyle name="Comma 6 2 2 2 3" xfId="15784" xr:uid="{00000000-0005-0000-0000-00008D370000}"/>
    <cellStyle name="Comma 6 2 2 2 3 2" xfId="15785" xr:uid="{00000000-0005-0000-0000-00008E370000}"/>
    <cellStyle name="Comma 6 2 2 2 3 2 2" xfId="15786" xr:uid="{00000000-0005-0000-0000-00008F370000}"/>
    <cellStyle name="Comma 6 2 2 2 3 2 3" xfId="15787" xr:uid="{00000000-0005-0000-0000-000090370000}"/>
    <cellStyle name="Comma 6 2 2 2 3 3" xfId="15788" xr:uid="{00000000-0005-0000-0000-000091370000}"/>
    <cellStyle name="Comma 6 2 2 2 3 3 2" xfId="15789" xr:uid="{00000000-0005-0000-0000-000092370000}"/>
    <cellStyle name="Comma 6 2 2 2 3 3 3" xfId="15790" xr:uid="{00000000-0005-0000-0000-000093370000}"/>
    <cellStyle name="Comma 6 2 2 2 3 4" xfId="15791" xr:uid="{00000000-0005-0000-0000-000094370000}"/>
    <cellStyle name="Comma 6 2 2 2 3 5" xfId="15792" xr:uid="{00000000-0005-0000-0000-000095370000}"/>
    <cellStyle name="Comma 6 2 2 2 4" xfId="15793" xr:uid="{00000000-0005-0000-0000-000096370000}"/>
    <cellStyle name="Comma 6 2 2 2 4 2" xfId="15794" xr:uid="{00000000-0005-0000-0000-000097370000}"/>
    <cellStyle name="Comma 6 2 2 2 4 3" xfId="15795" xr:uid="{00000000-0005-0000-0000-000098370000}"/>
    <cellStyle name="Comma 6 2 2 2 5" xfId="15796" xr:uid="{00000000-0005-0000-0000-000099370000}"/>
    <cellStyle name="Comma 6 2 2 2 5 2" xfId="15797" xr:uid="{00000000-0005-0000-0000-00009A370000}"/>
    <cellStyle name="Comma 6 2 2 2 5 3" xfId="15798" xr:uid="{00000000-0005-0000-0000-00009B370000}"/>
    <cellStyle name="Comma 6 2 2 2 6" xfId="15799" xr:uid="{00000000-0005-0000-0000-00009C370000}"/>
    <cellStyle name="Comma 6 2 2 2 7" xfId="15800" xr:uid="{00000000-0005-0000-0000-00009D370000}"/>
    <cellStyle name="Comma 6 2 2 2 8" xfId="15801" xr:uid="{00000000-0005-0000-0000-00009E370000}"/>
    <cellStyle name="Comma 6 2 2 2 9" xfId="46168" xr:uid="{00000000-0005-0000-0000-00009F370000}"/>
    <cellStyle name="Comma 6 2 2 3" xfId="907" xr:uid="{00000000-0005-0000-0000-0000A0370000}"/>
    <cellStyle name="Comma 6 2 2 3 2" xfId="15802" xr:uid="{00000000-0005-0000-0000-0000A1370000}"/>
    <cellStyle name="Comma 6 2 2 3 2 2" xfId="15803" xr:uid="{00000000-0005-0000-0000-0000A2370000}"/>
    <cellStyle name="Comma 6 2 2 3 2 2 2" xfId="15804" xr:uid="{00000000-0005-0000-0000-0000A3370000}"/>
    <cellStyle name="Comma 6 2 2 3 2 2 3" xfId="15805" xr:uid="{00000000-0005-0000-0000-0000A4370000}"/>
    <cellStyle name="Comma 6 2 2 3 2 3" xfId="15806" xr:uid="{00000000-0005-0000-0000-0000A5370000}"/>
    <cellStyle name="Comma 6 2 2 3 2 3 2" xfId="15807" xr:uid="{00000000-0005-0000-0000-0000A6370000}"/>
    <cellStyle name="Comma 6 2 2 3 2 3 3" xfId="15808" xr:uid="{00000000-0005-0000-0000-0000A7370000}"/>
    <cellStyle name="Comma 6 2 2 3 2 4" xfId="15809" xr:uid="{00000000-0005-0000-0000-0000A8370000}"/>
    <cellStyle name="Comma 6 2 2 3 2 5" xfId="15810" xr:uid="{00000000-0005-0000-0000-0000A9370000}"/>
    <cellStyle name="Comma 6 2 2 3 3" xfId="15811" xr:uid="{00000000-0005-0000-0000-0000AA370000}"/>
    <cellStyle name="Comma 6 2 2 3 3 2" xfId="15812" xr:uid="{00000000-0005-0000-0000-0000AB370000}"/>
    <cellStyle name="Comma 6 2 2 3 3 3" xfId="15813" xr:uid="{00000000-0005-0000-0000-0000AC370000}"/>
    <cellStyle name="Comma 6 2 2 3 4" xfId="15814" xr:uid="{00000000-0005-0000-0000-0000AD370000}"/>
    <cellStyle name="Comma 6 2 2 3 4 2" xfId="15815" xr:uid="{00000000-0005-0000-0000-0000AE370000}"/>
    <cellStyle name="Comma 6 2 2 3 4 3" xfId="15816" xr:uid="{00000000-0005-0000-0000-0000AF370000}"/>
    <cellStyle name="Comma 6 2 2 3 5" xfId="15817" xr:uid="{00000000-0005-0000-0000-0000B0370000}"/>
    <cellStyle name="Comma 6 2 2 3 6" xfId="15818" xr:uid="{00000000-0005-0000-0000-0000B1370000}"/>
    <cellStyle name="Comma 6 2 2 3 7" xfId="44918" xr:uid="{00000000-0005-0000-0000-0000B2370000}"/>
    <cellStyle name="Comma 6 2 2 4" xfId="15819" xr:uid="{00000000-0005-0000-0000-0000B3370000}"/>
    <cellStyle name="Comma 6 2 2 4 2" xfId="15820" xr:uid="{00000000-0005-0000-0000-0000B4370000}"/>
    <cellStyle name="Comma 6 2 2 4 2 2" xfId="15821" xr:uid="{00000000-0005-0000-0000-0000B5370000}"/>
    <cellStyle name="Comma 6 2 2 4 2 3" xfId="15822" xr:uid="{00000000-0005-0000-0000-0000B6370000}"/>
    <cellStyle name="Comma 6 2 2 4 3" xfId="15823" xr:uid="{00000000-0005-0000-0000-0000B7370000}"/>
    <cellStyle name="Comma 6 2 2 4 3 2" xfId="15824" xr:uid="{00000000-0005-0000-0000-0000B8370000}"/>
    <cellStyle name="Comma 6 2 2 4 3 3" xfId="15825" xr:uid="{00000000-0005-0000-0000-0000B9370000}"/>
    <cellStyle name="Comma 6 2 2 4 4" xfId="15826" xr:uid="{00000000-0005-0000-0000-0000BA370000}"/>
    <cellStyle name="Comma 6 2 2 4 5" xfId="15827" xr:uid="{00000000-0005-0000-0000-0000BB370000}"/>
    <cellStyle name="Comma 6 2 2 5" xfId="15828" xr:uid="{00000000-0005-0000-0000-0000BC370000}"/>
    <cellStyle name="Comma 6 2 2 5 2" xfId="15829" xr:uid="{00000000-0005-0000-0000-0000BD370000}"/>
    <cellStyle name="Comma 6 2 2 5 3" xfId="15830" xr:uid="{00000000-0005-0000-0000-0000BE370000}"/>
    <cellStyle name="Comma 6 2 2 6" xfId="15831" xr:uid="{00000000-0005-0000-0000-0000BF370000}"/>
    <cellStyle name="Comma 6 2 2 6 2" xfId="15832" xr:uid="{00000000-0005-0000-0000-0000C0370000}"/>
    <cellStyle name="Comma 6 2 2 6 3" xfId="15833" xr:uid="{00000000-0005-0000-0000-0000C1370000}"/>
    <cellStyle name="Comma 6 2 2 7" xfId="15834" xr:uid="{00000000-0005-0000-0000-0000C2370000}"/>
    <cellStyle name="Comma 6 2 2 8" xfId="15835" xr:uid="{00000000-0005-0000-0000-0000C3370000}"/>
    <cellStyle name="Comma 6 2 2 9" xfId="44919" xr:uid="{00000000-0005-0000-0000-0000C4370000}"/>
    <cellStyle name="Comma 6 2 3" xfId="908" xr:uid="{00000000-0005-0000-0000-0000C5370000}"/>
    <cellStyle name="Comma 6 2 3 2" xfId="909" xr:uid="{00000000-0005-0000-0000-0000C6370000}"/>
    <cellStyle name="Comma 6 2 3 2 2" xfId="15836" xr:uid="{00000000-0005-0000-0000-0000C7370000}"/>
    <cellStyle name="Comma 6 2 3 2 2 2" xfId="15837" xr:uid="{00000000-0005-0000-0000-0000C8370000}"/>
    <cellStyle name="Comma 6 2 3 2 2 2 2" xfId="15838" xr:uid="{00000000-0005-0000-0000-0000C9370000}"/>
    <cellStyle name="Comma 6 2 3 2 2 2 3" xfId="15839" xr:uid="{00000000-0005-0000-0000-0000CA370000}"/>
    <cellStyle name="Comma 6 2 3 2 2 3" xfId="15840" xr:uid="{00000000-0005-0000-0000-0000CB370000}"/>
    <cellStyle name="Comma 6 2 3 2 2 3 2" xfId="15841" xr:uid="{00000000-0005-0000-0000-0000CC370000}"/>
    <cellStyle name="Comma 6 2 3 2 2 3 3" xfId="15842" xr:uid="{00000000-0005-0000-0000-0000CD370000}"/>
    <cellStyle name="Comma 6 2 3 2 2 4" xfId="15843" xr:uid="{00000000-0005-0000-0000-0000CE370000}"/>
    <cellStyle name="Comma 6 2 3 2 2 5" xfId="15844" xr:uid="{00000000-0005-0000-0000-0000CF370000}"/>
    <cellStyle name="Comma 6 2 3 2 3" xfId="15845" xr:uid="{00000000-0005-0000-0000-0000D0370000}"/>
    <cellStyle name="Comma 6 2 3 2 3 2" xfId="15846" xr:uid="{00000000-0005-0000-0000-0000D1370000}"/>
    <cellStyle name="Comma 6 2 3 2 3 3" xfId="15847" xr:uid="{00000000-0005-0000-0000-0000D2370000}"/>
    <cellStyle name="Comma 6 2 3 2 4" xfId="15848" xr:uid="{00000000-0005-0000-0000-0000D3370000}"/>
    <cellStyle name="Comma 6 2 3 2 4 2" xfId="15849" xr:uid="{00000000-0005-0000-0000-0000D4370000}"/>
    <cellStyle name="Comma 6 2 3 2 4 3" xfId="15850" xr:uid="{00000000-0005-0000-0000-0000D5370000}"/>
    <cellStyle name="Comma 6 2 3 2 5" xfId="15851" xr:uid="{00000000-0005-0000-0000-0000D6370000}"/>
    <cellStyle name="Comma 6 2 3 2 6" xfId="15852" xr:uid="{00000000-0005-0000-0000-0000D7370000}"/>
    <cellStyle name="Comma 6 2 3 3" xfId="15853" xr:uid="{00000000-0005-0000-0000-0000D8370000}"/>
    <cellStyle name="Comma 6 2 3 3 2" xfId="15854" xr:uid="{00000000-0005-0000-0000-0000D9370000}"/>
    <cellStyle name="Comma 6 2 3 3 2 2" xfId="15855" xr:uid="{00000000-0005-0000-0000-0000DA370000}"/>
    <cellStyle name="Comma 6 2 3 3 2 3" xfId="15856" xr:uid="{00000000-0005-0000-0000-0000DB370000}"/>
    <cellStyle name="Comma 6 2 3 3 3" xfId="15857" xr:uid="{00000000-0005-0000-0000-0000DC370000}"/>
    <cellStyle name="Comma 6 2 3 3 3 2" xfId="15858" xr:uid="{00000000-0005-0000-0000-0000DD370000}"/>
    <cellStyle name="Comma 6 2 3 3 3 3" xfId="15859" xr:uid="{00000000-0005-0000-0000-0000DE370000}"/>
    <cellStyle name="Comma 6 2 3 3 4" xfId="15860" xr:uid="{00000000-0005-0000-0000-0000DF370000}"/>
    <cellStyle name="Comma 6 2 3 3 5" xfId="15861" xr:uid="{00000000-0005-0000-0000-0000E0370000}"/>
    <cellStyle name="Comma 6 2 3 3 6" xfId="15862" xr:uid="{00000000-0005-0000-0000-0000E1370000}"/>
    <cellStyle name="Comma 6 2 3 3 7" xfId="44037" xr:uid="{00000000-0005-0000-0000-0000E2370000}"/>
    <cellStyle name="Comma 6 2 3 3 8" xfId="44920" xr:uid="{00000000-0005-0000-0000-0000E3370000}"/>
    <cellStyle name="Comma 6 2 3 4" xfId="15863" xr:uid="{00000000-0005-0000-0000-0000E4370000}"/>
    <cellStyle name="Comma 6 2 3 4 2" xfId="15864" xr:uid="{00000000-0005-0000-0000-0000E5370000}"/>
    <cellStyle name="Comma 6 2 3 4 3" xfId="15865" xr:uid="{00000000-0005-0000-0000-0000E6370000}"/>
    <cellStyle name="Comma 6 2 3 5" xfId="15866" xr:uid="{00000000-0005-0000-0000-0000E7370000}"/>
    <cellStyle name="Comma 6 2 3 5 2" xfId="15867" xr:uid="{00000000-0005-0000-0000-0000E8370000}"/>
    <cellStyle name="Comma 6 2 3 5 3" xfId="15868" xr:uid="{00000000-0005-0000-0000-0000E9370000}"/>
    <cellStyle name="Comma 6 2 3 6" xfId="15869" xr:uid="{00000000-0005-0000-0000-0000EA370000}"/>
    <cellStyle name="Comma 6 2 3 7" xfId="15870" xr:uid="{00000000-0005-0000-0000-0000EB370000}"/>
    <cellStyle name="Comma 6 2 3 8" xfId="15871" xr:uid="{00000000-0005-0000-0000-0000EC370000}"/>
    <cellStyle name="Comma 6 2 3 9" xfId="46169" xr:uid="{00000000-0005-0000-0000-0000ED370000}"/>
    <cellStyle name="Comma 6 2 4" xfId="910" xr:uid="{00000000-0005-0000-0000-0000EE370000}"/>
    <cellStyle name="Comma 6 2 4 2" xfId="15872" xr:uid="{00000000-0005-0000-0000-0000EF370000}"/>
    <cellStyle name="Comma 6 2 4 2 2" xfId="15873" xr:uid="{00000000-0005-0000-0000-0000F0370000}"/>
    <cellStyle name="Comma 6 2 4 2 2 2" xfId="15874" xr:uid="{00000000-0005-0000-0000-0000F1370000}"/>
    <cellStyle name="Comma 6 2 4 2 2 3" xfId="15875" xr:uid="{00000000-0005-0000-0000-0000F2370000}"/>
    <cellStyle name="Comma 6 2 4 2 3" xfId="15876" xr:uid="{00000000-0005-0000-0000-0000F3370000}"/>
    <cellStyle name="Comma 6 2 4 2 3 2" xfId="15877" xr:uid="{00000000-0005-0000-0000-0000F4370000}"/>
    <cellStyle name="Comma 6 2 4 2 3 3" xfId="15878" xr:uid="{00000000-0005-0000-0000-0000F5370000}"/>
    <cellStyle name="Comma 6 2 4 2 4" xfId="15879" xr:uid="{00000000-0005-0000-0000-0000F6370000}"/>
    <cellStyle name="Comma 6 2 4 2 5" xfId="15880" xr:uid="{00000000-0005-0000-0000-0000F7370000}"/>
    <cellStyle name="Comma 6 2 4 3" xfId="15881" xr:uid="{00000000-0005-0000-0000-0000F8370000}"/>
    <cellStyle name="Comma 6 2 4 3 2" xfId="15882" xr:uid="{00000000-0005-0000-0000-0000F9370000}"/>
    <cellStyle name="Comma 6 2 4 3 3" xfId="15883" xr:uid="{00000000-0005-0000-0000-0000FA370000}"/>
    <cellStyle name="Comma 6 2 4 4" xfId="15884" xr:uid="{00000000-0005-0000-0000-0000FB370000}"/>
    <cellStyle name="Comma 6 2 4 4 2" xfId="15885" xr:uid="{00000000-0005-0000-0000-0000FC370000}"/>
    <cellStyle name="Comma 6 2 4 4 3" xfId="15886" xr:uid="{00000000-0005-0000-0000-0000FD370000}"/>
    <cellStyle name="Comma 6 2 4 5" xfId="15887" xr:uid="{00000000-0005-0000-0000-0000FE370000}"/>
    <cellStyle name="Comma 6 2 4 6" xfId="15888" xr:uid="{00000000-0005-0000-0000-0000FF370000}"/>
    <cellStyle name="Comma 6 2 4 7" xfId="44921" xr:uid="{00000000-0005-0000-0000-000000380000}"/>
    <cellStyle name="Comma 6 2 5" xfId="15889" xr:uid="{00000000-0005-0000-0000-000001380000}"/>
    <cellStyle name="Comma 6 2 5 2" xfId="15890" xr:uid="{00000000-0005-0000-0000-000002380000}"/>
    <cellStyle name="Comma 6 2 5 2 2" xfId="15891" xr:uid="{00000000-0005-0000-0000-000003380000}"/>
    <cellStyle name="Comma 6 2 5 2 3" xfId="15892" xr:uid="{00000000-0005-0000-0000-000004380000}"/>
    <cellStyle name="Comma 6 2 5 3" xfId="15893" xr:uid="{00000000-0005-0000-0000-000005380000}"/>
    <cellStyle name="Comma 6 2 5 3 2" xfId="15894" xr:uid="{00000000-0005-0000-0000-000006380000}"/>
    <cellStyle name="Comma 6 2 5 3 3" xfId="15895" xr:uid="{00000000-0005-0000-0000-000007380000}"/>
    <cellStyle name="Comma 6 2 5 4" xfId="15896" xr:uid="{00000000-0005-0000-0000-000008380000}"/>
    <cellStyle name="Comma 6 2 5 5" xfId="15897" xr:uid="{00000000-0005-0000-0000-000009380000}"/>
    <cellStyle name="Comma 6 2 6" xfId="15898" xr:uid="{00000000-0005-0000-0000-00000A380000}"/>
    <cellStyle name="Comma 6 2 6 2" xfId="15899" xr:uid="{00000000-0005-0000-0000-00000B380000}"/>
    <cellStyle name="Comma 6 2 6 3" xfId="15900" xr:uid="{00000000-0005-0000-0000-00000C380000}"/>
    <cellStyle name="Comma 6 2 7" xfId="15901" xr:uid="{00000000-0005-0000-0000-00000D380000}"/>
    <cellStyle name="Comma 6 2 7 2" xfId="15902" xr:uid="{00000000-0005-0000-0000-00000E380000}"/>
    <cellStyle name="Comma 6 2 7 3" xfId="15903" xr:uid="{00000000-0005-0000-0000-00000F380000}"/>
    <cellStyle name="Comma 6 2 8" xfId="15904" xr:uid="{00000000-0005-0000-0000-000010380000}"/>
    <cellStyle name="Comma 6 2 9" xfId="15905" xr:uid="{00000000-0005-0000-0000-000011380000}"/>
    <cellStyle name="Comma 6 3" xfId="259" xr:uid="{00000000-0005-0000-0000-000012380000}"/>
    <cellStyle name="Comma 6 3 2" xfId="911" xr:uid="{00000000-0005-0000-0000-000013380000}"/>
    <cellStyle name="Comma 6 3 2 10" xfId="46170" xr:uid="{00000000-0005-0000-0000-000014380000}"/>
    <cellStyle name="Comma 6 3 2 2" xfId="912" xr:uid="{00000000-0005-0000-0000-000015380000}"/>
    <cellStyle name="Comma 6 3 2 2 2" xfId="15906" xr:uid="{00000000-0005-0000-0000-000016380000}"/>
    <cellStyle name="Comma 6 3 2 2 2 2" xfId="15907" xr:uid="{00000000-0005-0000-0000-000017380000}"/>
    <cellStyle name="Comma 6 3 2 2 2 2 2" xfId="15908" xr:uid="{00000000-0005-0000-0000-000018380000}"/>
    <cellStyle name="Comma 6 3 2 2 2 2 3" xfId="15909" xr:uid="{00000000-0005-0000-0000-000019380000}"/>
    <cellStyle name="Comma 6 3 2 2 2 3" xfId="15910" xr:uid="{00000000-0005-0000-0000-00001A380000}"/>
    <cellStyle name="Comma 6 3 2 2 2 3 2" xfId="15911" xr:uid="{00000000-0005-0000-0000-00001B380000}"/>
    <cellStyle name="Comma 6 3 2 2 2 3 3" xfId="15912" xr:uid="{00000000-0005-0000-0000-00001C380000}"/>
    <cellStyle name="Comma 6 3 2 2 2 4" xfId="15913" xr:uid="{00000000-0005-0000-0000-00001D380000}"/>
    <cellStyle name="Comma 6 3 2 2 2 5" xfId="15914" xr:uid="{00000000-0005-0000-0000-00001E380000}"/>
    <cellStyle name="Comma 6 3 2 2 3" xfId="15915" xr:uid="{00000000-0005-0000-0000-00001F380000}"/>
    <cellStyle name="Comma 6 3 2 2 3 2" xfId="15916" xr:uid="{00000000-0005-0000-0000-000020380000}"/>
    <cellStyle name="Comma 6 3 2 2 3 3" xfId="15917" xr:uid="{00000000-0005-0000-0000-000021380000}"/>
    <cellStyle name="Comma 6 3 2 2 4" xfId="15918" xr:uid="{00000000-0005-0000-0000-000022380000}"/>
    <cellStyle name="Comma 6 3 2 2 4 2" xfId="15919" xr:uid="{00000000-0005-0000-0000-000023380000}"/>
    <cellStyle name="Comma 6 3 2 2 4 3" xfId="15920" xr:uid="{00000000-0005-0000-0000-000024380000}"/>
    <cellStyle name="Comma 6 3 2 2 5" xfId="15921" xr:uid="{00000000-0005-0000-0000-000025380000}"/>
    <cellStyle name="Comma 6 3 2 2 6" xfId="15922" xr:uid="{00000000-0005-0000-0000-000026380000}"/>
    <cellStyle name="Comma 6 3 2 2 7" xfId="44922" xr:uid="{00000000-0005-0000-0000-000027380000}"/>
    <cellStyle name="Comma 6 3 2 3" xfId="15923" xr:uid="{00000000-0005-0000-0000-000028380000}"/>
    <cellStyle name="Comma 6 3 2 3 2" xfId="15924" xr:uid="{00000000-0005-0000-0000-000029380000}"/>
    <cellStyle name="Comma 6 3 2 3 2 2" xfId="15925" xr:uid="{00000000-0005-0000-0000-00002A380000}"/>
    <cellStyle name="Comma 6 3 2 3 2 3" xfId="15926" xr:uid="{00000000-0005-0000-0000-00002B380000}"/>
    <cellStyle name="Comma 6 3 2 3 3" xfId="15927" xr:uid="{00000000-0005-0000-0000-00002C380000}"/>
    <cellStyle name="Comma 6 3 2 3 3 2" xfId="15928" xr:uid="{00000000-0005-0000-0000-00002D380000}"/>
    <cellStyle name="Comma 6 3 2 3 3 3" xfId="15929" xr:uid="{00000000-0005-0000-0000-00002E380000}"/>
    <cellStyle name="Comma 6 3 2 3 4" xfId="15930" xr:uid="{00000000-0005-0000-0000-00002F380000}"/>
    <cellStyle name="Comma 6 3 2 3 5" xfId="15931" xr:uid="{00000000-0005-0000-0000-000030380000}"/>
    <cellStyle name="Comma 6 3 2 4" xfId="15932" xr:uid="{00000000-0005-0000-0000-000031380000}"/>
    <cellStyle name="Comma 6 3 2 4 2" xfId="15933" xr:uid="{00000000-0005-0000-0000-000032380000}"/>
    <cellStyle name="Comma 6 3 2 4 3" xfId="15934" xr:uid="{00000000-0005-0000-0000-000033380000}"/>
    <cellStyle name="Comma 6 3 2 5" xfId="15935" xr:uid="{00000000-0005-0000-0000-000034380000}"/>
    <cellStyle name="Comma 6 3 2 5 2" xfId="15936" xr:uid="{00000000-0005-0000-0000-000035380000}"/>
    <cellStyle name="Comma 6 3 2 5 3" xfId="15937" xr:uid="{00000000-0005-0000-0000-000036380000}"/>
    <cellStyle name="Comma 6 3 2 6" xfId="15938" xr:uid="{00000000-0005-0000-0000-000037380000}"/>
    <cellStyle name="Comma 6 3 2 7" xfId="15939" xr:uid="{00000000-0005-0000-0000-000038380000}"/>
    <cellStyle name="Comma 6 3 2 8" xfId="15940" xr:uid="{00000000-0005-0000-0000-000039380000}"/>
    <cellStyle name="Comma 6 3 2 9" xfId="44923" xr:uid="{00000000-0005-0000-0000-00003A380000}"/>
    <cellStyle name="Comma 6 3 3" xfId="913" xr:uid="{00000000-0005-0000-0000-00003B380000}"/>
    <cellStyle name="Comma 6 3 3 2" xfId="15941" xr:uid="{00000000-0005-0000-0000-00003C380000}"/>
    <cellStyle name="Comma 6 3 3 2 2" xfId="15942" xr:uid="{00000000-0005-0000-0000-00003D380000}"/>
    <cellStyle name="Comma 6 3 3 2 2 2" xfId="15943" xr:uid="{00000000-0005-0000-0000-00003E380000}"/>
    <cellStyle name="Comma 6 3 3 2 2 3" xfId="15944" xr:uid="{00000000-0005-0000-0000-00003F380000}"/>
    <cellStyle name="Comma 6 3 3 2 3" xfId="15945" xr:uid="{00000000-0005-0000-0000-000040380000}"/>
    <cellStyle name="Comma 6 3 3 2 3 2" xfId="15946" xr:uid="{00000000-0005-0000-0000-000041380000}"/>
    <cellStyle name="Comma 6 3 3 2 3 3" xfId="15947" xr:uid="{00000000-0005-0000-0000-000042380000}"/>
    <cellStyle name="Comma 6 3 3 2 4" xfId="15948" xr:uid="{00000000-0005-0000-0000-000043380000}"/>
    <cellStyle name="Comma 6 3 3 2 5" xfId="15949" xr:uid="{00000000-0005-0000-0000-000044380000}"/>
    <cellStyle name="Comma 6 3 3 3" xfId="15950" xr:uid="{00000000-0005-0000-0000-000045380000}"/>
    <cellStyle name="Comma 6 3 3 3 2" xfId="15951" xr:uid="{00000000-0005-0000-0000-000046380000}"/>
    <cellStyle name="Comma 6 3 3 3 3" xfId="15952" xr:uid="{00000000-0005-0000-0000-000047380000}"/>
    <cellStyle name="Comma 6 3 3 4" xfId="15953" xr:uid="{00000000-0005-0000-0000-000048380000}"/>
    <cellStyle name="Comma 6 3 3 4 2" xfId="15954" xr:uid="{00000000-0005-0000-0000-000049380000}"/>
    <cellStyle name="Comma 6 3 3 4 3" xfId="15955" xr:uid="{00000000-0005-0000-0000-00004A380000}"/>
    <cellStyle name="Comma 6 3 3 5" xfId="15956" xr:uid="{00000000-0005-0000-0000-00004B380000}"/>
    <cellStyle name="Comma 6 3 3 6" xfId="15957" xr:uid="{00000000-0005-0000-0000-00004C380000}"/>
    <cellStyle name="Comma 6 3 3 7" xfId="44924" xr:uid="{00000000-0005-0000-0000-00004D380000}"/>
    <cellStyle name="Comma 6 3 4" xfId="15958" xr:uid="{00000000-0005-0000-0000-00004E380000}"/>
    <cellStyle name="Comma 6 3 4 2" xfId="15959" xr:uid="{00000000-0005-0000-0000-00004F380000}"/>
    <cellStyle name="Comma 6 3 4 2 2" xfId="15960" xr:uid="{00000000-0005-0000-0000-000050380000}"/>
    <cellStyle name="Comma 6 3 4 2 3" xfId="15961" xr:uid="{00000000-0005-0000-0000-000051380000}"/>
    <cellStyle name="Comma 6 3 4 3" xfId="15962" xr:uid="{00000000-0005-0000-0000-000052380000}"/>
    <cellStyle name="Comma 6 3 4 3 2" xfId="15963" xr:uid="{00000000-0005-0000-0000-000053380000}"/>
    <cellStyle name="Comma 6 3 4 3 3" xfId="15964" xr:uid="{00000000-0005-0000-0000-000054380000}"/>
    <cellStyle name="Comma 6 3 4 4" xfId="15965" xr:uid="{00000000-0005-0000-0000-000055380000}"/>
    <cellStyle name="Comma 6 3 4 5" xfId="15966" xr:uid="{00000000-0005-0000-0000-000056380000}"/>
    <cellStyle name="Comma 6 3 5" xfId="15967" xr:uid="{00000000-0005-0000-0000-000057380000}"/>
    <cellStyle name="Comma 6 3 5 2" xfId="15968" xr:uid="{00000000-0005-0000-0000-000058380000}"/>
    <cellStyle name="Comma 6 3 5 3" xfId="15969" xr:uid="{00000000-0005-0000-0000-000059380000}"/>
    <cellStyle name="Comma 6 3 6" xfId="15970" xr:uid="{00000000-0005-0000-0000-00005A380000}"/>
    <cellStyle name="Comma 6 3 6 2" xfId="15971" xr:uid="{00000000-0005-0000-0000-00005B380000}"/>
    <cellStyle name="Comma 6 3 6 3" xfId="15972" xr:uid="{00000000-0005-0000-0000-00005C380000}"/>
    <cellStyle name="Comma 6 3 7" xfId="15973" xr:uid="{00000000-0005-0000-0000-00005D380000}"/>
    <cellStyle name="Comma 6 3 8" xfId="15974" xr:uid="{00000000-0005-0000-0000-00005E380000}"/>
    <cellStyle name="Comma 6 3 9" xfId="44925" xr:uid="{00000000-0005-0000-0000-00005F380000}"/>
    <cellStyle name="Comma 6 4" xfId="260" xr:uid="{00000000-0005-0000-0000-000060380000}"/>
    <cellStyle name="Comma 6 4 2" xfId="914" xr:uid="{00000000-0005-0000-0000-000061380000}"/>
    <cellStyle name="Comma 6 4 2 2" xfId="15975" xr:uid="{00000000-0005-0000-0000-000062380000}"/>
    <cellStyle name="Comma 6 4 2 2 2" xfId="15976" xr:uid="{00000000-0005-0000-0000-000063380000}"/>
    <cellStyle name="Comma 6 4 2 2 2 2" xfId="15977" xr:uid="{00000000-0005-0000-0000-000064380000}"/>
    <cellStyle name="Comma 6 4 2 2 2 2 2" xfId="15978" xr:uid="{00000000-0005-0000-0000-000065380000}"/>
    <cellStyle name="Comma 6 4 2 2 2 2 3" xfId="15979" xr:uid="{00000000-0005-0000-0000-000066380000}"/>
    <cellStyle name="Comma 6 4 2 2 2 3" xfId="15980" xr:uid="{00000000-0005-0000-0000-000067380000}"/>
    <cellStyle name="Comma 6 4 2 2 2 3 2" xfId="15981" xr:uid="{00000000-0005-0000-0000-000068380000}"/>
    <cellStyle name="Comma 6 4 2 2 2 3 3" xfId="15982" xr:uid="{00000000-0005-0000-0000-000069380000}"/>
    <cellStyle name="Comma 6 4 2 2 2 4" xfId="15983" xr:uid="{00000000-0005-0000-0000-00006A380000}"/>
    <cellStyle name="Comma 6 4 2 2 2 5" xfId="15984" xr:uid="{00000000-0005-0000-0000-00006B380000}"/>
    <cellStyle name="Comma 6 4 2 2 3" xfId="15985" xr:uid="{00000000-0005-0000-0000-00006C380000}"/>
    <cellStyle name="Comma 6 4 2 2 3 2" xfId="15986" xr:uid="{00000000-0005-0000-0000-00006D380000}"/>
    <cellStyle name="Comma 6 4 2 2 3 3" xfId="15987" xr:uid="{00000000-0005-0000-0000-00006E380000}"/>
    <cellStyle name="Comma 6 4 2 2 4" xfId="15988" xr:uid="{00000000-0005-0000-0000-00006F380000}"/>
    <cellStyle name="Comma 6 4 2 2 4 2" xfId="15989" xr:uid="{00000000-0005-0000-0000-000070380000}"/>
    <cellStyle name="Comma 6 4 2 2 4 3" xfId="15990" xr:uid="{00000000-0005-0000-0000-000071380000}"/>
    <cellStyle name="Comma 6 4 2 2 5" xfId="15991" xr:uid="{00000000-0005-0000-0000-000072380000}"/>
    <cellStyle name="Comma 6 4 2 2 6" xfId="15992" xr:uid="{00000000-0005-0000-0000-000073380000}"/>
    <cellStyle name="Comma 6 4 2 3" xfId="15993" xr:uid="{00000000-0005-0000-0000-000074380000}"/>
    <cellStyle name="Comma 6 4 2 3 2" xfId="15994" xr:uid="{00000000-0005-0000-0000-000075380000}"/>
    <cellStyle name="Comma 6 4 2 3 2 2" xfId="15995" xr:uid="{00000000-0005-0000-0000-000076380000}"/>
    <cellStyle name="Comma 6 4 2 3 2 3" xfId="15996" xr:uid="{00000000-0005-0000-0000-000077380000}"/>
    <cellStyle name="Comma 6 4 2 3 3" xfId="15997" xr:uid="{00000000-0005-0000-0000-000078380000}"/>
    <cellStyle name="Comma 6 4 2 3 3 2" xfId="15998" xr:uid="{00000000-0005-0000-0000-000079380000}"/>
    <cellStyle name="Comma 6 4 2 3 3 3" xfId="15999" xr:uid="{00000000-0005-0000-0000-00007A380000}"/>
    <cellStyle name="Comma 6 4 2 3 4" xfId="16000" xr:uid="{00000000-0005-0000-0000-00007B380000}"/>
    <cellStyle name="Comma 6 4 2 3 5" xfId="16001" xr:uid="{00000000-0005-0000-0000-00007C380000}"/>
    <cellStyle name="Comma 6 4 2 4" xfId="16002" xr:uid="{00000000-0005-0000-0000-00007D380000}"/>
    <cellStyle name="Comma 6 4 2 4 2" xfId="16003" xr:uid="{00000000-0005-0000-0000-00007E380000}"/>
    <cellStyle name="Comma 6 4 2 4 3" xfId="16004" xr:uid="{00000000-0005-0000-0000-00007F380000}"/>
    <cellStyle name="Comma 6 4 2 5" xfId="16005" xr:uid="{00000000-0005-0000-0000-000080380000}"/>
    <cellStyle name="Comma 6 4 2 5 2" xfId="16006" xr:uid="{00000000-0005-0000-0000-000081380000}"/>
    <cellStyle name="Comma 6 4 2 5 3" xfId="16007" xr:uid="{00000000-0005-0000-0000-000082380000}"/>
    <cellStyle name="Comma 6 4 2 6" xfId="16008" xr:uid="{00000000-0005-0000-0000-000083380000}"/>
    <cellStyle name="Comma 6 4 2 7" xfId="16009" xr:uid="{00000000-0005-0000-0000-000084380000}"/>
    <cellStyle name="Comma 6 4 2 8" xfId="44926" xr:uid="{00000000-0005-0000-0000-000085380000}"/>
    <cellStyle name="Comma 6 4 3" xfId="16010" xr:uid="{00000000-0005-0000-0000-000086380000}"/>
    <cellStyle name="Comma 6 4 3 2" xfId="16011" xr:uid="{00000000-0005-0000-0000-000087380000}"/>
    <cellStyle name="Comma 6 4 3 2 2" xfId="16012" xr:uid="{00000000-0005-0000-0000-000088380000}"/>
    <cellStyle name="Comma 6 4 3 2 2 2" xfId="16013" xr:uid="{00000000-0005-0000-0000-000089380000}"/>
    <cellStyle name="Comma 6 4 3 2 2 3" xfId="16014" xr:uid="{00000000-0005-0000-0000-00008A380000}"/>
    <cellStyle name="Comma 6 4 3 2 3" xfId="16015" xr:uid="{00000000-0005-0000-0000-00008B380000}"/>
    <cellStyle name="Comma 6 4 3 2 3 2" xfId="16016" xr:uid="{00000000-0005-0000-0000-00008C380000}"/>
    <cellStyle name="Comma 6 4 3 2 3 3" xfId="16017" xr:uid="{00000000-0005-0000-0000-00008D380000}"/>
    <cellStyle name="Comma 6 4 3 2 4" xfId="16018" xr:uid="{00000000-0005-0000-0000-00008E380000}"/>
    <cellStyle name="Comma 6 4 3 2 5" xfId="16019" xr:uid="{00000000-0005-0000-0000-00008F380000}"/>
    <cellStyle name="Comma 6 4 3 3" xfId="16020" xr:uid="{00000000-0005-0000-0000-000090380000}"/>
    <cellStyle name="Comma 6 4 3 3 2" xfId="16021" xr:uid="{00000000-0005-0000-0000-000091380000}"/>
    <cellStyle name="Comma 6 4 3 3 3" xfId="16022" xr:uid="{00000000-0005-0000-0000-000092380000}"/>
    <cellStyle name="Comma 6 4 3 4" xfId="16023" xr:uid="{00000000-0005-0000-0000-000093380000}"/>
    <cellStyle name="Comma 6 4 3 4 2" xfId="16024" xr:uid="{00000000-0005-0000-0000-000094380000}"/>
    <cellStyle name="Comma 6 4 3 4 3" xfId="16025" xr:uid="{00000000-0005-0000-0000-000095380000}"/>
    <cellStyle name="Comma 6 4 3 5" xfId="16026" xr:uid="{00000000-0005-0000-0000-000096380000}"/>
    <cellStyle name="Comma 6 4 3 6" xfId="16027" xr:uid="{00000000-0005-0000-0000-000097380000}"/>
    <cellStyle name="Comma 6 4 3 7" xfId="16028" xr:uid="{00000000-0005-0000-0000-000098380000}"/>
    <cellStyle name="Comma 6 4 3 8" xfId="44038" xr:uid="{00000000-0005-0000-0000-000099380000}"/>
    <cellStyle name="Comma 6 4 4" xfId="16029" xr:uid="{00000000-0005-0000-0000-00009A380000}"/>
    <cellStyle name="Comma 6 4 4 2" xfId="16030" xr:uid="{00000000-0005-0000-0000-00009B380000}"/>
    <cellStyle name="Comma 6 4 4 2 2" xfId="16031" xr:uid="{00000000-0005-0000-0000-00009C380000}"/>
    <cellStyle name="Comma 6 4 4 2 3" xfId="16032" xr:uid="{00000000-0005-0000-0000-00009D380000}"/>
    <cellStyle name="Comma 6 4 4 3" xfId="16033" xr:uid="{00000000-0005-0000-0000-00009E380000}"/>
    <cellStyle name="Comma 6 4 4 3 2" xfId="16034" xr:uid="{00000000-0005-0000-0000-00009F380000}"/>
    <cellStyle name="Comma 6 4 4 3 3" xfId="16035" xr:uid="{00000000-0005-0000-0000-0000A0380000}"/>
    <cellStyle name="Comma 6 4 4 4" xfId="16036" xr:uid="{00000000-0005-0000-0000-0000A1380000}"/>
    <cellStyle name="Comma 6 4 4 5" xfId="16037" xr:uid="{00000000-0005-0000-0000-0000A2380000}"/>
    <cellStyle name="Comma 6 4 5" xfId="16038" xr:uid="{00000000-0005-0000-0000-0000A3380000}"/>
    <cellStyle name="Comma 6 4 5 2" xfId="16039" xr:uid="{00000000-0005-0000-0000-0000A4380000}"/>
    <cellStyle name="Comma 6 4 5 3" xfId="16040" xr:uid="{00000000-0005-0000-0000-0000A5380000}"/>
    <cellStyle name="Comma 6 4 6" xfId="16041" xr:uid="{00000000-0005-0000-0000-0000A6380000}"/>
    <cellStyle name="Comma 6 4 6 2" xfId="16042" xr:uid="{00000000-0005-0000-0000-0000A7380000}"/>
    <cellStyle name="Comma 6 4 6 3" xfId="16043" xr:uid="{00000000-0005-0000-0000-0000A8380000}"/>
    <cellStyle name="Comma 6 4 7" xfId="16044" xr:uid="{00000000-0005-0000-0000-0000A9380000}"/>
    <cellStyle name="Comma 6 4 8" xfId="16045" xr:uid="{00000000-0005-0000-0000-0000AA380000}"/>
    <cellStyle name="Comma 6 5" xfId="630" xr:uid="{00000000-0005-0000-0000-0000AB380000}"/>
    <cellStyle name="Comma 6 5 2" xfId="3113" xr:uid="{00000000-0005-0000-0000-0000AC380000}"/>
    <cellStyle name="Comma 6 5 2 2" xfId="16046" xr:uid="{00000000-0005-0000-0000-0000AD380000}"/>
    <cellStyle name="Comma 6 5 2 2 2" xfId="16047" xr:uid="{00000000-0005-0000-0000-0000AE380000}"/>
    <cellStyle name="Comma 6 5 2 2 2 2" xfId="16048" xr:uid="{00000000-0005-0000-0000-0000AF380000}"/>
    <cellStyle name="Comma 6 5 2 2 2 3" xfId="16049" xr:uid="{00000000-0005-0000-0000-0000B0380000}"/>
    <cellStyle name="Comma 6 5 2 2 3" xfId="16050" xr:uid="{00000000-0005-0000-0000-0000B1380000}"/>
    <cellStyle name="Comma 6 5 2 2 3 2" xfId="16051" xr:uid="{00000000-0005-0000-0000-0000B2380000}"/>
    <cellStyle name="Comma 6 5 2 2 3 3" xfId="16052" xr:uid="{00000000-0005-0000-0000-0000B3380000}"/>
    <cellStyle name="Comma 6 5 2 2 4" xfId="16053" xr:uid="{00000000-0005-0000-0000-0000B4380000}"/>
    <cellStyle name="Comma 6 5 2 2 5" xfId="16054" xr:uid="{00000000-0005-0000-0000-0000B5380000}"/>
    <cellStyle name="Comma 6 5 2 3" xfId="16055" xr:uid="{00000000-0005-0000-0000-0000B6380000}"/>
    <cellStyle name="Comma 6 5 2 3 2" xfId="16056" xr:uid="{00000000-0005-0000-0000-0000B7380000}"/>
    <cellStyle name="Comma 6 5 2 3 3" xfId="16057" xr:uid="{00000000-0005-0000-0000-0000B8380000}"/>
    <cellStyle name="Comma 6 5 2 4" xfId="16058" xr:uid="{00000000-0005-0000-0000-0000B9380000}"/>
    <cellStyle name="Comma 6 5 2 4 2" xfId="16059" xr:uid="{00000000-0005-0000-0000-0000BA380000}"/>
    <cellStyle name="Comma 6 5 2 4 3" xfId="16060" xr:uid="{00000000-0005-0000-0000-0000BB380000}"/>
    <cellStyle name="Comma 6 5 2 5" xfId="16061" xr:uid="{00000000-0005-0000-0000-0000BC380000}"/>
    <cellStyle name="Comma 6 5 2 6" xfId="16062" xr:uid="{00000000-0005-0000-0000-0000BD380000}"/>
    <cellStyle name="Comma 6 5 3" xfId="16063" xr:uid="{00000000-0005-0000-0000-0000BE380000}"/>
    <cellStyle name="Comma 6 5 3 2" xfId="16064" xr:uid="{00000000-0005-0000-0000-0000BF380000}"/>
    <cellStyle name="Comma 6 5 3 2 2" xfId="16065" xr:uid="{00000000-0005-0000-0000-0000C0380000}"/>
    <cellStyle name="Comma 6 5 3 2 3" xfId="16066" xr:uid="{00000000-0005-0000-0000-0000C1380000}"/>
    <cellStyle name="Comma 6 5 3 3" xfId="16067" xr:uid="{00000000-0005-0000-0000-0000C2380000}"/>
    <cellStyle name="Comma 6 5 3 3 2" xfId="16068" xr:uid="{00000000-0005-0000-0000-0000C3380000}"/>
    <cellStyle name="Comma 6 5 3 3 3" xfId="16069" xr:uid="{00000000-0005-0000-0000-0000C4380000}"/>
    <cellStyle name="Comma 6 5 3 4" xfId="16070" xr:uid="{00000000-0005-0000-0000-0000C5380000}"/>
    <cellStyle name="Comma 6 5 3 5" xfId="16071" xr:uid="{00000000-0005-0000-0000-0000C6380000}"/>
    <cellStyle name="Comma 6 5 4" xfId="16072" xr:uid="{00000000-0005-0000-0000-0000C7380000}"/>
    <cellStyle name="Comma 6 5 4 2" xfId="16073" xr:uid="{00000000-0005-0000-0000-0000C8380000}"/>
    <cellStyle name="Comma 6 5 4 3" xfId="16074" xr:uid="{00000000-0005-0000-0000-0000C9380000}"/>
    <cellStyle name="Comma 6 5 5" xfId="16075" xr:uid="{00000000-0005-0000-0000-0000CA380000}"/>
    <cellStyle name="Comma 6 5 5 2" xfId="16076" xr:uid="{00000000-0005-0000-0000-0000CB380000}"/>
    <cellStyle name="Comma 6 5 5 3" xfId="16077" xr:uid="{00000000-0005-0000-0000-0000CC380000}"/>
    <cellStyle name="Comma 6 5 6" xfId="16078" xr:uid="{00000000-0005-0000-0000-0000CD380000}"/>
    <cellStyle name="Comma 6 5 7" xfId="16079" xr:uid="{00000000-0005-0000-0000-0000CE380000}"/>
    <cellStyle name="Comma 6 5 8" xfId="44927" xr:uid="{00000000-0005-0000-0000-0000CF380000}"/>
    <cellStyle name="Comma 6 5 9" xfId="46171" xr:uid="{00000000-0005-0000-0000-0000D0380000}"/>
    <cellStyle name="Comma 6 6" xfId="915" xr:uid="{00000000-0005-0000-0000-0000D1380000}"/>
    <cellStyle name="Comma 6 6 2" xfId="16080" xr:uid="{00000000-0005-0000-0000-0000D2380000}"/>
    <cellStyle name="Comma 6 6 2 2" xfId="16081" xr:uid="{00000000-0005-0000-0000-0000D3380000}"/>
    <cellStyle name="Comma 6 6 2 2 2" xfId="16082" xr:uid="{00000000-0005-0000-0000-0000D4380000}"/>
    <cellStyle name="Comma 6 6 2 2 3" xfId="16083" xr:uid="{00000000-0005-0000-0000-0000D5380000}"/>
    <cellStyle name="Comma 6 6 2 3" xfId="16084" xr:uid="{00000000-0005-0000-0000-0000D6380000}"/>
    <cellStyle name="Comma 6 6 2 3 2" xfId="16085" xr:uid="{00000000-0005-0000-0000-0000D7380000}"/>
    <cellStyle name="Comma 6 6 2 3 3" xfId="16086" xr:uid="{00000000-0005-0000-0000-0000D8380000}"/>
    <cellStyle name="Comma 6 6 2 4" xfId="16087" xr:uid="{00000000-0005-0000-0000-0000D9380000}"/>
    <cellStyle name="Comma 6 6 2 5" xfId="16088" xr:uid="{00000000-0005-0000-0000-0000DA380000}"/>
    <cellStyle name="Comma 6 6 3" xfId="16089" xr:uid="{00000000-0005-0000-0000-0000DB380000}"/>
    <cellStyle name="Comma 6 6 3 2" xfId="16090" xr:uid="{00000000-0005-0000-0000-0000DC380000}"/>
    <cellStyle name="Comma 6 6 3 3" xfId="16091" xr:uid="{00000000-0005-0000-0000-0000DD380000}"/>
    <cellStyle name="Comma 6 6 4" xfId="16092" xr:uid="{00000000-0005-0000-0000-0000DE380000}"/>
    <cellStyle name="Comma 6 6 4 2" xfId="16093" xr:uid="{00000000-0005-0000-0000-0000DF380000}"/>
    <cellStyle name="Comma 6 6 4 3" xfId="16094" xr:uid="{00000000-0005-0000-0000-0000E0380000}"/>
    <cellStyle name="Comma 6 6 5" xfId="16095" xr:uid="{00000000-0005-0000-0000-0000E1380000}"/>
    <cellStyle name="Comma 6 6 6" xfId="16096" xr:uid="{00000000-0005-0000-0000-0000E2380000}"/>
    <cellStyle name="Comma 6 6 7" xfId="16097" xr:uid="{00000000-0005-0000-0000-0000E3380000}"/>
    <cellStyle name="Comma 6 6 8" xfId="44928" xr:uid="{00000000-0005-0000-0000-0000E4380000}"/>
    <cellStyle name="Comma 6 7" xfId="16098" xr:uid="{00000000-0005-0000-0000-0000E5380000}"/>
    <cellStyle name="Comma 6 7 2" xfId="16099" xr:uid="{00000000-0005-0000-0000-0000E6380000}"/>
    <cellStyle name="Comma 6 7 2 2" xfId="16100" xr:uid="{00000000-0005-0000-0000-0000E7380000}"/>
    <cellStyle name="Comma 6 7 2 3" xfId="16101" xr:uid="{00000000-0005-0000-0000-0000E8380000}"/>
    <cellStyle name="Comma 6 7 3" xfId="16102" xr:uid="{00000000-0005-0000-0000-0000E9380000}"/>
    <cellStyle name="Comma 6 7 3 2" xfId="16103" xr:uid="{00000000-0005-0000-0000-0000EA380000}"/>
    <cellStyle name="Comma 6 7 3 3" xfId="16104" xr:uid="{00000000-0005-0000-0000-0000EB380000}"/>
    <cellStyle name="Comma 6 7 4" xfId="16105" xr:uid="{00000000-0005-0000-0000-0000EC380000}"/>
    <cellStyle name="Comma 6 7 5" xfId="16106" xr:uid="{00000000-0005-0000-0000-0000ED380000}"/>
    <cellStyle name="Comma 6 7 6" xfId="42462" xr:uid="{00000000-0005-0000-0000-0000EE380000}"/>
    <cellStyle name="Comma 6 7 7" xfId="44929" xr:uid="{00000000-0005-0000-0000-0000EF380000}"/>
    <cellStyle name="Comma 6 8" xfId="16107" xr:uid="{00000000-0005-0000-0000-0000F0380000}"/>
    <cellStyle name="Comma 6 8 2" xfId="16108" xr:uid="{00000000-0005-0000-0000-0000F1380000}"/>
    <cellStyle name="Comma 6 8 3" xfId="16109" xr:uid="{00000000-0005-0000-0000-0000F2380000}"/>
    <cellStyle name="Comma 6 9" xfId="16110" xr:uid="{00000000-0005-0000-0000-0000F3380000}"/>
    <cellStyle name="Comma 6 9 2" xfId="16111" xr:uid="{00000000-0005-0000-0000-0000F4380000}"/>
    <cellStyle name="Comma 6 9 3" xfId="16112" xr:uid="{00000000-0005-0000-0000-0000F5380000}"/>
    <cellStyle name="Comma 7" xfId="80" xr:uid="{00000000-0005-0000-0000-0000F6380000}"/>
    <cellStyle name="Comma 7 10" xfId="16113" xr:uid="{00000000-0005-0000-0000-0000F7380000}"/>
    <cellStyle name="Comma 7 11" xfId="16114" xr:uid="{00000000-0005-0000-0000-0000F8380000}"/>
    <cellStyle name="Comma 7 12" xfId="46287" xr:uid="{00000000-0005-0000-0000-0000F9380000}"/>
    <cellStyle name="Comma 7 2" xfId="261" xr:uid="{00000000-0005-0000-0000-0000FA380000}"/>
    <cellStyle name="Comma 7 2 2" xfId="262" xr:uid="{00000000-0005-0000-0000-0000FB380000}"/>
    <cellStyle name="Comma 7 2 2 2" xfId="916" xr:uid="{00000000-0005-0000-0000-0000FC380000}"/>
    <cellStyle name="Comma 7 2 2 2 2" xfId="917" xr:uid="{00000000-0005-0000-0000-0000FD380000}"/>
    <cellStyle name="Comma 7 2 2 2 2 2" xfId="16115" xr:uid="{00000000-0005-0000-0000-0000FE380000}"/>
    <cellStyle name="Comma 7 2 2 2 2 2 2" xfId="16116" xr:uid="{00000000-0005-0000-0000-0000FF380000}"/>
    <cellStyle name="Comma 7 2 2 2 2 2 2 2" xfId="16117" xr:uid="{00000000-0005-0000-0000-000000390000}"/>
    <cellStyle name="Comma 7 2 2 2 2 2 2 3" xfId="16118" xr:uid="{00000000-0005-0000-0000-000001390000}"/>
    <cellStyle name="Comma 7 2 2 2 2 2 3" xfId="16119" xr:uid="{00000000-0005-0000-0000-000002390000}"/>
    <cellStyle name="Comma 7 2 2 2 2 2 3 2" xfId="16120" xr:uid="{00000000-0005-0000-0000-000003390000}"/>
    <cellStyle name="Comma 7 2 2 2 2 2 3 3" xfId="16121" xr:uid="{00000000-0005-0000-0000-000004390000}"/>
    <cellStyle name="Comma 7 2 2 2 2 2 4" xfId="16122" xr:uid="{00000000-0005-0000-0000-000005390000}"/>
    <cellStyle name="Comma 7 2 2 2 2 2 5" xfId="16123" xr:uid="{00000000-0005-0000-0000-000006390000}"/>
    <cellStyle name="Comma 7 2 2 2 2 3" xfId="16124" xr:uid="{00000000-0005-0000-0000-000007390000}"/>
    <cellStyle name="Comma 7 2 2 2 2 3 2" xfId="16125" xr:uid="{00000000-0005-0000-0000-000008390000}"/>
    <cellStyle name="Comma 7 2 2 2 2 3 3" xfId="16126" xr:uid="{00000000-0005-0000-0000-000009390000}"/>
    <cellStyle name="Comma 7 2 2 2 2 4" xfId="16127" xr:uid="{00000000-0005-0000-0000-00000A390000}"/>
    <cellStyle name="Comma 7 2 2 2 2 4 2" xfId="16128" xr:uid="{00000000-0005-0000-0000-00000B390000}"/>
    <cellStyle name="Comma 7 2 2 2 2 4 3" xfId="16129" xr:uid="{00000000-0005-0000-0000-00000C390000}"/>
    <cellStyle name="Comma 7 2 2 2 2 5" xfId="16130" xr:uid="{00000000-0005-0000-0000-00000D390000}"/>
    <cellStyle name="Comma 7 2 2 2 2 6" xfId="16131" xr:uid="{00000000-0005-0000-0000-00000E390000}"/>
    <cellStyle name="Comma 7 2 2 2 2 7" xfId="44930" xr:uid="{00000000-0005-0000-0000-00000F390000}"/>
    <cellStyle name="Comma 7 2 2 2 3" xfId="16132" xr:uid="{00000000-0005-0000-0000-000010390000}"/>
    <cellStyle name="Comma 7 2 2 2 3 2" xfId="16133" xr:uid="{00000000-0005-0000-0000-000011390000}"/>
    <cellStyle name="Comma 7 2 2 2 3 2 2" xfId="16134" xr:uid="{00000000-0005-0000-0000-000012390000}"/>
    <cellStyle name="Comma 7 2 2 2 3 2 3" xfId="16135" xr:uid="{00000000-0005-0000-0000-000013390000}"/>
    <cellStyle name="Comma 7 2 2 2 3 3" xfId="16136" xr:uid="{00000000-0005-0000-0000-000014390000}"/>
    <cellStyle name="Comma 7 2 2 2 3 3 2" xfId="16137" xr:uid="{00000000-0005-0000-0000-000015390000}"/>
    <cellStyle name="Comma 7 2 2 2 3 3 3" xfId="16138" xr:uid="{00000000-0005-0000-0000-000016390000}"/>
    <cellStyle name="Comma 7 2 2 2 3 4" xfId="16139" xr:uid="{00000000-0005-0000-0000-000017390000}"/>
    <cellStyle name="Comma 7 2 2 2 3 5" xfId="16140" xr:uid="{00000000-0005-0000-0000-000018390000}"/>
    <cellStyle name="Comma 7 2 2 2 4" xfId="16141" xr:uid="{00000000-0005-0000-0000-000019390000}"/>
    <cellStyle name="Comma 7 2 2 2 4 2" xfId="16142" xr:uid="{00000000-0005-0000-0000-00001A390000}"/>
    <cellStyle name="Comma 7 2 2 2 4 3" xfId="16143" xr:uid="{00000000-0005-0000-0000-00001B390000}"/>
    <cellStyle name="Comma 7 2 2 2 5" xfId="16144" xr:uid="{00000000-0005-0000-0000-00001C390000}"/>
    <cellStyle name="Comma 7 2 2 2 5 2" xfId="16145" xr:uid="{00000000-0005-0000-0000-00001D390000}"/>
    <cellStyle name="Comma 7 2 2 2 5 3" xfId="16146" xr:uid="{00000000-0005-0000-0000-00001E390000}"/>
    <cellStyle name="Comma 7 2 2 2 6" xfId="16147" xr:uid="{00000000-0005-0000-0000-00001F390000}"/>
    <cellStyle name="Comma 7 2 2 2 7" xfId="16148" xr:uid="{00000000-0005-0000-0000-000020390000}"/>
    <cellStyle name="Comma 7 2 2 2 8" xfId="44931" xr:uid="{00000000-0005-0000-0000-000021390000}"/>
    <cellStyle name="Comma 7 2 2 3" xfId="918" xr:uid="{00000000-0005-0000-0000-000022390000}"/>
    <cellStyle name="Comma 7 2 2 3 2" xfId="16149" xr:uid="{00000000-0005-0000-0000-000023390000}"/>
    <cellStyle name="Comma 7 2 2 3 2 2" xfId="16150" xr:uid="{00000000-0005-0000-0000-000024390000}"/>
    <cellStyle name="Comma 7 2 2 3 2 2 2" xfId="16151" xr:uid="{00000000-0005-0000-0000-000025390000}"/>
    <cellStyle name="Comma 7 2 2 3 2 2 3" xfId="16152" xr:uid="{00000000-0005-0000-0000-000026390000}"/>
    <cellStyle name="Comma 7 2 2 3 2 3" xfId="16153" xr:uid="{00000000-0005-0000-0000-000027390000}"/>
    <cellStyle name="Comma 7 2 2 3 2 3 2" xfId="16154" xr:uid="{00000000-0005-0000-0000-000028390000}"/>
    <cellStyle name="Comma 7 2 2 3 2 3 3" xfId="16155" xr:uid="{00000000-0005-0000-0000-000029390000}"/>
    <cellStyle name="Comma 7 2 2 3 2 4" xfId="16156" xr:uid="{00000000-0005-0000-0000-00002A390000}"/>
    <cellStyle name="Comma 7 2 2 3 2 5" xfId="16157" xr:uid="{00000000-0005-0000-0000-00002B390000}"/>
    <cellStyle name="Comma 7 2 2 3 3" xfId="16158" xr:uid="{00000000-0005-0000-0000-00002C390000}"/>
    <cellStyle name="Comma 7 2 2 3 3 2" xfId="16159" xr:uid="{00000000-0005-0000-0000-00002D390000}"/>
    <cellStyle name="Comma 7 2 2 3 3 3" xfId="16160" xr:uid="{00000000-0005-0000-0000-00002E390000}"/>
    <cellStyle name="Comma 7 2 2 3 4" xfId="16161" xr:uid="{00000000-0005-0000-0000-00002F390000}"/>
    <cellStyle name="Comma 7 2 2 3 4 2" xfId="16162" xr:uid="{00000000-0005-0000-0000-000030390000}"/>
    <cellStyle name="Comma 7 2 2 3 4 3" xfId="16163" xr:uid="{00000000-0005-0000-0000-000031390000}"/>
    <cellStyle name="Comma 7 2 2 3 5" xfId="16164" xr:uid="{00000000-0005-0000-0000-000032390000}"/>
    <cellStyle name="Comma 7 2 2 3 6" xfId="16165" xr:uid="{00000000-0005-0000-0000-000033390000}"/>
    <cellStyle name="Comma 7 2 2 3 7" xfId="44932" xr:uid="{00000000-0005-0000-0000-000034390000}"/>
    <cellStyle name="Comma 7 2 2 4" xfId="16166" xr:uid="{00000000-0005-0000-0000-000035390000}"/>
    <cellStyle name="Comma 7 2 2 4 2" xfId="16167" xr:uid="{00000000-0005-0000-0000-000036390000}"/>
    <cellStyle name="Comma 7 2 2 4 2 2" xfId="16168" xr:uid="{00000000-0005-0000-0000-000037390000}"/>
    <cellStyle name="Comma 7 2 2 4 2 3" xfId="16169" xr:uid="{00000000-0005-0000-0000-000038390000}"/>
    <cellStyle name="Comma 7 2 2 4 3" xfId="16170" xr:uid="{00000000-0005-0000-0000-000039390000}"/>
    <cellStyle name="Comma 7 2 2 4 3 2" xfId="16171" xr:uid="{00000000-0005-0000-0000-00003A390000}"/>
    <cellStyle name="Comma 7 2 2 4 3 3" xfId="16172" xr:uid="{00000000-0005-0000-0000-00003B390000}"/>
    <cellStyle name="Comma 7 2 2 4 4" xfId="16173" xr:uid="{00000000-0005-0000-0000-00003C390000}"/>
    <cellStyle name="Comma 7 2 2 4 5" xfId="16174" xr:uid="{00000000-0005-0000-0000-00003D390000}"/>
    <cellStyle name="Comma 7 2 2 5" xfId="16175" xr:uid="{00000000-0005-0000-0000-00003E390000}"/>
    <cellStyle name="Comma 7 2 2 5 2" xfId="16176" xr:uid="{00000000-0005-0000-0000-00003F390000}"/>
    <cellStyle name="Comma 7 2 2 5 3" xfId="16177" xr:uid="{00000000-0005-0000-0000-000040390000}"/>
    <cellStyle name="Comma 7 2 2 6" xfId="16178" xr:uid="{00000000-0005-0000-0000-000041390000}"/>
    <cellStyle name="Comma 7 2 2 6 2" xfId="16179" xr:uid="{00000000-0005-0000-0000-000042390000}"/>
    <cellStyle name="Comma 7 2 2 6 3" xfId="16180" xr:uid="{00000000-0005-0000-0000-000043390000}"/>
    <cellStyle name="Comma 7 2 2 7" xfId="16181" xr:uid="{00000000-0005-0000-0000-000044390000}"/>
    <cellStyle name="Comma 7 2 2 8" xfId="16182" xr:uid="{00000000-0005-0000-0000-000045390000}"/>
    <cellStyle name="Comma 7 2 2 9" xfId="44933" xr:uid="{00000000-0005-0000-0000-000046390000}"/>
    <cellStyle name="Comma 7 2 3" xfId="648" xr:uid="{00000000-0005-0000-0000-000047390000}"/>
    <cellStyle name="Comma 7 2 3 2" xfId="919" xr:uid="{00000000-0005-0000-0000-000048390000}"/>
    <cellStyle name="Comma 7 2 3 2 2" xfId="16183" xr:uid="{00000000-0005-0000-0000-000049390000}"/>
    <cellStyle name="Comma 7 2 3 2 2 2" xfId="16184" xr:uid="{00000000-0005-0000-0000-00004A390000}"/>
    <cellStyle name="Comma 7 2 3 2 2 2 2" xfId="16185" xr:uid="{00000000-0005-0000-0000-00004B390000}"/>
    <cellStyle name="Comma 7 2 3 2 2 2 3" xfId="16186" xr:uid="{00000000-0005-0000-0000-00004C390000}"/>
    <cellStyle name="Comma 7 2 3 2 2 3" xfId="16187" xr:uid="{00000000-0005-0000-0000-00004D390000}"/>
    <cellStyle name="Comma 7 2 3 2 2 3 2" xfId="16188" xr:uid="{00000000-0005-0000-0000-00004E390000}"/>
    <cellStyle name="Comma 7 2 3 2 2 3 3" xfId="16189" xr:uid="{00000000-0005-0000-0000-00004F390000}"/>
    <cellStyle name="Comma 7 2 3 2 2 4" xfId="16190" xr:uid="{00000000-0005-0000-0000-000050390000}"/>
    <cellStyle name="Comma 7 2 3 2 2 5" xfId="16191" xr:uid="{00000000-0005-0000-0000-000051390000}"/>
    <cellStyle name="Comma 7 2 3 2 3" xfId="16192" xr:uid="{00000000-0005-0000-0000-000052390000}"/>
    <cellStyle name="Comma 7 2 3 2 3 2" xfId="16193" xr:uid="{00000000-0005-0000-0000-000053390000}"/>
    <cellStyle name="Comma 7 2 3 2 3 3" xfId="16194" xr:uid="{00000000-0005-0000-0000-000054390000}"/>
    <cellStyle name="Comma 7 2 3 2 4" xfId="16195" xr:uid="{00000000-0005-0000-0000-000055390000}"/>
    <cellStyle name="Comma 7 2 3 2 4 2" xfId="16196" xr:uid="{00000000-0005-0000-0000-000056390000}"/>
    <cellStyle name="Comma 7 2 3 2 4 3" xfId="16197" xr:uid="{00000000-0005-0000-0000-000057390000}"/>
    <cellStyle name="Comma 7 2 3 2 5" xfId="16198" xr:uid="{00000000-0005-0000-0000-000058390000}"/>
    <cellStyle name="Comma 7 2 3 2 6" xfId="16199" xr:uid="{00000000-0005-0000-0000-000059390000}"/>
    <cellStyle name="Comma 7 2 3 3" xfId="16200" xr:uid="{00000000-0005-0000-0000-00005A390000}"/>
    <cellStyle name="Comma 7 2 3 3 2" xfId="16201" xr:uid="{00000000-0005-0000-0000-00005B390000}"/>
    <cellStyle name="Comma 7 2 3 3 2 2" xfId="16202" xr:uid="{00000000-0005-0000-0000-00005C390000}"/>
    <cellStyle name="Comma 7 2 3 3 2 3" xfId="16203" xr:uid="{00000000-0005-0000-0000-00005D390000}"/>
    <cellStyle name="Comma 7 2 3 3 3" xfId="16204" xr:uid="{00000000-0005-0000-0000-00005E390000}"/>
    <cellStyle name="Comma 7 2 3 3 3 2" xfId="16205" xr:uid="{00000000-0005-0000-0000-00005F390000}"/>
    <cellStyle name="Comma 7 2 3 3 3 3" xfId="16206" xr:uid="{00000000-0005-0000-0000-000060390000}"/>
    <cellStyle name="Comma 7 2 3 3 4" xfId="16207" xr:uid="{00000000-0005-0000-0000-000061390000}"/>
    <cellStyle name="Comma 7 2 3 3 5" xfId="16208" xr:uid="{00000000-0005-0000-0000-000062390000}"/>
    <cellStyle name="Comma 7 2 3 4" xfId="16209" xr:uid="{00000000-0005-0000-0000-000063390000}"/>
    <cellStyle name="Comma 7 2 3 4 2" xfId="16210" xr:uid="{00000000-0005-0000-0000-000064390000}"/>
    <cellStyle name="Comma 7 2 3 4 3" xfId="16211" xr:uid="{00000000-0005-0000-0000-000065390000}"/>
    <cellStyle name="Comma 7 2 3 5" xfId="16212" xr:uid="{00000000-0005-0000-0000-000066390000}"/>
    <cellStyle name="Comma 7 2 3 5 2" xfId="16213" xr:uid="{00000000-0005-0000-0000-000067390000}"/>
    <cellStyle name="Comma 7 2 3 5 3" xfId="16214" xr:uid="{00000000-0005-0000-0000-000068390000}"/>
    <cellStyle name="Comma 7 2 3 6" xfId="16215" xr:uid="{00000000-0005-0000-0000-000069390000}"/>
    <cellStyle name="Comma 7 2 3 7" xfId="16216" xr:uid="{00000000-0005-0000-0000-00006A390000}"/>
    <cellStyle name="Comma 7 2 3 8" xfId="16217" xr:uid="{00000000-0005-0000-0000-00006B390000}"/>
    <cellStyle name="Comma 7 2 4" xfId="920" xr:uid="{00000000-0005-0000-0000-00006C390000}"/>
    <cellStyle name="Comma 7 2 4 2" xfId="16218" xr:uid="{00000000-0005-0000-0000-00006D390000}"/>
    <cellStyle name="Comma 7 2 4 2 2" xfId="16219" xr:uid="{00000000-0005-0000-0000-00006E390000}"/>
    <cellStyle name="Comma 7 2 4 2 2 2" xfId="16220" xr:uid="{00000000-0005-0000-0000-00006F390000}"/>
    <cellStyle name="Comma 7 2 4 2 2 3" xfId="16221" xr:uid="{00000000-0005-0000-0000-000070390000}"/>
    <cellStyle name="Comma 7 2 4 2 3" xfId="16222" xr:uid="{00000000-0005-0000-0000-000071390000}"/>
    <cellStyle name="Comma 7 2 4 2 3 2" xfId="16223" xr:uid="{00000000-0005-0000-0000-000072390000}"/>
    <cellStyle name="Comma 7 2 4 2 3 3" xfId="16224" xr:uid="{00000000-0005-0000-0000-000073390000}"/>
    <cellStyle name="Comma 7 2 4 2 4" xfId="16225" xr:uid="{00000000-0005-0000-0000-000074390000}"/>
    <cellStyle name="Comma 7 2 4 2 5" xfId="16226" xr:uid="{00000000-0005-0000-0000-000075390000}"/>
    <cellStyle name="Comma 7 2 4 3" xfId="16227" xr:uid="{00000000-0005-0000-0000-000076390000}"/>
    <cellStyle name="Comma 7 2 4 3 2" xfId="16228" xr:uid="{00000000-0005-0000-0000-000077390000}"/>
    <cellStyle name="Comma 7 2 4 3 3" xfId="16229" xr:uid="{00000000-0005-0000-0000-000078390000}"/>
    <cellStyle name="Comma 7 2 4 4" xfId="16230" xr:uid="{00000000-0005-0000-0000-000079390000}"/>
    <cellStyle name="Comma 7 2 4 4 2" xfId="16231" xr:uid="{00000000-0005-0000-0000-00007A390000}"/>
    <cellStyle name="Comma 7 2 4 4 3" xfId="16232" xr:uid="{00000000-0005-0000-0000-00007B390000}"/>
    <cellStyle name="Comma 7 2 4 5" xfId="16233" xr:uid="{00000000-0005-0000-0000-00007C390000}"/>
    <cellStyle name="Comma 7 2 4 6" xfId="16234" xr:uid="{00000000-0005-0000-0000-00007D390000}"/>
    <cellStyle name="Comma 7 2 4 7" xfId="44934" xr:uid="{00000000-0005-0000-0000-00007E390000}"/>
    <cellStyle name="Comma 7 2 5" xfId="16235" xr:uid="{00000000-0005-0000-0000-00007F390000}"/>
    <cellStyle name="Comma 7 2 5 2" xfId="16236" xr:uid="{00000000-0005-0000-0000-000080390000}"/>
    <cellStyle name="Comma 7 2 5 2 2" xfId="16237" xr:uid="{00000000-0005-0000-0000-000081390000}"/>
    <cellStyle name="Comma 7 2 5 2 3" xfId="16238" xr:uid="{00000000-0005-0000-0000-000082390000}"/>
    <cellStyle name="Comma 7 2 5 3" xfId="16239" xr:uid="{00000000-0005-0000-0000-000083390000}"/>
    <cellStyle name="Comma 7 2 5 3 2" xfId="16240" xr:uid="{00000000-0005-0000-0000-000084390000}"/>
    <cellStyle name="Comma 7 2 5 3 3" xfId="16241" xr:uid="{00000000-0005-0000-0000-000085390000}"/>
    <cellStyle name="Comma 7 2 5 4" xfId="16242" xr:uid="{00000000-0005-0000-0000-000086390000}"/>
    <cellStyle name="Comma 7 2 5 5" xfId="16243" xr:uid="{00000000-0005-0000-0000-000087390000}"/>
    <cellStyle name="Comma 7 2 5 6" xfId="42505" xr:uid="{00000000-0005-0000-0000-000088390000}"/>
    <cellStyle name="Comma 7 2 5 7" xfId="44935" xr:uid="{00000000-0005-0000-0000-000089390000}"/>
    <cellStyle name="Comma 7 2 6" xfId="16244" xr:uid="{00000000-0005-0000-0000-00008A390000}"/>
    <cellStyle name="Comma 7 2 6 2" xfId="16245" xr:uid="{00000000-0005-0000-0000-00008B390000}"/>
    <cellStyle name="Comma 7 2 6 3" xfId="16246" xr:uid="{00000000-0005-0000-0000-00008C390000}"/>
    <cellStyle name="Comma 7 2 7" xfId="16247" xr:uid="{00000000-0005-0000-0000-00008D390000}"/>
    <cellStyle name="Comma 7 2 7 2" xfId="16248" xr:uid="{00000000-0005-0000-0000-00008E390000}"/>
    <cellStyle name="Comma 7 2 7 3" xfId="16249" xr:uid="{00000000-0005-0000-0000-00008F390000}"/>
    <cellStyle name="Comma 7 2 8" xfId="16250" xr:uid="{00000000-0005-0000-0000-000090390000}"/>
    <cellStyle name="Comma 7 2 9" xfId="16251" xr:uid="{00000000-0005-0000-0000-000091390000}"/>
    <cellStyle name="Comma 7 3" xfId="263" xr:uid="{00000000-0005-0000-0000-000092390000}"/>
    <cellStyle name="Comma 7 3 2" xfId="921" xr:uid="{00000000-0005-0000-0000-000093390000}"/>
    <cellStyle name="Comma 7 3 2 2" xfId="922" xr:uid="{00000000-0005-0000-0000-000094390000}"/>
    <cellStyle name="Comma 7 3 2 2 2" xfId="16252" xr:uid="{00000000-0005-0000-0000-000095390000}"/>
    <cellStyle name="Comma 7 3 2 2 2 2" xfId="16253" xr:uid="{00000000-0005-0000-0000-000096390000}"/>
    <cellStyle name="Comma 7 3 2 2 2 2 2" xfId="16254" xr:uid="{00000000-0005-0000-0000-000097390000}"/>
    <cellStyle name="Comma 7 3 2 2 2 2 3" xfId="16255" xr:uid="{00000000-0005-0000-0000-000098390000}"/>
    <cellStyle name="Comma 7 3 2 2 2 3" xfId="16256" xr:uid="{00000000-0005-0000-0000-000099390000}"/>
    <cellStyle name="Comma 7 3 2 2 2 3 2" xfId="16257" xr:uid="{00000000-0005-0000-0000-00009A390000}"/>
    <cellStyle name="Comma 7 3 2 2 2 3 3" xfId="16258" xr:uid="{00000000-0005-0000-0000-00009B390000}"/>
    <cellStyle name="Comma 7 3 2 2 2 4" xfId="16259" xr:uid="{00000000-0005-0000-0000-00009C390000}"/>
    <cellStyle name="Comma 7 3 2 2 2 5" xfId="16260" xr:uid="{00000000-0005-0000-0000-00009D390000}"/>
    <cellStyle name="Comma 7 3 2 2 3" xfId="16261" xr:uid="{00000000-0005-0000-0000-00009E390000}"/>
    <cellStyle name="Comma 7 3 2 2 3 2" xfId="16262" xr:uid="{00000000-0005-0000-0000-00009F390000}"/>
    <cellStyle name="Comma 7 3 2 2 3 3" xfId="16263" xr:uid="{00000000-0005-0000-0000-0000A0390000}"/>
    <cellStyle name="Comma 7 3 2 2 4" xfId="16264" xr:uid="{00000000-0005-0000-0000-0000A1390000}"/>
    <cellStyle name="Comma 7 3 2 2 4 2" xfId="16265" xr:uid="{00000000-0005-0000-0000-0000A2390000}"/>
    <cellStyle name="Comma 7 3 2 2 4 3" xfId="16266" xr:uid="{00000000-0005-0000-0000-0000A3390000}"/>
    <cellStyle name="Comma 7 3 2 2 5" xfId="16267" xr:uid="{00000000-0005-0000-0000-0000A4390000}"/>
    <cellStyle name="Comma 7 3 2 2 6" xfId="16268" xr:uid="{00000000-0005-0000-0000-0000A5390000}"/>
    <cellStyle name="Comma 7 3 2 2 7" xfId="44936" xr:uid="{00000000-0005-0000-0000-0000A6390000}"/>
    <cellStyle name="Comma 7 3 2 3" xfId="16269" xr:uid="{00000000-0005-0000-0000-0000A7390000}"/>
    <cellStyle name="Comma 7 3 2 3 2" xfId="16270" xr:uid="{00000000-0005-0000-0000-0000A8390000}"/>
    <cellStyle name="Comma 7 3 2 3 2 2" xfId="16271" xr:uid="{00000000-0005-0000-0000-0000A9390000}"/>
    <cellStyle name="Comma 7 3 2 3 2 3" xfId="16272" xr:uid="{00000000-0005-0000-0000-0000AA390000}"/>
    <cellStyle name="Comma 7 3 2 3 3" xfId="16273" xr:uid="{00000000-0005-0000-0000-0000AB390000}"/>
    <cellStyle name="Comma 7 3 2 3 3 2" xfId="16274" xr:uid="{00000000-0005-0000-0000-0000AC390000}"/>
    <cellStyle name="Comma 7 3 2 3 3 3" xfId="16275" xr:uid="{00000000-0005-0000-0000-0000AD390000}"/>
    <cellStyle name="Comma 7 3 2 3 4" xfId="16276" xr:uid="{00000000-0005-0000-0000-0000AE390000}"/>
    <cellStyle name="Comma 7 3 2 3 5" xfId="16277" xr:uid="{00000000-0005-0000-0000-0000AF390000}"/>
    <cellStyle name="Comma 7 3 2 4" xfId="16278" xr:uid="{00000000-0005-0000-0000-0000B0390000}"/>
    <cellStyle name="Comma 7 3 2 4 2" xfId="16279" xr:uid="{00000000-0005-0000-0000-0000B1390000}"/>
    <cellStyle name="Comma 7 3 2 4 3" xfId="16280" xr:uid="{00000000-0005-0000-0000-0000B2390000}"/>
    <cellStyle name="Comma 7 3 2 5" xfId="16281" xr:uid="{00000000-0005-0000-0000-0000B3390000}"/>
    <cellStyle name="Comma 7 3 2 5 2" xfId="16282" xr:uid="{00000000-0005-0000-0000-0000B4390000}"/>
    <cellStyle name="Comma 7 3 2 5 3" xfId="16283" xr:uid="{00000000-0005-0000-0000-0000B5390000}"/>
    <cellStyle name="Comma 7 3 2 6" xfId="16284" xr:uid="{00000000-0005-0000-0000-0000B6390000}"/>
    <cellStyle name="Comma 7 3 2 7" xfId="16285" xr:uid="{00000000-0005-0000-0000-0000B7390000}"/>
    <cellStyle name="Comma 7 3 2 8" xfId="44937" xr:uid="{00000000-0005-0000-0000-0000B8390000}"/>
    <cellStyle name="Comma 7 3 3" xfId="923" xr:uid="{00000000-0005-0000-0000-0000B9390000}"/>
    <cellStyle name="Comma 7 3 3 2" xfId="16286" xr:uid="{00000000-0005-0000-0000-0000BA390000}"/>
    <cellStyle name="Comma 7 3 3 2 2" xfId="16287" xr:uid="{00000000-0005-0000-0000-0000BB390000}"/>
    <cellStyle name="Comma 7 3 3 2 2 2" xfId="16288" xr:uid="{00000000-0005-0000-0000-0000BC390000}"/>
    <cellStyle name="Comma 7 3 3 2 2 3" xfId="16289" xr:uid="{00000000-0005-0000-0000-0000BD390000}"/>
    <cellStyle name="Comma 7 3 3 2 3" xfId="16290" xr:uid="{00000000-0005-0000-0000-0000BE390000}"/>
    <cellStyle name="Comma 7 3 3 2 3 2" xfId="16291" xr:uid="{00000000-0005-0000-0000-0000BF390000}"/>
    <cellStyle name="Comma 7 3 3 2 3 3" xfId="16292" xr:uid="{00000000-0005-0000-0000-0000C0390000}"/>
    <cellStyle name="Comma 7 3 3 2 4" xfId="16293" xr:uid="{00000000-0005-0000-0000-0000C1390000}"/>
    <cellStyle name="Comma 7 3 3 2 5" xfId="16294" xr:uid="{00000000-0005-0000-0000-0000C2390000}"/>
    <cellStyle name="Comma 7 3 3 3" xfId="16295" xr:uid="{00000000-0005-0000-0000-0000C3390000}"/>
    <cellStyle name="Comma 7 3 3 3 2" xfId="16296" xr:uid="{00000000-0005-0000-0000-0000C4390000}"/>
    <cellStyle name="Comma 7 3 3 3 3" xfId="16297" xr:uid="{00000000-0005-0000-0000-0000C5390000}"/>
    <cellStyle name="Comma 7 3 3 4" xfId="16298" xr:uid="{00000000-0005-0000-0000-0000C6390000}"/>
    <cellStyle name="Comma 7 3 3 4 2" xfId="16299" xr:uid="{00000000-0005-0000-0000-0000C7390000}"/>
    <cellStyle name="Comma 7 3 3 4 3" xfId="16300" xr:uid="{00000000-0005-0000-0000-0000C8390000}"/>
    <cellStyle name="Comma 7 3 3 5" xfId="16301" xr:uid="{00000000-0005-0000-0000-0000C9390000}"/>
    <cellStyle name="Comma 7 3 3 6" xfId="16302" xr:uid="{00000000-0005-0000-0000-0000CA390000}"/>
    <cellStyle name="Comma 7 3 3 7" xfId="44938" xr:uid="{00000000-0005-0000-0000-0000CB390000}"/>
    <cellStyle name="Comma 7 3 4" xfId="16303" xr:uid="{00000000-0005-0000-0000-0000CC390000}"/>
    <cellStyle name="Comma 7 3 4 2" xfId="16304" xr:uid="{00000000-0005-0000-0000-0000CD390000}"/>
    <cellStyle name="Comma 7 3 4 2 2" xfId="16305" xr:uid="{00000000-0005-0000-0000-0000CE390000}"/>
    <cellStyle name="Comma 7 3 4 2 3" xfId="16306" xr:uid="{00000000-0005-0000-0000-0000CF390000}"/>
    <cellStyle name="Comma 7 3 4 3" xfId="16307" xr:uid="{00000000-0005-0000-0000-0000D0390000}"/>
    <cellStyle name="Comma 7 3 4 3 2" xfId="16308" xr:uid="{00000000-0005-0000-0000-0000D1390000}"/>
    <cellStyle name="Comma 7 3 4 3 3" xfId="16309" xr:uid="{00000000-0005-0000-0000-0000D2390000}"/>
    <cellStyle name="Comma 7 3 4 4" xfId="16310" xr:uid="{00000000-0005-0000-0000-0000D3390000}"/>
    <cellStyle name="Comma 7 3 4 5" xfId="16311" xr:uid="{00000000-0005-0000-0000-0000D4390000}"/>
    <cellStyle name="Comma 7 3 4 6" xfId="16312" xr:uid="{00000000-0005-0000-0000-0000D5390000}"/>
    <cellStyle name="Comma 7 3 4 7" xfId="44039" xr:uid="{00000000-0005-0000-0000-0000D6390000}"/>
    <cellStyle name="Comma 7 3 5" xfId="16313" xr:uid="{00000000-0005-0000-0000-0000D7390000}"/>
    <cellStyle name="Comma 7 3 5 2" xfId="16314" xr:uid="{00000000-0005-0000-0000-0000D8390000}"/>
    <cellStyle name="Comma 7 3 5 3" xfId="16315" xr:uid="{00000000-0005-0000-0000-0000D9390000}"/>
    <cellStyle name="Comma 7 3 6" xfId="16316" xr:uid="{00000000-0005-0000-0000-0000DA390000}"/>
    <cellStyle name="Comma 7 3 6 2" xfId="16317" xr:uid="{00000000-0005-0000-0000-0000DB390000}"/>
    <cellStyle name="Comma 7 3 6 3" xfId="16318" xr:uid="{00000000-0005-0000-0000-0000DC390000}"/>
    <cellStyle name="Comma 7 3 7" xfId="16319" xr:uid="{00000000-0005-0000-0000-0000DD390000}"/>
    <cellStyle name="Comma 7 3 8" xfId="16320" xr:uid="{00000000-0005-0000-0000-0000DE390000}"/>
    <cellStyle name="Comma 7 4" xfId="924" xr:uid="{00000000-0005-0000-0000-0000DF390000}"/>
    <cellStyle name="Comma 7 4 2" xfId="925" xr:uid="{00000000-0005-0000-0000-0000E0390000}"/>
    <cellStyle name="Comma 7 4 2 2" xfId="16321" xr:uid="{00000000-0005-0000-0000-0000E1390000}"/>
    <cellStyle name="Comma 7 4 2 2 2" xfId="16322" xr:uid="{00000000-0005-0000-0000-0000E2390000}"/>
    <cellStyle name="Comma 7 4 2 2 2 2" xfId="16323" xr:uid="{00000000-0005-0000-0000-0000E3390000}"/>
    <cellStyle name="Comma 7 4 2 2 2 2 2" xfId="16324" xr:uid="{00000000-0005-0000-0000-0000E4390000}"/>
    <cellStyle name="Comma 7 4 2 2 2 2 3" xfId="16325" xr:uid="{00000000-0005-0000-0000-0000E5390000}"/>
    <cellStyle name="Comma 7 4 2 2 2 3" xfId="16326" xr:uid="{00000000-0005-0000-0000-0000E6390000}"/>
    <cellStyle name="Comma 7 4 2 2 2 3 2" xfId="16327" xr:uid="{00000000-0005-0000-0000-0000E7390000}"/>
    <cellStyle name="Comma 7 4 2 2 2 3 3" xfId="16328" xr:uid="{00000000-0005-0000-0000-0000E8390000}"/>
    <cellStyle name="Comma 7 4 2 2 2 4" xfId="16329" xr:uid="{00000000-0005-0000-0000-0000E9390000}"/>
    <cellStyle name="Comma 7 4 2 2 2 5" xfId="16330" xr:uid="{00000000-0005-0000-0000-0000EA390000}"/>
    <cellStyle name="Comma 7 4 2 2 3" xfId="16331" xr:uid="{00000000-0005-0000-0000-0000EB390000}"/>
    <cellStyle name="Comma 7 4 2 2 3 2" xfId="16332" xr:uid="{00000000-0005-0000-0000-0000EC390000}"/>
    <cellStyle name="Comma 7 4 2 2 3 3" xfId="16333" xr:uid="{00000000-0005-0000-0000-0000ED390000}"/>
    <cellStyle name="Comma 7 4 2 2 4" xfId="16334" xr:uid="{00000000-0005-0000-0000-0000EE390000}"/>
    <cellStyle name="Comma 7 4 2 2 4 2" xfId="16335" xr:uid="{00000000-0005-0000-0000-0000EF390000}"/>
    <cellStyle name="Comma 7 4 2 2 4 3" xfId="16336" xr:uid="{00000000-0005-0000-0000-0000F0390000}"/>
    <cellStyle name="Comma 7 4 2 2 5" xfId="16337" xr:uid="{00000000-0005-0000-0000-0000F1390000}"/>
    <cellStyle name="Comma 7 4 2 2 6" xfId="16338" xr:uid="{00000000-0005-0000-0000-0000F2390000}"/>
    <cellStyle name="Comma 7 4 2 3" xfId="16339" xr:uid="{00000000-0005-0000-0000-0000F3390000}"/>
    <cellStyle name="Comma 7 4 2 3 2" xfId="16340" xr:uid="{00000000-0005-0000-0000-0000F4390000}"/>
    <cellStyle name="Comma 7 4 2 3 2 2" xfId="16341" xr:uid="{00000000-0005-0000-0000-0000F5390000}"/>
    <cellStyle name="Comma 7 4 2 3 2 3" xfId="16342" xr:uid="{00000000-0005-0000-0000-0000F6390000}"/>
    <cellStyle name="Comma 7 4 2 3 3" xfId="16343" xr:uid="{00000000-0005-0000-0000-0000F7390000}"/>
    <cellStyle name="Comma 7 4 2 3 3 2" xfId="16344" xr:uid="{00000000-0005-0000-0000-0000F8390000}"/>
    <cellStyle name="Comma 7 4 2 3 3 3" xfId="16345" xr:uid="{00000000-0005-0000-0000-0000F9390000}"/>
    <cellStyle name="Comma 7 4 2 3 4" xfId="16346" xr:uid="{00000000-0005-0000-0000-0000FA390000}"/>
    <cellStyle name="Comma 7 4 2 3 5" xfId="16347" xr:uid="{00000000-0005-0000-0000-0000FB390000}"/>
    <cellStyle name="Comma 7 4 2 4" xfId="16348" xr:uid="{00000000-0005-0000-0000-0000FC390000}"/>
    <cellStyle name="Comma 7 4 2 4 2" xfId="16349" xr:uid="{00000000-0005-0000-0000-0000FD390000}"/>
    <cellStyle name="Comma 7 4 2 4 3" xfId="16350" xr:uid="{00000000-0005-0000-0000-0000FE390000}"/>
    <cellStyle name="Comma 7 4 2 5" xfId="16351" xr:uid="{00000000-0005-0000-0000-0000FF390000}"/>
    <cellStyle name="Comma 7 4 2 5 2" xfId="16352" xr:uid="{00000000-0005-0000-0000-0000003A0000}"/>
    <cellStyle name="Comma 7 4 2 5 3" xfId="16353" xr:uid="{00000000-0005-0000-0000-0000013A0000}"/>
    <cellStyle name="Comma 7 4 2 6" xfId="16354" xr:uid="{00000000-0005-0000-0000-0000023A0000}"/>
    <cellStyle name="Comma 7 4 2 7" xfId="16355" xr:uid="{00000000-0005-0000-0000-0000033A0000}"/>
    <cellStyle name="Comma 7 4 2 8" xfId="44939" xr:uid="{00000000-0005-0000-0000-0000043A0000}"/>
    <cellStyle name="Comma 7 4 3" xfId="16356" xr:uid="{00000000-0005-0000-0000-0000053A0000}"/>
    <cellStyle name="Comma 7 4 3 2" xfId="16357" xr:uid="{00000000-0005-0000-0000-0000063A0000}"/>
    <cellStyle name="Comma 7 4 3 2 2" xfId="16358" xr:uid="{00000000-0005-0000-0000-0000073A0000}"/>
    <cellStyle name="Comma 7 4 3 2 2 2" xfId="16359" xr:uid="{00000000-0005-0000-0000-0000083A0000}"/>
    <cellStyle name="Comma 7 4 3 2 2 3" xfId="16360" xr:uid="{00000000-0005-0000-0000-0000093A0000}"/>
    <cellStyle name="Comma 7 4 3 2 3" xfId="16361" xr:uid="{00000000-0005-0000-0000-00000A3A0000}"/>
    <cellStyle name="Comma 7 4 3 2 3 2" xfId="16362" xr:uid="{00000000-0005-0000-0000-00000B3A0000}"/>
    <cellStyle name="Comma 7 4 3 2 3 3" xfId="16363" xr:uid="{00000000-0005-0000-0000-00000C3A0000}"/>
    <cellStyle name="Comma 7 4 3 2 4" xfId="16364" xr:uid="{00000000-0005-0000-0000-00000D3A0000}"/>
    <cellStyle name="Comma 7 4 3 2 5" xfId="16365" xr:uid="{00000000-0005-0000-0000-00000E3A0000}"/>
    <cellStyle name="Comma 7 4 3 3" xfId="16366" xr:uid="{00000000-0005-0000-0000-00000F3A0000}"/>
    <cellStyle name="Comma 7 4 3 3 2" xfId="16367" xr:uid="{00000000-0005-0000-0000-0000103A0000}"/>
    <cellStyle name="Comma 7 4 3 3 3" xfId="16368" xr:uid="{00000000-0005-0000-0000-0000113A0000}"/>
    <cellStyle name="Comma 7 4 3 4" xfId="16369" xr:uid="{00000000-0005-0000-0000-0000123A0000}"/>
    <cellStyle name="Comma 7 4 3 4 2" xfId="16370" xr:uid="{00000000-0005-0000-0000-0000133A0000}"/>
    <cellStyle name="Comma 7 4 3 4 3" xfId="16371" xr:uid="{00000000-0005-0000-0000-0000143A0000}"/>
    <cellStyle name="Comma 7 4 3 5" xfId="16372" xr:uid="{00000000-0005-0000-0000-0000153A0000}"/>
    <cellStyle name="Comma 7 4 3 6" xfId="16373" xr:uid="{00000000-0005-0000-0000-0000163A0000}"/>
    <cellStyle name="Comma 7 4 4" xfId="16374" xr:uid="{00000000-0005-0000-0000-0000173A0000}"/>
    <cellStyle name="Comma 7 4 4 2" xfId="16375" xr:uid="{00000000-0005-0000-0000-0000183A0000}"/>
    <cellStyle name="Comma 7 4 4 2 2" xfId="16376" xr:uid="{00000000-0005-0000-0000-0000193A0000}"/>
    <cellStyle name="Comma 7 4 4 2 3" xfId="16377" xr:uid="{00000000-0005-0000-0000-00001A3A0000}"/>
    <cellStyle name="Comma 7 4 4 3" xfId="16378" xr:uid="{00000000-0005-0000-0000-00001B3A0000}"/>
    <cellStyle name="Comma 7 4 4 3 2" xfId="16379" xr:uid="{00000000-0005-0000-0000-00001C3A0000}"/>
    <cellStyle name="Comma 7 4 4 3 3" xfId="16380" xr:uid="{00000000-0005-0000-0000-00001D3A0000}"/>
    <cellStyle name="Comma 7 4 4 4" xfId="16381" xr:uid="{00000000-0005-0000-0000-00001E3A0000}"/>
    <cellStyle name="Comma 7 4 4 5" xfId="16382" xr:uid="{00000000-0005-0000-0000-00001F3A0000}"/>
    <cellStyle name="Comma 7 4 5" xfId="16383" xr:uid="{00000000-0005-0000-0000-0000203A0000}"/>
    <cellStyle name="Comma 7 4 5 2" xfId="16384" xr:uid="{00000000-0005-0000-0000-0000213A0000}"/>
    <cellStyle name="Comma 7 4 5 3" xfId="16385" xr:uid="{00000000-0005-0000-0000-0000223A0000}"/>
    <cellStyle name="Comma 7 4 6" xfId="16386" xr:uid="{00000000-0005-0000-0000-0000233A0000}"/>
    <cellStyle name="Comma 7 4 6 2" xfId="16387" xr:uid="{00000000-0005-0000-0000-0000243A0000}"/>
    <cellStyle name="Comma 7 4 6 3" xfId="16388" xr:uid="{00000000-0005-0000-0000-0000253A0000}"/>
    <cellStyle name="Comma 7 4 7" xfId="16389" xr:uid="{00000000-0005-0000-0000-0000263A0000}"/>
    <cellStyle name="Comma 7 4 8" xfId="16390" xr:uid="{00000000-0005-0000-0000-0000273A0000}"/>
    <cellStyle name="Comma 7 4 9" xfId="44940" xr:uid="{00000000-0005-0000-0000-0000283A0000}"/>
    <cellStyle name="Comma 7 5" xfId="926" xr:uid="{00000000-0005-0000-0000-0000293A0000}"/>
    <cellStyle name="Comma 7 5 2" xfId="16391" xr:uid="{00000000-0005-0000-0000-00002A3A0000}"/>
    <cellStyle name="Comma 7 5 2 2" xfId="16392" xr:uid="{00000000-0005-0000-0000-00002B3A0000}"/>
    <cellStyle name="Comma 7 5 2 2 2" xfId="16393" xr:uid="{00000000-0005-0000-0000-00002C3A0000}"/>
    <cellStyle name="Comma 7 5 2 2 2 2" xfId="16394" xr:uid="{00000000-0005-0000-0000-00002D3A0000}"/>
    <cellStyle name="Comma 7 5 2 2 2 3" xfId="16395" xr:uid="{00000000-0005-0000-0000-00002E3A0000}"/>
    <cellStyle name="Comma 7 5 2 2 3" xfId="16396" xr:uid="{00000000-0005-0000-0000-00002F3A0000}"/>
    <cellStyle name="Comma 7 5 2 2 3 2" xfId="16397" xr:uid="{00000000-0005-0000-0000-0000303A0000}"/>
    <cellStyle name="Comma 7 5 2 2 3 3" xfId="16398" xr:uid="{00000000-0005-0000-0000-0000313A0000}"/>
    <cellStyle name="Comma 7 5 2 2 4" xfId="16399" xr:uid="{00000000-0005-0000-0000-0000323A0000}"/>
    <cellStyle name="Comma 7 5 2 2 5" xfId="16400" xr:uid="{00000000-0005-0000-0000-0000333A0000}"/>
    <cellStyle name="Comma 7 5 2 3" xfId="16401" xr:uid="{00000000-0005-0000-0000-0000343A0000}"/>
    <cellStyle name="Comma 7 5 2 3 2" xfId="16402" xr:uid="{00000000-0005-0000-0000-0000353A0000}"/>
    <cellStyle name="Comma 7 5 2 3 3" xfId="16403" xr:uid="{00000000-0005-0000-0000-0000363A0000}"/>
    <cellStyle name="Comma 7 5 2 4" xfId="16404" xr:uid="{00000000-0005-0000-0000-0000373A0000}"/>
    <cellStyle name="Comma 7 5 2 4 2" xfId="16405" xr:uid="{00000000-0005-0000-0000-0000383A0000}"/>
    <cellStyle name="Comma 7 5 2 4 3" xfId="16406" xr:uid="{00000000-0005-0000-0000-0000393A0000}"/>
    <cellStyle name="Comma 7 5 2 5" xfId="16407" xr:uid="{00000000-0005-0000-0000-00003A3A0000}"/>
    <cellStyle name="Comma 7 5 2 6" xfId="16408" xr:uid="{00000000-0005-0000-0000-00003B3A0000}"/>
    <cellStyle name="Comma 7 5 3" xfId="16409" xr:uid="{00000000-0005-0000-0000-00003C3A0000}"/>
    <cellStyle name="Comma 7 5 3 2" xfId="16410" xr:uid="{00000000-0005-0000-0000-00003D3A0000}"/>
    <cellStyle name="Comma 7 5 3 2 2" xfId="16411" xr:uid="{00000000-0005-0000-0000-00003E3A0000}"/>
    <cellStyle name="Comma 7 5 3 2 3" xfId="16412" xr:uid="{00000000-0005-0000-0000-00003F3A0000}"/>
    <cellStyle name="Comma 7 5 3 3" xfId="16413" xr:uid="{00000000-0005-0000-0000-0000403A0000}"/>
    <cellStyle name="Comma 7 5 3 3 2" xfId="16414" xr:uid="{00000000-0005-0000-0000-0000413A0000}"/>
    <cellStyle name="Comma 7 5 3 3 3" xfId="16415" xr:uid="{00000000-0005-0000-0000-0000423A0000}"/>
    <cellStyle name="Comma 7 5 3 4" xfId="16416" xr:uid="{00000000-0005-0000-0000-0000433A0000}"/>
    <cellStyle name="Comma 7 5 3 5" xfId="16417" xr:uid="{00000000-0005-0000-0000-0000443A0000}"/>
    <cellStyle name="Comma 7 5 4" xfId="16418" xr:uid="{00000000-0005-0000-0000-0000453A0000}"/>
    <cellStyle name="Comma 7 5 4 2" xfId="16419" xr:uid="{00000000-0005-0000-0000-0000463A0000}"/>
    <cellStyle name="Comma 7 5 4 3" xfId="16420" xr:uid="{00000000-0005-0000-0000-0000473A0000}"/>
    <cellStyle name="Comma 7 5 5" xfId="16421" xr:uid="{00000000-0005-0000-0000-0000483A0000}"/>
    <cellStyle name="Comma 7 5 5 2" xfId="16422" xr:uid="{00000000-0005-0000-0000-0000493A0000}"/>
    <cellStyle name="Comma 7 5 5 3" xfId="16423" xr:uid="{00000000-0005-0000-0000-00004A3A0000}"/>
    <cellStyle name="Comma 7 5 6" xfId="16424" xr:uid="{00000000-0005-0000-0000-00004B3A0000}"/>
    <cellStyle name="Comma 7 5 7" xfId="16425" xr:uid="{00000000-0005-0000-0000-00004C3A0000}"/>
    <cellStyle name="Comma 7 5 8" xfId="44941" xr:uid="{00000000-0005-0000-0000-00004D3A0000}"/>
    <cellStyle name="Comma 7 6" xfId="16426" xr:uid="{00000000-0005-0000-0000-00004E3A0000}"/>
    <cellStyle name="Comma 7 6 2" xfId="16427" xr:uid="{00000000-0005-0000-0000-00004F3A0000}"/>
    <cellStyle name="Comma 7 6 2 2" xfId="16428" xr:uid="{00000000-0005-0000-0000-0000503A0000}"/>
    <cellStyle name="Comma 7 6 2 2 2" xfId="16429" xr:uid="{00000000-0005-0000-0000-0000513A0000}"/>
    <cellStyle name="Comma 7 6 2 2 3" xfId="16430" xr:uid="{00000000-0005-0000-0000-0000523A0000}"/>
    <cellStyle name="Comma 7 6 2 3" xfId="16431" xr:uid="{00000000-0005-0000-0000-0000533A0000}"/>
    <cellStyle name="Comma 7 6 2 3 2" xfId="16432" xr:uid="{00000000-0005-0000-0000-0000543A0000}"/>
    <cellStyle name="Comma 7 6 2 3 3" xfId="16433" xr:uid="{00000000-0005-0000-0000-0000553A0000}"/>
    <cellStyle name="Comma 7 6 2 4" xfId="16434" xr:uid="{00000000-0005-0000-0000-0000563A0000}"/>
    <cellStyle name="Comma 7 6 2 5" xfId="16435" xr:uid="{00000000-0005-0000-0000-0000573A0000}"/>
    <cellStyle name="Comma 7 6 3" xfId="16436" xr:uid="{00000000-0005-0000-0000-0000583A0000}"/>
    <cellStyle name="Comma 7 6 3 2" xfId="16437" xr:uid="{00000000-0005-0000-0000-0000593A0000}"/>
    <cellStyle name="Comma 7 6 3 3" xfId="16438" xr:uid="{00000000-0005-0000-0000-00005A3A0000}"/>
    <cellStyle name="Comma 7 6 4" xfId="16439" xr:uid="{00000000-0005-0000-0000-00005B3A0000}"/>
    <cellStyle name="Comma 7 6 4 2" xfId="16440" xr:uid="{00000000-0005-0000-0000-00005C3A0000}"/>
    <cellStyle name="Comma 7 6 4 3" xfId="16441" xr:uid="{00000000-0005-0000-0000-00005D3A0000}"/>
    <cellStyle name="Comma 7 6 5" xfId="16442" xr:uid="{00000000-0005-0000-0000-00005E3A0000}"/>
    <cellStyle name="Comma 7 6 6" xfId="16443" xr:uid="{00000000-0005-0000-0000-00005F3A0000}"/>
    <cellStyle name="Comma 7 6 7" xfId="42463" xr:uid="{00000000-0005-0000-0000-0000603A0000}"/>
    <cellStyle name="Comma 7 6 8" xfId="44942" xr:uid="{00000000-0005-0000-0000-0000613A0000}"/>
    <cellStyle name="Comma 7 7" xfId="16444" xr:uid="{00000000-0005-0000-0000-0000623A0000}"/>
    <cellStyle name="Comma 7 7 2" xfId="16445" xr:uid="{00000000-0005-0000-0000-0000633A0000}"/>
    <cellStyle name="Comma 7 7 2 2" xfId="16446" xr:uid="{00000000-0005-0000-0000-0000643A0000}"/>
    <cellStyle name="Comma 7 7 2 3" xfId="16447" xr:uid="{00000000-0005-0000-0000-0000653A0000}"/>
    <cellStyle name="Comma 7 7 3" xfId="16448" xr:uid="{00000000-0005-0000-0000-0000663A0000}"/>
    <cellStyle name="Comma 7 7 3 2" xfId="16449" xr:uid="{00000000-0005-0000-0000-0000673A0000}"/>
    <cellStyle name="Comma 7 7 3 3" xfId="16450" xr:uid="{00000000-0005-0000-0000-0000683A0000}"/>
    <cellStyle name="Comma 7 7 4" xfId="16451" xr:uid="{00000000-0005-0000-0000-0000693A0000}"/>
    <cellStyle name="Comma 7 7 5" xfId="16452" xr:uid="{00000000-0005-0000-0000-00006A3A0000}"/>
    <cellStyle name="Comma 7 8" xfId="16453" xr:uid="{00000000-0005-0000-0000-00006B3A0000}"/>
    <cellStyle name="Comma 7 8 2" xfId="16454" xr:uid="{00000000-0005-0000-0000-00006C3A0000}"/>
    <cellStyle name="Comma 7 8 3" xfId="16455" xr:uid="{00000000-0005-0000-0000-00006D3A0000}"/>
    <cellStyle name="Comma 7 9" xfId="16456" xr:uid="{00000000-0005-0000-0000-00006E3A0000}"/>
    <cellStyle name="Comma 7 9 2" xfId="16457" xr:uid="{00000000-0005-0000-0000-00006F3A0000}"/>
    <cellStyle name="Comma 7 9 3" xfId="16458" xr:uid="{00000000-0005-0000-0000-0000703A0000}"/>
    <cellStyle name="Comma 8" xfId="264" xr:uid="{00000000-0005-0000-0000-0000713A0000}"/>
    <cellStyle name="Comma 8 10" xfId="16459" xr:uid="{00000000-0005-0000-0000-0000723A0000}"/>
    <cellStyle name="Comma 8 2" xfId="265" xr:uid="{00000000-0005-0000-0000-0000733A0000}"/>
    <cellStyle name="Comma 8 2 2" xfId="266" xr:uid="{00000000-0005-0000-0000-0000743A0000}"/>
    <cellStyle name="Comma 8 2 2 2" xfId="927" xr:uid="{00000000-0005-0000-0000-0000753A0000}"/>
    <cellStyle name="Comma 8 2 2 2 2" xfId="16460" xr:uid="{00000000-0005-0000-0000-0000763A0000}"/>
    <cellStyle name="Comma 8 2 2 2 2 2" xfId="16461" xr:uid="{00000000-0005-0000-0000-0000773A0000}"/>
    <cellStyle name="Comma 8 2 2 2 2 2 2" xfId="16462" xr:uid="{00000000-0005-0000-0000-0000783A0000}"/>
    <cellStyle name="Comma 8 2 2 2 2 2 3" xfId="16463" xr:uid="{00000000-0005-0000-0000-0000793A0000}"/>
    <cellStyle name="Comma 8 2 2 2 2 3" xfId="16464" xr:uid="{00000000-0005-0000-0000-00007A3A0000}"/>
    <cellStyle name="Comma 8 2 2 2 2 3 2" xfId="16465" xr:uid="{00000000-0005-0000-0000-00007B3A0000}"/>
    <cellStyle name="Comma 8 2 2 2 2 3 3" xfId="16466" xr:uid="{00000000-0005-0000-0000-00007C3A0000}"/>
    <cellStyle name="Comma 8 2 2 2 2 4" xfId="16467" xr:uid="{00000000-0005-0000-0000-00007D3A0000}"/>
    <cellStyle name="Comma 8 2 2 2 2 5" xfId="16468" xr:uid="{00000000-0005-0000-0000-00007E3A0000}"/>
    <cellStyle name="Comma 8 2 2 2 3" xfId="16469" xr:uid="{00000000-0005-0000-0000-00007F3A0000}"/>
    <cellStyle name="Comma 8 2 2 2 3 2" xfId="16470" xr:uid="{00000000-0005-0000-0000-0000803A0000}"/>
    <cellStyle name="Comma 8 2 2 2 3 3" xfId="16471" xr:uid="{00000000-0005-0000-0000-0000813A0000}"/>
    <cellStyle name="Comma 8 2 2 2 4" xfId="16472" xr:uid="{00000000-0005-0000-0000-0000823A0000}"/>
    <cellStyle name="Comma 8 2 2 2 4 2" xfId="16473" xr:uid="{00000000-0005-0000-0000-0000833A0000}"/>
    <cellStyle name="Comma 8 2 2 2 4 3" xfId="16474" xr:uid="{00000000-0005-0000-0000-0000843A0000}"/>
    <cellStyle name="Comma 8 2 2 2 5" xfId="16475" xr:uid="{00000000-0005-0000-0000-0000853A0000}"/>
    <cellStyle name="Comma 8 2 2 2 6" xfId="16476" xr:uid="{00000000-0005-0000-0000-0000863A0000}"/>
    <cellStyle name="Comma 8 2 2 3" xfId="928" xr:uid="{00000000-0005-0000-0000-0000873A0000}"/>
    <cellStyle name="Comma 8 2 2 3 2" xfId="16477" xr:uid="{00000000-0005-0000-0000-0000883A0000}"/>
    <cellStyle name="Comma 8 2 2 3 2 2" xfId="16478" xr:uid="{00000000-0005-0000-0000-0000893A0000}"/>
    <cellStyle name="Comma 8 2 2 3 2 3" xfId="16479" xr:uid="{00000000-0005-0000-0000-00008A3A0000}"/>
    <cellStyle name="Comma 8 2 2 3 3" xfId="16480" xr:uid="{00000000-0005-0000-0000-00008B3A0000}"/>
    <cellStyle name="Comma 8 2 2 3 3 2" xfId="16481" xr:uid="{00000000-0005-0000-0000-00008C3A0000}"/>
    <cellStyle name="Comma 8 2 2 3 3 3" xfId="16482" xr:uid="{00000000-0005-0000-0000-00008D3A0000}"/>
    <cellStyle name="Comma 8 2 2 3 4" xfId="16483" xr:uid="{00000000-0005-0000-0000-00008E3A0000}"/>
    <cellStyle name="Comma 8 2 2 3 5" xfId="16484" xr:uid="{00000000-0005-0000-0000-00008F3A0000}"/>
    <cellStyle name="Comma 8 2 2 4" xfId="16485" xr:uid="{00000000-0005-0000-0000-0000903A0000}"/>
    <cellStyle name="Comma 8 2 2 4 2" xfId="16486" xr:uid="{00000000-0005-0000-0000-0000913A0000}"/>
    <cellStyle name="Comma 8 2 2 4 3" xfId="16487" xr:uid="{00000000-0005-0000-0000-0000923A0000}"/>
    <cellStyle name="Comma 8 2 2 5" xfId="16488" xr:uid="{00000000-0005-0000-0000-0000933A0000}"/>
    <cellStyle name="Comma 8 2 2 5 2" xfId="16489" xr:uid="{00000000-0005-0000-0000-0000943A0000}"/>
    <cellStyle name="Comma 8 2 2 5 3" xfId="16490" xr:uid="{00000000-0005-0000-0000-0000953A0000}"/>
    <cellStyle name="Comma 8 2 2 6" xfId="16491" xr:uid="{00000000-0005-0000-0000-0000963A0000}"/>
    <cellStyle name="Comma 8 2 2 7" xfId="16492" xr:uid="{00000000-0005-0000-0000-0000973A0000}"/>
    <cellStyle name="Comma 8 2 2 8" xfId="44943" xr:uid="{00000000-0005-0000-0000-0000983A0000}"/>
    <cellStyle name="Comma 8 2 3" xfId="649" xr:uid="{00000000-0005-0000-0000-0000993A0000}"/>
    <cellStyle name="Comma 8 2 3 2" xfId="3373" xr:uid="{00000000-0005-0000-0000-00009A3A0000}"/>
    <cellStyle name="Comma 8 2 3 2 2" xfId="16493" xr:uid="{00000000-0005-0000-0000-00009B3A0000}"/>
    <cellStyle name="Comma 8 2 3 2 2 2" xfId="16494" xr:uid="{00000000-0005-0000-0000-00009C3A0000}"/>
    <cellStyle name="Comma 8 2 3 2 2 3" xfId="16495" xr:uid="{00000000-0005-0000-0000-00009D3A0000}"/>
    <cellStyle name="Comma 8 2 3 2 3" xfId="16496" xr:uid="{00000000-0005-0000-0000-00009E3A0000}"/>
    <cellStyle name="Comma 8 2 3 2 3 2" xfId="16497" xr:uid="{00000000-0005-0000-0000-00009F3A0000}"/>
    <cellStyle name="Comma 8 2 3 2 3 3" xfId="16498" xr:uid="{00000000-0005-0000-0000-0000A03A0000}"/>
    <cellStyle name="Comma 8 2 3 2 4" xfId="16499" xr:uid="{00000000-0005-0000-0000-0000A13A0000}"/>
    <cellStyle name="Comma 8 2 3 2 5" xfId="16500" xr:uid="{00000000-0005-0000-0000-0000A23A0000}"/>
    <cellStyle name="Comma 8 2 3 3" xfId="16501" xr:uid="{00000000-0005-0000-0000-0000A33A0000}"/>
    <cellStyle name="Comma 8 2 3 3 2" xfId="16502" xr:uid="{00000000-0005-0000-0000-0000A43A0000}"/>
    <cellStyle name="Comma 8 2 3 3 3" xfId="16503" xr:uid="{00000000-0005-0000-0000-0000A53A0000}"/>
    <cellStyle name="Comma 8 2 3 4" xfId="16504" xr:uid="{00000000-0005-0000-0000-0000A63A0000}"/>
    <cellStyle name="Comma 8 2 3 4 2" xfId="16505" xr:uid="{00000000-0005-0000-0000-0000A73A0000}"/>
    <cellStyle name="Comma 8 2 3 4 3" xfId="16506" xr:uid="{00000000-0005-0000-0000-0000A83A0000}"/>
    <cellStyle name="Comma 8 2 3 5" xfId="16507" xr:uid="{00000000-0005-0000-0000-0000A93A0000}"/>
    <cellStyle name="Comma 8 2 3 6" xfId="16508" xr:uid="{00000000-0005-0000-0000-0000AA3A0000}"/>
    <cellStyle name="Comma 8 2 4" xfId="16509" xr:uid="{00000000-0005-0000-0000-0000AB3A0000}"/>
    <cellStyle name="Comma 8 2 4 2" xfId="16510" xr:uid="{00000000-0005-0000-0000-0000AC3A0000}"/>
    <cellStyle name="Comma 8 2 4 2 2" xfId="16511" xr:uid="{00000000-0005-0000-0000-0000AD3A0000}"/>
    <cellStyle name="Comma 8 2 4 2 3" xfId="16512" xr:uid="{00000000-0005-0000-0000-0000AE3A0000}"/>
    <cellStyle name="Comma 8 2 4 3" xfId="16513" xr:uid="{00000000-0005-0000-0000-0000AF3A0000}"/>
    <cellStyle name="Comma 8 2 4 3 2" xfId="16514" xr:uid="{00000000-0005-0000-0000-0000B03A0000}"/>
    <cellStyle name="Comma 8 2 4 3 3" xfId="16515" xr:uid="{00000000-0005-0000-0000-0000B13A0000}"/>
    <cellStyle name="Comma 8 2 4 4" xfId="16516" xr:uid="{00000000-0005-0000-0000-0000B23A0000}"/>
    <cellStyle name="Comma 8 2 4 5" xfId="16517" xr:uid="{00000000-0005-0000-0000-0000B33A0000}"/>
    <cellStyle name="Comma 8 2 5" xfId="16518" xr:uid="{00000000-0005-0000-0000-0000B43A0000}"/>
    <cellStyle name="Comma 8 2 5 2" xfId="16519" xr:uid="{00000000-0005-0000-0000-0000B53A0000}"/>
    <cellStyle name="Comma 8 2 5 3" xfId="16520" xr:uid="{00000000-0005-0000-0000-0000B63A0000}"/>
    <cellStyle name="Comma 8 2 6" xfId="16521" xr:uid="{00000000-0005-0000-0000-0000B73A0000}"/>
    <cellStyle name="Comma 8 2 6 2" xfId="16522" xr:uid="{00000000-0005-0000-0000-0000B83A0000}"/>
    <cellStyle name="Comma 8 2 6 3" xfId="16523" xr:uid="{00000000-0005-0000-0000-0000B93A0000}"/>
    <cellStyle name="Comma 8 2 7" xfId="16524" xr:uid="{00000000-0005-0000-0000-0000BA3A0000}"/>
    <cellStyle name="Comma 8 2 8" xfId="16525" xr:uid="{00000000-0005-0000-0000-0000BB3A0000}"/>
    <cellStyle name="Comma 8 2 9" xfId="44944" xr:uid="{00000000-0005-0000-0000-0000BC3A0000}"/>
    <cellStyle name="Comma 8 3" xfId="267" xr:uid="{00000000-0005-0000-0000-0000BD3A0000}"/>
    <cellStyle name="Comma 8 3 2" xfId="929" xr:uid="{00000000-0005-0000-0000-0000BE3A0000}"/>
    <cellStyle name="Comma 8 3 2 2" xfId="16526" xr:uid="{00000000-0005-0000-0000-0000BF3A0000}"/>
    <cellStyle name="Comma 8 3 2 2 2" xfId="16527" xr:uid="{00000000-0005-0000-0000-0000C03A0000}"/>
    <cellStyle name="Comma 8 3 2 2 2 2" xfId="16528" xr:uid="{00000000-0005-0000-0000-0000C13A0000}"/>
    <cellStyle name="Comma 8 3 2 2 2 2 2" xfId="16529" xr:uid="{00000000-0005-0000-0000-0000C23A0000}"/>
    <cellStyle name="Comma 8 3 2 2 2 2 3" xfId="16530" xr:uid="{00000000-0005-0000-0000-0000C33A0000}"/>
    <cellStyle name="Comma 8 3 2 2 2 3" xfId="16531" xr:uid="{00000000-0005-0000-0000-0000C43A0000}"/>
    <cellStyle name="Comma 8 3 2 2 2 3 2" xfId="16532" xr:uid="{00000000-0005-0000-0000-0000C53A0000}"/>
    <cellStyle name="Comma 8 3 2 2 2 3 3" xfId="16533" xr:uid="{00000000-0005-0000-0000-0000C63A0000}"/>
    <cellStyle name="Comma 8 3 2 2 2 4" xfId="16534" xr:uid="{00000000-0005-0000-0000-0000C73A0000}"/>
    <cellStyle name="Comma 8 3 2 2 2 5" xfId="16535" xr:uid="{00000000-0005-0000-0000-0000C83A0000}"/>
    <cellStyle name="Comma 8 3 2 2 3" xfId="16536" xr:uid="{00000000-0005-0000-0000-0000C93A0000}"/>
    <cellStyle name="Comma 8 3 2 2 3 2" xfId="16537" xr:uid="{00000000-0005-0000-0000-0000CA3A0000}"/>
    <cellStyle name="Comma 8 3 2 2 3 3" xfId="16538" xr:uid="{00000000-0005-0000-0000-0000CB3A0000}"/>
    <cellStyle name="Comma 8 3 2 2 4" xfId="16539" xr:uid="{00000000-0005-0000-0000-0000CC3A0000}"/>
    <cellStyle name="Comma 8 3 2 2 4 2" xfId="16540" xr:uid="{00000000-0005-0000-0000-0000CD3A0000}"/>
    <cellStyle name="Comma 8 3 2 2 4 3" xfId="16541" xr:uid="{00000000-0005-0000-0000-0000CE3A0000}"/>
    <cellStyle name="Comma 8 3 2 2 5" xfId="16542" xr:uid="{00000000-0005-0000-0000-0000CF3A0000}"/>
    <cellStyle name="Comma 8 3 2 2 6" xfId="16543" xr:uid="{00000000-0005-0000-0000-0000D03A0000}"/>
    <cellStyle name="Comma 8 3 2 3" xfId="16544" xr:uid="{00000000-0005-0000-0000-0000D13A0000}"/>
    <cellStyle name="Comma 8 3 2 3 2" xfId="16545" xr:uid="{00000000-0005-0000-0000-0000D23A0000}"/>
    <cellStyle name="Comma 8 3 2 3 2 2" xfId="16546" xr:uid="{00000000-0005-0000-0000-0000D33A0000}"/>
    <cellStyle name="Comma 8 3 2 3 2 3" xfId="16547" xr:uid="{00000000-0005-0000-0000-0000D43A0000}"/>
    <cellStyle name="Comma 8 3 2 3 3" xfId="16548" xr:uid="{00000000-0005-0000-0000-0000D53A0000}"/>
    <cellStyle name="Comma 8 3 2 3 3 2" xfId="16549" xr:uid="{00000000-0005-0000-0000-0000D63A0000}"/>
    <cellStyle name="Comma 8 3 2 3 3 3" xfId="16550" xr:uid="{00000000-0005-0000-0000-0000D73A0000}"/>
    <cellStyle name="Comma 8 3 2 3 4" xfId="16551" xr:uid="{00000000-0005-0000-0000-0000D83A0000}"/>
    <cellStyle name="Comma 8 3 2 3 5" xfId="16552" xr:uid="{00000000-0005-0000-0000-0000D93A0000}"/>
    <cellStyle name="Comma 8 3 2 4" xfId="16553" xr:uid="{00000000-0005-0000-0000-0000DA3A0000}"/>
    <cellStyle name="Comma 8 3 2 4 2" xfId="16554" xr:uid="{00000000-0005-0000-0000-0000DB3A0000}"/>
    <cellStyle name="Comma 8 3 2 4 3" xfId="16555" xr:uid="{00000000-0005-0000-0000-0000DC3A0000}"/>
    <cellStyle name="Comma 8 3 2 5" xfId="16556" xr:uid="{00000000-0005-0000-0000-0000DD3A0000}"/>
    <cellStyle name="Comma 8 3 2 5 2" xfId="16557" xr:uid="{00000000-0005-0000-0000-0000DE3A0000}"/>
    <cellStyle name="Comma 8 3 2 5 3" xfId="16558" xr:uid="{00000000-0005-0000-0000-0000DF3A0000}"/>
    <cellStyle name="Comma 8 3 2 6" xfId="16559" xr:uid="{00000000-0005-0000-0000-0000E03A0000}"/>
    <cellStyle name="Comma 8 3 2 7" xfId="16560" xr:uid="{00000000-0005-0000-0000-0000E13A0000}"/>
    <cellStyle name="Comma 8 3 2 8" xfId="44945" xr:uid="{00000000-0005-0000-0000-0000E23A0000}"/>
    <cellStyle name="Comma 8 3 3" xfId="16561" xr:uid="{00000000-0005-0000-0000-0000E33A0000}"/>
    <cellStyle name="Comma 8 3 3 2" xfId="16562" xr:uid="{00000000-0005-0000-0000-0000E43A0000}"/>
    <cellStyle name="Comma 8 3 3 2 2" xfId="16563" xr:uid="{00000000-0005-0000-0000-0000E53A0000}"/>
    <cellStyle name="Comma 8 3 3 2 2 2" xfId="16564" xr:uid="{00000000-0005-0000-0000-0000E63A0000}"/>
    <cellStyle name="Comma 8 3 3 2 2 3" xfId="16565" xr:uid="{00000000-0005-0000-0000-0000E73A0000}"/>
    <cellStyle name="Comma 8 3 3 2 3" xfId="16566" xr:uid="{00000000-0005-0000-0000-0000E83A0000}"/>
    <cellStyle name="Comma 8 3 3 2 3 2" xfId="16567" xr:uid="{00000000-0005-0000-0000-0000E93A0000}"/>
    <cellStyle name="Comma 8 3 3 2 3 3" xfId="16568" xr:uid="{00000000-0005-0000-0000-0000EA3A0000}"/>
    <cellStyle name="Comma 8 3 3 2 4" xfId="16569" xr:uid="{00000000-0005-0000-0000-0000EB3A0000}"/>
    <cellStyle name="Comma 8 3 3 2 5" xfId="16570" xr:uid="{00000000-0005-0000-0000-0000EC3A0000}"/>
    <cellStyle name="Comma 8 3 3 3" xfId="16571" xr:uid="{00000000-0005-0000-0000-0000ED3A0000}"/>
    <cellStyle name="Comma 8 3 3 3 2" xfId="16572" xr:uid="{00000000-0005-0000-0000-0000EE3A0000}"/>
    <cellStyle name="Comma 8 3 3 3 3" xfId="16573" xr:uid="{00000000-0005-0000-0000-0000EF3A0000}"/>
    <cellStyle name="Comma 8 3 3 4" xfId="16574" xr:uid="{00000000-0005-0000-0000-0000F03A0000}"/>
    <cellStyle name="Comma 8 3 3 4 2" xfId="16575" xr:uid="{00000000-0005-0000-0000-0000F13A0000}"/>
    <cellStyle name="Comma 8 3 3 4 3" xfId="16576" xr:uid="{00000000-0005-0000-0000-0000F23A0000}"/>
    <cellStyle name="Comma 8 3 3 5" xfId="16577" xr:uid="{00000000-0005-0000-0000-0000F33A0000}"/>
    <cellStyle name="Comma 8 3 3 6" xfId="16578" xr:uid="{00000000-0005-0000-0000-0000F43A0000}"/>
    <cellStyle name="Comma 8 3 4" xfId="16579" xr:uid="{00000000-0005-0000-0000-0000F53A0000}"/>
    <cellStyle name="Comma 8 3 4 2" xfId="16580" xr:uid="{00000000-0005-0000-0000-0000F63A0000}"/>
    <cellStyle name="Comma 8 3 4 2 2" xfId="16581" xr:uid="{00000000-0005-0000-0000-0000F73A0000}"/>
    <cellStyle name="Comma 8 3 4 2 3" xfId="16582" xr:uid="{00000000-0005-0000-0000-0000F83A0000}"/>
    <cellStyle name="Comma 8 3 4 3" xfId="16583" xr:uid="{00000000-0005-0000-0000-0000F93A0000}"/>
    <cellStyle name="Comma 8 3 4 3 2" xfId="16584" xr:uid="{00000000-0005-0000-0000-0000FA3A0000}"/>
    <cellStyle name="Comma 8 3 4 3 3" xfId="16585" xr:uid="{00000000-0005-0000-0000-0000FB3A0000}"/>
    <cellStyle name="Comma 8 3 4 4" xfId="16586" xr:uid="{00000000-0005-0000-0000-0000FC3A0000}"/>
    <cellStyle name="Comma 8 3 4 5" xfId="16587" xr:uid="{00000000-0005-0000-0000-0000FD3A0000}"/>
    <cellStyle name="Comma 8 3 5" xfId="16588" xr:uid="{00000000-0005-0000-0000-0000FE3A0000}"/>
    <cellStyle name="Comma 8 3 5 2" xfId="16589" xr:uid="{00000000-0005-0000-0000-0000FF3A0000}"/>
    <cellStyle name="Comma 8 3 5 3" xfId="16590" xr:uid="{00000000-0005-0000-0000-0000003B0000}"/>
    <cellStyle name="Comma 8 3 6" xfId="16591" xr:uid="{00000000-0005-0000-0000-0000013B0000}"/>
    <cellStyle name="Comma 8 3 6 2" xfId="16592" xr:uid="{00000000-0005-0000-0000-0000023B0000}"/>
    <cellStyle name="Comma 8 3 6 3" xfId="16593" xr:uid="{00000000-0005-0000-0000-0000033B0000}"/>
    <cellStyle name="Comma 8 3 7" xfId="16594" xr:uid="{00000000-0005-0000-0000-0000043B0000}"/>
    <cellStyle name="Comma 8 3 8" xfId="16595" xr:uid="{00000000-0005-0000-0000-0000053B0000}"/>
    <cellStyle name="Comma 8 3 9" xfId="44946" xr:uid="{00000000-0005-0000-0000-0000063B0000}"/>
    <cellStyle name="Comma 8 4" xfId="268" xr:uid="{00000000-0005-0000-0000-0000073B0000}"/>
    <cellStyle name="Comma 8 4 2" xfId="16596" xr:uid="{00000000-0005-0000-0000-0000083B0000}"/>
    <cellStyle name="Comma 8 4 2 2" xfId="16597" xr:uid="{00000000-0005-0000-0000-0000093B0000}"/>
    <cellStyle name="Comma 8 4 2 2 2" xfId="16598" xr:uid="{00000000-0005-0000-0000-00000A3B0000}"/>
    <cellStyle name="Comma 8 4 2 2 2 2" xfId="16599" xr:uid="{00000000-0005-0000-0000-00000B3B0000}"/>
    <cellStyle name="Comma 8 4 2 2 2 3" xfId="16600" xr:uid="{00000000-0005-0000-0000-00000C3B0000}"/>
    <cellStyle name="Comma 8 4 2 2 3" xfId="16601" xr:uid="{00000000-0005-0000-0000-00000D3B0000}"/>
    <cellStyle name="Comma 8 4 2 2 3 2" xfId="16602" xr:uid="{00000000-0005-0000-0000-00000E3B0000}"/>
    <cellStyle name="Comma 8 4 2 2 3 3" xfId="16603" xr:uid="{00000000-0005-0000-0000-00000F3B0000}"/>
    <cellStyle name="Comma 8 4 2 2 4" xfId="16604" xr:uid="{00000000-0005-0000-0000-0000103B0000}"/>
    <cellStyle name="Comma 8 4 2 2 5" xfId="16605" xr:uid="{00000000-0005-0000-0000-0000113B0000}"/>
    <cellStyle name="Comma 8 4 2 3" xfId="16606" xr:uid="{00000000-0005-0000-0000-0000123B0000}"/>
    <cellStyle name="Comma 8 4 2 3 2" xfId="16607" xr:uid="{00000000-0005-0000-0000-0000133B0000}"/>
    <cellStyle name="Comma 8 4 2 3 3" xfId="16608" xr:uid="{00000000-0005-0000-0000-0000143B0000}"/>
    <cellStyle name="Comma 8 4 2 4" xfId="16609" xr:uid="{00000000-0005-0000-0000-0000153B0000}"/>
    <cellStyle name="Comma 8 4 2 4 2" xfId="16610" xr:uid="{00000000-0005-0000-0000-0000163B0000}"/>
    <cellStyle name="Comma 8 4 2 4 3" xfId="16611" xr:uid="{00000000-0005-0000-0000-0000173B0000}"/>
    <cellStyle name="Comma 8 4 2 5" xfId="16612" xr:uid="{00000000-0005-0000-0000-0000183B0000}"/>
    <cellStyle name="Comma 8 4 2 6" xfId="16613" xr:uid="{00000000-0005-0000-0000-0000193B0000}"/>
    <cellStyle name="Comma 8 4 3" xfId="16614" xr:uid="{00000000-0005-0000-0000-00001A3B0000}"/>
    <cellStyle name="Comma 8 4 3 2" xfId="16615" xr:uid="{00000000-0005-0000-0000-00001B3B0000}"/>
    <cellStyle name="Comma 8 4 3 2 2" xfId="16616" xr:uid="{00000000-0005-0000-0000-00001C3B0000}"/>
    <cellStyle name="Comma 8 4 3 2 3" xfId="16617" xr:uid="{00000000-0005-0000-0000-00001D3B0000}"/>
    <cellStyle name="Comma 8 4 3 3" xfId="16618" xr:uid="{00000000-0005-0000-0000-00001E3B0000}"/>
    <cellStyle name="Comma 8 4 3 3 2" xfId="16619" xr:uid="{00000000-0005-0000-0000-00001F3B0000}"/>
    <cellStyle name="Comma 8 4 3 3 3" xfId="16620" xr:uid="{00000000-0005-0000-0000-0000203B0000}"/>
    <cellStyle name="Comma 8 4 3 4" xfId="16621" xr:uid="{00000000-0005-0000-0000-0000213B0000}"/>
    <cellStyle name="Comma 8 4 3 5" xfId="16622" xr:uid="{00000000-0005-0000-0000-0000223B0000}"/>
    <cellStyle name="Comma 8 4 4" xfId="16623" xr:uid="{00000000-0005-0000-0000-0000233B0000}"/>
    <cellStyle name="Comma 8 4 4 2" xfId="16624" xr:uid="{00000000-0005-0000-0000-0000243B0000}"/>
    <cellStyle name="Comma 8 4 4 3" xfId="16625" xr:uid="{00000000-0005-0000-0000-0000253B0000}"/>
    <cellStyle name="Comma 8 4 5" xfId="16626" xr:uid="{00000000-0005-0000-0000-0000263B0000}"/>
    <cellStyle name="Comma 8 4 5 2" xfId="16627" xr:uid="{00000000-0005-0000-0000-0000273B0000}"/>
    <cellStyle name="Comma 8 4 5 3" xfId="16628" xr:uid="{00000000-0005-0000-0000-0000283B0000}"/>
    <cellStyle name="Comma 8 4 6" xfId="16629" xr:uid="{00000000-0005-0000-0000-0000293B0000}"/>
    <cellStyle name="Comma 8 4 7" xfId="16630" xr:uid="{00000000-0005-0000-0000-00002A3B0000}"/>
    <cellStyle name="Comma 8 4 8" xfId="44947" xr:uid="{00000000-0005-0000-0000-00002B3B0000}"/>
    <cellStyle name="Comma 8 5" xfId="16631" xr:uid="{00000000-0005-0000-0000-00002C3B0000}"/>
    <cellStyle name="Comma 8 5 2" xfId="16632" xr:uid="{00000000-0005-0000-0000-00002D3B0000}"/>
    <cellStyle name="Comma 8 5 2 2" xfId="16633" xr:uid="{00000000-0005-0000-0000-00002E3B0000}"/>
    <cellStyle name="Comma 8 5 2 2 2" xfId="16634" xr:uid="{00000000-0005-0000-0000-00002F3B0000}"/>
    <cellStyle name="Comma 8 5 2 2 3" xfId="16635" xr:uid="{00000000-0005-0000-0000-0000303B0000}"/>
    <cellStyle name="Comma 8 5 2 3" xfId="16636" xr:uid="{00000000-0005-0000-0000-0000313B0000}"/>
    <cellStyle name="Comma 8 5 2 3 2" xfId="16637" xr:uid="{00000000-0005-0000-0000-0000323B0000}"/>
    <cellStyle name="Comma 8 5 2 3 3" xfId="16638" xr:uid="{00000000-0005-0000-0000-0000333B0000}"/>
    <cellStyle name="Comma 8 5 2 4" xfId="16639" xr:uid="{00000000-0005-0000-0000-0000343B0000}"/>
    <cellStyle name="Comma 8 5 2 5" xfId="16640" xr:uid="{00000000-0005-0000-0000-0000353B0000}"/>
    <cellStyle name="Comma 8 5 3" xfId="16641" xr:uid="{00000000-0005-0000-0000-0000363B0000}"/>
    <cellStyle name="Comma 8 5 3 2" xfId="16642" xr:uid="{00000000-0005-0000-0000-0000373B0000}"/>
    <cellStyle name="Comma 8 5 3 3" xfId="16643" xr:uid="{00000000-0005-0000-0000-0000383B0000}"/>
    <cellStyle name="Comma 8 5 4" xfId="16644" xr:uid="{00000000-0005-0000-0000-0000393B0000}"/>
    <cellStyle name="Comma 8 5 4 2" xfId="16645" xr:uid="{00000000-0005-0000-0000-00003A3B0000}"/>
    <cellStyle name="Comma 8 5 4 3" xfId="16646" xr:uid="{00000000-0005-0000-0000-00003B3B0000}"/>
    <cellStyle name="Comma 8 5 5" xfId="16647" xr:uid="{00000000-0005-0000-0000-00003C3B0000}"/>
    <cellStyle name="Comma 8 5 6" xfId="16648" xr:uid="{00000000-0005-0000-0000-00003D3B0000}"/>
    <cellStyle name="Comma 8 5 7" xfId="44948" xr:uid="{00000000-0005-0000-0000-00003E3B0000}"/>
    <cellStyle name="Comma 8 6" xfId="16649" xr:uid="{00000000-0005-0000-0000-00003F3B0000}"/>
    <cellStyle name="Comma 8 6 2" xfId="16650" xr:uid="{00000000-0005-0000-0000-0000403B0000}"/>
    <cellStyle name="Comma 8 6 2 2" xfId="16651" xr:uid="{00000000-0005-0000-0000-0000413B0000}"/>
    <cellStyle name="Comma 8 6 2 3" xfId="16652" xr:uid="{00000000-0005-0000-0000-0000423B0000}"/>
    <cellStyle name="Comma 8 6 3" xfId="16653" xr:uid="{00000000-0005-0000-0000-0000433B0000}"/>
    <cellStyle name="Comma 8 6 3 2" xfId="16654" xr:uid="{00000000-0005-0000-0000-0000443B0000}"/>
    <cellStyle name="Comma 8 6 3 3" xfId="16655" xr:uid="{00000000-0005-0000-0000-0000453B0000}"/>
    <cellStyle name="Comma 8 6 4" xfId="16656" xr:uid="{00000000-0005-0000-0000-0000463B0000}"/>
    <cellStyle name="Comma 8 6 5" xfId="16657" xr:uid="{00000000-0005-0000-0000-0000473B0000}"/>
    <cellStyle name="Comma 8 7" xfId="16658" xr:uid="{00000000-0005-0000-0000-0000483B0000}"/>
    <cellStyle name="Comma 8 7 2" xfId="16659" xr:uid="{00000000-0005-0000-0000-0000493B0000}"/>
    <cellStyle name="Comma 8 7 3" xfId="16660" xr:uid="{00000000-0005-0000-0000-00004A3B0000}"/>
    <cellStyle name="Comma 8 8" xfId="16661" xr:uid="{00000000-0005-0000-0000-00004B3B0000}"/>
    <cellStyle name="Comma 8 8 2" xfId="16662" xr:uid="{00000000-0005-0000-0000-00004C3B0000}"/>
    <cellStyle name="Comma 8 8 3" xfId="16663" xr:uid="{00000000-0005-0000-0000-00004D3B0000}"/>
    <cellStyle name="Comma 8 9" xfId="16664" xr:uid="{00000000-0005-0000-0000-00004E3B0000}"/>
    <cellStyle name="Comma 9" xfId="269" xr:uid="{00000000-0005-0000-0000-00004F3B0000}"/>
    <cellStyle name="Comma 9 2" xfId="270" xr:uid="{00000000-0005-0000-0000-0000503B0000}"/>
    <cellStyle name="Comma 9 2 2" xfId="46172" xr:uid="{00000000-0005-0000-0000-0000513B0000}"/>
    <cellStyle name="Comma 9 3" xfId="3376" xr:uid="{00000000-0005-0000-0000-0000523B0000}"/>
    <cellStyle name="Comma(2)" xfId="271" xr:uid="{00000000-0005-0000-0000-0000533B0000}"/>
    <cellStyle name="Comma(2) 2" xfId="16665" xr:uid="{00000000-0005-0000-0000-0000543B0000}"/>
    <cellStyle name="Comma0" xfId="27" xr:uid="{00000000-0005-0000-0000-0000553B0000}"/>
    <cellStyle name="Comma0 - Style2" xfId="272" xr:uid="{00000000-0005-0000-0000-0000563B0000}"/>
    <cellStyle name="Comma1 - Style1" xfId="273" xr:uid="{00000000-0005-0000-0000-0000573B0000}"/>
    <cellStyle name="Comments" xfId="274" xr:uid="{00000000-0005-0000-0000-0000583B0000}"/>
    <cellStyle name="Currency" xfId="62" builtinId="4"/>
    <cellStyle name="Currency 10" xfId="275" xr:uid="{00000000-0005-0000-0000-00005A3B0000}"/>
    <cellStyle name="Currency 10 2" xfId="930" xr:uid="{00000000-0005-0000-0000-00005B3B0000}"/>
    <cellStyle name="Currency 10 2 2" xfId="16666" xr:uid="{00000000-0005-0000-0000-00005C3B0000}"/>
    <cellStyle name="Currency 10 2 2 2" xfId="16667" xr:uid="{00000000-0005-0000-0000-00005D3B0000}"/>
    <cellStyle name="Currency 10 2 2 2 2" xfId="16668" xr:uid="{00000000-0005-0000-0000-00005E3B0000}"/>
    <cellStyle name="Currency 10 2 2 2 2 2" xfId="16669" xr:uid="{00000000-0005-0000-0000-00005F3B0000}"/>
    <cellStyle name="Currency 10 2 2 2 2 3" xfId="16670" xr:uid="{00000000-0005-0000-0000-0000603B0000}"/>
    <cellStyle name="Currency 10 2 2 2 3" xfId="16671" xr:uid="{00000000-0005-0000-0000-0000613B0000}"/>
    <cellStyle name="Currency 10 2 2 2 3 2" xfId="16672" xr:uid="{00000000-0005-0000-0000-0000623B0000}"/>
    <cellStyle name="Currency 10 2 2 2 3 3" xfId="16673" xr:uid="{00000000-0005-0000-0000-0000633B0000}"/>
    <cellStyle name="Currency 10 2 2 2 4" xfId="16674" xr:uid="{00000000-0005-0000-0000-0000643B0000}"/>
    <cellStyle name="Currency 10 2 2 2 5" xfId="16675" xr:uid="{00000000-0005-0000-0000-0000653B0000}"/>
    <cellStyle name="Currency 10 2 2 3" xfId="16676" xr:uid="{00000000-0005-0000-0000-0000663B0000}"/>
    <cellStyle name="Currency 10 2 2 3 2" xfId="16677" xr:uid="{00000000-0005-0000-0000-0000673B0000}"/>
    <cellStyle name="Currency 10 2 2 3 3" xfId="16678" xr:uid="{00000000-0005-0000-0000-0000683B0000}"/>
    <cellStyle name="Currency 10 2 2 4" xfId="16679" xr:uid="{00000000-0005-0000-0000-0000693B0000}"/>
    <cellStyle name="Currency 10 2 2 4 2" xfId="16680" xr:uid="{00000000-0005-0000-0000-00006A3B0000}"/>
    <cellStyle name="Currency 10 2 2 4 3" xfId="16681" xr:uid="{00000000-0005-0000-0000-00006B3B0000}"/>
    <cellStyle name="Currency 10 2 2 5" xfId="16682" xr:uid="{00000000-0005-0000-0000-00006C3B0000}"/>
    <cellStyle name="Currency 10 2 2 6" xfId="16683" xr:uid="{00000000-0005-0000-0000-00006D3B0000}"/>
    <cellStyle name="Currency 10 2 3" xfId="16684" xr:uid="{00000000-0005-0000-0000-00006E3B0000}"/>
    <cellStyle name="Currency 10 2 3 2" xfId="16685" xr:uid="{00000000-0005-0000-0000-00006F3B0000}"/>
    <cellStyle name="Currency 10 2 3 2 2" xfId="16686" xr:uid="{00000000-0005-0000-0000-0000703B0000}"/>
    <cellStyle name="Currency 10 2 3 2 3" xfId="16687" xr:uid="{00000000-0005-0000-0000-0000713B0000}"/>
    <cellStyle name="Currency 10 2 3 3" xfId="16688" xr:uid="{00000000-0005-0000-0000-0000723B0000}"/>
    <cellStyle name="Currency 10 2 3 3 2" xfId="16689" xr:uid="{00000000-0005-0000-0000-0000733B0000}"/>
    <cellStyle name="Currency 10 2 3 3 3" xfId="16690" xr:uid="{00000000-0005-0000-0000-0000743B0000}"/>
    <cellStyle name="Currency 10 2 3 4" xfId="16691" xr:uid="{00000000-0005-0000-0000-0000753B0000}"/>
    <cellStyle name="Currency 10 2 3 5" xfId="16692" xr:uid="{00000000-0005-0000-0000-0000763B0000}"/>
    <cellStyle name="Currency 10 2 4" xfId="16693" xr:uid="{00000000-0005-0000-0000-0000773B0000}"/>
    <cellStyle name="Currency 10 2 4 2" xfId="16694" xr:uid="{00000000-0005-0000-0000-0000783B0000}"/>
    <cellStyle name="Currency 10 2 4 3" xfId="16695" xr:uid="{00000000-0005-0000-0000-0000793B0000}"/>
    <cellStyle name="Currency 10 2 5" xfId="16696" xr:uid="{00000000-0005-0000-0000-00007A3B0000}"/>
    <cellStyle name="Currency 10 2 5 2" xfId="16697" xr:uid="{00000000-0005-0000-0000-00007B3B0000}"/>
    <cellStyle name="Currency 10 2 5 3" xfId="16698" xr:uid="{00000000-0005-0000-0000-00007C3B0000}"/>
    <cellStyle name="Currency 10 2 6" xfId="16699" xr:uid="{00000000-0005-0000-0000-00007D3B0000}"/>
    <cellStyle name="Currency 10 2 7" xfId="16700" xr:uid="{00000000-0005-0000-0000-00007E3B0000}"/>
    <cellStyle name="Currency 10 2 8" xfId="44949" xr:uid="{00000000-0005-0000-0000-00007F3B0000}"/>
    <cellStyle name="Currency 10 3" xfId="931" xr:uid="{00000000-0005-0000-0000-0000803B0000}"/>
    <cellStyle name="Currency 10 3 2" xfId="42545" xr:uid="{00000000-0005-0000-0000-0000813B0000}"/>
    <cellStyle name="Currency 10 3 3" xfId="44950" xr:uid="{00000000-0005-0000-0000-0000823B0000}"/>
    <cellStyle name="Currency 10 4" xfId="16701" xr:uid="{00000000-0005-0000-0000-0000833B0000}"/>
    <cellStyle name="Currency 10 4 2" xfId="42544" xr:uid="{00000000-0005-0000-0000-0000843B0000}"/>
    <cellStyle name="Currency 10 4 3" xfId="44951" xr:uid="{00000000-0005-0000-0000-0000853B0000}"/>
    <cellStyle name="Currency 10 5" xfId="16702" xr:uid="{00000000-0005-0000-0000-0000863B0000}"/>
    <cellStyle name="Currency 10 6" xfId="44952" xr:uid="{00000000-0005-0000-0000-0000873B0000}"/>
    <cellStyle name="Currency 11" xfId="276" xr:uid="{00000000-0005-0000-0000-0000883B0000}"/>
    <cellStyle name="Currency 11 2" xfId="932" xr:uid="{00000000-0005-0000-0000-0000893B0000}"/>
    <cellStyle name="Currency 11 2 2" xfId="16703" xr:uid="{00000000-0005-0000-0000-00008A3B0000}"/>
    <cellStyle name="Currency 11 2 2 2" xfId="42546" xr:uid="{00000000-0005-0000-0000-00008B3B0000}"/>
    <cellStyle name="Currency 11 2 2 3" xfId="44953" xr:uid="{00000000-0005-0000-0000-00008C3B0000}"/>
    <cellStyle name="Currency 11 2 3" xfId="44954" xr:uid="{00000000-0005-0000-0000-00008D3B0000}"/>
    <cellStyle name="Currency 11 3" xfId="933" xr:uid="{00000000-0005-0000-0000-00008E3B0000}"/>
    <cellStyle name="Currency 11 4" xfId="16704" xr:uid="{00000000-0005-0000-0000-00008F3B0000}"/>
    <cellStyle name="Currency 11 5" xfId="16705" xr:uid="{00000000-0005-0000-0000-0000903B0000}"/>
    <cellStyle name="Currency 11 6" xfId="16706" xr:uid="{00000000-0005-0000-0000-0000913B0000}"/>
    <cellStyle name="Currency 12" xfId="277" xr:uid="{00000000-0005-0000-0000-0000923B0000}"/>
    <cellStyle name="Currency 12 2" xfId="934" xr:uid="{00000000-0005-0000-0000-0000933B0000}"/>
    <cellStyle name="Currency 12 2 2" xfId="16707" xr:uid="{00000000-0005-0000-0000-0000943B0000}"/>
    <cellStyle name="Currency 12 2 2 2" xfId="42547" xr:uid="{00000000-0005-0000-0000-0000953B0000}"/>
    <cellStyle name="Currency 12 2 2 3" xfId="44955" xr:uid="{00000000-0005-0000-0000-0000963B0000}"/>
    <cellStyle name="Currency 12 2 3" xfId="44956" xr:uid="{00000000-0005-0000-0000-0000973B0000}"/>
    <cellStyle name="Currency 12 3" xfId="16708" xr:uid="{00000000-0005-0000-0000-0000983B0000}"/>
    <cellStyle name="Currency 12 4" xfId="38926" xr:uid="{00000000-0005-0000-0000-0000993B0000}"/>
    <cellStyle name="Currency 13" xfId="278" xr:uid="{00000000-0005-0000-0000-00009A3B0000}"/>
    <cellStyle name="Currency 14" xfId="935" xr:uid="{00000000-0005-0000-0000-00009B3B0000}"/>
    <cellStyle name="Currency 14 2" xfId="16709" xr:uid="{00000000-0005-0000-0000-00009C3B0000}"/>
    <cellStyle name="Currency 15" xfId="936" xr:uid="{00000000-0005-0000-0000-00009D3B0000}"/>
    <cellStyle name="Currency 16" xfId="937" xr:uid="{00000000-0005-0000-0000-00009E3B0000}"/>
    <cellStyle name="Currency 16 2" xfId="42548" xr:uid="{00000000-0005-0000-0000-00009F3B0000}"/>
    <cellStyle name="Currency 16 3" xfId="44957" xr:uid="{00000000-0005-0000-0000-0000A03B0000}"/>
    <cellStyle name="Currency 17" xfId="938" xr:uid="{00000000-0005-0000-0000-0000A13B0000}"/>
    <cellStyle name="Currency 18" xfId="939" xr:uid="{00000000-0005-0000-0000-0000A23B0000}"/>
    <cellStyle name="Currency 18 2" xfId="42549" xr:uid="{00000000-0005-0000-0000-0000A33B0000}"/>
    <cellStyle name="Currency 18 3" xfId="44958" xr:uid="{00000000-0005-0000-0000-0000A43B0000}"/>
    <cellStyle name="Currency 19" xfId="16710" xr:uid="{00000000-0005-0000-0000-0000A53B0000}"/>
    <cellStyle name="Currency 2" xfId="28" xr:uid="{00000000-0005-0000-0000-0000A63B0000}"/>
    <cellStyle name="Currency 2 2" xfId="70" xr:uid="{00000000-0005-0000-0000-0000A73B0000}"/>
    <cellStyle name="Currency 2 2 10" xfId="46173" xr:uid="{00000000-0005-0000-0000-0000A83B0000}"/>
    <cellStyle name="Currency 2 2 2" xfId="84" xr:uid="{00000000-0005-0000-0000-0000A93B0000}"/>
    <cellStyle name="Currency 2 2 2 2" xfId="639" xr:uid="{00000000-0005-0000-0000-0000AA3B0000}"/>
    <cellStyle name="Currency 2 2 2 2 2" xfId="16711" xr:uid="{00000000-0005-0000-0000-0000AB3B0000}"/>
    <cellStyle name="Currency 2 2 2 3" xfId="940" xr:uid="{00000000-0005-0000-0000-0000AC3B0000}"/>
    <cellStyle name="Currency 2 2 2 4" xfId="941" xr:uid="{00000000-0005-0000-0000-0000AD3B0000}"/>
    <cellStyle name="Currency 2 2 2 5" xfId="942" xr:uid="{00000000-0005-0000-0000-0000AE3B0000}"/>
    <cellStyle name="Currency 2 2 2 6" xfId="943" xr:uid="{00000000-0005-0000-0000-0000AF3B0000}"/>
    <cellStyle name="Currency 2 2 2 7" xfId="42526" xr:uid="{00000000-0005-0000-0000-0000B03B0000}"/>
    <cellStyle name="Currency 2 2 2 8" xfId="42464" xr:uid="{00000000-0005-0000-0000-0000B13B0000}"/>
    <cellStyle name="Currency 2 2 2 9" xfId="46174" xr:uid="{00000000-0005-0000-0000-0000B23B0000}"/>
    <cellStyle name="Currency 2 2 3" xfId="279" xr:uid="{00000000-0005-0000-0000-0000B33B0000}"/>
    <cellStyle name="Currency 2 2 3 2" xfId="944" xr:uid="{00000000-0005-0000-0000-0000B43B0000}"/>
    <cellStyle name="Currency 2 2 3 3" xfId="945" xr:uid="{00000000-0005-0000-0000-0000B53B0000}"/>
    <cellStyle name="Currency 2 2 3 3 2" xfId="16712" xr:uid="{00000000-0005-0000-0000-0000B63B0000}"/>
    <cellStyle name="Currency 2 2 3 4" xfId="38927" xr:uid="{00000000-0005-0000-0000-0000B73B0000}"/>
    <cellStyle name="Currency 2 2 3 4 2" xfId="42550" xr:uid="{00000000-0005-0000-0000-0000B83B0000}"/>
    <cellStyle name="Currency 2 2 3 4 3" xfId="44959" xr:uid="{00000000-0005-0000-0000-0000B93B0000}"/>
    <cellStyle name="Currency 2 2 3 5" xfId="44960" xr:uid="{00000000-0005-0000-0000-0000BA3B0000}"/>
    <cellStyle name="Currency 2 2 4" xfId="280" xr:uid="{00000000-0005-0000-0000-0000BB3B0000}"/>
    <cellStyle name="Currency 2 2 4 2" xfId="946" xr:uid="{00000000-0005-0000-0000-0000BC3B0000}"/>
    <cellStyle name="Currency 2 2 4 2 2" xfId="16713" xr:uid="{00000000-0005-0000-0000-0000BD3B0000}"/>
    <cellStyle name="Currency 2 2 4 3" xfId="947" xr:uid="{00000000-0005-0000-0000-0000BE3B0000}"/>
    <cellStyle name="Currency 2 2 4 4" xfId="42551" xr:uid="{00000000-0005-0000-0000-0000BF3B0000}"/>
    <cellStyle name="Currency 2 2 4 5" xfId="44961" xr:uid="{00000000-0005-0000-0000-0000C03B0000}"/>
    <cellStyle name="Currency 2 2 5" xfId="948" xr:uid="{00000000-0005-0000-0000-0000C13B0000}"/>
    <cellStyle name="Currency 2 2 5 2" xfId="16714" xr:uid="{00000000-0005-0000-0000-0000C23B0000}"/>
    <cellStyle name="Currency 2 2 6" xfId="949" xr:uid="{00000000-0005-0000-0000-0000C33B0000}"/>
    <cellStyle name="Currency 2 2 7" xfId="950" xr:uid="{00000000-0005-0000-0000-0000C43B0000}"/>
    <cellStyle name="Currency 2 2 7 2" xfId="16715" xr:uid="{00000000-0005-0000-0000-0000C53B0000}"/>
    <cellStyle name="Currency 2 2 8" xfId="951" xr:uid="{00000000-0005-0000-0000-0000C63B0000}"/>
    <cellStyle name="Currency 2 2 9" xfId="2571" xr:uid="{00000000-0005-0000-0000-0000C73B0000}"/>
    <cellStyle name="Currency 2 3" xfId="281" xr:uid="{00000000-0005-0000-0000-0000C83B0000}"/>
    <cellStyle name="Currency 2 3 2" xfId="282" xr:uid="{00000000-0005-0000-0000-0000C93B0000}"/>
    <cellStyle name="Currency 2 3 2 2" xfId="952" xr:uid="{00000000-0005-0000-0000-0000CA3B0000}"/>
    <cellStyle name="Currency 2 3 2 3" xfId="953" xr:uid="{00000000-0005-0000-0000-0000CB3B0000}"/>
    <cellStyle name="Currency 2 3 2 4" xfId="954" xr:uid="{00000000-0005-0000-0000-0000CC3B0000}"/>
    <cellStyle name="Currency 2 3 2 5" xfId="955" xr:uid="{00000000-0005-0000-0000-0000CD3B0000}"/>
    <cellStyle name="Currency 2 3 2 6" xfId="956" xr:uid="{00000000-0005-0000-0000-0000CE3B0000}"/>
    <cellStyle name="Currency 2 3 2 7" xfId="16716" xr:uid="{00000000-0005-0000-0000-0000CF3B0000}"/>
    <cellStyle name="Currency 2 3 3" xfId="283" xr:uid="{00000000-0005-0000-0000-0000D03B0000}"/>
    <cellStyle name="Currency 2 3 3 2" xfId="640" xr:uid="{00000000-0005-0000-0000-0000D13B0000}"/>
    <cellStyle name="Currency 2 3 3 2 2" xfId="16717" xr:uid="{00000000-0005-0000-0000-0000D23B0000}"/>
    <cellStyle name="Currency 2 3 3 2 3" xfId="16718" xr:uid="{00000000-0005-0000-0000-0000D33B0000}"/>
    <cellStyle name="Currency 2 3 3 2 4" xfId="44962" xr:uid="{00000000-0005-0000-0000-0000D43B0000}"/>
    <cellStyle name="Currency 2 3 3 3" xfId="957" xr:uid="{00000000-0005-0000-0000-0000D53B0000}"/>
    <cellStyle name="Currency 2 3 3 4" xfId="958" xr:uid="{00000000-0005-0000-0000-0000D63B0000}"/>
    <cellStyle name="Currency 2 3 3 5" xfId="16719" xr:uid="{00000000-0005-0000-0000-0000D73B0000}"/>
    <cellStyle name="Currency 2 3 3 6" xfId="44963" xr:uid="{00000000-0005-0000-0000-0000D83B0000}"/>
    <cellStyle name="Currency 2 3 4" xfId="959" xr:uid="{00000000-0005-0000-0000-0000D93B0000}"/>
    <cellStyle name="Currency 2 3 4 2" xfId="960" xr:uid="{00000000-0005-0000-0000-0000DA3B0000}"/>
    <cellStyle name="Currency 2 3 4 3" xfId="961" xr:uid="{00000000-0005-0000-0000-0000DB3B0000}"/>
    <cellStyle name="Currency 2 3 4 4" xfId="16720" xr:uid="{00000000-0005-0000-0000-0000DC3B0000}"/>
    <cellStyle name="Currency 2 3 5" xfId="962" xr:uid="{00000000-0005-0000-0000-0000DD3B0000}"/>
    <cellStyle name="Currency 2 3 6" xfId="963" xr:uid="{00000000-0005-0000-0000-0000DE3B0000}"/>
    <cellStyle name="Currency 2 3 7" xfId="964" xr:uid="{00000000-0005-0000-0000-0000DF3B0000}"/>
    <cellStyle name="Currency 2 3 8" xfId="2572" xr:uid="{00000000-0005-0000-0000-0000E03B0000}"/>
    <cellStyle name="Currency 2 3 9" xfId="46175" xr:uid="{00000000-0005-0000-0000-0000E13B0000}"/>
    <cellStyle name="Currency 2 4" xfId="284" xr:uid="{00000000-0005-0000-0000-0000E23B0000}"/>
    <cellStyle name="Currency 2 4 10" xfId="38928" xr:uid="{00000000-0005-0000-0000-0000E33B0000}"/>
    <cellStyle name="Currency 2 4 2" xfId="965" xr:uid="{00000000-0005-0000-0000-0000E43B0000}"/>
    <cellStyle name="Currency 2 4 2 2" xfId="966" xr:uid="{00000000-0005-0000-0000-0000E53B0000}"/>
    <cellStyle name="Currency 2 4 2 3" xfId="967" xr:uid="{00000000-0005-0000-0000-0000E63B0000}"/>
    <cellStyle name="Currency 2 4 2 4" xfId="968" xr:uid="{00000000-0005-0000-0000-0000E73B0000}"/>
    <cellStyle name="Currency 2 4 2 5" xfId="969" xr:uid="{00000000-0005-0000-0000-0000E83B0000}"/>
    <cellStyle name="Currency 2 4 2 6" xfId="38929" xr:uid="{00000000-0005-0000-0000-0000E93B0000}"/>
    <cellStyle name="Currency 2 4 3" xfId="970" xr:uid="{00000000-0005-0000-0000-0000EA3B0000}"/>
    <cellStyle name="Currency 2 4 3 2" xfId="971" xr:uid="{00000000-0005-0000-0000-0000EB3B0000}"/>
    <cellStyle name="Currency 2 4 3 3" xfId="972" xr:uid="{00000000-0005-0000-0000-0000EC3B0000}"/>
    <cellStyle name="Currency 2 4 4" xfId="973" xr:uid="{00000000-0005-0000-0000-0000ED3B0000}"/>
    <cellStyle name="Currency 2 4 4 2" xfId="974" xr:uid="{00000000-0005-0000-0000-0000EE3B0000}"/>
    <cellStyle name="Currency 2 4 4 3" xfId="975" xr:uid="{00000000-0005-0000-0000-0000EF3B0000}"/>
    <cellStyle name="Currency 2 4 4 4" xfId="42552" xr:uid="{00000000-0005-0000-0000-0000F03B0000}"/>
    <cellStyle name="Currency 2 4 4 5" xfId="44964" xr:uid="{00000000-0005-0000-0000-0000F13B0000}"/>
    <cellStyle name="Currency 2 4 5" xfId="976" xr:uid="{00000000-0005-0000-0000-0000F23B0000}"/>
    <cellStyle name="Currency 2 4 6" xfId="977" xr:uid="{00000000-0005-0000-0000-0000F33B0000}"/>
    <cellStyle name="Currency 2 4 7" xfId="978" xr:uid="{00000000-0005-0000-0000-0000F43B0000}"/>
    <cellStyle name="Currency 2 4 8" xfId="2573" xr:uid="{00000000-0005-0000-0000-0000F53B0000}"/>
    <cellStyle name="Currency 2 4 8 2" xfId="42506" xr:uid="{00000000-0005-0000-0000-0000F63B0000}"/>
    <cellStyle name="Currency 2 4 8 3" xfId="44965" xr:uid="{00000000-0005-0000-0000-0000F73B0000}"/>
    <cellStyle name="Currency 2 4 9" xfId="38930" xr:uid="{00000000-0005-0000-0000-0000F83B0000}"/>
    <cellStyle name="Currency 2 5" xfId="631" xr:uid="{00000000-0005-0000-0000-0000F93B0000}"/>
    <cellStyle name="Currency 2 5 2" xfId="979" xr:uid="{00000000-0005-0000-0000-0000FA3B0000}"/>
    <cellStyle name="Currency 2 5 3" xfId="2574" xr:uid="{00000000-0005-0000-0000-0000FB3B0000}"/>
    <cellStyle name="Currency 2 5 4" xfId="38931" xr:uid="{00000000-0005-0000-0000-0000FC3B0000}"/>
    <cellStyle name="Currency 2 5 5" xfId="44966" xr:uid="{00000000-0005-0000-0000-0000FD3B0000}"/>
    <cellStyle name="Currency 2 5 6" xfId="46176" xr:uid="{00000000-0005-0000-0000-0000FE3B0000}"/>
    <cellStyle name="Currency 2 6" xfId="285" xr:uid="{00000000-0005-0000-0000-0000FF3B0000}"/>
    <cellStyle name="Currency 2 6 2" xfId="286" xr:uid="{00000000-0005-0000-0000-0000003C0000}"/>
    <cellStyle name="Currency 2 6 3" xfId="980" xr:uid="{00000000-0005-0000-0000-0000013C0000}"/>
    <cellStyle name="Currency 2 6 3 2" xfId="42553" xr:uid="{00000000-0005-0000-0000-0000023C0000}"/>
    <cellStyle name="Currency 2 6 3 3" xfId="44967" xr:uid="{00000000-0005-0000-0000-0000033C0000}"/>
    <cellStyle name="Currency 2 6 4" xfId="2859" xr:uid="{00000000-0005-0000-0000-0000043C0000}"/>
    <cellStyle name="Currency 2 7" xfId="981" xr:uid="{00000000-0005-0000-0000-0000053C0000}"/>
    <cellStyle name="Currency 2 8" xfId="44968" xr:uid="{00000000-0005-0000-0000-0000063C0000}"/>
    <cellStyle name="Currency 2 9" xfId="46177" xr:uid="{00000000-0005-0000-0000-0000073C0000}"/>
    <cellStyle name="Currency 20" xfId="43895" xr:uid="{00000000-0005-0000-0000-0000083C0000}"/>
    <cellStyle name="Currency 21" xfId="44969" xr:uid="{00000000-0005-0000-0000-0000093C0000}"/>
    <cellStyle name="Currency 22" xfId="44970" xr:uid="{00000000-0005-0000-0000-00000A3C0000}"/>
    <cellStyle name="Currency 23" xfId="46288" xr:uid="{00000000-0005-0000-0000-00000B3C0000}"/>
    <cellStyle name="Currency 3" xfId="29" xr:uid="{00000000-0005-0000-0000-00000C3C0000}"/>
    <cellStyle name="Currency 3 10" xfId="2575" xr:uid="{00000000-0005-0000-0000-00000D3C0000}"/>
    <cellStyle name="Currency 3 11" xfId="16721" xr:uid="{00000000-0005-0000-0000-00000E3C0000}"/>
    <cellStyle name="Currency 3 12" xfId="46289" xr:uid="{00000000-0005-0000-0000-00000F3C0000}"/>
    <cellStyle name="Currency 3 2" xfId="71" xr:uid="{00000000-0005-0000-0000-0000103C0000}"/>
    <cellStyle name="Currency 3 2 2" xfId="287" xr:uid="{00000000-0005-0000-0000-0000113C0000}"/>
    <cellStyle name="Currency 3 2 2 2" xfId="982" xr:uid="{00000000-0005-0000-0000-0000123C0000}"/>
    <cellStyle name="Currency 3 2 2 2 2" xfId="983" xr:uid="{00000000-0005-0000-0000-0000133C0000}"/>
    <cellStyle name="Currency 3 2 2 2 2 2" xfId="16722" xr:uid="{00000000-0005-0000-0000-0000143C0000}"/>
    <cellStyle name="Currency 3 2 2 2 2 2 2" xfId="16723" xr:uid="{00000000-0005-0000-0000-0000153C0000}"/>
    <cellStyle name="Currency 3 2 2 2 2 2 2 2" xfId="16724" xr:uid="{00000000-0005-0000-0000-0000163C0000}"/>
    <cellStyle name="Currency 3 2 2 2 2 2 2 3" xfId="16725" xr:uid="{00000000-0005-0000-0000-0000173C0000}"/>
    <cellStyle name="Currency 3 2 2 2 2 2 3" xfId="16726" xr:uid="{00000000-0005-0000-0000-0000183C0000}"/>
    <cellStyle name="Currency 3 2 2 2 2 2 3 2" xfId="16727" xr:uid="{00000000-0005-0000-0000-0000193C0000}"/>
    <cellStyle name="Currency 3 2 2 2 2 2 3 3" xfId="16728" xr:uid="{00000000-0005-0000-0000-00001A3C0000}"/>
    <cellStyle name="Currency 3 2 2 2 2 2 4" xfId="16729" xr:uid="{00000000-0005-0000-0000-00001B3C0000}"/>
    <cellStyle name="Currency 3 2 2 2 2 2 5" xfId="16730" xr:uid="{00000000-0005-0000-0000-00001C3C0000}"/>
    <cellStyle name="Currency 3 2 2 2 2 3" xfId="16731" xr:uid="{00000000-0005-0000-0000-00001D3C0000}"/>
    <cellStyle name="Currency 3 2 2 2 2 3 2" xfId="16732" xr:uid="{00000000-0005-0000-0000-00001E3C0000}"/>
    <cellStyle name="Currency 3 2 2 2 2 3 3" xfId="16733" xr:uid="{00000000-0005-0000-0000-00001F3C0000}"/>
    <cellStyle name="Currency 3 2 2 2 2 4" xfId="16734" xr:uid="{00000000-0005-0000-0000-0000203C0000}"/>
    <cellStyle name="Currency 3 2 2 2 2 4 2" xfId="16735" xr:uid="{00000000-0005-0000-0000-0000213C0000}"/>
    <cellStyle name="Currency 3 2 2 2 2 4 3" xfId="16736" xr:uid="{00000000-0005-0000-0000-0000223C0000}"/>
    <cellStyle name="Currency 3 2 2 2 2 5" xfId="16737" xr:uid="{00000000-0005-0000-0000-0000233C0000}"/>
    <cellStyle name="Currency 3 2 2 2 2 6" xfId="16738" xr:uid="{00000000-0005-0000-0000-0000243C0000}"/>
    <cellStyle name="Currency 3 2 2 2 2 7" xfId="44971" xr:uid="{00000000-0005-0000-0000-0000253C0000}"/>
    <cellStyle name="Currency 3 2 2 2 3" xfId="984" xr:uid="{00000000-0005-0000-0000-0000263C0000}"/>
    <cellStyle name="Currency 3 2 2 2 3 2" xfId="16739" xr:uid="{00000000-0005-0000-0000-0000273C0000}"/>
    <cellStyle name="Currency 3 2 2 2 3 2 2" xfId="16740" xr:uid="{00000000-0005-0000-0000-0000283C0000}"/>
    <cellStyle name="Currency 3 2 2 2 3 2 3" xfId="16741" xr:uid="{00000000-0005-0000-0000-0000293C0000}"/>
    <cellStyle name="Currency 3 2 2 2 3 3" xfId="16742" xr:uid="{00000000-0005-0000-0000-00002A3C0000}"/>
    <cellStyle name="Currency 3 2 2 2 3 3 2" xfId="16743" xr:uid="{00000000-0005-0000-0000-00002B3C0000}"/>
    <cellStyle name="Currency 3 2 2 2 3 3 3" xfId="16744" xr:uid="{00000000-0005-0000-0000-00002C3C0000}"/>
    <cellStyle name="Currency 3 2 2 2 3 4" xfId="16745" xr:uid="{00000000-0005-0000-0000-00002D3C0000}"/>
    <cellStyle name="Currency 3 2 2 2 3 5" xfId="16746" xr:uid="{00000000-0005-0000-0000-00002E3C0000}"/>
    <cellStyle name="Currency 3 2 2 2 4" xfId="16747" xr:uid="{00000000-0005-0000-0000-00002F3C0000}"/>
    <cellStyle name="Currency 3 2 2 2 4 2" xfId="16748" xr:uid="{00000000-0005-0000-0000-0000303C0000}"/>
    <cellStyle name="Currency 3 2 2 2 4 3" xfId="16749" xr:uid="{00000000-0005-0000-0000-0000313C0000}"/>
    <cellStyle name="Currency 3 2 2 2 5" xfId="16750" xr:uid="{00000000-0005-0000-0000-0000323C0000}"/>
    <cellStyle name="Currency 3 2 2 2 5 2" xfId="16751" xr:uid="{00000000-0005-0000-0000-0000333C0000}"/>
    <cellStyle name="Currency 3 2 2 2 5 3" xfId="16752" xr:uid="{00000000-0005-0000-0000-0000343C0000}"/>
    <cellStyle name="Currency 3 2 2 2 6" xfId="16753" xr:uid="{00000000-0005-0000-0000-0000353C0000}"/>
    <cellStyle name="Currency 3 2 2 2 7" xfId="16754" xr:uid="{00000000-0005-0000-0000-0000363C0000}"/>
    <cellStyle name="Currency 3 2 2 2 8" xfId="44972" xr:uid="{00000000-0005-0000-0000-0000373C0000}"/>
    <cellStyle name="Currency 3 2 2 3" xfId="985" xr:uid="{00000000-0005-0000-0000-0000383C0000}"/>
    <cellStyle name="Currency 3 2 2 3 2" xfId="986" xr:uid="{00000000-0005-0000-0000-0000393C0000}"/>
    <cellStyle name="Currency 3 2 2 3 2 2" xfId="16755" xr:uid="{00000000-0005-0000-0000-00003A3C0000}"/>
    <cellStyle name="Currency 3 2 2 3 2 2 2" xfId="16756" xr:uid="{00000000-0005-0000-0000-00003B3C0000}"/>
    <cellStyle name="Currency 3 2 2 3 2 2 3" xfId="16757" xr:uid="{00000000-0005-0000-0000-00003C3C0000}"/>
    <cellStyle name="Currency 3 2 2 3 2 3" xfId="16758" xr:uid="{00000000-0005-0000-0000-00003D3C0000}"/>
    <cellStyle name="Currency 3 2 2 3 2 3 2" xfId="16759" xr:uid="{00000000-0005-0000-0000-00003E3C0000}"/>
    <cellStyle name="Currency 3 2 2 3 2 3 3" xfId="16760" xr:uid="{00000000-0005-0000-0000-00003F3C0000}"/>
    <cellStyle name="Currency 3 2 2 3 2 4" xfId="16761" xr:uid="{00000000-0005-0000-0000-0000403C0000}"/>
    <cellStyle name="Currency 3 2 2 3 2 5" xfId="16762" xr:uid="{00000000-0005-0000-0000-0000413C0000}"/>
    <cellStyle name="Currency 3 2 2 3 3" xfId="987" xr:uid="{00000000-0005-0000-0000-0000423C0000}"/>
    <cellStyle name="Currency 3 2 2 3 3 2" xfId="16763" xr:uid="{00000000-0005-0000-0000-0000433C0000}"/>
    <cellStyle name="Currency 3 2 2 3 3 3" xfId="16764" xr:uid="{00000000-0005-0000-0000-0000443C0000}"/>
    <cellStyle name="Currency 3 2 2 3 4" xfId="16765" xr:uid="{00000000-0005-0000-0000-0000453C0000}"/>
    <cellStyle name="Currency 3 2 2 3 4 2" xfId="16766" xr:uid="{00000000-0005-0000-0000-0000463C0000}"/>
    <cellStyle name="Currency 3 2 2 3 4 3" xfId="16767" xr:uid="{00000000-0005-0000-0000-0000473C0000}"/>
    <cellStyle name="Currency 3 2 2 3 5" xfId="16768" xr:uid="{00000000-0005-0000-0000-0000483C0000}"/>
    <cellStyle name="Currency 3 2 2 3 6" xfId="16769" xr:uid="{00000000-0005-0000-0000-0000493C0000}"/>
    <cellStyle name="Currency 3 2 2 3 7" xfId="44973" xr:uid="{00000000-0005-0000-0000-00004A3C0000}"/>
    <cellStyle name="Currency 3 2 2 4" xfId="988" xr:uid="{00000000-0005-0000-0000-00004B3C0000}"/>
    <cellStyle name="Currency 3 2 2 4 2" xfId="16770" xr:uid="{00000000-0005-0000-0000-00004C3C0000}"/>
    <cellStyle name="Currency 3 2 2 4 2 2" xfId="16771" xr:uid="{00000000-0005-0000-0000-00004D3C0000}"/>
    <cellStyle name="Currency 3 2 2 4 2 3" xfId="16772" xr:uid="{00000000-0005-0000-0000-00004E3C0000}"/>
    <cellStyle name="Currency 3 2 2 4 3" xfId="16773" xr:uid="{00000000-0005-0000-0000-00004F3C0000}"/>
    <cellStyle name="Currency 3 2 2 4 3 2" xfId="16774" xr:uid="{00000000-0005-0000-0000-0000503C0000}"/>
    <cellStyle name="Currency 3 2 2 4 3 3" xfId="16775" xr:uid="{00000000-0005-0000-0000-0000513C0000}"/>
    <cellStyle name="Currency 3 2 2 4 4" xfId="16776" xr:uid="{00000000-0005-0000-0000-0000523C0000}"/>
    <cellStyle name="Currency 3 2 2 4 5" xfId="16777" xr:uid="{00000000-0005-0000-0000-0000533C0000}"/>
    <cellStyle name="Currency 3 2 2 5" xfId="989" xr:uid="{00000000-0005-0000-0000-0000543C0000}"/>
    <cellStyle name="Currency 3 2 2 5 2" xfId="16778" xr:uid="{00000000-0005-0000-0000-0000553C0000}"/>
    <cellStyle name="Currency 3 2 2 5 3" xfId="16779" xr:uid="{00000000-0005-0000-0000-0000563C0000}"/>
    <cellStyle name="Currency 3 2 2 6" xfId="16780" xr:uid="{00000000-0005-0000-0000-0000573C0000}"/>
    <cellStyle name="Currency 3 2 2 6 2" xfId="16781" xr:uid="{00000000-0005-0000-0000-0000583C0000}"/>
    <cellStyle name="Currency 3 2 2 6 3" xfId="16782" xr:uid="{00000000-0005-0000-0000-0000593C0000}"/>
    <cellStyle name="Currency 3 2 2 7" xfId="16783" xr:uid="{00000000-0005-0000-0000-00005A3C0000}"/>
    <cellStyle name="Currency 3 2 2 8" xfId="16784" xr:uid="{00000000-0005-0000-0000-00005B3C0000}"/>
    <cellStyle name="Currency 3 2 2 9" xfId="44974" xr:uid="{00000000-0005-0000-0000-00005C3C0000}"/>
    <cellStyle name="Currency 3 2 3" xfId="990" xr:uid="{00000000-0005-0000-0000-00005D3C0000}"/>
    <cellStyle name="Currency 3 2 3 2" xfId="991" xr:uid="{00000000-0005-0000-0000-00005E3C0000}"/>
    <cellStyle name="Currency 3 2 3 2 2" xfId="16785" xr:uid="{00000000-0005-0000-0000-00005F3C0000}"/>
    <cellStyle name="Currency 3 2 3 2 2 2" xfId="16786" xr:uid="{00000000-0005-0000-0000-0000603C0000}"/>
    <cellStyle name="Currency 3 2 3 2 2 2 2" xfId="16787" xr:uid="{00000000-0005-0000-0000-0000613C0000}"/>
    <cellStyle name="Currency 3 2 3 2 2 2 3" xfId="16788" xr:uid="{00000000-0005-0000-0000-0000623C0000}"/>
    <cellStyle name="Currency 3 2 3 2 2 3" xfId="16789" xr:uid="{00000000-0005-0000-0000-0000633C0000}"/>
    <cellStyle name="Currency 3 2 3 2 2 3 2" xfId="16790" xr:uid="{00000000-0005-0000-0000-0000643C0000}"/>
    <cellStyle name="Currency 3 2 3 2 2 3 3" xfId="16791" xr:uid="{00000000-0005-0000-0000-0000653C0000}"/>
    <cellStyle name="Currency 3 2 3 2 2 4" xfId="16792" xr:uid="{00000000-0005-0000-0000-0000663C0000}"/>
    <cellStyle name="Currency 3 2 3 2 2 5" xfId="16793" xr:uid="{00000000-0005-0000-0000-0000673C0000}"/>
    <cellStyle name="Currency 3 2 3 2 3" xfId="16794" xr:uid="{00000000-0005-0000-0000-0000683C0000}"/>
    <cellStyle name="Currency 3 2 3 2 3 2" xfId="16795" xr:uid="{00000000-0005-0000-0000-0000693C0000}"/>
    <cellStyle name="Currency 3 2 3 2 3 3" xfId="16796" xr:uid="{00000000-0005-0000-0000-00006A3C0000}"/>
    <cellStyle name="Currency 3 2 3 2 4" xfId="16797" xr:uid="{00000000-0005-0000-0000-00006B3C0000}"/>
    <cellStyle name="Currency 3 2 3 2 4 2" xfId="16798" xr:uid="{00000000-0005-0000-0000-00006C3C0000}"/>
    <cellStyle name="Currency 3 2 3 2 4 3" xfId="16799" xr:uid="{00000000-0005-0000-0000-00006D3C0000}"/>
    <cellStyle name="Currency 3 2 3 2 5" xfId="16800" xr:uid="{00000000-0005-0000-0000-00006E3C0000}"/>
    <cellStyle name="Currency 3 2 3 2 6" xfId="16801" xr:uid="{00000000-0005-0000-0000-00006F3C0000}"/>
    <cellStyle name="Currency 3 2 3 2 7" xfId="44975" xr:uid="{00000000-0005-0000-0000-0000703C0000}"/>
    <cellStyle name="Currency 3 2 3 3" xfId="992" xr:uid="{00000000-0005-0000-0000-0000713C0000}"/>
    <cellStyle name="Currency 3 2 3 3 2" xfId="16802" xr:uid="{00000000-0005-0000-0000-0000723C0000}"/>
    <cellStyle name="Currency 3 2 3 3 2 2" xfId="16803" xr:uid="{00000000-0005-0000-0000-0000733C0000}"/>
    <cellStyle name="Currency 3 2 3 3 2 3" xfId="16804" xr:uid="{00000000-0005-0000-0000-0000743C0000}"/>
    <cellStyle name="Currency 3 2 3 3 3" xfId="16805" xr:uid="{00000000-0005-0000-0000-0000753C0000}"/>
    <cellStyle name="Currency 3 2 3 3 3 2" xfId="16806" xr:uid="{00000000-0005-0000-0000-0000763C0000}"/>
    <cellStyle name="Currency 3 2 3 3 3 3" xfId="16807" xr:uid="{00000000-0005-0000-0000-0000773C0000}"/>
    <cellStyle name="Currency 3 2 3 3 4" xfId="16808" xr:uid="{00000000-0005-0000-0000-0000783C0000}"/>
    <cellStyle name="Currency 3 2 3 3 5" xfId="16809" xr:uid="{00000000-0005-0000-0000-0000793C0000}"/>
    <cellStyle name="Currency 3 2 3 4" xfId="993" xr:uid="{00000000-0005-0000-0000-00007A3C0000}"/>
    <cellStyle name="Currency 3 2 3 4 2" xfId="16810" xr:uid="{00000000-0005-0000-0000-00007B3C0000}"/>
    <cellStyle name="Currency 3 2 3 4 3" xfId="16811" xr:uid="{00000000-0005-0000-0000-00007C3C0000}"/>
    <cellStyle name="Currency 3 2 3 5" xfId="994" xr:uid="{00000000-0005-0000-0000-00007D3C0000}"/>
    <cellStyle name="Currency 3 2 3 5 2" xfId="16812" xr:uid="{00000000-0005-0000-0000-00007E3C0000}"/>
    <cellStyle name="Currency 3 2 3 5 3" xfId="16813" xr:uid="{00000000-0005-0000-0000-00007F3C0000}"/>
    <cellStyle name="Currency 3 2 3 6" xfId="16814" xr:uid="{00000000-0005-0000-0000-0000803C0000}"/>
    <cellStyle name="Currency 3 2 3 7" xfId="16815" xr:uid="{00000000-0005-0000-0000-0000813C0000}"/>
    <cellStyle name="Currency 3 2 3 8" xfId="44976" xr:uid="{00000000-0005-0000-0000-0000823C0000}"/>
    <cellStyle name="Currency 3 2 4" xfId="995" xr:uid="{00000000-0005-0000-0000-0000833C0000}"/>
    <cellStyle name="Currency 3 2 4 2" xfId="996" xr:uid="{00000000-0005-0000-0000-0000843C0000}"/>
    <cellStyle name="Currency 3 2 4 2 2" xfId="16816" xr:uid="{00000000-0005-0000-0000-0000853C0000}"/>
    <cellStyle name="Currency 3 2 4 2 2 2" xfId="16817" xr:uid="{00000000-0005-0000-0000-0000863C0000}"/>
    <cellStyle name="Currency 3 2 4 2 2 3" xfId="16818" xr:uid="{00000000-0005-0000-0000-0000873C0000}"/>
    <cellStyle name="Currency 3 2 4 2 3" xfId="16819" xr:uid="{00000000-0005-0000-0000-0000883C0000}"/>
    <cellStyle name="Currency 3 2 4 2 3 2" xfId="16820" xr:uid="{00000000-0005-0000-0000-0000893C0000}"/>
    <cellStyle name="Currency 3 2 4 2 3 3" xfId="16821" xr:uid="{00000000-0005-0000-0000-00008A3C0000}"/>
    <cellStyle name="Currency 3 2 4 2 4" xfId="16822" xr:uid="{00000000-0005-0000-0000-00008B3C0000}"/>
    <cellStyle name="Currency 3 2 4 2 5" xfId="16823" xr:uid="{00000000-0005-0000-0000-00008C3C0000}"/>
    <cellStyle name="Currency 3 2 4 3" xfId="997" xr:uid="{00000000-0005-0000-0000-00008D3C0000}"/>
    <cellStyle name="Currency 3 2 4 3 2" xfId="16824" xr:uid="{00000000-0005-0000-0000-00008E3C0000}"/>
    <cellStyle name="Currency 3 2 4 3 3" xfId="16825" xr:uid="{00000000-0005-0000-0000-00008F3C0000}"/>
    <cellStyle name="Currency 3 2 4 4" xfId="16826" xr:uid="{00000000-0005-0000-0000-0000903C0000}"/>
    <cellStyle name="Currency 3 2 4 4 2" xfId="16827" xr:uid="{00000000-0005-0000-0000-0000913C0000}"/>
    <cellStyle name="Currency 3 2 4 4 3" xfId="16828" xr:uid="{00000000-0005-0000-0000-0000923C0000}"/>
    <cellStyle name="Currency 3 2 4 5" xfId="16829" xr:uid="{00000000-0005-0000-0000-0000933C0000}"/>
    <cellStyle name="Currency 3 2 4 6" xfId="16830" xr:uid="{00000000-0005-0000-0000-0000943C0000}"/>
    <cellStyle name="Currency 3 2 4 7" xfId="44977" xr:uid="{00000000-0005-0000-0000-0000953C0000}"/>
    <cellStyle name="Currency 3 2 5" xfId="998" xr:uid="{00000000-0005-0000-0000-0000963C0000}"/>
    <cellStyle name="Currency 3 2 5 2" xfId="999" xr:uid="{00000000-0005-0000-0000-0000973C0000}"/>
    <cellStyle name="Currency 3 2 5 2 2" xfId="16831" xr:uid="{00000000-0005-0000-0000-0000983C0000}"/>
    <cellStyle name="Currency 3 2 5 2 3" xfId="16832" xr:uid="{00000000-0005-0000-0000-0000993C0000}"/>
    <cellStyle name="Currency 3 2 5 3" xfId="1000" xr:uid="{00000000-0005-0000-0000-00009A3C0000}"/>
    <cellStyle name="Currency 3 2 5 3 2" xfId="16833" xr:uid="{00000000-0005-0000-0000-00009B3C0000}"/>
    <cellStyle name="Currency 3 2 5 3 3" xfId="16834" xr:uid="{00000000-0005-0000-0000-00009C3C0000}"/>
    <cellStyle name="Currency 3 2 5 4" xfId="16835" xr:uid="{00000000-0005-0000-0000-00009D3C0000}"/>
    <cellStyle name="Currency 3 2 5 5" xfId="16836" xr:uid="{00000000-0005-0000-0000-00009E3C0000}"/>
    <cellStyle name="Currency 3 2 6" xfId="1001" xr:uid="{00000000-0005-0000-0000-00009F3C0000}"/>
    <cellStyle name="Currency 3 2 6 2" xfId="16837" xr:uid="{00000000-0005-0000-0000-0000A03C0000}"/>
    <cellStyle name="Currency 3 2 6 3" xfId="16838" xr:uid="{00000000-0005-0000-0000-0000A13C0000}"/>
    <cellStyle name="Currency 3 2 7" xfId="1002" xr:uid="{00000000-0005-0000-0000-0000A23C0000}"/>
    <cellStyle name="Currency 3 2 7 2" xfId="16839" xr:uid="{00000000-0005-0000-0000-0000A33C0000}"/>
    <cellStyle name="Currency 3 2 7 3" xfId="16840" xr:uid="{00000000-0005-0000-0000-0000A43C0000}"/>
    <cellStyle name="Currency 3 2 8" xfId="1003" xr:uid="{00000000-0005-0000-0000-0000A53C0000}"/>
    <cellStyle name="Currency 3 2 9" xfId="16841" xr:uid="{00000000-0005-0000-0000-0000A63C0000}"/>
    <cellStyle name="Currency 3 3" xfId="288" xr:uid="{00000000-0005-0000-0000-0000A73C0000}"/>
    <cellStyle name="Currency 3 3 2" xfId="289" xr:uid="{00000000-0005-0000-0000-0000A83C0000}"/>
    <cellStyle name="Currency 3 3 2 2" xfId="1004" xr:uid="{00000000-0005-0000-0000-0000A93C0000}"/>
    <cellStyle name="Currency 3 3 2 2 2" xfId="16842" xr:uid="{00000000-0005-0000-0000-0000AA3C0000}"/>
    <cellStyle name="Currency 3 3 2 2 2 2" xfId="16843" xr:uid="{00000000-0005-0000-0000-0000AB3C0000}"/>
    <cellStyle name="Currency 3 3 2 2 2 2 2" xfId="16844" xr:uid="{00000000-0005-0000-0000-0000AC3C0000}"/>
    <cellStyle name="Currency 3 3 2 2 2 2 3" xfId="16845" xr:uid="{00000000-0005-0000-0000-0000AD3C0000}"/>
    <cellStyle name="Currency 3 3 2 2 2 3" xfId="16846" xr:uid="{00000000-0005-0000-0000-0000AE3C0000}"/>
    <cellStyle name="Currency 3 3 2 2 2 3 2" xfId="16847" xr:uid="{00000000-0005-0000-0000-0000AF3C0000}"/>
    <cellStyle name="Currency 3 3 2 2 2 3 3" xfId="16848" xr:uid="{00000000-0005-0000-0000-0000B03C0000}"/>
    <cellStyle name="Currency 3 3 2 2 2 4" xfId="16849" xr:uid="{00000000-0005-0000-0000-0000B13C0000}"/>
    <cellStyle name="Currency 3 3 2 2 2 5" xfId="16850" xr:uid="{00000000-0005-0000-0000-0000B23C0000}"/>
    <cellStyle name="Currency 3 3 2 2 3" xfId="16851" xr:uid="{00000000-0005-0000-0000-0000B33C0000}"/>
    <cellStyle name="Currency 3 3 2 2 3 2" xfId="16852" xr:uid="{00000000-0005-0000-0000-0000B43C0000}"/>
    <cellStyle name="Currency 3 3 2 2 3 3" xfId="16853" xr:uid="{00000000-0005-0000-0000-0000B53C0000}"/>
    <cellStyle name="Currency 3 3 2 2 4" xfId="16854" xr:uid="{00000000-0005-0000-0000-0000B63C0000}"/>
    <cellStyle name="Currency 3 3 2 2 4 2" xfId="16855" xr:uid="{00000000-0005-0000-0000-0000B73C0000}"/>
    <cellStyle name="Currency 3 3 2 2 4 3" xfId="16856" xr:uid="{00000000-0005-0000-0000-0000B83C0000}"/>
    <cellStyle name="Currency 3 3 2 2 5" xfId="16857" xr:uid="{00000000-0005-0000-0000-0000B93C0000}"/>
    <cellStyle name="Currency 3 3 2 2 6" xfId="16858" xr:uid="{00000000-0005-0000-0000-0000BA3C0000}"/>
    <cellStyle name="Currency 3 3 2 2 7" xfId="44978" xr:uid="{00000000-0005-0000-0000-0000BB3C0000}"/>
    <cellStyle name="Currency 3 3 2 3" xfId="16859" xr:uid="{00000000-0005-0000-0000-0000BC3C0000}"/>
    <cellStyle name="Currency 3 3 2 3 2" xfId="16860" xr:uid="{00000000-0005-0000-0000-0000BD3C0000}"/>
    <cellStyle name="Currency 3 3 2 3 2 2" xfId="16861" xr:uid="{00000000-0005-0000-0000-0000BE3C0000}"/>
    <cellStyle name="Currency 3 3 2 3 2 3" xfId="16862" xr:uid="{00000000-0005-0000-0000-0000BF3C0000}"/>
    <cellStyle name="Currency 3 3 2 3 3" xfId="16863" xr:uid="{00000000-0005-0000-0000-0000C03C0000}"/>
    <cellStyle name="Currency 3 3 2 3 3 2" xfId="16864" xr:uid="{00000000-0005-0000-0000-0000C13C0000}"/>
    <cellStyle name="Currency 3 3 2 3 3 3" xfId="16865" xr:uid="{00000000-0005-0000-0000-0000C23C0000}"/>
    <cellStyle name="Currency 3 3 2 3 4" xfId="16866" xr:uid="{00000000-0005-0000-0000-0000C33C0000}"/>
    <cellStyle name="Currency 3 3 2 3 5" xfId="16867" xr:uid="{00000000-0005-0000-0000-0000C43C0000}"/>
    <cellStyle name="Currency 3 3 2 3 6" xfId="16868" xr:uid="{00000000-0005-0000-0000-0000C53C0000}"/>
    <cellStyle name="Currency 3 3 2 3 7" xfId="44040" xr:uid="{00000000-0005-0000-0000-0000C63C0000}"/>
    <cellStyle name="Currency 3 3 2 4" xfId="16869" xr:uid="{00000000-0005-0000-0000-0000C73C0000}"/>
    <cellStyle name="Currency 3 3 2 4 2" xfId="16870" xr:uid="{00000000-0005-0000-0000-0000C83C0000}"/>
    <cellStyle name="Currency 3 3 2 4 3" xfId="16871" xr:uid="{00000000-0005-0000-0000-0000C93C0000}"/>
    <cellStyle name="Currency 3 3 2 5" xfId="16872" xr:uid="{00000000-0005-0000-0000-0000CA3C0000}"/>
    <cellStyle name="Currency 3 3 2 5 2" xfId="16873" xr:uid="{00000000-0005-0000-0000-0000CB3C0000}"/>
    <cellStyle name="Currency 3 3 2 5 3" xfId="16874" xr:uid="{00000000-0005-0000-0000-0000CC3C0000}"/>
    <cellStyle name="Currency 3 3 2 6" xfId="16875" xr:uid="{00000000-0005-0000-0000-0000CD3C0000}"/>
    <cellStyle name="Currency 3 3 2 7" xfId="16876" xr:uid="{00000000-0005-0000-0000-0000CE3C0000}"/>
    <cellStyle name="Currency 3 3 3" xfId="1005" xr:uid="{00000000-0005-0000-0000-0000CF3C0000}"/>
    <cellStyle name="Currency 3 3 3 2" xfId="16877" xr:uid="{00000000-0005-0000-0000-0000D03C0000}"/>
    <cellStyle name="Currency 3 3 3 2 2" xfId="16878" xr:uid="{00000000-0005-0000-0000-0000D13C0000}"/>
    <cellStyle name="Currency 3 3 3 2 2 2" xfId="16879" xr:uid="{00000000-0005-0000-0000-0000D23C0000}"/>
    <cellStyle name="Currency 3 3 3 2 2 3" xfId="16880" xr:uid="{00000000-0005-0000-0000-0000D33C0000}"/>
    <cellStyle name="Currency 3 3 3 2 3" xfId="16881" xr:uid="{00000000-0005-0000-0000-0000D43C0000}"/>
    <cellStyle name="Currency 3 3 3 2 3 2" xfId="16882" xr:uid="{00000000-0005-0000-0000-0000D53C0000}"/>
    <cellStyle name="Currency 3 3 3 2 3 3" xfId="16883" xr:uid="{00000000-0005-0000-0000-0000D63C0000}"/>
    <cellStyle name="Currency 3 3 3 2 4" xfId="16884" xr:uid="{00000000-0005-0000-0000-0000D73C0000}"/>
    <cellStyle name="Currency 3 3 3 2 5" xfId="16885" xr:uid="{00000000-0005-0000-0000-0000D83C0000}"/>
    <cellStyle name="Currency 3 3 3 3" xfId="16886" xr:uid="{00000000-0005-0000-0000-0000D93C0000}"/>
    <cellStyle name="Currency 3 3 3 3 2" xfId="16887" xr:uid="{00000000-0005-0000-0000-0000DA3C0000}"/>
    <cellStyle name="Currency 3 3 3 3 3" xfId="16888" xr:uid="{00000000-0005-0000-0000-0000DB3C0000}"/>
    <cellStyle name="Currency 3 3 3 4" xfId="16889" xr:uid="{00000000-0005-0000-0000-0000DC3C0000}"/>
    <cellStyle name="Currency 3 3 3 4 2" xfId="16890" xr:uid="{00000000-0005-0000-0000-0000DD3C0000}"/>
    <cellStyle name="Currency 3 3 3 4 3" xfId="16891" xr:uid="{00000000-0005-0000-0000-0000DE3C0000}"/>
    <cellStyle name="Currency 3 3 3 5" xfId="16892" xr:uid="{00000000-0005-0000-0000-0000DF3C0000}"/>
    <cellStyle name="Currency 3 3 3 6" xfId="16893" xr:uid="{00000000-0005-0000-0000-0000E03C0000}"/>
    <cellStyle name="Currency 3 3 4" xfId="1006" xr:uid="{00000000-0005-0000-0000-0000E13C0000}"/>
    <cellStyle name="Currency 3 3 4 2" xfId="16894" xr:uid="{00000000-0005-0000-0000-0000E23C0000}"/>
    <cellStyle name="Currency 3 3 4 2 2" xfId="16895" xr:uid="{00000000-0005-0000-0000-0000E33C0000}"/>
    <cellStyle name="Currency 3 3 4 2 3" xfId="16896" xr:uid="{00000000-0005-0000-0000-0000E43C0000}"/>
    <cellStyle name="Currency 3 3 4 3" xfId="16897" xr:uid="{00000000-0005-0000-0000-0000E53C0000}"/>
    <cellStyle name="Currency 3 3 4 3 2" xfId="16898" xr:uid="{00000000-0005-0000-0000-0000E63C0000}"/>
    <cellStyle name="Currency 3 3 4 3 3" xfId="16899" xr:uid="{00000000-0005-0000-0000-0000E73C0000}"/>
    <cellStyle name="Currency 3 3 4 4" xfId="16900" xr:uid="{00000000-0005-0000-0000-0000E83C0000}"/>
    <cellStyle name="Currency 3 3 4 5" xfId="16901" xr:uid="{00000000-0005-0000-0000-0000E93C0000}"/>
    <cellStyle name="Currency 3 3 4 6" xfId="44979" xr:uid="{00000000-0005-0000-0000-0000EA3C0000}"/>
    <cellStyle name="Currency 3 3 5" xfId="16902" xr:uid="{00000000-0005-0000-0000-0000EB3C0000}"/>
    <cellStyle name="Currency 3 3 5 2" xfId="16903" xr:uid="{00000000-0005-0000-0000-0000EC3C0000}"/>
    <cellStyle name="Currency 3 3 5 3" xfId="16904" xr:uid="{00000000-0005-0000-0000-0000ED3C0000}"/>
    <cellStyle name="Currency 3 3 6" xfId="16905" xr:uid="{00000000-0005-0000-0000-0000EE3C0000}"/>
    <cellStyle name="Currency 3 3 6 2" xfId="16906" xr:uid="{00000000-0005-0000-0000-0000EF3C0000}"/>
    <cellStyle name="Currency 3 3 6 3" xfId="16907" xr:uid="{00000000-0005-0000-0000-0000F03C0000}"/>
    <cellStyle name="Currency 3 3 7" xfId="16908" xr:uid="{00000000-0005-0000-0000-0000F13C0000}"/>
    <cellStyle name="Currency 3 3 8" xfId="16909" xr:uid="{00000000-0005-0000-0000-0000F23C0000}"/>
    <cellStyle name="Currency 3 4" xfId="290" xr:uid="{00000000-0005-0000-0000-0000F33C0000}"/>
    <cellStyle name="Currency 3 4 2" xfId="1007" xr:uid="{00000000-0005-0000-0000-0000F43C0000}"/>
    <cellStyle name="Currency 3 4 2 2" xfId="16910" xr:uid="{00000000-0005-0000-0000-0000F53C0000}"/>
    <cellStyle name="Currency 3 4 2 2 2" xfId="16911" xr:uid="{00000000-0005-0000-0000-0000F63C0000}"/>
    <cellStyle name="Currency 3 4 2 2 2 2" xfId="16912" xr:uid="{00000000-0005-0000-0000-0000F73C0000}"/>
    <cellStyle name="Currency 3 4 2 2 2 2 2" xfId="16913" xr:uid="{00000000-0005-0000-0000-0000F83C0000}"/>
    <cellStyle name="Currency 3 4 2 2 2 2 3" xfId="16914" xr:uid="{00000000-0005-0000-0000-0000F93C0000}"/>
    <cellStyle name="Currency 3 4 2 2 2 3" xfId="16915" xr:uid="{00000000-0005-0000-0000-0000FA3C0000}"/>
    <cellStyle name="Currency 3 4 2 2 2 3 2" xfId="16916" xr:uid="{00000000-0005-0000-0000-0000FB3C0000}"/>
    <cellStyle name="Currency 3 4 2 2 2 3 3" xfId="16917" xr:uid="{00000000-0005-0000-0000-0000FC3C0000}"/>
    <cellStyle name="Currency 3 4 2 2 2 4" xfId="16918" xr:uid="{00000000-0005-0000-0000-0000FD3C0000}"/>
    <cellStyle name="Currency 3 4 2 2 2 5" xfId="16919" xr:uid="{00000000-0005-0000-0000-0000FE3C0000}"/>
    <cellStyle name="Currency 3 4 2 2 3" xfId="16920" xr:uid="{00000000-0005-0000-0000-0000FF3C0000}"/>
    <cellStyle name="Currency 3 4 2 2 3 2" xfId="16921" xr:uid="{00000000-0005-0000-0000-0000003D0000}"/>
    <cellStyle name="Currency 3 4 2 2 3 3" xfId="16922" xr:uid="{00000000-0005-0000-0000-0000013D0000}"/>
    <cellStyle name="Currency 3 4 2 2 4" xfId="16923" xr:uid="{00000000-0005-0000-0000-0000023D0000}"/>
    <cellStyle name="Currency 3 4 2 2 4 2" xfId="16924" xr:uid="{00000000-0005-0000-0000-0000033D0000}"/>
    <cellStyle name="Currency 3 4 2 2 4 3" xfId="16925" xr:uid="{00000000-0005-0000-0000-0000043D0000}"/>
    <cellStyle name="Currency 3 4 2 2 5" xfId="16926" xr:uid="{00000000-0005-0000-0000-0000053D0000}"/>
    <cellStyle name="Currency 3 4 2 2 6" xfId="16927" xr:uid="{00000000-0005-0000-0000-0000063D0000}"/>
    <cellStyle name="Currency 3 4 2 3" xfId="16928" xr:uid="{00000000-0005-0000-0000-0000073D0000}"/>
    <cellStyle name="Currency 3 4 2 3 2" xfId="16929" xr:uid="{00000000-0005-0000-0000-0000083D0000}"/>
    <cellStyle name="Currency 3 4 2 3 2 2" xfId="16930" xr:uid="{00000000-0005-0000-0000-0000093D0000}"/>
    <cellStyle name="Currency 3 4 2 3 2 3" xfId="16931" xr:uid="{00000000-0005-0000-0000-00000A3D0000}"/>
    <cellStyle name="Currency 3 4 2 3 3" xfId="16932" xr:uid="{00000000-0005-0000-0000-00000B3D0000}"/>
    <cellStyle name="Currency 3 4 2 3 3 2" xfId="16933" xr:uid="{00000000-0005-0000-0000-00000C3D0000}"/>
    <cellStyle name="Currency 3 4 2 3 3 3" xfId="16934" xr:uid="{00000000-0005-0000-0000-00000D3D0000}"/>
    <cellStyle name="Currency 3 4 2 3 4" xfId="16935" xr:uid="{00000000-0005-0000-0000-00000E3D0000}"/>
    <cellStyle name="Currency 3 4 2 3 5" xfId="16936" xr:uid="{00000000-0005-0000-0000-00000F3D0000}"/>
    <cellStyle name="Currency 3 4 2 4" xfId="16937" xr:uid="{00000000-0005-0000-0000-0000103D0000}"/>
    <cellStyle name="Currency 3 4 2 4 2" xfId="16938" xr:uid="{00000000-0005-0000-0000-0000113D0000}"/>
    <cellStyle name="Currency 3 4 2 4 3" xfId="16939" xr:uid="{00000000-0005-0000-0000-0000123D0000}"/>
    <cellStyle name="Currency 3 4 2 5" xfId="16940" xr:uid="{00000000-0005-0000-0000-0000133D0000}"/>
    <cellStyle name="Currency 3 4 2 5 2" xfId="16941" xr:uid="{00000000-0005-0000-0000-0000143D0000}"/>
    <cellStyle name="Currency 3 4 2 5 3" xfId="16942" xr:uid="{00000000-0005-0000-0000-0000153D0000}"/>
    <cellStyle name="Currency 3 4 2 6" xfId="16943" xr:uid="{00000000-0005-0000-0000-0000163D0000}"/>
    <cellStyle name="Currency 3 4 2 7" xfId="16944" xr:uid="{00000000-0005-0000-0000-0000173D0000}"/>
    <cellStyle name="Currency 3 4 2 8" xfId="44980" xr:uid="{00000000-0005-0000-0000-0000183D0000}"/>
    <cellStyle name="Currency 3 4 3" xfId="1008" xr:uid="{00000000-0005-0000-0000-0000193D0000}"/>
    <cellStyle name="Currency 3 4 3 2" xfId="16945" xr:uid="{00000000-0005-0000-0000-00001A3D0000}"/>
    <cellStyle name="Currency 3 4 3 2 2" xfId="16946" xr:uid="{00000000-0005-0000-0000-00001B3D0000}"/>
    <cellStyle name="Currency 3 4 3 2 2 2" xfId="16947" xr:uid="{00000000-0005-0000-0000-00001C3D0000}"/>
    <cellStyle name="Currency 3 4 3 2 2 3" xfId="16948" xr:uid="{00000000-0005-0000-0000-00001D3D0000}"/>
    <cellStyle name="Currency 3 4 3 2 3" xfId="16949" xr:uid="{00000000-0005-0000-0000-00001E3D0000}"/>
    <cellStyle name="Currency 3 4 3 2 3 2" xfId="16950" xr:uid="{00000000-0005-0000-0000-00001F3D0000}"/>
    <cellStyle name="Currency 3 4 3 2 3 3" xfId="16951" xr:uid="{00000000-0005-0000-0000-0000203D0000}"/>
    <cellStyle name="Currency 3 4 3 2 4" xfId="16952" xr:uid="{00000000-0005-0000-0000-0000213D0000}"/>
    <cellStyle name="Currency 3 4 3 2 5" xfId="16953" xr:uid="{00000000-0005-0000-0000-0000223D0000}"/>
    <cellStyle name="Currency 3 4 3 3" xfId="16954" xr:uid="{00000000-0005-0000-0000-0000233D0000}"/>
    <cellStyle name="Currency 3 4 3 3 2" xfId="16955" xr:uid="{00000000-0005-0000-0000-0000243D0000}"/>
    <cellStyle name="Currency 3 4 3 3 3" xfId="16956" xr:uid="{00000000-0005-0000-0000-0000253D0000}"/>
    <cellStyle name="Currency 3 4 3 4" xfId="16957" xr:uid="{00000000-0005-0000-0000-0000263D0000}"/>
    <cellStyle name="Currency 3 4 3 4 2" xfId="16958" xr:uid="{00000000-0005-0000-0000-0000273D0000}"/>
    <cellStyle name="Currency 3 4 3 4 3" xfId="16959" xr:uid="{00000000-0005-0000-0000-0000283D0000}"/>
    <cellStyle name="Currency 3 4 3 5" xfId="16960" xr:uid="{00000000-0005-0000-0000-0000293D0000}"/>
    <cellStyle name="Currency 3 4 3 6" xfId="16961" xr:uid="{00000000-0005-0000-0000-00002A3D0000}"/>
    <cellStyle name="Currency 3 4 4" xfId="1009" xr:uid="{00000000-0005-0000-0000-00002B3D0000}"/>
    <cellStyle name="Currency 3 4 4 2" xfId="16962" xr:uid="{00000000-0005-0000-0000-00002C3D0000}"/>
    <cellStyle name="Currency 3 4 4 2 2" xfId="16963" xr:uid="{00000000-0005-0000-0000-00002D3D0000}"/>
    <cellStyle name="Currency 3 4 4 2 3" xfId="16964" xr:uid="{00000000-0005-0000-0000-00002E3D0000}"/>
    <cellStyle name="Currency 3 4 4 3" xfId="16965" xr:uid="{00000000-0005-0000-0000-00002F3D0000}"/>
    <cellStyle name="Currency 3 4 4 3 2" xfId="16966" xr:uid="{00000000-0005-0000-0000-0000303D0000}"/>
    <cellStyle name="Currency 3 4 4 3 3" xfId="16967" xr:uid="{00000000-0005-0000-0000-0000313D0000}"/>
    <cellStyle name="Currency 3 4 4 4" xfId="16968" xr:uid="{00000000-0005-0000-0000-0000323D0000}"/>
    <cellStyle name="Currency 3 4 4 5" xfId="16969" xr:uid="{00000000-0005-0000-0000-0000333D0000}"/>
    <cellStyle name="Currency 3 4 5" xfId="1010" xr:uid="{00000000-0005-0000-0000-0000343D0000}"/>
    <cellStyle name="Currency 3 4 5 2" xfId="16970" xr:uid="{00000000-0005-0000-0000-0000353D0000}"/>
    <cellStyle name="Currency 3 4 5 3" xfId="16971" xr:uid="{00000000-0005-0000-0000-0000363D0000}"/>
    <cellStyle name="Currency 3 4 6" xfId="1011" xr:uid="{00000000-0005-0000-0000-0000373D0000}"/>
    <cellStyle name="Currency 3 4 6 2" xfId="16972" xr:uid="{00000000-0005-0000-0000-0000383D0000}"/>
    <cellStyle name="Currency 3 4 6 3" xfId="16973" xr:uid="{00000000-0005-0000-0000-0000393D0000}"/>
    <cellStyle name="Currency 3 4 7" xfId="16974" xr:uid="{00000000-0005-0000-0000-00003A3D0000}"/>
    <cellStyle name="Currency 3 4 8" xfId="16975" xr:uid="{00000000-0005-0000-0000-00003B3D0000}"/>
    <cellStyle name="Currency 3 5" xfId="291" xr:uid="{00000000-0005-0000-0000-00003C3D0000}"/>
    <cellStyle name="Currency 3 5 2" xfId="1012" xr:uid="{00000000-0005-0000-0000-00003D3D0000}"/>
    <cellStyle name="Currency 3 5 2 2" xfId="16976" xr:uid="{00000000-0005-0000-0000-00003E3D0000}"/>
    <cellStyle name="Currency 3 5 2 2 2" xfId="16977" xr:uid="{00000000-0005-0000-0000-00003F3D0000}"/>
    <cellStyle name="Currency 3 5 2 2 2 2" xfId="16978" xr:uid="{00000000-0005-0000-0000-0000403D0000}"/>
    <cellStyle name="Currency 3 5 2 2 2 3" xfId="16979" xr:uid="{00000000-0005-0000-0000-0000413D0000}"/>
    <cellStyle name="Currency 3 5 2 2 3" xfId="16980" xr:uid="{00000000-0005-0000-0000-0000423D0000}"/>
    <cellStyle name="Currency 3 5 2 2 3 2" xfId="16981" xr:uid="{00000000-0005-0000-0000-0000433D0000}"/>
    <cellStyle name="Currency 3 5 2 2 3 3" xfId="16982" xr:uid="{00000000-0005-0000-0000-0000443D0000}"/>
    <cellStyle name="Currency 3 5 2 2 4" xfId="16983" xr:uid="{00000000-0005-0000-0000-0000453D0000}"/>
    <cellStyle name="Currency 3 5 2 2 5" xfId="16984" xr:uid="{00000000-0005-0000-0000-0000463D0000}"/>
    <cellStyle name="Currency 3 5 2 2 6" xfId="16985" xr:uid="{00000000-0005-0000-0000-0000473D0000}"/>
    <cellStyle name="Currency 3 5 2 2 7" xfId="44041" xr:uid="{00000000-0005-0000-0000-0000483D0000}"/>
    <cellStyle name="Currency 3 5 2 3" xfId="16986" xr:uid="{00000000-0005-0000-0000-0000493D0000}"/>
    <cellStyle name="Currency 3 5 2 3 2" xfId="16987" xr:uid="{00000000-0005-0000-0000-00004A3D0000}"/>
    <cellStyle name="Currency 3 5 2 3 3" xfId="16988" xr:uid="{00000000-0005-0000-0000-00004B3D0000}"/>
    <cellStyle name="Currency 3 5 2 4" xfId="16989" xr:uid="{00000000-0005-0000-0000-00004C3D0000}"/>
    <cellStyle name="Currency 3 5 2 4 2" xfId="16990" xr:uid="{00000000-0005-0000-0000-00004D3D0000}"/>
    <cellStyle name="Currency 3 5 2 4 3" xfId="16991" xr:uid="{00000000-0005-0000-0000-00004E3D0000}"/>
    <cellStyle name="Currency 3 5 2 5" xfId="16992" xr:uid="{00000000-0005-0000-0000-00004F3D0000}"/>
    <cellStyle name="Currency 3 5 2 6" xfId="16993" xr:uid="{00000000-0005-0000-0000-0000503D0000}"/>
    <cellStyle name="Currency 3 5 3" xfId="1013" xr:uid="{00000000-0005-0000-0000-0000513D0000}"/>
    <cellStyle name="Currency 3 5 3 2" xfId="16994" xr:uid="{00000000-0005-0000-0000-0000523D0000}"/>
    <cellStyle name="Currency 3 5 3 2 2" xfId="16995" xr:uid="{00000000-0005-0000-0000-0000533D0000}"/>
    <cellStyle name="Currency 3 5 3 2 3" xfId="16996" xr:uid="{00000000-0005-0000-0000-0000543D0000}"/>
    <cellStyle name="Currency 3 5 3 3" xfId="16997" xr:uid="{00000000-0005-0000-0000-0000553D0000}"/>
    <cellStyle name="Currency 3 5 3 3 2" xfId="16998" xr:uid="{00000000-0005-0000-0000-0000563D0000}"/>
    <cellStyle name="Currency 3 5 3 3 3" xfId="16999" xr:uid="{00000000-0005-0000-0000-0000573D0000}"/>
    <cellStyle name="Currency 3 5 3 4" xfId="17000" xr:uid="{00000000-0005-0000-0000-0000583D0000}"/>
    <cellStyle name="Currency 3 5 3 5" xfId="17001" xr:uid="{00000000-0005-0000-0000-0000593D0000}"/>
    <cellStyle name="Currency 3 5 4" xfId="17002" xr:uid="{00000000-0005-0000-0000-00005A3D0000}"/>
    <cellStyle name="Currency 3 5 4 2" xfId="17003" xr:uid="{00000000-0005-0000-0000-00005B3D0000}"/>
    <cellStyle name="Currency 3 5 4 3" xfId="17004" xr:uid="{00000000-0005-0000-0000-00005C3D0000}"/>
    <cellStyle name="Currency 3 5 5" xfId="17005" xr:uid="{00000000-0005-0000-0000-00005D3D0000}"/>
    <cellStyle name="Currency 3 5 5 2" xfId="17006" xr:uid="{00000000-0005-0000-0000-00005E3D0000}"/>
    <cellStyle name="Currency 3 5 5 3" xfId="17007" xr:uid="{00000000-0005-0000-0000-00005F3D0000}"/>
    <cellStyle name="Currency 3 5 6" xfId="17008" xr:uid="{00000000-0005-0000-0000-0000603D0000}"/>
    <cellStyle name="Currency 3 5 7" xfId="17009" xr:uid="{00000000-0005-0000-0000-0000613D0000}"/>
    <cellStyle name="Currency 3 5 8" xfId="44981" xr:uid="{00000000-0005-0000-0000-0000623D0000}"/>
    <cellStyle name="Currency 3 6" xfId="1014" xr:uid="{00000000-0005-0000-0000-0000633D0000}"/>
    <cellStyle name="Currency 3 6 2" xfId="1015" xr:uid="{00000000-0005-0000-0000-0000643D0000}"/>
    <cellStyle name="Currency 3 6 2 2" xfId="17010" xr:uid="{00000000-0005-0000-0000-0000653D0000}"/>
    <cellStyle name="Currency 3 6 2 2 2" xfId="17011" xr:uid="{00000000-0005-0000-0000-0000663D0000}"/>
    <cellStyle name="Currency 3 6 2 2 3" xfId="17012" xr:uid="{00000000-0005-0000-0000-0000673D0000}"/>
    <cellStyle name="Currency 3 6 2 3" xfId="17013" xr:uid="{00000000-0005-0000-0000-0000683D0000}"/>
    <cellStyle name="Currency 3 6 2 3 2" xfId="17014" xr:uid="{00000000-0005-0000-0000-0000693D0000}"/>
    <cellStyle name="Currency 3 6 2 3 3" xfId="17015" xr:uid="{00000000-0005-0000-0000-00006A3D0000}"/>
    <cellStyle name="Currency 3 6 2 4" xfId="17016" xr:uid="{00000000-0005-0000-0000-00006B3D0000}"/>
    <cellStyle name="Currency 3 6 2 5" xfId="17017" xr:uid="{00000000-0005-0000-0000-00006C3D0000}"/>
    <cellStyle name="Currency 3 6 3" xfId="1016" xr:uid="{00000000-0005-0000-0000-00006D3D0000}"/>
    <cellStyle name="Currency 3 6 3 2" xfId="17018" xr:uid="{00000000-0005-0000-0000-00006E3D0000}"/>
    <cellStyle name="Currency 3 6 3 3" xfId="17019" xr:uid="{00000000-0005-0000-0000-00006F3D0000}"/>
    <cellStyle name="Currency 3 6 4" xfId="17020" xr:uid="{00000000-0005-0000-0000-0000703D0000}"/>
    <cellStyle name="Currency 3 6 4 2" xfId="17021" xr:uid="{00000000-0005-0000-0000-0000713D0000}"/>
    <cellStyle name="Currency 3 6 4 3" xfId="17022" xr:uid="{00000000-0005-0000-0000-0000723D0000}"/>
    <cellStyle name="Currency 3 6 5" xfId="17023" xr:uid="{00000000-0005-0000-0000-0000733D0000}"/>
    <cellStyle name="Currency 3 6 6" xfId="17024" xr:uid="{00000000-0005-0000-0000-0000743D0000}"/>
    <cellStyle name="Currency 3 6 7" xfId="44982" xr:uid="{00000000-0005-0000-0000-0000753D0000}"/>
    <cellStyle name="Currency 3 7" xfId="1017" xr:uid="{00000000-0005-0000-0000-0000763D0000}"/>
    <cellStyle name="Currency 3 7 2" xfId="17025" xr:uid="{00000000-0005-0000-0000-0000773D0000}"/>
    <cellStyle name="Currency 3 7 2 2" xfId="17026" xr:uid="{00000000-0005-0000-0000-0000783D0000}"/>
    <cellStyle name="Currency 3 7 2 3" xfId="17027" xr:uid="{00000000-0005-0000-0000-0000793D0000}"/>
    <cellStyle name="Currency 3 7 3" xfId="17028" xr:uid="{00000000-0005-0000-0000-00007A3D0000}"/>
    <cellStyle name="Currency 3 7 3 2" xfId="17029" xr:uid="{00000000-0005-0000-0000-00007B3D0000}"/>
    <cellStyle name="Currency 3 7 3 3" xfId="17030" xr:uid="{00000000-0005-0000-0000-00007C3D0000}"/>
    <cellStyle name="Currency 3 7 4" xfId="17031" xr:uid="{00000000-0005-0000-0000-00007D3D0000}"/>
    <cellStyle name="Currency 3 7 5" xfId="17032" xr:uid="{00000000-0005-0000-0000-00007E3D0000}"/>
    <cellStyle name="Currency 3 8" xfId="1018" xr:uid="{00000000-0005-0000-0000-00007F3D0000}"/>
    <cellStyle name="Currency 3 8 2" xfId="17033" xr:uid="{00000000-0005-0000-0000-0000803D0000}"/>
    <cellStyle name="Currency 3 8 3" xfId="17034" xr:uid="{00000000-0005-0000-0000-0000813D0000}"/>
    <cellStyle name="Currency 3 9" xfId="1019" xr:uid="{00000000-0005-0000-0000-0000823D0000}"/>
    <cellStyle name="Currency 3 9 2" xfId="17035" xr:uid="{00000000-0005-0000-0000-0000833D0000}"/>
    <cellStyle name="Currency 3 9 3" xfId="17036" xr:uid="{00000000-0005-0000-0000-0000843D0000}"/>
    <cellStyle name="Currency 3_31000" xfId="17037" xr:uid="{00000000-0005-0000-0000-0000853D0000}"/>
    <cellStyle name="Currency 4" xfId="69" xr:uid="{00000000-0005-0000-0000-0000863D0000}"/>
    <cellStyle name="Currency 4 10" xfId="17038" xr:uid="{00000000-0005-0000-0000-0000873D0000}"/>
    <cellStyle name="Currency 4 11" xfId="17039" xr:uid="{00000000-0005-0000-0000-0000883D0000}"/>
    <cellStyle name="Currency 4 12" xfId="46178" xr:uid="{00000000-0005-0000-0000-0000893D0000}"/>
    <cellStyle name="Currency 4 2" xfId="81" xr:uid="{00000000-0005-0000-0000-00008A3D0000}"/>
    <cellStyle name="Currency 4 2 2" xfId="292" xr:uid="{00000000-0005-0000-0000-00008B3D0000}"/>
    <cellStyle name="Currency 4 2 2 2" xfId="1020" xr:uid="{00000000-0005-0000-0000-00008C3D0000}"/>
    <cellStyle name="Currency 4 2 2 2 2" xfId="1021" xr:uid="{00000000-0005-0000-0000-00008D3D0000}"/>
    <cellStyle name="Currency 4 2 2 2 2 2" xfId="17040" xr:uid="{00000000-0005-0000-0000-00008E3D0000}"/>
    <cellStyle name="Currency 4 2 2 2 2 2 2" xfId="17041" xr:uid="{00000000-0005-0000-0000-00008F3D0000}"/>
    <cellStyle name="Currency 4 2 2 2 2 2 2 2" xfId="17042" xr:uid="{00000000-0005-0000-0000-0000903D0000}"/>
    <cellStyle name="Currency 4 2 2 2 2 2 2 3" xfId="17043" xr:uid="{00000000-0005-0000-0000-0000913D0000}"/>
    <cellStyle name="Currency 4 2 2 2 2 2 3" xfId="17044" xr:uid="{00000000-0005-0000-0000-0000923D0000}"/>
    <cellStyle name="Currency 4 2 2 2 2 2 3 2" xfId="17045" xr:uid="{00000000-0005-0000-0000-0000933D0000}"/>
    <cellStyle name="Currency 4 2 2 2 2 2 3 3" xfId="17046" xr:uid="{00000000-0005-0000-0000-0000943D0000}"/>
    <cellStyle name="Currency 4 2 2 2 2 2 4" xfId="17047" xr:uid="{00000000-0005-0000-0000-0000953D0000}"/>
    <cellStyle name="Currency 4 2 2 2 2 2 5" xfId="17048" xr:uid="{00000000-0005-0000-0000-0000963D0000}"/>
    <cellStyle name="Currency 4 2 2 2 2 3" xfId="17049" xr:uid="{00000000-0005-0000-0000-0000973D0000}"/>
    <cellStyle name="Currency 4 2 2 2 2 3 2" xfId="17050" xr:uid="{00000000-0005-0000-0000-0000983D0000}"/>
    <cellStyle name="Currency 4 2 2 2 2 3 3" xfId="17051" xr:uid="{00000000-0005-0000-0000-0000993D0000}"/>
    <cellStyle name="Currency 4 2 2 2 2 4" xfId="17052" xr:uid="{00000000-0005-0000-0000-00009A3D0000}"/>
    <cellStyle name="Currency 4 2 2 2 2 4 2" xfId="17053" xr:uid="{00000000-0005-0000-0000-00009B3D0000}"/>
    <cellStyle name="Currency 4 2 2 2 2 4 3" xfId="17054" xr:uid="{00000000-0005-0000-0000-00009C3D0000}"/>
    <cellStyle name="Currency 4 2 2 2 2 5" xfId="17055" xr:uid="{00000000-0005-0000-0000-00009D3D0000}"/>
    <cellStyle name="Currency 4 2 2 2 2 6" xfId="17056" xr:uid="{00000000-0005-0000-0000-00009E3D0000}"/>
    <cellStyle name="Currency 4 2 2 2 2 7" xfId="44983" xr:uid="{00000000-0005-0000-0000-00009F3D0000}"/>
    <cellStyle name="Currency 4 2 2 2 3" xfId="17057" xr:uid="{00000000-0005-0000-0000-0000A03D0000}"/>
    <cellStyle name="Currency 4 2 2 2 3 2" xfId="17058" xr:uid="{00000000-0005-0000-0000-0000A13D0000}"/>
    <cellStyle name="Currency 4 2 2 2 3 2 2" xfId="17059" xr:uid="{00000000-0005-0000-0000-0000A23D0000}"/>
    <cellStyle name="Currency 4 2 2 2 3 2 3" xfId="17060" xr:uid="{00000000-0005-0000-0000-0000A33D0000}"/>
    <cellStyle name="Currency 4 2 2 2 3 3" xfId="17061" xr:uid="{00000000-0005-0000-0000-0000A43D0000}"/>
    <cellStyle name="Currency 4 2 2 2 3 3 2" xfId="17062" xr:uid="{00000000-0005-0000-0000-0000A53D0000}"/>
    <cellStyle name="Currency 4 2 2 2 3 3 3" xfId="17063" xr:uid="{00000000-0005-0000-0000-0000A63D0000}"/>
    <cellStyle name="Currency 4 2 2 2 3 4" xfId="17064" xr:uid="{00000000-0005-0000-0000-0000A73D0000}"/>
    <cellStyle name="Currency 4 2 2 2 3 5" xfId="17065" xr:uid="{00000000-0005-0000-0000-0000A83D0000}"/>
    <cellStyle name="Currency 4 2 2 2 4" xfId="17066" xr:uid="{00000000-0005-0000-0000-0000A93D0000}"/>
    <cellStyle name="Currency 4 2 2 2 4 2" xfId="17067" xr:uid="{00000000-0005-0000-0000-0000AA3D0000}"/>
    <cellStyle name="Currency 4 2 2 2 4 3" xfId="17068" xr:uid="{00000000-0005-0000-0000-0000AB3D0000}"/>
    <cellStyle name="Currency 4 2 2 2 5" xfId="17069" xr:uid="{00000000-0005-0000-0000-0000AC3D0000}"/>
    <cellStyle name="Currency 4 2 2 2 5 2" xfId="17070" xr:uid="{00000000-0005-0000-0000-0000AD3D0000}"/>
    <cellStyle name="Currency 4 2 2 2 5 3" xfId="17071" xr:uid="{00000000-0005-0000-0000-0000AE3D0000}"/>
    <cellStyle name="Currency 4 2 2 2 6" xfId="17072" xr:uid="{00000000-0005-0000-0000-0000AF3D0000}"/>
    <cellStyle name="Currency 4 2 2 2 7" xfId="17073" xr:uid="{00000000-0005-0000-0000-0000B03D0000}"/>
    <cellStyle name="Currency 4 2 2 2 8" xfId="44984" xr:uid="{00000000-0005-0000-0000-0000B13D0000}"/>
    <cellStyle name="Currency 4 2 2 3" xfId="1022" xr:uid="{00000000-0005-0000-0000-0000B23D0000}"/>
    <cellStyle name="Currency 4 2 2 3 2" xfId="17074" xr:uid="{00000000-0005-0000-0000-0000B33D0000}"/>
    <cellStyle name="Currency 4 2 2 3 2 2" xfId="17075" xr:uid="{00000000-0005-0000-0000-0000B43D0000}"/>
    <cellStyle name="Currency 4 2 2 3 2 2 2" xfId="17076" xr:uid="{00000000-0005-0000-0000-0000B53D0000}"/>
    <cellStyle name="Currency 4 2 2 3 2 2 3" xfId="17077" xr:uid="{00000000-0005-0000-0000-0000B63D0000}"/>
    <cellStyle name="Currency 4 2 2 3 2 3" xfId="17078" xr:uid="{00000000-0005-0000-0000-0000B73D0000}"/>
    <cellStyle name="Currency 4 2 2 3 2 3 2" xfId="17079" xr:uid="{00000000-0005-0000-0000-0000B83D0000}"/>
    <cellStyle name="Currency 4 2 2 3 2 3 3" xfId="17080" xr:uid="{00000000-0005-0000-0000-0000B93D0000}"/>
    <cellStyle name="Currency 4 2 2 3 2 4" xfId="17081" xr:uid="{00000000-0005-0000-0000-0000BA3D0000}"/>
    <cellStyle name="Currency 4 2 2 3 2 5" xfId="17082" xr:uid="{00000000-0005-0000-0000-0000BB3D0000}"/>
    <cellStyle name="Currency 4 2 2 3 3" xfId="17083" xr:uid="{00000000-0005-0000-0000-0000BC3D0000}"/>
    <cellStyle name="Currency 4 2 2 3 3 2" xfId="17084" xr:uid="{00000000-0005-0000-0000-0000BD3D0000}"/>
    <cellStyle name="Currency 4 2 2 3 3 3" xfId="17085" xr:uid="{00000000-0005-0000-0000-0000BE3D0000}"/>
    <cellStyle name="Currency 4 2 2 3 4" xfId="17086" xr:uid="{00000000-0005-0000-0000-0000BF3D0000}"/>
    <cellStyle name="Currency 4 2 2 3 4 2" xfId="17087" xr:uid="{00000000-0005-0000-0000-0000C03D0000}"/>
    <cellStyle name="Currency 4 2 2 3 4 3" xfId="17088" xr:uid="{00000000-0005-0000-0000-0000C13D0000}"/>
    <cellStyle name="Currency 4 2 2 3 5" xfId="17089" xr:uid="{00000000-0005-0000-0000-0000C23D0000}"/>
    <cellStyle name="Currency 4 2 2 3 6" xfId="17090" xr:uid="{00000000-0005-0000-0000-0000C33D0000}"/>
    <cellStyle name="Currency 4 2 2 3 7" xfId="44985" xr:uid="{00000000-0005-0000-0000-0000C43D0000}"/>
    <cellStyle name="Currency 4 2 2 4" xfId="17091" xr:uid="{00000000-0005-0000-0000-0000C53D0000}"/>
    <cellStyle name="Currency 4 2 2 4 2" xfId="17092" xr:uid="{00000000-0005-0000-0000-0000C63D0000}"/>
    <cellStyle name="Currency 4 2 2 4 2 2" xfId="17093" xr:uid="{00000000-0005-0000-0000-0000C73D0000}"/>
    <cellStyle name="Currency 4 2 2 4 2 3" xfId="17094" xr:uid="{00000000-0005-0000-0000-0000C83D0000}"/>
    <cellStyle name="Currency 4 2 2 4 3" xfId="17095" xr:uid="{00000000-0005-0000-0000-0000C93D0000}"/>
    <cellStyle name="Currency 4 2 2 4 3 2" xfId="17096" xr:uid="{00000000-0005-0000-0000-0000CA3D0000}"/>
    <cellStyle name="Currency 4 2 2 4 3 3" xfId="17097" xr:uid="{00000000-0005-0000-0000-0000CB3D0000}"/>
    <cellStyle name="Currency 4 2 2 4 4" xfId="17098" xr:uid="{00000000-0005-0000-0000-0000CC3D0000}"/>
    <cellStyle name="Currency 4 2 2 4 5" xfId="17099" xr:uid="{00000000-0005-0000-0000-0000CD3D0000}"/>
    <cellStyle name="Currency 4 2 2 5" xfId="17100" xr:uid="{00000000-0005-0000-0000-0000CE3D0000}"/>
    <cellStyle name="Currency 4 2 2 5 2" xfId="17101" xr:uid="{00000000-0005-0000-0000-0000CF3D0000}"/>
    <cellStyle name="Currency 4 2 2 5 3" xfId="17102" xr:uid="{00000000-0005-0000-0000-0000D03D0000}"/>
    <cellStyle name="Currency 4 2 2 6" xfId="17103" xr:uid="{00000000-0005-0000-0000-0000D13D0000}"/>
    <cellStyle name="Currency 4 2 2 6 2" xfId="17104" xr:uid="{00000000-0005-0000-0000-0000D23D0000}"/>
    <cellStyle name="Currency 4 2 2 6 3" xfId="17105" xr:uid="{00000000-0005-0000-0000-0000D33D0000}"/>
    <cellStyle name="Currency 4 2 2 7" xfId="17106" xr:uid="{00000000-0005-0000-0000-0000D43D0000}"/>
    <cellStyle name="Currency 4 2 2 8" xfId="17107" xr:uid="{00000000-0005-0000-0000-0000D53D0000}"/>
    <cellStyle name="Currency 4 2 2 9" xfId="44986" xr:uid="{00000000-0005-0000-0000-0000D63D0000}"/>
    <cellStyle name="Currency 4 2 3" xfId="641" xr:uid="{00000000-0005-0000-0000-0000D73D0000}"/>
    <cellStyle name="Currency 4 2 3 2" xfId="1023" xr:uid="{00000000-0005-0000-0000-0000D83D0000}"/>
    <cellStyle name="Currency 4 2 3 2 2" xfId="17108" xr:uid="{00000000-0005-0000-0000-0000D93D0000}"/>
    <cellStyle name="Currency 4 2 3 2 2 2" xfId="17109" xr:uid="{00000000-0005-0000-0000-0000DA3D0000}"/>
    <cellStyle name="Currency 4 2 3 2 2 2 2" xfId="17110" xr:uid="{00000000-0005-0000-0000-0000DB3D0000}"/>
    <cellStyle name="Currency 4 2 3 2 2 2 3" xfId="17111" xr:uid="{00000000-0005-0000-0000-0000DC3D0000}"/>
    <cellStyle name="Currency 4 2 3 2 2 3" xfId="17112" xr:uid="{00000000-0005-0000-0000-0000DD3D0000}"/>
    <cellStyle name="Currency 4 2 3 2 2 3 2" xfId="17113" xr:uid="{00000000-0005-0000-0000-0000DE3D0000}"/>
    <cellStyle name="Currency 4 2 3 2 2 3 3" xfId="17114" xr:uid="{00000000-0005-0000-0000-0000DF3D0000}"/>
    <cellStyle name="Currency 4 2 3 2 2 4" xfId="17115" xr:uid="{00000000-0005-0000-0000-0000E03D0000}"/>
    <cellStyle name="Currency 4 2 3 2 2 5" xfId="17116" xr:uid="{00000000-0005-0000-0000-0000E13D0000}"/>
    <cellStyle name="Currency 4 2 3 2 3" xfId="17117" xr:uid="{00000000-0005-0000-0000-0000E23D0000}"/>
    <cellStyle name="Currency 4 2 3 2 3 2" xfId="17118" xr:uid="{00000000-0005-0000-0000-0000E33D0000}"/>
    <cellStyle name="Currency 4 2 3 2 3 3" xfId="17119" xr:uid="{00000000-0005-0000-0000-0000E43D0000}"/>
    <cellStyle name="Currency 4 2 3 2 4" xfId="17120" xr:uid="{00000000-0005-0000-0000-0000E53D0000}"/>
    <cellStyle name="Currency 4 2 3 2 4 2" xfId="17121" xr:uid="{00000000-0005-0000-0000-0000E63D0000}"/>
    <cellStyle name="Currency 4 2 3 2 4 3" xfId="17122" xr:uid="{00000000-0005-0000-0000-0000E73D0000}"/>
    <cellStyle name="Currency 4 2 3 2 5" xfId="17123" xr:uid="{00000000-0005-0000-0000-0000E83D0000}"/>
    <cellStyle name="Currency 4 2 3 2 6" xfId="17124" xr:uid="{00000000-0005-0000-0000-0000E93D0000}"/>
    <cellStyle name="Currency 4 2 3 2 7" xfId="44987" xr:uid="{00000000-0005-0000-0000-0000EA3D0000}"/>
    <cellStyle name="Currency 4 2 3 3" xfId="17125" xr:uid="{00000000-0005-0000-0000-0000EB3D0000}"/>
    <cellStyle name="Currency 4 2 3 3 2" xfId="17126" xr:uid="{00000000-0005-0000-0000-0000EC3D0000}"/>
    <cellStyle name="Currency 4 2 3 3 2 2" xfId="17127" xr:uid="{00000000-0005-0000-0000-0000ED3D0000}"/>
    <cellStyle name="Currency 4 2 3 3 2 3" xfId="17128" xr:uid="{00000000-0005-0000-0000-0000EE3D0000}"/>
    <cellStyle name="Currency 4 2 3 3 3" xfId="17129" xr:uid="{00000000-0005-0000-0000-0000EF3D0000}"/>
    <cellStyle name="Currency 4 2 3 3 3 2" xfId="17130" xr:uid="{00000000-0005-0000-0000-0000F03D0000}"/>
    <cellStyle name="Currency 4 2 3 3 3 3" xfId="17131" xr:uid="{00000000-0005-0000-0000-0000F13D0000}"/>
    <cellStyle name="Currency 4 2 3 3 4" xfId="17132" xr:uid="{00000000-0005-0000-0000-0000F23D0000}"/>
    <cellStyle name="Currency 4 2 3 3 5" xfId="17133" xr:uid="{00000000-0005-0000-0000-0000F33D0000}"/>
    <cellStyle name="Currency 4 2 3 4" xfId="17134" xr:uid="{00000000-0005-0000-0000-0000F43D0000}"/>
    <cellStyle name="Currency 4 2 3 4 2" xfId="17135" xr:uid="{00000000-0005-0000-0000-0000F53D0000}"/>
    <cellStyle name="Currency 4 2 3 4 3" xfId="17136" xr:uid="{00000000-0005-0000-0000-0000F63D0000}"/>
    <cellStyle name="Currency 4 2 3 5" xfId="17137" xr:uid="{00000000-0005-0000-0000-0000F73D0000}"/>
    <cellStyle name="Currency 4 2 3 5 2" xfId="17138" xr:uid="{00000000-0005-0000-0000-0000F83D0000}"/>
    <cellStyle name="Currency 4 2 3 5 3" xfId="17139" xr:uid="{00000000-0005-0000-0000-0000F93D0000}"/>
    <cellStyle name="Currency 4 2 3 6" xfId="17140" xr:uid="{00000000-0005-0000-0000-0000FA3D0000}"/>
    <cellStyle name="Currency 4 2 3 7" xfId="17141" xr:uid="{00000000-0005-0000-0000-0000FB3D0000}"/>
    <cellStyle name="Currency 4 2 3 8" xfId="44988" xr:uid="{00000000-0005-0000-0000-0000FC3D0000}"/>
    <cellStyle name="Currency 4 2 3 9" xfId="46179" xr:uid="{00000000-0005-0000-0000-0000FD3D0000}"/>
    <cellStyle name="Currency 4 2 4" xfId="1024" xr:uid="{00000000-0005-0000-0000-0000FE3D0000}"/>
    <cellStyle name="Currency 4 2 4 2" xfId="17142" xr:uid="{00000000-0005-0000-0000-0000FF3D0000}"/>
    <cellStyle name="Currency 4 2 4 2 2" xfId="17143" xr:uid="{00000000-0005-0000-0000-0000003E0000}"/>
    <cellStyle name="Currency 4 2 4 2 2 2" xfId="17144" xr:uid="{00000000-0005-0000-0000-0000013E0000}"/>
    <cellStyle name="Currency 4 2 4 2 2 3" xfId="17145" xr:uid="{00000000-0005-0000-0000-0000023E0000}"/>
    <cellStyle name="Currency 4 2 4 2 3" xfId="17146" xr:uid="{00000000-0005-0000-0000-0000033E0000}"/>
    <cellStyle name="Currency 4 2 4 2 3 2" xfId="17147" xr:uid="{00000000-0005-0000-0000-0000043E0000}"/>
    <cellStyle name="Currency 4 2 4 2 3 3" xfId="17148" xr:uid="{00000000-0005-0000-0000-0000053E0000}"/>
    <cellStyle name="Currency 4 2 4 2 4" xfId="17149" xr:uid="{00000000-0005-0000-0000-0000063E0000}"/>
    <cellStyle name="Currency 4 2 4 2 5" xfId="17150" xr:uid="{00000000-0005-0000-0000-0000073E0000}"/>
    <cellStyle name="Currency 4 2 4 3" xfId="17151" xr:uid="{00000000-0005-0000-0000-0000083E0000}"/>
    <cellStyle name="Currency 4 2 4 3 2" xfId="17152" xr:uid="{00000000-0005-0000-0000-0000093E0000}"/>
    <cellStyle name="Currency 4 2 4 3 3" xfId="17153" xr:uid="{00000000-0005-0000-0000-00000A3E0000}"/>
    <cellStyle name="Currency 4 2 4 4" xfId="17154" xr:uid="{00000000-0005-0000-0000-00000B3E0000}"/>
    <cellStyle name="Currency 4 2 4 4 2" xfId="17155" xr:uid="{00000000-0005-0000-0000-00000C3E0000}"/>
    <cellStyle name="Currency 4 2 4 4 3" xfId="17156" xr:uid="{00000000-0005-0000-0000-00000D3E0000}"/>
    <cellStyle name="Currency 4 2 4 5" xfId="17157" xr:uid="{00000000-0005-0000-0000-00000E3E0000}"/>
    <cellStyle name="Currency 4 2 4 6" xfId="17158" xr:uid="{00000000-0005-0000-0000-00000F3E0000}"/>
    <cellStyle name="Currency 4 2 4 7" xfId="44989" xr:uid="{00000000-0005-0000-0000-0000103E0000}"/>
    <cellStyle name="Currency 4 2 5" xfId="17159" xr:uid="{00000000-0005-0000-0000-0000113E0000}"/>
    <cellStyle name="Currency 4 2 5 2" xfId="17160" xr:uid="{00000000-0005-0000-0000-0000123E0000}"/>
    <cellStyle name="Currency 4 2 5 2 2" xfId="17161" xr:uid="{00000000-0005-0000-0000-0000133E0000}"/>
    <cellStyle name="Currency 4 2 5 2 3" xfId="17162" xr:uid="{00000000-0005-0000-0000-0000143E0000}"/>
    <cellStyle name="Currency 4 2 5 3" xfId="17163" xr:uid="{00000000-0005-0000-0000-0000153E0000}"/>
    <cellStyle name="Currency 4 2 5 3 2" xfId="17164" xr:uid="{00000000-0005-0000-0000-0000163E0000}"/>
    <cellStyle name="Currency 4 2 5 3 3" xfId="17165" xr:uid="{00000000-0005-0000-0000-0000173E0000}"/>
    <cellStyle name="Currency 4 2 5 4" xfId="17166" xr:uid="{00000000-0005-0000-0000-0000183E0000}"/>
    <cellStyle name="Currency 4 2 5 5" xfId="17167" xr:uid="{00000000-0005-0000-0000-0000193E0000}"/>
    <cellStyle name="Currency 4 2 5 6" xfId="42466" xr:uid="{00000000-0005-0000-0000-00001A3E0000}"/>
    <cellStyle name="Currency 4 2 5 7" xfId="44990" xr:uid="{00000000-0005-0000-0000-00001B3E0000}"/>
    <cellStyle name="Currency 4 2 6" xfId="17168" xr:uid="{00000000-0005-0000-0000-00001C3E0000}"/>
    <cellStyle name="Currency 4 2 6 2" xfId="17169" xr:uid="{00000000-0005-0000-0000-00001D3E0000}"/>
    <cellStyle name="Currency 4 2 6 3" xfId="17170" xr:uid="{00000000-0005-0000-0000-00001E3E0000}"/>
    <cellStyle name="Currency 4 2 7" xfId="17171" xr:uid="{00000000-0005-0000-0000-00001F3E0000}"/>
    <cellStyle name="Currency 4 2 7 2" xfId="17172" xr:uid="{00000000-0005-0000-0000-0000203E0000}"/>
    <cellStyle name="Currency 4 2 7 3" xfId="17173" xr:uid="{00000000-0005-0000-0000-0000213E0000}"/>
    <cellStyle name="Currency 4 2 8" xfId="17174" xr:uid="{00000000-0005-0000-0000-0000223E0000}"/>
    <cellStyle name="Currency 4 2 9" xfId="17175" xr:uid="{00000000-0005-0000-0000-0000233E0000}"/>
    <cellStyle name="Currency 4 3" xfId="293" xr:uid="{00000000-0005-0000-0000-0000243E0000}"/>
    <cellStyle name="Currency 4 3 2" xfId="1025" xr:uid="{00000000-0005-0000-0000-0000253E0000}"/>
    <cellStyle name="Currency 4 3 2 2" xfId="1026" xr:uid="{00000000-0005-0000-0000-0000263E0000}"/>
    <cellStyle name="Currency 4 3 2 2 2" xfId="17176" xr:uid="{00000000-0005-0000-0000-0000273E0000}"/>
    <cellStyle name="Currency 4 3 2 2 2 2" xfId="17177" xr:uid="{00000000-0005-0000-0000-0000283E0000}"/>
    <cellStyle name="Currency 4 3 2 2 2 2 2" xfId="17178" xr:uid="{00000000-0005-0000-0000-0000293E0000}"/>
    <cellStyle name="Currency 4 3 2 2 2 2 3" xfId="17179" xr:uid="{00000000-0005-0000-0000-00002A3E0000}"/>
    <cellStyle name="Currency 4 3 2 2 2 3" xfId="17180" xr:uid="{00000000-0005-0000-0000-00002B3E0000}"/>
    <cellStyle name="Currency 4 3 2 2 2 3 2" xfId="17181" xr:uid="{00000000-0005-0000-0000-00002C3E0000}"/>
    <cellStyle name="Currency 4 3 2 2 2 3 3" xfId="17182" xr:uid="{00000000-0005-0000-0000-00002D3E0000}"/>
    <cellStyle name="Currency 4 3 2 2 2 4" xfId="17183" xr:uid="{00000000-0005-0000-0000-00002E3E0000}"/>
    <cellStyle name="Currency 4 3 2 2 2 5" xfId="17184" xr:uid="{00000000-0005-0000-0000-00002F3E0000}"/>
    <cellStyle name="Currency 4 3 2 2 3" xfId="17185" xr:uid="{00000000-0005-0000-0000-0000303E0000}"/>
    <cellStyle name="Currency 4 3 2 2 3 2" xfId="17186" xr:uid="{00000000-0005-0000-0000-0000313E0000}"/>
    <cellStyle name="Currency 4 3 2 2 3 3" xfId="17187" xr:uid="{00000000-0005-0000-0000-0000323E0000}"/>
    <cellStyle name="Currency 4 3 2 2 4" xfId="17188" xr:uid="{00000000-0005-0000-0000-0000333E0000}"/>
    <cellStyle name="Currency 4 3 2 2 4 2" xfId="17189" xr:uid="{00000000-0005-0000-0000-0000343E0000}"/>
    <cellStyle name="Currency 4 3 2 2 4 3" xfId="17190" xr:uid="{00000000-0005-0000-0000-0000353E0000}"/>
    <cellStyle name="Currency 4 3 2 2 5" xfId="17191" xr:uid="{00000000-0005-0000-0000-0000363E0000}"/>
    <cellStyle name="Currency 4 3 2 2 6" xfId="17192" xr:uid="{00000000-0005-0000-0000-0000373E0000}"/>
    <cellStyle name="Currency 4 3 2 2 7" xfId="44991" xr:uid="{00000000-0005-0000-0000-0000383E0000}"/>
    <cellStyle name="Currency 4 3 2 3" xfId="17193" xr:uid="{00000000-0005-0000-0000-0000393E0000}"/>
    <cellStyle name="Currency 4 3 2 3 2" xfId="17194" xr:uid="{00000000-0005-0000-0000-00003A3E0000}"/>
    <cellStyle name="Currency 4 3 2 3 2 2" xfId="17195" xr:uid="{00000000-0005-0000-0000-00003B3E0000}"/>
    <cellStyle name="Currency 4 3 2 3 2 3" xfId="17196" xr:uid="{00000000-0005-0000-0000-00003C3E0000}"/>
    <cellStyle name="Currency 4 3 2 3 3" xfId="17197" xr:uid="{00000000-0005-0000-0000-00003D3E0000}"/>
    <cellStyle name="Currency 4 3 2 3 3 2" xfId="17198" xr:uid="{00000000-0005-0000-0000-00003E3E0000}"/>
    <cellStyle name="Currency 4 3 2 3 3 3" xfId="17199" xr:uid="{00000000-0005-0000-0000-00003F3E0000}"/>
    <cellStyle name="Currency 4 3 2 3 4" xfId="17200" xr:uid="{00000000-0005-0000-0000-0000403E0000}"/>
    <cellStyle name="Currency 4 3 2 3 5" xfId="17201" xr:uid="{00000000-0005-0000-0000-0000413E0000}"/>
    <cellStyle name="Currency 4 3 2 4" xfId="17202" xr:uid="{00000000-0005-0000-0000-0000423E0000}"/>
    <cellStyle name="Currency 4 3 2 4 2" xfId="17203" xr:uid="{00000000-0005-0000-0000-0000433E0000}"/>
    <cellStyle name="Currency 4 3 2 4 3" xfId="17204" xr:uid="{00000000-0005-0000-0000-0000443E0000}"/>
    <cellStyle name="Currency 4 3 2 5" xfId="17205" xr:uid="{00000000-0005-0000-0000-0000453E0000}"/>
    <cellStyle name="Currency 4 3 2 5 2" xfId="17206" xr:uid="{00000000-0005-0000-0000-0000463E0000}"/>
    <cellStyle name="Currency 4 3 2 5 3" xfId="17207" xr:uid="{00000000-0005-0000-0000-0000473E0000}"/>
    <cellStyle name="Currency 4 3 2 6" xfId="17208" xr:uid="{00000000-0005-0000-0000-0000483E0000}"/>
    <cellStyle name="Currency 4 3 2 7" xfId="17209" xr:uid="{00000000-0005-0000-0000-0000493E0000}"/>
    <cellStyle name="Currency 4 3 2 8" xfId="44992" xr:uid="{00000000-0005-0000-0000-00004A3E0000}"/>
    <cellStyle name="Currency 4 3 3" xfId="1027" xr:uid="{00000000-0005-0000-0000-00004B3E0000}"/>
    <cellStyle name="Currency 4 3 3 2" xfId="17210" xr:uid="{00000000-0005-0000-0000-00004C3E0000}"/>
    <cellStyle name="Currency 4 3 3 2 2" xfId="17211" xr:uid="{00000000-0005-0000-0000-00004D3E0000}"/>
    <cellStyle name="Currency 4 3 3 2 2 2" xfId="17212" xr:uid="{00000000-0005-0000-0000-00004E3E0000}"/>
    <cellStyle name="Currency 4 3 3 2 2 3" xfId="17213" xr:uid="{00000000-0005-0000-0000-00004F3E0000}"/>
    <cellStyle name="Currency 4 3 3 2 3" xfId="17214" xr:uid="{00000000-0005-0000-0000-0000503E0000}"/>
    <cellStyle name="Currency 4 3 3 2 3 2" xfId="17215" xr:uid="{00000000-0005-0000-0000-0000513E0000}"/>
    <cellStyle name="Currency 4 3 3 2 3 3" xfId="17216" xr:uid="{00000000-0005-0000-0000-0000523E0000}"/>
    <cellStyle name="Currency 4 3 3 2 4" xfId="17217" xr:uid="{00000000-0005-0000-0000-0000533E0000}"/>
    <cellStyle name="Currency 4 3 3 2 5" xfId="17218" xr:uid="{00000000-0005-0000-0000-0000543E0000}"/>
    <cellStyle name="Currency 4 3 3 3" xfId="17219" xr:uid="{00000000-0005-0000-0000-0000553E0000}"/>
    <cellStyle name="Currency 4 3 3 3 2" xfId="17220" xr:uid="{00000000-0005-0000-0000-0000563E0000}"/>
    <cellStyle name="Currency 4 3 3 3 3" xfId="17221" xr:uid="{00000000-0005-0000-0000-0000573E0000}"/>
    <cellStyle name="Currency 4 3 3 4" xfId="17222" xr:uid="{00000000-0005-0000-0000-0000583E0000}"/>
    <cellStyle name="Currency 4 3 3 4 2" xfId="17223" xr:uid="{00000000-0005-0000-0000-0000593E0000}"/>
    <cellStyle name="Currency 4 3 3 4 3" xfId="17224" xr:uid="{00000000-0005-0000-0000-00005A3E0000}"/>
    <cellStyle name="Currency 4 3 3 5" xfId="17225" xr:uid="{00000000-0005-0000-0000-00005B3E0000}"/>
    <cellStyle name="Currency 4 3 3 6" xfId="17226" xr:uid="{00000000-0005-0000-0000-00005C3E0000}"/>
    <cellStyle name="Currency 4 3 3 7" xfId="44993" xr:uid="{00000000-0005-0000-0000-00005D3E0000}"/>
    <cellStyle name="Currency 4 3 4" xfId="1028" xr:uid="{00000000-0005-0000-0000-00005E3E0000}"/>
    <cellStyle name="Currency 4 3 4 2" xfId="17227" xr:uid="{00000000-0005-0000-0000-00005F3E0000}"/>
    <cellStyle name="Currency 4 3 4 2 2" xfId="17228" xr:uid="{00000000-0005-0000-0000-0000603E0000}"/>
    <cellStyle name="Currency 4 3 4 2 3" xfId="17229" xr:uid="{00000000-0005-0000-0000-0000613E0000}"/>
    <cellStyle name="Currency 4 3 4 3" xfId="17230" xr:uid="{00000000-0005-0000-0000-0000623E0000}"/>
    <cellStyle name="Currency 4 3 4 3 2" xfId="17231" xr:uid="{00000000-0005-0000-0000-0000633E0000}"/>
    <cellStyle name="Currency 4 3 4 3 3" xfId="17232" xr:uid="{00000000-0005-0000-0000-0000643E0000}"/>
    <cellStyle name="Currency 4 3 4 4" xfId="17233" xr:uid="{00000000-0005-0000-0000-0000653E0000}"/>
    <cellStyle name="Currency 4 3 4 5" xfId="17234" xr:uid="{00000000-0005-0000-0000-0000663E0000}"/>
    <cellStyle name="Currency 4 3 4 6" xfId="44994" xr:uid="{00000000-0005-0000-0000-0000673E0000}"/>
    <cellStyle name="Currency 4 3 5" xfId="17235" xr:uid="{00000000-0005-0000-0000-0000683E0000}"/>
    <cellStyle name="Currency 4 3 5 2" xfId="17236" xr:uid="{00000000-0005-0000-0000-0000693E0000}"/>
    <cellStyle name="Currency 4 3 5 3" xfId="17237" xr:uid="{00000000-0005-0000-0000-00006A3E0000}"/>
    <cellStyle name="Currency 4 3 5 4" xfId="17238" xr:uid="{00000000-0005-0000-0000-00006B3E0000}"/>
    <cellStyle name="Currency 4 3 5 5" xfId="44042" xr:uid="{00000000-0005-0000-0000-00006C3E0000}"/>
    <cellStyle name="Currency 4 3 5 6" xfId="44995" xr:uid="{00000000-0005-0000-0000-00006D3E0000}"/>
    <cellStyle name="Currency 4 3 6" xfId="17239" xr:uid="{00000000-0005-0000-0000-00006E3E0000}"/>
    <cellStyle name="Currency 4 3 6 2" xfId="17240" xr:uid="{00000000-0005-0000-0000-00006F3E0000}"/>
    <cellStyle name="Currency 4 3 6 3" xfId="17241" xr:uid="{00000000-0005-0000-0000-0000703E0000}"/>
    <cellStyle name="Currency 4 3 7" xfId="17242" xr:uid="{00000000-0005-0000-0000-0000713E0000}"/>
    <cellStyle name="Currency 4 3 8" xfId="17243" xr:uid="{00000000-0005-0000-0000-0000723E0000}"/>
    <cellStyle name="Currency 4 3 9" xfId="44996" xr:uid="{00000000-0005-0000-0000-0000733E0000}"/>
    <cellStyle name="Currency 4 4" xfId="294" xr:uid="{00000000-0005-0000-0000-0000743E0000}"/>
    <cellStyle name="Currency 4 4 2" xfId="1029" xr:uid="{00000000-0005-0000-0000-0000753E0000}"/>
    <cellStyle name="Currency 4 4 2 2" xfId="17244" xr:uid="{00000000-0005-0000-0000-0000763E0000}"/>
    <cellStyle name="Currency 4 4 2 2 2" xfId="17245" xr:uid="{00000000-0005-0000-0000-0000773E0000}"/>
    <cellStyle name="Currency 4 4 2 2 2 2" xfId="17246" xr:uid="{00000000-0005-0000-0000-0000783E0000}"/>
    <cellStyle name="Currency 4 4 2 2 2 2 2" xfId="17247" xr:uid="{00000000-0005-0000-0000-0000793E0000}"/>
    <cellStyle name="Currency 4 4 2 2 2 2 3" xfId="17248" xr:uid="{00000000-0005-0000-0000-00007A3E0000}"/>
    <cellStyle name="Currency 4 4 2 2 2 3" xfId="17249" xr:uid="{00000000-0005-0000-0000-00007B3E0000}"/>
    <cellStyle name="Currency 4 4 2 2 2 3 2" xfId="17250" xr:uid="{00000000-0005-0000-0000-00007C3E0000}"/>
    <cellStyle name="Currency 4 4 2 2 2 3 3" xfId="17251" xr:uid="{00000000-0005-0000-0000-00007D3E0000}"/>
    <cellStyle name="Currency 4 4 2 2 2 4" xfId="17252" xr:uid="{00000000-0005-0000-0000-00007E3E0000}"/>
    <cellStyle name="Currency 4 4 2 2 2 5" xfId="17253" xr:uid="{00000000-0005-0000-0000-00007F3E0000}"/>
    <cellStyle name="Currency 4 4 2 2 3" xfId="17254" xr:uid="{00000000-0005-0000-0000-0000803E0000}"/>
    <cellStyle name="Currency 4 4 2 2 3 2" xfId="17255" xr:uid="{00000000-0005-0000-0000-0000813E0000}"/>
    <cellStyle name="Currency 4 4 2 2 3 3" xfId="17256" xr:uid="{00000000-0005-0000-0000-0000823E0000}"/>
    <cellStyle name="Currency 4 4 2 2 4" xfId="17257" xr:uid="{00000000-0005-0000-0000-0000833E0000}"/>
    <cellStyle name="Currency 4 4 2 2 4 2" xfId="17258" xr:uid="{00000000-0005-0000-0000-0000843E0000}"/>
    <cellStyle name="Currency 4 4 2 2 4 3" xfId="17259" xr:uid="{00000000-0005-0000-0000-0000853E0000}"/>
    <cellStyle name="Currency 4 4 2 2 5" xfId="17260" xr:uid="{00000000-0005-0000-0000-0000863E0000}"/>
    <cellStyle name="Currency 4 4 2 2 6" xfId="17261" xr:uid="{00000000-0005-0000-0000-0000873E0000}"/>
    <cellStyle name="Currency 4 4 2 3" xfId="17262" xr:uid="{00000000-0005-0000-0000-0000883E0000}"/>
    <cellStyle name="Currency 4 4 2 3 2" xfId="17263" xr:uid="{00000000-0005-0000-0000-0000893E0000}"/>
    <cellStyle name="Currency 4 4 2 3 2 2" xfId="17264" xr:uid="{00000000-0005-0000-0000-00008A3E0000}"/>
    <cellStyle name="Currency 4 4 2 3 2 3" xfId="17265" xr:uid="{00000000-0005-0000-0000-00008B3E0000}"/>
    <cellStyle name="Currency 4 4 2 3 3" xfId="17266" xr:uid="{00000000-0005-0000-0000-00008C3E0000}"/>
    <cellStyle name="Currency 4 4 2 3 3 2" xfId="17267" xr:uid="{00000000-0005-0000-0000-00008D3E0000}"/>
    <cellStyle name="Currency 4 4 2 3 3 3" xfId="17268" xr:uid="{00000000-0005-0000-0000-00008E3E0000}"/>
    <cellStyle name="Currency 4 4 2 3 4" xfId="17269" xr:uid="{00000000-0005-0000-0000-00008F3E0000}"/>
    <cellStyle name="Currency 4 4 2 3 5" xfId="17270" xr:uid="{00000000-0005-0000-0000-0000903E0000}"/>
    <cellStyle name="Currency 4 4 2 4" xfId="17271" xr:uid="{00000000-0005-0000-0000-0000913E0000}"/>
    <cellStyle name="Currency 4 4 2 4 2" xfId="17272" xr:uid="{00000000-0005-0000-0000-0000923E0000}"/>
    <cellStyle name="Currency 4 4 2 4 3" xfId="17273" xr:uid="{00000000-0005-0000-0000-0000933E0000}"/>
    <cellStyle name="Currency 4 4 2 5" xfId="17274" xr:uid="{00000000-0005-0000-0000-0000943E0000}"/>
    <cellStyle name="Currency 4 4 2 5 2" xfId="17275" xr:uid="{00000000-0005-0000-0000-0000953E0000}"/>
    <cellStyle name="Currency 4 4 2 5 3" xfId="17276" xr:uid="{00000000-0005-0000-0000-0000963E0000}"/>
    <cellStyle name="Currency 4 4 2 6" xfId="17277" xr:uid="{00000000-0005-0000-0000-0000973E0000}"/>
    <cellStyle name="Currency 4 4 2 7" xfId="17278" xr:uid="{00000000-0005-0000-0000-0000983E0000}"/>
    <cellStyle name="Currency 4 4 2 8" xfId="44997" xr:uid="{00000000-0005-0000-0000-0000993E0000}"/>
    <cellStyle name="Currency 4 4 3" xfId="17279" xr:uid="{00000000-0005-0000-0000-00009A3E0000}"/>
    <cellStyle name="Currency 4 4 3 2" xfId="17280" xr:uid="{00000000-0005-0000-0000-00009B3E0000}"/>
    <cellStyle name="Currency 4 4 3 2 2" xfId="17281" xr:uid="{00000000-0005-0000-0000-00009C3E0000}"/>
    <cellStyle name="Currency 4 4 3 2 2 2" xfId="17282" xr:uid="{00000000-0005-0000-0000-00009D3E0000}"/>
    <cellStyle name="Currency 4 4 3 2 2 3" xfId="17283" xr:uid="{00000000-0005-0000-0000-00009E3E0000}"/>
    <cellStyle name="Currency 4 4 3 2 3" xfId="17284" xr:uid="{00000000-0005-0000-0000-00009F3E0000}"/>
    <cellStyle name="Currency 4 4 3 2 3 2" xfId="17285" xr:uid="{00000000-0005-0000-0000-0000A03E0000}"/>
    <cellStyle name="Currency 4 4 3 2 3 3" xfId="17286" xr:uid="{00000000-0005-0000-0000-0000A13E0000}"/>
    <cellStyle name="Currency 4 4 3 2 4" xfId="17287" xr:uid="{00000000-0005-0000-0000-0000A23E0000}"/>
    <cellStyle name="Currency 4 4 3 2 5" xfId="17288" xr:uid="{00000000-0005-0000-0000-0000A33E0000}"/>
    <cellStyle name="Currency 4 4 3 3" xfId="17289" xr:uid="{00000000-0005-0000-0000-0000A43E0000}"/>
    <cellStyle name="Currency 4 4 3 3 2" xfId="17290" xr:uid="{00000000-0005-0000-0000-0000A53E0000}"/>
    <cellStyle name="Currency 4 4 3 3 3" xfId="17291" xr:uid="{00000000-0005-0000-0000-0000A63E0000}"/>
    <cellStyle name="Currency 4 4 3 4" xfId="17292" xr:uid="{00000000-0005-0000-0000-0000A73E0000}"/>
    <cellStyle name="Currency 4 4 3 4 2" xfId="17293" xr:uid="{00000000-0005-0000-0000-0000A83E0000}"/>
    <cellStyle name="Currency 4 4 3 4 3" xfId="17294" xr:uid="{00000000-0005-0000-0000-0000A93E0000}"/>
    <cellStyle name="Currency 4 4 3 5" xfId="17295" xr:uid="{00000000-0005-0000-0000-0000AA3E0000}"/>
    <cellStyle name="Currency 4 4 3 6" xfId="17296" xr:uid="{00000000-0005-0000-0000-0000AB3E0000}"/>
    <cellStyle name="Currency 4 4 4" xfId="17297" xr:uid="{00000000-0005-0000-0000-0000AC3E0000}"/>
    <cellStyle name="Currency 4 4 4 2" xfId="17298" xr:uid="{00000000-0005-0000-0000-0000AD3E0000}"/>
    <cellStyle name="Currency 4 4 4 2 2" xfId="17299" xr:uid="{00000000-0005-0000-0000-0000AE3E0000}"/>
    <cellStyle name="Currency 4 4 4 2 3" xfId="17300" xr:uid="{00000000-0005-0000-0000-0000AF3E0000}"/>
    <cellStyle name="Currency 4 4 4 3" xfId="17301" xr:uid="{00000000-0005-0000-0000-0000B03E0000}"/>
    <cellStyle name="Currency 4 4 4 3 2" xfId="17302" xr:uid="{00000000-0005-0000-0000-0000B13E0000}"/>
    <cellStyle name="Currency 4 4 4 3 3" xfId="17303" xr:uid="{00000000-0005-0000-0000-0000B23E0000}"/>
    <cellStyle name="Currency 4 4 4 4" xfId="17304" xr:uid="{00000000-0005-0000-0000-0000B33E0000}"/>
    <cellStyle name="Currency 4 4 4 5" xfId="17305" xr:uid="{00000000-0005-0000-0000-0000B43E0000}"/>
    <cellStyle name="Currency 4 4 5" xfId="17306" xr:uid="{00000000-0005-0000-0000-0000B53E0000}"/>
    <cellStyle name="Currency 4 4 5 2" xfId="17307" xr:uid="{00000000-0005-0000-0000-0000B63E0000}"/>
    <cellStyle name="Currency 4 4 5 3" xfId="17308" xr:uid="{00000000-0005-0000-0000-0000B73E0000}"/>
    <cellStyle name="Currency 4 4 6" xfId="17309" xr:uid="{00000000-0005-0000-0000-0000B83E0000}"/>
    <cellStyle name="Currency 4 4 6 2" xfId="17310" xr:uid="{00000000-0005-0000-0000-0000B93E0000}"/>
    <cellStyle name="Currency 4 4 6 3" xfId="17311" xr:uid="{00000000-0005-0000-0000-0000BA3E0000}"/>
    <cellStyle name="Currency 4 4 7" xfId="17312" xr:uid="{00000000-0005-0000-0000-0000BB3E0000}"/>
    <cellStyle name="Currency 4 4 8" xfId="17313" xr:uid="{00000000-0005-0000-0000-0000BC3E0000}"/>
    <cellStyle name="Currency 4 5" xfId="632" xr:uid="{00000000-0005-0000-0000-0000BD3E0000}"/>
    <cellStyle name="Currency 4 5 2" xfId="1030" xr:uid="{00000000-0005-0000-0000-0000BE3E0000}"/>
    <cellStyle name="Currency 4 5 2 2" xfId="17314" xr:uid="{00000000-0005-0000-0000-0000BF3E0000}"/>
    <cellStyle name="Currency 4 5 2 2 2" xfId="17315" xr:uid="{00000000-0005-0000-0000-0000C03E0000}"/>
    <cellStyle name="Currency 4 5 2 2 2 2" xfId="17316" xr:uid="{00000000-0005-0000-0000-0000C13E0000}"/>
    <cellStyle name="Currency 4 5 2 2 2 3" xfId="17317" xr:uid="{00000000-0005-0000-0000-0000C23E0000}"/>
    <cellStyle name="Currency 4 5 2 2 3" xfId="17318" xr:uid="{00000000-0005-0000-0000-0000C33E0000}"/>
    <cellStyle name="Currency 4 5 2 2 3 2" xfId="17319" xr:uid="{00000000-0005-0000-0000-0000C43E0000}"/>
    <cellStyle name="Currency 4 5 2 2 3 3" xfId="17320" xr:uid="{00000000-0005-0000-0000-0000C53E0000}"/>
    <cellStyle name="Currency 4 5 2 2 4" xfId="17321" xr:uid="{00000000-0005-0000-0000-0000C63E0000}"/>
    <cellStyle name="Currency 4 5 2 2 5" xfId="17322" xr:uid="{00000000-0005-0000-0000-0000C73E0000}"/>
    <cellStyle name="Currency 4 5 2 3" xfId="17323" xr:uid="{00000000-0005-0000-0000-0000C83E0000}"/>
    <cellStyle name="Currency 4 5 2 3 2" xfId="17324" xr:uid="{00000000-0005-0000-0000-0000C93E0000}"/>
    <cellStyle name="Currency 4 5 2 3 3" xfId="17325" xr:uid="{00000000-0005-0000-0000-0000CA3E0000}"/>
    <cellStyle name="Currency 4 5 2 4" xfId="17326" xr:uid="{00000000-0005-0000-0000-0000CB3E0000}"/>
    <cellStyle name="Currency 4 5 2 4 2" xfId="17327" xr:uid="{00000000-0005-0000-0000-0000CC3E0000}"/>
    <cellStyle name="Currency 4 5 2 4 3" xfId="17328" xr:uid="{00000000-0005-0000-0000-0000CD3E0000}"/>
    <cellStyle name="Currency 4 5 2 5" xfId="17329" xr:uid="{00000000-0005-0000-0000-0000CE3E0000}"/>
    <cellStyle name="Currency 4 5 2 6" xfId="17330" xr:uid="{00000000-0005-0000-0000-0000CF3E0000}"/>
    <cellStyle name="Currency 4 5 3" xfId="17331" xr:uid="{00000000-0005-0000-0000-0000D03E0000}"/>
    <cellStyle name="Currency 4 5 3 2" xfId="17332" xr:uid="{00000000-0005-0000-0000-0000D13E0000}"/>
    <cellStyle name="Currency 4 5 3 2 2" xfId="17333" xr:uid="{00000000-0005-0000-0000-0000D23E0000}"/>
    <cellStyle name="Currency 4 5 3 2 3" xfId="17334" xr:uid="{00000000-0005-0000-0000-0000D33E0000}"/>
    <cellStyle name="Currency 4 5 3 3" xfId="17335" xr:uid="{00000000-0005-0000-0000-0000D43E0000}"/>
    <cellStyle name="Currency 4 5 3 3 2" xfId="17336" xr:uid="{00000000-0005-0000-0000-0000D53E0000}"/>
    <cellStyle name="Currency 4 5 3 3 3" xfId="17337" xr:uid="{00000000-0005-0000-0000-0000D63E0000}"/>
    <cellStyle name="Currency 4 5 3 4" xfId="17338" xr:uid="{00000000-0005-0000-0000-0000D73E0000}"/>
    <cellStyle name="Currency 4 5 3 5" xfId="17339" xr:uid="{00000000-0005-0000-0000-0000D83E0000}"/>
    <cellStyle name="Currency 4 5 4" xfId="17340" xr:uid="{00000000-0005-0000-0000-0000D93E0000}"/>
    <cellStyle name="Currency 4 5 4 2" xfId="17341" xr:uid="{00000000-0005-0000-0000-0000DA3E0000}"/>
    <cellStyle name="Currency 4 5 4 3" xfId="17342" xr:uid="{00000000-0005-0000-0000-0000DB3E0000}"/>
    <cellStyle name="Currency 4 5 5" xfId="17343" xr:uid="{00000000-0005-0000-0000-0000DC3E0000}"/>
    <cellStyle name="Currency 4 5 5 2" xfId="17344" xr:uid="{00000000-0005-0000-0000-0000DD3E0000}"/>
    <cellStyle name="Currency 4 5 5 3" xfId="17345" xr:uid="{00000000-0005-0000-0000-0000DE3E0000}"/>
    <cellStyle name="Currency 4 5 6" xfId="17346" xr:uid="{00000000-0005-0000-0000-0000DF3E0000}"/>
    <cellStyle name="Currency 4 5 7" xfId="17347" xr:uid="{00000000-0005-0000-0000-0000E03E0000}"/>
    <cellStyle name="Currency 4 5 8" xfId="44998" xr:uid="{00000000-0005-0000-0000-0000E13E0000}"/>
    <cellStyle name="Currency 4 5 9" xfId="46180" xr:uid="{00000000-0005-0000-0000-0000E23E0000}"/>
    <cellStyle name="Currency 4 6" xfId="1031" xr:uid="{00000000-0005-0000-0000-0000E33E0000}"/>
    <cellStyle name="Currency 4 6 2" xfId="17348" xr:uid="{00000000-0005-0000-0000-0000E43E0000}"/>
    <cellStyle name="Currency 4 6 2 2" xfId="17349" xr:uid="{00000000-0005-0000-0000-0000E53E0000}"/>
    <cellStyle name="Currency 4 6 2 2 2" xfId="17350" xr:uid="{00000000-0005-0000-0000-0000E63E0000}"/>
    <cellStyle name="Currency 4 6 2 2 3" xfId="17351" xr:uid="{00000000-0005-0000-0000-0000E73E0000}"/>
    <cellStyle name="Currency 4 6 2 3" xfId="17352" xr:uid="{00000000-0005-0000-0000-0000E83E0000}"/>
    <cellStyle name="Currency 4 6 2 3 2" xfId="17353" xr:uid="{00000000-0005-0000-0000-0000E93E0000}"/>
    <cellStyle name="Currency 4 6 2 3 3" xfId="17354" xr:uid="{00000000-0005-0000-0000-0000EA3E0000}"/>
    <cellStyle name="Currency 4 6 2 4" xfId="17355" xr:uid="{00000000-0005-0000-0000-0000EB3E0000}"/>
    <cellStyle name="Currency 4 6 2 5" xfId="17356" xr:uid="{00000000-0005-0000-0000-0000EC3E0000}"/>
    <cellStyle name="Currency 4 6 3" xfId="17357" xr:uid="{00000000-0005-0000-0000-0000ED3E0000}"/>
    <cellStyle name="Currency 4 6 3 2" xfId="17358" xr:uid="{00000000-0005-0000-0000-0000EE3E0000}"/>
    <cellStyle name="Currency 4 6 3 3" xfId="17359" xr:uid="{00000000-0005-0000-0000-0000EF3E0000}"/>
    <cellStyle name="Currency 4 6 4" xfId="17360" xr:uid="{00000000-0005-0000-0000-0000F03E0000}"/>
    <cellStyle name="Currency 4 6 4 2" xfId="17361" xr:uid="{00000000-0005-0000-0000-0000F13E0000}"/>
    <cellStyle name="Currency 4 6 4 3" xfId="17362" xr:uid="{00000000-0005-0000-0000-0000F23E0000}"/>
    <cellStyle name="Currency 4 6 5" xfId="17363" xr:uid="{00000000-0005-0000-0000-0000F33E0000}"/>
    <cellStyle name="Currency 4 6 6" xfId="17364" xr:uid="{00000000-0005-0000-0000-0000F43E0000}"/>
    <cellStyle name="Currency 4 6 7" xfId="17365" xr:uid="{00000000-0005-0000-0000-0000F53E0000}"/>
    <cellStyle name="Currency 4 6 8" xfId="44999" xr:uid="{00000000-0005-0000-0000-0000F63E0000}"/>
    <cellStyle name="Currency 4 7" xfId="1032" xr:uid="{00000000-0005-0000-0000-0000F73E0000}"/>
    <cellStyle name="Currency 4 7 2" xfId="17366" xr:uid="{00000000-0005-0000-0000-0000F83E0000}"/>
    <cellStyle name="Currency 4 7 2 2" xfId="17367" xr:uid="{00000000-0005-0000-0000-0000F93E0000}"/>
    <cellStyle name="Currency 4 7 2 3" xfId="17368" xr:uid="{00000000-0005-0000-0000-0000FA3E0000}"/>
    <cellStyle name="Currency 4 7 3" xfId="17369" xr:uid="{00000000-0005-0000-0000-0000FB3E0000}"/>
    <cellStyle name="Currency 4 7 3 2" xfId="17370" xr:uid="{00000000-0005-0000-0000-0000FC3E0000}"/>
    <cellStyle name="Currency 4 7 3 3" xfId="17371" xr:uid="{00000000-0005-0000-0000-0000FD3E0000}"/>
    <cellStyle name="Currency 4 7 4" xfId="17372" xr:uid="{00000000-0005-0000-0000-0000FE3E0000}"/>
    <cellStyle name="Currency 4 7 5" xfId="17373" xr:uid="{00000000-0005-0000-0000-0000FF3E0000}"/>
    <cellStyle name="Currency 4 8" xfId="1033" xr:uid="{00000000-0005-0000-0000-0000003F0000}"/>
    <cellStyle name="Currency 4 8 2" xfId="17374" xr:uid="{00000000-0005-0000-0000-0000013F0000}"/>
    <cellStyle name="Currency 4 8 3" xfId="17375" xr:uid="{00000000-0005-0000-0000-0000023F0000}"/>
    <cellStyle name="Currency 4 9" xfId="2576" xr:uid="{00000000-0005-0000-0000-0000033F0000}"/>
    <cellStyle name="Currency 4 9 2" xfId="17376" xr:uid="{00000000-0005-0000-0000-0000043F0000}"/>
    <cellStyle name="Currency 4 9 3" xfId="17377" xr:uid="{00000000-0005-0000-0000-0000053F0000}"/>
    <cellStyle name="Currency 4 9 4" xfId="17378" xr:uid="{00000000-0005-0000-0000-0000063F0000}"/>
    <cellStyle name="Currency 4 9 5" xfId="42465" xr:uid="{00000000-0005-0000-0000-0000073F0000}"/>
    <cellStyle name="Currency 4 9 6" xfId="45000" xr:uid="{00000000-0005-0000-0000-0000083F0000}"/>
    <cellStyle name="Currency 5" xfId="295" xr:uid="{00000000-0005-0000-0000-0000093F0000}"/>
    <cellStyle name="Currency 5 10" xfId="17379" xr:uid="{00000000-0005-0000-0000-00000A3F0000}"/>
    <cellStyle name="Currency 5 2" xfId="296" xr:uid="{00000000-0005-0000-0000-00000B3F0000}"/>
    <cellStyle name="Currency 5 2 2" xfId="1034" xr:uid="{00000000-0005-0000-0000-00000C3F0000}"/>
    <cellStyle name="Currency 5 2 2 2" xfId="1035" xr:uid="{00000000-0005-0000-0000-00000D3F0000}"/>
    <cellStyle name="Currency 5 2 2 2 2" xfId="17380" xr:uid="{00000000-0005-0000-0000-00000E3F0000}"/>
    <cellStyle name="Currency 5 2 2 2 2 2" xfId="17381" xr:uid="{00000000-0005-0000-0000-00000F3F0000}"/>
    <cellStyle name="Currency 5 2 2 2 2 2 2" xfId="17382" xr:uid="{00000000-0005-0000-0000-0000103F0000}"/>
    <cellStyle name="Currency 5 2 2 2 2 2 3" xfId="17383" xr:uid="{00000000-0005-0000-0000-0000113F0000}"/>
    <cellStyle name="Currency 5 2 2 2 2 3" xfId="17384" xr:uid="{00000000-0005-0000-0000-0000123F0000}"/>
    <cellStyle name="Currency 5 2 2 2 2 3 2" xfId="17385" xr:uid="{00000000-0005-0000-0000-0000133F0000}"/>
    <cellStyle name="Currency 5 2 2 2 2 3 3" xfId="17386" xr:uid="{00000000-0005-0000-0000-0000143F0000}"/>
    <cellStyle name="Currency 5 2 2 2 2 4" xfId="17387" xr:uid="{00000000-0005-0000-0000-0000153F0000}"/>
    <cellStyle name="Currency 5 2 2 2 2 5" xfId="17388" xr:uid="{00000000-0005-0000-0000-0000163F0000}"/>
    <cellStyle name="Currency 5 2 2 2 3" xfId="17389" xr:uid="{00000000-0005-0000-0000-0000173F0000}"/>
    <cellStyle name="Currency 5 2 2 2 3 2" xfId="17390" xr:uid="{00000000-0005-0000-0000-0000183F0000}"/>
    <cellStyle name="Currency 5 2 2 2 3 3" xfId="17391" xr:uid="{00000000-0005-0000-0000-0000193F0000}"/>
    <cellStyle name="Currency 5 2 2 2 4" xfId="17392" xr:uid="{00000000-0005-0000-0000-00001A3F0000}"/>
    <cellStyle name="Currency 5 2 2 2 4 2" xfId="17393" xr:uid="{00000000-0005-0000-0000-00001B3F0000}"/>
    <cellStyle name="Currency 5 2 2 2 4 3" xfId="17394" xr:uid="{00000000-0005-0000-0000-00001C3F0000}"/>
    <cellStyle name="Currency 5 2 2 2 5" xfId="17395" xr:uid="{00000000-0005-0000-0000-00001D3F0000}"/>
    <cellStyle name="Currency 5 2 2 2 6" xfId="17396" xr:uid="{00000000-0005-0000-0000-00001E3F0000}"/>
    <cellStyle name="Currency 5 2 2 2 7" xfId="45001" xr:uid="{00000000-0005-0000-0000-00001F3F0000}"/>
    <cellStyle name="Currency 5 2 2 3" xfId="17397" xr:uid="{00000000-0005-0000-0000-0000203F0000}"/>
    <cellStyle name="Currency 5 2 2 3 2" xfId="17398" xr:uid="{00000000-0005-0000-0000-0000213F0000}"/>
    <cellStyle name="Currency 5 2 2 3 2 2" xfId="17399" xr:uid="{00000000-0005-0000-0000-0000223F0000}"/>
    <cellStyle name="Currency 5 2 2 3 2 3" xfId="17400" xr:uid="{00000000-0005-0000-0000-0000233F0000}"/>
    <cellStyle name="Currency 5 2 2 3 3" xfId="17401" xr:uid="{00000000-0005-0000-0000-0000243F0000}"/>
    <cellStyle name="Currency 5 2 2 3 3 2" xfId="17402" xr:uid="{00000000-0005-0000-0000-0000253F0000}"/>
    <cellStyle name="Currency 5 2 2 3 3 3" xfId="17403" xr:uid="{00000000-0005-0000-0000-0000263F0000}"/>
    <cellStyle name="Currency 5 2 2 3 4" xfId="17404" xr:uid="{00000000-0005-0000-0000-0000273F0000}"/>
    <cellStyle name="Currency 5 2 2 3 5" xfId="17405" xr:uid="{00000000-0005-0000-0000-0000283F0000}"/>
    <cellStyle name="Currency 5 2 2 4" xfId="17406" xr:uid="{00000000-0005-0000-0000-0000293F0000}"/>
    <cellStyle name="Currency 5 2 2 4 2" xfId="17407" xr:uid="{00000000-0005-0000-0000-00002A3F0000}"/>
    <cellStyle name="Currency 5 2 2 4 3" xfId="17408" xr:uid="{00000000-0005-0000-0000-00002B3F0000}"/>
    <cellStyle name="Currency 5 2 2 5" xfId="17409" xr:uid="{00000000-0005-0000-0000-00002C3F0000}"/>
    <cellStyle name="Currency 5 2 2 5 2" xfId="17410" xr:uid="{00000000-0005-0000-0000-00002D3F0000}"/>
    <cellStyle name="Currency 5 2 2 5 3" xfId="17411" xr:uid="{00000000-0005-0000-0000-00002E3F0000}"/>
    <cellStyle name="Currency 5 2 2 6" xfId="17412" xr:uid="{00000000-0005-0000-0000-00002F3F0000}"/>
    <cellStyle name="Currency 5 2 2 7" xfId="17413" xr:uid="{00000000-0005-0000-0000-0000303F0000}"/>
    <cellStyle name="Currency 5 2 2 8" xfId="45002" xr:uid="{00000000-0005-0000-0000-0000313F0000}"/>
    <cellStyle name="Currency 5 2 3" xfId="1036" xr:uid="{00000000-0005-0000-0000-0000323F0000}"/>
    <cellStyle name="Currency 5 2 3 2" xfId="17414" xr:uid="{00000000-0005-0000-0000-0000333F0000}"/>
    <cellStyle name="Currency 5 2 3 2 2" xfId="17415" xr:uid="{00000000-0005-0000-0000-0000343F0000}"/>
    <cellStyle name="Currency 5 2 3 2 2 2" xfId="17416" xr:uid="{00000000-0005-0000-0000-0000353F0000}"/>
    <cellStyle name="Currency 5 2 3 2 2 3" xfId="17417" xr:uid="{00000000-0005-0000-0000-0000363F0000}"/>
    <cellStyle name="Currency 5 2 3 2 3" xfId="17418" xr:uid="{00000000-0005-0000-0000-0000373F0000}"/>
    <cellStyle name="Currency 5 2 3 2 3 2" xfId="17419" xr:uid="{00000000-0005-0000-0000-0000383F0000}"/>
    <cellStyle name="Currency 5 2 3 2 3 3" xfId="17420" xr:uid="{00000000-0005-0000-0000-0000393F0000}"/>
    <cellStyle name="Currency 5 2 3 2 4" xfId="17421" xr:uid="{00000000-0005-0000-0000-00003A3F0000}"/>
    <cellStyle name="Currency 5 2 3 2 5" xfId="17422" xr:uid="{00000000-0005-0000-0000-00003B3F0000}"/>
    <cellStyle name="Currency 5 2 3 3" xfId="17423" xr:uid="{00000000-0005-0000-0000-00003C3F0000}"/>
    <cellStyle name="Currency 5 2 3 3 2" xfId="17424" xr:uid="{00000000-0005-0000-0000-00003D3F0000}"/>
    <cellStyle name="Currency 5 2 3 3 3" xfId="17425" xr:uid="{00000000-0005-0000-0000-00003E3F0000}"/>
    <cellStyle name="Currency 5 2 3 4" xfId="17426" xr:uid="{00000000-0005-0000-0000-00003F3F0000}"/>
    <cellStyle name="Currency 5 2 3 4 2" xfId="17427" xr:uid="{00000000-0005-0000-0000-0000403F0000}"/>
    <cellStyle name="Currency 5 2 3 4 3" xfId="17428" xr:uid="{00000000-0005-0000-0000-0000413F0000}"/>
    <cellStyle name="Currency 5 2 3 5" xfId="17429" xr:uid="{00000000-0005-0000-0000-0000423F0000}"/>
    <cellStyle name="Currency 5 2 3 6" xfId="17430" xr:uid="{00000000-0005-0000-0000-0000433F0000}"/>
    <cellStyle name="Currency 5 2 3 7" xfId="45003" xr:uid="{00000000-0005-0000-0000-0000443F0000}"/>
    <cellStyle name="Currency 5 2 4" xfId="17431" xr:uid="{00000000-0005-0000-0000-0000453F0000}"/>
    <cellStyle name="Currency 5 2 4 2" xfId="17432" xr:uid="{00000000-0005-0000-0000-0000463F0000}"/>
    <cellStyle name="Currency 5 2 4 2 2" xfId="17433" xr:uid="{00000000-0005-0000-0000-0000473F0000}"/>
    <cellStyle name="Currency 5 2 4 2 3" xfId="17434" xr:uid="{00000000-0005-0000-0000-0000483F0000}"/>
    <cellStyle name="Currency 5 2 4 3" xfId="17435" xr:uid="{00000000-0005-0000-0000-0000493F0000}"/>
    <cellStyle name="Currency 5 2 4 3 2" xfId="17436" xr:uid="{00000000-0005-0000-0000-00004A3F0000}"/>
    <cellStyle name="Currency 5 2 4 3 3" xfId="17437" xr:uid="{00000000-0005-0000-0000-00004B3F0000}"/>
    <cellStyle name="Currency 5 2 4 4" xfId="17438" xr:uid="{00000000-0005-0000-0000-00004C3F0000}"/>
    <cellStyle name="Currency 5 2 4 5" xfId="17439" xr:uid="{00000000-0005-0000-0000-00004D3F0000}"/>
    <cellStyle name="Currency 5 2 4 6" xfId="17440" xr:uid="{00000000-0005-0000-0000-00004E3F0000}"/>
    <cellStyle name="Currency 5 2 4 7" xfId="44043" xr:uid="{00000000-0005-0000-0000-00004F3F0000}"/>
    <cellStyle name="Currency 5 2 5" xfId="17441" xr:uid="{00000000-0005-0000-0000-0000503F0000}"/>
    <cellStyle name="Currency 5 2 5 2" xfId="17442" xr:uid="{00000000-0005-0000-0000-0000513F0000}"/>
    <cellStyle name="Currency 5 2 5 3" xfId="17443" xr:uid="{00000000-0005-0000-0000-0000523F0000}"/>
    <cellStyle name="Currency 5 2 6" xfId="17444" xr:uid="{00000000-0005-0000-0000-0000533F0000}"/>
    <cellStyle name="Currency 5 2 6 2" xfId="17445" xr:uid="{00000000-0005-0000-0000-0000543F0000}"/>
    <cellStyle name="Currency 5 2 6 3" xfId="17446" xr:uid="{00000000-0005-0000-0000-0000553F0000}"/>
    <cellStyle name="Currency 5 2 7" xfId="17447" xr:uid="{00000000-0005-0000-0000-0000563F0000}"/>
    <cellStyle name="Currency 5 2 8" xfId="17448" xr:uid="{00000000-0005-0000-0000-0000573F0000}"/>
    <cellStyle name="Currency 5 3" xfId="297" xr:uid="{00000000-0005-0000-0000-0000583F0000}"/>
    <cellStyle name="Currency 5 3 2" xfId="1037" xr:uid="{00000000-0005-0000-0000-0000593F0000}"/>
    <cellStyle name="Currency 5 3 2 2" xfId="17449" xr:uid="{00000000-0005-0000-0000-00005A3F0000}"/>
    <cellStyle name="Currency 5 3 2 2 2" xfId="17450" xr:uid="{00000000-0005-0000-0000-00005B3F0000}"/>
    <cellStyle name="Currency 5 3 2 2 2 2" xfId="17451" xr:uid="{00000000-0005-0000-0000-00005C3F0000}"/>
    <cellStyle name="Currency 5 3 2 2 2 2 2" xfId="17452" xr:uid="{00000000-0005-0000-0000-00005D3F0000}"/>
    <cellStyle name="Currency 5 3 2 2 2 2 3" xfId="17453" xr:uid="{00000000-0005-0000-0000-00005E3F0000}"/>
    <cellStyle name="Currency 5 3 2 2 2 3" xfId="17454" xr:uid="{00000000-0005-0000-0000-00005F3F0000}"/>
    <cellStyle name="Currency 5 3 2 2 2 3 2" xfId="17455" xr:uid="{00000000-0005-0000-0000-0000603F0000}"/>
    <cellStyle name="Currency 5 3 2 2 2 3 3" xfId="17456" xr:uid="{00000000-0005-0000-0000-0000613F0000}"/>
    <cellStyle name="Currency 5 3 2 2 2 4" xfId="17457" xr:uid="{00000000-0005-0000-0000-0000623F0000}"/>
    <cellStyle name="Currency 5 3 2 2 2 5" xfId="17458" xr:uid="{00000000-0005-0000-0000-0000633F0000}"/>
    <cellStyle name="Currency 5 3 2 2 3" xfId="17459" xr:uid="{00000000-0005-0000-0000-0000643F0000}"/>
    <cellStyle name="Currency 5 3 2 2 3 2" xfId="17460" xr:uid="{00000000-0005-0000-0000-0000653F0000}"/>
    <cellStyle name="Currency 5 3 2 2 3 3" xfId="17461" xr:uid="{00000000-0005-0000-0000-0000663F0000}"/>
    <cellStyle name="Currency 5 3 2 2 4" xfId="17462" xr:uid="{00000000-0005-0000-0000-0000673F0000}"/>
    <cellStyle name="Currency 5 3 2 2 4 2" xfId="17463" xr:uid="{00000000-0005-0000-0000-0000683F0000}"/>
    <cellStyle name="Currency 5 3 2 2 4 3" xfId="17464" xr:uid="{00000000-0005-0000-0000-0000693F0000}"/>
    <cellStyle name="Currency 5 3 2 2 5" xfId="17465" xr:uid="{00000000-0005-0000-0000-00006A3F0000}"/>
    <cellStyle name="Currency 5 3 2 2 6" xfId="17466" xr:uid="{00000000-0005-0000-0000-00006B3F0000}"/>
    <cellStyle name="Currency 5 3 2 3" xfId="17467" xr:uid="{00000000-0005-0000-0000-00006C3F0000}"/>
    <cellStyle name="Currency 5 3 2 3 2" xfId="17468" xr:uid="{00000000-0005-0000-0000-00006D3F0000}"/>
    <cellStyle name="Currency 5 3 2 3 2 2" xfId="17469" xr:uid="{00000000-0005-0000-0000-00006E3F0000}"/>
    <cellStyle name="Currency 5 3 2 3 2 3" xfId="17470" xr:uid="{00000000-0005-0000-0000-00006F3F0000}"/>
    <cellStyle name="Currency 5 3 2 3 3" xfId="17471" xr:uid="{00000000-0005-0000-0000-0000703F0000}"/>
    <cellStyle name="Currency 5 3 2 3 3 2" xfId="17472" xr:uid="{00000000-0005-0000-0000-0000713F0000}"/>
    <cellStyle name="Currency 5 3 2 3 3 3" xfId="17473" xr:uid="{00000000-0005-0000-0000-0000723F0000}"/>
    <cellStyle name="Currency 5 3 2 3 4" xfId="17474" xr:uid="{00000000-0005-0000-0000-0000733F0000}"/>
    <cellStyle name="Currency 5 3 2 3 5" xfId="17475" xr:uid="{00000000-0005-0000-0000-0000743F0000}"/>
    <cellStyle name="Currency 5 3 2 4" xfId="17476" xr:uid="{00000000-0005-0000-0000-0000753F0000}"/>
    <cellStyle name="Currency 5 3 2 4 2" xfId="17477" xr:uid="{00000000-0005-0000-0000-0000763F0000}"/>
    <cellStyle name="Currency 5 3 2 4 3" xfId="17478" xr:uid="{00000000-0005-0000-0000-0000773F0000}"/>
    <cellStyle name="Currency 5 3 2 5" xfId="17479" xr:uid="{00000000-0005-0000-0000-0000783F0000}"/>
    <cellStyle name="Currency 5 3 2 5 2" xfId="17480" xr:uid="{00000000-0005-0000-0000-0000793F0000}"/>
    <cellStyle name="Currency 5 3 2 5 3" xfId="17481" xr:uid="{00000000-0005-0000-0000-00007A3F0000}"/>
    <cellStyle name="Currency 5 3 2 6" xfId="17482" xr:uid="{00000000-0005-0000-0000-00007B3F0000}"/>
    <cellStyle name="Currency 5 3 2 7" xfId="17483" xr:uid="{00000000-0005-0000-0000-00007C3F0000}"/>
    <cellStyle name="Currency 5 3 2 8" xfId="45004" xr:uid="{00000000-0005-0000-0000-00007D3F0000}"/>
    <cellStyle name="Currency 5 3 3" xfId="1038" xr:uid="{00000000-0005-0000-0000-00007E3F0000}"/>
    <cellStyle name="Currency 5 3 3 2" xfId="17484" xr:uid="{00000000-0005-0000-0000-00007F3F0000}"/>
    <cellStyle name="Currency 5 3 3 2 2" xfId="17485" xr:uid="{00000000-0005-0000-0000-0000803F0000}"/>
    <cellStyle name="Currency 5 3 3 2 2 2" xfId="17486" xr:uid="{00000000-0005-0000-0000-0000813F0000}"/>
    <cellStyle name="Currency 5 3 3 2 2 3" xfId="17487" xr:uid="{00000000-0005-0000-0000-0000823F0000}"/>
    <cellStyle name="Currency 5 3 3 2 3" xfId="17488" xr:uid="{00000000-0005-0000-0000-0000833F0000}"/>
    <cellStyle name="Currency 5 3 3 2 3 2" xfId="17489" xr:uid="{00000000-0005-0000-0000-0000843F0000}"/>
    <cellStyle name="Currency 5 3 3 2 3 3" xfId="17490" xr:uid="{00000000-0005-0000-0000-0000853F0000}"/>
    <cellStyle name="Currency 5 3 3 2 4" xfId="17491" xr:uid="{00000000-0005-0000-0000-0000863F0000}"/>
    <cellStyle name="Currency 5 3 3 2 5" xfId="17492" xr:uid="{00000000-0005-0000-0000-0000873F0000}"/>
    <cellStyle name="Currency 5 3 3 3" xfId="17493" xr:uid="{00000000-0005-0000-0000-0000883F0000}"/>
    <cellStyle name="Currency 5 3 3 3 2" xfId="17494" xr:uid="{00000000-0005-0000-0000-0000893F0000}"/>
    <cellStyle name="Currency 5 3 3 3 3" xfId="17495" xr:uid="{00000000-0005-0000-0000-00008A3F0000}"/>
    <cellStyle name="Currency 5 3 3 4" xfId="17496" xr:uid="{00000000-0005-0000-0000-00008B3F0000}"/>
    <cellStyle name="Currency 5 3 3 4 2" xfId="17497" xr:uid="{00000000-0005-0000-0000-00008C3F0000}"/>
    <cellStyle name="Currency 5 3 3 4 3" xfId="17498" xr:uid="{00000000-0005-0000-0000-00008D3F0000}"/>
    <cellStyle name="Currency 5 3 3 5" xfId="17499" xr:uid="{00000000-0005-0000-0000-00008E3F0000}"/>
    <cellStyle name="Currency 5 3 3 6" xfId="17500" xr:uid="{00000000-0005-0000-0000-00008F3F0000}"/>
    <cellStyle name="Currency 5 3 4" xfId="17501" xr:uid="{00000000-0005-0000-0000-0000903F0000}"/>
    <cellStyle name="Currency 5 3 4 2" xfId="17502" xr:uid="{00000000-0005-0000-0000-0000913F0000}"/>
    <cellStyle name="Currency 5 3 4 2 2" xfId="17503" xr:uid="{00000000-0005-0000-0000-0000923F0000}"/>
    <cellStyle name="Currency 5 3 4 2 3" xfId="17504" xr:uid="{00000000-0005-0000-0000-0000933F0000}"/>
    <cellStyle name="Currency 5 3 4 3" xfId="17505" xr:uid="{00000000-0005-0000-0000-0000943F0000}"/>
    <cellStyle name="Currency 5 3 4 3 2" xfId="17506" xr:uid="{00000000-0005-0000-0000-0000953F0000}"/>
    <cellStyle name="Currency 5 3 4 3 3" xfId="17507" xr:uid="{00000000-0005-0000-0000-0000963F0000}"/>
    <cellStyle name="Currency 5 3 4 4" xfId="17508" xr:uid="{00000000-0005-0000-0000-0000973F0000}"/>
    <cellStyle name="Currency 5 3 4 5" xfId="17509" xr:uid="{00000000-0005-0000-0000-0000983F0000}"/>
    <cellStyle name="Currency 5 3 4 6" xfId="17510" xr:uid="{00000000-0005-0000-0000-0000993F0000}"/>
    <cellStyle name="Currency 5 3 4 7" xfId="44044" xr:uid="{00000000-0005-0000-0000-00009A3F0000}"/>
    <cellStyle name="Currency 5 3 5" xfId="17511" xr:uid="{00000000-0005-0000-0000-00009B3F0000}"/>
    <cellStyle name="Currency 5 3 5 2" xfId="17512" xr:uid="{00000000-0005-0000-0000-00009C3F0000}"/>
    <cellStyle name="Currency 5 3 5 3" xfId="17513" xr:uid="{00000000-0005-0000-0000-00009D3F0000}"/>
    <cellStyle name="Currency 5 3 6" xfId="17514" xr:uid="{00000000-0005-0000-0000-00009E3F0000}"/>
    <cellStyle name="Currency 5 3 6 2" xfId="17515" xr:uid="{00000000-0005-0000-0000-00009F3F0000}"/>
    <cellStyle name="Currency 5 3 6 3" xfId="17516" xr:uid="{00000000-0005-0000-0000-0000A03F0000}"/>
    <cellStyle name="Currency 5 3 7" xfId="17517" xr:uid="{00000000-0005-0000-0000-0000A13F0000}"/>
    <cellStyle name="Currency 5 3 8" xfId="17518" xr:uid="{00000000-0005-0000-0000-0000A23F0000}"/>
    <cellStyle name="Currency 5 4" xfId="1039" xr:uid="{00000000-0005-0000-0000-0000A33F0000}"/>
    <cellStyle name="Currency 5 4 2" xfId="17519" xr:uid="{00000000-0005-0000-0000-0000A43F0000}"/>
    <cellStyle name="Currency 5 4 2 2" xfId="17520" xr:uid="{00000000-0005-0000-0000-0000A53F0000}"/>
    <cellStyle name="Currency 5 4 2 2 2" xfId="17521" xr:uid="{00000000-0005-0000-0000-0000A63F0000}"/>
    <cellStyle name="Currency 5 4 2 2 2 2" xfId="17522" xr:uid="{00000000-0005-0000-0000-0000A73F0000}"/>
    <cellStyle name="Currency 5 4 2 2 2 3" xfId="17523" xr:uid="{00000000-0005-0000-0000-0000A83F0000}"/>
    <cellStyle name="Currency 5 4 2 2 3" xfId="17524" xr:uid="{00000000-0005-0000-0000-0000A93F0000}"/>
    <cellStyle name="Currency 5 4 2 2 3 2" xfId="17525" xr:uid="{00000000-0005-0000-0000-0000AA3F0000}"/>
    <cellStyle name="Currency 5 4 2 2 3 3" xfId="17526" xr:uid="{00000000-0005-0000-0000-0000AB3F0000}"/>
    <cellStyle name="Currency 5 4 2 2 4" xfId="17527" xr:uid="{00000000-0005-0000-0000-0000AC3F0000}"/>
    <cellStyle name="Currency 5 4 2 2 5" xfId="17528" xr:uid="{00000000-0005-0000-0000-0000AD3F0000}"/>
    <cellStyle name="Currency 5 4 2 3" xfId="17529" xr:uid="{00000000-0005-0000-0000-0000AE3F0000}"/>
    <cellStyle name="Currency 5 4 2 3 2" xfId="17530" xr:uid="{00000000-0005-0000-0000-0000AF3F0000}"/>
    <cellStyle name="Currency 5 4 2 3 3" xfId="17531" xr:uid="{00000000-0005-0000-0000-0000B03F0000}"/>
    <cellStyle name="Currency 5 4 2 4" xfId="17532" xr:uid="{00000000-0005-0000-0000-0000B13F0000}"/>
    <cellStyle name="Currency 5 4 2 4 2" xfId="17533" xr:uid="{00000000-0005-0000-0000-0000B23F0000}"/>
    <cellStyle name="Currency 5 4 2 4 3" xfId="17534" xr:uid="{00000000-0005-0000-0000-0000B33F0000}"/>
    <cellStyle name="Currency 5 4 2 5" xfId="17535" xr:uid="{00000000-0005-0000-0000-0000B43F0000}"/>
    <cellStyle name="Currency 5 4 2 6" xfId="17536" xr:uid="{00000000-0005-0000-0000-0000B53F0000}"/>
    <cellStyle name="Currency 5 4 3" xfId="17537" xr:uid="{00000000-0005-0000-0000-0000B63F0000}"/>
    <cellStyle name="Currency 5 4 3 2" xfId="17538" xr:uid="{00000000-0005-0000-0000-0000B73F0000}"/>
    <cellStyle name="Currency 5 4 3 2 2" xfId="17539" xr:uid="{00000000-0005-0000-0000-0000B83F0000}"/>
    <cellStyle name="Currency 5 4 3 2 3" xfId="17540" xr:uid="{00000000-0005-0000-0000-0000B93F0000}"/>
    <cellStyle name="Currency 5 4 3 3" xfId="17541" xr:uid="{00000000-0005-0000-0000-0000BA3F0000}"/>
    <cellStyle name="Currency 5 4 3 3 2" xfId="17542" xr:uid="{00000000-0005-0000-0000-0000BB3F0000}"/>
    <cellStyle name="Currency 5 4 3 3 3" xfId="17543" xr:uid="{00000000-0005-0000-0000-0000BC3F0000}"/>
    <cellStyle name="Currency 5 4 3 4" xfId="17544" xr:uid="{00000000-0005-0000-0000-0000BD3F0000}"/>
    <cellStyle name="Currency 5 4 3 5" xfId="17545" xr:uid="{00000000-0005-0000-0000-0000BE3F0000}"/>
    <cellStyle name="Currency 5 4 4" xfId="17546" xr:uid="{00000000-0005-0000-0000-0000BF3F0000}"/>
    <cellStyle name="Currency 5 4 4 2" xfId="17547" xr:uid="{00000000-0005-0000-0000-0000C03F0000}"/>
    <cellStyle name="Currency 5 4 4 3" xfId="17548" xr:uid="{00000000-0005-0000-0000-0000C13F0000}"/>
    <cellStyle name="Currency 5 4 5" xfId="17549" xr:uid="{00000000-0005-0000-0000-0000C23F0000}"/>
    <cellStyle name="Currency 5 4 5 2" xfId="17550" xr:uid="{00000000-0005-0000-0000-0000C33F0000}"/>
    <cellStyle name="Currency 5 4 5 3" xfId="17551" xr:uid="{00000000-0005-0000-0000-0000C43F0000}"/>
    <cellStyle name="Currency 5 4 6" xfId="17552" xr:uid="{00000000-0005-0000-0000-0000C53F0000}"/>
    <cellStyle name="Currency 5 4 7" xfId="17553" xr:uid="{00000000-0005-0000-0000-0000C63F0000}"/>
    <cellStyle name="Currency 5 4 8" xfId="45005" xr:uid="{00000000-0005-0000-0000-0000C73F0000}"/>
    <cellStyle name="Currency 5 5" xfId="1040" xr:uid="{00000000-0005-0000-0000-0000C83F0000}"/>
    <cellStyle name="Currency 5 5 2" xfId="17554" xr:uid="{00000000-0005-0000-0000-0000C93F0000}"/>
    <cellStyle name="Currency 5 5 2 2" xfId="17555" xr:uid="{00000000-0005-0000-0000-0000CA3F0000}"/>
    <cellStyle name="Currency 5 5 2 2 2" xfId="17556" xr:uid="{00000000-0005-0000-0000-0000CB3F0000}"/>
    <cellStyle name="Currency 5 5 2 2 3" xfId="17557" xr:uid="{00000000-0005-0000-0000-0000CC3F0000}"/>
    <cellStyle name="Currency 5 5 2 3" xfId="17558" xr:uid="{00000000-0005-0000-0000-0000CD3F0000}"/>
    <cellStyle name="Currency 5 5 2 3 2" xfId="17559" xr:uid="{00000000-0005-0000-0000-0000CE3F0000}"/>
    <cellStyle name="Currency 5 5 2 3 3" xfId="17560" xr:uid="{00000000-0005-0000-0000-0000CF3F0000}"/>
    <cellStyle name="Currency 5 5 2 4" xfId="17561" xr:uid="{00000000-0005-0000-0000-0000D03F0000}"/>
    <cellStyle name="Currency 5 5 2 5" xfId="17562" xr:uid="{00000000-0005-0000-0000-0000D13F0000}"/>
    <cellStyle name="Currency 5 5 3" xfId="17563" xr:uid="{00000000-0005-0000-0000-0000D23F0000}"/>
    <cellStyle name="Currency 5 5 3 2" xfId="17564" xr:uid="{00000000-0005-0000-0000-0000D33F0000}"/>
    <cellStyle name="Currency 5 5 3 3" xfId="17565" xr:uid="{00000000-0005-0000-0000-0000D43F0000}"/>
    <cellStyle name="Currency 5 5 4" xfId="17566" xr:uid="{00000000-0005-0000-0000-0000D53F0000}"/>
    <cellStyle name="Currency 5 5 4 2" xfId="17567" xr:uid="{00000000-0005-0000-0000-0000D63F0000}"/>
    <cellStyle name="Currency 5 5 4 3" xfId="17568" xr:uid="{00000000-0005-0000-0000-0000D73F0000}"/>
    <cellStyle name="Currency 5 5 5" xfId="17569" xr:uid="{00000000-0005-0000-0000-0000D83F0000}"/>
    <cellStyle name="Currency 5 5 6" xfId="17570" xr:uid="{00000000-0005-0000-0000-0000D93F0000}"/>
    <cellStyle name="Currency 5 5 7" xfId="17571" xr:uid="{00000000-0005-0000-0000-0000DA3F0000}"/>
    <cellStyle name="Currency 5 5 8" xfId="45006" xr:uid="{00000000-0005-0000-0000-0000DB3F0000}"/>
    <cellStyle name="Currency 5 6" xfId="17572" xr:uid="{00000000-0005-0000-0000-0000DC3F0000}"/>
    <cellStyle name="Currency 5 6 2" xfId="17573" xr:uid="{00000000-0005-0000-0000-0000DD3F0000}"/>
    <cellStyle name="Currency 5 6 2 2" xfId="17574" xr:uid="{00000000-0005-0000-0000-0000DE3F0000}"/>
    <cellStyle name="Currency 5 6 2 3" xfId="17575" xr:uid="{00000000-0005-0000-0000-0000DF3F0000}"/>
    <cellStyle name="Currency 5 6 3" xfId="17576" xr:uid="{00000000-0005-0000-0000-0000E03F0000}"/>
    <cellStyle name="Currency 5 6 3 2" xfId="17577" xr:uid="{00000000-0005-0000-0000-0000E13F0000}"/>
    <cellStyle name="Currency 5 6 3 3" xfId="17578" xr:uid="{00000000-0005-0000-0000-0000E23F0000}"/>
    <cellStyle name="Currency 5 6 4" xfId="17579" xr:uid="{00000000-0005-0000-0000-0000E33F0000}"/>
    <cellStyle name="Currency 5 6 5" xfId="17580" xr:uid="{00000000-0005-0000-0000-0000E43F0000}"/>
    <cellStyle name="Currency 5 6 6" xfId="42467" xr:uid="{00000000-0005-0000-0000-0000E53F0000}"/>
    <cellStyle name="Currency 5 6 7" xfId="45007" xr:uid="{00000000-0005-0000-0000-0000E63F0000}"/>
    <cellStyle name="Currency 5 7" xfId="17581" xr:uid="{00000000-0005-0000-0000-0000E73F0000}"/>
    <cellStyle name="Currency 5 7 2" xfId="17582" xr:uid="{00000000-0005-0000-0000-0000E83F0000}"/>
    <cellStyle name="Currency 5 7 3" xfId="17583" xr:uid="{00000000-0005-0000-0000-0000E93F0000}"/>
    <cellStyle name="Currency 5 8" xfId="17584" xr:uid="{00000000-0005-0000-0000-0000EA3F0000}"/>
    <cellStyle name="Currency 5 8 2" xfId="17585" xr:uid="{00000000-0005-0000-0000-0000EB3F0000}"/>
    <cellStyle name="Currency 5 8 3" xfId="17586" xr:uid="{00000000-0005-0000-0000-0000EC3F0000}"/>
    <cellStyle name="Currency 5 9" xfId="17587" xr:uid="{00000000-0005-0000-0000-0000ED3F0000}"/>
    <cellStyle name="Currency 6" xfId="298" xr:uid="{00000000-0005-0000-0000-0000EE3F0000}"/>
    <cellStyle name="Currency 6 2" xfId="1041" xr:uid="{00000000-0005-0000-0000-0000EF3F0000}"/>
    <cellStyle name="Currency 6 3" xfId="1042" xr:uid="{00000000-0005-0000-0000-0000F03F0000}"/>
    <cellStyle name="Currency 6 3 2" xfId="17588" xr:uid="{00000000-0005-0000-0000-0000F13F0000}"/>
    <cellStyle name="Currency 6 4" xfId="1043" xr:uid="{00000000-0005-0000-0000-0000F23F0000}"/>
    <cellStyle name="Currency 6 4 2" xfId="17589" xr:uid="{00000000-0005-0000-0000-0000F33F0000}"/>
    <cellStyle name="Currency 6 5" xfId="2858" xr:uid="{00000000-0005-0000-0000-0000F43F0000}"/>
    <cellStyle name="Currency 6 5 2" xfId="42468" xr:uid="{00000000-0005-0000-0000-0000F53F0000}"/>
    <cellStyle name="Currency 6 5 3" xfId="45008" xr:uid="{00000000-0005-0000-0000-0000F63F0000}"/>
    <cellStyle name="Currency 7" xfId="299" xr:uid="{00000000-0005-0000-0000-0000F73F0000}"/>
    <cellStyle name="Currency 7 2" xfId="1044" xr:uid="{00000000-0005-0000-0000-0000F83F0000}"/>
    <cellStyle name="Currency 7 3" xfId="42527" xr:uid="{00000000-0005-0000-0000-0000F93F0000}"/>
    <cellStyle name="Currency 7 4" xfId="42469" xr:uid="{00000000-0005-0000-0000-0000FA3F0000}"/>
    <cellStyle name="Currency 8" xfId="300" xr:uid="{00000000-0005-0000-0000-0000FB3F0000}"/>
    <cellStyle name="Currency 8 10" xfId="46181" xr:uid="{00000000-0005-0000-0000-0000FC3F0000}"/>
    <cellStyle name="Currency 8 2" xfId="301" xr:uid="{00000000-0005-0000-0000-0000FD3F0000}"/>
    <cellStyle name="Currency 8 2 2" xfId="1045" xr:uid="{00000000-0005-0000-0000-0000FE3F0000}"/>
    <cellStyle name="Currency 8 2 2 2" xfId="1046" xr:uid="{00000000-0005-0000-0000-0000FF3F0000}"/>
    <cellStyle name="Currency 8 2 2 2 2" xfId="17590" xr:uid="{00000000-0005-0000-0000-000000400000}"/>
    <cellStyle name="Currency 8 2 2 2 2 2" xfId="17591" xr:uid="{00000000-0005-0000-0000-000001400000}"/>
    <cellStyle name="Currency 8 2 2 2 2 2 2" xfId="17592" xr:uid="{00000000-0005-0000-0000-000002400000}"/>
    <cellStyle name="Currency 8 2 2 2 2 2 3" xfId="17593" xr:uid="{00000000-0005-0000-0000-000003400000}"/>
    <cellStyle name="Currency 8 2 2 2 2 3" xfId="17594" xr:uid="{00000000-0005-0000-0000-000004400000}"/>
    <cellStyle name="Currency 8 2 2 2 2 3 2" xfId="17595" xr:uid="{00000000-0005-0000-0000-000005400000}"/>
    <cellStyle name="Currency 8 2 2 2 2 3 3" xfId="17596" xr:uid="{00000000-0005-0000-0000-000006400000}"/>
    <cellStyle name="Currency 8 2 2 2 2 4" xfId="17597" xr:uid="{00000000-0005-0000-0000-000007400000}"/>
    <cellStyle name="Currency 8 2 2 2 2 5" xfId="17598" xr:uid="{00000000-0005-0000-0000-000008400000}"/>
    <cellStyle name="Currency 8 2 2 2 3" xfId="17599" xr:uid="{00000000-0005-0000-0000-000009400000}"/>
    <cellStyle name="Currency 8 2 2 2 3 2" xfId="17600" xr:uid="{00000000-0005-0000-0000-00000A400000}"/>
    <cellStyle name="Currency 8 2 2 2 3 3" xfId="17601" xr:uid="{00000000-0005-0000-0000-00000B400000}"/>
    <cellStyle name="Currency 8 2 2 2 4" xfId="17602" xr:uid="{00000000-0005-0000-0000-00000C400000}"/>
    <cellStyle name="Currency 8 2 2 2 4 2" xfId="17603" xr:uid="{00000000-0005-0000-0000-00000D400000}"/>
    <cellStyle name="Currency 8 2 2 2 4 3" xfId="17604" xr:uid="{00000000-0005-0000-0000-00000E400000}"/>
    <cellStyle name="Currency 8 2 2 2 5" xfId="17605" xr:uid="{00000000-0005-0000-0000-00000F400000}"/>
    <cellStyle name="Currency 8 2 2 2 6" xfId="17606" xr:uid="{00000000-0005-0000-0000-000010400000}"/>
    <cellStyle name="Currency 8 2 2 2 7" xfId="45009" xr:uid="{00000000-0005-0000-0000-000011400000}"/>
    <cellStyle name="Currency 8 2 2 3" xfId="17607" xr:uid="{00000000-0005-0000-0000-000012400000}"/>
    <cellStyle name="Currency 8 2 2 3 2" xfId="17608" xr:uid="{00000000-0005-0000-0000-000013400000}"/>
    <cellStyle name="Currency 8 2 2 3 2 2" xfId="17609" xr:uid="{00000000-0005-0000-0000-000014400000}"/>
    <cellStyle name="Currency 8 2 2 3 2 3" xfId="17610" xr:uid="{00000000-0005-0000-0000-000015400000}"/>
    <cellStyle name="Currency 8 2 2 3 3" xfId="17611" xr:uid="{00000000-0005-0000-0000-000016400000}"/>
    <cellStyle name="Currency 8 2 2 3 3 2" xfId="17612" xr:uid="{00000000-0005-0000-0000-000017400000}"/>
    <cellStyle name="Currency 8 2 2 3 3 3" xfId="17613" xr:uid="{00000000-0005-0000-0000-000018400000}"/>
    <cellStyle name="Currency 8 2 2 3 4" xfId="17614" xr:uid="{00000000-0005-0000-0000-000019400000}"/>
    <cellStyle name="Currency 8 2 2 3 5" xfId="17615" xr:uid="{00000000-0005-0000-0000-00001A400000}"/>
    <cellStyle name="Currency 8 2 2 4" xfId="17616" xr:uid="{00000000-0005-0000-0000-00001B400000}"/>
    <cellStyle name="Currency 8 2 2 4 2" xfId="17617" xr:uid="{00000000-0005-0000-0000-00001C400000}"/>
    <cellStyle name="Currency 8 2 2 4 3" xfId="17618" xr:uid="{00000000-0005-0000-0000-00001D400000}"/>
    <cellStyle name="Currency 8 2 2 5" xfId="17619" xr:uid="{00000000-0005-0000-0000-00001E400000}"/>
    <cellStyle name="Currency 8 2 2 5 2" xfId="17620" xr:uid="{00000000-0005-0000-0000-00001F400000}"/>
    <cellStyle name="Currency 8 2 2 5 3" xfId="17621" xr:uid="{00000000-0005-0000-0000-000020400000}"/>
    <cellStyle name="Currency 8 2 2 6" xfId="17622" xr:uid="{00000000-0005-0000-0000-000021400000}"/>
    <cellStyle name="Currency 8 2 2 7" xfId="17623" xr:uid="{00000000-0005-0000-0000-000022400000}"/>
    <cellStyle name="Currency 8 2 2 8" xfId="45010" xr:uid="{00000000-0005-0000-0000-000023400000}"/>
    <cellStyle name="Currency 8 2 3" xfId="1047" xr:uid="{00000000-0005-0000-0000-000024400000}"/>
    <cellStyle name="Currency 8 2 3 2" xfId="17624" xr:uid="{00000000-0005-0000-0000-000025400000}"/>
    <cellStyle name="Currency 8 2 3 2 2" xfId="17625" xr:uid="{00000000-0005-0000-0000-000026400000}"/>
    <cellStyle name="Currency 8 2 3 2 2 2" xfId="17626" xr:uid="{00000000-0005-0000-0000-000027400000}"/>
    <cellStyle name="Currency 8 2 3 2 2 3" xfId="17627" xr:uid="{00000000-0005-0000-0000-000028400000}"/>
    <cellStyle name="Currency 8 2 3 2 3" xfId="17628" xr:uid="{00000000-0005-0000-0000-000029400000}"/>
    <cellStyle name="Currency 8 2 3 2 3 2" xfId="17629" xr:uid="{00000000-0005-0000-0000-00002A400000}"/>
    <cellStyle name="Currency 8 2 3 2 3 3" xfId="17630" xr:uid="{00000000-0005-0000-0000-00002B400000}"/>
    <cellStyle name="Currency 8 2 3 2 4" xfId="17631" xr:uid="{00000000-0005-0000-0000-00002C400000}"/>
    <cellStyle name="Currency 8 2 3 2 5" xfId="17632" xr:uid="{00000000-0005-0000-0000-00002D400000}"/>
    <cellStyle name="Currency 8 2 3 3" xfId="17633" xr:uid="{00000000-0005-0000-0000-00002E400000}"/>
    <cellStyle name="Currency 8 2 3 3 2" xfId="17634" xr:uid="{00000000-0005-0000-0000-00002F400000}"/>
    <cellStyle name="Currency 8 2 3 3 3" xfId="17635" xr:uid="{00000000-0005-0000-0000-000030400000}"/>
    <cellStyle name="Currency 8 2 3 4" xfId="17636" xr:uid="{00000000-0005-0000-0000-000031400000}"/>
    <cellStyle name="Currency 8 2 3 4 2" xfId="17637" xr:uid="{00000000-0005-0000-0000-000032400000}"/>
    <cellStyle name="Currency 8 2 3 4 3" xfId="17638" xr:uid="{00000000-0005-0000-0000-000033400000}"/>
    <cellStyle name="Currency 8 2 3 5" xfId="17639" xr:uid="{00000000-0005-0000-0000-000034400000}"/>
    <cellStyle name="Currency 8 2 3 6" xfId="17640" xr:uid="{00000000-0005-0000-0000-000035400000}"/>
    <cellStyle name="Currency 8 2 3 7" xfId="45011" xr:uid="{00000000-0005-0000-0000-000036400000}"/>
    <cellStyle name="Currency 8 2 4" xfId="17641" xr:uid="{00000000-0005-0000-0000-000037400000}"/>
    <cellStyle name="Currency 8 2 4 2" xfId="17642" xr:uid="{00000000-0005-0000-0000-000038400000}"/>
    <cellStyle name="Currency 8 2 4 2 2" xfId="17643" xr:uid="{00000000-0005-0000-0000-000039400000}"/>
    <cellStyle name="Currency 8 2 4 2 3" xfId="17644" xr:uid="{00000000-0005-0000-0000-00003A400000}"/>
    <cellStyle name="Currency 8 2 4 3" xfId="17645" xr:uid="{00000000-0005-0000-0000-00003B400000}"/>
    <cellStyle name="Currency 8 2 4 3 2" xfId="17646" xr:uid="{00000000-0005-0000-0000-00003C400000}"/>
    <cellStyle name="Currency 8 2 4 3 3" xfId="17647" xr:uid="{00000000-0005-0000-0000-00003D400000}"/>
    <cellStyle name="Currency 8 2 4 4" xfId="17648" xr:uid="{00000000-0005-0000-0000-00003E400000}"/>
    <cellStyle name="Currency 8 2 4 5" xfId="17649" xr:uid="{00000000-0005-0000-0000-00003F400000}"/>
    <cellStyle name="Currency 8 2 5" xfId="17650" xr:uid="{00000000-0005-0000-0000-000040400000}"/>
    <cellStyle name="Currency 8 2 5 2" xfId="17651" xr:uid="{00000000-0005-0000-0000-000041400000}"/>
    <cellStyle name="Currency 8 2 5 3" xfId="17652" xr:uid="{00000000-0005-0000-0000-000042400000}"/>
    <cellStyle name="Currency 8 2 6" xfId="17653" xr:uid="{00000000-0005-0000-0000-000043400000}"/>
    <cellStyle name="Currency 8 2 6 2" xfId="17654" xr:uid="{00000000-0005-0000-0000-000044400000}"/>
    <cellStyle name="Currency 8 2 6 3" xfId="17655" xr:uid="{00000000-0005-0000-0000-000045400000}"/>
    <cellStyle name="Currency 8 2 7" xfId="17656" xr:uid="{00000000-0005-0000-0000-000046400000}"/>
    <cellStyle name="Currency 8 2 8" xfId="17657" xr:uid="{00000000-0005-0000-0000-000047400000}"/>
    <cellStyle name="Currency 8 3" xfId="1048" xr:uid="{00000000-0005-0000-0000-000048400000}"/>
    <cellStyle name="Currency 8 3 2" xfId="1049" xr:uid="{00000000-0005-0000-0000-000049400000}"/>
    <cellStyle name="Currency 8 3 2 2" xfId="17658" xr:uid="{00000000-0005-0000-0000-00004A400000}"/>
    <cellStyle name="Currency 8 3 2 2 2" xfId="17659" xr:uid="{00000000-0005-0000-0000-00004B400000}"/>
    <cellStyle name="Currency 8 3 2 2 2 2" xfId="17660" xr:uid="{00000000-0005-0000-0000-00004C400000}"/>
    <cellStyle name="Currency 8 3 2 2 2 3" xfId="17661" xr:uid="{00000000-0005-0000-0000-00004D400000}"/>
    <cellStyle name="Currency 8 3 2 2 3" xfId="17662" xr:uid="{00000000-0005-0000-0000-00004E400000}"/>
    <cellStyle name="Currency 8 3 2 2 3 2" xfId="17663" xr:uid="{00000000-0005-0000-0000-00004F400000}"/>
    <cellStyle name="Currency 8 3 2 2 3 3" xfId="17664" xr:uid="{00000000-0005-0000-0000-000050400000}"/>
    <cellStyle name="Currency 8 3 2 2 4" xfId="17665" xr:uid="{00000000-0005-0000-0000-000051400000}"/>
    <cellStyle name="Currency 8 3 2 2 5" xfId="17666" xr:uid="{00000000-0005-0000-0000-000052400000}"/>
    <cellStyle name="Currency 8 3 2 3" xfId="17667" xr:uid="{00000000-0005-0000-0000-000053400000}"/>
    <cellStyle name="Currency 8 3 2 3 2" xfId="17668" xr:uid="{00000000-0005-0000-0000-000054400000}"/>
    <cellStyle name="Currency 8 3 2 3 3" xfId="17669" xr:uid="{00000000-0005-0000-0000-000055400000}"/>
    <cellStyle name="Currency 8 3 2 4" xfId="17670" xr:uid="{00000000-0005-0000-0000-000056400000}"/>
    <cellStyle name="Currency 8 3 2 4 2" xfId="17671" xr:uid="{00000000-0005-0000-0000-000057400000}"/>
    <cellStyle name="Currency 8 3 2 4 3" xfId="17672" xr:uid="{00000000-0005-0000-0000-000058400000}"/>
    <cellStyle name="Currency 8 3 2 5" xfId="17673" xr:uid="{00000000-0005-0000-0000-000059400000}"/>
    <cellStyle name="Currency 8 3 2 6" xfId="17674" xr:uid="{00000000-0005-0000-0000-00005A400000}"/>
    <cellStyle name="Currency 8 3 3" xfId="1050" xr:uid="{00000000-0005-0000-0000-00005B400000}"/>
    <cellStyle name="Currency 8 3 3 2" xfId="17675" xr:uid="{00000000-0005-0000-0000-00005C400000}"/>
    <cellStyle name="Currency 8 3 3 2 2" xfId="17676" xr:uid="{00000000-0005-0000-0000-00005D400000}"/>
    <cellStyle name="Currency 8 3 3 2 3" xfId="17677" xr:uid="{00000000-0005-0000-0000-00005E400000}"/>
    <cellStyle name="Currency 8 3 3 3" xfId="17678" xr:uid="{00000000-0005-0000-0000-00005F400000}"/>
    <cellStyle name="Currency 8 3 3 3 2" xfId="17679" xr:uid="{00000000-0005-0000-0000-000060400000}"/>
    <cellStyle name="Currency 8 3 3 3 3" xfId="17680" xr:uid="{00000000-0005-0000-0000-000061400000}"/>
    <cellStyle name="Currency 8 3 3 4" xfId="17681" xr:uid="{00000000-0005-0000-0000-000062400000}"/>
    <cellStyle name="Currency 8 3 3 5" xfId="17682" xr:uid="{00000000-0005-0000-0000-000063400000}"/>
    <cellStyle name="Currency 8 3 4" xfId="17683" xr:uid="{00000000-0005-0000-0000-000064400000}"/>
    <cellStyle name="Currency 8 3 4 2" xfId="17684" xr:uid="{00000000-0005-0000-0000-000065400000}"/>
    <cellStyle name="Currency 8 3 4 3" xfId="17685" xr:uid="{00000000-0005-0000-0000-000066400000}"/>
    <cellStyle name="Currency 8 3 5" xfId="17686" xr:uid="{00000000-0005-0000-0000-000067400000}"/>
    <cellStyle name="Currency 8 3 5 2" xfId="17687" xr:uid="{00000000-0005-0000-0000-000068400000}"/>
    <cellStyle name="Currency 8 3 5 3" xfId="17688" xr:uid="{00000000-0005-0000-0000-000069400000}"/>
    <cellStyle name="Currency 8 3 6" xfId="17689" xr:uid="{00000000-0005-0000-0000-00006A400000}"/>
    <cellStyle name="Currency 8 3 7" xfId="17690" xr:uid="{00000000-0005-0000-0000-00006B400000}"/>
    <cellStyle name="Currency 8 3 8" xfId="17691" xr:uid="{00000000-0005-0000-0000-00006C400000}"/>
    <cellStyle name="Currency 8 3 9" xfId="46182" xr:uid="{00000000-0005-0000-0000-00006D400000}"/>
    <cellStyle name="Currency 8 4" xfId="1051" xr:uid="{00000000-0005-0000-0000-00006E400000}"/>
    <cellStyle name="Currency 8 4 2" xfId="17692" xr:uid="{00000000-0005-0000-0000-00006F400000}"/>
    <cellStyle name="Currency 8 4 2 2" xfId="17693" xr:uid="{00000000-0005-0000-0000-000070400000}"/>
    <cellStyle name="Currency 8 4 2 2 2" xfId="17694" xr:uid="{00000000-0005-0000-0000-000071400000}"/>
    <cellStyle name="Currency 8 4 2 2 3" xfId="17695" xr:uid="{00000000-0005-0000-0000-000072400000}"/>
    <cellStyle name="Currency 8 4 2 3" xfId="17696" xr:uid="{00000000-0005-0000-0000-000073400000}"/>
    <cellStyle name="Currency 8 4 2 3 2" xfId="17697" xr:uid="{00000000-0005-0000-0000-000074400000}"/>
    <cellStyle name="Currency 8 4 2 3 3" xfId="17698" xr:uid="{00000000-0005-0000-0000-000075400000}"/>
    <cellStyle name="Currency 8 4 2 4" xfId="17699" xr:uid="{00000000-0005-0000-0000-000076400000}"/>
    <cellStyle name="Currency 8 4 2 5" xfId="17700" xr:uid="{00000000-0005-0000-0000-000077400000}"/>
    <cellStyle name="Currency 8 4 2 6" xfId="17701" xr:uid="{00000000-0005-0000-0000-000078400000}"/>
    <cellStyle name="Currency 8 4 2 7" xfId="44045" xr:uid="{00000000-0005-0000-0000-000079400000}"/>
    <cellStyle name="Currency 8 4 3" xfId="17702" xr:uid="{00000000-0005-0000-0000-00007A400000}"/>
    <cellStyle name="Currency 8 4 3 2" xfId="17703" xr:uid="{00000000-0005-0000-0000-00007B400000}"/>
    <cellStyle name="Currency 8 4 3 3" xfId="17704" xr:uid="{00000000-0005-0000-0000-00007C400000}"/>
    <cellStyle name="Currency 8 4 4" xfId="17705" xr:uid="{00000000-0005-0000-0000-00007D400000}"/>
    <cellStyle name="Currency 8 4 4 2" xfId="17706" xr:uid="{00000000-0005-0000-0000-00007E400000}"/>
    <cellStyle name="Currency 8 4 4 3" xfId="17707" xr:uid="{00000000-0005-0000-0000-00007F400000}"/>
    <cellStyle name="Currency 8 4 5" xfId="17708" xr:uid="{00000000-0005-0000-0000-000080400000}"/>
    <cellStyle name="Currency 8 4 6" xfId="17709" xr:uid="{00000000-0005-0000-0000-000081400000}"/>
    <cellStyle name="Currency 8 5" xfId="17710" xr:uid="{00000000-0005-0000-0000-000082400000}"/>
    <cellStyle name="Currency 8 5 2" xfId="17711" xr:uid="{00000000-0005-0000-0000-000083400000}"/>
    <cellStyle name="Currency 8 5 2 2" xfId="17712" xr:uid="{00000000-0005-0000-0000-000084400000}"/>
    <cellStyle name="Currency 8 5 2 3" xfId="17713" xr:uid="{00000000-0005-0000-0000-000085400000}"/>
    <cellStyle name="Currency 8 5 3" xfId="17714" xr:uid="{00000000-0005-0000-0000-000086400000}"/>
    <cellStyle name="Currency 8 5 3 2" xfId="17715" xr:uid="{00000000-0005-0000-0000-000087400000}"/>
    <cellStyle name="Currency 8 5 3 3" xfId="17716" xr:uid="{00000000-0005-0000-0000-000088400000}"/>
    <cellStyle name="Currency 8 5 4" xfId="17717" xr:uid="{00000000-0005-0000-0000-000089400000}"/>
    <cellStyle name="Currency 8 5 5" xfId="17718" xr:uid="{00000000-0005-0000-0000-00008A400000}"/>
    <cellStyle name="Currency 8 6" xfId="17719" xr:uid="{00000000-0005-0000-0000-00008B400000}"/>
    <cellStyle name="Currency 8 6 2" xfId="17720" xr:uid="{00000000-0005-0000-0000-00008C400000}"/>
    <cellStyle name="Currency 8 6 3" xfId="17721" xr:uid="{00000000-0005-0000-0000-00008D400000}"/>
    <cellStyle name="Currency 8 7" xfId="17722" xr:uid="{00000000-0005-0000-0000-00008E400000}"/>
    <cellStyle name="Currency 8 7 2" xfId="17723" xr:uid="{00000000-0005-0000-0000-00008F400000}"/>
    <cellStyle name="Currency 8 7 3" xfId="17724" xr:uid="{00000000-0005-0000-0000-000090400000}"/>
    <cellStyle name="Currency 8 8" xfId="17725" xr:uid="{00000000-0005-0000-0000-000091400000}"/>
    <cellStyle name="Currency 8 9" xfId="17726" xr:uid="{00000000-0005-0000-0000-000092400000}"/>
    <cellStyle name="Currency 9" xfId="302" xr:uid="{00000000-0005-0000-0000-000093400000}"/>
    <cellStyle name="Currency 9 2" xfId="1052" xr:uid="{00000000-0005-0000-0000-000094400000}"/>
    <cellStyle name="Currency 9 2 2" xfId="1053" xr:uid="{00000000-0005-0000-0000-000095400000}"/>
    <cellStyle name="Currency 9 2 2 2" xfId="17727" xr:uid="{00000000-0005-0000-0000-000096400000}"/>
    <cellStyle name="Currency 9 2 2 2 2" xfId="17728" xr:uid="{00000000-0005-0000-0000-000097400000}"/>
    <cellStyle name="Currency 9 2 2 2 2 2" xfId="17729" xr:uid="{00000000-0005-0000-0000-000098400000}"/>
    <cellStyle name="Currency 9 2 2 2 2 3" xfId="17730" xr:uid="{00000000-0005-0000-0000-000099400000}"/>
    <cellStyle name="Currency 9 2 2 2 3" xfId="17731" xr:uid="{00000000-0005-0000-0000-00009A400000}"/>
    <cellStyle name="Currency 9 2 2 2 3 2" xfId="17732" xr:uid="{00000000-0005-0000-0000-00009B400000}"/>
    <cellStyle name="Currency 9 2 2 2 3 3" xfId="17733" xr:uid="{00000000-0005-0000-0000-00009C400000}"/>
    <cellStyle name="Currency 9 2 2 2 4" xfId="17734" xr:uid="{00000000-0005-0000-0000-00009D400000}"/>
    <cellStyle name="Currency 9 2 2 2 5" xfId="17735" xr:uid="{00000000-0005-0000-0000-00009E400000}"/>
    <cellStyle name="Currency 9 2 2 3" xfId="17736" xr:uid="{00000000-0005-0000-0000-00009F400000}"/>
    <cellStyle name="Currency 9 2 2 3 2" xfId="17737" xr:uid="{00000000-0005-0000-0000-0000A0400000}"/>
    <cellStyle name="Currency 9 2 2 3 3" xfId="17738" xr:uid="{00000000-0005-0000-0000-0000A1400000}"/>
    <cellStyle name="Currency 9 2 2 4" xfId="17739" xr:uid="{00000000-0005-0000-0000-0000A2400000}"/>
    <cellStyle name="Currency 9 2 2 4 2" xfId="17740" xr:uid="{00000000-0005-0000-0000-0000A3400000}"/>
    <cellStyle name="Currency 9 2 2 4 3" xfId="17741" xr:uid="{00000000-0005-0000-0000-0000A4400000}"/>
    <cellStyle name="Currency 9 2 2 5" xfId="17742" xr:uid="{00000000-0005-0000-0000-0000A5400000}"/>
    <cellStyle name="Currency 9 2 2 6" xfId="17743" xr:uid="{00000000-0005-0000-0000-0000A6400000}"/>
    <cellStyle name="Currency 9 2 2 7" xfId="45012" xr:uid="{00000000-0005-0000-0000-0000A7400000}"/>
    <cellStyle name="Currency 9 2 3" xfId="17744" xr:uid="{00000000-0005-0000-0000-0000A8400000}"/>
    <cellStyle name="Currency 9 2 3 2" xfId="17745" xr:uid="{00000000-0005-0000-0000-0000A9400000}"/>
    <cellStyle name="Currency 9 2 3 2 2" xfId="17746" xr:uid="{00000000-0005-0000-0000-0000AA400000}"/>
    <cellStyle name="Currency 9 2 3 2 3" xfId="17747" xr:uid="{00000000-0005-0000-0000-0000AB400000}"/>
    <cellStyle name="Currency 9 2 3 3" xfId="17748" xr:uid="{00000000-0005-0000-0000-0000AC400000}"/>
    <cellStyle name="Currency 9 2 3 3 2" xfId="17749" xr:uid="{00000000-0005-0000-0000-0000AD400000}"/>
    <cellStyle name="Currency 9 2 3 3 3" xfId="17750" xr:uid="{00000000-0005-0000-0000-0000AE400000}"/>
    <cellStyle name="Currency 9 2 3 4" xfId="17751" xr:uid="{00000000-0005-0000-0000-0000AF400000}"/>
    <cellStyle name="Currency 9 2 3 5" xfId="17752" xr:uid="{00000000-0005-0000-0000-0000B0400000}"/>
    <cellStyle name="Currency 9 2 4" xfId="17753" xr:uid="{00000000-0005-0000-0000-0000B1400000}"/>
    <cellStyle name="Currency 9 2 4 2" xfId="17754" xr:uid="{00000000-0005-0000-0000-0000B2400000}"/>
    <cellStyle name="Currency 9 2 4 3" xfId="17755" xr:uid="{00000000-0005-0000-0000-0000B3400000}"/>
    <cellStyle name="Currency 9 2 5" xfId="17756" xr:uid="{00000000-0005-0000-0000-0000B4400000}"/>
    <cellStyle name="Currency 9 2 5 2" xfId="17757" xr:uid="{00000000-0005-0000-0000-0000B5400000}"/>
    <cellStyle name="Currency 9 2 5 3" xfId="17758" xr:uid="{00000000-0005-0000-0000-0000B6400000}"/>
    <cellStyle name="Currency 9 2 6" xfId="17759" xr:uid="{00000000-0005-0000-0000-0000B7400000}"/>
    <cellStyle name="Currency 9 2 7" xfId="17760" xr:uid="{00000000-0005-0000-0000-0000B8400000}"/>
    <cellStyle name="Currency 9 2 8" xfId="45013" xr:uid="{00000000-0005-0000-0000-0000B9400000}"/>
    <cellStyle name="Currency 9 3" xfId="1054" xr:uid="{00000000-0005-0000-0000-0000BA400000}"/>
    <cellStyle name="Currency 9 3 2" xfId="17761" xr:uid="{00000000-0005-0000-0000-0000BB400000}"/>
    <cellStyle name="Currency 9 3 2 2" xfId="17762" xr:uid="{00000000-0005-0000-0000-0000BC400000}"/>
    <cellStyle name="Currency 9 3 2 2 2" xfId="17763" xr:uid="{00000000-0005-0000-0000-0000BD400000}"/>
    <cellStyle name="Currency 9 3 2 2 3" xfId="17764" xr:uid="{00000000-0005-0000-0000-0000BE400000}"/>
    <cellStyle name="Currency 9 3 2 3" xfId="17765" xr:uid="{00000000-0005-0000-0000-0000BF400000}"/>
    <cellStyle name="Currency 9 3 2 3 2" xfId="17766" xr:uid="{00000000-0005-0000-0000-0000C0400000}"/>
    <cellStyle name="Currency 9 3 2 3 3" xfId="17767" xr:uid="{00000000-0005-0000-0000-0000C1400000}"/>
    <cellStyle name="Currency 9 3 2 4" xfId="17768" xr:uid="{00000000-0005-0000-0000-0000C2400000}"/>
    <cellStyle name="Currency 9 3 2 5" xfId="17769" xr:uid="{00000000-0005-0000-0000-0000C3400000}"/>
    <cellStyle name="Currency 9 3 2 6" xfId="17770" xr:uid="{00000000-0005-0000-0000-0000C4400000}"/>
    <cellStyle name="Currency 9 3 2 7" xfId="44046" xr:uid="{00000000-0005-0000-0000-0000C5400000}"/>
    <cellStyle name="Currency 9 3 3" xfId="17771" xr:uid="{00000000-0005-0000-0000-0000C6400000}"/>
    <cellStyle name="Currency 9 3 3 2" xfId="17772" xr:uid="{00000000-0005-0000-0000-0000C7400000}"/>
    <cellStyle name="Currency 9 3 3 3" xfId="17773" xr:uid="{00000000-0005-0000-0000-0000C8400000}"/>
    <cellStyle name="Currency 9 3 4" xfId="17774" xr:uid="{00000000-0005-0000-0000-0000C9400000}"/>
    <cellStyle name="Currency 9 3 4 2" xfId="17775" xr:uid="{00000000-0005-0000-0000-0000CA400000}"/>
    <cellStyle name="Currency 9 3 4 3" xfId="17776" xr:uid="{00000000-0005-0000-0000-0000CB400000}"/>
    <cellStyle name="Currency 9 3 5" xfId="17777" xr:uid="{00000000-0005-0000-0000-0000CC400000}"/>
    <cellStyle name="Currency 9 3 6" xfId="17778" xr:uid="{00000000-0005-0000-0000-0000CD400000}"/>
    <cellStyle name="Currency 9 4" xfId="17779" xr:uid="{00000000-0005-0000-0000-0000CE400000}"/>
    <cellStyle name="Currency 9 4 2" xfId="17780" xr:uid="{00000000-0005-0000-0000-0000CF400000}"/>
    <cellStyle name="Currency 9 4 2 2" xfId="17781" xr:uid="{00000000-0005-0000-0000-0000D0400000}"/>
    <cellStyle name="Currency 9 4 2 3" xfId="17782" xr:uid="{00000000-0005-0000-0000-0000D1400000}"/>
    <cellStyle name="Currency 9 4 3" xfId="17783" xr:uid="{00000000-0005-0000-0000-0000D2400000}"/>
    <cellStyle name="Currency 9 4 3 2" xfId="17784" xr:uid="{00000000-0005-0000-0000-0000D3400000}"/>
    <cellStyle name="Currency 9 4 3 3" xfId="17785" xr:uid="{00000000-0005-0000-0000-0000D4400000}"/>
    <cellStyle name="Currency 9 4 4" xfId="17786" xr:uid="{00000000-0005-0000-0000-0000D5400000}"/>
    <cellStyle name="Currency 9 4 5" xfId="17787" xr:uid="{00000000-0005-0000-0000-0000D6400000}"/>
    <cellStyle name="Currency 9 5" xfId="17788" xr:uid="{00000000-0005-0000-0000-0000D7400000}"/>
    <cellStyle name="Currency 9 5 2" xfId="17789" xr:uid="{00000000-0005-0000-0000-0000D8400000}"/>
    <cellStyle name="Currency 9 5 3" xfId="17790" xr:uid="{00000000-0005-0000-0000-0000D9400000}"/>
    <cellStyle name="Currency 9 6" xfId="17791" xr:uid="{00000000-0005-0000-0000-0000DA400000}"/>
    <cellStyle name="Currency 9 6 2" xfId="17792" xr:uid="{00000000-0005-0000-0000-0000DB400000}"/>
    <cellStyle name="Currency 9 6 3" xfId="17793" xr:uid="{00000000-0005-0000-0000-0000DC400000}"/>
    <cellStyle name="Currency 9 7" xfId="17794" xr:uid="{00000000-0005-0000-0000-0000DD400000}"/>
    <cellStyle name="Currency 9 8" xfId="17795" xr:uid="{00000000-0005-0000-0000-0000DE400000}"/>
    <cellStyle name="Currency0" xfId="30" xr:uid="{00000000-0005-0000-0000-0000DF400000}"/>
    <cellStyle name="Custom - Style1" xfId="1055" xr:uid="{00000000-0005-0000-0000-0000E0400000}"/>
    <cellStyle name="Custom - Style8" xfId="1056" xr:uid="{00000000-0005-0000-0000-0000E1400000}"/>
    <cellStyle name="Data   - Style2" xfId="1057" xr:uid="{00000000-0005-0000-0000-0000E2400000}"/>
    <cellStyle name="Data   - Style2 10" xfId="17796" xr:uid="{00000000-0005-0000-0000-0000E3400000}"/>
    <cellStyle name="Data   - Style2 10 2" xfId="17797" xr:uid="{00000000-0005-0000-0000-0000E4400000}"/>
    <cellStyle name="Data   - Style2 10 2 2" xfId="17798" xr:uid="{00000000-0005-0000-0000-0000E5400000}"/>
    <cellStyle name="Data   - Style2 10 2 3" xfId="17799" xr:uid="{00000000-0005-0000-0000-0000E6400000}"/>
    <cellStyle name="Data   - Style2 10 3" xfId="17800" xr:uid="{00000000-0005-0000-0000-0000E7400000}"/>
    <cellStyle name="Data   - Style2 10 3 2" xfId="17801" xr:uid="{00000000-0005-0000-0000-0000E8400000}"/>
    <cellStyle name="Data   - Style2 10 3 3" xfId="17802" xr:uid="{00000000-0005-0000-0000-0000E9400000}"/>
    <cellStyle name="Data   - Style2 10 4" xfId="17803" xr:uid="{00000000-0005-0000-0000-0000EA400000}"/>
    <cellStyle name="Data   - Style2 10 4 2" xfId="17804" xr:uid="{00000000-0005-0000-0000-0000EB400000}"/>
    <cellStyle name="Data   - Style2 10 4 3" xfId="17805" xr:uid="{00000000-0005-0000-0000-0000EC400000}"/>
    <cellStyle name="Data   - Style2 10 5" xfId="17806" xr:uid="{00000000-0005-0000-0000-0000ED400000}"/>
    <cellStyle name="Data   - Style2 10 5 2" xfId="17807" xr:uid="{00000000-0005-0000-0000-0000EE400000}"/>
    <cellStyle name="Data   - Style2 10 5 3" xfId="17808" xr:uid="{00000000-0005-0000-0000-0000EF400000}"/>
    <cellStyle name="Data   - Style2 10 6" xfId="17809" xr:uid="{00000000-0005-0000-0000-0000F0400000}"/>
    <cellStyle name="Data   - Style2 10 6 2" xfId="17810" xr:uid="{00000000-0005-0000-0000-0000F1400000}"/>
    <cellStyle name="Data   - Style2 10 6 3" xfId="17811" xr:uid="{00000000-0005-0000-0000-0000F2400000}"/>
    <cellStyle name="Data   - Style2 10 7" xfId="17812" xr:uid="{00000000-0005-0000-0000-0000F3400000}"/>
    <cellStyle name="Data   - Style2 10 7 2" xfId="17813" xr:uid="{00000000-0005-0000-0000-0000F4400000}"/>
    <cellStyle name="Data   - Style2 10 7 3" xfId="17814" xr:uid="{00000000-0005-0000-0000-0000F5400000}"/>
    <cellStyle name="Data   - Style2 10 8" xfId="17815" xr:uid="{00000000-0005-0000-0000-0000F6400000}"/>
    <cellStyle name="Data   - Style2 10 9" xfId="17816" xr:uid="{00000000-0005-0000-0000-0000F7400000}"/>
    <cellStyle name="Data   - Style2 11" xfId="17817" xr:uid="{00000000-0005-0000-0000-0000F8400000}"/>
    <cellStyle name="Data   - Style2 11 2" xfId="17818" xr:uid="{00000000-0005-0000-0000-0000F9400000}"/>
    <cellStyle name="Data   - Style2 12" xfId="17819" xr:uid="{00000000-0005-0000-0000-0000FA400000}"/>
    <cellStyle name="Data   - Style2 12 2" xfId="17820" xr:uid="{00000000-0005-0000-0000-0000FB400000}"/>
    <cellStyle name="Data   - Style2 12 3" xfId="17821" xr:uid="{00000000-0005-0000-0000-0000FC400000}"/>
    <cellStyle name="Data   - Style2 13" xfId="44047" xr:uid="{00000000-0005-0000-0000-0000FD400000}"/>
    <cellStyle name="Data   - Style2 2" xfId="17822" xr:uid="{00000000-0005-0000-0000-0000FE400000}"/>
    <cellStyle name="Data   - Style2 2 2" xfId="17823" xr:uid="{00000000-0005-0000-0000-0000FF400000}"/>
    <cellStyle name="Data   - Style2 2 2 10" xfId="17824" xr:uid="{00000000-0005-0000-0000-000000410000}"/>
    <cellStyle name="Data   - Style2 2 2 2" xfId="17825" xr:uid="{00000000-0005-0000-0000-000001410000}"/>
    <cellStyle name="Data   - Style2 2 2 2 2" xfId="17826" xr:uid="{00000000-0005-0000-0000-000002410000}"/>
    <cellStyle name="Data   - Style2 2 2 2 2 2" xfId="17827" xr:uid="{00000000-0005-0000-0000-000003410000}"/>
    <cellStyle name="Data   - Style2 2 2 2 2 3" xfId="17828" xr:uid="{00000000-0005-0000-0000-000004410000}"/>
    <cellStyle name="Data   - Style2 2 2 2 3" xfId="17829" xr:uid="{00000000-0005-0000-0000-000005410000}"/>
    <cellStyle name="Data   - Style2 2 2 2 3 2" xfId="17830" xr:uid="{00000000-0005-0000-0000-000006410000}"/>
    <cellStyle name="Data   - Style2 2 2 2 3 3" xfId="17831" xr:uid="{00000000-0005-0000-0000-000007410000}"/>
    <cellStyle name="Data   - Style2 2 2 2 4" xfId="17832" xr:uid="{00000000-0005-0000-0000-000008410000}"/>
    <cellStyle name="Data   - Style2 2 2 2 4 2" xfId="17833" xr:uid="{00000000-0005-0000-0000-000009410000}"/>
    <cellStyle name="Data   - Style2 2 2 2 4 3" xfId="17834" xr:uid="{00000000-0005-0000-0000-00000A410000}"/>
    <cellStyle name="Data   - Style2 2 2 2 5" xfId="17835" xr:uid="{00000000-0005-0000-0000-00000B410000}"/>
    <cellStyle name="Data   - Style2 2 2 2 5 2" xfId="17836" xr:uid="{00000000-0005-0000-0000-00000C410000}"/>
    <cellStyle name="Data   - Style2 2 2 2 5 3" xfId="17837" xr:uid="{00000000-0005-0000-0000-00000D410000}"/>
    <cellStyle name="Data   - Style2 2 2 2 6" xfId="17838" xr:uid="{00000000-0005-0000-0000-00000E410000}"/>
    <cellStyle name="Data   - Style2 2 2 2 6 2" xfId="17839" xr:uid="{00000000-0005-0000-0000-00000F410000}"/>
    <cellStyle name="Data   - Style2 2 2 2 6 3" xfId="17840" xr:uid="{00000000-0005-0000-0000-000010410000}"/>
    <cellStyle name="Data   - Style2 2 2 2 7" xfId="17841" xr:uid="{00000000-0005-0000-0000-000011410000}"/>
    <cellStyle name="Data   - Style2 2 2 2 7 2" xfId="17842" xr:uid="{00000000-0005-0000-0000-000012410000}"/>
    <cellStyle name="Data   - Style2 2 2 2 7 3" xfId="17843" xr:uid="{00000000-0005-0000-0000-000013410000}"/>
    <cellStyle name="Data   - Style2 2 2 2 8" xfId="17844" xr:uid="{00000000-0005-0000-0000-000014410000}"/>
    <cellStyle name="Data   - Style2 2 2 2 9" xfId="17845" xr:uid="{00000000-0005-0000-0000-000015410000}"/>
    <cellStyle name="Data   - Style2 2 2 3" xfId="17846" xr:uid="{00000000-0005-0000-0000-000016410000}"/>
    <cellStyle name="Data   - Style2 2 2 3 2" xfId="17847" xr:uid="{00000000-0005-0000-0000-000017410000}"/>
    <cellStyle name="Data   - Style2 2 2 3 3" xfId="17848" xr:uid="{00000000-0005-0000-0000-000018410000}"/>
    <cellStyle name="Data   - Style2 2 2 4" xfId="17849" xr:uid="{00000000-0005-0000-0000-000019410000}"/>
    <cellStyle name="Data   - Style2 2 2 4 2" xfId="17850" xr:uid="{00000000-0005-0000-0000-00001A410000}"/>
    <cellStyle name="Data   - Style2 2 2 4 3" xfId="17851" xr:uid="{00000000-0005-0000-0000-00001B410000}"/>
    <cellStyle name="Data   - Style2 2 2 5" xfId="17852" xr:uid="{00000000-0005-0000-0000-00001C410000}"/>
    <cellStyle name="Data   - Style2 2 2 5 2" xfId="17853" xr:uid="{00000000-0005-0000-0000-00001D410000}"/>
    <cellStyle name="Data   - Style2 2 2 5 3" xfId="17854" xr:uid="{00000000-0005-0000-0000-00001E410000}"/>
    <cellStyle name="Data   - Style2 2 2 6" xfId="17855" xr:uid="{00000000-0005-0000-0000-00001F410000}"/>
    <cellStyle name="Data   - Style2 2 2 6 2" xfId="17856" xr:uid="{00000000-0005-0000-0000-000020410000}"/>
    <cellStyle name="Data   - Style2 2 2 6 3" xfId="17857" xr:uid="{00000000-0005-0000-0000-000021410000}"/>
    <cellStyle name="Data   - Style2 2 2 7" xfId="17858" xr:uid="{00000000-0005-0000-0000-000022410000}"/>
    <cellStyle name="Data   - Style2 2 2 7 2" xfId="17859" xr:uid="{00000000-0005-0000-0000-000023410000}"/>
    <cellStyle name="Data   - Style2 2 2 7 3" xfId="17860" xr:uid="{00000000-0005-0000-0000-000024410000}"/>
    <cellStyle name="Data   - Style2 2 2 8" xfId="17861" xr:uid="{00000000-0005-0000-0000-000025410000}"/>
    <cellStyle name="Data   - Style2 2 2 8 2" xfId="17862" xr:uid="{00000000-0005-0000-0000-000026410000}"/>
    <cellStyle name="Data   - Style2 2 2 8 3" xfId="17863" xr:uid="{00000000-0005-0000-0000-000027410000}"/>
    <cellStyle name="Data   - Style2 2 2 9" xfId="17864" xr:uid="{00000000-0005-0000-0000-000028410000}"/>
    <cellStyle name="Data   - Style2 2 3" xfId="17865" xr:uid="{00000000-0005-0000-0000-000029410000}"/>
    <cellStyle name="Data   - Style2 2 3 10" xfId="17866" xr:uid="{00000000-0005-0000-0000-00002A410000}"/>
    <cellStyle name="Data   - Style2 2 3 2" xfId="17867" xr:uid="{00000000-0005-0000-0000-00002B410000}"/>
    <cellStyle name="Data   - Style2 2 3 2 2" xfId="17868" xr:uid="{00000000-0005-0000-0000-00002C410000}"/>
    <cellStyle name="Data   - Style2 2 3 2 2 2" xfId="17869" xr:uid="{00000000-0005-0000-0000-00002D410000}"/>
    <cellStyle name="Data   - Style2 2 3 2 2 3" xfId="17870" xr:uid="{00000000-0005-0000-0000-00002E410000}"/>
    <cellStyle name="Data   - Style2 2 3 2 3" xfId="17871" xr:uid="{00000000-0005-0000-0000-00002F410000}"/>
    <cellStyle name="Data   - Style2 2 3 2 3 2" xfId="17872" xr:uid="{00000000-0005-0000-0000-000030410000}"/>
    <cellStyle name="Data   - Style2 2 3 2 3 3" xfId="17873" xr:uid="{00000000-0005-0000-0000-000031410000}"/>
    <cellStyle name="Data   - Style2 2 3 2 4" xfId="17874" xr:uid="{00000000-0005-0000-0000-000032410000}"/>
    <cellStyle name="Data   - Style2 2 3 2 4 2" xfId="17875" xr:uid="{00000000-0005-0000-0000-000033410000}"/>
    <cellStyle name="Data   - Style2 2 3 2 4 3" xfId="17876" xr:uid="{00000000-0005-0000-0000-000034410000}"/>
    <cellStyle name="Data   - Style2 2 3 2 5" xfId="17877" xr:uid="{00000000-0005-0000-0000-000035410000}"/>
    <cellStyle name="Data   - Style2 2 3 2 5 2" xfId="17878" xr:uid="{00000000-0005-0000-0000-000036410000}"/>
    <cellStyle name="Data   - Style2 2 3 2 5 3" xfId="17879" xr:uid="{00000000-0005-0000-0000-000037410000}"/>
    <cellStyle name="Data   - Style2 2 3 2 6" xfId="17880" xr:uid="{00000000-0005-0000-0000-000038410000}"/>
    <cellStyle name="Data   - Style2 2 3 2 6 2" xfId="17881" xr:uid="{00000000-0005-0000-0000-000039410000}"/>
    <cellStyle name="Data   - Style2 2 3 2 6 3" xfId="17882" xr:uid="{00000000-0005-0000-0000-00003A410000}"/>
    <cellStyle name="Data   - Style2 2 3 2 7" xfId="17883" xr:uid="{00000000-0005-0000-0000-00003B410000}"/>
    <cellStyle name="Data   - Style2 2 3 2 7 2" xfId="17884" xr:uid="{00000000-0005-0000-0000-00003C410000}"/>
    <cellStyle name="Data   - Style2 2 3 2 7 3" xfId="17885" xr:uid="{00000000-0005-0000-0000-00003D410000}"/>
    <cellStyle name="Data   - Style2 2 3 2 8" xfId="17886" xr:uid="{00000000-0005-0000-0000-00003E410000}"/>
    <cellStyle name="Data   - Style2 2 3 2 9" xfId="17887" xr:uid="{00000000-0005-0000-0000-00003F410000}"/>
    <cellStyle name="Data   - Style2 2 3 3" xfId="17888" xr:uid="{00000000-0005-0000-0000-000040410000}"/>
    <cellStyle name="Data   - Style2 2 3 3 2" xfId="17889" xr:uid="{00000000-0005-0000-0000-000041410000}"/>
    <cellStyle name="Data   - Style2 2 3 3 3" xfId="17890" xr:uid="{00000000-0005-0000-0000-000042410000}"/>
    <cellStyle name="Data   - Style2 2 3 4" xfId="17891" xr:uid="{00000000-0005-0000-0000-000043410000}"/>
    <cellStyle name="Data   - Style2 2 3 4 2" xfId="17892" xr:uid="{00000000-0005-0000-0000-000044410000}"/>
    <cellStyle name="Data   - Style2 2 3 4 3" xfId="17893" xr:uid="{00000000-0005-0000-0000-000045410000}"/>
    <cellStyle name="Data   - Style2 2 3 5" xfId="17894" xr:uid="{00000000-0005-0000-0000-000046410000}"/>
    <cellStyle name="Data   - Style2 2 3 5 2" xfId="17895" xr:uid="{00000000-0005-0000-0000-000047410000}"/>
    <cellStyle name="Data   - Style2 2 3 5 3" xfId="17896" xr:uid="{00000000-0005-0000-0000-000048410000}"/>
    <cellStyle name="Data   - Style2 2 3 6" xfId="17897" xr:uid="{00000000-0005-0000-0000-000049410000}"/>
    <cellStyle name="Data   - Style2 2 3 6 2" xfId="17898" xr:uid="{00000000-0005-0000-0000-00004A410000}"/>
    <cellStyle name="Data   - Style2 2 3 6 3" xfId="17899" xr:uid="{00000000-0005-0000-0000-00004B410000}"/>
    <cellStyle name="Data   - Style2 2 3 7" xfId="17900" xr:uid="{00000000-0005-0000-0000-00004C410000}"/>
    <cellStyle name="Data   - Style2 2 3 7 2" xfId="17901" xr:uid="{00000000-0005-0000-0000-00004D410000}"/>
    <cellStyle name="Data   - Style2 2 3 7 3" xfId="17902" xr:uid="{00000000-0005-0000-0000-00004E410000}"/>
    <cellStyle name="Data   - Style2 2 3 8" xfId="17903" xr:uid="{00000000-0005-0000-0000-00004F410000}"/>
    <cellStyle name="Data   - Style2 2 3 8 2" xfId="17904" xr:uid="{00000000-0005-0000-0000-000050410000}"/>
    <cellStyle name="Data   - Style2 2 3 8 3" xfId="17905" xr:uid="{00000000-0005-0000-0000-000051410000}"/>
    <cellStyle name="Data   - Style2 2 3 9" xfId="17906" xr:uid="{00000000-0005-0000-0000-000052410000}"/>
    <cellStyle name="Data   - Style2 2 4" xfId="17907" xr:uid="{00000000-0005-0000-0000-000053410000}"/>
    <cellStyle name="Data   - Style2 2 4 10" xfId="17908" xr:uid="{00000000-0005-0000-0000-000054410000}"/>
    <cellStyle name="Data   - Style2 2 4 2" xfId="17909" xr:uid="{00000000-0005-0000-0000-000055410000}"/>
    <cellStyle name="Data   - Style2 2 4 2 2" xfId="17910" xr:uid="{00000000-0005-0000-0000-000056410000}"/>
    <cellStyle name="Data   - Style2 2 4 2 2 2" xfId="17911" xr:uid="{00000000-0005-0000-0000-000057410000}"/>
    <cellStyle name="Data   - Style2 2 4 2 2 3" xfId="17912" xr:uid="{00000000-0005-0000-0000-000058410000}"/>
    <cellStyle name="Data   - Style2 2 4 2 3" xfId="17913" xr:uid="{00000000-0005-0000-0000-000059410000}"/>
    <cellStyle name="Data   - Style2 2 4 2 3 2" xfId="17914" xr:uid="{00000000-0005-0000-0000-00005A410000}"/>
    <cellStyle name="Data   - Style2 2 4 2 3 3" xfId="17915" xr:uid="{00000000-0005-0000-0000-00005B410000}"/>
    <cellStyle name="Data   - Style2 2 4 2 4" xfId="17916" xr:uid="{00000000-0005-0000-0000-00005C410000}"/>
    <cellStyle name="Data   - Style2 2 4 2 4 2" xfId="17917" xr:uid="{00000000-0005-0000-0000-00005D410000}"/>
    <cellStyle name="Data   - Style2 2 4 2 4 3" xfId="17918" xr:uid="{00000000-0005-0000-0000-00005E410000}"/>
    <cellStyle name="Data   - Style2 2 4 2 5" xfId="17919" xr:uid="{00000000-0005-0000-0000-00005F410000}"/>
    <cellStyle name="Data   - Style2 2 4 2 5 2" xfId="17920" xr:uid="{00000000-0005-0000-0000-000060410000}"/>
    <cellStyle name="Data   - Style2 2 4 2 5 3" xfId="17921" xr:uid="{00000000-0005-0000-0000-000061410000}"/>
    <cellStyle name="Data   - Style2 2 4 2 6" xfId="17922" xr:uid="{00000000-0005-0000-0000-000062410000}"/>
    <cellStyle name="Data   - Style2 2 4 2 6 2" xfId="17923" xr:uid="{00000000-0005-0000-0000-000063410000}"/>
    <cellStyle name="Data   - Style2 2 4 2 6 3" xfId="17924" xr:uid="{00000000-0005-0000-0000-000064410000}"/>
    <cellStyle name="Data   - Style2 2 4 2 7" xfId="17925" xr:uid="{00000000-0005-0000-0000-000065410000}"/>
    <cellStyle name="Data   - Style2 2 4 2 7 2" xfId="17926" xr:uid="{00000000-0005-0000-0000-000066410000}"/>
    <cellStyle name="Data   - Style2 2 4 2 7 3" xfId="17927" xr:uid="{00000000-0005-0000-0000-000067410000}"/>
    <cellStyle name="Data   - Style2 2 4 2 8" xfId="17928" xr:uid="{00000000-0005-0000-0000-000068410000}"/>
    <cellStyle name="Data   - Style2 2 4 2 9" xfId="17929" xr:uid="{00000000-0005-0000-0000-000069410000}"/>
    <cellStyle name="Data   - Style2 2 4 3" xfId="17930" xr:uid="{00000000-0005-0000-0000-00006A410000}"/>
    <cellStyle name="Data   - Style2 2 4 3 2" xfId="17931" xr:uid="{00000000-0005-0000-0000-00006B410000}"/>
    <cellStyle name="Data   - Style2 2 4 3 3" xfId="17932" xr:uid="{00000000-0005-0000-0000-00006C410000}"/>
    <cellStyle name="Data   - Style2 2 4 4" xfId="17933" xr:uid="{00000000-0005-0000-0000-00006D410000}"/>
    <cellStyle name="Data   - Style2 2 4 4 2" xfId="17934" xr:uid="{00000000-0005-0000-0000-00006E410000}"/>
    <cellStyle name="Data   - Style2 2 4 4 3" xfId="17935" xr:uid="{00000000-0005-0000-0000-00006F410000}"/>
    <cellStyle name="Data   - Style2 2 4 5" xfId="17936" xr:uid="{00000000-0005-0000-0000-000070410000}"/>
    <cellStyle name="Data   - Style2 2 4 5 2" xfId="17937" xr:uid="{00000000-0005-0000-0000-000071410000}"/>
    <cellStyle name="Data   - Style2 2 4 5 3" xfId="17938" xr:uid="{00000000-0005-0000-0000-000072410000}"/>
    <cellStyle name="Data   - Style2 2 4 6" xfId="17939" xr:uid="{00000000-0005-0000-0000-000073410000}"/>
    <cellStyle name="Data   - Style2 2 4 6 2" xfId="17940" xr:uid="{00000000-0005-0000-0000-000074410000}"/>
    <cellStyle name="Data   - Style2 2 4 6 3" xfId="17941" xr:uid="{00000000-0005-0000-0000-000075410000}"/>
    <cellStyle name="Data   - Style2 2 4 7" xfId="17942" xr:uid="{00000000-0005-0000-0000-000076410000}"/>
    <cellStyle name="Data   - Style2 2 4 7 2" xfId="17943" xr:uid="{00000000-0005-0000-0000-000077410000}"/>
    <cellStyle name="Data   - Style2 2 4 7 3" xfId="17944" xr:uid="{00000000-0005-0000-0000-000078410000}"/>
    <cellStyle name="Data   - Style2 2 4 8" xfId="17945" xr:uid="{00000000-0005-0000-0000-000079410000}"/>
    <cellStyle name="Data   - Style2 2 4 8 2" xfId="17946" xr:uid="{00000000-0005-0000-0000-00007A410000}"/>
    <cellStyle name="Data   - Style2 2 4 8 3" xfId="17947" xr:uid="{00000000-0005-0000-0000-00007B410000}"/>
    <cellStyle name="Data   - Style2 2 4 9" xfId="17948" xr:uid="{00000000-0005-0000-0000-00007C410000}"/>
    <cellStyle name="Data   - Style2 2 5" xfId="17949" xr:uid="{00000000-0005-0000-0000-00007D410000}"/>
    <cellStyle name="Data   - Style2 2 5 10" xfId="17950" xr:uid="{00000000-0005-0000-0000-00007E410000}"/>
    <cellStyle name="Data   - Style2 2 5 2" xfId="17951" xr:uid="{00000000-0005-0000-0000-00007F410000}"/>
    <cellStyle name="Data   - Style2 2 5 2 2" xfId="17952" xr:uid="{00000000-0005-0000-0000-000080410000}"/>
    <cellStyle name="Data   - Style2 2 5 2 2 2" xfId="17953" xr:uid="{00000000-0005-0000-0000-000081410000}"/>
    <cellStyle name="Data   - Style2 2 5 2 2 3" xfId="17954" xr:uid="{00000000-0005-0000-0000-000082410000}"/>
    <cellStyle name="Data   - Style2 2 5 2 3" xfId="17955" xr:uid="{00000000-0005-0000-0000-000083410000}"/>
    <cellStyle name="Data   - Style2 2 5 2 3 2" xfId="17956" xr:uid="{00000000-0005-0000-0000-000084410000}"/>
    <cellStyle name="Data   - Style2 2 5 2 3 3" xfId="17957" xr:uid="{00000000-0005-0000-0000-000085410000}"/>
    <cellStyle name="Data   - Style2 2 5 2 4" xfId="17958" xr:uid="{00000000-0005-0000-0000-000086410000}"/>
    <cellStyle name="Data   - Style2 2 5 2 4 2" xfId="17959" xr:uid="{00000000-0005-0000-0000-000087410000}"/>
    <cellStyle name="Data   - Style2 2 5 2 4 3" xfId="17960" xr:uid="{00000000-0005-0000-0000-000088410000}"/>
    <cellStyle name="Data   - Style2 2 5 2 5" xfId="17961" xr:uid="{00000000-0005-0000-0000-000089410000}"/>
    <cellStyle name="Data   - Style2 2 5 2 5 2" xfId="17962" xr:uid="{00000000-0005-0000-0000-00008A410000}"/>
    <cellStyle name="Data   - Style2 2 5 2 5 3" xfId="17963" xr:uid="{00000000-0005-0000-0000-00008B410000}"/>
    <cellStyle name="Data   - Style2 2 5 2 6" xfId="17964" xr:uid="{00000000-0005-0000-0000-00008C410000}"/>
    <cellStyle name="Data   - Style2 2 5 2 6 2" xfId="17965" xr:uid="{00000000-0005-0000-0000-00008D410000}"/>
    <cellStyle name="Data   - Style2 2 5 2 6 3" xfId="17966" xr:uid="{00000000-0005-0000-0000-00008E410000}"/>
    <cellStyle name="Data   - Style2 2 5 2 7" xfId="17967" xr:uid="{00000000-0005-0000-0000-00008F410000}"/>
    <cellStyle name="Data   - Style2 2 5 2 7 2" xfId="17968" xr:uid="{00000000-0005-0000-0000-000090410000}"/>
    <cellStyle name="Data   - Style2 2 5 2 7 3" xfId="17969" xr:uid="{00000000-0005-0000-0000-000091410000}"/>
    <cellStyle name="Data   - Style2 2 5 2 8" xfId="17970" xr:uid="{00000000-0005-0000-0000-000092410000}"/>
    <cellStyle name="Data   - Style2 2 5 2 9" xfId="17971" xr:uid="{00000000-0005-0000-0000-000093410000}"/>
    <cellStyle name="Data   - Style2 2 5 3" xfId="17972" xr:uid="{00000000-0005-0000-0000-000094410000}"/>
    <cellStyle name="Data   - Style2 2 5 3 2" xfId="17973" xr:uid="{00000000-0005-0000-0000-000095410000}"/>
    <cellStyle name="Data   - Style2 2 5 3 3" xfId="17974" xr:uid="{00000000-0005-0000-0000-000096410000}"/>
    <cellStyle name="Data   - Style2 2 5 4" xfId="17975" xr:uid="{00000000-0005-0000-0000-000097410000}"/>
    <cellStyle name="Data   - Style2 2 5 4 2" xfId="17976" xr:uid="{00000000-0005-0000-0000-000098410000}"/>
    <cellStyle name="Data   - Style2 2 5 4 3" xfId="17977" xr:uid="{00000000-0005-0000-0000-000099410000}"/>
    <cellStyle name="Data   - Style2 2 5 5" xfId="17978" xr:uid="{00000000-0005-0000-0000-00009A410000}"/>
    <cellStyle name="Data   - Style2 2 5 5 2" xfId="17979" xr:uid="{00000000-0005-0000-0000-00009B410000}"/>
    <cellStyle name="Data   - Style2 2 5 5 3" xfId="17980" xr:uid="{00000000-0005-0000-0000-00009C410000}"/>
    <cellStyle name="Data   - Style2 2 5 6" xfId="17981" xr:uid="{00000000-0005-0000-0000-00009D410000}"/>
    <cellStyle name="Data   - Style2 2 5 6 2" xfId="17982" xr:uid="{00000000-0005-0000-0000-00009E410000}"/>
    <cellStyle name="Data   - Style2 2 5 6 3" xfId="17983" xr:uid="{00000000-0005-0000-0000-00009F410000}"/>
    <cellStyle name="Data   - Style2 2 5 7" xfId="17984" xr:uid="{00000000-0005-0000-0000-0000A0410000}"/>
    <cellStyle name="Data   - Style2 2 5 7 2" xfId="17985" xr:uid="{00000000-0005-0000-0000-0000A1410000}"/>
    <cellStyle name="Data   - Style2 2 5 7 3" xfId="17986" xr:uid="{00000000-0005-0000-0000-0000A2410000}"/>
    <cellStyle name="Data   - Style2 2 5 8" xfId="17987" xr:uid="{00000000-0005-0000-0000-0000A3410000}"/>
    <cellStyle name="Data   - Style2 2 5 8 2" xfId="17988" xr:uid="{00000000-0005-0000-0000-0000A4410000}"/>
    <cellStyle name="Data   - Style2 2 5 8 3" xfId="17989" xr:uid="{00000000-0005-0000-0000-0000A5410000}"/>
    <cellStyle name="Data   - Style2 2 5 9" xfId="17990" xr:uid="{00000000-0005-0000-0000-0000A6410000}"/>
    <cellStyle name="Data   - Style2 2 6" xfId="17991" xr:uid="{00000000-0005-0000-0000-0000A7410000}"/>
    <cellStyle name="Data   - Style2 2 6 2" xfId="17992" xr:uid="{00000000-0005-0000-0000-0000A8410000}"/>
    <cellStyle name="Data   - Style2 2 6 2 2" xfId="17993" xr:uid="{00000000-0005-0000-0000-0000A9410000}"/>
    <cellStyle name="Data   - Style2 2 6 2 3" xfId="17994" xr:uid="{00000000-0005-0000-0000-0000AA410000}"/>
    <cellStyle name="Data   - Style2 2 6 3" xfId="17995" xr:uid="{00000000-0005-0000-0000-0000AB410000}"/>
    <cellStyle name="Data   - Style2 2 6 3 2" xfId="17996" xr:uid="{00000000-0005-0000-0000-0000AC410000}"/>
    <cellStyle name="Data   - Style2 2 6 3 3" xfId="17997" xr:uid="{00000000-0005-0000-0000-0000AD410000}"/>
    <cellStyle name="Data   - Style2 2 6 4" xfId="17998" xr:uid="{00000000-0005-0000-0000-0000AE410000}"/>
    <cellStyle name="Data   - Style2 2 6 4 2" xfId="17999" xr:uid="{00000000-0005-0000-0000-0000AF410000}"/>
    <cellStyle name="Data   - Style2 2 6 4 3" xfId="18000" xr:uid="{00000000-0005-0000-0000-0000B0410000}"/>
    <cellStyle name="Data   - Style2 2 6 5" xfId="18001" xr:uid="{00000000-0005-0000-0000-0000B1410000}"/>
    <cellStyle name="Data   - Style2 2 6 5 2" xfId="18002" xr:uid="{00000000-0005-0000-0000-0000B2410000}"/>
    <cellStyle name="Data   - Style2 2 6 5 3" xfId="18003" xr:uid="{00000000-0005-0000-0000-0000B3410000}"/>
    <cellStyle name="Data   - Style2 2 6 6" xfId="18004" xr:uid="{00000000-0005-0000-0000-0000B4410000}"/>
    <cellStyle name="Data   - Style2 2 6 6 2" xfId="18005" xr:uid="{00000000-0005-0000-0000-0000B5410000}"/>
    <cellStyle name="Data   - Style2 2 6 6 3" xfId="18006" xr:uid="{00000000-0005-0000-0000-0000B6410000}"/>
    <cellStyle name="Data   - Style2 2 6 7" xfId="18007" xr:uid="{00000000-0005-0000-0000-0000B7410000}"/>
    <cellStyle name="Data   - Style2 2 6 7 2" xfId="18008" xr:uid="{00000000-0005-0000-0000-0000B8410000}"/>
    <cellStyle name="Data   - Style2 2 6 7 3" xfId="18009" xr:uid="{00000000-0005-0000-0000-0000B9410000}"/>
    <cellStyle name="Data   - Style2 2 6 8" xfId="18010" xr:uid="{00000000-0005-0000-0000-0000BA410000}"/>
    <cellStyle name="Data   - Style2 2 6 9" xfId="18011" xr:uid="{00000000-0005-0000-0000-0000BB410000}"/>
    <cellStyle name="Data   - Style2 2 7" xfId="18012" xr:uid="{00000000-0005-0000-0000-0000BC410000}"/>
    <cellStyle name="Data   - Style2 2 7 2" xfId="18013" xr:uid="{00000000-0005-0000-0000-0000BD410000}"/>
    <cellStyle name="Data   - Style2 2 7 3" xfId="18014" xr:uid="{00000000-0005-0000-0000-0000BE410000}"/>
    <cellStyle name="Data   - Style2 2 8" xfId="18015" xr:uid="{00000000-0005-0000-0000-0000BF410000}"/>
    <cellStyle name="Data   - Style2 2 8 2" xfId="18016" xr:uid="{00000000-0005-0000-0000-0000C0410000}"/>
    <cellStyle name="Data   - Style2 2 8 3" xfId="18017" xr:uid="{00000000-0005-0000-0000-0000C1410000}"/>
    <cellStyle name="Data   - Style2 2 9" xfId="44048" xr:uid="{00000000-0005-0000-0000-0000C2410000}"/>
    <cellStyle name="Data   - Style2 3" xfId="18018" xr:uid="{00000000-0005-0000-0000-0000C3410000}"/>
    <cellStyle name="Data   - Style2 3 2" xfId="18019" xr:uid="{00000000-0005-0000-0000-0000C4410000}"/>
    <cellStyle name="Data   - Style2 3 2 10" xfId="18020" xr:uid="{00000000-0005-0000-0000-0000C5410000}"/>
    <cellStyle name="Data   - Style2 3 2 2" xfId="18021" xr:uid="{00000000-0005-0000-0000-0000C6410000}"/>
    <cellStyle name="Data   - Style2 3 2 2 2" xfId="18022" xr:uid="{00000000-0005-0000-0000-0000C7410000}"/>
    <cellStyle name="Data   - Style2 3 2 2 2 2" xfId="18023" xr:uid="{00000000-0005-0000-0000-0000C8410000}"/>
    <cellStyle name="Data   - Style2 3 2 2 2 3" xfId="18024" xr:uid="{00000000-0005-0000-0000-0000C9410000}"/>
    <cellStyle name="Data   - Style2 3 2 2 3" xfId="18025" xr:uid="{00000000-0005-0000-0000-0000CA410000}"/>
    <cellStyle name="Data   - Style2 3 2 2 3 2" xfId="18026" xr:uid="{00000000-0005-0000-0000-0000CB410000}"/>
    <cellStyle name="Data   - Style2 3 2 2 3 3" xfId="18027" xr:uid="{00000000-0005-0000-0000-0000CC410000}"/>
    <cellStyle name="Data   - Style2 3 2 2 4" xfId="18028" xr:uid="{00000000-0005-0000-0000-0000CD410000}"/>
    <cellStyle name="Data   - Style2 3 2 2 4 2" xfId="18029" xr:uid="{00000000-0005-0000-0000-0000CE410000}"/>
    <cellStyle name="Data   - Style2 3 2 2 4 3" xfId="18030" xr:uid="{00000000-0005-0000-0000-0000CF410000}"/>
    <cellStyle name="Data   - Style2 3 2 2 5" xfId="18031" xr:uid="{00000000-0005-0000-0000-0000D0410000}"/>
    <cellStyle name="Data   - Style2 3 2 2 5 2" xfId="18032" xr:uid="{00000000-0005-0000-0000-0000D1410000}"/>
    <cellStyle name="Data   - Style2 3 2 2 5 3" xfId="18033" xr:uid="{00000000-0005-0000-0000-0000D2410000}"/>
    <cellStyle name="Data   - Style2 3 2 2 6" xfId="18034" xr:uid="{00000000-0005-0000-0000-0000D3410000}"/>
    <cellStyle name="Data   - Style2 3 2 2 6 2" xfId="18035" xr:uid="{00000000-0005-0000-0000-0000D4410000}"/>
    <cellStyle name="Data   - Style2 3 2 2 6 3" xfId="18036" xr:uid="{00000000-0005-0000-0000-0000D5410000}"/>
    <cellStyle name="Data   - Style2 3 2 2 7" xfId="18037" xr:uid="{00000000-0005-0000-0000-0000D6410000}"/>
    <cellStyle name="Data   - Style2 3 2 2 7 2" xfId="18038" xr:uid="{00000000-0005-0000-0000-0000D7410000}"/>
    <cellStyle name="Data   - Style2 3 2 2 7 3" xfId="18039" xr:uid="{00000000-0005-0000-0000-0000D8410000}"/>
    <cellStyle name="Data   - Style2 3 2 2 8" xfId="18040" xr:uid="{00000000-0005-0000-0000-0000D9410000}"/>
    <cellStyle name="Data   - Style2 3 2 2 9" xfId="18041" xr:uid="{00000000-0005-0000-0000-0000DA410000}"/>
    <cellStyle name="Data   - Style2 3 2 3" xfId="18042" xr:uid="{00000000-0005-0000-0000-0000DB410000}"/>
    <cellStyle name="Data   - Style2 3 2 3 2" xfId="18043" xr:uid="{00000000-0005-0000-0000-0000DC410000}"/>
    <cellStyle name="Data   - Style2 3 2 3 3" xfId="18044" xr:uid="{00000000-0005-0000-0000-0000DD410000}"/>
    <cellStyle name="Data   - Style2 3 2 4" xfId="18045" xr:uid="{00000000-0005-0000-0000-0000DE410000}"/>
    <cellStyle name="Data   - Style2 3 2 4 2" xfId="18046" xr:uid="{00000000-0005-0000-0000-0000DF410000}"/>
    <cellStyle name="Data   - Style2 3 2 4 3" xfId="18047" xr:uid="{00000000-0005-0000-0000-0000E0410000}"/>
    <cellStyle name="Data   - Style2 3 2 5" xfId="18048" xr:uid="{00000000-0005-0000-0000-0000E1410000}"/>
    <cellStyle name="Data   - Style2 3 2 5 2" xfId="18049" xr:uid="{00000000-0005-0000-0000-0000E2410000}"/>
    <cellStyle name="Data   - Style2 3 2 5 3" xfId="18050" xr:uid="{00000000-0005-0000-0000-0000E3410000}"/>
    <cellStyle name="Data   - Style2 3 2 6" xfId="18051" xr:uid="{00000000-0005-0000-0000-0000E4410000}"/>
    <cellStyle name="Data   - Style2 3 2 6 2" xfId="18052" xr:uid="{00000000-0005-0000-0000-0000E5410000}"/>
    <cellStyle name="Data   - Style2 3 2 6 3" xfId="18053" xr:uid="{00000000-0005-0000-0000-0000E6410000}"/>
    <cellStyle name="Data   - Style2 3 2 7" xfId="18054" xr:uid="{00000000-0005-0000-0000-0000E7410000}"/>
    <cellStyle name="Data   - Style2 3 2 7 2" xfId="18055" xr:uid="{00000000-0005-0000-0000-0000E8410000}"/>
    <cellStyle name="Data   - Style2 3 2 7 3" xfId="18056" xr:uid="{00000000-0005-0000-0000-0000E9410000}"/>
    <cellStyle name="Data   - Style2 3 2 8" xfId="18057" xr:uid="{00000000-0005-0000-0000-0000EA410000}"/>
    <cellStyle name="Data   - Style2 3 2 8 2" xfId="18058" xr:uid="{00000000-0005-0000-0000-0000EB410000}"/>
    <cellStyle name="Data   - Style2 3 2 8 3" xfId="18059" xr:uid="{00000000-0005-0000-0000-0000EC410000}"/>
    <cellStyle name="Data   - Style2 3 2 9" xfId="18060" xr:uid="{00000000-0005-0000-0000-0000ED410000}"/>
    <cellStyle name="Data   - Style2 3 3" xfId="18061" xr:uid="{00000000-0005-0000-0000-0000EE410000}"/>
    <cellStyle name="Data   - Style2 3 3 10" xfId="18062" xr:uid="{00000000-0005-0000-0000-0000EF410000}"/>
    <cellStyle name="Data   - Style2 3 3 2" xfId="18063" xr:uid="{00000000-0005-0000-0000-0000F0410000}"/>
    <cellStyle name="Data   - Style2 3 3 2 2" xfId="18064" xr:uid="{00000000-0005-0000-0000-0000F1410000}"/>
    <cellStyle name="Data   - Style2 3 3 2 2 2" xfId="18065" xr:uid="{00000000-0005-0000-0000-0000F2410000}"/>
    <cellStyle name="Data   - Style2 3 3 2 2 3" xfId="18066" xr:uid="{00000000-0005-0000-0000-0000F3410000}"/>
    <cellStyle name="Data   - Style2 3 3 2 3" xfId="18067" xr:uid="{00000000-0005-0000-0000-0000F4410000}"/>
    <cellStyle name="Data   - Style2 3 3 2 3 2" xfId="18068" xr:uid="{00000000-0005-0000-0000-0000F5410000}"/>
    <cellStyle name="Data   - Style2 3 3 2 3 3" xfId="18069" xr:uid="{00000000-0005-0000-0000-0000F6410000}"/>
    <cellStyle name="Data   - Style2 3 3 2 4" xfId="18070" xr:uid="{00000000-0005-0000-0000-0000F7410000}"/>
    <cellStyle name="Data   - Style2 3 3 2 4 2" xfId="18071" xr:uid="{00000000-0005-0000-0000-0000F8410000}"/>
    <cellStyle name="Data   - Style2 3 3 2 4 3" xfId="18072" xr:uid="{00000000-0005-0000-0000-0000F9410000}"/>
    <cellStyle name="Data   - Style2 3 3 2 5" xfId="18073" xr:uid="{00000000-0005-0000-0000-0000FA410000}"/>
    <cellStyle name="Data   - Style2 3 3 2 5 2" xfId="18074" xr:uid="{00000000-0005-0000-0000-0000FB410000}"/>
    <cellStyle name="Data   - Style2 3 3 2 5 3" xfId="18075" xr:uid="{00000000-0005-0000-0000-0000FC410000}"/>
    <cellStyle name="Data   - Style2 3 3 2 6" xfId="18076" xr:uid="{00000000-0005-0000-0000-0000FD410000}"/>
    <cellStyle name="Data   - Style2 3 3 2 6 2" xfId="18077" xr:uid="{00000000-0005-0000-0000-0000FE410000}"/>
    <cellStyle name="Data   - Style2 3 3 2 6 3" xfId="18078" xr:uid="{00000000-0005-0000-0000-0000FF410000}"/>
    <cellStyle name="Data   - Style2 3 3 2 7" xfId="18079" xr:uid="{00000000-0005-0000-0000-000000420000}"/>
    <cellStyle name="Data   - Style2 3 3 2 7 2" xfId="18080" xr:uid="{00000000-0005-0000-0000-000001420000}"/>
    <cellStyle name="Data   - Style2 3 3 2 7 3" xfId="18081" xr:uid="{00000000-0005-0000-0000-000002420000}"/>
    <cellStyle name="Data   - Style2 3 3 2 8" xfId="18082" xr:uid="{00000000-0005-0000-0000-000003420000}"/>
    <cellStyle name="Data   - Style2 3 3 2 9" xfId="18083" xr:uid="{00000000-0005-0000-0000-000004420000}"/>
    <cellStyle name="Data   - Style2 3 3 3" xfId="18084" xr:uid="{00000000-0005-0000-0000-000005420000}"/>
    <cellStyle name="Data   - Style2 3 3 3 2" xfId="18085" xr:uid="{00000000-0005-0000-0000-000006420000}"/>
    <cellStyle name="Data   - Style2 3 3 3 3" xfId="18086" xr:uid="{00000000-0005-0000-0000-000007420000}"/>
    <cellStyle name="Data   - Style2 3 3 4" xfId="18087" xr:uid="{00000000-0005-0000-0000-000008420000}"/>
    <cellStyle name="Data   - Style2 3 3 4 2" xfId="18088" xr:uid="{00000000-0005-0000-0000-000009420000}"/>
    <cellStyle name="Data   - Style2 3 3 4 3" xfId="18089" xr:uid="{00000000-0005-0000-0000-00000A420000}"/>
    <cellStyle name="Data   - Style2 3 3 5" xfId="18090" xr:uid="{00000000-0005-0000-0000-00000B420000}"/>
    <cellStyle name="Data   - Style2 3 3 5 2" xfId="18091" xr:uid="{00000000-0005-0000-0000-00000C420000}"/>
    <cellStyle name="Data   - Style2 3 3 5 3" xfId="18092" xr:uid="{00000000-0005-0000-0000-00000D420000}"/>
    <cellStyle name="Data   - Style2 3 3 6" xfId="18093" xr:uid="{00000000-0005-0000-0000-00000E420000}"/>
    <cellStyle name="Data   - Style2 3 3 6 2" xfId="18094" xr:uid="{00000000-0005-0000-0000-00000F420000}"/>
    <cellStyle name="Data   - Style2 3 3 6 3" xfId="18095" xr:uid="{00000000-0005-0000-0000-000010420000}"/>
    <cellStyle name="Data   - Style2 3 3 7" xfId="18096" xr:uid="{00000000-0005-0000-0000-000011420000}"/>
    <cellStyle name="Data   - Style2 3 3 7 2" xfId="18097" xr:uid="{00000000-0005-0000-0000-000012420000}"/>
    <cellStyle name="Data   - Style2 3 3 7 3" xfId="18098" xr:uid="{00000000-0005-0000-0000-000013420000}"/>
    <cellStyle name="Data   - Style2 3 3 8" xfId="18099" xr:uid="{00000000-0005-0000-0000-000014420000}"/>
    <cellStyle name="Data   - Style2 3 3 8 2" xfId="18100" xr:uid="{00000000-0005-0000-0000-000015420000}"/>
    <cellStyle name="Data   - Style2 3 3 8 3" xfId="18101" xr:uid="{00000000-0005-0000-0000-000016420000}"/>
    <cellStyle name="Data   - Style2 3 3 9" xfId="18102" xr:uid="{00000000-0005-0000-0000-000017420000}"/>
    <cellStyle name="Data   - Style2 3 4" xfId="18103" xr:uid="{00000000-0005-0000-0000-000018420000}"/>
    <cellStyle name="Data   - Style2 3 4 10" xfId="18104" xr:uid="{00000000-0005-0000-0000-000019420000}"/>
    <cellStyle name="Data   - Style2 3 4 2" xfId="18105" xr:uid="{00000000-0005-0000-0000-00001A420000}"/>
    <cellStyle name="Data   - Style2 3 4 2 2" xfId="18106" xr:uid="{00000000-0005-0000-0000-00001B420000}"/>
    <cellStyle name="Data   - Style2 3 4 2 2 2" xfId="18107" xr:uid="{00000000-0005-0000-0000-00001C420000}"/>
    <cellStyle name="Data   - Style2 3 4 2 2 3" xfId="18108" xr:uid="{00000000-0005-0000-0000-00001D420000}"/>
    <cellStyle name="Data   - Style2 3 4 2 3" xfId="18109" xr:uid="{00000000-0005-0000-0000-00001E420000}"/>
    <cellStyle name="Data   - Style2 3 4 2 3 2" xfId="18110" xr:uid="{00000000-0005-0000-0000-00001F420000}"/>
    <cellStyle name="Data   - Style2 3 4 2 3 3" xfId="18111" xr:uid="{00000000-0005-0000-0000-000020420000}"/>
    <cellStyle name="Data   - Style2 3 4 2 4" xfId="18112" xr:uid="{00000000-0005-0000-0000-000021420000}"/>
    <cellStyle name="Data   - Style2 3 4 2 4 2" xfId="18113" xr:uid="{00000000-0005-0000-0000-000022420000}"/>
    <cellStyle name="Data   - Style2 3 4 2 4 3" xfId="18114" xr:uid="{00000000-0005-0000-0000-000023420000}"/>
    <cellStyle name="Data   - Style2 3 4 2 5" xfId="18115" xr:uid="{00000000-0005-0000-0000-000024420000}"/>
    <cellStyle name="Data   - Style2 3 4 2 5 2" xfId="18116" xr:uid="{00000000-0005-0000-0000-000025420000}"/>
    <cellStyle name="Data   - Style2 3 4 2 5 3" xfId="18117" xr:uid="{00000000-0005-0000-0000-000026420000}"/>
    <cellStyle name="Data   - Style2 3 4 2 6" xfId="18118" xr:uid="{00000000-0005-0000-0000-000027420000}"/>
    <cellStyle name="Data   - Style2 3 4 2 6 2" xfId="18119" xr:uid="{00000000-0005-0000-0000-000028420000}"/>
    <cellStyle name="Data   - Style2 3 4 2 6 3" xfId="18120" xr:uid="{00000000-0005-0000-0000-000029420000}"/>
    <cellStyle name="Data   - Style2 3 4 2 7" xfId="18121" xr:uid="{00000000-0005-0000-0000-00002A420000}"/>
    <cellStyle name="Data   - Style2 3 4 2 7 2" xfId="18122" xr:uid="{00000000-0005-0000-0000-00002B420000}"/>
    <cellStyle name="Data   - Style2 3 4 2 7 3" xfId="18123" xr:uid="{00000000-0005-0000-0000-00002C420000}"/>
    <cellStyle name="Data   - Style2 3 4 2 8" xfId="18124" xr:uid="{00000000-0005-0000-0000-00002D420000}"/>
    <cellStyle name="Data   - Style2 3 4 2 9" xfId="18125" xr:uid="{00000000-0005-0000-0000-00002E420000}"/>
    <cellStyle name="Data   - Style2 3 4 3" xfId="18126" xr:uid="{00000000-0005-0000-0000-00002F420000}"/>
    <cellStyle name="Data   - Style2 3 4 3 2" xfId="18127" xr:uid="{00000000-0005-0000-0000-000030420000}"/>
    <cellStyle name="Data   - Style2 3 4 3 3" xfId="18128" xr:uid="{00000000-0005-0000-0000-000031420000}"/>
    <cellStyle name="Data   - Style2 3 4 4" xfId="18129" xr:uid="{00000000-0005-0000-0000-000032420000}"/>
    <cellStyle name="Data   - Style2 3 4 4 2" xfId="18130" xr:uid="{00000000-0005-0000-0000-000033420000}"/>
    <cellStyle name="Data   - Style2 3 4 4 3" xfId="18131" xr:uid="{00000000-0005-0000-0000-000034420000}"/>
    <cellStyle name="Data   - Style2 3 4 5" xfId="18132" xr:uid="{00000000-0005-0000-0000-000035420000}"/>
    <cellStyle name="Data   - Style2 3 4 5 2" xfId="18133" xr:uid="{00000000-0005-0000-0000-000036420000}"/>
    <cellStyle name="Data   - Style2 3 4 5 3" xfId="18134" xr:uid="{00000000-0005-0000-0000-000037420000}"/>
    <cellStyle name="Data   - Style2 3 4 6" xfId="18135" xr:uid="{00000000-0005-0000-0000-000038420000}"/>
    <cellStyle name="Data   - Style2 3 4 6 2" xfId="18136" xr:uid="{00000000-0005-0000-0000-000039420000}"/>
    <cellStyle name="Data   - Style2 3 4 6 3" xfId="18137" xr:uid="{00000000-0005-0000-0000-00003A420000}"/>
    <cellStyle name="Data   - Style2 3 4 7" xfId="18138" xr:uid="{00000000-0005-0000-0000-00003B420000}"/>
    <cellStyle name="Data   - Style2 3 4 7 2" xfId="18139" xr:uid="{00000000-0005-0000-0000-00003C420000}"/>
    <cellStyle name="Data   - Style2 3 4 7 3" xfId="18140" xr:uid="{00000000-0005-0000-0000-00003D420000}"/>
    <cellStyle name="Data   - Style2 3 4 8" xfId="18141" xr:uid="{00000000-0005-0000-0000-00003E420000}"/>
    <cellStyle name="Data   - Style2 3 4 8 2" xfId="18142" xr:uid="{00000000-0005-0000-0000-00003F420000}"/>
    <cellStyle name="Data   - Style2 3 4 8 3" xfId="18143" xr:uid="{00000000-0005-0000-0000-000040420000}"/>
    <cellStyle name="Data   - Style2 3 4 9" xfId="18144" xr:uid="{00000000-0005-0000-0000-000041420000}"/>
    <cellStyle name="Data   - Style2 3 5" xfId="18145" xr:uid="{00000000-0005-0000-0000-000042420000}"/>
    <cellStyle name="Data   - Style2 3 5 10" xfId="18146" xr:uid="{00000000-0005-0000-0000-000043420000}"/>
    <cellStyle name="Data   - Style2 3 5 2" xfId="18147" xr:uid="{00000000-0005-0000-0000-000044420000}"/>
    <cellStyle name="Data   - Style2 3 5 2 2" xfId="18148" xr:uid="{00000000-0005-0000-0000-000045420000}"/>
    <cellStyle name="Data   - Style2 3 5 2 2 2" xfId="18149" xr:uid="{00000000-0005-0000-0000-000046420000}"/>
    <cellStyle name="Data   - Style2 3 5 2 2 3" xfId="18150" xr:uid="{00000000-0005-0000-0000-000047420000}"/>
    <cellStyle name="Data   - Style2 3 5 2 3" xfId="18151" xr:uid="{00000000-0005-0000-0000-000048420000}"/>
    <cellStyle name="Data   - Style2 3 5 2 3 2" xfId="18152" xr:uid="{00000000-0005-0000-0000-000049420000}"/>
    <cellStyle name="Data   - Style2 3 5 2 3 3" xfId="18153" xr:uid="{00000000-0005-0000-0000-00004A420000}"/>
    <cellStyle name="Data   - Style2 3 5 2 4" xfId="18154" xr:uid="{00000000-0005-0000-0000-00004B420000}"/>
    <cellStyle name="Data   - Style2 3 5 2 4 2" xfId="18155" xr:uid="{00000000-0005-0000-0000-00004C420000}"/>
    <cellStyle name="Data   - Style2 3 5 2 4 3" xfId="18156" xr:uid="{00000000-0005-0000-0000-00004D420000}"/>
    <cellStyle name="Data   - Style2 3 5 2 5" xfId="18157" xr:uid="{00000000-0005-0000-0000-00004E420000}"/>
    <cellStyle name="Data   - Style2 3 5 2 5 2" xfId="18158" xr:uid="{00000000-0005-0000-0000-00004F420000}"/>
    <cellStyle name="Data   - Style2 3 5 2 5 3" xfId="18159" xr:uid="{00000000-0005-0000-0000-000050420000}"/>
    <cellStyle name="Data   - Style2 3 5 2 6" xfId="18160" xr:uid="{00000000-0005-0000-0000-000051420000}"/>
    <cellStyle name="Data   - Style2 3 5 2 6 2" xfId="18161" xr:uid="{00000000-0005-0000-0000-000052420000}"/>
    <cellStyle name="Data   - Style2 3 5 2 6 3" xfId="18162" xr:uid="{00000000-0005-0000-0000-000053420000}"/>
    <cellStyle name="Data   - Style2 3 5 2 7" xfId="18163" xr:uid="{00000000-0005-0000-0000-000054420000}"/>
    <cellStyle name="Data   - Style2 3 5 2 7 2" xfId="18164" xr:uid="{00000000-0005-0000-0000-000055420000}"/>
    <cellStyle name="Data   - Style2 3 5 2 7 3" xfId="18165" xr:uid="{00000000-0005-0000-0000-000056420000}"/>
    <cellStyle name="Data   - Style2 3 5 2 8" xfId="18166" xr:uid="{00000000-0005-0000-0000-000057420000}"/>
    <cellStyle name="Data   - Style2 3 5 2 9" xfId="18167" xr:uid="{00000000-0005-0000-0000-000058420000}"/>
    <cellStyle name="Data   - Style2 3 5 3" xfId="18168" xr:uid="{00000000-0005-0000-0000-000059420000}"/>
    <cellStyle name="Data   - Style2 3 5 3 2" xfId="18169" xr:uid="{00000000-0005-0000-0000-00005A420000}"/>
    <cellStyle name="Data   - Style2 3 5 3 3" xfId="18170" xr:uid="{00000000-0005-0000-0000-00005B420000}"/>
    <cellStyle name="Data   - Style2 3 5 4" xfId="18171" xr:uid="{00000000-0005-0000-0000-00005C420000}"/>
    <cellStyle name="Data   - Style2 3 5 4 2" xfId="18172" xr:uid="{00000000-0005-0000-0000-00005D420000}"/>
    <cellStyle name="Data   - Style2 3 5 4 3" xfId="18173" xr:uid="{00000000-0005-0000-0000-00005E420000}"/>
    <cellStyle name="Data   - Style2 3 5 5" xfId="18174" xr:uid="{00000000-0005-0000-0000-00005F420000}"/>
    <cellStyle name="Data   - Style2 3 5 5 2" xfId="18175" xr:uid="{00000000-0005-0000-0000-000060420000}"/>
    <cellStyle name="Data   - Style2 3 5 5 3" xfId="18176" xr:uid="{00000000-0005-0000-0000-000061420000}"/>
    <cellStyle name="Data   - Style2 3 5 6" xfId="18177" xr:uid="{00000000-0005-0000-0000-000062420000}"/>
    <cellStyle name="Data   - Style2 3 5 6 2" xfId="18178" xr:uid="{00000000-0005-0000-0000-000063420000}"/>
    <cellStyle name="Data   - Style2 3 5 6 3" xfId="18179" xr:uid="{00000000-0005-0000-0000-000064420000}"/>
    <cellStyle name="Data   - Style2 3 5 7" xfId="18180" xr:uid="{00000000-0005-0000-0000-000065420000}"/>
    <cellStyle name="Data   - Style2 3 5 7 2" xfId="18181" xr:uid="{00000000-0005-0000-0000-000066420000}"/>
    <cellStyle name="Data   - Style2 3 5 7 3" xfId="18182" xr:uid="{00000000-0005-0000-0000-000067420000}"/>
    <cellStyle name="Data   - Style2 3 5 8" xfId="18183" xr:uid="{00000000-0005-0000-0000-000068420000}"/>
    <cellStyle name="Data   - Style2 3 5 8 2" xfId="18184" xr:uid="{00000000-0005-0000-0000-000069420000}"/>
    <cellStyle name="Data   - Style2 3 5 8 3" xfId="18185" xr:uid="{00000000-0005-0000-0000-00006A420000}"/>
    <cellStyle name="Data   - Style2 3 5 9" xfId="18186" xr:uid="{00000000-0005-0000-0000-00006B420000}"/>
    <cellStyle name="Data   - Style2 3 6" xfId="18187" xr:uid="{00000000-0005-0000-0000-00006C420000}"/>
    <cellStyle name="Data   - Style2 3 6 2" xfId="18188" xr:uid="{00000000-0005-0000-0000-00006D420000}"/>
    <cellStyle name="Data   - Style2 3 6 2 2" xfId="18189" xr:uid="{00000000-0005-0000-0000-00006E420000}"/>
    <cellStyle name="Data   - Style2 3 6 2 3" xfId="18190" xr:uid="{00000000-0005-0000-0000-00006F420000}"/>
    <cellStyle name="Data   - Style2 3 6 3" xfId="18191" xr:uid="{00000000-0005-0000-0000-000070420000}"/>
    <cellStyle name="Data   - Style2 3 6 3 2" xfId="18192" xr:uid="{00000000-0005-0000-0000-000071420000}"/>
    <cellStyle name="Data   - Style2 3 6 3 3" xfId="18193" xr:uid="{00000000-0005-0000-0000-000072420000}"/>
    <cellStyle name="Data   - Style2 3 6 4" xfId="18194" xr:uid="{00000000-0005-0000-0000-000073420000}"/>
    <cellStyle name="Data   - Style2 3 6 4 2" xfId="18195" xr:uid="{00000000-0005-0000-0000-000074420000}"/>
    <cellStyle name="Data   - Style2 3 6 4 3" xfId="18196" xr:uid="{00000000-0005-0000-0000-000075420000}"/>
    <cellStyle name="Data   - Style2 3 6 5" xfId="18197" xr:uid="{00000000-0005-0000-0000-000076420000}"/>
    <cellStyle name="Data   - Style2 3 6 5 2" xfId="18198" xr:uid="{00000000-0005-0000-0000-000077420000}"/>
    <cellStyle name="Data   - Style2 3 6 5 3" xfId="18199" xr:uid="{00000000-0005-0000-0000-000078420000}"/>
    <cellStyle name="Data   - Style2 3 6 6" xfId="18200" xr:uid="{00000000-0005-0000-0000-000079420000}"/>
    <cellStyle name="Data   - Style2 3 6 6 2" xfId="18201" xr:uid="{00000000-0005-0000-0000-00007A420000}"/>
    <cellStyle name="Data   - Style2 3 6 6 3" xfId="18202" xr:uid="{00000000-0005-0000-0000-00007B420000}"/>
    <cellStyle name="Data   - Style2 3 6 7" xfId="18203" xr:uid="{00000000-0005-0000-0000-00007C420000}"/>
    <cellStyle name="Data   - Style2 3 6 7 2" xfId="18204" xr:uid="{00000000-0005-0000-0000-00007D420000}"/>
    <cellStyle name="Data   - Style2 3 6 7 3" xfId="18205" xr:uid="{00000000-0005-0000-0000-00007E420000}"/>
    <cellStyle name="Data   - Style2 3 6 8" xfId="18206" xr:uid="{00000000-0005-0000-0000-00007F420000}"/>
    <cellStyle name="Data   - Style2 3 6 9" xfId="18207" xr:uid="{00000000-0005-0000-0000-000080420000}"/>
    <cellStyle name="Data   - Style2 3 7" xfId="18208" xr:uid="{00000000-0005-0000-0000-000081420000}"/>
    <cellStyle name="Data   - Style2 3 7 2" xfId="18209" xr:uid="{00000000-0005-0000-0000-000082420000}"/>
    <cellStyle name="Data   - Style2 3 7 3" xfId="18210" xr:uid="{00000000-0005-0000-0000-000083420000}"/>
    <cellStyle name="Data   - Style2 3 8" xfId="18211" xr:uid="{00000000-0005-0000-0000-000084420000}"/>
    <cellStyle name="Data   - Style2 3 8 2" xfId="18212" xr:uid="{00000000-0005-0000-0000-000085420000}"/>
    <cellStyle name="Data   - Style2 3 8 3" xfId="18213" xr:uid="{00000000-0005-0000-0000-000086420000}"/>
    <cellStyle name="Data   - Style2 3 9" xfId="44049" xr:uid="{00000000-0005-0000-0000-000087420000}"/>
    <cellStyle name="Data   - Style2 4" xfId="18214" xr:uid="{00000000-0005-0000-0000-000088420000}"/>
    <cellStyle name="Data   - Style2 4 2" xfId="18215" xr:uid="{00000000-0005-0000-0000-000089420000}"/>
    <cellStyle name="Data   - Style2 4 2 10" xfId="18216" xr:uid="{00000000-0005-0000-0000-00008A420000}"/>
    <cellStyle name="Data   - Style2 4 2 2" xfId="18217" xr:uid="{00000000-0005-0000-0000-00008B420000}"/>
    <cellStyle name="Data   - Style2 4 2 2 2" xfId="18218" xr:uid="{00000000-0005-0000-0000-00008C420000}"/>
    <cellStyle name="Data   - Style2 4 2 2 2 2" xfId="18219" xr:uid="{00000000-0005-0000-0000-00008D420000}"/>
    <cellStyle name="Data   - Style2 4 2 2 2 3" xfId="18220" xr:uid="{00000000-0005-0000-0000-00008E420000}"/>
    <cellStyle name="Data   - Style2 4 2 2 3" xfId="18221" xr:uid="{00000000-0005-0000-0000-00008F420000}"/>
    <cellStyle name="Data   - Style2 4 2 2 3 2" xfId="18222" xr:uid="{00000000-0005-0000-0000-000090420000}"/>
    <cellStyle name="Data   - Style2 4 2 2 3 3" xfId="18223" xr:uid="{00000000-0005-0000-0000-000091420000}"/>
    <cellStyle name="Data   - Style2 4 2 2 4" xfId="18224" xr:uid="{00000000-0005-0000-0000-000092420000}"/>
    <cellStyle name="Data   - Style2 4 2 2 4 2" xfId="18225" xr:uid="{00000000-0005-0000-0000-000093420000}"/>
    <cellStyle name="Data   - Style2 4 2 2 4 3" xfId="18226" xr:uid="{00000000-0005-0000-0000-000094420000}"/>
    <cellStyle name="Data   - Style2 4 2 2 5" xfId="18227" xr:uid="{00000000-0005-0000-0000-000095420000}"/>
    <cellStyle name="Data   - Style2 4 2 2 5 2" xfId="18228" xr:uid="{00000000-0005-0000-0000-000096420000}"/>
    <cellStyle name="Data   - Style2 4 2 2 5 3" xfId="18229" xr:uid="{00000000-0005-0000-0000-000097420000}"/>
    <cellStyle name="Data   - Style2 4 2 2 6" xfId="18230" xr:uid="{00000000-0005-0000-0000-000098420000}"/>
    <cellStyle name="Data   - Style2 4 2 2 6 2" xfId="18231" xr:uid="{00000000-0005-0000-0000-000099420000}"/>
    <cellStyle name="Data   - Style2 4 2 2 6 3" xfId="18232" xr:uid="{00000000-0005-0000-0000-00009A420000}"/>
    <cellStyle name="Data   - Style2 4 2 2 7" xfId="18233" xr:uid="{00000000-0005-0000-0000-00009B420000}"/>
    <cellStyle name="Data   - Style2 4 2 2 7 2" xfId="18234" xr:uid="{00000000-0005-0000-0000-00009C420000}"/>
    <cellStyle name="Data   - Style2 4 2 2 7 3" xfId="18235" xr:uid="{00000000-0005-0000-0000-00009D420000}"/>
    <cellStyle name="Data   - Style2 4 2 2 8" xfId="18236" xr:uid="{00000000-0005-0000-0000-00009E420000}"/>
    <cellStyle name="Data   - Style2 4 2 2 9" xfId="18237" xr:uid="{00000000-0005-0000-0000-00009F420000}"/>
    <cellStyle name="Data   - Style2 4 2 3" xfId="18238" xr:uid="{00000000-0005-0000-0000-0000A0420000}"/>
    <cellStyle name="Data   - Style2 4 2 3 2" xfId="18239" xr:uid="{00000000-0005-0000-0000-0000A1420000}"/>
    <cellStyle name="Data   - Style2 4 2 3 3" xfId="18240" xr:uid="{00000000-0005-0000-0000-0000A2420000}"/>
    <cellStyle name="Data   - Style2 4 2 4" xfId="18241" xr:uid="{00000000-0005-0000-0000-0000A3420000}"/>
    <cellStyle name="Data   - Style2 4 2 4 2" xfId="18242" xr:uid="{00000000-0005-0000-0000-0000A4420000}"/>
    <cellStyle name="Data   - Style2 4 2 4 3" xfId="18243" xr:uid="{00000000-0005-0000-0000-0000A5420000}"/>
    <cellStyle name="Data   - Style2 4 2 5" xfId="18244" xr:uid="{00000000-0005-0000-0000-0000A6420000}"/>
    <cellStyle name="Data   - Style2 4 2 5 2" xfId="18245" xr:uid="{00000000-0005-0000-0000-0000A7420000}"/>
    <cellStyle name="Data   - Style2 4 2 5 3" xfId="18246" xr:uid="{00000000-0005-0000-0000-0000A8420000}"/>
    <cellStyle name="Data   - Style2 4 2 6" xfId="18247" xr:uid="{00000000-0005-0000-0000-0000A9420000}"/>
    <cellStyle name="Data   - Style2 4 2 6 2" xfId="18248" xr:uid="{00000000-0005-0000-0000-0000AA420000}"/>
    <cellStyle name="Data   - Style2 4 2 6 3" xfId="18249" xr:uid="{00000000-0005-0000-0000-0000AB420000}"/>
    <cellStyle name="Data   - Style2 4 2 7" xfId="18250" xr:uid="{00000000-0005-0000-0000-0000AC420000}"/>
    <cellStyle name="Data   - Style2 4 2 7 2" xfId="18251" xr:uid="{00000000-0005-0000-0000-0000AD420000}"/>
    <cellStyle name="Data   - Style2 4 2 7 3" xfId="18252" xr:uid="{00000000-0005-0000-0000-0000AE420000}"/>
    <cellStyle name="Data   - Style2 4 2 8" xfId="18253" xr:uid="{00000000-0005-0000-0000-0000AF420000}"/>
    <cellStyle name="Data   - Style2 4 2 8 2" xfId="18254" xr:uid="{00000000-0005-0000-0000-0000B0420000}"/>
    <cellStyle name="Data   - Style2 4 2 8 3" xfId="18255" xr:uid="{00000000-0005-0000-0000-0000B1420000}"/>
    <cellStyle name="Data   - Style2 4 2 9" xfId="18256" xr:uid="{00000000-0005-0000-0000-0000B2420000}"/>
    <cellStyle name="Data   - Style2 4 3" xfId="18257" xr:uid="{00000000-0005-0000-0000-0000B3420000}"/>
    <cellStyle name="Data   - Style2 4 3 10" xfId="18258" xr:uid="{00000000-0005-0000-0000-0000B4420000}"/>
    <cellStyle name="Data   - Style2 4 3 2" xfId="18259" xr:uid="{00000000-0005-0000-0000-0000B5420000}"/>
    <cellStyle name="Data   - Style2 4 3 2 2" xfId="18260" xr:uid="{00000000-0005-0000-0000-0000B6420000}"/>
    <cellStyle name="Data   - Style2 4 3 2 2 2" xfId="18261" xr:uid="{00000000-0005-0000-0000-0000B7420000}"/>
    <cellStyle name="Data   - Style2 4 3 2 2 3" xfId="18262" xr:uid="{00000000-0005-0000-0000-0000B8420000}"/>
    <cellStyle name="Data   - Style2 4 3 2 3" xfId="18263" xr:uid="{00000000-0005-0000-0000-0000B9420000}"/>
    <cellStyle name="Data   - Style2 4 3 2 3 2" xfId="18264" xr:uid="{00000000-0005-0000-0000-0000BA420000}"/>
    <cellStyle name="Data   - Style2 4 3 2 3 3" xfId="18265" xr:uid="{00000000-0005-0000-0000-0000BB420000}"/>
    <cellStyle name="Data   - Style2 4 3 2 4" xfId="18266" xr:uid="{00000000-0005-0000-0000-0000BC420000}"/>
    <cellStyle name="Data   - Style2 4 3 2 4 2" xfId="18267" xr:uid="{00000000-0005-0000-0000-0000BD420000}"/>
    <cellStyle name="Data   - Style2 4 3 2 4 3" xfId="18268" xr:uid="{00000000-0005-0000-0000-0000BE420000}"/>
    <cellStyle name="Data   - Style2 4 3 2 5" xfId="18269" xr:uid="{00000000-0005-0000-0000-0000BF420000}"/>
    <cellStyle name="Data   - Style2 4 3 2 5 2" xfId="18270" xr:uid="{00000000-0005-0000-0000-0000C0420000}"/>
    <cellStyle name="Data   - Style2 4 3 2 5 3" xfId="18271" xr:uid="{00000000-0005-0000-0000-0000C1420000}"/>
    <cellStyle name="Data   - Style2 4 3 2 6" xfId="18272" xr:uid="{00000000-0005-0000-0000-0000C2420000}"/>
    <cellStyle name="Data   - Style2 4 3 2 6 2" xfId="18273" xr:uid="{00000000-0005-0000-0000-0000C3420000}"/>
    <cellStyle name="Data   - Style2 4 3 2 6 3" xfId="18274" xr:uid="{00000000-0005-0000-0000-0000C4420000}"/>
    <cellStyle name="Data   - Style2 4 3 2 7" xfId="18275" xr:uid="{00000000-0005-0000-0000-0000C5420000}"/>
    <cellStyle name="Data   - Style2 4 3 2 7 2" xfId="18276" xr:uid="{00000000-0005-0000-0000-0000C6420000}"/>
    <cellStyle name="Data   - Style2 4 3 2 7 3" xfId="18277" xr:uid="{00000000-0005-0000-0000-0000C7420000}"/>
    <cellStyle name="Data   - Style2 4 3 2 8" xfId="18278" xr:uid="{00000000-0005-0000-0000-0000C8420000}"/>
    <cellStyle name="Data   - Style2 4 3 2 9" xfId="18279" xr:uid="{00000000-0005-0000-0000-0000C9420000}"/>
    <cellStyle name="Data   - Style2 4 3 3" xfId="18280" xr:uid="{00000000-0005-0000-0000-0000CA420000}"/>
    <cellStyle name="Data   - Style2 4 3 3 2" xfId="18281" xr:uid="{00000000-0005-0000-0000-0000CB420000}"/>
    <cellStyle name="Data   - Style2 4 3 3 3" xfId="18282" xr:uid="{00000000-0005-0000-0000-0000CC420000}"/>
    <cellStyle name="Data   - Style2 4 3 4" xfId="18283" xr:uid="{00000000-0005-0000-0000-0000CD420000}"/>
    <cellStyle name="Data   - Style2 4 3 4 2" xfId="18284" xr:uid="{00000000-0005-0000-0000-0000CE420000}"/>
    <cellStyle name="Data   - Style2 4 3 4 3" xfId="18285" xr:uid="{00000000-0005-0000-0000-0000CF420000}"/>
    <cellStyle name="Data   - Style2 4 3 5" xfId="18286" xr:uid="{00000000-0005-0000-0000-0000D0420000}"/>
    <cellStyle name="Data   - Style2 4 3 5 2" xfId="18287" xr:uid="{00000000-0005-0000-0000-0000D1420000}"/>
    <cellStyle name="Data   - Style2 4 3 5 3" xfId="18288" xr:uid="{00000000-0005-0000-0000-0000D2420000}"/>
    <cellStyle name="Data   - Style2 4 3 6" xfId="18289" xr:uid="{00000000-0005-0000-0000-0000D3420000}"/>
    <cellStyle name="Data   - Style2 4 3 6 2" xfId="18290" xr:uid="{00000000-0005-0000-0000-0000D4420000}"/>
    <cellStyle name="Data   - Style2 4 3 6 3" xfId="18291" xr:uid="{00000000-0005-0000-0000-0000D5420000}"/>
    <cellStyle name="Data   - Style2 4 3 7" xfId="18292" xr:uid="{00000000-0005-0000-0000-0000D6420000}"/>
    <cellStyle name="Data   - Style2 4 3 7 2" xfId="18293" xr:uid="{00000000-0005-0000-0000-0000D7420000}"/>
    <cellStyle name="Data   - Style2 4 3 7 3" xfId="18294" xr:uid="{00000000-0005-0000-0000-0000D8420000}"/>
    <cellStyle name="Data   - Style2 4 3 8" xfId="18295" xr:uid="{00000000-0005-0000-0000-0000D9420000}"/>
    <cellStyle name="Data   - Style2 4 3 8 2" xfId="18296" xr:uid="{00000000-0005-0000-0000-0000DA420000}"/>
    <cellStyle name="Data   - Style2 4 3 8 3" xfId="18297" xr:uid="{00000000-0005-0000-0000-0000DB420000}"/>
    <cellStyle name="Data   - Style2 4 3 9" xfId="18298" xr:uid="{00000000-0005-0000-0000-0000DC420000}"/>
    <cellStyle name="Data   - Style2 4 4" xfId="18299" xr:uid="{00000000-0005-0000-0000-0000DD420000}"/>
    <cellStyle name="Data   - Style2 4 4 10" xfId="18300" xr:uid="{00000000-0005-0000-0000-0000DE420000}"/>
    <cellStyle name="Data   - Style2 4 4 2" xfId="18301" xr:uid="{00000000-0005-0000-0000-0000DF420000}"/>
    <cellStyle name="Data   - Style2 4 4 2 2" xfId="18302" xr:uid="{00000000-0005-0000-0000-0000E0420000}"/>
    <cellStyle name="Data   - Style2 4 4 2 2 2" xfId="18303" xr:uid="{00000000-0005-0000-0000-0000E1420000}"/>
    <cellStyle name="Data   - Style2 4 4 2 2 3" xfId="18304" xr:uid="{00000000-0005-0000-0000-0000E2420000}"/>
    <cellStyle name="Data   - Style2 4 4 2 3" xfId="18305" xr:uid="{00000000-0005-0000-0000-0000E3420000}"/>
    <cellStyle name="Data   - Style2 4 4 2 3 2" xfId="18306" xr:uid="{00000000-0005-0000-0000-0000E4420000}"/>
    <cellStyle name="Data   - Style2 4 4 2 3 3" xfId="18307" xr:uid="{00000000-0005-0000-0000-0000E5420000}"/>
    <cellStyle name="Data   - Style2 4 4 2 4" xfId="18308" xr:uid="{00000000-0005-0000-0000-0000E6420000}"/>
    <cellStyle name="Data   - Style2 4 4 2 4 2" xfId="18309" xr:uid="{00000000-0005-0000-0000-0000E7420000}"/>
    <cellStyle name="Data   - Style2 4 4 2 4 3" xfId="18310" xr:uid="{00000000-0005-0000-0000-0000E8420000}"/>
    <cellStyle name="Data   - Style2 4 4 2 5" xfId="18311" xr:uid="{00000000-0005-0000-0000-0000E9420000}"/>
    <cellStyle name="Data   - Style2 4 4 2 5 2" xfId="18312" xr:uid="{00000000-0005-0000-0000-0000EA420000}"/>
    <cellStyle name="Data   - Style2 4 4 2 5 3" xfId="18313" xr:uid="{00000000-0005-0000-0000-0000EB420000}"/>
    <cellStyle name="Data   - Style2 4 4 2 6" xfId="18314" xr:uid="{00000000-0005-0000-0000-0000EC420000}"/>
    <cellStyle name="Data   - Style2 4 4 2 6 2" xfId="18315" xr:uid="{00000000-0005-0000-0000-0000ED420000}"/>
    <cellStyle name="Data   - Style2 4 4 2 6 3" xfId="18316" xr:uid="{00000000-0005-0000-0000-0000EE420000}"/>
    <cellStyle name="Data   - Style2 4 4 2 7" xfId="18317" xr:uid="{00000000-0005-0000-0000-0000EF420000}"/>
    <cellStyle name="Data   - Style2 4 4 2 7 2" xfId="18318" xr:uid="{00000000-0005-0000-0000-0000F0420000}"/>
    <cellStyle name="Data   - Style2 4 4 2 7 3" xfId="18319" xr:uid="{00000000-0005-0000-0000-0000F1420000}"/>
    <cellStyle name="Data   - Style2 4 4 2 8" xfId="18320" xr:uid="{00000000-0005-0000-0000-0000F2420000}"/>
    <cellStyle name="Data   - Style2 4 4 2 9" xfId="18321" xr:uid="{00000000-0005-0000-0000-0000F3420000}"/>
    <cellStyle name="Data   - Style2 4 4 3" xfId="18322" xr:uid="{00000000-0005-0000-0000-0000F4420000}"/>
    <cellStyle name="Data   - Style2 4 4 3 2" xfId="18323" xr:uid="{00000000-0005-0000-0000-0000F5420000}"/>
    <cellStyle name="Data   - Style2 4 4 3 3" xfId="18324" xr:uid="{00000000-0005-0000-0000-0000F6420000}"/>
    <cellStyle name="Data   - Style2 4 4 4" xfId="18325" xr:uid="{00000000-0005-0000-0000-0000F7420000}"/>
    <cellStyle name="Data   - Style2 4 4 4 2" xfId="18326" xr:uid="{00000000-0005-0000-0000-0000F8420000}"/>
    <cellStyle name="Data   - Style2 4 4 4 3" xfId="18327" xr:uid="{00000000-0005-0000-0000-0000F9420000}"/>
    <cellStyle name="Data   - Style2 4 4 5" xfId="18328" xr:uid="{00000000-0005-0000-0000-0000FA420000}"/>
    <cellStyle name="Data   - Style2 4 4 5 2" xfId="18329" xr:uid="{00000000-0005-0000-0000-0000FB420000}"/>
    <cellStyle name="Data   - Style2 4 4 5 3" xfId="18330" xr:uid="{00000000-0005-0000-0000-0000FC420000}"/>
    <cellStyle name="Data   - Style2 4 4 6" xfId="18331" xr:uid="{00000000-0005-0000-0000-0000FD420000}"/>
    <cellStyle name="Data   - Style2 4 4 6 2" xfId="18332" xr:uid="{00000000-0005-0000-0000-0000FE420000}"/>
    <cellStyle name="Data   - Style2 4 4 6 3" xfId="18333" xr:uid="{00000000-0005-0000-0000-0000FF420000}"/>
    <cellStyle name="Data   - Style2 4 4 7" xfId="18334" xr:uid="{00000000-0005-0000-0000-000000430000}"/>
    <cellStyle name="Data   - Style2 4 4 7 2" xfId="18335" xr:uid="{00000000-0005-0000-0000-000001430000}"/>
    <cellStyle name="Data   - Style2 4 4 7 3" xfId="18336" xr:uid="{00000000-0005-0000-0000-000002430000}"/>
    <cellStyle name="Data   - Style2 4 4 8" xfId="18337" xr:uid="{00000000-0005-0000-0000-000003430000}"/>
    <cellStyle name="Data   - Style2 4 4 8 2" xfId="18338" xr:uid="{00000000-0005-0000-0000-000004430000}"/>
    <cellStyle name="Data   - Style2 4 4 8 3" xfId="18339" xr:uid="{00000000-0005-0000-0000-000005430000}"/>
    <cellStyle name="Data   - Style2 4 4 9" xfId="18340" xr:uid="{00000000-0005-0000-0000-000006430000}"/>
    <cellStyle name="Data   - Style2 4 5" xfId="18341" xr:uid="{00000000-0005-0000-0000-000007430000}"/>
    <cellStyle name="Data   - Style2 4 5 10" xfId="18342" xr:uid="{00000000-0005-0000-0000-000008430000}"/>
    <cellStyle name="Data   - Style2 4 5 2" xfId="18343" xr:uid="{00000000-0005-0000-0000-000009430000}"/>
    <cellStyle name="Data   - Style2 4 5 2 2" xfId="18344" xr:uid="{00000000-0005-0000-0000-00000A430000}"/>
    <cellStyle name="Data   - Style2 4 5 2 2 2" xfId="18345" xr:uid="{00000000-0005-0000-0000-00000B430000}"/>
    <cellStyle name="Data   - Style2 4 5 2 2 3" xfId="18346" xr:uid="{00000000-0005-0000-0000-00000C430000}"/>
    <cellStyle name="Data   - Style2 4 5 2 3" xfId="18347" xr:uid="{00000000-0005-0000-0000-00000D430000}"/>
    <cellStyle name="Data   - Style2 4 5 2 3 2" xfId="18348" xr:uid="{00000000-0005-0000-0000-00000E430000}"/>
    <cellStyle name="Data   - Style2 4 5 2 3 3" xfId="18349" xr:uid="{00000000-0005-0000-0000-00000F430000}"/>
    <cellStyle name="Data   - Style2 4 5 2 4" xfId="18350" xr:uid="{00000000-0005-0000-0000-000010430000}"/>
    <cellStyle name="Data   - Style2 4 5 2 4 2" xfId="18351" xr:uid="{00000000-0005-0000-0000-000011430000}"/>
    <cellStyle name="Data   - Style2 4 5 2 4 3" xfId="18352" xr:uid="{00000000-0005-0000-0000-000012430000}"/>
    <cellStyle name="Data   - Style2 4 5 2 5" xfId="18353" xr:uid="{00000000-0005-0000-0000-000013430000}"/>
    <cellStyle name="Data   - Style2 4 5 2 5 2" xfId="18354" xr:uid="{00000000-0005-0000-0000-000014430000}"/>
    <cellStyle name="Data   - Style2 4 5 2 5 3" xfId="18355" xr:uid="{00000000-0005-0000-0000-000015430000}"/>
    <cellStyle name="Data   - Style2 4 5 2 6" xfId="18356" xr:uid="{00000000-0005-0000-0000-000016430000}"/>
    <cellStyle name="Data   - Style2 4 5 2 6 2" xfId="18357" xr:uid="{00000000-0005-0000-0000-000017430000}"/>
    <cellStyle name="Data   - Style2 4 5 2 6 3" xfId="18358" xr:uid="{00000000-0005-0000-0000-000018430000}"/>
    <cellStyle name="Data   - Style2 4 5 2 7" xfId="18359" xr:uid="{00000000-0005-0000-0000-000019430000}"/>
    <cellStyle name="Data   - Style2 4 5 2 7 2" xfId="18360" xr:uid="{00000000-0005-0000-0000-00001A430000}"/>
    <cellStyle name="Data   - Style2 4 5 2 7 3" xfId="18361" xr:uid="{00000000-0005-0000-0000-00001B430000}"/>
    <cellStyle name="Data   - Style2 4 5 2 8" xfId="18362" xr:uid="{00000000-0005-0000-0000-00001C430000}"/>
    <cellStyle name="Data   - Style2 4 5 2 9" xfId="18363" xr:uid="{00000000-0005-0000-0000-00001D430000}"/>
    <cellStyle name="Data   - Style2 4 5 3" xfId="18364" xr:uid="{00000000-0005-0000-0000-00001E430000}"/>
    <cellStyle name="Data   - Style2 4 5 3 2" xfId="18365" xr:uid="{00000000-0005-0000-0000-00001F430000}"/>
    <cellStyle name="Data   - Style2 4 5 3 3" xfId="18366" xr:uid="{00000000-0005-0000-0000-000020430000}"/>
    <cellStyle name="Data   - Style2 4 5 4" xfId="18367" xr:uid="{00000000-0005-0000-0000-000021430000}"/>
    <cellStyle name="Data   - Style2 4 5 4 2" xfId="18368" xr:uid="{00000000-0005-0000-0000-000022430000}"/>
    <cellStyle name="Data   - Style2 4 5 4 3" xfId="18369" xr:uid="{00000000-0005-0000-0000-000023430000}"/>
    <cellStyle name="Data   - Style2 4 5 5" xfId="18370" xr:uid="{00000000-0005-0000-0000-000024430000}"/>
    <cellStyle name="Data   - Style2 4 5 5 2" xfId="18371" xr:uid="{00000000-0005-0000-0000-000025430000}"/>
    <cellStyle name="Data   - Style2 4 5 5 3" xfId="18372" xr:uid="{00000000-0005-0000-0000-000026430000}"/>
    <cellStyle name="Data   - Style2 4 5 6" xfId="18373" xr:uid="{00000000-0005-0000-0000-000027430000}"/>
    <cellStyle name="Data   - Style2 4 5 6 2" xfId="18374" xr:uid="{00000000-0005-0000-0000-000028430000}"/>
    <cellStyle name="Data   - Style2 4 5 6 3" xfId="18375" xr:uid="{00000000-0005-0000-0000-000029430000}"/>
    <cellStyle name="Data   - Style2 4 5 7" xfId="18376" xr:uid="{00000000-0005-0000-0000-00002A430000}"/>
    <cellStyle name="Data   - Style2 4 5 7 2" xfId="18377" xr:uid="{00000000-0005-0000-0000-00002B430000}"/>
    <cellStyle name="Data   - Style2 4 5 7 3" xfId="18378" xr:uid="{00000000-0005-0000-0000-00002C430000}"/>
    <cellStyle name="Data   - Style2 4 5 8" xfId="18379" xr:uid="{00000000-0005-0000-0000-00002D430000}"/>
    <cellStyle name="Data   - Style2 4 5 8 2" xfId="18380" xr:uid="{00000000-0005-0000-0000-00002E430000}"/>
    <cellStyle name="Data   - Style2 4 5 8 3" xfId="18381" xr:uid="{00000000-0005-0000-0000-00002F430000}"/>
    <cellStyle name="Data   - Style2 4 5 9" xfId="18382" xr:uid="{00000000-0005-0000-0000-000030430000}"/>
    <cellStyle name="Data   - Style2 4 6" xfId="18383" xr:uid="{00000000-0005-0000-0000-000031430000}"/>
    <cellStyle name="Data   - Style2 4 6 2" xfId="18384" xr:uid="{00000000-0005-0000-0000-000032430000}"/>
    <cellStyle name="Data   - Style2 4 6 2 2" xfId="18385" xr:uid="{00000000-0005-0000-0000-000033430000}"/>
    <cellStyle name="Data   - Style2 4 6 2 3" xfId="18386" xr:uid="{00000000-0005-0000-0000-000034430000}"/>
    <cellStyle name="Data   - Style2 4 6 3" xfId="18387" xr:uid="{00000000-0005-0000-0000-000035430000}"/>
    <cellStyle name="Data   - Style2 4 6 3 2" xfId="18388" xr:uid="{00000000-0005-0000-0000-000036430000}"/>
    <cellStyle name="Data   - Style2 4 6 3 3" xfId="18389" xr:uid="{00000000-0005-0000-0000-000037430000}"/>
    <cellStyle name="Data   - Style2 4 6 4" xfId="18390" xr:uid="{00000000-0005-0000-0000-000038430000}"/>
    <cellStyle name="Data   - Style2 4 6 4 2" xfId="18391" xr:uid="{00000000-0005-0000-0000-000039430000}"/>
    <cellStyle name="Data   - Style2 4 6 4 3" xfId="18392" xr:uid="{00000000-0005-0000-0000-00003A430000}"/>
    <cellStyle name="Data   - Style2 4 6 5" xfId="18393" xr:uid="{00000000-0005-0000-0000-00003B430000}"/>
    <cellStyle name="Data   - Style2 4 6 5 2" xfId="18394" xr:uid="{00000000-0005-0000-0000-00003C430000}"/>
    <cellStyle name="Data   - Style2 4 6 5 3" xfId="18395" xr:uid="{00000000-0005-0000-0000-00003D430000}"/>
    <cellStyle name="Data   - Style2 4 6 6" xfId="18396" xr:uid="{00000000-0005-0000-0000-00003E430000}"/>
    <cellStyle name="Data   - Style2 4 6 6 2" xfId="18397" xr:uid="{00000000-0005-0000-0000-00003F430000}"/>
    <cellStyle name="Data   - Style2 4 6 6 3" xfId="18398" xr:uid="{00000000-0005-0000-0000-000040430000}"/>
    <cellStyle name="Data   - Style2 4 6 7" xfId="18399" xr:uid="{00000000-0005-0000-0000-000041430000}"/>
    <cellStyle name="Data   - Style2 4 6 7 2" xfId="18400" xr:uid="{00000000-0005-0000-0000-000042430000}"/>
    <cellStyle name="Data   - Style2 4 6 7 3" xfId="18401" xr:uid="{00000000-0005-0000-0000-000043430000}"/>
    <cellStyle name="Data   - Style2 4 6 8" xfId="18402" xr:uid="{00000000-0005-0000-0000-000044430000}"/>
    <cellStyle name="Data   - Style2 4 6 9" xfId="18403" xr:uid="{00000000-0005-0000-0000-000045430000}"/>
    <cellStyle name="Data   - Style2 4 7" xfId="18404" xr:uid="{00000000-0005-0000-0000-000046430000}"/>
    <cellStyle name="Data   - Style2 4 7 2" xfId="18405" xr:uid="{00000000-0005-0000-0000-000047430000}"/>
    <cellStyle name="Data   - Style2 4 7 3" xfId="18406" xr:uid="{00000000-0005-0000-0000-000048430000}"/>
    <cellStyle name="Data   - Style2 4 8" xfId="18407" xr:uid="{00000000-0005-0000-0000-000049430000}"/>
    <cellStyle name="Data   - Style2 4 8 2" xfId="18408" xr:uid="{00000000-0005-0000-0000-00004A430000}"/>
    <cellStyle name="Data   - Style2 4 8 3" xfId="18409" xr:uid="{00000000-0005-0000-0000-00004B430000}"/>
    <cellStyle name="Data   - Style2 4 9" xfId="44050" xr:uid="{00000000-0005-0000-0000-00004C430000}"/>
    <cellStyle name="Data   - Style2 5" xfId="18410" xr:uid="{00000000-0005-0000-0000-00004D430000}"/>
    <cellStyle name="Data   - Style2 5 2" xfId="18411" xr:uid="{00000000-0005-0000-0000-00004E430000}"/>
    <cellStyle name="Data   - Style2 5 2 10" xfId="18412" xr:uid="{00000000-0005-0000-0000-00004F430000}"/>
    <cellStyle name="Data   - Style2 5 2 2" xfId="18413" xr:uid="{00000000-0005-0000-0000-000050430000}"/>
    <cellStyle name="Data   - Style2 5 2 2 2" xfId="18414" xr:uid="{00000000-0005-0000-0000-000051430000}"/>
    <cellStyle name="Data   - Style2 5 2 2 2 2" xfId="18415" xr:uid="{00000000-0005-0000-0000-000052430000}"/>
    <cellStyle name="Data   - Style2 5 2 2 2 3" xfId="18416" xr:uid="{00000000-0005-0000-0000-000053430000}"/>
    <cellStyle name="Data   - Style2 5 2 2 3" xfId="18417" xr:uid="{00000000-0005-0000-0000-000054430000}"/>
    <cellStyle name="Data   - Style2 5 2 2 3 2" xfId="18418" xr:uid="{00000000-0005-0000-0000-000055430000}"/>
    <cellStyle name="Data   - Style2 5 2 2 3 3" xfId="18419" xr:uid="{00000000-0005-0000-0000-000056430000}"/>
    <cellStyle name="Data   - Style2 5 2 2 4" xfId="18420" xr:uid="{00000000-0005-0000-0000-000057430000}"/>
    <cellStyle name="Data   - Style2 5 2 2 4 2" xfId="18421" xr:uid="{00000000-0005-0000-0000-000058430000}"/>
    <cellStyle name="Data   - Style2 5 2 2 4 3" xfId="18422" xr:uid="{00000000-0005-0000-0000-000059430000}"/>
    <cellStyle name="Data   - Style2 5 2 2 5" xfId="18423" xr:uid="{00000000-0005-0000-0000-00005A430000}"/>
    <cellStyle name="Data   - Style2 5 2 2 5 2" xfId="18424" xr:uid="{00000000-0005-0000-0000-00005B430000}"/>
    <cellStyle name="Data   - Style2 5 2 2 5 3" xfId="18425" xr:uid="{00000000-0005-0000-0000-00005C430000}"/>
    <cellStyle name="Data   - Style2 5 2 2 6" xfId="18426" xr:uid="{00000000-0005-0000-0000-00005D430000}"/>
    <cellStyle name="Data   - Style2 5 2 2 6 2" xfId="18427" xr:uid="{00000000-0005-0000-0000-00005E430000}"/>
    <cellStyle name="Data   - Style2 5 2 2 6 3" xfId="18428" xr:uid="{00000000-0005-0000-0000-00005F430000}"/>
    <cellStyle name="Data   - Style2 5 2 2 7" xfId="18429" xr:uid="{00000000-0005-0000-0000-000060430000}"/>
    <cellStyle name="Data   - Style2 5 2 2 7 2" xfId="18430" xr:uid="{00000000-0005-0000-0000-000061430000}"/>
    <cellStyle name="Data   - Style2 5 2 2 7 3" xfId="18431" xr:uid="{00000000-0005-0000-0000-000062430000}"/>
    <cellStyle name="Data   - Style2 5 2 2 8" xfId="18432" xr:uid="{00000000-0005-0000-0000-000063430000}"/>
    <cellStyle name="Data   - Style2 5 2 2 9" xfId="18433" xr:uid="{00000000-0005-0000-0000-000064430000}"/>
    <cellStyle name="Data   - Style2 5 2 3" xfId="18434" xr:uid="{00000000-0005-0000-0000-000065430000}"/>
    <cellStyle name="Data   - Style2 5 2 3 2" xfId="18435" xr:uid="{00000000-0005-0000-0000-000066430000}"/>
    <cellStyle name="Data   - Style2 5 2 3 3" xfId="18436" xr:uid="{00000000-0005-0000-0000-000067430000}"/>
    <cellStyle name="Data   - Style2 5 2 4" xfId="18437" xr:uid="{00000000-0005-0000-0000-000068430000}"/>
    <cellStyle name="Data   - Style2 5 2 4 2" xfId="18438" xr:uid="{00000000-0005-0000-0000-000069430000}"/>
    <cellStyle name="Data   - Style2 5 2 4 3" xfId="18439" xr:uid="{00000000-0005-0000-0000-00006A430000}"/>
    <cellStyle name="Data   - Style2 5 2 5" xfId="18440" xr:uid="{00000000-0005-0000-0000-00006B430000}"/>
    <cellStyle name="Data   - Style2 5 2 5 2" xfId="18441" xr:uid="{00000000-0005-0000-0000-00006C430000}"/>
    <cellStyle name="Data   - Style2 5 2 5 3" xfId="18442" xr:uid="{00000000-0005-0000-0000-00006D430000}"/>
    <cellStyle name="Data   - Style2 5 2 6" xfId="18443" xr:uid="{00000000-0005-0000-0000-00006E430000}"/>
    <cellStyle name="Data   - Style2 5 2 6 2" xfId="18444" xr:uid="{00000000-0005-0000-0000-00006F430000}"/>
    <cellStyle name="Data   - Style2 5 2 6 3" xfId="18445" xr:uid="{00000000-0005-0000-0000-000070430000}"/>
    <cellStyle name="Data   - Style2 5 2 7" xfId="18446" xr:uid="{00000000-0005-0000-0000-000071430000}"/>
    <cellStyle name="Data   - Style2 5 2 7 2" xfId="18447" xr:uid="{00000000-0005-0000-0000-000072430000}"/>
    <cellStyle name="Data   - Style2 5 2 7 3" xfId="18448" xr:uid="{00000000-0005-0000-0000-000073430000}"/>
    <cellStyle name="Data   - Style2 5 2 8" xfId="18449" xr:uid="{00000000-0005-0000-0000-000074430000}"/>
    <cellStyle name="Data   - Style2 5 2 8 2" xfId="18450" xr:uid="{00000000-0005-0000-0000-000075430000}"/>
    <cellStyle name="Data   - Style2 5 2 8 3" xfId="18451" xr:uid="{00000000-0005-0000-0000-000076430000}"/>
    <cellStyle name="Data   - Style2 5 2 9" xfId="18452" xr:uid="{00000000-0005-0000-0000-000077430000}"/>
    <cellStyle name="Data   - Style2 5 3" xfId="18453" xr:uid="{00000000-0005-0000-0000-000078430000}"/>
    <cellStyle name="Data   - Style2 5 3 10" xfId="18454" xr:uid="{00000000-0005-0000-0000-000079430000}"/>
    <cellStyle name="Data   - Style2 5 3 2" xfId="18455" xr:uid="{00000000-0005-0000-0000-00007A430000}"/>
    <cellStyle name="Data   - Style2 5 3 2 2" xfId="18456" xr:uid="{00000000-0005-0000-0000-00007B430000}"/>
    <cellStyle name="Data   - Style2 5 3 2 2 2" xfId="18457" xr:uid="{00000000-0005-0000-0000-00007C430000}"/>
    <cellStyle name="Data   - Style2 5 3 2 2 3" xfId="18458" xr:uid="{00000000-0005-0000-0000-00007D430000}"/>
    <cellStyle name="Data   - Style2 5 3 2 3" xfId="18459" xr:uid="{00000000-0005-0000-0000-00007E430000}"/>
    <cellStyle name="Data   - Style2 5 3 2 3 2" xfId="18460" xr:uid="{00000000-0005-0000-0000-00007F430000}"/>
    <cellStyle name="Data   - Style2 5 3 2 3 3" xfId="18461" xr:uid="{00000000-0005-0000-0000-000080430000}"/>
    <cellStyle name="Data   - Style2 5 3 2 4" xfId="18462" xr:uid="{00000000-0005-0000-0000-000081430000}"/>
    <cellStyle name="Data   - Style2 5 3 2 4 2" xfId="18463" xr:uid="{00000000-0005-0000-0000-000082430000}"/>
    <cellStyle name="Data   - Style2 5 3 2 4 3" xfId="18464" xr:uid="{00000000-0005-0000-0000-000083430000}"/>
    <cellStyle name="Data   - Style2 5 3 2 5" xfId="18465" xr:uid="{00000000-0005-0000-0000-000084430000}"/>
    <cellStyle name="Data   - Style2 5 3 2 5 2" xfId="18466" xr:uid="{00000000-0005-0000-0000-000085430000}"/>
    <cellStyle name="Data   - Style2 5 3 2 5 3" xfId="18467" xr:uid="{00000000-0005-0000-0000-000086430000}"/>
    <cellStyle name="Data   - Style2 5 3 2 6" xfId="18468" xr:uid="{00000000-0005-0000-0000-000087430000}"/>
    <cellStyle name="Data   - Style2 5 3 2 6 2" xfId="18469" xr:uid="{00000000-0005-0000-0000-000088430000}"/>
    <cellStyle name="Data   - Style2 5 3 2 6 3" xfId="18470" xr:uid="{00000000-0005-0000-0000-000089430000}"/>
    <cellStyle name="Data   - Style2 5 3 2 7" xfId="18471" xr:uid="{00000000-0005-0000-0000-00008A430000}"/>
    <cellStyle name="Data   - Style2 5 3 2 7 2" xfId="18472" xr:uid="{00000000-0005-0000-0000-00008B430000}"/>
    <cellStyle name="Data   - Style2 5 3 2 7 3" xfId="18473" xr:uid="{00000000-0005-0000-0000-00008C430000}"/>
    <cellStyle name="Data   - Style2 5 3 2 8" xfId="18474" xr:uid="{00000000-0005-0000-0000-00008D430000}"/>
    <cellStyle name="Data   - Style2 5 3 2 9" xfId="18475" xr:uid="{00000000-0005-0000-0000-00008E430000}"/>
    <cellStyle name="Data   - Style2 5 3 3" xfId="18476" xr:uid="{00000000-0005-0000-0000-00008F430000}"/>
    <cellStyle name="Data   - Style2 5 3 3 2" xfId="18477" xr:uid="{00000000-0005-0000-0000-000090430000}"/>
    <cellStyle name="Data   - Style2 5 3 3 3" xfId="18478" xr:uid="{00000000-0005-0000-0000-000091430000}"/>
    <cellStyle name="Data   - Style2 5 3 4" xfId="18479" xr:uid="{00000000-0005-0000-0000-000092430000}"/>
    <cellStyle name="Data   - Style2 5 3 4 2" xfId="18480" xr:uid="{00000000-0005-0000-0000-000093430000}"/>
    <cellStyle name="Data   - Style2 5 3 4 3" xfId="18481" xr:uid="{00000000-0005-0000-0000-000094430000}"/>
    <cellStyle name="Data   - Style2 5 3 5" xfId="18482" xr:uid="{00000000-0005-0000-0000-000095430000}"/>
    <cellStyle name="Data   - Style2 5 3 5 2" xfId="18483" xr:uid="{00000000-0005-0000-0000-000096430000}"/>
    <cellStyle name="Data   - Style2 5 3 5 3" xfId="18484" xr:uid="{00000000-0005-0000-0000-000097430000}"/>
    <cellStyle name="Data   - Style2 5 3 6" xfId="18485" xr:uid="{00000000-0005-0000-0000-000098430000}"/>
    <cellStyle name="Data   - Style2 5 3 6 2" xfId="18486" xr:uid="{00000000-0005-0000-0000-000099430000}"/>
    <cellStyle name="Data   - Style2 5 3 6 3" xfId="18487" xr:uid="{00000000-0005-0000-0000-00009A430000}"/>
    <cellStyle name="Data   - Style2 5 3 7" xfId="18488" xr:uid="{00000000-0005-0000-0000-00009B430000}"/>
    <cellStyle name="Data   - Style2 5 3 7 2" xfId="18489" xr:uid="{00000000-0005-0000-0000-00009C430000}"/>
    <cellStyle name="Data   - Style2 5 3 7 3" xfId="18490" xr:uid="{00000000-0005-0000-0000-00009D430000}"/>
    <cellStyle name="Data   - Style2 5 3 8" xfId="18491" xr:uid="{00000000-0005-0000-0000-00009E430000}"/>
    <cellStyle name="Data   - Style2 5 3 8 2" xfId="18492" xr:uid="{00000000-0005-0000-0000-00009F430000}"/>
    <cellStyle name="Data   - Style2 5 3 8 3" xfId="18493" xr:uid="{00000000-0005-0000-0000-0000A0430000}"/>
    <cellStyle name="Data   - Style2 5 3 9" xfId="18494" xr:uid="{00000000-0005-0000-0000-0000A1430000}"/>
    <cellStyle name="Data   - Style2 5 4" xfId="18495" xr:uid="{00000000-0005-0000-0000-0000A2430000}"/>
    <cellStyle name="Data   - Style2 5 4 10" xfId="18496" xr:uid="{00000000-0005-0000-0000-0000A3430000}"/>
    <cellStyle name="Data   - Style2 5 4 2" xfId="18497" xr:uid="{00000000-0005-0000-0000-0000A4430000}"/>
    <cellStyle name="Data   - Style2 5 4 2 2" xfId="18498" xr:uid="{00000000-0005-0000-0000-0000A5430000}"/>
    <cellStyle name="Data   - Style2 5 4 2 2 2" xfId="18499" xr:uid="{00000000-0005-0000-0000-0000A6430000}"/>
    <cellStyle name="Data   - Style2 5 4 2 2 3" xfId="18500" xr:uid="{00000000-0005-0000-0000-0000A7430000}"/>
    <cellStyle name="Data   - Style2 5 4 2 3" xfId="18501" xr:uid="{00000000-0005-0000-0000-0000A8430000}"/>
    <cellStyle name="Data   - Style2 5 4 2 3 2" xfId="18502" xr:uid="{00000000-0005-0000-0000-0000A9430000}"/>
    <cellStyle name="Data   - Style2 5 4 2 3 3" xfId="18503" xr:uid="{00000000-0005-0000-0000-0000AA430000}"/>
    <cellStyle name="Data   - Style2 5 4 2 4" xfId="18504" xr:uid="{00000000-0005-0000-0000-0000AB430000}"/>
    <cellStyle name="Data   - Style2 5 4 2 4 2" xfId="18505" xr:uid="{00000000-0005-0000-0000-0000AC430000}"/>
    <cellStyle name="Data   - Style2 5 4 2 4 3" xfId="18506" xr:uid="{00000000-0005-0000-0000-0000AD430000}"/>
    <cellStyle name="Data   - Style2 5 4 2 5" xfId="18507" xr:uid="{00000000-0005-0000-0000-0000AE430000}"/>
    <cellStyle name="Data   - Style2 5 4 2 5 2" xfId="18508" xr:uid="{00000000-0005-0000-0000-0000AF430000}"/>
    <cellStyle name="Data   - Style2 5 4 2 5 3" xfId="18509" xr:uid="{00000000-0005-0000-0000-0000B0430000}"/>
    <cellStyle name="Data   - Style2 5 4 2 6" xfId="18510" xr:uid="{00000000-0005-0000-0000-0000B1430000}"/>
    <cellStyle name="Data   - Style2 5 4 2 6 2" xfId="18511" xr:uid="{00000000-0005-0000-0000-0000B2430000}"/>
    <cellStyle name="Data   - Style2 5 4 2 6 3" xfId="18512" xr:uid="{00000000-0005-0000-0000-0000B3430000}"/>
    <cellStyle name="Data   - Style2 5 4 2 7" xfId="18513" xr:uid="{00000000-0005-0000-0000-0000B4430000}"/>
    <cellStyle name="Data   - Style2 5 4 2 7 2" xfId="18514" xr:uid="{00000000-0005-0000-0000-0000B5430000}"/>
    <cellStyle name="Data   - Style2 5 4 2 7 3" xfId="18515" xr:uid="{00000000-0005-0000-0000-0000B6430000}"/>
    <cellStyle name="Data   - Style2 5 4 2 8" xfId="18516" xr:uid="{00000000-0005-0000-0000-0000B7430000}"/>
    <cellStyle name="Data   - Style2 5 4 2 9" xfId="18517" xr:uid="{00000000-0005-0000-0000-0000B8430000}"/>
    <cellStyle name="Data   - Style2 5 4 3" xfId="18518" xr:uid="{00000000-0005-0000-0000-0000B9430000}"/>
    <cellStyle name="Data   - Style2 5 4 3 2" xfId="18519" xr:uid="{00000000-0005-0000-0000-0000BA430000}"/>
    <cellStyle name="Data   - Style2 5 4 3 3" xfId="18520" xr:uid="{00000000-0005-0000-0000-0000BB430000}"/>
    <cellStyle name="Data   - Style2 5 4 4" xfId="18521" xr:uid="{00000000-0005-0000-0000-0000BC430000}"/>
    <cellStyle name="Data   - Style2 5 4 4 2" xfId="18522" xr:uid="{00000000-0005-0000-0000-0000BD430000}"/>
    <cellStyle name="Data   - Style2 5 4 4 3" xfId="18523" xr:uid="{00000000-0005-0000-0000-0000BE430000}"/>
    <cellStyle name="Data   - Style2 5 4 5" xfId="18524" xr:uid="{00000000-0005-0000-0000-0000BF430000}"/>
    <cellStyle name="Data   - Style2 5 4 5 2" xfId="18525" xr:uid="{00000000-0005-0000-0000-0000C0430000}"/>
    <cellStyle name="Data   - Style2 5 4 5 3" xfId="18526" xr:uid="{00000000-0005-0000-0000-0000C1430000}"/>
    <cellStyle name="Data   - Style2 5 4 6" xfId="18527" xr:uid="{00000000-0005-0000-0000-0000C2430000}"/>
    <cellStyle name="Data   - Style2 5 4 6 2" xfId="18528" xr:uid="{00000000-0005-0000-0000-0000C3430000}"/>
    <cellStyle name="Data   - Style2 5 4 6 3" xfId="18529" xr:uid="{00000000-0005-0000-0000-0000C4430000}"/>
    <cellStyle name="Data   - Style2 5 4 7" xfId="18530" xr:uid="{00000000-0005-0000-0000-0000C5430000}"/>
    <cellStyle name="Data   - Style2 5 4 7 2" xfId="18531" xr:uid="{00000000-0005-0000-0000-0000C6430000}"/>
    <cellStyle name="Data   - Style2 5 4 7 3" xfId="18532" xr:uid="{00000000-0005-0000-0000-0000C7430000}"/>
    <cellStyle name="Data   - Style2 5 4 8" xfId="18533" xr:uid="{00000000-0005-0000-0000-0000C8430000}"/>
    <cellStyle name="Data   - Style2 5 4 8 2" xfId="18534" xr:uid="{00000000-0005-0000-0000-0000C9430000}"/>
    <cellStyle name="Data   - Style2 5 4 8 3" xfId="18535" xr:uid="{00000000-0005-0000-0000-0000CA430000}"/>
    <cellStyle name="Data   - Style2 5 4 9" xfId="18536" xr:uid="{00000000-0005-0000-0000-0000CB430000}"/>
    <cellStyle name="Data   - Style2 5 5" xfId="18537" xr:uid="{00000000-0005-0000-0000-0000CC430000}"/>
    <cellStyle name="Data   - Style2 5 5 10" xfId="18538" xr:uid="{00000000-0005-0000-0000-0000CD430000}"/>
    <cellStyle name="Data   - Style2 5 5 2" xfId="18539" xr:uid="{00000000-0005-0000-0000-0000CE430000}"/>
    <cellStyle name="Data   - Style2 5 5 2 2" xfId="18540" xr:uid="{00000000-0005-0000-0000-0000CF430000}"/>
    <cellStyle name="Data   - Style2 5 5 2 2 2" xfId="18541" xr:uid="{00000000-0005-0000-0000-0000D0430000}"/>
    <cellStyle name="Data   - Style2 5 5 2 2 3" xfId="18542" xr:uid="{00000000-0005-0000-0000-0000D1430000}"/>
    <cellStyle name="Data   - Style2 5 5 2 3" xfId="18543" xr:uid="{00000000-0005-0000-0000-0000D2430000}"/>
    <cellStyle name="Data   - Style2 5 5 2 3 2" xfId="18544" xr:uid="{00000000-0005-0000-0000-0000D3430000}"/>
    <cellStyle name="Data   - Style2 5 5 2 3 3" xfId="18545" xr:uid="{00000000-0005-0000-0000-0000D4430000}"/>
    <cellStyle name="Data   - Style2 5 5 2 4" xfId="18546" xr:uid="{00000000-0005-0000-0000-0000D5430000}"/>
    <cellStyle name="Data   - Style2 5 5 2 4 2" xfId="18547" xr:uid="{00000000-0005-0000-0000-0000D6430000}"/>
    <cellStyle name="Data   - Style2 5 5 2 4 3" xfId="18548" xr:uid="{00000000-0005-0000-0000-0000D7430000}"/>
    <cellStyle name="Data   - Style2 5 5 2 5" xfId="18549" xr:uid="{00000000-0005-0000-0000-0000D8430000}"/>
    <cellStyle name="Data   - Style2 5 5 2 5 2" xfId="18550" xr:uid="{00000000-0005-0000-0000-0000D9430000}"/>
    <cellStyle name="Data   - Style2 5 5 2 5 3" xfId="18551" xr:uid="{00000000-0005-0000-0000-0000DA430000}"/>
    <cellStyle name="Data   - Style2 5 5 2 6" xfId="18552" xr:uid="{00000000-0005-0000-0000-0000DB430000}"/>
    <cellStyle name="Data   - Style2 5 5 2 6 2" xfId="18553" xr:uid="{00000000-0005-0000-0000-0000DC430000}"/>
    <cellStyle name="Data   - Style2 5 5 2 6 3" xfId="18554" xr:uid="{00000000-0005-0000-0000-0000DD430000}"/>
    <cellStyle name="Data   - Style2 5 5 2 7" xfId="18555" xr:uid="{00000000-0005-0000-0000-0000DE430000}"/>
    <cellStyle name="Data   - Style2 5 5 2 7 2" xfId="18556" xr:uid="{00000000-0005-0000-0000-0000DF430000}"/>
    <cellStyle name="Data   - Style2 5 5 2 7 3" xfId="18557" xr:uid="{00000000-0005-0000-0000-0000E0430000}"/>
    <cellStyle name="Data   - Style2 5 5 2 8" xfId="18558" xr:uid="{00000000-0005-0000-0000-0000E1430000}"/>
    <cellStyle name="Data   - Style2 5 5 2 9" xfId="18559" xr:uid="{00000000-0005-0000-0000-0000E2430000}"/>
    <cellStyle name="Data   - Style2 5 5 3" xfId="18560" xr:uid="{00000000-0005-0000-0000-0000E3430000}"/>
    <cellStyle name="Data   - Style2 5 5 3 2" xfId="18561" xr:uid="{00000000-0005-0000-0000-0000E4430000}"/>
    <cellStyle name="Data   - Style2 5 5 3 3" xfId="18562" xr:uid="{00000000-0005-0000-0000-0000E5430000}"/>
    <cellStyle name="Data   - Style2 5 5 4" xfId="18563" xr:uid="{00000000-0005-0000-0000-0000E6430000}"/>
    <cellStyle name="Data   - Style2 5 5 4 2" xfId="18564" xr:uid="{00000000-0005-0000-0000-0000E7430000}"/>
    <cellStyle name="Data   - Style2 5 5 4 3" xfId="18565" xr:uid="{00000000-0005-0000-0000-0000E8430000}"/>
    <cellStyle name="Data   - Style2 5 5 5" xfId="18566" xr:uid="{00000000-0005-0000-0000-0000E9430000}"/>
    <cellStyle name="Data   - Style2 5 5 5 2" xfId="18567" xr:uid="{00000000-0005-0000-0000-0000EA430000}"/>
    <cellStyle name="Data   - Style2 5 5 5 3" xfId="18568" xr:uid="{00000000-0005-0000-0000-0000EB430000}"/>
    <cellStyle name="Data   - Style2 5 5 6" xfId="18569" xr:uid="{00000000-0005-0000-0000-0000EC430000}"/>
    <cellStyle name="Data   - Style2 5 5 6 2" xfId="18570" xr:uid="{00000000-0005-0000-0000-0000ED430000}"/>
    <cellStyle name="Data   - Style2 5 5 6 3" xfId="18571" xr:uid="{00000000-0005-0000-0000-0000EE430000}"/>
    <cellStyle name="Data   - Style2 5 5 7" xfId="18572" xr:uid="{00000000-0005-0000-0000-0000EF430000}"/>
    <cellStyle name="Data   - Style2 5 5 7 2" xfId="18573" xr:uid="{00000000-0005-0000-0000-0000F0430000}"/>
    <cellStyle name="Data   - Style2 5 5 7 3" xfId="18574" xr:uid="{00000000-0005-0000-0000-0000F1430000}"/>
    <cellStyle name="Data   - Style2 5 5 8" xfId="18575" xr:uid="{00000000-0005-0000-0000-0000F2430000}"/>
    <cellStyle name="Data   - Style2 5 5 8 2" xfId="18576" xr:uid="{00000000-0005-0000-0000-0000F3430000}"/>
    <cellStyle name="Data   - Style2 5 5 8 3" xfId="18577" xr:uid="{00000000-0005-0000-0000-0000F4430000}"/>
    <cellStyle name="Data   - Style2 5 5 9" xfId="18578" xr:uid="{00000000-0005-0000-0000-0000F5430000}"/>
    <cellStyle name="Data   - Style2 5 6" xfId="18579" xr:uid="{00000000-0005-0000-0000-0000F6430000}"/>
    <cellStyle name="Data   - Style2 5 6 2" xfId="18580" xr:uid="{00000000-0005-0000-0000-0000F7430000}"/>
    <cellStyle name="Data   - Style2 5 6 2 2" xfId="18581" xr:uid="{00000000-0005-0000-0000-0000F8430000}"/>
    <cellStyle name="Data   - Style2 5 6 2 3" xfId="18582" xr:uid="{00000000-0005-0000-0000-0000F9430000}"/>
    <cellStyle name="Data   - Style2 5 6 3" xfId="18583" xr:uid="{00000000-0005-0000-0000-0000FA430000}"/>
    <cellStyle name="Data   - Style2 5 6 3 2" xfId="18584" xr:uid="{00000000-0005-0000-0000-0000FB430000}"/>
    <cellStyle name="Data   - Style2 5 6 3 3" xfId="18585" xr:uid="{00000000-0005-0000-0000-0000FC430000}"/>
    <cellStyle name="Data   - Style2 5 6 4" xfId="18586" xr:uid="{00000000-0005-0000-0000-0000FD430000}"/>
    <cellStyle name="Data   - Style2 5 6 4 2" xfId="18587" xr:uid="{00000000-0005-0000-0000-0000FE430000}"/>
    <cellStyle name="Data   - Style2 5 6 4 3" xfId="18588" xr:uid="{00000000-0005-0000-0000-0000FF430000}"/>
    <cellStyle name="Data   - Style2 5 6 5" xfId="18589" xr:uid="{00000000-0005-0000-0000-000000440000}"/>
    <cellStyle name="Data   - Style2 5 6 5 2" xfId="18590" xr:uid="{00000000-0005-0000-0000-000001440000}"/>
    <cellStyle name="Data   - Style2 5 6 5 3" xfId="18591" xr:uid="{00000000-0005-0000-0000-000002440000}"/>
    <cellStyle name="Data   - Style2 5 6 6" xfId="18592" xr:uid="{00000000-0005-0000-0000-000003440000}"/>
    <cellStyle name="Data   - Style2 5 6 6 2" xfId="18593" xr:uid="{00000000-0005-0000-0000-000004440000}"/>
    <cellStyle name="Data   - Style2 5 6 6 3" xfId="18594" xr:uid="{00000000-0005-0000-0000-000005440000}"/>
    <cellStyle name="Data   - Style2 5 6 7" xfId="18595" xr:uid="{00000000-0005-0000-0000-000006440000}"/>
    <cellStyle name="Data   - Style2 5 6 7 2" xfId="18596" xr:uid="{00000000-0005-0000-0000-000007440000}"/>
    <cellStyle name="Data   - Style2 5 6 7 3" xfId="18597" xr:uid="{00000000-0005-0000-0000-000008440000}"/>
    <cellStyle name="Data   - Style2 5 6 8" xfId="18598" xr:uid="{00000000-0005-0000-0000-000009440000}"/>
    <cellStyle name="Data   - Style2 5 6 9" xfId="18599" xr:uid="{00000000-0005-0000-0000-00000A440000}"/>
    <cellStyle name="Data   - Style2 5 7" xfId="18600" xr:uid="{00000000-0005-0000-0000-00000B440000}"/>
    <cellStyle name="Data   - Style2 5 7 2" xfId="18601" xr:uid="{00000000-0005-0000-0000-00000C440000}"/>
    <cellStyle name="Data   - Style2 5 7 3" xfId="18602" xr:uid="{00000000-0005-0000-0000-00000D440000}"/>
    <cellStyle name="Data   - Style2 5 8" xfId="18603" xr:uid="{00000000-0005-0000-0000-00000E440000}"/>
    <cellStyle name="Data   - Style2 5 8 2" xfId="18604" xr:uid="{00000000-0005-0000-0000-00000F440000}"/>
    <cellStyle name="Data   - Style2 5 8 3" xfId="18605" xr:uid="{00000000-0005-0000-0000-000010440000}"/>
    <cellStyle name="Data   - Style2 5 9" xfId="44051" xr:uid="{00000000-0005-0000-0000-000011440000}"/>
    <cellStyle name="Data   - Style2 6" xfId="18606" xr:uid="{00000000-0005-0000-0000-000012440000}"/>
    <cellStyle name="Data   - Style2 6 10" xfId="18607" xr:uid="{00000000-0005-0000-0000-000013440000}"/>
    <cellStyle name="Data   - Style2 6 2" xfId="18608" xr:uid="{00000000-0005-0000-0000-000014440000}"/>
    <cellStyle name="Data   - Style2 6 2 2" xfId="18609" xr:uid="{00000000-0005-0000-0000-000015440000}"/>
    <cellStyle name="Data   - Style2 6 2 2 2" xfId="18610" xr:uid="{00000000-0005-0000-0000-000016440000}"/>
    <cellStyle name="Data   - Style2 6 2 2 3" xfId="18611" xr:uid="{00000000-0005-0000-0000-000017440000}"/>
    <cellStyle name="Data   - Style2 6 2 3" xfId="18612" xr:uid="{00000000-0005-0000-0000-000018440000}"/>
    <cellStyle name="Data   - Style2 6 2 3 2" xfId="18613" xr:uid="{00000000-0005-0000-0000-000019440000}"/>
    <cellStyle name="Data   - Style2 6 2 3 3" xfId="18614" xr:uid="{00000000-0005-0000-0000-00001A440000}"/>
    <cellStyle name="Data   - Style2 6 2 4" xfId="18615" xr:uid="{00000000-0005-0000-0000-00001B440000}"/>
    <cellStyle name="Data   - Style2 6 2 4 2" xfId="18616" xr:uid="{00000000-0005-0000-0000-00001C440000}"/>
    <cellStyle name="Data   - Style2 6 2 4 3" xfId="18617" xr:uid="{00000000-0005-0000-0000-00001D440000}"/>
    <cellStyle name="Data   - Style2 6 2 5" xfId="18618" xr:uid="{00000000-0005-0000-0000-00001E440000}"/>
    <cellStyle name="Data   - Style2 6 2 5 2" xfId="18619" xr:uid="{00000000-0005-0000-0000-00001F440000}"/>
    <cellStyle name="Data   - Style2 6 2 5 3" xfId="18620" xr:uid="{00000000-0005-0000-0000-000020440000}"/>
    <cellStyle name="Data   - Style2 6 2 6" xfId="18621" xr:uid="{00000000-0005-0000-0000-000021440000}"/>
    <cellStyle name="Data   - Style2 6 2 6 2" xfId="18622" xr:uid="{00000000-0005-0000-0000-000022440000}"/>
    <cellStyle name="Data   - Style2 6 2 6 3" xfId="18623" xr:uid="{00000000-0005-0000-0000-000023440000}"/>
    <cellStyle name="Data   - Style2 6 2 7" xfId="18624" xr:uid="{00000000-0005-0000-0000-000024440000}"/>
    <cellStyle name="Data   - Style2 6 2 7 2" xfId="18625" xr:uid="{00000000-0005-0000-0000-000025440000}"/>
    <cellStyle name="Data   - Style2 6 2 7 3" xfId="18626" xr:uid="{00000000-0005-0000-0000-000026440000}"/>
    <cellStyle name="Data   - Style2 6 2 8" xfId="18627" xr:uid="{00000000-0005-0000-0000-000027440000}"/>
    <cellStyle name="Data   - Style2 6 2 9" xfId="18628" xr:uid="{00000000-0005-0000-0000-000028440000}"/>
    <cellStyle name="Data   - Style2 6 3" xfId="18629" xr:uid="{00000000-0005-0000-0000-000029440000}"/>
    <cellStyle name="Data   - Style2 6 3 2" xfId="18630" xr:uid="{00000000-0005-0000-0000-00002A440000}"/>
    <cellStyle name="Data   - Style2 6 3 3" xfId="18631" xr:uid="{00000000-0005-0000-0000-00002B440000}"/>
    <cellStyle name="Data   - Style2 6 4" xfId="18632" xr:uid="{00000000-0005-0000-0000-00002C440000}"/>
    <cellStyle name="Data   - Style2 6 4 2" xfId="18633" xr:uid="{00000000-0005-0000-0000-00002D440000}"/>
    <cellStyle name="Data   - Style2 6 4 3" xfId="18634" xr:uid="{00000000-0005-0000-0000-00002E440000}"/>
    <cellStyle name="Data   - Style2 6 5" xfId="18635" xr:uid="{00000000-0005-0000-0000-00002F440000}"/>
    <cellStyle name="Data   - Style2 6 5 2" xfId="18636" xr:uid="{00000000-0005-0000-0000-000030440000}"/>
    <cellStyle name="Data   - Style2 6 5 3" xfId="18637" xr:uid="{00000000-0005-0000-0000-000031440000}"/>
    <cellStyle name="Data   - Style2 6 6" xfId="18638" xr:uid="{00000000-0005-0000-0000-000032440000}"/>
    <cellStyle name="Data   - Style2 6 6 2" xfId="18639" xr:uid="{00000000-0005-0000-0000-000033440000}"/>
    <cellStyle name="Data   - Style2 6 6 3" xfId="18640" xr:uid="{00000000-0005-0000-0000-000034440000}"/>
    <cellStyle name="Data   - Style2 6 7" xfId="18641" xr:uid="{00000000-0005-0000-0000-000035440000}"/>
    <cellStyle name="Data   - Style2 6 7 2" xfId="18642" xr:uid="{00000000-0005-0000-0000-000036440000}"/>
    <cellStyle name="Data   - Style2 6 7 3" xfId="18643" xr:uid="{00000000-0005-0000-0000-000037440000}"/>
    <cellStyle name="Data   - Style2 6 8" xfId="18644" xr:uid="{00000000-0005-0000-0000-000038440000}"/>
    <cellStyle name="Data   - Style2 6 8 2" xfId="18645" xr:uid="{00000000-0005-0000-0000-000039440000}"/>
    <cellStyle name="Data   - Style2 6 8 3" xfId="18646" xr:uid="{00000000-0005-0000-0000-00003A440000}"/>
    <cellStyle name="Data   - Style2 6 9" xfId="18647" xr:uid="{00000000-0005-0000-0000-00003B440000}"/>
    <cellStyle name="Data   - Style2 7" xfId="18648" xr:uid="{00000000-0005-0000-0000-00003C440000}"/>
    <cellStyle name="Data   - Style2 7 10" xfId="18649" xr:uid="{00000000-0005-0000-0000-00003D440000}"/>
    <cellStyle name="Data   - Style2 7 2" xfId="18650" xr:uid="{00000000-0005-0000-0000-00003E440000}"/>
    <cellStyle name="Data   - Style2 7 2 2" xfId="18651" xr:uid="{00000000-0005-0000-0000-00003F440000}"/>
    <cellStyle name="Data   - Style2 7 2 2 2" xfId="18652" xr:uid="{00000000-0005-0000-0000-000040440000}"/>
    <cellStyle name="Data   - Style2 7 2 2 3" xfId="18653" xr:uid="{00000000-0005-0000-0000-000041440000}"/>
    <cellStyle name="Data   - Style2 7 2 3" xfId="18654" xr:uid="{00000000-0005-0000-0000-000042440000}"/>
    <cellStyle name="Data   - Style2 7 2 3 2" xfId="18655" xr:uid="{00000000-0005-0000-0000-000043440000}"/>
    <cellStyle name="Data   - Style2 7 2 3 3" xfId="18656" xr:uid="{00000000-0005-0000-0000-000044440000}"/>
    <cellStyle name="Data   - Style2 7 2 4" xfId="18657" xr:uid="{00000000-0005-0000-0000-000045440000}"/>
    <cellStyle name="Data   - Style2 7 2 4 2" xfId="18658" xr:uid="{00000000-0005-0000-0000-000046440000}"/>
    <cellStyle name="Data   - Style2 7 2 4 3" xfId="18659" xr:uid="{00000000-0005-0000-0000-000047440000}"/>
    <cellStyle name="Data   - Style2 7 2 5" xfId="18660" xr:uid="{00000000-0005-0000-0000-000048440000}"/>
    <cellStyle name="Data   - Style2 7 2 5 2" xfId="18661" xr:uid="{00000000-0005-0000-0000-000049440000}"/>
    <cellStyle name="Data   - Style2 7 2 5 3" xfId="18662" xr:uid="{00000000-0005-0000-0000-00004A440000}"/>
    <cellStyle name="Data   - Style2 7 2 6" xfId="18663" xr:uid="{00000000-0005-0000-0000-00004B440000}"/>
    <cellStyle name="Data   - Style2 7 2 6 2" xfId="18664" xr:uid="{00000000-0005-0000-0000-00004C440000}"/>
    <cellStyle name="Data   - Style2 7 2 6 3" xfId="18665" xr:uid="{00000000-0005-0000-0000-00004D440000}"/>
    <cellStyle name="Data   - Style2 7 2 7" xfId="18666" xr:uid="{00000000-0005-0000-0000-00004E440000}"/>
    <cellStyle name="Data   - Style2 7 2 7 2" xfId="18667" xr:uid="{00000000-0005-0000-0000-00004F440000}"/>
    <cellStyle name="Data   - Style2 7 2 7 3" xfId="18668" xr:uid="{00000000-0005-0000-0000-000050440000}"/>
    <cellStyle name="Data   - Style2 7 2 8" xfId="18669" xr:uid="{00000000-0005-0000-0000-000051440000}"/>
    <cellStyle name="Data   - Style2 7 2 9" xfId="18670" xr:uid="{00000000-0005-0000-0000-000052440000}"/>
    <cellStyle name="Data   - Style2 7 3" xfId="18671" xr:uid="{00000000-0005-0000-0000-000053440000}"/>
    <cellStyle name="Data   - Style2 7 3 2" xfId="18672" xr:uid="{00000000-0005-0000-0000-000054440000}"/>
    <cellStyle name="Data   - Style2 7 3 3" xfId="18673" xr:uid="{00000000-0005-0000-0000-000055440000}"/>
    <cellStyle name="Data   - Style2 7 4" xfId="18674" xr:uid="{00000000-0005-0000-0000-000056440000}"/>
    <cellStyle name="Data   - Style2 7 4 2" xfId="18675" xr:uid="{00000000-0005-0000-0000-000057440000}"/>
    <cellStyle name="Data   - Style2 7 4 3" xfId="18676" xr:uid="{00000000-0005-0000-0000-000058440000}"/>
    <cellStyle name="Data   - Style2 7 5" xfId="18677" xr:uid="{00000000-0005-0000-0000-000059440000}"/>
    <cellStyle name="Data   - Style2 7 5 2" xfId="18678" xr:uid="{00000000-0005-0000-0000-00005A440000}"/>
    <cellStyle name="Data   - Style2 7 5 3" xfId="18679" xr:uid="{00000000-0005-0000-0000-00005B440000}"/>
    <cellStyle name="Data   - Style2 7 6" xfId="18680" xr:uid="{00000000-0005-0000-0000-00005C440000}"/>
    <cellStyle name="Data   - Style2 7 6 2" xfId="18681" xr:uid="{00000000-0005-0000-0000-00005D440000}"/>
    <cellStyle name="Data   - Style2 7 6 3" xfId="18682" xr:uid="{00000000-0005-0000-0000-00005E440000}"/>
    <cellStyle name="Data   - Style2 7 7" xfId="18683" xr:uid="{00000000-0005-0000-0000-00005F440000}"/>
    <cellStyle name="Data   - Style2 7 7 2" xfId="18684" xr:uid="{00000000-0005-0000-0000-000060440000}"/>
    <cellStyle name="Data   - Style2 7 7 3" xfId="18685" xr:uid="{00000000-0005-0000-0000-000061440000}"/>
    <cellStyle name="Data   - Style2 7 8" xfId="18686" xr:uid="{00000000-0005-0000-0000-000062440000}"/>
    <cellStyle name="Data   - Style2 7 8 2" xfId="18687" xr:uid="{00000000-0005-0000-0000-000063440000}"/>
    <cellStyle name="Data   - Style2 7 8 3" xfId="18688" xr:uid="{00000000-0005-0000-0000-000064440000}"/>
    <cellStyle name="Data   - Style2 7 9" xfId="18689" xr:uid="{00000000-0005-0000-0000-000065440000}"/>
    <cellStyle name="Data   - Style2 8" xfId="18690" xr:uid="{00000000-0005-0000-0000-000066440000}"/>
    <cellStyle name="Data   - Style2 8 10" xfId="18691" xr:uid="{00000000-0005-0000-0000-000067440000}"/>
    <cellStyle name="Data   - Style2 8 2" xfId="18692" xr:uid="{00000000-0005-0000-0000-000068440000}"/>
    <cellStyle name="Data   - Style2 8 2 2" xfId="18693" xr:uid="{00000000-0005-0000-0000-000069440000}"/>
    <cellStyle name="Data   - Style2 8 2 2 2" xfId="18694" xr:uid="{00000000-0005-0000-0000-00006A440000}"/>
    <cellStyle name="Data   - Style2 8 2 2 3" xfId="18695" xr:uid="{00000000-0005-0000-0000-00006B440000}"/>
    <cellStyle name="Data   - Style2 8 2 3" xfId="18696" xr:uid="{00000000-0005-0000-0000-00006C440000}"/>
    <cellStyle name="Data   - Style2 8 2 3 2" xfId="18697" xr:uid="{00000000-0005-0000-0000-00006D440000}"/>
    <cellStyle name="Data   - Style2 8 2 3 3" xfId="18698" xr:uid="{00000000-0005-0000-0000-00006E440000}"/>
    <cellStyle name="Data   - Style2 8 2 4" xfId="18699" xr:uid="{00000000-0005-0000-0000-00006F440000}"/>
    <cellStyle name="Data   - Style2 8 2 4 2" xfId="18700" xr:uid="{00000000-0005-0000-0000-000070440000}"/>
    <cellStyle name="Data   - Style2 8 2 4 3" xfId="18701" xr:uid="{00000000-0005-0000-0000-000071440000}"/>
    <cellStyle name="Data   - Style2 8 2 5" xfId="18702" xr:uid="{00000000-0005-0000-0000-000072440000}"/>
    <cellStyle name="Data   - Style2 8 2 5 2" xfId="18703" xr:uid="{00000000-0005-0000-0000-000073440000}"/>
    <cellStyle name="Data   - Style2 8 2 5 3" xfId="18704" xr:uid="{00000000-0005-0000-0000-000074440000}"/>
    <cellStyle name="Data   - Style2 8 2 6" xfId="18705" xr:uid="{00000000-0005-0000-0000-000075440000}"/>
    <cellStyle name="Data   - Style2 8 2 6 2" xfId="18706" xr:uid="{00000000-0005-0000-0000-000076440000}"/>
    <cellStyle name="Data   - Style2 8 2 6 3" xfId="18707" xr:uid="{00000000-0005-0000-0000-000077440000}"/>
    <cellStyle name="Data   - Style2 8 2 7" xfId="18708" xr:uid="{00000000-0005-0000-0000-000078440000}"/>
    <cellStyle name="Data   - Style2 8 2 7 2" xfId="18709" xr:uid="{00000000-0005-0000-0000-000079440000}"/>
    <cellStyle name="Data   - Style2 8 2 7 3" xfId="18710" xr:uid="{00000000-0005-0000-0000-00007A440000}"/>
    <cellStyle name="Data   - Style2 8 2 8" xfId="18711" xr:uid="{00000000-0005-0000-0000-00007B440000}"/>
    <cellStyle name="Data   - Style2 8 2 9" xfId="18712" xr:uid="{00000000-0005-0000-0000-00007C440000}"/>
    <cellStyle name="Data   - Style2 8 3" xfId="18713" xr:uid="{00000000-0005-0000-0000-00007D440000}"/>
    <cellStyle name="Data   - Style2 8 3 2" xfId="18714" xr:uid="{00000000-0005-0000-0000-00007E440000}"/>
    <cellStyle name="Data   - Style2 8 3 3" xfId="18715" xr:uid="{00000000-0005-0000-0000-00007F440000}"/>
    <cellStyle name="Data   - Style2 8 4" xfId="18716" xr:uid="{00000000-0005-0000-0000-000080440000}"/>
    <cellStyle name="Data   - Style2 8 4 2" xfId="18717" xr:uid="{00000000-0005-0000-0000-000081440000}"/>
    <cellStyle name="Data   - Style2 8 4 3" xfId="18718" xr:uid="{00000000-0005-0000-0000-000082440000}"/>
    <cellStyle name="Data   - Style2 8 5" xfId="18719" xr:uid="{00000000-0005-0000-0000-000083440000}"/>
    <cellStyle name="Data   - Style2 8 5 2" xfId="18720" xr:uid="{00000000-0005-0000-0000-000084440000}"/>
    <cellStyle name="Data   - Style2 8 5 3" xfId="18721" xr:uid="{00000000-0005-0000-0000-000085440000}"/>
    <cellStyle name="Data   - Style2 8 6" xfId="18722" xr:uid="{00000000-0005-0000-0000-000086440000}"/>
    <cellStyle name="Data   - Style2 8 6 2" xfId="18723" xr:uid="{00000000-0005-0000-0000-000087440000}"/>
    <cellStyle name="Data   - Style2 8 6 3" xfId="18724" xr:uid="{00000000-0005-0000-0000-000088440000}"/>
    <cellStyle name="Data   - Style2 8 7" xfId="18725" xr:uid="{00000000-0005-0000-0000-000089440000}"/>
    <cellStyle name="Data   - Style2 8 7 2" xfId="18726" xr:uid="{00000000-0005-0000-0000-00008A440000}"/>
    <cellStyle name="Data   - Style2 8 7 3" xfId="18727" xr:uid="{00000000-0005-0000-0000-00008B440000}"/>
    <cellStyle name="Data   - Style2 8 8" xfId="18728" xr:uid="{00000000-0005-0000-0000-00008C440000}"/>
    <cellStyle name="Data   - Style2 8 8 2" xfId="18729" xr:uid="{00000000-0005-0000-0000-00008D440000}"/>
    <cellStyle name="Data   - Style2 8 8 3" xfId="18730" xr:uid="{00000000-0005-0000-0000-00008E440000}"/>
    <cellStyle name="Data   - Style2 8 9" xfId="18731" xr:uid="{00000000-0005-0000-0000-00008F440000}"/>
    <cellStyle name="Data   - Style2 9" xfId="18732" xr:uid="{00000000-0005-0000-0000-000090440000}"/>
    <cellStyle name="Data   - Style2 9 10" xfId="18733" xr:uid="{00000000-0005-0000-0000-000091440000}"/>
    <cellStyle name="Data   - Style2 9 2" xfId="18734" xr:uid="{00000000-0005-0000-0000-000092440000}"/>
    <cellStyle name="Data   - Style2 9 2 2" xfId="18735" xr:uid="{00000000-0005-0000-0000-000093440000}"/>
    <cellStyle name="Data   - Style2 9 2 2 2" xfId="18736" xr:uid="{00000000-0005-0000-0000-000094440000}"/>
    <cellStyle name="Data   - Style2 9 2 2 3" xfId="18737" xr:uid="{00000000-0005-0000-0000-000095440000}"/>
    <cellStyle name="Data   - Style2 9 2 3" xfId="18738" xr:uid="{00000000-0005-0000-0000-000096440000}"/>
    <cellStyle name="Data   - Style2 9 2 3 2" xfId="18739" xr:uid="{00000000-0005-0000-0000-000097440000}"/>
    <cellStyle name="Data   - Style2 9 2 3 3" xfId="18740" xr:uid="{00000000-0005-0000-0000-000098440000}"/>
    <cellStyle name="Data   - Style2 9 2 4" xfId="18741" xr:uid="{00000000-0005-0000-0000-000099440000}"/>
    <cellStyle name="Data   - Style2 9 2 4 2" xfId="18742" xr:uid="{00000000-0005-0000-0000-00009A440000}"/>
    <cellStyle name="Data   - Style2 9 2 4 3" xfId="18743" xr:uid="{00000000-0005-0000-0000-00009B440000}"/>
    <cellStyle name="Data   - Style2 9 2 5" xfId="18744" xr:uid="{00000000-0005-0000-0000-00009C440000}"/>
    <cellStyle name="Data   - Style2 9 2 5 2" xfId="18745" xr:uid="{00000000-0005-0000-0000-00009D440000}"/>
    <cellStyle name="Data   - Style2 9 2 5 3" xfId="18746" xr:uid="{00000000-0005-0000-0000-00009E440000}"/>
    <cellStyle name="Data   - Style2 9 2 6" xfId="18747" xr:uid="{00000000-0005-0000-0000-00009F440000}"/>
    <cellStyle name="Data   - Style2 9 2 6 2" xfId="18748" xr:uid="{00000000-0005-0000-0000-0000A0440000}"/>
    <cellStyle name="Data   - Style2 9 2 6 3" xfId="18749" xr:uid="{00000000-0005-0000-0000-0000A1440000}"/>
    <cellStyle name="Data   - Style2 9 2 7" xfId="18750" xr:uid="{00000000-0005-0000-0000-0000A2440000}"/>
    <cellStyle name="Data   - Style2 9 2 7 2" xfId="18751" xr:uid="{00000000-0005-0000-0000-0000A3440000}"/>
    <cellStyle name="Data   - Style2 9 2 7 3" xfId="18752" xr:uid="{00000000-0005-0000-0000-0000A4440000}"/>
    <cellStyle name="Data   - Style2 9 2 8" xfId="18753" xr:uid="{00000000-0005-0000-0000-0000A5440000}"/>
    <cellStyle name="Data   - Style2 9 2 9" xfId="18754" xr:uid="{00000000-0005-0000-0000-0000A6440000}"/>
    <cellStyle name="Data   - Style2 9 3" xfId="18755" xr:uid="{00000000-0005-0000-0000-0000A7440000}"/>
    <cellStyle name="Data   - Style2 9 3 2" xfId="18756" xr:uid="{00000000-0005-0000-0000-0000A8440000}"/>
    <cellStyle name="Data   - Style2 9 3 3" xfId="18757" xr:uid="{00000000-0005-0000-0000-0000A9440000}"/>
    <cellStyle name="Data   - Style2 9 4" xfId="18758" xr:uid="{00000000-0005-0000-0000-0000AA440000}"/>
    <cellStyle name="Data   - Style2 9 4 2" xfId="18759" xr:uid="{00000000-0005-0000-0000-0000AB440000}"/>
    <cellStyle name="Data   - Style2 9 4 3" xfId="18760" xr:uid="{00000000-0005-0000-0000-0000AC440000}"/>
    <cellStyle name="Data   - Style2 9 5" xfId="18761" xr:uid="{00000000-0005-0000-0000-0000AD440000}"/>
    <cellStyle name="Data   - Style2 9 5 2" xfId="18762" xr:uid="{00000000-0005-0000-0000-0000AE440000}"/>
    <cellStyle name="Data   - Style2 9 5 3" xfId="18763" xr:uid="{00000000-0005-0000-0000-0000AF440000}"/>
    <cellStyle name="Data   - Style2 9 6" xfId="18764" xr:uid="{00000000-0005-0000-0000-0000B0440000}"/>
    <cellStyle name="Data   - Style2 9 6 2" xfId="18765" xr:uid="{00000000-0005-0000-0000-0000B1440000}"/>
    <cellStyle name="Data   - Style2 9 6 3" xfId="18766" xr:uid="{00000000-0005-0000-0000-0000B2440000}"/>
    <cellStyle name="Data   - Style2 9 7" xfId="18767" xr:uid="{00000000-0005-0000-0000-0000B3440000}"/>
    <cellStyle name="Data   - Style2 9 7 2" xfId="18768" xr:uid="{00000000-0005-0000-0000-0000B4440000}"/>
    <cellStyle name="Data   - Style2 9 7 3" xfId="18769" xr:uid="{00000000-0005-0000-0000-0000B5440000}"/>
    <cellStyle name="Data   - Style2 9 8" xfId="18770" xr:uid="{00000000-0005-0000-0000-0000B6440000}"/>
    <cellStyle name="Data   - Style2 9 8 2" xfId="18771" xr:uid="{00000000-0005-0000-0000-0000B7440000}"/>
    <cellStyle name="Data   - Style2 9 8 3" xfId="18772" xr:uid="{00000000-0005-0000-0000-0000B8440000}"/>
    <cellStyle name="Data   - Style2 9 9" xfId="18773" xr:uid="{00000000-0005-0000-0000-0000B9440000}"/>
    <cellStyle name="Data Enter" xfId="303" xr:uid="{00000000-0005-0000-0000-0000BA440000}"/>
    <cellStyle name="date" xfId="304" xr:uid="{00000000-0005-0000-0000-0000BB440000}"/>
    <cellStyle name="Date 2" xfId="2577" xr:uid="{00000000-0005-0000-0000-0000BC440000}"/>
    <cellStyle name="Euro" xfId="1058" xr:uid="{00000000-0005-0000-0000-0000BD440000}"/>
    <cellStyle name="Euro 2" xfId="1059" xr:uid="{00000000-0005-0000-0000-0000BE440000}"/>
    <cellStyle name="Explanatory Text 2" xfId="305" xr:uid="{00000000-0005-0000-0000-0000BF440000}"/>
    <cellStyle name="Explanatory Text 3" xfId="306" xr:uid="{00000000-0005-0000-0000-0000C0440000}"/>
    <cellStyle name="Explanatory Text 4" xfId="1060" xr:uid="{00000000-0005-0000-0000-0000C1440000}"/>
    <cellStyle name="F9ReportControlStyle_ctpInquire" xfId="73" xr:uid="{00000000-0005-0000-0000-0000C2440000}"/>
    <cellStyle name="FactSheet" xfId="307" xr:uid="{00000000-0005-0000-0000-0000C3440000}"/>
    <cellStyle name="fish" xfId="308" xr:uid="{00000000-0005-0000-0000-0000C4440000}"/>
    <cellStyle name="Fixed" xfId="2349" xr:uid="{00000000-0005-0000-0000-0000C5440000}"/>
    <cellStyle name="Good 2" xfId="309" xr:uid="{00000000-0005-0000-0000-0000C6440000}"/>
    <cellStyle name="Good 2 2" xfId="623" xr:uid="{00000000-0005-0000-0000-0000C7440000}"/>
    <cellStyle name="Good 2 2 2" xfId="1061" xr:uid="{00000000-0005-0000-0000-0000C8440000}"/>
    <cellStyle name="Good 2 2 3" xfId="38932" xr:uid="{00000000-0005-0000-0000-0000C9440000}"/>
    <cellStyle name="Good 2 2 4" xfId="42471" xr:uid="{00000000-0005-0000-0000-0000CA440000}"/>
    <cellStyle name="Good 2 2 5" xfId="45014" xr:uid="{00000000-0005-0000-0000-0000CB440000}"/>
    <cellStyle name="Good 2 2 6" xfId="46183" xr:uid="{00000000-0005-0000-0000-0000CC440000}"/>
    <cellStyle name="Good 2 3" xfId="1062" xr:uid="{00000000-0005-0000-0000-0000CD440000}"/>
    <cellStyle name="Good 2 4" xfId="1063" xr:uid="{00000000-0005-0000-0000-0000CE440000}"/>
    <cellStyle name="Good 2 5" xfId="1064" xr:uid="{00000000-0005-0000-0000-0000CF440000}"/>
    <cellStyle name="Good 2 6" xfId="42470" xr:uid="{00000000-0005-0000-0000-0000D0440000}"/>
    <cellStyle name="Good 3" xfId="310" xr:uid="{00000000-0005-0000-0000-0000D1440000}"/>
    <cellStyle name="Good 3 2" xfId="311" xr:uid="{00000000-0005-0000-0000-0000D2440000}"/>
    <cellStyle name="Good 3 2 2" xfId="18774" xr:uid="{00000000-0005-0000-0000-0000D3440000}"/>
    <cellStyle name="Good 3 3" xfId="1065" xr:uid="{00000000-0005-0000-0000-0000D4440000}"/>
    <cellStyle name="Good 3 3 2" xfId="18775" xr:uid="{00000000-0005-0000-0000-0000D5440000}"/>
    <cellStyle name="Good 4" xfId="312" xr:uid="{00000000-0005-0000-0000-0000D6440000}"/>
    <cellStyle name="Good 5" xfId="1066" xr:uid="{00000000-0005-0000-0000-0000D7440000}"/>
    <cellStyle name="Heading 1 2" xfId="313" xr:uid="{00000000-0005-0000-0000-0000D8440000}"/>
    <cellStyle name="Heading 1 2 2" xfId="314" xr:uid="{00000000-0005-0000-0000-0000D9440000}"/>
    <cellStyle name="Heading 1 2 2 2" xfId="1067" xr:uid="{00000000-0005-0000-0000-0000DA440000}"/>
    <cellStyle name="Heading 1 2 2 3" xfId="18776" xr:uid="{00000000-0005-0000-0000-0000DB440000}"/>
    <cellStyle name="Heading 1 2 3" xfId="315" xr:uid="{00000000-0005-0000-0000-0000DC440000}"/>
    <cellStyle name="Heading 1 2 3 2" xfId="18777" xr:uid="{00000000-0005-0000-0000-0000DD440000}"/>
    <cellStyle name="Heading 1 2 4" xfId="1068" xr:uid="{00000000-0005-0000-0000-0000DE440000}"/>
    <cellStyle name="Heading 1 2 4 2" xfId="18778" xr:uid="{00000000-0005-0000-0000-0000DF440000}"/>
    <cellStyle name="Heading 1 2 5" xfId="2578" xr:uid="{00000000-0005-0000-0000-0000E0440000}"/>
    <cellStyle name="Heading 1 3" xfId="316" xr:uid="{00000000-0005-0000-0000-0000E1440000}"/>
    <cellStyle name="Heading 1 3 2" xfId="317" xr:uid="{00000000-0005-0000-0000-0000E2440000}"/>
    <cellStyle name="Heading 1 3 3" xfId="318" xr:uid="{00000000-0005-0000-0000-0000E3440000}"/>
    <cellStyle name="Heading 1 3 4" xfId="18779" xr:uid="{00000000-0005-0000-0000-0000E4440000}"/>
    <cellStyle name="Heading 1 4" xfId="319" xr:uid="{00000000-0005-0000-0000-0000E5440000}"/>
    <cellStyle name="Heading 1 4 2" xfId="1069" xr:uid="{00000000-0005-0000-0000-0000E6440000}"/>
    <cellStyle name="Heading 1 4 3" xfId="18780" xr:uid="{00000000-0005-0000-0000-0000E7440000}"/>
    <cellStyle name="Heading 2 2" xfId="320" xr:uid="{00000000-0005-0000-0000-0000E8440000}"/>
    <cellStyle name="Heading 2 2 2" xfId="321" xr:uid="{00000000-0005-0000-0000-0000E9440000}"/>
    <cellStyle name="Heading 2 2 2 2" xfId="18781" xr:uid="{00000000-0005-0000-0000-0000EA440000}"/>
    <cellStyle name="Heading 2 2 3" xfId="322" xr:uid="{00000000-0005-0000-0000-0000EB440000}"/>
    <cellStyle name="Heading 2 2 4" xfId="1070" xr:uid="{00000000-0005-0000-0000-0000EC440000}"/>
    <cellStyle name="Heading 2 2 4 2" xfId="38933" xr:uid="{00000000-0005-0000-0000-0000ED440000}"/>
    <cellStyle name="Heading 2 2 5" xfId="2579" xr:uid="{00000000-0005-0000-0000-0000EE440000}"/>
    <cellStyle name="Heading 2 3" xfId="323" xr:uid="{00000000-0005-0000-0000-0000EF440000}"/>
    <cellStyle name="Heading 2 3 2" xfId="324" xr:uid="{00000000-0005-0000-0000-0000F0440000}"/>
    <cellStyle name="Heading 2 3 3" xfId="325" xr:uid="{00000000-0005-0000-0000-0000F1440000}"/>
    <cellStyle name="Heading 2 3 4" xfId="18782" xr:uid="{00000000-0005-0000-0000-0000F2440000}"/>
    <cellStyle name="Heading 2 4" xfId="326" xr:uid="{00000000-0005-0000-0000-0000F3440000}"/>
    <cellStyle name="Heading 2 4 2" xfId="1071" xr:uid="{00000000-0005-0000-0000-0000F4440000}"/>
    <cellStyle name="Heading 2 4 3" xfId="18783" xr:uid="{00000000-0005-0000-0000-0000F5440000}"/>
    <cellStyle name="Heading 3 2" xfId="327" xr:uid="{00000000-0005-0000-0000-0000F6440000}"/>
    <cellStyle name="Heading 3 2 2" xfId="328" xr:uid="{00000000-0005-0000-0000-0000F7440000}"/>
    <cellStyle name="Heading 3 2 2 2" xfId="1072" xr:uid="{00000000-0005-0000-0000-0000F8440000}"/>
    <cellStyle name="Heading 3 2 2 3" xfId="18784" xr:uid="{00000000-0005-0000-0000-0000F9440000}"/>
    <cellStyle name="Heading 3 2 3" xfId="329" xr:uid="{00000000-0005-0000-0000-0000FA440000}"/>
    <cellStyle name="Heading 3 2 3 2" xfId="18785" xr:uid="{00000000-0005-0000-0000-0000FB440000}"/>
    <cellStyle name="Heading 3 2 4" xfId="1073" xr:uid="{00000000-0005-0000-0000-0000FC440000}"/>
    <cellStyle name="Heading 3 2 4 2" xfId="18786" xr:uid="{00000000-0005-0000-0000-0000FD440000}"/>
    <cellStyle name="Heading 3 2 5" xfId="2580" xr:uid="{00000000-0005-0000-0000-0000FE440000}"/>
    <cellStyle name="Heading 3 3" xfId="330" xr:uid="{00000000-0005-0000-0000-0000FF440000}"/>
    <cellStyle name="Heading 3 3 2" xfId="331" xr:uid="{00000000-0005-0000-0000-000000450000}"/>
    <cellStyle name="Heading 3 3 3" xfId="332" xr:uid="{00000000-0005-0000-0000-000001450000}"/>
    <cellStyle name="Heading 3 3 4" xfId="18787" xr:uid="{00000000-0005-0000-0000-000002450000}"/>
    <cellStyle name="Heading 3 4" xfId="333" xr:uid="{00000000-0005-0000-0000-000003450000}"/>
    <cellStyle name="Heading 3 4 2" xfId="1074" xr:uid="{00000000-0005-0000-0000-000004450000}"/>
    <cellStyle name="Heading 3 4 3" xfId="18788" xr:uid="{00000000-0005-0000-0000-000005450000}"/>
    <cellStyle name="Heading 4 2" xfId="334" xr:uid="{00000000-0005-0000-0000-000006450000}"/>
    <cellStyle name="Heading 4 2 2" xfId="1075" xr:uid="{00000000-0005-0000-0000-000007450000}"/>
    <cellStyle name="Heading 4 2 2 2" xfId="1076" xr:uid="{00000000-0005-0000-0000-000008450000}"/>
    <cellStyle name="Heading 4 2 2 2 2" xfId="18789" xr:uid="{00000000-0005-0000-0000-000009450000}"/>
    <cellStyle name="Heading 4 2 2 3" xfId="38934" xr:uid="{00000000-0005-0000-0000-00000A450000}"/>
    <cellStyle name="Heading 4 2 3" xfId="1077" xr:uid="{00000000-0005-0000-0000-00000B450000}"/>
    <cellStyle name="Heading 4 2 3 2" xfId="18790" xr:uid="{00000000-0005-0000-0000-00000C450000}"/>
    <cellStyle name="Heading 4 2 4" xfId="2581" xr:uid="{00000000-0005-0000-0000-00000D450000}"/>
    <cellStyle name="Heading 4 2 5" xfId="46184" xr:uid="{00000000-0005-0000-0000-00000E450000}"/>
    <cellStyle name="Heading 4 3" xfId="335" xr:uid="{00000000-0005-0000-0000-00000F450000}"/>
    <cellStyle name="Heading 4 3 2" xfId="336" xr:uid="{00000000-0005-0000-0000-000010450000}"/>
    <cellStyle name="Heading 4 3 2 2" xfId="18791" xr:uid="{00000000-0005-0000-0000-000011450000}"/>
    <cellStyle name="Heading 4 3 3" xfId="18792" xr:uid="{00000000-0005-0000-0000-000012450000}"/>
    <cellStyle name="Heading 4 4" xfId="675" xr:uid="{00000000-0005-0000-0000-000013450000}"/>
    <cellStyle name="Heading 4 4 2" xfId="18793" xr:uid="{00000000-0005-0000-0000-000014450000}"/>
    <cellStyle name="Heading 4 4 3" xfId="45015" xr:uid="{00000000-0005-0000-0000-000015450000}"/>
    <cellStyle name="Heading 4 4 4" xfId="46185" xr:uid="{00000000-0005-0000-0000-000016450000}"/>
    <cellStyle name="Hyperlink 2" xfId="337" xr:uid="{00000000-0005-0000-0000-000017450000}"/>
    <cellStyle name="Hyperlink 2 2" xfId="624" xr:uid="{00000000-0005-0000-0000-000018450000}"/>
    <cellStyle name="Hyperlink 2 2 2" xfId="625" xr:uid="{00000000-0005-0000-0000-000019450000}"/>
    <cellStyle name="Hyperlink 2 2 2 2" xfId="18794" xr:uid="{00000000-0005-0000-0000-00001A450000}"/>
    <cellStyle name="Hyperlink 2 2 3" xfId="1078" xr:uid="{00000000-0005-0000-0000-00001B450000}"/>
    <cellStyle name="Hyperlink 2 2 4" xfId="1079" xr:uid="{00000000-0005-0000-0000-00001C450000}"/>
    <cellStyle name="Hyperlink 2 2 5" xfId="18795" xr:uid="{00000000-0005-0000-0000-00001D450000}"/>
    <cellStyle name="Hyperlink 2 2 5 2" xfId="18796" xr:uid="{00000000-0005-0000-0000-00001E450000}"/>
    <cellStyle name="Hyperlink 2 2 5 3" xfId="44052" xr:uid="{00000000-0005-0000-0000-00001F450000}"/>
    <cellStyle name="Hyperlink 2 2 6" xfId="18797" xr:uid="{00000000-0005-0000-0000-000020450000}"/>
    <cellStyle name="Hyperlink 2 2 7" xfId="18798" xr:uid="{00000000-0005-0000-0000-000021450000}"/>
    <cellStyle name="Hyperlink 2 2 8" xfId="46186" xr:uid="{00000000-0005-0000-0000-000022450000}"/>
    <cellStyle name="Hyperlink 2 3" xfId="1080" xr:uid="{00000000-0005-0000-0000-000023450000}"/>
    <cellStyle name="Hyperlink 2 3 2" xfId="18799" xr:uid="{00000000-0005-0000-0000-000024450000}"/>
    <cellStyle name="Hyperlink 2 3 3" xfId="38935" xr:uid="{00000000-0005-0000-0000-000025450000}"/>
    <cellStyle name="Hyperlink 2 4" xfId="1081" xr:uid="{00000000-0005-0000-0000-000026450000}"/>
    <cellStyle name="Hyperlink 2 4 2" xfId="18800" xr:uid="{00000000-0005-0000-0000-000027450000}"/>
    <cellStyle name="Hyperlink 2 5" xfId="2582" xr:uid="{00000000-0005-0000-0000-000028450000}"/>
    <cellStyle name="Hyperlink 3" xfId="338" xr:uid="{00000000-0005-0000-0000-000029450000}"/>
    <cellStyle name="Hyperlink 3 2" xfId="339" xr:uid="{00000000-0005-0000-0000-00002A450000}"/>
    <cellStyle name="Hyperlink 3 2 2" xfId="1082" xr:uid="{00000000-0005-0000-0000-00002B450000}"/>
    <cellStyle name="Hyperlink 3 2 3" xfId="18801" xr:uid="{00000000-0005-0000-0000-00002C450000}"/>
    <cellStyle name="Hyperlink 3 3" xfId="1083" xr:uid="{00000000-0005-0000-0000-00002D450000}"/>
    <cellStyle name="Hyperlink 3 3 2" xfId="18802" xr:uid="{00000000-0005-0000-0000-00002E450000}"/>
    <cellStyle name="Hyperlink 3 4" xfId="2583" xr:uid="{00000000-0005-0000-0000-00002F450000}"/>
    <cellStyle name="Hyperlink 3 4 2" xfId="42472" xr:uid="{00000000-0005-0000-0000-000030450000}"/>
    <cellStyle name="Hyperlink 3 4 3" xfId="45016" xr:uid="{00000000-0005-0000-0000-000031450000}"/>
    <cellStyle name="Hyperlink 4" xfId="676" xr:uid="{00000000-0005-0000-0000-000032450000}"/>
    <cellStyle name="Hyperlink 4 2" xfId="18803" xr:uid="{00000000-0005-0000-0000-000033450000}"/>
    <cellStyle name="Hyperlink 4 2 2" xfId="18804" xr:uid="{00000000-0005-0000-0000-000034450000}"/>
    <cellStyle name="Hyperlink 4 2 3" xfId="44053" xr:uid="{00000000-0005-0000-0000-000035450000}"/>
    <cellStyle name="Hyperlink 4 3" xfId="38936" xr:uid="{00000000-0005-0000-0000-000036450000}"/>
    <cellStyle name="Hyperlink 4 4" xfId="45017" xr:uid="{00000000-0005-0000-0000-000037450000}"/>
    <cellStyle name="Hyperlink 5" xfId="1084" xr:uid="{00000000-0005-0000-0000-000038450000}"/>
    <cellStyle name="Input 2" xfId="340" xr:uid="{00000000-0005-0000-0000-000039450000}"/>
    <cellStyle name="Input 2 10" xfId="18805" xr:uid="{00000000-0005-0000-0000-00003A450000}"/>
    <cellStyle name="Input 2 10 2" xfId="18806" xr:uid="{00000000-0005-0000-0000-00003B450000}"/>
    <cellStyle name="Input 2 10 2 2" xfId="18807" xr:uid="{00000000-0005-0000-0000-00003C450000}"/>
    <cellStyle name="Input 2 10 2 3" xfId="18808" xr:uid="{00000000-0005-0000-0000-00003D450000}"/>
    <cellStyle name="Input 2 10 3" xfId="18809" xr:uid="{00000000-0005-0000-0000-00003E450000}"/>
    <cellStyle name="Input 2 10 3 2" xfId="18810" xr:uid="{00000000-0005-0000-0000-00003F450000}"/>
    <cellStyle name="Input 2 10 3 3" xfId="18811" xr:uid="{00000000-0005-0000-0000-000040450000}"/>
    <cellStyle name="Input 2 10 4" xfId="18812" xr:uid="{00000000-0005-0000-0000-000041450000}"/>
    <cellStyle name="Input 2 10 4 2" xfId="18813" xr:uid="{00000000-0005-0000-0000-000042450000}"/>
    <cellStyle name="Input 2 10 4 3" xfId="18814" xr:uid="{00000000-0005-0000-0000-000043450000}"/>
    <cellStyle name="Input 2 10 5" xfId="18815" xr:uid="{00000000-0005-0000-0000-000044450000}"/>
    <cellStyle name="Input 2 10 5 2" xfId="18816" xr:uid="{00000000-0005-0000-0000-000045450000}"/>
    <cellStyle name="Input 2 10 5 3" xfId="18817" xr:uid="{00000000-0005-0000-0000-000046450000}"/>
    <cellStyle name="Input 2 10 6" xfId="18818" xr:uid="{00000000-0005-0000-0000-000047450000}"/>
    <cellStyle name="Input 2 10 6 2" xfId="18819" xr:uid="{00000000-0005-0000-0000-000048450000}"/>
    <cellStyle name="Input 2 10 6 3" xfId="18820" xr:uid="{00000000-0005-0000-0000-000049450000}"/>
    <cellStyle name="Input 2 10 7" xfId="18821" xr:uid="{00000000-0005-0000-0000-00004A450000}"/>
    <cellStyle name="Input 2 10 7 2" xfId="18822" xr:uid="{00000000-0005-0000-0000-00004B450000}"/>
    <cellStyle name="Input 2 10 7 3" xfId="18823" xr:uid="{00000000-0005-0000-0000-00004C450000}"/>
    <cellStyle name="Input 2 10 8" xfId="18824" xr:uid="{00000000-0005-0000-0000-00004D450000}"/>
    <cellStyle name="Input 2 10 9" xfId="18825" xr:uid="{00000000-0005-0000-0000-00004E450000}"/>
    <cellStyle name="Input 2 11" xfId="46187" xr:uid="{00000000-0005-0000-0000-00004F450000}"/>
    <cellStyle name="Input 2 2" xfId="1085" xr:uid="{00000000-0005-0000-0000-000050450000}"/>
    <cellStyle name="Input 2 2 10" xfId="18826" xr:uid="{00000000-0005-0000-0000-000051450000}"/>
    <cellStyle name="Input 2 2 10 2" xfId="18827" xr:uid="{00000000-0005-0000-0000-000052450000}"/>
    <cellStyle name="Input 2 2 10 3" xfId="18828" xr:uid="{00000000-0005-0000-0000-000053450000}"/>
    <cellStyle name="Input 2 2 11" xfId="18829" xr:uid="{00000000-0005-0000-0000-000054450000}"/>
    <cellStyle name="Input 2 2 11 2" xfId="18830" xr:uid="{00000000-0005-0000-0000-000055450000}"/>
    <cellStyle name="Input 2 2 11 3" xfId="18831" xr:uid="{00000000-0005-0000-0000-000056450000}"/>
    <cellStyle name="Input 2 2 12" xfId="18832" xr:uid="{00000000-0005-0000-0000-000057450000}"/>
    <cellStyle name="Input 2 2 12 2" xfId="18833" xr:uid="{00000000-0005-0000-0000-000058450000}"/>
    <cellStyle name="Input 2 2 12 3" xfId="18834" xr:uid="{00000000-0005-0000-0000-000059450000}"/>
    <cellStyle name="Input 2 2 13" xfId="44054" xr:uid="{00000000-0005-0000-0000-00005A450000}"/>
    <cellStyle name="Input 2 2 2" xfId="1086" xr:uid="{00000000-0005-0000-0000-00005B450000}"/>
    <cellStyle name="Input 2 2 2 10" xfId="18835" xr:uid="{00000000-0005-0000-0000-00005C450000}"/>
    <cellStyle name="Input 2 2 2 10 2" xfId="18836" xr:uid="{00000000-0005-0000-0000-00005D450000}"/>
    <cellStyle name="Input 2 2 2 10 3" xfId="18837" xr:uid="{00000000-0005-0000-0000-00005E450000}"/>
    <cellStyle name="Input 2 2 2 11" xfId="18838" xr:uid="{00000000-0005-0000-0000-00005F450000}"/>
    <cellStyle name="Input 2 2 2 11 2" xfId="18839" xr:uid="{00000000-0005-0000-0000-000060450000}"/>
    <cellStyle name="Input 2 2 2 11 3" xfId="18840" xr:uid="{00000000-0005-0000-0000-000061450000}"/>
    <cellStyle name="Input 2 2 2 12" xfId="18841" xr:uid="{00000000-0005-0000-0000-000062450000}"/>
    <cellStyle name="Input 2 2 2 13" xfId="18842" xr:uid="{00000000-0005-0000-0000-000063450000}"/>
    <cellStyle name="Input 2 2 2 2" xfId="18843" xr:uid="{00000000-0005-0000-0000-000064450000}"/>
    <cellStyle name="Input 2 2 2 2 10" xfId="18844" xr:uid="{00000000-0005-0000-0000-000065450000}"/>
    <cellStyle name="Input 2 2 2 2 10 2" xfId="18845" xr:uid="{00000000-0005-0000-0000-000066450000}"/>
    <cellStyle name="Input 2 2 2 2 10 3" xfId="18846" xr:uid="{00000000-0005-0000-0000-000067450000}"/>
    <cellStyle name="Input 2 2 2 2 11" xfId="18847" xr:uid="{00000000-0005-0000-0000-000068450000}"/>
    <cellStyle name="Input 2 2 2 2 11 2" xfId="18848" xr:uid="{00000000-0005-0000-0000-000069450000}"/>
    <cellStyle name="Input 2 2 2 2 11 3" xfId="18849" xr:uid="{00000000-0005-0000-0000-00006A450000}"/>
    <cellStyle name="Input 2 2 2 2 12" xfId="18850" xr:uid="{00000000-0005-0000-0000-00006B450000}"/>
    <cellStyle name="Input 2 2 2 2 12 2" xfId="18851" xr:uid="{00000000-0005-0000-0000-00006C450000}"/>
    <cellStyle name="Input 2 2 2 2 12 3" xfId="18852" xr:uid="{00000000-0005-0000-0000-00006D450000}"/>
    <cellStyle name="Input 2 2 2 2 13" xfId="18853" xr:uid="{00000000-0005-0000-0000-00006E450000}"/>
    <cellStyle name="Input 2 2 2 2 13 2" xfId="18854" xr:uid="{00000000-0005-0000-0000-00006F450000}"/>
    <cellStyle name="Input 2 2 2 2 13 3" xfId="18855" xr:uid="{00000000-0005-0000-0000-000070450000}"/>
    <cellStyle name="Input 2 2 2 2 14" xfId="44055" xr:uid="{00000000-0005-0000-0000-000071450000}"/>
    <cellStyle name="Input 2 2 2 2 2" xfId="18856" xr:uid="{00000000-0005-0000-0000-000072450000}"/>
    <cellStyle name="Input 2 2 2 2 2 10" xfId="44056" xr:uid="{00000000-0005-0000-0000-000073450000}"/>
    <cellStyle name="Input 2 2 2 2 2 2" xfId="18857" xr:uid="{00000000-0005-0000-0000-000074450000}"/>
    <cellStyle name="Input 2 2 2 2 2 2 10" xfId="18858" xr:uid="{00000000-0005-0000-0000-000075450000}"/>
    <cellStyle name="Input 2 2 2 2 2 2 2" xfId="18859" xr:uid="{00000000-0005-0000-0000-000076450000}"/>
    <cellStyle name="Input 2 2 2 2 2 2 2 2" xfId="18860" xr:uid="{00000000-0005-0000-0000-000077450000}"/>
    <cellStyle name="Input 2 2 2 2 2 2 2 2 2" xfId="18861" xr:uid="{00000000-0005-0000-0000-000078450000}"/>
    <cellStyle name="Input 2 2 2 2 2 2 2 2 3" xfId="18862" xr:uid="{00000000-0005-0000-0000-000079450000}"/>
    <cellStyle name="Input 2 2 2 2 2 2 2 3" xfId="18863" xr:uid="{00000000-0005-0000-0000-00007A450000}"/>
    <cellStyle name="Input 2 2 2 2 2 2 2 3 2" xfId="18864" xr:uid="{00000000-0005-0000-0000-00007B450000}"/>
    <cellStyle name="Input 2 2 2 2 2 2 2 3 3" xfId="18865" xr:uid="{00000000-0005-0000-0000-00007C450000}"/>
    <cellStyle name="Input 2 2 2 2 2 2 2 4" xfId="18866" xr:uid="{00000000-0005-0000-0000-00007D450000}"/>
    <cellStyle name="Input 2 2 2 2 2 2 2 4 2" xfId="18867" xr:uid="{00000000-0005-0000-0000-00007E450000}"/>
    <cellStyle name="Input 2 2 2 2 2 2 2 4 3" xfId="18868" xr:uid="{00000000-0005-0000-0000-00007F450000}"/>
    <cellStyle name="Input 2 2 2 2 2 2 2 5" xfId="18869" xr:uid="{00000000-0005-0000-0000-000080450000}"/>
    <cellStyle name="Input 2 2 2 2 2 2 2 5 2" xfId="18870" xr:uid="{00000000-0005-0000-0000-000081450000}"/>
    <cellStyle name="Input 2 2 2 2 2 2 2 5 3" xfId="18871" xr:uid="{00000000-0005-0000-0000-000082450000}"/>
    <cellStyle name="Input 2 2 2 2 2 2 2 6" xfId="18872" xr:uid="{00000000-0005-0000-0000-000083450000}"/>
    <cellStyle name="Input 2 2 2 2 2 2 2 6 2" xfId="18873" xr:uid="{00000000-0005-0000-0000-000084450000}"/>
    <cellStyle name="Input 2 2 2 2 2 2 2 6 3" xfId="18874" xr:uid="{00000000-0005-0000-0000-000085450000}"/>
    <cellStyle name="Input 2 2 2 2 2 2 2 7" xfId="18875" xr:uid="{00000000-0005-0000-0000-000086450000}"/>
    <cellStyle name="Input 2 2 2 2 2 2 2 7 2" xfId="18876" xr:uid="{00000000-0005-0000-0000-000087450000}"/>
    <cellStyle name="Input 2 2 2 2 2 2 2 7 3" xfId="18877" xr:uid="{00000000-0005-0000-0000-000088450000}"/>
    <cellStyle name="Input 2 2 2 2 2 2 2 8" xfId="18878" xr:uid="{00000000-0005-0000-0000-000089450000}"/>
    <cellStyle name="Input 2 2 2 2 2 2 2 9" xfId="18879" xr:uid="{00000000-0005-0000-0000-00008A450000}"/>
    <cellStyle name="Input 2 2 2 2 2 2 3" xfId="18880" xr:uid="{00000000-0005-0000-0000-00008B450000}"/>
    <cellStyle name="Input 2 2 2 2 2 2 3 2" xfId="18881" xr:uid="{00000000-0005-0000-0000-00008C450000}"/>
    <cellStyle name="Input 2 2 2 2 2 2 3 3" xfId="18882" xr:uid="{00000000-0005-0000-0000-00008D450000}"/>
    <cellStyle name="Input 2 2 2 2 2 2 4" xfId="18883" xr:uid="{00000000-0005-0000-0000-00008E450000}"/>
    <cellStyle name="Input 2 2 2 2 2 2 4 2" xfId="18884" xr:uid="{00000000-0005-0000-0000-00008F450000}"/>
    <cellStyle name="Input 2 2 2 2 2 2 4 3" xfId="18885" xr:uid="{00000000-0005-0000-0000-000090450000}"/>
    <cellStyle name="Input 2 2 2 2 2 2 5" xfId="18886" xr:uid="{00000000-0005-0000-0000-000091450000}"/>
    <cellStyle name="Input 2 2 2 2 2 2 5 2" xfId="18887" xr:uid="{00000000-0005-0000-0000-000092450000}"/>
    <cellStyle name="Input 2 2 2 2 2 2 5 3" xfId="18888" xr:uid="{00000000-0005-0000-0000-000093450000}"/>
    <cellStyle name="Input 2 2 2 2 2 2 6" xfId="18889" xr:uid="{00000000-0005-0000-0000-000094450000}"/>
    <cellStyle name="Input 2 2 2 2 2 2 6 2" xfId="18890" xr:uid="{00000000-0005-0000-0000-000095450000}"/>
    <cellStyle name="Input 2 2 2 2 2 2 6 3" xfId="18891" xr:uid="{00000000-0005-0000-0000-000096450000}"/>
    <cellStyle name="Input 2 2 2 2 2 2 7" xfId="18892" xr:uid="{00000000-0005-0000-0000-000097450000}"/>
    <cellStyle name="Input 2 2 2 2 2 2 7 2" xfId="18893" xr:uid="{00000000-0005-0000-0000-000098450000}"/>
    <cellStyle name="Input 2 2 2 2 2 2 7 3" xfId="18894" xr:uid="{00000000-0005-0000-0000-000099450000}"/>
    <cellStyle name="Input 2 2 2 2 2 2 8" xfId="18895" xr:uid="{00000000-0005-0000-0000-00009A450000}"/>
    <cellStyle name="Input 2 2 2 2 2 2 8 2" xfId="18896" xr:uid="{00000000-0005-0000-0000-00009B450000}"/>
    <cellStyle name="Input 2 2 2 2 2 2 8 3" xfId="18897" xr:uid="{00000000-0005-0000-0000-00009C450000}"/>
    <cellStyle name="Input 2 2 2 2 2 2 9" xfId="18898" xr:uid="{00000000-0005-0000-0000-00009D450000}"/>
    <cellStyle name="Input 2 2 2 2 2 3" xfId="18899" xr:uid="{00000000-0005-0000-0000-00009E450000}"/>
    <cellStyle name="Input 2 2 2 2 2 3 10" xfId="18900" xr:uid="{00000000-0005-0000-0000-00009F450000}"/>
    <cellStyle name="Input 2 2 2 2 2 3 2" xfId="18901" xr:uid="{00000000-0005-0000-0000-0000A0450000}"/>
    <cellStyle name="Input 2 2 2 2 2 3 2 2" xfId="18902" xr:uid="{00000000-0005-0000-0000-0000A1450000}"/>
    <cellStyle name="Input 2 2 2 2 2 3 2 2 2" xfId="18903" xr:uid="{00000000-0005-0000-0000-0000A2450000}"/>
    <cellStyle name="Input 2 2 2 2 2 3 2 2 3" xfId="18904" xr:uid="{00000000-0005-0000-0000-0000A3450000}"/>
    <cellStyle name="Input 2 2 2 2 2 3 2 3" xfId="18905" xr:uid="{00000000-0005-0000-0000-0000A4450000}"/>
    <cellStyle name="Input 2 2 2 2 2 3 2 3 2" xfId="18906" xr:uid="{00000000-0005-0000-0000-0000A5450000}"/>
    <cellStyle name="Input 2 2 2 2 2 3 2 3 3" xfId="18907" xr:uid="{00000000-0005-0000-0000-0000A6450000}"/>
    <cellStyle name="Input 2 2 2 2 2 3 2 4" xfId="18908" xr:uid="{00000000-0005-0000-0000-0000A7450000}"/>
    <cellStyle name="Input 2 2 2 2 2 3 2 4 2" xfId="18909" xr:uid="{00000000-0005-0000-0000-0000A8450000}"/>
    <cellStyle name="Input 2 2 2 2 2 3 2 4 3" xfId="18910" xr:uid="{00000000-0005-0000-0000-0000A9450000}"/>
    <cellStyle name="Input 2 2 2 2 2 3 2 5" xfId="18911" xr:uid="{00000000-0005-0000-0000-0000AA450000}"/>
    <cellStyle name="Input 2 2 2 2 2 3 2 5 2" xfId="18912" xr:uid="{00000000-0005-0000-0000-0000AB450000}"/>
    <cellStyle name="Input 2 2 2 2 2 3 2 5 3" xfId="18913" xr:uid="{00000000-0005-0000-0000-0000AC450000}"/>
    <cellStyle name="Input 2 2 2 2 2 3 2 6" xfId="18914" xr:uid="{00000000-0005-0000-0000-0000AD450000}"/>
    <cellStyle name="Input 2 2 2 2 2 3 2 6 2" xfId="18915" xr:uid="{00000000-0005-0000-0000-0000AE450000}"/>
    <cellStyle name="Input 2 2 2 2 2 3 2 6 3" xfId="18916" xr:uid="{00000000-0005-0000-0000-0000AF450000}"/>
    <cellStyle name="Input 2 2 2 2 2 3 2 7" xfId="18917" xr:uid="{00000000-0005-0000-0000-0000B0450000}"/>
    <cellStyle name="Input 2 2 2 2 2 3 2 7 2" xfId="18918" xr:uid="{00000000-0005-0000-0000-0000B1450000}"/>
    <cellStyle name="Input 2 2 2 2 2 3 2 7 3" xfId="18919" xr:uid="{00000000-0005-0000-0000-0000B2450000}"/>
    <cellStyle name="Input 2 2 2 2 2 3 2 8" xfId="18920" xr:uid="{00000000-0005-0000-0000-0000B3450000}"/>
    <cellStyle name="Input 2 2 2 2 2 3 2 9" xfId="18921" xr:uid="{00000000-0005-0000-0000-0000B4450000}"/>
    <cellStyle name="Input 2 2 2 2 2 3 3" xfId="18922" xr:uid="{00000000-0005-0000-0000-0000B5450000}"/>
    <cellStyle name="Input 2 2 2 2 2 3 3 2" xfId="18923" xr:uid="{00000000-0005-0000-0000-0000B6450000}"/>
    <cellStyle name="Input 2 2 2 2 2 3 3 3" xfId="18924" xr:uid="{00000000-0005-0000-0000-0000B7450000}"/>
    <cellStyle name="Input 2 2 2 2 2 3 4" xfId="18925" xr:uid="{00000000-0005-0000-0000-0000B8450000}"/>
    <cellStyle name="Input 2 2 2 2 2 3 4 2" xfId="18926" xr:uid="{00000000-0005-0000-0000-0000B9450000}"/>
    <cellStyle name="Input 2 2 2 2 2 3 4 3" xfId="18927" xr:uid="{00000000-0005-0000-0000-0000BA450000}"/>
    <cellStyle name="Input 2 2 2 2 2 3 5" xfId="18928" xr:uid="{00000000-0005-0000-0000-0000BB450000}"/>
    <cellStyle name="Input 2 2 2 2 2 3 5 2" xfId="18929" xr:uid="{00000000-0005-0000-0000-0000BC450000}"/>
    <cellStyle name="Input 2 2 2 2 2 3 5 3" xfId="18930" xr:uid="{00000000-0005-0000-0000-0000BD450000}"/>
    <cellStyle name="Input 2 2 2 2 2 3 6" xfId="18931" xr:uid="{00000000-0005-0000-0000-0000BE450000}"/>
    <cellStyle name="Input 2 2 2 2 2 3 6 2" xfId="18932" xr:uid="{00000000-0005-0000-0000-0000BF450000}"/>
    <cellStyle name="Input 2 2 2 2 2 3 6 3" xfId="18933" xr:uid="{00000000-0005-0000-0000-0000C0450000}"/>
    <cellStyle name="Input 2 2 2 2 2 3 7" xfId="18934" xr:uid="{00000000-0005-0000-0000-0000C1450000}"/>
    <cellStyle name="Input 2 2 2 2 2 3 7 2" xfId="18935" xr:uid="{00000000-0005-0000-0000-0000C2450000}"/>
    <cellStyle name="Input 2 2 2 2 2 3 7 3" xfId="18936" xr:uid="{00000000-0005-0000-0000-0000C3450000}"/>
    <cellStyle name="Input 2 2 2 2 2 3 8" xfId="18937" xr:uid="{00000000-0005-0000-0000-0000C4450000}"/>
    <cellStyle name="Input 2 2 2 2 2 3 8 2" xfId="18938" xr:uid="{00000000-0005-0000-0000-0000C5450000}"/>
    <cellStyle name="Input 2 2 2 2 2 3 8 3" xfId="18939" xr:uid="{00000000-0005-0000-0000-0000C6450000}"/>
    <cellStyle name="Input 2 2 2 2 2 3 9" xfId="18940" xr:uid="{00000000-0005-0000-0000-0000C7450000}"/>
    <cellStyle name="Input 2 2 2 2 2 4" xfId="18941" xr:uid="{00000000-0005-0000-0000-0000C8450000}"/>
    <cellStyle name="Input 2 2 2 2 2 4 10" xfId="18942" xr:uid="{00000000-0005-0000-0000-0000C9450000}"/>
    <cellStyle name="Input 2 2 2 2 2 4 2" xfId="18943" xr:uid="{00000000-0005-0000-0000-0000CA450000}"/>
    <cellStyle name="Input 2 2 2 2 2 4 2 2" xfId="18944" xr:uid="{00000000-0005-0000-0000-0000CB450000}"/>
    <cellStyle name="Input 2 2 2 2 2 4 2 2 2" xfId="18945" xr:uid="{00000000-0005-0000-0000-0000CC450000}"/>
    <cellStyle name="Input 2 2 2 2 2 4 2 2 3" xfId="18946" xr:uid="{00000000-0005-0000-0000-0000CD450000}"/>
    <cellStyle name="Input 2 2 2 2 2 4 2 3" xfId="18947" xr:uid="{00000000-0005-0000-0000-0000CE450000}"/>
    <cellStyle name="Input 2 2 2 2 2 4 2 3 2" xfId="18948" xr:uid="{00000000-0005-0000-0000-0000CF450000}"/>
    <cellStyle name="Input 2 2 2 2 2 4 2 3 3" xfId="18949" xr:uid="{00000000-0005-0000-0000-0000D0450000}"/>
    <cellStyle name="Input 2 2 2 2 2 4 2 4" xfId="18950" xr:uid="{00000000-0005-0000-0000-0000D1450000}"/>
    <cellStyle name="Input 2 2 2 2 2 4 2 4 2" xfId="18951" xr:uid="{00000000-0005-0000-0000-0000D2450000}"/>
    <cellStyle name="Input 2 2 2 2 2 4 2 4 3" xfId="18952" xr:uid="{00000000-0005-0000-0000-0000D3450000}"/>
    <cellStyle name="Input 2 2 2 2 2 4 2 5" xfId="18953" xr:uid="{00000000-0005-0000-0000-0000D4450000}"/>
    <cellStyle name="Input 2 2 2 2 2 4 2 5 2" xfId="18954" xr:uid="{00000000-0005-0000-0000-0000D5450000}"/>
    <cellStyle name="Input 2 2 2 2 2 4 2 5 3" xfId="18955" xr:uid="{00000000-0005-0000-0000-0000D6450000}"/>
    <cellStyle name="Input 2 2 2 2 2 4 2 6" xfId="18956" xr:uid="{00000000-0005-0000-0000-0000D7450000}"/>
    <cellStyle name="Input 2 2 2 2 2 4 2 6 2" xfId="18957" xr:uid="{00000000-0005-0000-0000-0000D8450000}"/>
    <cellStyle name="Input 2 2 2 2 2 4 2 6 3" xfId="18958" xr:uid="{00000000-0005-0000-0000-0000D9450000}"/>
    <cellStyle name="Input 2 2 2 2 2 4 2 7" xfId="18959" xr:uid="{00000000-0005-0000-0000-0000DA450000}"/>
    <cellStyle name="Input 2 2 2 2 2 4 2 7 2" xfId="18960" xr:uid="{00000000-0005-0000-0000-0000DB450000}"/>
    <cellStyle name="Input 2 2 2 2 2 4 2 7 3" xfId="18961" xr:uid="{00000000-0005-0000-0000-0000DC450000}"/>
    <cellStyle name="Input 2 2 2 2 2 4 2 8" xfId="18962" xr:uid="{00000000-0005-0000-0000-0000DD450000}"/>
    <cellStyle name="Input 2 2 2 2 2 4 2 9" xfId="18963" xr:uid="{00000000-0005-0000-0000-0000DE450000}"/>
    <cellStyle name="Input 2 2 2 2 2 4 3" xfId="18964" xr:uid="{00000000-0005-0000-0000-0000DF450000}"/>
    <cellStyle name="Input 2 2 2 2 2 4 3 2" xfId="18965" xr:uid="{00000000-0005-0000-0000-0000E0450000}"/>
    <cellStyle name="Input 2 2 2 2 2 4 3 3" xfId="18966" xr:uid="{00000000-0005-0000-0000-0000E1450000}"/>
    <cellStyle name="Input 2 2 2 2 2 4 4" xfId="18967" xr:uid="{00000000-0005-0000-0000-0000E2450000}"/>
    <cellStyle name="Input 2 2 2 2 2 4 4 2" xfId="18968" xr:uid="{00000000-0005-0000-0000-0000E3450000}"/>
    <cellStyle name="Input 2 2 2 2 2 4 4 3" xfId="18969" xr:uid="{00000000-0005-0000-0000-0000E4450000}"/>
    <cellStyle name="Input 2 2 2 2 2 4 5" xfId="18970" xr:uid="{00000000-0005-0000-0000-0000E5450000}"/>
    <cellStyle name="Input 2 2 2 2 2 4 5 2" xfId="18971" xr:uid="{00000000-0005-0000-0000-0000E6450000}"/>
    <cellStyle name="Input 2 2 2 2 2 4 5 3" xfId="18972" xr:uid="{00000000-0005-0000-0000-0000E7450000}"/>
    <cellStyle name="Input 2 2 2 2 2 4 6" xfId="18973" xr:uid="{00000000-0005-0000-0000-0000E8450000}"/>
    <cellStyle name="Input 2 2 2 2 2 4 6 2" xfId="18974" xr:uid="{00000000-0005-0000-0000-0000E9450000}"/>
    <cellStyle name="Input 2 2 2 2 2 4 6 3" xfId="18975" xr:uid="{00000000-0005-0000-0000-0000EA450000}"/>
    <cellStyle name="Input 2 2 2 2 2 4 7" xfId="18976" xr:uid="{00000000-0005-0000-0000-0000EB450000}"/>
    <cellStyle name="Input 2 2 2 2 2 4 7 2" xfId="18977" xr:uid="{00000000-0005-0000-0000-0000EC450000}"/>
    <cellStyle name="Input 2 2 2 2 2 4 7 3" xfId="18978" xr:uid="{00000000-0005-0000-0000-0000ED450000}"/>
    <cellStyle name="Input 2 2 2 2 2 4 8" xfId="18979" xr:uid="{00000000-0005-0000-0000-0000EE450000}"/>
    <cellStyle name="Input 2 2 2 2 2 4 8 2" xfId="18980" xr:uid="{00000000-0005-0000-0000-0000EF450000}"/>
    <cellStyle name="Input 2 2 2 2 2 4 8 3" xfId="18981" xr:uid="{00000000-0005-0000-0000-0000F0450000}"/>
    <cellStyle name="Input 2 2 2 2 2 4 9" xfId="18982" xr:uid="{00000000-0005-0000-0000-0000F1450000}"/>
    <cellStyle name="Input 2 2 2 2 2 5" xfId="18983" xr:uid="{00000000-0005-0000-0000-0000F2450000}"/>
    <cellStyle name="Input 2 2 2 2 2 5 2" xfId="18984" xr:uid="{00000000-0005-0000-0000-0000F3450000}"/>
    <cellStyle name="Input 2 2 2 2 2 5 2 2" xfId="18985" xr:uid="{00000000-0005-0000-0000-0000F4450000}"/>
    <cellStyle name="Input 2 2 2 2 2 5 2 3" xfId="18986" xr:uid="{00000000-0005-0000-0000-0000F5450000}"/>
    <cellStyle name="Input 2 2 2 2 2 5 3" xfId="18987" xr:uid="{00000000-0005-0000-0000-0000F6450000}"/>
    <cellStyle name="Input 2 2 2 2 2 5 3 2" xfId="18988" xr:uid="{00000000-0005-0000-0000-0000F7450000}"/>
    <cellStyle name="Input 2 2 2 2 2 5 3 3" xfId="18989" xr:uid="{00000000-0005-0000-0000-0000F8450000}"/>
    <cellStyle name="Input 2 2 2 2 2 5 4" xfId="18990" xr:uid="{00000000-0005-0000-0000-0000F9450000}"/>
    <cellStyle name="Input 2 2 2 2 2 5 4 2" xfId="18991" xr:uid="{00000000-0005-0000-0000-0000FA450000}"/>
    <cellStyle name="Input 2 2 2 2 2 5 4 3" xfId="18992" xr:uid="{00000000-0005-0000-0000-0000FB450000}"/>
    <cellStyle name="Input 2 2 2 2 2 5 5" xfId="18993" xr:uid="{00000000-0005-0000-0000-0000FC450000}"/>
    <cellStyle name="Input 2 2 2 2 2 5 5 2" xfId="18994" xr:uid="{00000000-0005-0000-0000-0000FD450000}"/>
    <cellStyle name="Input 2 2 2 2 2 5 5 3" xfId="18995" xr:uid="{00000000-0005-0000-0000-0000FE450000}"/>
    <cellStyle name="Input 2 2 2 2 2 5 6" xfId="18996" xr:uid="{00000000-0005-0000-0000-0000FF450000}"/>
    <cellStyle name="Input 2 2 2 2 2 5 6 2" xfId="18997" xr:uid="{00000000-0005-0000-0000-000000460000}"/>
    <cellStyle name="Input 2 2 2 2 2 5 6 3" xfId="18998" xr:uid="{00000000-0005-0000-0000-000001460000}"/>
    <cellStyle name="Input 2 2 2 2 2 5 7" xfId="18999" xr:uid="{00000000-0005-0000-0000-000002460000}"/>
    <cellStyle name="Input 2 2 2 2 2 5 7 2" xfId="19000" xr:uid="{00000000-0005-0000-0000-000003460000}"/>
    <cellStyle name="Input 2 2 2 2 2 5 7 3" xfId="19001" xr:uid="{00000000-0005-0000-0000-000004460000}"/>
    <cellStyle name="Input 2 2 2 2 2 5 8" xfId="19002" xr:uid="{00000000-0005-0000-0000-000005460000}"/>
    <cellStyle name="Input 2 2 2 2 2 5 9" xfId="19003" xr:uid="{00000000-0005-0000-0000-000006460000}"/>
    <cellStyle name="Input 2 2 2 2 2 6" xfId="19004" xr:uid="{00000000-0005-0000-0000-000007460000}"/>
    <cellStyle name="Input 2 2 2 2 2 6 2" xfId="19005" xr:uid="{00000000-0005-0000-0000-000008460000}"/>
    <cellStyle name="Input 2 2 2 2 2 6 3" xfId="19006" xr:uid="{00000000-0005-0000-0000-000009460000}"/>
    <cellStyle name="Input 2 2 2 2 2 7" xfId="19007" xr:uid="{00000000-0005-0000-0000-00000A460000}"/>
    <cellStyle name="Input 2 2 2 2 2 7 2" xfId="19008" xr:uid="{00000000-0005-0000-0000-00000B460000}"/>
    <cellStyle name="Input 2 2 2 2 2 7 3" xfId="19009" xr:uid="{00000000-0005-0000-0000-00000C460000}"/>
    <cellStyle name="Input 2 2 2 2 2 8" xfId="19010" xr:uid="{00000000-0005-0000-0000-00000D460000}"/>
    <cellStyle name="Input 2 2 2 2 2 8 2" xfId="19011" xr:uid="{00000000-0005-0000-0000-00000E460000}"/>
    <cellStyle name="Input 2 2 2 2 2 8 3" xfId="19012" xr:uid="{00000000-0005-0000-0000-00000F460000}"/>
    <cellStyle name="Input 2 2 2 2 2 9" xfId="19013" xr:uid="{00000000-0005-0000-0000-000010460000}"/>
    <cellStyle name="Input 2 2 2 2 2 9 2" xfId="19014" xr:uid="{00000000-0005-0000-0000-000011460000}"/>
    <cellStyle name="Input 2 2 2 2 2 9 3" xfId="19015" xr:uid="{00000000-0005-0000-0000-000012460000}"/>
    <cellStyle name="Input 2 2 2 2 3" xfId="19016" xr:uid="{00000000-0005-0000-0000-000013460000}"/>
    <cellStyle name="Input 2 2 2 2 3 10" xfId="44057" xr:uid="{00000000-0005-0000-0000-000014460000}"/>
    <cellStyle name="Input 2 2 2 2 3 2" xfId="19017" xr:uid="{00000000-0005-0000-0000-000015460000}"/>
    <cellStyle name="Input 2 2 2 2 3 2 10" xfId="19018" xr:uid="{00000000-0005-0000-0000-000016460000}"/>
    <cellStyle name="Input 2 2 2 2 3 2 2" xfId="19019" xr:uid="{00000000-0005-0000-0000-000017460000}"/>
    <cellStyle name="Input 2 2 2 2 3 2 2 2" xfId="19020" xr:uid="{00000000-0005-0000-0000-000018460000}"/>
    <cellStyle name="Input 2 2 2 2 3 2 2 2 2" xfId="19021" xr:uid="{00000000-0005-0000-0000-000019460000}"/>
    <cellStyle name="Input 2 2 2 2 3 2 2 2 3" xfId="19022" xr:uid="{00000000-0005-0000-0000-00001A460000}"/>
    <cellStyle name="Input 2 2 2 2 3 2 2 3" xfId="19023" xr:uid="{00000000-0005-0000-0000-00001B460000}"/>
    <cellStyle name="Input 2 2 2 2 3 2 2 3 2" xfId="19024" xr:uid="{00000000-0005-0000-0000-00001C460000}"/>
    <cellStyle name="Input 2 2 2 2 3 2 2 3 3" xfId="19025" xr:uid="{00000000-0005-0000-0000-00001D460000}"/>
    <cellStyle name="Input 2 2 2 2 3 2 2 4" xfId="19026" xr:uid="{00000000-0005-0000-0000-00001E460000}"/>
    <cellStyle name="Input 2 2 2 2 3 2 2 4 2" xfId="19027" xr:uid="{00000000-0005-0000-0000-00001F460000}"/>
    <cellStyle name="Input 2 2 2 2 3 2 2 4 3" xfId="19028" xr:uid="{00000000-0005-0000-0000-000020460000}"/>
    <cellStyle name="Input 2 2 2 2 3 2 2 5" xfId="19029" xr:uid="{00000000-0005-0000-0000-000021460000}"/>
    <cellStyle name="Input 2 2 2 2 3 2 2 5 2" xfId="19030" xr:uid="{00000000-0005-0000-0000-000022460000}"/>
    <cellStyle name="Input 2 2 2 2 3 2 2 5 3" xfId="19031" xr:uid="{00000000-0005-0000-0000-000023460000}"/>
    <cellStyle name="Input 2 2 2 2 3 2 2 6" xfId="19032" xr:uid="{00000000-0005-0000-0000-000024460000}"/>
    <cellStyle name="Input 2 2 2 2 3 2 2 6 2" xfId="19033" xr:uid="{00000000-0005-0000-0000-000025460000}"/>
    <cellStyle name="Input 2 2 2 2 3 2 2 6 3" xfId="19034" xr:uid="{00000000-0005-0000-0000-000026460000}"/>
    <cellStyle name="Input 2 2 2 2 3 2 2 7" xfId="19035" xr:uid="{00000000-0005-0000-0000-000027460000}"/>
    <cellStyle name="Input 2 2 2 2 3 2 2 7 2" xfId="19036" xr:uid="{00000000-0005-0000-0000-000028460000}"/>
    <cellStyle name="Input 2 2 2 2 3 2 2 7 3" xfId="19037" xr:uid="{00000000-0005-0000-0000-000029460000}"/>
    <cellStyle name="Input 2 2 2 2 3 2 2 8" xfId="19038" xr:uid="{00000000-0005-0000-0000-00002A460000}"/>
    <cellStyle name="Input 2 2 2 2 3 2 2 9" xfId="19039" xr:uid="{00000000-0005-0000-0000-00002B460000}"/>
    <cellStyle name="Input 2 2 2 2 3 2 3" xfId="19040" xr:uid="{00000000-0005-0000-0000-00002C460000}"/>
    <cellStyle name="Input 2 2 2 2 3 2 3 2" xfId="19041" xr:uid="{00000000-0005-0000-0000-00002D460000}"/>
    <cellStyle name="Input 2 2 2 2 3 2 3 3" xfId="19042" xr:uid="{00000000-0005-0000-0000-00002E460000}"/>
    <cellStyle name="Input 2 2 2 2 3 2 4" xfId="19043" xr:uid="{00000000-0005-0000-0000-00002F460000}"/>
    <cellStyle name="Input 2 2 2 2 3 2 4 2" xfId="19044" xr:uid="{00000000-0005-0000-0000-000030460000}"/>
    <cellStyle name="Input 2 2 2 2 3 2 4 3" xfId="19045" xr:uid="{00000000-0005-0000-0000-000031460000}"/>
    <cellStyle name="Input 2 2 2 2 3 2 5" xfId="19046" xr:uid="{00000000-0005-0000-0000-000032460000}"/>
    <cellStyle name="Input 2 2 2 2 3 2 5 2" xfId="19047" xr:uid="{00000000-0005-0000-0000-000033460000}"/>
    <cellStyle name="Input 2 2 2 2 3 2 5 3" xfId="19048" xr:uid="{00000000-0005-0000-0000-000034460000}"/>
    <cellStyle name="Input 2 2 2 2 3 2 6" xfId="19049" xr:uid="{00000000-0005-0000-0000-000035460000}"/>
    <cellStyle name="Input 2 2 2 2 3 2 6 2" xfId="19050" xr:uid="{00000000-0005-0000-0000-000036460000}"/>
    <cellStyle name="Input 2 2 2 2 3 2 6 3" xfId="19051" xr:uid="{00000000-0005-0000-0000-000037460000}"/>
    <cellStyle name="Input 2 2 2 2 3 2 7" xfId="19052" xr:uid="{00000000-0005-0000-0000-000038460000}"/>
    <cellStyle name="Input 2 2 2 2 3 2 7 2" xfId="19053" xr:uid="{00000000-0005-0000-0000-000039460000}"/>
    <cellStyle name="Input 2 2 2 2 3 2 7 3" xfId="19054" xr:uid="{00000000-0005-0000-0000-00003A460000}"/>
    <cellStyle name="Input 2 2 2 2 3 2 8" xfId="19055" xr:uid="{00000000-0005-0000-0000-00003B460000}"/>
    <cellStyle name="Input 2 2 2 2 3 2 8 2" xfId="19056" xr:uid="{00000000-0005-0000-0000-00003C460000}"/>
    <cellStyle name="Input 2 2 2 2 3 2 8 3" xfId="19057" xr:uid="{00000000-0005-0000-0000-00003D460000}"/>
    <cellStyle name="Input 2 2 2 2 3 2 9" xfId="19058" xr:uid="{00000000-0005-0000-0000-00003E460000}"/>
    <cellStyle name="Input 2 2 2 2 3 3" xfId="19059" xr:uid="{00000000-0005-0000-0000-00003F460000}"/>
    <cellStyle name="Input 2 2 2 2 3 3 10" xfId="19060" xr:uid="{00000000-0005-0000-0000-000040460000}"/>
    <cellStyle name="Input 2 2 2 2 3 3 2" xfId="19061" xr:uid="{00000000-0005-0000-0000-000041460000}"/>
    <cellStyle name="Input 2 2 2 2 3 3 2 2" xfId="19062" xr:uid="{00000000-0005-0000-0000-000042460000}"/>
    <cellStyle name="Input 2 2 2 2 3 3 2 2 2" xfId="19063" xr:uid="{00000000-0005-0000-0000-000043460000}"/>
    <cellStyle name="Input 2 2 2 2 3 3 2 2 3" xfId="19064" xr:uid="{00000000-0005-0000-0000-000044460000}"/>
    <cellStyle name="Input 2 2 2 2 3 3 2 3" xfId="19065" xr:uid="{00000000-0005-0000-0000-000045460000}"/>
    <cellStyle name="Input 2 2 2 2 3 3 2 3 2" xfId="19066" xr:uid="{00000000-0005-0000-0000-000046460000}"/>
    <cellStyle name="Input 2 2 2 2 3 3 2 3 3" xfId="19067" xr:uid="{00000000-0005-0000-0000-000047460000}"/>
    <cellStyle name="Input 2 2 2 2 3 3 2 4" xfId="19068" xr:uid="{00000000-0005-0000-0000-000048460000}"/>
    <cellStyle name="Input 2 2 2 2 3 3 2 4 2" xfId="19069" xr:uid="{00000000-0005-0000-0000-000049460000}"/>
    <cellStyle name="Input 2 2 2 2 3 3 2 4 3" xfId="19070" xr:uid="{00000000-0005-0000-0000-00004A460000}"/>
    <cellStyle name="Input 2 2 2 2 3 3 2 5" xfId="19071" xr:uid="{00000000-0005-0000-0000-00004B460000}"/>
    <cellStyle name="Input 2 2 2 2 3 3 2 5 2" xfId="19072" xr:uid="{00000000-0005-0000-0000-00004C460000}"/>
    <cellStyle name="Input 2 2 2 2 3 3 2 5 3" xfId="19073" xr:uid="{00000000-0005-0000-0000-00004D460000}"/>
    <cellStyle name="Input 2 2 2 2 3 3 2 6" xfId="19074" xr:uid="{00000000-0005-0000-0000-00004E460000}"/>
    <cellStyle name="Input 2 2 2 2 3 3 2 6 2" xfId="19075" xr:uid="{00000000-0005-0000-0000-00004F460000}"/>
    <cellStyle name="Input 2 2 2 2 3 3 2 6 3" xfId="19076" xr:uid="{00000000-0005-0000-0000-000050460000}"/>
    <cellStyle name="Input 2 2 2 2 3 3 2 7" xfId="19077" xr:uid="{00000000-0005-0000-0000-000051460000}"/>
    <cellStyle name="Input 2 2 2 2 3 3 2 7 2" xfId="19078" xr:uid="{00000000-0005-0000-0000-000052460000}"/>
    <cellStyle name="Input 2 2 2 2 3 3 2 7 3" xfId="19079" xr:uid="{00000000-0005-0000-0000-000053460000}"/>
    <cellStyle name="Input 2 2 2 2 3 3 2 8" xfId="19080" xr:uid="{00000000-0005-0000-0000-000054460000}"/>
    <cellStyle name="Input 2 2 2 2 3 3 2 9" xfId="19081" xr:uid="{00000000-0005-0000-0000-000055460000}"/>
    <cellStyle name="Input 2 2 2 2 3 3 3" xfId="19082" xr:uid="{00000000-0005-0000-0000-000056460000}"/>
    <cellStyle name="Input 2 2 2 2 3 3 3 2" xfId="19083" xr:uid="{00000000-0005-0000-0000-000057460000}"/>
    <cellStyle name="Input 2 2 2 2 3 3 3 3" xfId="19084" xr:uid="{00000000-0005-0000-0000-000058460000}"/>
    <cellStyle name="Input 2 2 2 2 3 3 4" xfId="19085" xr:uid="{00000000-0005-0000-0000-000059460000}"/>
    <cellStyle name="Input 2 2 2 2 3 3 4 2" xfId="19086" xr:uid="{00000000-0005-0000-0000-00005A460000}"/>
    <cellStyle name="Input 2 2 2 2 3 3 4 3" xfId="19087" xr:uid="{00000000-0005-0000-0000-00005B460000}"/>
    <cellStyle name="Input 2 2 2 2 3 3 5" xfId="19088" xr:uid="{00000000-0005-0000-0000-00005C460000}"/>
    <cellStyle name="Input 2 2 2 2 3 3 5 2" xfId="19089" xr:uid="{00000000-0005-0000-0000-00005D460000}"/>
    <cellStyle name="Input 2 2 2 2 3 3 5 3" xfId="19090" xr:uid="{00000000-0005-0000-0000-00005E460000}"/>
    <cellStyle name="Input 2 2 2 2 3 3 6" xfId="19091" xr:uid="{00000000-0005-0000-0000-00005F460000}"/>
    <cellStyle name="Input 2 2 2 2 3 3 6 2" xfId="19092" xr:uid="{00000000-0005-0000-0000-000060460000}"/>
    <cellStyle name="Input 2 2 2 2 3 3 6 3" xfId="19093" xr:uid="{00000000-0005-0000-0000-000061460000}"/>
    <cellStyle name="Input 2 2 2 2 3 3 7" xfId="19094" xr:uid="{00000000-0005-0000-0000-000062460000}"/>
    <cellStyle name="Input 2 2 2 2 3 3 7 2" xfId="19095" xr:uid="{00000000-0005-0000-0000-000063460000}"/>
    <cellStyle name="Input 2 2 2 2 3 3 7 3" xfId="19096" xr:uid="{00000000-0005-0000-0000-000064460000}"/>
    <cellStyle name="Input 2 2 2 2 3 3 8" xfId="19097" xr:uid="{00000000-0005-0000-0000-000065460000}"/>
    <cellStyle name="Input 2 2 2 2 3 3 8 2" xfId="19098" xr:uid="{00000000-0005-0000-0000-000066460000}"/>
    <cellStyle name="Input 2 2 2 2 3 3 8 3" xfId="19099" xr:uid="{00000000-0005-0000-0000-000067460000}"/>
    <cellStyle name="Input 2 2 2 2 3 3 9" xfId="19100" xr:uid="{00000000-0005-0000-0000-000068460000}"/>
    <cellStyle name="Input 2 2 2 2 3 4" xfId="19101" xr:uid="{00000000-0005-0000-0000-000069460000}"/>
    <cellStyle name="Input 2 2 2 2 3 4 10" xfId="19102" xr:uid="{00000000-0005-0000-0000-00006A460000}"/>
    <cellStyle name="Input 2 2 2 2 3 4 2" xfId="19103" xr:uid="{00000000-0005-0000-0000-00006B460000}"/>
    <cellStyle name="Input 2 2 2 2 3 4 2 2" xfId="19104" xr:uid="{00000000-0005-0000-0000-00006C460000}"/>
    <cellStyle name="Input 2 2 2 2 3 4 2 2 2" xfId="19105" xr:uid="{00000000-0005-0000-0000-00006D460000}"/>
    <cellStyle name="Input 2 2 2 2 3 4 2 2 3" xfId="19106" xr:uid="{00000000-0005-0000-0000-00006E460000}"/>
    <cellStyle name="Input 2 2 2 2 3 4 2 3" xfId="19107" xr:uid="{00000000-0005-0000-0000-00006F460000}"/>
    <cellStyle name="Input 2 2 2 2 3 4 2 3 2" xfId="19108" xr:uid="{00000000-0005-0000-0000-000070460000}"/>
    <cellStyle name="Input 2 2 2 2 3 4 2 3 3" xfId="19109" xr:uid="{00000000-0005-0000-0000-000071460000}"/>
    <cellStyle name="Input 2 2 2 2 3 4 2 4" xfId="19110" xr:uid="{00000000-0005-0000-0000-000072460000}"/>
    <cellStyle name="Input 2 2 2 2 3 4 2 4 2" xfId="19111" xr:uid="{00000000-0005-0000-0000-000073460000}"/>
    <cellStyle name="Input 2 2 2 2 3 4 2 4 3" xfId="19112" xr:uid="{00000000-0005-0000-0000-000074460000}"/>
    <cellStyle name="Input 2 2 2 2 3 4 2 5" xfId="19113" xr:uid="{00000000-0005-0000-0000-000075460000}"/>
    <cellStyle name="Input 2 2 2 2 3 4 2 5 2" xfId="19114" xr:uid="{00000000-0005-0000-0000-000076460000}"/>
    <cellStyle name="Input 2 2 2 2 3 4 2 5 3" xfId="19115" xr:uid="{00000000-0005-0000-0000-000077460000}"/>
    <cellStyle name="Input 2 2 2 2 3 4 2 6" xfId="19116" xr:uid="{00000000-0005-0000-0000-000078460000}"/>
    <cellStyle name="Input 2 2 2 2 3 4 2 6 2" xfId="19117" xr:uid="{00000000-0005-0000-0000-000079460000}"/>
    <cellStyle name="Input 2 2 2 2 3 4 2 6 3" xfId="19118" xr:uid="{00000000-0005-0000-0000-00007A460000}"/>
    <cellStyle name="Input 2 2 2 2 3 4 2 7" xfId="19119" xr:uid="{00000000-0005-0000-0000-00007B460000}"/>
    <cellStyle name="Input 2 2 2 2 3 4 2 7 2" xfId="19120" xr:uid="{00000000-0005-0000-0000-00007C460000}"/>
    <cellStyle name="Input 2 2 2 2 3 4 2 7 3" xfId="19121" xr:uid="{00000000-0005-0000-0000-00007D460000}"/>
    <cellStyle name="Input 2 2 2 2 3 4 2 8" xfId="19122" xr:uid="{00000000-0005-0000-0000-00007E460000}"/>
    <cellStyle name="Input 2 2 2 2 3 4 2 9" xfId="19123" xr:uid="{00000000-0005-0000-0000-00007F460000}"/>
    <cellStyle name="Input 2 2 2 2 3 4 3" xfId="19124" xr:uid="{00000000-0005-0000-0000-000080460000}"/>
    <cellStyle name="Input 2 2 2 2 3 4 3 2" xfId="19125" xr:uid="{00000000-0005-0000-0000-000081460000}"/>
    <cellStyle name="Input 2 2 2 2 3 4 3 3" xfId="19126" xr:uid="{00000000-0005-0000-0000-000082460000}"/>
    <cellStyle name="Input 2 2 2 2 3 4 4" xfId="19127" xr:uid="{00000000-0005-0000-0000-000083460000}"/>
    <cellStyle name="Input 2 2 2 2 3 4 4 2" xfId="19128" xr:uid="{00000000-0005-0000-0000-000084460000}"/>
    <cellStyle name="Input 2 2 2 2 3 4 4 3" xfId="19129" xr:uid="{00000000-0005-0000-0000-000085460000}"/>
    <cellStyle name="Input 2 2 2 2 3 4 5" xfId="19130" xr:uid="{00000000-0005-0000-0000-000086460000}"/>
    <cellStyle name="Input 2 2 2 2 3 4 5 2" xfId="19131" xr:uid="{00000000-0005-0000-0000-000087460000}"/>
    <cellStyle name="Input 2 2 2 2 3 4 5 3" xfId="19132" xr:uid="{00000000-0005-0000-0000-000088460000}"/>
    <cellStyle name="Input 2 2 2 2 3 4 6" xfId="19133" xr:uid="{00000000-0005-0000-0000-000089460000}"/>
    <cellStyle name="Input 2 2 2 2 3 4 6 2" xfId="19134" xr:uid="{00000000-0005-0000-0000-00008A460000}"/>
    <cellStyle name="Input 2 2 2 2 3 4 6 3" xfId="19135" xr:uid="{00000000-0005-0000-0000-00008B460000}"/>
    <cellStyle name="Input 2 2 2 2 3 4 7" xfId="19136" xr:uid="{00000000-0005-0000-0000-00008C460000}"/>
    <cellStyle name="Input 2 2 2 2 3 4 7 2" xfId="19137" xr:uid="{00000000-0005-0000-0000-00008D460000}"/>
    <cellStyle name="Input 2 2 2 2 3 4 7 3" xfId="19138" xr:uid="{00000000-0005-0000-0000-00008E460000}"/>
    <cellStyle name="Input 2 2 2 2 3 4 8" xfId="19139" xr:uid="{00000000-0005-0000-0000-00008F460000}"/>
    <cellStyle name="Input 2 2 2 2 3 4 8 2" xfId="19140" xr:uid="{00000000-0005-0000-0000-000090460000}"/>
    <cellStyle name="Input 2 2 2 2 3 4 8 3" xfId="19141" xr:uid="{00000000-0005-0000-0000-000091460000}"/>
    <cellStyle name="Input 2 2 2 2 3 4 9" xfId="19142" xr:uid="{00000000-0005-0000-0000-000092460000}"/>
    <cellStyle name="Input 2 2 2 2 3 5" xfId="19143" xr:uid="{00000000-0005-0000-0000-000093460000}"/>
    <cellStyle name="Input 2 2 2 2 3 5 2" xfId="19144" xr:uid="{00000000-0005-0000-0000-000094460000}"/>
    <cellStyle name="Input 2 2 2 2 3 5 2 2" xfId="19145" xr:uid="{00000000-0005-0000-0000-000095460000}"/>
    <cellStyle name="Input 2 2 2 2 3 5 2 3" xfId="19146" xr:uid="{00000000-0005-0000-0000-000096460000}"/>
    <cellStyle name="Input 2 2 2 2 3 5 3" xfId="19147" xr:uid="{00000000-0005-0000-0000-000097460000}"/>
    <cellStyle name="Input 2 2 2 2 3 5 3 2" xfId="19148" xr:uid="{00000000-0005-0000-0000-000098460000}"/>
    <cellStyle name="Input 2 2 2 2 3 5 3 3" xfId="19149" xr:uid="{00000000-0005-0000-0000-000099460000}"/>
    <cellStyle name="Input 2 2 2 2 3 5 4" xfId="19150" xr:uid="{00000000-0005-0000-0000-00009A460000}"/>
    <cellStyle name="Input 2 2 2 2 3 5 4 2" xfId="19151" xr:uid="{00000000-0005-0000-0000-00009B460000}"/>
    <cellStyle name="Input 2 2 2 2 3 5 4 3" xfId="19152" xr:uid="{00000000-0005-0000-0000-00009C460000}"/>
    <cellStyle name="Input 2 2 2 2 3 5 5" xfId="19153" xr:uid="{00000000-0005-0000-0000-00009D460000}"/>
    <cellStyle name="Input 2 2 2 2 3 5 5 2" xfId="19154" xr:uid="{00000000-0005-0000-0000-00009E460000}"/>
    <cellStyle name="Input 2 2 2 2 3 5 5 3" xfId="19155" xr:uid="{00000000-0005-0000-0000-00009F460000}"/>
    <cellStyle name="Input 2 2 2 2 3 5 6" xfId="19156" xr:uid="{00000000-0005-0000-0000-0000A0460000}"/>
    <cellStyle name="Input 2 2 2 2 3 5 6 2" xfId="19157" xr:uid="{00000000-0005-0000-0000-0000A1460000}"/>
    <cellStyle name="Input 2 2 2 2 3 5 6 3" xfId="19158" xr:uid="{00000000-0005-0000-0000-0000A2460000}"/>
    <cellStyle name="Input 2 2 2 2 3 5 7" xfId="19159" xr:uid="{00000000-0005-0000-0000-0000A3460000}"/>
    <cellStyle name="Input 2 2 2 2 3 5 7 2" xfId="19160" xr:uid="{00000000-0005-0000-0000-0000A4460000}"/>
    <cellStyle name="Input 2 2 2 2 3 5 7 3" xfId="19161" xr:uid="{00000000-0005-0000-0000-0000A5460000}"/>
    <cellStyle name="Input 2 2 2 2 3 5 8" xfId="19162" xr:uid="{00000000-0005-0000-0000-0000A6460000}"/>
    <cellStyle name="Input 2 2 2 2 3 5 9" xfId="19163" xr:uid="{00000000-0005-0000-0000-0000A7460000}"/>
    <cellStyle name="Input 2 2 2 2 3 6" xfId="19164" xr:uid="{00000000-0005-0000-0000-0000A8460000}"/>
    <cellStyle name="Input 2 2 2 2 3 6 2" xfId="19165" xr:uid="{00000000-0005-0000-0000-0000A9460000}"/>
    <cellStyle name="Input 2 2 2 2 3 6 3" xfId="19166" xr:uid="{00000000-0005-0000-0000-0000AA460000}"/>
    <cellStyle name="Input 2 2 2 2 3 7" xfId="19167" xr:uid="{00000000-0005-0000-0000-0000AB460000}"/>
    <cellStyle name="Input 2 2 2 2 3 7 2" xfId="19168" xr:uid="{00000000-0005-0000-0000-0000AC460000}"/>
    <cellStyle name="Input 2 2 2 2 3 7 3" xfId="19169" xr:uid="{00000000-0005-0000-0000-0000AD460000}"/>
    <cellStyle name="Input 2 2 2 2 3 8" xfId="19170" xr:uid="{00000000-0005-0000-0000-0000AE460000}"/>
    <cellStyle name="Input 2 2 2 2 3 8 2" xfId="19171" xr:uid="{00000000-0005-0000-0000-0000AF460000}"/>
    <cellStyle name="Input 2 2 2 2 3 8 3" xfId="19172" xr:uid="{00000000-0005-0000-0000-0000B0460000}"/>
    <cellStyle name="Input 2 2 2 2 3 9" xfId="19173" xr:uid="{00000000-0005-0000-0000-0000B1460000}"/>
    <cellStyle name="Input 2 2 2 2 3 9 2" xfId="19174" xr:uid="{00000000-0005-0000-0000-0000B2460000}"/>
    <cellStyle name="Input 2 2 2 2 3 9 3" xfId="19175" xr:uid="{00000000-0005-0000-0000-0000B3460000}"/>
    <cellStyle name="Input 2 2 2 2 4" xfId="19176" xr:uid="{00000000-0005-0000-0000-0000B4460000}"/>
    <cellStyle name="Input 2 2 2 2 4 10" xfId="44058" xr:uid="{00000000-0005-0000-0000-0000B5460000}"/>
    <cellStyle name="Input 2 2 2 2 4 2" xfId="19177" xr:uid="{00000000-0005-0000-0000-0000B6460000}"/>
    <cellStyle name="Input 2 2 2 2 4 2 10" xfId="19178" xr:uid="{00000000-0005-0000-0000-0000B7460000}"/>
    <cellStyle name="Input 2 2 2 2 4 2 2" xfId="19179" xr:uid="{00000000-0005-0000-0000-0000B8460000}"/>
    <cellStyle name="Input 2 2 2 2 4 2 2 2" xfId="19180" xr:uid="{00000000-0005-0000-0000-0000B9460000}"/>
    <cellStyle name="Input 2 2 2 2 4 2 2 2 2" xfId="19181" xr:uid="{00000000-0005-0000-0000-0000BA460000}"/>
    <cellStyle name="Input 2 2 2 2 4 2 2 2 3" xfId="19182" xr:uid="{00000000-0005-0000-0000-0000BB460000}"/>
    <cellStyle name="Input 2 2 2 2 4 2 2 3" xfId="19183" xr:uid="{00000000-0005-0000-0000-0000BC460000}"/>
    <cellStyle name="Input 2 2 2 2 4 2 2 3 2" xfId="19184" xr:uid="{00000000-0005-0000-0000-0000BD460000}"/>
    <cellStyle name="Input 2 2 2 2 4 2 2 3 3" xfId="19185" xr:uid="{00000000-0005-0000-0000-0000BE460000}"/>
    <cellStyle name="Input 2 2 2 2 4 2 2 4" xfId="19186" xr:uid="{00000000-0005-0000-0000-0000BF460000}"/>
    <cellStyle name="Input 2 2 2 2 4 2 2 4 2" xfId="19187" xr:uid="{00000000-0005-0000-0000-0000C0460000}"/>
    <cellStyle name="Input 2 2 2 2 4 2 2 4 3" xfId="19188" xr:uid="{00000000-0005-0000-0000-0000C1460000}"/>
    <cellStyle name="Input 2 2 2 2 4 2 2 5" xfId="19189" xr:uid="{00000000-0005-0000-0000-0000C2460000}"/>
    <cellStyle name="Input 2 2 2 2 4 2 2 5 2" xfId="19190" xr:uid="{00000000-0005-0000-0000-0000C3460000}"/>
    <cellStyle name="Input 2 2 2 2 4 2 2 5 3" xfId="19191" xr:uid="{00000000-0005-0000-0000-0000C4460000}"/>
    <cellStyle name="Input 2 2 2 2 4 2 2 6" xfId="19192" xr:uid="{00000000-0005-0000-0000-0000C5460000}"/>
    <cellStyle name="Input 2 2 2 2 4 2 2 6 2" xfId="19193" xr:uid="{00000000-0005-0000-0000-0000C6460000}"/>
    <cellStyle name="Input 2 2 2 2 4 2 2 6 3" xfId="19194" xr:uid="{00000000-0005-0000-0000-0000C7460000}"/>
    <cellStyle name="Input 2 2 2 2 4 2 2 7" xfId="19195" xr:uid="{00000000-0005-0000-0000-0000C8460000}"/>
    <cellStyle name="Input 2 2 2 2 4 2 2 7 2" xfId="19196" xr:uid="{00000000-0005-0000-0000-0000C9460000}"/>
    <cellStyle name="Input 2 2 2 2 4 2 2 7 3" xfId="19197" xr:uid="{00000000-0005-0000-0000-0000CA460000}"/>
    <cellStyle name="Input 2 2 2 2 4 2 2 8" xfId="19198" xr:uid="{00000000-0005-0000-0000-0000CB460000}"/>
    <cellStyle name="Input 2 2 2 2 4 2 2 9" xfId="19199" xr:uid="{00000000-0005-0000-0000-0000CC460000}"/>
    <cellStyle name="Input 2 2 2 2 4 2 3" xfId="19200" xr:uid="{00000000-0005-0000-0000-0000CD460000}"/>
    <cellStyle name="Input 2 2 2 2 4 2 3 2" xfId="19201" xr:uid="{00000000-0005-0000-0000-0000CE460000}"/>
    <cellStyle name="Input 2 2 2 2 4 2 3 3" xfId="19202" xr:uid="{00000000-0005-0000-0000-0000CF460000}"/>
    <cellStyle name="Input 2 2 2 2 4 2 4" xfId="19203" xr:uid="{00000000-0005-0000-0000-0000D0460000}"/>
    <cellStyle name="Input 2 2 2 2 4 2 4 2" xfId="19204" xr:uid="{00000000-0005-0000-0000-0000D1460000}"/>
    <cellStyle name="Input 2 2 2 2 4 2 4 3" xfId="19205" xr:uid="{00000000-0005-0000-0000-0000D2460000}"/>
    <cellStyle name="Input 2 2 2 2 4 2 5" xfId="19206" xr:uid="{00000000-0005-0000-0000-0000D3460000}"/>
    <cellStyle name="Input 2 2 2 2 4 2 5 2" xfId="19207" xr:uid="{00000000-0005-0000-0000-0000D4460000}"/>
    <cellStyle name="Input 2 2 2 2 4 2 5 3" xfId="19208" xr:uid="{00000000-0005-0000-0000-0000D5460000}"/>
    <cellStyle name="Input 2 2 2 2 4 2 6" xfId="19209" xr:uid="{00000000-0005-0000-0000-0000D6460000}"/>
    <cellStyle name="Input 2 2 2 2 4 2 6 2" xfId="19210" xr:uid="{00000000-0005-0000-0000-0000D7460000}"/>
    <cellStyle name="Input 2 2 2 2 4 2 6 3" xfId="19211" xr:uid="{00000000-0005-0000-0000-0000D8460000}"/>
    <cellStyle name="Input 2 2 2 2 4 2 7" xfId="19212" xr:uid="{00000000-0005-0000-0000-0000D9460000}"/>
    <cellStyle name="Input 2 2 2 2 4 2 7 2" xfId="19213" xr:uid="{00000000-0005-0000-0000-0000DA460000}"/>
    <cellStyle name="Input 2 2 2 2 4 2 7 3" xfId="19214" xr:uid="{00000000-0005-0000-0000-0000DB460000}"/>
    <cellStyle name="Input 2 2 2 2 4 2 8" xfId="19215" xr:uid="{00000000-0005-0000-0000-0000DC460000}"/>
    <cellStyle name="Input 2 2 2 2 4 2 8 2" xfId="19216" xr:uid="{00000000-0005-0000-0000-0000DD460000}"/>
    <cellStyle name="Input 2 2 2 2 4 2 8 3" xfId="19217" xr:uid="{00000000-0005-0000-0000-0000DE460000}"/>
    <cellStyle name="Input 2 2 2 2 4 2 9" xfId="19218" xr:uid="{00000000-0005-0000-0000-0000DF460000}"/>
    <cellStyle name="Input 2 2 2 2 4 3" xfId="19219" xr:uid="{00000000-0005-0000-0000-0000E0460000}"/>
    <cellStyle name="Input 2 2 2 2 4 3 10" xfId="19220" xr:uid="{00000000-0005-0000-0000-0000E1460000}"/>
    <cellStyle name="Input 2 2 2 2 4 3 2" xfId="19221" xr:uid="{00000000-0005-0000-0000-0000E2460000}"/>
    <cellStyle name="Input 2 2 2 2 4 3 2 2" xfId="19222" xr:uid="{00000000-0005-0000-0000-0000E3460000}"/>
    <cellStyle name="Input 2 2 2 2 4 3 2 2 2" xfId="19223" xr:uid="{00000000-0005-0000-0000-0000E4460000}"/>
    <cellStyle name="Input 2 2 2 2 4 3 2 2 3" xfId="19224" xr:uid="{00000000-0005-0000-0000-0000E5460000}"/>
    <cellStyle name="Input 2 2 2 2 4 3 2 3" xfId="19225" xr:uid="{00000000-0005-0000-0000-0000E6460000}"/>
    <cellStyle name="Input 2 2 2 2 4 3 2 3 2" xfId="19226" xr:uid="{00000000-0005-0000-0000-0000E7460000}"/>
    <cellStyle name="Input 2 2 2 2 4 3 2 3 3" xfId="19227" xr:uid="{00000000-0005-0000-0000-0000E8460000}"/>
    <cellStyle name="Input 2 2 2 2 4 3 2 4" xfId="19228" xr:uid="{00000000-0005-0000-0000-0000E9460000}"/>
    <cellStyle name="Input 2 2 2 2 4 3 2 4 2" xfId="19229" xr:uid="{00000000-0005-0000-0000-0000EA460000}"/>
    <cellStyle name="Input 2 2 2 2 4 3 2 4 3" xfId="19230" xr:uid="{00000000-0005-0000-0000-0000EB460000}"/>
    <cellStyle name="Input 2 2 2 2 4 3 2 5" xfId="19231" xr:uid="{00000000-0005-0000-0000-0000EC460000}"/>
    <cellStyle name="Input 2 2 2 2 4 3 2 5 2" xfId="19232" xr:uid="{00000000-0005-0000-0000-0000ED460000}"/>
    <cellStyle name="Input 2 2 2 2 4 3 2 5 3" xfId="19233" xr:uid="{00000000-0005-0000-0000-0000EE460000}"/>
    <cellStyle name="Input 2 2 2 2 4 3 2 6" xfId="19234" xr:uid="{00000000-0005-0000-0000-0000EF460000}"/>
    <cellStyle name="Input 2 2 2 2 4 3 2 6 2" xfId="19235" xr:uid="{00000000-0005-0000-0000-0000F0460000}"/>
    <cellStyle name="Input 2 2 2 2 4 3 2 6 3" xfId="19236" xr:uid="{00000000-0005-0000-0000-0000F1460000}"/>
    <cellStyle name="Input 2 2 2 2 4 3 2 7" xfId="19237" xr:uid="{00000000-0005-0000-0000-0000F2460000}"/>
    <cellStyle name="Input 2 2 2 2 4 3 2 7 2" xfId="19238" xr:uid="{00000000-0005-0000-0000-0000F3460000}"/>
    <cellStyle name="Input 2 2 2 2 4 3 2 7 3" xfId="19239" xr:uid="{00000000-0005-0000-0000-0000F4460000}"/>
    <cellStyle name="Input 2 2 2 2 4 3 2 8" xfId="19240" xr:uid="{00000000-0005-0000-0000-0000F5460000}"/>
    <cellStyle name="Input 2 2 2 2 4 3 2 9" xfId="19241" xr:uid="{00000000-0005-0000-0000-0000F6460000}"/>
    <cellStyle name="Input 2 2 2 2 4 3 3" xfId="19242" xr:uid="{00000000-0005-0000-0000-0000F7460000}"/>
    <cellStyle name="Input 2 2 2 2 4 3 3 2" xfId="19243" xr:uid="{00000000-0005-0000-0000-0000F8460000}"/>
    <cellStyle name="Input 2 2 2 2 4 3 3 3" xfId="19244" xr:uid="{00000000-0005-0000-0000-0000F9460000}"/>
    <cellStyle name="Input 2 2 2 2 4 3 4" xfId="19245" xr:uid="{00000000-0005-0000-0000-0000FA460000}"/>
    <cellStyle name="Input 2 2 2 2 4 3 4 2" xfId="19246" xr:uid="{00000000-0005-0000-0000-0000FB460000}"/>
    <cellStyle name="Input 2 2 2 2 4 3 4 3" xfId="19247" xr:uid="{00000000-0005-0000-0000-0000FC460000}"/>
    <cellStyle name="Input 2 2 2 2 4 3 5" xfId="19248" xr:uid="{00000000-0005-0000-0000-0000FD460000}"/>
    <cellStyle name="Input 2 2 2 2 4 3 5 2" xfId="19249" xr:uid="{00000000-0005-0000-0000-0000FE460000}"/>
    <cellStyle name="Input 2 2 2 2 4 3 5 3" xfId="19250" xr:uid="{00000000-0005-0000-0000-0000FF460000}"/>
    <cellStyle name="Input 2 2 2 2 4 3 6" xfId="19251" xr:uid="{00000000-0005-0000-0000-000000470000}"/>
    <cellStyle name="Input 2 2 2 2 4 3 6 2" xfId="19252" xr:uid="{00000000-0005-0000-0000-000001470000}"/>
    <cellStyle name="Input 2 2 2 2 4 3 6 3" xfId="19253" xr:uid="{00000000-0005-0000-0000-000002470000}"/>
    <cellStyle name="Input 2 2 2 2 4 3 7" xfId="19254" xr:uid="{00000000-0005-0000-0000-000003470000}"/>
    <cellStyle name="Input 2 2 2 2 4 3 7 2" xfId="19255" xr:uid="{00000000-0005-0000-0000-000004470000}"/>
    <cellStyle name="Input 2 2 2 2 4 3 7 3" xfId="19256" xr:uid="{00000000-0005-0000-0000-000005470000}"/>
    <cellStyle name="Input 2 2 2 2 4 3 8" xfId="19257" xr:uid="{00000000-0005-0000-0000-000006470000}"/>
    <cellStyle name="Input 2 2 2 2 4 3 8 2" xfId="19258" xr:uid="{00000000-0005-0000-0000-000007470000}"/>
    <cellStyle name="Input 2 2 2 2 4 3 8 3" xfId="19259" xr:uid="{00000000-0005-0000-0000-000008470000}"/>
    <cellStyle name="Input 2 2 2 2 4 3 9" xfId="19260" xr:uid="{00000000-0005-0000-0000-000009470000}"/>
    <cellStyle name="Input 2 2 2 2 4 4" xfId="19261" xr:uid="{00000000-0005-0000-0000-00000A470000}"/>
    <cellStyle name="Input 2 2 2 2 4 4 10" xfId="19262" xr:uid="{00000000-0005-0000-0000-00000B470000}"/>
    <cellStyle name="Input 2 2 2 2 4 4 2" xfId="19263" xr:uid="{00000000-0005-0000-0000-00000C470000}"/>
    <cellStyle name="Input 2 2 2 2 4 4 2 2" xfId="19264" xr:uid="{00000000-0005-0000-0000-00000D470000}"/>
    <cellStyle name="Input 2 2 2 2 4 4 2 2 2" xfId="19265" xr:uid="{00000000-0005-0000-0000-00000E470000}"/>
    <cellStyle name="Input 2 2 2 2 4 4 2 2 3" xfId="19266" xr:uid="{00000000-0005-0000-0000-00000F470000}"/>
    <cellStyle name="Input 2 2 2 2 4 4 2 3" xfId="19267" xr:uid="{00000000-0005-0000-0000-000010470000}"/>
    <cellStyle name="Input 2 2 2 2 4 4 2 3 2" xfId="19268" xr:uid="{00000000-0005-0000-0000-000011470000}"/>
    <cellStyle name="Input 2 2 2 2 4 4 2 3 3" xfId="19269" xr:uid="{00000000-0005-0000-0000-000012470000}"/>
    <cellStyle name="Input 2 2 2 2 4 4 2 4" xfId="19270" xr:uid="{00000000-0005-0000-0000-000013470000}"/>
    <cellStyle name="Input 2 2 2 2 4 4 2 4 2" xfId="19271" xr:uid="{00000000-0005-0000-0000-000014470000}"/>
    <cellStyle name="Input 2 2 2 2 4 4 2 4 3" xfId="19272" xr:uid="{00000000-0005-0000-0000-000015470000}"/>
    <cellStyle name="Input 2 2 2 2 4 4 2 5" xfId="19273" xr:uid="{00000000-0005-0000-0000-000016470000}"/>
    <cellStyle name="Input 2 2 2 2 4 4 2 5 2" xfId="19274" xr:uid="{00000000-0005-0000-0000-000017470000}"/>
    <cellStyle name="Input 2 2 2 2 4 4 2 5 3" xfId="19275" xr:uid="{00000000-0005-0000-0000-000018470000}"/>
    <cellStyle name="Input 2 2 2 2 4 4 2 6" xfId="19276" xr:uid="{00000000-0005-0000-0000-000019470000}"/>
    <cellStyle name="Input 2 2 2 2 4 4 2 6 2" xfId="19277" xr:uid="{00000000-0005-0000-0000-00001A470000}"/>
    <cellStyle name="Input 2 2 2 2 4 4 2 6 3" xfId="19278" xr:uid="{00000000-0005-0000-0000-00001B470000}"/>
    <cellStyle name="Input 2 2 2 2 4 4 2 7" xfId="19279" xr:uid="{00000000-0005-0000-0000-00001C470000}"/>
    <cellStyle name="Input 2 2 2 2 4 4 2 7 2" xfId="19280" xr:uid="{00000000-0005-0000-0000-00001D470000}"/>
    <cellStyle name="Input 2 2 2 2 4 4 2 7 3" xfId="19281" xr:uid="{00000000-0005-0000-0000-00001E470000}"/>
    <cellStyle name="Input 2 2 2 2 4 4 2 8" xfId="19282" xr:uid="{00000000-0005-0000-0000-00001F470000}"/>
    <cellStyle name="Input 2 2 2 2 4 4 2 9" xfId="19283" xr:uid="{00000000-0005-0000-0000-000020470000}"/>
    <cellStyle name="Input 2 2 2 2 4 4 3" xfId="19284" xr:uid="{00000000-0005-0000-0000-000021470000}"/>
    <cellStyle name="Input 2 2 2 2 4 4 3 2" xfId="19285" xr:uid="{00000000-0005-0000-0000-000022470000}"/>
    <cellStyle name="Input 2 2 2 2 4 4 3 3" xfId="19286" xr:uid="{00000000-0005-0000-0000-000023470000}"/>
    <cellStyle name="Input 2 2 2 2 4 4 4" xfId="19287" xr:uid="{00000000-0005-0000-0000-000024470000}"/>
    <cellStyle name="Input 2 2 2 2 4 4 4 2" xfId="19288" xr:uid="{00000000-0005-0000-0000-000025470000}"/>
    <cellStyle name="Input 2 2 2 2 4 4 4 3" xfId="19289" xr:uid="{00000000-0005-0000-0000-000026470000}"/>
    <cellStyle name="Input 2 2 2 2 4 4 5" xfId="19290" xr:uid="{00000000-0005-0000-0000-000027470000}"/>
    <cellStyle name="Input 2 2 2 2 4 4 5 2" xfId="19291" xr:uid="{00000000-0005-0000-0000-000028470000}"/>
    <cellStyle name="Input 2 2 2 2 4 4 5 3" xfId="19292" xr:uid="{00000000-0005-0000-0000-000029470000}"/>
    <cellStyle name="Input 2 2 2 2 4 4 6" xfId="19293" xr:uid="{00000000-0005-0000-0000-00002A470000}"/>
    <cellStyle name="Input 2 2 2 2 4 4 6 2" xfId="19294" xr:uid="{00000000-0005-0000-0000-00002B470000}"/>
    <cellStyle name="Input 2 2 2 2 4 4 6 3" xfId="19295" xr:uid="{00000000-0005-0000-0000-00002C470000}"/>
    <cellStyle name="Input 2 2 2 2 4 4 7" xfId="19296" xr:uid="{00000000-0005-0000-0000-00002D470000}"/>
    <cellStyle name="Input 2 2 2 2 4 4 7 2" xfId="19297" xr:uid="{00000000-0005-0000-0000-00002E470000}"/>
    <cellStyle name="Input 2 2 2 2 4 4 7 3" xfId="19298" xr:uid="{00000000-0005-0000-0000-00002F470000}"/>
    <cellStyle name="Input 2 2 2 2 4 4 8" xfId="19299" xr:uid="{00000000-0005-0000-0000-000030470000}"/>
    <cellStyle name="Input 2 2 2 2 4 4 8 2" xfId="19300" xr:uid="{00000000-0005-0000-0000-000031470000}"/>
    <cellStyle name="Input 2 2 2 2 4 4 8 3" xfId="19301" xr:uid="{00000000-0005-0000-0000-000032470000}"/>
    <cellStyle name="Input 2 2 2 2 4 4 9" xfId="19302" xr:uid="{00000000-0005-0000-0000-000033470000}"/>
    <cellStyle name="Input 2 2 2 2 4 5" xfId="19303" xr:uid="{00000000-0005-0000-0000-000034470000}"/>
    <cellStyle name="Input 2 2 2 2 4 5 2" xfId="19304" xr:uid="{00000000-0005-0000-0000-000035470000}"/>
    <cellStyle name="Input 2 2 2 2 4 5 2 2" xfId="19305" xr:uid="{00000000-0005-0000-0000-000036470000}"/>
    <cellStyle name="Input 2 2 2 2 4 5 2 3" xfId="19306" xr:uid="{00000000-0005-0000-0000-000037470000}"/>
    <cellStyle name="Input 2 2 2 2 4 5 3" xfId="19307" xr:uid="{00000000-0005-0000-0000-000038470000}"/>
    <cellStyle name="Input 2 2 2 2 4 5 3 2" xfId="19308" xr:uid="{00000000-0005-0000-0000-000039470000}"/>
    <cellStyle name="Input 2 2 2 2 4 5 3 3" xfId="19309" xr:uid="{00000000-0005-0000-0000-00003A470000}"/>
    <cellStyle name="Input 2 2 2 2 4 5 4" xfId="19310" xr:uid="{00000000-0005-0000-0000-00003B470000}"/>
    <cellStyle name="Input 2 2 2 2 4 5 4 2" xfId="19311" xr:uid="{00000000-0005-0000-0000-00003C470000}"/>
    <cellStyle name="Input 2 2 2 2 4 5 4 3" xfId="19312" xr:uid="{00000000-0005-0000-0000-00003D470000}"/>
    <cellStyle name="Input 2 2 2 2 4 5 5" xfId="19313" xr:uid="{00000000-0005-0000-0000-00003E470000}"/>
    <cellStyle name="Input 2 2 2 2 4 5 5 2" xfId="19314" xr:uid="{00000000-0005-0000-0000-00003F470000}"/>
    <cellStyle name="Input 2 2 2 2 4 5 5 3" xfId="19315" xr:uid="{00000000-0005-0000-0000-000040470000}"/>
    <cellStyle name="Input 2 2 2 2 4 5 6" xfId="19316" xr:uid="{00000000-0005-0000-0000-000041470000}"/>
    <cellStyle name="Input 2 2 2 2 4 5 6 2" xfId="19317" xr:uid="{00000000-0005-0000-0000-000042470000}"/>
    <cellStyle name="Input 2 2 2 2 4 5 6 3" xfId="19318" xr:uid="{00000000-0005-0000-0000-000043470000}"/>
    <cellStyle name="Input 2 2 2 2 4 5 7" xfId="19319" xr:uid="{00000000-0005-0000-0000-000044470000}"/>
    <cellStyle name="Input 2 2 2 2 4 5 7 2" xfId="19320" xr:uid="{00000000-0005-0000-0000-000045470000}"/>
    <cellStyle name="Input 2 2 2 2 4 5 7 3" xfId="19321" xr:uid="{00000000-0005-0000-0000-000046470000}"/>
    <cellStyle name="Input 2 2 2 2 4 5 8" xfId="19322" xr:uid="{00000000-0005-0000-0000-000047470000}"/>
    <cellStyle name="Input 2 2 2 2 4 5 9" xfId="19323" xr:uid="{00000000-0005-0000-0000-000048470000}"/>
    <cellStyle name="Input 2 2 2 2 4 6" xfId="19324" xr:uid="{00000000-0005-0000-0000-000049470000}"/>
    <cellStyle name="Input 2 2 2 2 4 6 2" xfId="19325" xr:uid="{00000000-0005-0000-0000-00004A470000}"/>
    <cellStyle name="Input 2 2 2 2 4 6 3" xfId="19326" xr:uid="{00000000-0005-0000-0000-00004B470000}"/>
    <cellStyle name="Input 2 2 2 2 4 7" xfId="19327" xr:uid="{00000000-0005-0000-0000-00004C470000}"/>
    <cellStyle name="Input 2 2 2 2 4 7 2" xfId="19328" xr:uid="{00000000-0005-0000-0000-00004D470000}"/>
    <cellStyle name="Input 2 2 2 2 4 7 3" xfId="19329" xr:uid="{00000000-0005-0000-0000-00004E470000}"/>
    <cellStyle name="Input 2 2 2 2 4 8" xfId="19330" xr:uid="{00000000-0005-0000-0000-00004F470000}"/>
    <cellStyle name="Input 2 2 2 2 4 8 2" xfId="19331" xr:uid="{00000000-0005-0000-0000-000050470000}"/>
    <cellStyle name="Input 2 2 2 2 4 8 3" xfId="19332" xr:uid="{00000000-0005-0000-0000-000051470000}"/>
    <cellStyle name="Input 2 2 2 2 4 9" xfId="19333" xr:uid="{00000000-0005-0000-0000-000052470000}"/>
    <cellStyle name="Input 2 2 2 2 4 9 2" xfId="19334" xr:uid="{00000000-0005-0000-0000-000053470000}"/>
    <cellStyle name="Input 2 2 2 2 4 9 3" xfId="19335" xr:uid="{00000000-0005-0000-0000-000054470000}"/>
    <cellStyle name="Input 2 2 2 2 5" xfId="19336" xr:uid="{00000000-0005-0000-0000-000055470000}"/>
    <cellStyle name="Input 2 2 2 2 5 10" xfId="44059" xr:uid="{00000000-0005-0000-0000-000056470000}"/>
    <cellStyle name="Input 2 2 2 2 5 2" xfId="19337" xr:uid="{00000000-0005-0000-0000-000057470000}"/>
    <cellStyle name="Input 2 2 2 2 5 2 10" xfId="19338" xr:uid="{00000000-0005-0000-0000-000058470000}"/>
    <cellStyle name="Input 2 2 2 2 5 2 2" xfId="19339" xr:uid="{00000000-0005-0000-0000-000059470000}"/>
    <cellStyle name="Input 2 2 2 2 5 2 2 2" xfId="19340" xr:uid="{00000000-0005-0000-0000-00005A470000}"/>
    <cellStyle name="Input 2 2 2 2 5 2 2 2 2" xfId="19341" xr:uid="{00000000-0005-0000-0000-00005B470000}"/>
    <cellStyle name="Input 2 2 2 2 5 2 2 2 3" xfId="19342" xr:uid="{00000000-0005-0000-0000-00005C470000}"/>
    <cellStyle name="Input 2 2 2 2 5 2 2 3" xfId="19343" xr:uid="{00000000-0005-0000-0000-00005D470000}"/>
    <cellStyle name="Input 2 2 2 2 5 2 2 3 2" xfId="19344" xr:uid="{00000000-0005-0000-0000-00005E470000}"/>
    <cellStyle name="Input 2 2 2 2 5 2 2 3 3" xfId="19345" xr:uid="{00000000-0005-0000-0000-00005F470000}"/>
    <cellStyle name="Input 2 2 2 2 5 2 2 4" xfId="19346" xr:uid="{00000000-0005-0000-0000-000060470000}"/>
    <cellStyle name="Input 2 2 2 2 5 2 2 4 2" xfId="19347" xr:uid="{00000000-0005-0000-0000-000061470000}"/>
    <cellStyle name="Input 2 2 2 2 5 2 2 4 3" xfId="19348" xr:uid="{00000000-0005-0000-0000-000062470000}"/>
    <cellStyle name="Input 2 2 2 2 5 2 2 5" xfId="19349" xr:uid="{00000000-0005-0000-0000-000063470000}"/>
    <cellStyle name="Input 2 2 2 2 5 2 2 5 2" xfId="19350" xr:uid="{00000000-0005-0000-0000-000064470000}"/>
    <cellStyle name="Input 2 2 2 2 5 2 2 5 3" xfId="19351" xr:uid="{00000000-0005-0000-0000-000065470000}"/>
    <cellStyle name="Input 2 2 2 2 5 2 2 6" xfId="19352" xr:uid="{00000000-0005-0000-0000-000066470000}"/>
    <cellStyle name="Input 2 2 2 2 5 2 2 6 2" xfId="19353" xr:uid="{00000000-0005-0000-0000-000067470000}"/>
    <cellStyle name="Input 2 2 2 2 5 2 2 6 3" xfId="19354" xr:uid="{00000000-0005-0000-0000-000068470000}"/>
    <cellStyle name="Input 2 2 2 2 5 2 2 7" xfId="19355" xr:uid="{00000000-0005-0000-0000-000069470000}"/>
    <cellStyle name="Input 2 2 2 2 5 2 2 7 2" xfId="19356" xr:uid="{00000000-0005-0000-0000-00006A470000}"/>
    <cellStyle name="Input 2 2 2 2 5 2 2 7 3" xfId="19357" xr:uid="{00000000-0005-0000-0000-00006B470000}"/>
    <cellStyle name="Input 2 2 2 2 5 2 2 8" xfId="19358" xr:uid="{00000000-0005-0000-0000-00006C470000}"/>
    <cellStyle name="Input 2 2 2 2 5 2 2 9" xfId="19359" xr:uid="{00000000-0005-0000-0000-00006D470000}"/>
    <cellStyle name="Input 2 2 2 2 5 2 3" xfId="19360" xr:uid="{00000000-0005-0000-0000-00006E470000}"/>
    <cellStyle name="Input 2 2 2 2 5 2 3 2" xfId="19361" xr:uid="{00000000-0005-0000-0000-00006F470000}"/>
    <cellStyle name="Input 2 2 2 2 5 2 3 3" xfId="19362" xr:uid="{00000000-0005-0000-0000-000070470000}"/>
    <cellStyle name="Input 2 2 2 2 5 2 4" xfId="19363" xr:uid="{00000000-0005-0000-0000-000071470000}"/>
    <cellStyle name="Input 2 2 2 2 5 2 4 2" xfId="19364" xr:uid="{00000000-0005-0000-0000-000072470000}"/>
    <cellStyle name="Input 2 2 2 2 5 2 4 3" xfId="19365" xr:uid="{00000000-0005-0000-0000-000073470000}"/>
    <cellStyle name="Input 2 2 2 2 5 2 5" xfId="19366" xr:uid="{00000000-0005-0000-0000-000074470000}"/>
    <cellStyle name="Input 2 2 2 2 5 2 5 2" xfId="19367" xr:uid="{00000000-0005-0000-0000-000075470000}"/>
    <cellStyle name="Input 2 2 2 2 5 2 5 3" xfId="19368" xr:uid="{00000000-0005-0000-0000-000076470000}"/>
    <cellStyle name="Input 2 2 2 2 5 2 6" xfId="19369" xr:uid="{00000000-0005-0000-0000-000077470000}"/>
    <cellStyle name="Input 2 2 2 2 5 2 6 2" xfId="19370" xr:uid="{00000000-0005-0000-0000-000078470000}"/>
    <cellStyle name="Input 2 2 2 2 5 2 6 3" xfId="19371" xr:uid="{00000000-0005-0000-0000-000079470000}"/>
    <cellStyle name="Input 2 2 2 2 5 2 7" xfId="19372" xr:uid="{00000000-0005-0000-0000-00007A470000}"/>
    <cellStyle name="Input 2 2 2 2 5 2 7 2" xfId="19373" xr:uid="{00000000-0005-0000-0000-00007B470000}"/>
    <cellStyle name="Input 2 2 2 2 5 2 7 3" xfId="19374" xr:uid="{00000000-0005-0000-0000-00007C470000}"/>
    <cellStyle name="Input 2 2 2 2 5 2 8" xfId="19375" xr:uid="{00000000-0005-0000-0000-00007D470000}"/>
    <cellStyle name="Input 2 2 2 2 5 2 8 2" xfId="19376" xr:uid="{00000000-0005-0000-0000-00007E470000}"/>
    <cellStyle name="Input 2 2 2 2 5 2 8 3" xfId="19377" xr:uid="{00000000-0005-0000-0000-00007F470000}"/>
    <cellStyle name="Input 2 2 2 2 5 2 9" xfId="19378" xr:uid="{00000000-0005-0000-0000-000080470000}"/>
    <cellStyle name="Input 2 2 2 2 5 3" xfId="19379" xr:uid="{00000000-0005-0000-0000-000081470000}"/>
    <cellStyle name="Input 2 2 2 2 5 3 10" xfId="19380" xr:uid="{00000000-0005-0000-0000-000082470000}"/>
    <cellStyle name="Input 2 2 2 2 5 3 2" xfId="19381" xr:uid="{00000000-0005-0000-0000-000083470000}"/>
    <cellStyle name="Input 2 2 2 2 5 3 2 2" xfId="19382" xr:uid="{00000000-0005-0000-0000-000084470000}"/>
    <cellStyle name="Input 2 2 2 2 5 3 2 2 2" xfId="19383" xr:uid="{00000000-0005-0000-0000-000085470000}"/>
    <cellStyle name="Input 2 2 2 2 5 3 2 2 3" xfId="19384" xr:uid="{00000000-0005-0000-0000-000086470000}"/>
    <cellStyle name="Input 2 2 2 2 5 3 2 3" xfId="19385" xr:uid="{00000000-0005-0000-0000-000087470000}"/>
    <cellStyle name="Input 2 2 2 2 5 3 2 3 2" xfId="19386" xr:uid="{00000000-0005-0000-0000-000088470000}"/>
    <cellStyle name="Input 2 2 2 2 5 3 2 3 3" xfId="19387" xr:uid="{00000000-0005-0000-0000-000089470000}"/>
    <cellStyle name="Input 2 2 2 2 5 3 2 4" xfId="19388" xr:uid="{00000000-0005-0000-0000-00008A470000}"/>
    <cellStyle name="Input 2 2 2 2 5 3 2 4 2" xfId="19389" xr:uid="{00000000-0005-0000-0000-00008B470000}"/>
    <cellStyle name="Input 2 2 2 2 5 3 2 4 3" xfId="19390" xr:uid="{00000000-0005-0000-0000-00008C470000}"/>
    <cellStyle name="Input 2 2 2 2 5 3 2 5" xfId="19391" xr:uid="{00000000-0005-0000-0000-00008D470000}"/>
    <cellStyle name="Input 2 2 2 2 5 3 2 5 2" xfId="19392" xr:uid="{00000000-0005-0000-0000-00008E470000}"/>
    <cellStyle name="Input 2 2 2 2 5 3 2 5 3" xfId="19393" xr:uid="{00000000-0005-0000-0000-00008F470000}"/>
    <cellStyle name="Input 2 2 2 2 5 3 2 6" xfId="19394" xr:uid="{00000000-0005-0000-0000-000090470000}"/>
    <cellStyle name="Input 2 2 2 2 5 3 2 6 2" xfId="19395" xr:uid="{00000000-0005-0000-0000-000091470000}"/>
    <cellStyle name="Input 2 2 2 2 5 3 2 6 3" xfId="19396" xr:uid="{00000000-0005-0000-0000-000092470000}"/>
    <cellStyle name="Input 2 2 2 2 5 3 2 7" xfId="19397" xr:uid="{00000000-0005-0000-0000-000093470000}"/>
    <cellStyle name="Input 2 2 2 2 5 3 2 7 2" xfId="19398" xr:uid="{00000000-0005-0000-0000-000094470000}"/>
    <cellStyle name="Input 2 2 2 2 5 3 2 7 3" xfId="19399" xr:uid="{00000000-0005-0000-0000-000095470000}"/>
    <cellStyle name="Input 2 2 2 2 5 3 2 8" xfId="19400" xr:uid="{00000000-0005-0000-0000-000096470000}"/>
    <cellStyle name="Input 2 2 2 2 5 3 2 9" xfId="19401" xr:uid="{00000000-0005-0000-0000-000097470000}"/>
    <cellStyle name="Input 2 2 2 2 5 3 3" xfId="19402" xr:uid="{00000000-0005-0000-0000-000098470000}"/>
    <cellStyle name="Input 2 2 2 2 5 3 3 2" xfId="19403" xr:uid="{00000000-0005-0000-0000-000099470000}"/>
    <cellStyle name="Input 2 2 2 2 5 3 3 3" xfId="19404" xr:uid="{00000000-0005-0000-0000-00009A470000}"/>
    <cellStyle name="Input 2 2 2 2 5 3 4" xfId="19405" xr:uid="{00000000-0005-0000-0000-00009B470000}"/>
    <cellStyle name="Input 2 2 2 2 5 3 4 2" xfId="19406" xr:uid="{00000000-0005-0000-0000-00009C470000}"/>
    <cellStyle name="Input 2 2 2 2 5 3 4 3" xfId="19407" xr:uid="{00000000-0005-0000-0000-00009D470000}"/>
    <cellStyle name="Input 2 2 2 2 5 3 5" xfId="19408" xr:uid="{00000000-0005-0000-0000-00009E470000}"/>
    <cellStyle name="Input 2 2 2 2 5 3 5 2" xfId="19409" xr:uid="{00000000-0005-0000-0000-00009F470000}"/>
    <cellStyle name="Input 2 2 2 2 5 3 5 3" xfId="19410" xr:uid="{00000000-0005-0000-0000-0000A0470000}"/>
    <cellStyle name="Input 2 2 2 2 5 3 6" xfId="19411" xr:uid="{00000000-0005-0000-0000-0000A1470000}"/>
    <cellStyle name="Input 2 2 2 2 5 3 6 2" xfId="19412" xr:uid="{00000000-0005-0000-0000-0000A2470000}"/>
    <cellStyle name="Input 2 2 2 2 5 3 6 3" xfId="19413" xr:uid="{00000000-0005-0000-0000-0000A3470000}"/>
    <cellStyle name="Input 2 2 2 2 5 3 7" xfId="19414" xr:uid="{00000000-0005-0000-0000-0000A4470000}"/>
    <cellStyle name="Input 2 2 2 2 5 3 7 2" xfId="19415" xr:uid="{00000000-0005-0000-0000-0000A5470000}"/>
    <cellStyle name="Input 2 2 2 2 5 3 7 3" xfId="19416" xr:uid="{00000000-0005-0000-0000-0000A6470000}"/>
    <cellStyle name="Input 2 2 2 2 5 3 8" xfId="19417" xr:uid="{00000000-0005-0000-0000-0000A7470000}"/>
    <cellStyle name="Input 2 2 2 2 5 3 8 2" xfId="19418" xr:uid="{00000000-0005-0000-0000-0000A8470000}"/>
    <cellStyle name="Input 2 2 2 2 5 3 8 3" xfId="19419" xr:uid="{00000000-0005-0000-0000-0000A9470000}"/>
    <cellStyle name="Input 2 2 2 2 5 3 9" xfId="19420" xr:uid="{00000000-0005-0000-0000-0000AA470000}"/>
    <cellStyle name="Input 2 2 2 2 5 4" xfId="19421" xr:uid="{00000000-0005-0000-0000-0000AB470000}"/>
    <cellStyle name="Input 2 2 2 2 5 4 10" xfId="19422" xr:uid="{00000000-0005-0000-0000-0000AC470000}"/>
    <cellStyle name="Input 2 2 2 2 5 4 2" xfId="19423" xr:uid="{00000000-0005-0000-0000-0000AD470000}"/>
    <cellStyle name="Input 2 2 2 2 5 4 2 2" xfId="19424" xr:uid="{00000000-0005-0000-0000-0000AE470000}"/>
    <cellStyle name="Input 2 2 2 2 5 4 2 2 2" xfId="19425" xr:uid="{00000000-0005-0000-0000-0000AF470000}"/>
    <cellStyle name="Input 2 2 2 2 5 4 2 2 3" xfId="19426" xr:uid="{00000000-0005-0000-0000-0000B0470000}"/>
    <cellStyle name="Input 2 2 2 2 5 4 2 3" xfId="19427" xr:uid="{00000000-0005-0000-0000-0000B1470000}"/>
    <cellStyle name="Input 2 2 2 2 5 4 2 3 2" xfId="19428" xr:uid="{00000000-0005-0000-0000-0000B2470000}"/>
    <cellStyle name="Input 2 2 2 2 5 4 2 3 3" xfId="19429" xr:uid="{00000000-0005-0000-0000-0000B3470000}"/>
    <cellStyle name="Input 2 2 2 2 5 4 2 4" xfId="19430" xr:uid="{00000000-0005-0000-0000-0000B4470000}"/>
    <cellStyle name="Input 2 2 2 2 5 4 2 4 2" xfId="19431" xr:uid="{00000000-0005-0000-0000-0000B5470000}"/>
    <cellStyle name="Input 2 2 2 2 5 4 2 4 3" xfId="19432" xr:uid="{00000000-0005-0000-0000-0000B6470000}"/>
    <cellStyle name="Input 2 2 2 2 5 4 2 5" xfId="19433" xr:uid="{00000000-0005-0000-0000-0000B7470000}"/>
    <cellStyle name="Input 2 2 2 2 5 4 2 5 2" xfId="19434" xr:uid="{00000000-0005-0000-0000-0000B8470000}"/>
    <cellStyle name="Input 2 2 2 2 5 4 2 5 3" xfId="19435" xr:uid="{00000000-0005-0000-0000-0000B9470000}"/>
    <cellStyle name="Input 2 2 2 2 5 4 2 6" xfId="19436" xr:uid="{00000000-0005-0000-0000-0000BA470000}"/>
    <cellStyle name="Input 2 2 2 2 5 4 2 6 2" xfId="19437" xr:uid="{00000000-0005-0000-0000-0000BB470000}"/>
    <cellStyle name="Input 2 2 2 2 5 4 2 6 3" xfId="19438" xr:uid="{00000000-0005-0000-0000-0000BC470000}"/>
    <cellStyle name="Input 2 2 2 2 5 4 2 7" xfId="19439" xr:uid="{00000000-0005-0000-0000-0000BD470000}"/>
    <cellStyle name="Input 2 2 2 2 5 4 2 7 2" xfId="19440" xr:uid="{00000000-0005-0000-0000-0000BE470000}"/>
    <cellStyle name="Input 2 2 2 2 5 4 2 7 3" xfId="19441" xr:uid="{00000000-0005-0000-0000-0000BF470000}"/>
    <cellStyle name="Input 2 2 2 2 5 4 2 8" xfId="19442" xr:uid="{00000000-0005-0000-0000-0000C0470000}"/>
    <cellStyle name="Input 2 2 2 2 5 4 2 9" xfId="19443" xr:uid="{00000000-0005-0000-0000-0000C1470000}"/>
    <cellStyle name="Input 2 2 2 2 5 4 3" xfId="19444" xr:uid="{00000000-0005-0000-0000-0000C2470000}"/>
    <cellStyle name="Input 2 2 2 2 5 4 3 2" xfId="19445" xr:uid="{00000000-0005-0000-0000-0000C3470000}"/>
    <cellStyle name="Input 2 2 2 2 5 4 3 3" xfId="19446" xr:uid="{00000000-0005-0000-0000-0000C4470000}"/>
    <cellStyle name="Input 2 2 2 2 5 4 4" xfId="19447" xr:uid="{00000000-0005-0000-0000-0000C5470000}"/>
    <cellStyle name="Input 2 2 2 2 5 4 4 2" xfId="19448" xr:uid="{00000000-0005-0000-0000-0000C6470000}"/>
    <cellStyle name="Input 2 2 2 2 5 4 4 3" xfId="19449" xr:uid="{00000000-0005-0000-0000-0000C7470000}"/>
    <cellStyle name="Input 2 2 2 2 5 4 5" xfId="19450" xr:uid="{00000000-0005-0000-0000-0000C8470000}"/>
    <cellStyle name="Input 2 2 2 2 5 4 5 2" xfId="19451" xr:uid="{00000000-0005-0000-0000-0000C9470000}"/>
    <cellStyle name="Input 2 2 2 2 5 4 5 3" xfId="19452" xr:uid="{00000000-0005-0000-0000-0000CA470000}"/>
    <cellStyle name="Input 2 2 2 2 5 4 6" xfId="19453" xr:uid="{00000000-0005-0000-0000-0000CB470000}"/>
    <cellStyle name="Input 2 2 2 2 5 4 6 2" xfId="19454" xr:uid="{00000000-0005-0000-0000-0000CC470000}"/>
    <cellStyle name="Input 2 2 2 2 5 4 6 3" xfId="19455" xr:uid="{00000000-0005-0000-0000-0000CD470000}"/>
    <cellStyle name="Input 2 2 2 2 5 4 7" xfId="19456" xr:uid="{00000000-0005-0000-0000-0000CE470000}"/>
    <cellStyle name="Input 2 2 2 2 5 4 7 2" xfId="19457" xr:uid="{00000000-0005-0000-0000-0000CF470000}"/>
    <cellStyle name="Input 2 2 2 2 5 4 7 3" xfId="19458" xr:uid="{00000000-0005-0000-0000-0000D0470000}"/>
    <cellStyle name="Input 2 2 2 2 5 4 8" xfId="19459" xr:uid="{00000000-0005-0000-0000-0000D1470000}"/>
    <cellStyle name="Input 2 2 2 2 5 4 8 2" xfId="19460" xr:uid="{00000000-0005-0000-0000-0000D2470000}"/>
    <cellStyle name="Input 2 2 2 2 5 4 8 3" xfId="19461" xr:uid="{00000000-0005-0000-0000-0000D3470000}"/>
    <cellStyle name="Input 2 2 2 2 5 4 9" xfId="19462" xr:uid="{00000000-0005-0000-0000-0000D4470000}"/>
    <cellStyle name="Input 2 2 2 2 5 5" xfId="19463" xr:uid="{00000000-0005-0000-0000-0000D5470000}"/>
    <cellStyle name="Input 2 2 2 2 5 5 2" xfId="19464" xr:uid="{00000000-0005-0000-0000-0000D6470000}"/>
    <cellStyle name="Input 2 2 2 2 5 5 2 2" xfId="19465" xr:uid="{00000000-0005-0000-0000-0000D7470000}"/>
    <cellStyle name="Input 2 2 2 2 5 5 2 3" xfId="19466" xr:uid="{00000000-0005-0000-0000-0000D8470000}"/>
    <cellStyle name="Input 2 2 2 2 5 5 3" xfId="19467" xr:uid="{00000000-0005-0000-0000-0000D9470000}"/>
    <cellStyle name="Input 2 2 2 2 5 5 3 2" xfId="19468" xr:uid="{00000000-0005-0000-0000-0000DA470000}"/>
    <cellStyle name="Input 2 2 2 2 5 5 3 3" xfId="19469" xr:uid="{00000000-0005-0000-0000-0000DB470000}"/>
    <cellStyle name="Input 2 2 2 2 5 5 4" xfId="19470" xr:uid="{00000000-0005-0000-0000-0000DC470000}"/>
    <cellStyle name="Input 2 2 2 2 5 5 4 2" xfId="19471" xr:uid="{00000000-0005-0000-0000-0000DD470000}"/>
    <cellStyle name="Input 2 2 2 2 5 5 4 3" xfId="19472" xr:uid="{00000000-0005-0000-0000-0000DE470000}"/>
    <cellStyle name="Input 2 2 2 2 5 5 5" xfId="19473" xr:uid="{00000000-0005-0000-0000-0000DF470000}"/>
    <cellStyle name="Input 2 2 2 2 5 5 5 2" xfId="19474" xr:uid="{00000000-0005-0000-0000-0000E0470000}"/>
    <cellStyle name="Input 2 2 2 2 5 5 5 3" xfId="19475" xr:uid="{00000000-0005-0000-0000-0000E1470000}"/>
    <cellStyle name="Input 2 2 2 2 5 5 6" xfId="19476" xr:uid="{00000000-0005-0000-0000-0000E2470000}"/>
    <cellStyle name="Input 2 2 2 2 5 5 6 2" xfId="19477" xr:uid="{00000000-0005-0000-0000-0000E3470000}"/>
    <cellStyle name="Input 2 2 2 2 5 5 6 3" xfId="19478" xr:uid="{00000000-0005-0000-0000-0000E4470000}"/>
    <cellStyle name="Input 2 2 2 2 5 5 7" xfId="19479" xr:uid="{00000000-0005-0000-0000-0000E5470000}"/>
    <cellStyle name="Input 2 2 2 2 5 5 7 2" xfId="19480" xr:uid="{00000000-0005-0000-0000-0000E6470000}"/>
    <cellStyle name="Input 2 2 2 2 5 5 7 3" xfId="19481" xr:uid="{00000000-0005-0000-0000-0000E7470000}"/>
    <cellStyle name="Input 2 2 2 2 5 5 8" xfId="19482" xr:uid="{00000000-0005-0000-0000-0000E8470000}"/>
    <cellStyle name="Input 2 2 2 2 5 5 9" xfId="19483" xr:uid="{00000000-0005-0000-0000-0000E9470000}"/>
    <cellStyle name="Input 2 2 2 2 5 6" xfId="19484" xr:uid="{00000000-0005-0000-0000-0000EA470000}"/>
    <cellStyle name="Input 2 2 2 2 5 6 2" xfId="19485" xr:uid="{00000000-0005-0000-0000-0000EB470000}"/>
    <cellStyle name="Input 2 2 2 2 5 6 3" xfId="19486" xr:uid="{00000000-0005-0000-0000-0000EC470000}"/>
    <cellStyle name="Input 2 2 2 2 5 7" xfId="19487" xr:uid="{00000000-0005-0000-0000-0000ED470000}"/>
    <cellStyle name="Input 2 2 2 2 5 7 2" xfId="19488" xr:uid="{00000000-0005-0000-0000-0000EE470000}"/>
    <cellStyle name="Input 2 2 2 2 5 7 3" xfId="19489" xr:uid="{00000000-0005-0000-0000-0000EF470000}"/>
    <cellStyle name="Input 2 2 2 2 5 8" xfId="19490" xr:uid="{00000000-0005-0000-0000-0000F0470000}"/>
    <cellStyle name="Input 2 2 2 2 5 8 2" xfId="19491" xr:uid="{00000000-0005-0000-0000-0000F1470000}"/>
    <cellStyle name="Input 2 2 2 2 5 8 3" xfId="19492" xr:uid="{00000000-0005-0000-0000-0000F2470000}"/>
    <cellStyle name="Input 2 2 2 2 5 9" xfId="19493" xr:uid="{00000000-0005-0000-0000-0000F3470000}"/>
    <cellStyle name="Input 2 2 2 2 5 9 2" xfId="19494" xr:uid="{00000000-0005-0000-0000-0000F4470000}"/>
    <cellStyle name="Input 2 2 2 2 5 9 3" xfId="19495" xr:uid="{00000000-0005-0000-0000-0000F5470000}"/>
    <cellStyle name="Input 2 2 2 2 6" xfId="19496" xr:uid="{00000000-0005-0000-0000-0000F6470000}"/>
    <cellStyle name="Input 2 2 2 2 6 10" xfId="19497" xr:uid="{00000000-0005-0000-0000-0000F7470000}"/>
    <cellStyle name="Input 2 2 2 2 6 2" xfId="19498" xr:uid="{00000000-0005-0000-0000-0000F8470000}"/>
    <cellStyle name="Input 2 2 2 2 6 2 2" xfId="19499" xr:uid="{00000000-0005-0000-0000-0000F9470000}"/>
    <cellStyle name="Input 2 2 2 2 6 2 2 2" xfId="19500" xr:uid="{00000000-0005-0000-0000-0000FA470000}"/>
    <cellStyle name="Input 2 2 2 2 6 2 2 3" xfId="19501" xr:uid="{00000000-0005-0000-0000-0000FB470000}"/>
    <cellStyle name="Input 2 2 2 2 6 2 3" xfId="19502" xr:uid="{00000000-0005-0000-0000-0000FC470000}"/>
    <cellStyle name="Input 2 2 2 2 6 2 3 2" xfId="19503" xr:uid="{00000000-0005-0000-0000-0000FD470000}"/>
    <cellStyle name="Input 2 2 2 2 6 2 3 3" xfId="19504" xr:uid="{00000000-0005-0000-0000-0000FE470000}"/>
    <cellStyle name="Input 2 2 2 2 6 2 4" xfId="19505" xr:uid="{00000000-0005-0000-0000-0000FF470000}"/>
    <cellStyle name="Input 2 2 2 2 6 2 4 2" xfId="19506" xr:uid="{00000000-0005-0000-0000-000000480000}"/>
    <cellStyle name="Input 2 2 2 2 6 2 4 3" xfId="19507" xr:uid="{00000000-0005-0000-0000-000001480000}"/>
    <cellStyle name="Input 2 2 2 2 6 2 5" xfId="19508" xr:uid="{00000000-0005-0000-0000-000002480000}"/>
    <cellStyle name="Input 2 2 2 2 6 2 5 2" xfId="19509" xr:uid="{00000000-0005-0000-0000-000003480000}"/>
    <cellStyle name="Input 2 2 2 2 6 2 5 3" xfId="19510" xr:uid="{00000000-0005-0000-0000-000004480000}"/>
    <cellStyle name="Input 2 2 2 2 6 2 6" xfId="19511" xr:uid="{00000000-0005-0000-0000-000005480000}"/>
    <cellStyle name="Input 2 2 2 2 6 2 6 2" xfId="19512" xr:uid="{00000000-0005-0000-0000-000006480000}"/>
    <cellStyle name="Input 2 2 2 2 6 2 6 3" xfId="19513" xr:uid="{00000000-0005-0000-0000-000007480000}"/>
    <cellStyle name="Input 2 2 2 2 6 2 7" xfId="19514" xr:uid="{00000000-0005-0000-0000-000008480000}"/>
    <cellStyle name="Input 2 2 2 2 6 2 7 2" xfId="19515" xr:uid="{00000000-0005-0000-0000-000009480000}"/>
    <cellStyle name="Input 2 2 2 2 6 2 7 3" xfId="19516" xr:uid="{00000000-0005-0000-0000-00000A480000}"/>
    <cellStyle name="Input 2 2 2 2 6 2 8" xfId="19517" xr:uid="{00000000-0005-0000-0000-00000B480000}"/>
    <cellStyle name="Input 2 2 2 2 6 2 9" xfId="19518" xr:uid="{00000000-0005-0000-0000-00000C480000}"/>
    <cellStyle name="Input 2 2 2 2 6 3" xfId="19519" xr:uid="{00000000-0005-0000-0000-00000D480000}"/>
    <cellStyle name="Input 2 2 2 2 6 3 2" xfId="19520" xr:uid="{00000000-0005-0000-0000-00000E480000}"/>
    <cellStyle name="Input 2 2 2 2 6 3 3" xfId="19521" xr:uid="{00000000-0005-0000-0000-00000F480000}"/>
    <cellStyle name="Input 2 2 2 2 6 4" xfId="19522" xr:uid="{00000000-0005-0000-0000-000010480000}"/>
    <cellStyle name="Input 2 2 2 2 6 4 2" xfId="19523" xr:uid="{00000000-0005-0000-0000-000011480000}"/>
    <cellStyle name="Input 2 2 2 2 6 4 3" xfId="19524" xr:uid="{00000000-0005-0000-0000-000012480000}"/>
    <cellStyle name="Input 2 2 2 2 6 5" xfId="19525" xr:uid="{00000000-0005-0000-0000-000013480000}"/>
    <cellStyle name="Input 2 2 2 2 6 5 2" xfId="19526" xr:uid="{00000000-0005-0000-0000-000014480000}"/>
    <cellStyle name="Input 2 2 2 2 6 5 3" xfId="19527" xr:uid="{00000000-0005-0000-0000-000015480000}"/>
    <cellStyle name="Input 2 2 2 2 6 6" xfId="19528" xr:uid="{00000000-0005-0000-0000-000016480000}"/>
    <cellStyle name="Input 2 2 2 2 6 6 2" xfId="19529" xr:uid="{00000000-0005-0000-0000-000017480000}"/>
    <cellStyle name="Input 2 2 2 2 6 6 3" xfId="19530" xr:uid="{00000000-0005-0000-0000-000018480000}"/>
    <cellStyle name="Input 2 2 2 2 6 7" xfId="19531" xr:uid="{00000000-0005-0000-0000-000019480000}"/>
    <cellStyle name="Input 2 2 2 2 6 7 2" xfId="19532" xr:uid="{00000000-0005-0000-0000-00001A480000}"/>
    <cellStyle name="Input 2 2 2 2 6 7 3" xfId="19533" xr:uid="{00000000-0005-0000-0000-00001B480000}"/>
    <cellStyle name="Input 2 2 2 2 6 8" xfId="19534" xr:uid="{00000000-0005-0000-0000-00001C480000}"/>
    <cellStyle name="Input 2 2 2 2 6 8 2" xfId="19535" xr:uid="{00000000-0005-0000-0000-00001D480000}"/>
    <cellStyle name="Input 2 2 2 2 6 8 3" xfId="19536" xr:uid="{00000000-0005-0000-0000-00001E480000}"/>
    <cellStyle name="Input 2 2 2 2 6 9" xfId="19537" xr:uid="{00000000-0005-0000-0000-00001F480000}"/>
    <cellStyle name="Input 2 2 2 2 7" xfId="19538" xr:uid="{00000000-0005-0000-0000-000020480000}"/>
    <cellStyle name="Input 2 2 2 2 7 10" xfId="19539" xr:uid="{00000000-0005-0000-0000-000021480000}"/>
    <cellStyle name="Input 2 2 2 2 7 2" xfId="19540" xr:uid="{00000000-0005-0000-0000-000022480000}"/>
    <cellStyle name="Input 2 2 2 2 7 2 2" xfId="19541" xr:uid="{00000000-0005-0000-0000-000023480000}"/>
    <cellStyle name="Input 2 2 2 2 7 2 2 2" xfId="19542" xr:uid="{00000000-0005-0000-0000-000024480000}"/>
    <cellStyle name="Input 2 2 2 2 7 2 2 3" xfId="19543" xr:uid="{00000000-0005-0000-0000-000025480000}"/>
    <cellStyle name="Input 2 2 2 2 7 2 3" xfId="19544" xr:uid="{00000000-0005-0000-0000-000026480000}"/>
    <cellStyle name="Input 2 2 2 2 7 2 3 2" xfId="19545" xr:uid="{00000000-0005-0000-0000-000027480000}"/>
    <cellStyle name="Input 2 2 2 2 7 2 3 3" xfId="19546" xr:uid="{00000000-0005-0000-0000-000028480000}"/>
    <cellStyle name="Input 2 2 2 2 7 2 4" xfId="19547" xr:uid="{00000000-0005-0000-0000-000029480000}"/>
    <cellStyle name="Input 2 2 2 2 7 2 4 2" xfId="19548" xr:uid="{00000000-0005-0000-0000-00002A480000}"/>
    <cellStyle name="Input 2 2 2 2 7 2 4 3" xfId="19549" xr:uid="{00000000-0005-0000-0000-00002B480000}"/>
    <cellStyle name="Input 2 2 2 2 7 2 5" xfId="19550" xr:uid="{00000000-0005-0000-0000-00002C480000}"/>
    <cellStyle name="Input 2 2 2 2 7 2 5 2" xfId="19551" xr:uid="{00000000-0005-0000-0000-00002D480000}"/>
    <cellStyle name="Input 2 2 2 2 7 2 5 3" xfId="19552" xr:uid="{00000000-0005-0000-0000-00002E480000}"/>
    <cellStyle name="Input 2 2 2 2 7 2 6" xfId="19553" xr:uid="{00000000-0005-0000-0000-00002F480000}"/>
    <cellStyle name="Input 2 2 2 2 7 2 6 2" xfId="19554" xr:uid="{00000000-0005-0000-0000-000030480000}"/>
    <cellStyle name="Input 2 2 2 2 7 2 6 3" xfId="19555" xr:uid="{00000000-0005-0000-0000-000031480000}"/>
    <cellStyle name="Input 2 2 2 2 7 2 7" xfId="19556" xr:uid="{00000000-0005-0000-0000-000032480000}"/>
    <cellStyle name="Input 2 2 2 2 7 2 7 2" xfId="19557" xr:uid="{00000000-0005-0000-0000-000033480000}"/>
    <cellStyle name="Input 2 2 2 2 7 2 7 3" xfId="19558" xr:uid="{00000000-0005-0000-0000-000034480000}"/>
    <cellStyle name="Input 2 2 2 2 7 2 8" xfId="19559" xr:uid="{00000000-0005-0000-0000-000035480000}"/>
    <cellStyle name="Input 2 2 2 2 7 2 9" xfId="19560" xr:uid="{00000000-0005-0000-0000-000036480000}"/>
    <cellStyle name="Input 2 2 2 2 7 3" xfId="19561" xr:uid="{00000000-0005-0000-0000-000037480000}"/>
    <cellStyle name="Input 2 2 2 2 7 3 2" xfId="19562" xr:uid="{00000000-0005-0000-0000-000038480000}"/>
    <cellStyle name="Input 2 2 2 2 7 3 3" xfId="19563" xr:uid="{00000000-0005-0000-0000-000039480000}"/>
    <cellStyle name="Input 2 2 2 2 7 4" xfId="19564" xr:uid="{00000000-0005-0000-0000-00003A480000}"/>
    <cellStyle name="Input 2 2 2 2 7 4 2" xfId="19565" xr:uid="{00000000-0005-0000-0000-00003B480000}"/>
    <cellStyle name="Input 2 2 2 2 7 4 3" xfId="19566" xr:uid="{00000000-0005-0000-0000-00003C480000}"/>
    <cellStyle name="Input 2 2 2 2 7 5" xfId="19567" xr:uid="{00000000-0005-0000-0000-00003D480000}"/>
    <cellStyle name="Input 2 2 2 2 7 5 2" xfId="19568" xr:uid="{00000000-0005-0000-0000-00003E480000}"/>
    <cellStyle name="Input 2 2 2 2 7 5 3" xfId="19569" xr:uid="{00000000-0005-0000-0000-00003F480000}"/>
    <cellStyle name="Input 2 2 2 2 7 6" xfId="19570" xr:uid="{00000000-0005-0000-0000-000040480000}"/>
    <cellStyle name="Input 2 2 2 2 7 6 2" xfId="19571" xr:uid="{00000000-0005-0000-0000-000041480000}"/>
    <cellStyle name="Input 2 2 2 2 7 6 3" xfId="19572" xr:uid="{00000000-0005-0000-0000-000042480000}"/>
    <cellStyle name="Input 2 2 2 2 7 7" xfId="19573" xr:uid="{00000000-0005-0000-0000-000043480000}"/>
    <cellStyle name="Input 2 2 2 2 7 7 2" xfId="19574" xr:uid="{00000000-0005-0000-0000-000044480000}"/>
    <cellStyle name="Input 2 2 2 2 7 7 3" xfId="19575" xr:uid="{00000000-0005-0000-0000-000045480000}"/>
    <cellStyle name="Input 2 2 2 2 7 8" xfId="19576" xr:uid="{00000000-0005-0000-0000-000046480000}"/>
    <cellStyle name="Input 2 2 2 2 7 8 2" xfId="19577" xr:uid="{00000000-0005-0000-0000-000047480000}"/>
    <cellStyle name="Input 2 2 2 2 7 8 3" xfId="19578" xr:uid="{00000000-0005-0000-0000-000048480000}"/>
    <cellStyle name="Input 2 2 2 2 7 9" xfId="19579" xr:uid="{00000000-0005-0000-0000-000049480000}"/>
    <cellStyle name="Input 2 2 2 2 8" xfId="19580" xr:uid="{00000000-0005-0000-0000-00004A480000}"/>
    <cellStyle name="Input 2 2 2 2 8 10" xfId="19581" xr:uid="{00000000-0005-0000-0000-00004B480000}"/>
    <cellStyle name="Input 2 2 2 2 8 2" xfId="19582" xr:uid="{00000000-0005-0000-0000-00004C480000}"/>
    <cellStyle name="Input 2 2 2 2 8 2 2" xfId="19583" xr:uid="{00000000-0005-0000-0000-00004D480000}"/>
    <cellStyle name="Input 2 2 2 2 8 2 2 2" xfId="19584" xr:uid="{00000000-0005-0000-0000-00004E480000}"/>
    <cellStyle name="Input 2 2 2 2 8 2 2 3" xfId="19585" xr:uid="{00000000-0005-0000-0000-00004F480000}"/>
    <cellStyle name="Input 2 2 2 2 8 2 3" xfId="19586" xr:uid="{00000000-0005-0000-0000-000050480000}"/>
    <cellStyle name="Input 2 2 2 2 8 2 3 2" xfId="19587" xr:uid="{00000000-0005-0000-0000-000051480000}"/>
    <cellStyle name="Input 2 2 2 2 8 2 3 3" xfId="19588" xr:uid="{00000000-0005-0000-0000-000052480000}"/>
    <cellStyle name="Input 2 2 2 2 8 2 4" xfId="19589" xr:uid="{00000000-0005-0000-0000-000053480000}"/>
    <cellStyle name="Input 2 2 2 2 8 2 4 2" xfId="19590" xr:uid="{00000000-0005-0000-0000-000054480000}"/>
    <cellStyle name="Input 2 2 2 2 8 2 4 3" xfId="19591" xr:uid="{00000000-0005-0000-0000-000055480000}"/>
    <cellStyle name="Input 2 2 2 2 8 2 5" xfId="19592" xr:uid="{00000000-0005-0000-0000-000056480000}"/>
    <cellStyle name="Input 2 2 2 2 8 2 5 2" xfId="19593" xr:uid="{00000000-0005-0000-0000-000057480000}"/>
    <cellStyle name="Input 2 2 2 2 8 2 5 3" xfId="19594" xr:uid="{00000000-0005-0000-0000-000058480000}"/>
    <cellStyle name="Input 2 2 2 2 8 2 6" xfId="19595" xr:uid="{00000000-0005-0000-0000-000059480000}"/>
    <cellStyle name="Input 2 2 2 2 8 2 6 2" xfId="19596" xr:uid="{00000000-0005-0000-0000-00005A480000}"/>
    <cellStyle name="Input 2 2 2 2 8 2 6 3" xfId="19597" xr:uid="{00000000-0005-0000-0000-00005B480000}"/>
    <cellStyle name="Input 2 2 2 2 8 2 7" xfId="19598" xr:uid="{00000000-0005-0000-0000-00005C480000}"/>
    <cellStyle name="Input 2 2 2 2 8 2 7 2" xfId="19599" xr:uid="{00000000-0005-0000-0000-00005D480000}"/>
    <cellStyle name="Input 2 2 2 2 8 2 7 3" xfId="19600" xr:uid="{00000000-0005-0000-0000-00005E480000}"/>
    <cellStyle name="Input 2 2 2 2 8 2 8" xfId="19601" xr:uid="{00000000-0005-0000-0000-00005F480000}"/>
    <cellStyle name="Input 2 2 2 2 8 2 9" xfId="19602" xr:uid="{00000000-0005-0000-0000-000060480000}"/>
    <cellStyle name="Input 2 2 2 2 8 3" xfId="19603" xr:uid="{00000000-0005-0000-0000-000061480000}"/>
    <cellStyle name="Input 2 2 2 2 8 3 2" xfId="19604" xr:uid="{00000000-0005-0000-0000-000062480000}"/>
    <cellStyle name="Input 2 2 2 2 8 3 3" xfId="19605" xr:uid="{00000000-0005-0000-0000-000063480000}"/>
    <cellStyle name="Input 2 2 2 2 8 4" xfId="19606" xr:uid="{00000000-0005-0000-0000-000064480000}"/>
    <cellStyle name="Input 2 2 2 2 8 4 2" xfId="19607" xr:uid="{00000000-0005-0000-0000-000065480000}"/>
    <cellStyle name="Input 2 2 2 2 8 4 3" xfId="19608" xr:uid="{00000000-0005-0000-0000-000066480000}"/>
    <cellStyle name="Input 2 2 2 2 8 5" xfId="19609" xr:uid="{00000000-0005-0000-0000-000067480000}"/>
    <cellStyle name="Input 2 2 2 2 8 5 2" xfId="19610" xr:uid="{00000000-0005-0000-0000-000068480000}"/>
    <cellStyle name="Input 2 2 2 2 8 5 3" xfId="19611" xr:uid="{00000000-0005-0000-0000-000069480000}"/>
    <cellStyle name="Input 2 2 2 2 8 6" xfId="19612" xr:uid="{00000000-0005-0000-0000-00006A480000}"/>
    <cellStyle name="Input 2 2 2 2 8 6 2" xfId="19613" xr:uid="{00000000-0005-0000-0000-00006B480000}"/>
    <cellStyle name="Input 2 2 2 2 8 6 3" xfId="19614" xr:uid="{00000000-0005-0000-0000-00006C480000}"/>
    <cellStyle name="Input 2 2 2 2 8 7" xfId="19615" xr:uid="{00000000-0005-0000-0000-00006D480000}"/>
    <cellStyle name="Input 2 2 2 2 8 7 2" xfId="19616" xr:uid="{00000000-0005-0000-0000-00006E480000}"/>
    <cellStyle name="Input 2 2 2 2 8 7 3" xfId="19617" xr:uid="{00000000-0005-0000-0000-00006F480000}"/>
    <cellStyle name="Input 2 2 2 2 8 8" xfId="19618" xr:uid="{00000000-0005-0000-0000-000070480000}"/>
    <cellStyle name="Input 2 2 2 2 8 8 2" xfId="19619" xr:uid="{00000000-0005-0000-0000-000071480000}"/>
    <cellStyle name="Input 2 2 2 2 8 8 3" xfId="19620" xr:uid="{00000000-0005-0000-0000-000072480000}"/>
    <cellStyle name="Input 2 2 2 2 8 9" xfId="19621" xr:uid="{00000000-0005-0000-0000-000073480000}"/>
    <cellStyle name="Input 2 2 2 2 9" xfId="19622" xr:uid="{00000000-0005-0000-0000-000074480000}"/>
    <cellStyle name="Input 2 2 2 2 9 2" xfId="19623" xr:uid="{00000000-0005-0000-0000-000075480000}"/>
    <cellStyle name="Input 2 2 2 2 9 2 2" xfId="19624" xr:uid="{00000000-0005-0000-0000-000076480000}"/>
    <cellStyle name="Input 2 2 2 2 9 2 3" xfId="19625" xr:uid="{00000000-0005-0000-0000-000077480000}"/>
    <cellStyle name="Input 2 2 2 2 9 3" xfId="19626" xr:uid="{00000000-0005-0000-0000-000078480000}"/>
    <cellStyle name="Input 2 2 2 2 9 3 2" xfId="19627" xr:uid="{00000000-0005-0000-0000-000079480000}"/>
    <cellStyle name="Input 2 2 2 2 9 3 3" xfId="19628" xr:uid="{00000000-0005-0000-0000-00007A480000}"/>
    <cellStyle name="Input 2 2 2 2 9 4" xfId="19629" xr:uid="{00000000-0005-0000-0000-00007B480000}"/>
    <cellStyle name="Input 2 2 2 2 9 4 2" xfId="19630" xr:uid="{00000000-0005-0000-0000-00007C480000}"/>
    <cellStyle name="Input 2 2 2 2 9 4 3" xfId="19631" xr:uid="{00000000-0005-0000-0000-00007D480000}"/>
    <cellStyle name="Input 2 2 2 2 9 5" xfId="19632" xr:uid="{00000000-0005-0000-0000-00007E480000}"/>
    <cellStyle name="Input 2 2 2 2 9 5 2" xfId="19633" xr:uid="{00000000-0005-0000-0000-00007F480000}"/>
    <cellStyle name="Input 2 2 2 2 9 5 3" xfId="19634" xr:uid="{00000000-0005-0000-0000-000080480000}"/>
    <cellStyle name="Input 2 2 2 2 9 6" xfId="19635" xr:uid="{00000000-0005-0000-0000-000081480000}"/>
    <cellStyle name="Input 2 2 2 2 9 6 2" xfId="19636" xr:uid="{00000000-0005-0000-0000-000082480000}"/>
    <cellStyle name="Input 2 2 2 2 9 6 3" xfId="19637" xr:uid="{00000000-0005-0000-0000-000083480000}"/>
    <cellStyle name="Input 2 2 2 2 9 7" xfId="19638" xr:uid="{00000000-0005-0000-0000-000084480000}"/>
    <cellStyle name="Input 2 2 2 2 9 7 2" xfId="19639" xr:uid="{00000000-0005-0000-0000-000085480000}"/>
    <cellStyle name="Input 2 2 2 2 9 7 3" xfId="19640" xr:uid="{00000000-0005-0000-0000-000086480000}"/>
    <cellStyle name="Input 2 2 2 2 9 8" xfId="19641" xr:uid="{00000000-0005-0000-0000-000087480000}"/>
    <cellStyle name="Input 2 2 2 2 9 9" xfId="19642" xr:uid="{00000000-0005-0000-0000-000088480000}"/>
    <cellStyle name="Input 2 2 2 3" xfId="19643" xr:uid="{00000000-0005-0000-0000-000089480000}"/>
    <cellStyle name="Input 2 2 2 3 10" xfId="19644" xr:uid="{00000000-0005-0000-0000-00008A480000}"/>
    <cellStyle name="Input 2 2 2 3 10 2" xfId="19645" xr:uid="{00000000-0005-0000-0000-00008B480000}"/>
    <cellStyle name="Input 2 2 2 3 10 3" xfId="19646" xr:uid="{00000000-0005-0000-0000-00008C480000}"/>
    <cellStyle name="Input 2 2 2 3 11" xfId="19647" xr:uid="{00000000-0005-0000-0000-00008D480000}"/>
    <cellStyle name="Input 2 2 2 3 11 2" xfId="19648" xr:uid="{00000000-0005-0000-0000-00008E480000}"/>
    <cellStyle name="Input 2 2 2 3 11 3" xfId="19649" xr:uid="{00000000-0005-0000-0000-00008F480000}"/>
    <cellStyle name="Input 2 2 2 3 12" xfId="19650" xr:uid="{00000000-0005-0000-0000-000090480000}"/>
    <cellStyle name="Input 2 2 2 3 13" xfId="19651" xr:uid="{00000000-0005-0000-0000-000091480000}"/>
    <cellStyle name="Input 2 2 2 3 2" xfId="19652" xr:uid="{00000000-0005-0000-0000-000092480000}"/>
    <cellStyle name="Input 2 2 2 3 2 10" xfId="19653" xr:uid="{00000000-0005-0000-0000-000093480000}"/>
    <cellStyle name="Input 2 2 2 3 2 2" xfId="19654" xr:uid="{00000000-0005-0000-0000-000094480000}"/>
    <cellStyle name="Input 2 2 2 3 2 2 2" xfId="19655" xr:uid="{00000000-0005-0000-0000-000095480000}"/>
    <cellStyle name="Input 2 2 2 3 2 2 2 2" xfId="19656" xr:uid="{00000000-0005-0000-0000-000096480000}"/>
    <cellStyle name="Input 2 2 2 3 2 2 2 3" xfId="19657" xr:uid="{00000000-0005-0000-0000-000097480000}"/>
    <cellStyle name="Input 2 2 2 3 2 2 3" xfId="19658" xr:uid="{00000000-0005-0000-0000-000098480000}"/>
    <cellStyle name="Input 2 2 2 3 2 2 3 2" xfId="19659" xr:uid="{00000000-0005-0000-0000-000099480000}"/>
    <cellStyle name="Input 2 2 2 3 2 2 3 3" xfId="19660" xr:uid="{00000000-0005-0000-0000-00009A480000}"/>
    <cellStyle name="Input 2 2 2 3 2 2 4" xfId="19661" xr:uid="{00000000-0005-0000-0000-00009B480000}"/>
    <cellStyle name="Input 2 2 2 3 2 2 4 2" xfId="19662" xr:uid="{00000000-0005-0000-0000-00009C480000}"/>
    <cellStyle name="Input 2 2 2 3 2 2 4 3" xfId="19663" xr:uid="{00000000-0005-0000-0000-00009D480000}"/>
    <cellStyle name="Input 2 2 2 3 2 2 5" xfId="19664" xr:uid="{00000000-0005-0000-0000-00009E480000}"/>
    <cellStyle name="Input 2 2 2 3 2 2 5 2" xfId="19665" xr:uid="{00000000-0005-0000-0000-00009F480000}"/>
    <cellStyle name="Input 2 2 2 3 2 2 5 3" xfId="19666" xr:uid="{00000000-0005-0000-0000-0000A0480000}"/>
    <cellStyle name="Input 2 2 2 3 2 2 6" xfId="19667" xr:uid="{00000000-0005-0000-0000-0000A1480000}"/>
    <cellStyle name="Input 2 2 2 3 2 2 6 2" xfId="19668" xr:uid="{00000000-0005-0000-0000-0000A2480000}"/>
    <cellStyle name="Input 2 2 2 3 2 2 6 3" xfId="19669" xr:uid="{00000000-0005-0000-0000-0000A3480000}"/>
    <cellStyle name="Input 2 2 2 3 2 2 7" xfId="19670" xr:uid="{00000000-0005-0000-0000-0000A4480000}"/>
    <cellStyle name="Input 2 2 2 3 2 2 7 2" xfId="19671" xr:uid="{00000000-0005-0000-0000-0000A5480000}"/>
    <cellStyle name="Input 2 2 2 3 2 2 7 3" xfId="19672" xr:uid="{00000000-0005-0000-0000-0000A6480000}"/>
    <cellStyle name="Input 2 2 2 3 2 2 8" xfId="19673" xr:uid="{00000000-0005-0000-0000-0000A7480000}"/>
    <cellStyle name="Input 2 2 2 3 2 2 9" xfId="19674" xr:uid="{00000000-0005-0000-0000-0000A8480000}"/>
    <cellStyle name="Input 2 2 2 3 2 3" xfId="19675" xr:uid="{00000000-0005-0000-0000-0000A9480000}"/>
    <cellStyle name="Input 2 2 2 3 2 3 2" xfId="19676" xr:uid="{00000000-0005-0000-0000-0000AA480000}"/>
    <cellStyle name="Input 2 2 2 3 2 3 3" xfId="19677" xr:uid="{00000000-0005-0000-0000-0000AB480000}"/>
    <cellStyle name="Input 2 2 2 3 2 4" xfId="19678" xr:uid="{00000000-0005-0000-0000-0000AC480000}"/>
    <cellStyle name="Input 2 2 2 3 2 4 2" xfId="19679" xr:uid="{00000000-0005-0000-0000-0000AD480000}"/>
    <cellStyle name="Input 2 2 2 3 2 4 3" xfId="19680" xr:uid="{00000000-0005-0000-0000-0000AE480000}"/>
    <cellStyle name="Input 2 2 2 3 2 5" xfId="19681" xr:uid="{00000000-0005-0000-0000-0000AF480000}"/>
    <cellStyle name="Input 2 2 2 3 2 5 2" xfId="19682" xr:uid="{00000000-0005-0000-0000-0000B0480000}"/>
    <cellStyle name="Input 2 2 2 3 2 5 3" xfId="19683" xr:uid="{00000000-0005-0000-0000-0000B1480000}"/>
    <cellStyle name="Input 2 2 2 3 2 6" xfId="19684" xr:uid="{00000000-0005-0000-0000-0000B2480000}"/>
    <cellStyle name="Input 2 2 2 3 2 6 2" xfId="19685" xr:uid="{00000000-0005-0000-0000-0000B3480000}"/>
    <cellStyle name="Input 2 2 2 3 2 6 3" xfId="19686" xr:uid="{00000000-0005-0000-0000-0000B4480000}"/>
    <cellStyle name="Input 2 2 2 3 2 7" xfId="19687" xr:uid="{00000000-0005-0000-0000-0000B5480000}"/>
    <cellStyle name="Input 2 2 2 3 2 7 2" xfId="19688" xr:uid="{00000000-0005-0000-0000-0000B6480000}"/>
    <cellStyle name="Input 2 2 2 3 2 7 3" xfId="19689" xr:uid="{00000000-0005-0000-0000-0000B7480000}"/>
    <cellStyle name="Input 2 2 2 3 2 8" xfId="19690" xr:uid="{00000000-0005-0000-0000-0000B8480000}"/>
    <cellStyle name="Input 2 2 2 3 2 8 2" xfId="19691" xr:uid="{00000000-0005-0000-0000-0000B9480000}"/>
    <cellStyle name="Input 2 2 2 3 2 8 3" xfId="19692" xr:uid="{00000000-0005-0000-0000-0000BA480000}"/>
    <cellStyle name="Input 2 2 2 3 2 9" xfId="19693" xr:uid="{00000000-0005-0000-0000-0000BB480000}"/>
    <cellStyle name="Input 2 2 2 3 3" xfId="19694" xr:uid="{00000000-0005-0000-0000-0000BC480000}"/>
    <cellStyle name="Input 2 2 2 3 3 10" xfId="19695" xr:uid="{00000000-0005-0000-0000-0000BD480000}"/>
    <cellStyle name="Input 2 2 2 3 3 2" xfId="19696" xr:uid="{00000000-0005-0000-0000-0000BE480000}"/>
    <cellStyle name="Input 2 2 2 3 3 2 2" xfId="19697" xr:uid="{00000000-0005-0000-0000-0000BF480000}"/>
    <cellStyle name="Input 2 2 2 3 3 2 2 2" xfId="19698" xr:uid="{00000000-0005-0000-0000-0000C0480000}"/>
    <cellStyle name="Input 2 2 2 3 3 2 2 3" xfId="19699" xr:uid="{00000000-0005-0000-0000-0000C1480000}"/>
    <cellStyle name="Input 2 2 2 3 3 2 3" xfId="19700" xr:uid="{00000000-0005-0000-0000-0000C2480000}"/>
    <cellStyle name="Input 2 2 2 3 3 2 3 2" xfId="19701" xr:uid="{00000000-0005-0000-0000-0000C3480000}"/>
    <cellStyle name="Input 2 2 2 3 3 2 3 3" xfId="19702" xr:uid="{00000000-0005-0000-0000-0000C4480000}"/>
    <cellStyle name="Input 2 2 2 3 3 2 4" xfId="19703" xr:uid="{00000000-0005-0000-0000-0000C5480000}"/>
    <cellStyle name="Input 2 2 2 3 3 2 4 2" xfId="19704" xr:uid="{00000000-0005-0000-0000-0000C6480000}"/>
    <cellStyle name="Input 2 2 2 3 3 2 4 3" xfId="19705" xr:uid="{00000000-0005-0000-0000-0000C7480000}"/>
    <cellStyle name="Input 2 2 2 3 3 2 5" xfId="19706" xr:uid="{00000000-0005-0000-0000-0000C8480000}"/>
    <cellStyle name="Input 2 2 2 3 3 2 5 2" xfId="19707" xr:uid="{00000000-0005-0000-0000-0000C9480000}"/>
    <cellStyle name="Input 2 2 2 3 3 2 5 3" xfId="19708" xr:uid="{00000000-0005-0000-0000-0000CA480000}"/>
    <cellStyle name="Input 2 2 2 3 3 2 6" xfId="19709" xr:uid="{00000000-0005-0000-0000-0000CB480000}"/>
    <cellStyle name="Input 2 2 2 3 3 2 6 2" xfId="19710" xr:uid="{00000000-0005-0000-0000-0000CC480000}"/>
    <cellStyle name="Input 2 2 2 3 3 2 6 3" xfId="19711" xr:uid="{00000000-0005-0000-0000-0000CD480000}"/>
    <cellStyle name="Input 2 2 2 3 3 2 7" xfId="19712" xr:uid="{00000000-0005-0000-0000-0000CE480000}"/>
    <cellStyle name="Input 2 2 2 3 3 2 7 2" xfId="19713" xr:uid="{00000000-0005-0000-0000-0000CF480000}"/>
    <cellStyle name="Input 2 2 2 3 3 2 7 3" xfId="19714" xr:uid="{00000000-0005-0000-0000-0000D0480000}"/>
    <cellStyle name="Input 2 2 2 3 3 2 8" xfId="19715" xr:uid="{00000000-0005-0000-0000-0000D1480000}"/>
    <cellStyle name="Input 2 2 2 3 3 2 9" xfId="19716" xr:uid="{00000000-0005-0000-0000-0000D2480000}"/>
    <cellStyle name="Input 2 2 2 3 3 3" xfId="19717" xr:uid="{00000000-0005-0000-0000-0000D3480000}"/>
    <cellStyle name="Input 2 2 2 3 3 3 2" xfId="19718" xr:uid="{00000000-0005-0000-0000-0000D4480000}"/>
    <cellStyle name="Input 2 2 2 3 3 3 3" xfId="19719" xr:uid="{00000000-0005-0000-0000-0000D5480000}"/>
    <cellStyle name="Input 2 2 2 3 3 4" xfId="19720" xr:uid="{00000000-0005-0000-0000-0000D6480000}"/>
    <cellStyle name="Input 2 2 2 3 3 4 2" xfId="19721" xr:uid="{00000000-0005-0000-0000-0000D7480000}"/>
    <cellStyle name="Input 2 2 2 3 3 4 3" xfId="19722" xr:uid="{00000000-0005-0000-0000-0000D8480000}"/>
    <cellStyle name="Input 2 2 2 3 3 5" xfId="19723" xr:uid="{00000000-0005-0000-0000-0000D9480000}"/>
    <cellStyle name="Input 2 2 2 3 3 5 2" xfId="19724" xr:uid="{00000000-0005-0000-0000-0000DA480000}"/>
    <cellStyle name="Input 2 2 2 3 3 5 3" xfId="19725" xr:uid="{00000000-0005-0000-0000-0000DB480000}"/>
    <cellStyle name="Input 2 2 2 3 3 6" xfId="19726" xr:uid="{00000000-0005-0000-0000-0000DC480000}"/>
    <cellStyle name="Input 2 2 2 3 3 6 2" xfId="19727" xr:uid="{00000000-0005-0000-0000-0000DD480000}"/>
    <cellStyle name="Input 2 2 2 3 3 6 3" xfId="19728" xr:uid="{00000000-0005-0000-0000-0000DE480000}"/>
    <cellStyle name="Input 2 2 2 3 3 7" xfId="19729" xr:uid="{00000000-0005-0000-0000-0000DF480000}"/>
    <cellStyle name="Input 2 2 2 3 3 7 2" xfId="19730" xr:uid="{00000000-0005-0000-0000-0000E0480000}"/>
    <cellStyle name="Input 2 2 2 3 3 7 3" xfId="19731" xr:uid="{00000000-0005-0000-0000-0000E1480000}"/>
    <cellStyle name="Input 2 2 2 3 3 8" xfId="19732" xr:uid="{00000000-0005-0000-0000-0000E2480000}"/>
    <cellStyle name="Input 2 2 2 3 3 8 2" xfId="19733" xr:uid="{00000000-0005-0000-0000-0000E3480000}"/>
    <cellStyle name="Input 2 2 2 3 3 8 3" xfId="19734" xr:uid="{00000000-0005-0000-0000-0000E4480000}"/>
    <cellStyle name="Input 2 2 2 3 3 9" xfId="19735" xr:uid="{00000000-0005-0000-0000-0000E5480000}"/>
    <cellStyle name="Input 2 2 2 3 4" xfId="19736" xr:uid="{00000000-0005-0000-0000-0000E6480000}"/>
    <cellStyle name="Input 2 2 2 3 4 10" xfId="19737" xr:uid="{00000000-0005-0000-0000-0000E7480000}"/>
    <cellStyle name="Input 2 2 2 3 4 2" xfId="19738" xr:uid="{00000000-0005-0000-0000-0000E8480000}"/>
    <cellStyle name="Input 2 2 2 3 4 2 2" xfId="19739" xr:uid="{00000000-0005-0000-0000-0000E9480000}"/>
    <cellStyle name="Input 2 2 2 3 4 2 2 2" xfId="19740" xr:uid="{00000000-0005-0000-0000-0000EA480000}"/>
    <cellStyle name="Input 2 2 2 3 4 2 2 3" xfId="19741" xr:uid="{00000000-0005-0000-0000-0000EB480000}"/>
    <cellStyle name="Input 2 2 2 3 4 2 3" xfId="19742" xr:uid="{00000000-0005-0000-0000-0000EC480000}"/>
    <cellStyle name="Input 2 2 2 3 4 2 3 2" xfId="19743" xr:uid="{00000000-0005-0000-0000-0000ED480000}"/>
    <cellStyle name="Input 2 2 2 3 4 2 3 3" xfId="19744" xr:uid="{00000000-0005-0000-0000-0000EE480000}"/>
    <cellStyle name="Input 2 2 2 3 4 2 4" xfId="19745" xr:uid="{00000000-0005-0000-0000-0000EF480000}"/>
    <cellStyle name="Input 2 2 2 3 4 2 4 2" xfId="19746" xr:uid="{00000000-0005-0000-0000-0000F0480000}"/>
    <cellStyle name="Input 2 2 2 3 4 2 4 3" xfId="19747" xr:uid="{00000000-0005-0000-0000-0000F1480000}"/>
    <cellStyle name="Input 2 2 2 3 4 2 5" xfId="19748" xr:uid="{00000000-0005-0000-0000-0000F2480000}"/>
    <cellStyle name="Input 2 2 2 3 4 2 5 2" xfId="19749" xr:uid="{00000000-0005-0000-0000-0000F3480000}"/>
    <cellStyle name="Input 2 2 2 3 4 2 5 3" xfId="19750" xr:uid="{00000000-0005-0000-0000-0000F4480000}"/>
    <cellStyle name="Input 2 2 2 3 4 2 6" xfId="19751" xr:uid="{00000000-0005-0000-0000-0000F5480000}"/>
    <cellStyle name="Input 2 2 2 3 4 2 6 2" xfId="19752" xr:uid="{00000000-0005-0000-0000-0000F6480000}"/>
    <cellStyle name="Input 2 2 2 3 4 2 6 3" xfId="19753" xr:uid="{00000000-0005-0000-0000-0000F7480000}"/>
    <cellStyle name="Input 2 2 2 3 4 2 7" xfId="19754" xr:uid="{00000000-0005-0000-0000-0000F8480000}"/>
    <cellStyle name="Input 2 2 2 3 4 2 7 2" xfId="19755" xr:uid="{00000000-0005-0000-0000-0000F9480000}"/>
    <cellStyle name="Input 2 2 2 3 4 2 7 3" xfId="19756" xr:uid="{00000000-0005-0000-0000-0000FA480000}"/>
    <cellStyle name="Input 2 2 2 3 4 2 8" xfId="19757" xr:uid="{00000000-0005-0000-0000-0000FB480000}"/>
    <cellStyle name="Input 2 2 2 3 4 2 9" xfId="19758" xr:uid="{00000000-0005-0000-0000-0000FC480000}"/>
    <cellStyle name="Input 2 2 2 3 4 3" xfId="19759" xr:uid="{00000000-0005-0000-0000-0000FD480000}"/>
    <cellStyle name="Input 2 2 2 3 4 3 2" xfId="19760" xr:uid="{00000000-0005-0000-0000-0000FE480000}"/>
    <cellStyle name="Input 2 2 2 3 4 3 3" xfId="19761" xr:uid="{00000000-0005-0000-0000-0000FF480000}"/>
    <cellStyle name="Input 2 2 2 3 4 4" xfId="19762" xr:uid="{00000000-0005-0000-0000-000000490000}"/>
    <cellStyle name="Input 2 2 2 3 4 4 2" xfId="19763" xr:uid="{00000000-0005-0000-0000-000001490000}"/>
    <cellStyle name="Input 2 2 2 3 4 4 3" xfId="19764" xr:uid="{00000000-0005-0000-0000-000002490000}"/>
    <cellStyle name="Input 2 2 2 3 4 5" xfId="19765" xr:uid="{00000000-0005-0000-0000-000003490000}"/>
    <cellStyle name="Input 2 2 2 3 4 5 2" xfId="19766" xr:uid="{00000000-0005-0000-0000-000004490000}"/>
    <cellStyle name="Input 2 2 2 3 4 5 3" xfId="19767" xr:uid="{00000000-0005-0000-0000-000005490000}"/>
    <cellStyle name="Input 2 2 2 3 4 6" xfId="19768" xr:uid="{00000000-0005-0000-0000-000006490000}"/>
    <cellStyle name="Input 2 2 2 3 4 6 2" xfId="19769" xr:uid="{00000000-0005-0000-0000-000007490000}"/>
    <cellStyle name="Input 2 2 2 3 4 6 3" xfId="19770" xr:uid="{00000000-0005-0000-0000-000008490000}"/>
    <cellStyle name="Input 2 2 2 3 4 7" xfId="19771" xr:uid="{00000000-0005-0000-0000-000009490000}"/>
    <cellStyle name="Input 2 2 2 3 4 7 2" xfId="19772" xr:uid="{00000000-0005-0000-0000-00000A490000}"/>
    <cellStyle name="Input 2 2 2 3 4 7 3" xfId="19773" xr:uid="{00000000-0005-0000-0000-00000B490000}"/>
    <cellStyle name="Input 2 2 2 3 4 8" xfId="19774" xr:uid="{00000000-0005-0000-0000-00000C490000}"/>
    <cellStyle name="Input 2 2 2 3 4 8 2" xfId="19775" xr:uid="{00000000-0005-0000-0000-00000D490000}"/>
    <cellStyle name="Input 2 2 2 3 4 8 3" xfId="19776" xr:uid="{00000000-0005-0000-0000-00000E490000}"/>
    <cellStyle name="Input 2 2 2 3 4 9" xfId="19777" xr:uid="{00000000-0005-0000-0000-00000F490000}"/>
    <cellStyle name="Input 2 2 2 3 5" xfId="19778" xr:uid="{00000000-0005-0000-0000-000010490000}"/>
    <cellStyle name="Input 2 2 2 3 5 2" xfId="19779" xr:uid="{00000000-0005-0000-0000-000011490000}"/>
    <cellStyle name="Input 2 2 2 3 5 2 2" xfId="19780" xr:uid="{00000000-0005-0000-0000-000012490000}"/>
    <cellStyle name="Input 2 2 2 3 5 2 3" xfId="19781" xr:uid="{00000000-0005-0000-0000-000013490000}"/>
    <cellStyle name="Input 2 2 2 3 5 3" xfId="19782" xr:uid="{00000000-0005-0000-0000-000014490000}"/>
    <cellStyle name="Input 2 2 2 3 5 3 2" xfId="19783" xr:uid="{00000000-0005-0000-0000-000015490000}"/>
    <cellStyle name="Input 2 2 2 3 5 3 3" xfId="19784" xr:uid="{00000000-0005-0000-0000-000016490000}"/>
    <cellStyle name="Input 2 2 2 3 5 4" xfId="19785" xr:uid="{00000000-0005-0000-0000-000017490000}"/>
    <cellStyle name="Input 2 2 2 3 5 4 2" xfId="19786" xr:uid="{00000000-0005-0000-0000-000018490000}"/>
    <cellStyle name="Input 2 2 2 3 5 4 3" xfId="19787" xr:uid="{00000000-0005-0000-0000-000019490000}"/>
    <cellStyle name="Input 2 2 2 3 5 5" xfId="19788" xr:uid="{00000000-0005-0000-0000-00001A490000}"/>
    <cellStyle name="Input 2 2 2 3 5 5 2" xfId="19789" xr:uid="{00000000-0005-0000-0000-00001B490000}"/>
    <cellStyle name="Input 2 2 2 3 5 5 3" xfId="19790" xr:uid="{00000000-0005-0000-0000-00001C490000}"/>
    <cellStyle name="Input 2 2 2 3 5 6" xfId="19791" xr:uid="{00000000-0005-0000-0000-00001D490000}"/>
    <cellStyle name="Input 2 2 2 3 5 6 2" xfId="19792" xr:uid="{00000000-0005-0000-0000-00001E490000}"/>
    <cellStyle name="Input 2 2 2 3 5 6 3" xfId="19793" xr:uid="{00000000-0005-0000-0000-00001F490000}"/>
    <cellStyle name="Input 2 2 2 3 5 7" xfId="19794" xr:uid="{00000000-0005-0000-0000-000020490000}"/>
    <cellStyle name="Input 2 2 2 3 5 7 2" xfId="19795" xr:uid="{00000000-0005-0000-0000-000021490000}"/>
    <cellStyle name="Input 2 2 2 3 5 7 3" xfId="19796" xr:uid="{00000000-0005-0000-0000-000022490000}"/>
    <cellStyle name="Input 2 2 2 3 5 8" xfId="19797" xr:uid="{00000000-0005-0000-0000-000023490000}"/>
    <cellStyle name="Input 2 2 2 3 5 9" xfId="19798" xr:uid="{00000000-0005-0000-0000-000024490000}"/>
    <cellStyle name="Input 2 2 2 3 6" xfId="19799" xr:uid="{00000000-0005-0000-0000-000025490000}"/>
    <cellStyle name="Input 2 2 2 3 6 2" xfId="19800" xr:uid="{00000000-0005-0000-0000-000026490000}"/>
    <cellStyle name="Input 2 2 2 3 6 3" xfId="19801" xr:uid="{00000000-0005-0000-0000-000027490000}"/>
    <cellStyle name="Input 2 2 2 3 7" xfId="19802" xr:uid="{00000000-0005-0000-0000-000028490000}"/>
    <cellStyle name="Input 2 2 2 3 7 2" xfId="19803" xr:uid="{00000000-0005-0000-0000-000029490000}"/>
    <cellStyle name="Input 2 2 2 3 7 3" xfId="19804" xr:uid="{00000000-0005-0000-0000-00002A490000}"/>
    <cellStyle name="Input 2 2 2 3 8" xfId="19805" xr:uid="{00000000-0005-0000-0000-00002B490000}"/>
    <cellStyle name="Input 2 2 2 3 8 2" xfId="19806" xr:uid="{00000000-0005-0000-0000-00002C490000}"/>
    <cellStyle name="Input 2 2 2 3 8 3" xfId="19807" xr:uid="{00000000-0005-0000-0000-00002D490000}"/>
    <cellStyle name="Input 2 2 2 3 9" xfId="19808" xr:uid="{00000000-0005-0000-0000-00002E490000}"/>
    <cellStyle name="Input 2 2 2 3 9 2" xfId="19809" xr:uid="{00000000-0005-0000-0000-00002F490000}"/>
    <cellStyle name="Input 2 2 2 3 9 3" xfId="19810" xr:uid="{00000000-0005-0000-0000-000030490000}"/>
    <cellStyle name="Input 2 2 2 4" xfId="19811" xr:uid="{00000000-0005-0000-0000-000031490000}"/>
    <cellStyle name="Input 2 2 2 4 10" xfId="19812" xr:uid="{00000000-0005-0000-0000-000032490000}"/>
    <cellStyle name="Input 2 2 2 4 2" xfId="19813" xr:uid="{00000000-0005-0000-0000-000033490000}"/>
    <cellStyle name="Input 2 2 2 4 2 2" xfId="19814" xr:uid="{00000000-0005-0000-0000-000034490000}"/>
    <cellStyle name="Input 2 2 2 4 2 2 2" xfId="19815" xr:uid="{00000000-0005-0000-0000-000035490000}"/>
    <cellStyle name="Input 2 2 2 4 2 2 3" xfId="19816" xr:uid="{00000000-0005-0000-0000-000036490000}"/>
    <cellStyle name="Input 2 2 2 4 2 3" xfId="19817" xr:uid="{00000000-0005-0000-0000-000037490000}"/>
    <cellStyle name="Input 2 2 2 4 2 3 2" xfId="19818" xr:uid="{00000000-0005-0000-0000-000038490000}"/>
    <cellStyle name="Input 2 2 2 4 2 3 3" xfId="19819" xr:uid="{00000000-0005-0000-0000-000039490000}"/>
    <cellStyle name="Input 2 2 2 4 2 4" xfId="19820" xr:uid="{00000000-0005-0000-0000-00003A490000}"/>
    <cellStyle name="Input 2 2 2 4 2 4 2" xfId="19821" xr:uid="{00000000-0005-0000-0000-00003B490000}"/>
    <cellStyle name="Input 2 2 2 4 2 4 3" xfId="19822" xr:uid="{00000000-0005-0000-0000-00003C490000}"/>
    <cellStyle name="Input 2 2 2 4 2 5" xfId="19823" xr:uid="{00000000-0005-0000-0000-00003D490000}"/>
    <cellStyle name="Input 2 2 2 4 2 5 2" xfId="19824" xr:uid="{00000000-0005-0000-0000-00003E490000}"/>
    <cellStyle name="Input 2 2 2 4 2 5 3" xfId="19825" xr:uid="{00000000-0005-0000-0000-00003F490000}"/>
    <cellStyle name="Input 2 2 2 4 2 6" xfId="19826" xr:uid="{00000000-0005-0000-0000-000040490000}"/>
    <cellStyle name="Input 2 2 2 4 2 6 2" xfId="19827" xr:uid="{00000000-0005-0000-0000-000041490000}"/>
    <cellStyle name="Input 2 2 2 4 2 6 3" xfId="19828" xr:uid="{00000000-0005-0000-0000-000042490000}"/>
    <cellStyle name="Input 2 2 2 4 2 7" xfId="19829" xr:uid="{00000000-0005-0000-0000-000043490000}"/>
    <cellStyle name="Input 2 2 2 4 2 7 2" xfId="19830" xr:uid="{00000000-0005-0000-0000-000044490000}"/>
    <cellStyle name="Input 2 2 2 4 2 7 3" xfId="19831" xr:uid="{00000000-0005-0000-0000-000045490000}"/>
    <cellStyle name="Input 2 2 2 4 2 8" xfId="19832" xr:uid="{00000000-0005-0000-0000-000046490000}"/>
    <cellStyle name="Input 2 2 2 4 2 9" xfId="19833" xr:uid="{00000000-0005-0000-0000-000047490000}"/>
    <cellStyle name="Input 2 2 2 4 3" xfId="19834" xr:uid="{00000000-0005-0000-0000-000048490000}"/>
    <cellStyle name="Input 2 2 2 4 3 2" xfId="19835" xr:uid="{00000000-0005-0000-0000-000049490000}"/>
    <cellStyle name="Input 2 2 2 4 3 3" xfId="19836" xr:uid="{00000000-0005-0000-0000-00004A490000}"/>
    <cellStyle name="Input 2 2 2 4 4" xfId="19837" xr:uid="{00000000-0005-0000-0000-00004B490000}"/>
    <cellStyle name="Input 2 2 2 4 4 2" xfId="19838" xr:uid="{00000000-0005-0000-0000-00004C490000}"/>
    <cellStyle name="Input 2 2 2 4 4 3" xfId="19839" xr:uid="{00000000-0005-0000-0000-00004D490000}"/>
    <cellStyle name="Input 2 2 2 4 5" xfId="19840" xr:uid="{00000000-0005-0000-0000-00004E490000}"/>
    <cellStyle name="Input 2 2 2 4 5 2" xfId="19841" xr:uid="{00000000-0005-0000-0000-00004F490000}"/>
    <cellStyle name="Input 2 2 2 4 5 3" xfId="19842" xr:uid="{00000000-0005-0000-0000-000050490000}"/>
    <cellStyle name="Input 2 2 2 4 6" xfId="19843" xr:uid="{00000000-0005-0000-0000-000051490000}"/>
    <cellStyle name="Input 2 2 2 4 6 2" xfId="19844" xr:uid="{00000000-0005-0000-0000-000052490000}"/>
    <cellStyle name="Input 2 2 2 4 6 3" xfId="19845" xr:uid="{00000000-0005-0000-0000-000053490000}"/>
    <cellStyle name="Input 2 2 2 4 7" xfId="19846" xr:uid="{00000000-0005-0000-0000-000054490000}"/>
    <cellStyle name="Input 2 2 2 4 7 2" xfId="19847" xr:uid="{00000000-0005-0000-0000-000055490000}"/>
    <cellStyle name="Input 2 2 2 4 7 3" xfId="19848" xr:uid="{00000000-0005-0000-0000-000056490000}"/>
    <cellStyle name="Input 2 2 2 4 8" xfId="19849" xr:uid="{00000000-0005-0000-0000-000057490000}"/>
    <cellStyle name="Input 2 2 2 4 8 2" xfId="19850" xr:uid="{00000000-0005-0000-0000-000058490000}"/>
    <cellStyle name="Input 2 2 2 4 8 3" xfId="19851" xr:uid="{00000000-0005-0000-0000-000059490000}"/>
    <cellStyle name="Input 2 2 2 4 9" xfId="19852" xr:uid="{00000000-0005-0000-0000-00005A490000}"/>
    <cellStyle name="Input 2 2 2 5" xfId="19853" xr:uid="{00000000-0005-0000-0000-00005B490000}"/>
    <cellStyle name="Input 2 2 2 5 10" xfId="19854" xr:uid="{00000000-0005-0000-0000-00005C490000}"/>
    <cellStyle name="Input 2 2 2 5 2" xfId="19855" xr:uid="{00000000-0005-0000-0000-00005D490000}"/>
    <cellStyle name="Input 2 2 2 5 2 2" xfId="19856" xr:uid="{00000000-0005-0000-0000-00005E490000}"/>
    <cellStyle name="Input 2 2 2 5 2 2 2" xfId="19857" xr:uid="{00000000-0005-0000-0000-00005F490000}"/>
    <cellStyle name="Input 2 2 2 5 2 2 3" xfId="19858" xr:uid="{00000000-0005-0000-0000-000060490000}"/>
    <cellStyle name="Input 2 2 2 5 2 3" xfId="19859" xr:uid="{00000000-0005-0000-0000-000061490000}"/>
    <cellStyle name="Input 2 2 2 5 2 3 2" xfId="19860" xr:uid="{00000000-0005-0000-0000-000062490000}"/>
    <cellStyle name="Input 2 2 2 5 2 3 3" xfId="19861" xr:uid="{00000000-0005-0000-0000-000063490000}"/>
    <cellStyle name="Input 2 2 2 5 2 4" xfId="19862" xr:uid="{00000000-0005-0000-0000-000064490000}"/>
    <cellStyle name="Input 2 2 2 5 2 4 2" xfId="19863" xr:uid="{00000000-0005-0000-0000-000065490000}"/>
    <cellStyle name="Input 2 2 2 5 2 4 3" xfId="19864" xr:uid="{00000000-0005-0000-0000-000066490000}"/>
    <cellStyle name="Input 2 2 2 5 2 5" xfId="19865" xr:uid="{00000000-0005-0000-0000-000067490000}"/>
    <cellStyle name="Input 2 2 2 5 2 5 2" xfId="19866" xr:uid="{00000000-0005-0000-0000-000068490000}"/>
    <cellStyle name="Input 2 2 2 5 2 5 3" xfId="19867" xr:uid="{00000000-0005-0000-0000-000069490000}"/>
    <cellStyle name="Input 2 2 2 5 2 6" xfId="19868" xr:uid="{00000000-0005-0000-0000-00006A490000}"/>
    <cellStyle name="Input 2 2 2 5 2 6 2" xfId="19869" xr:uid="{00000000-0005-0000-0000-00006B490000}"/>
    <cellStyle name="Input 2 2 2 5 2 6 3" xfId="19870" xr:uid="{00000000-0005-0000-0000-00006C490000}"/>
    <cellStyle name="Input 2 2 2 5 2 7" xfId="19871" xr:uid="{00000000-0005-0000-0000-00006D490000}"/>
    <cellStyle name="Input 2 2 2 5 2 7 2" xfId="19872" xr:uid="{00000000-0005-0000-0000-00006E490000}"/>
    <cellStyle name="Input 2 2 2 5 2 7 3" xfId="19873" xr:uid="{00000000-0005-0000-0000-00006F490000}"/>
    <cellStyle name="Input 2 2 2 5 2 8" xfId="19874" xr:uid="{00000000-0005-0000-0000-000070490000}"/>
    <cellStyle name="Input 2 2 2 5 2 9" xfId="19875" xr:uid="{00000000-0005-0000-0000-000071490000}"/>
    <cellStyle name="Input 2 2 2 5 3" xfId="19876" xr:uid="{00000000-0005-0000-0000-000072490000}"/>
    <cellStyle name="Input 2 2 2 5 3 2" xfId="19877" xr:uid="{00000000-0005-0000-0000-000073490000}"/>
    <cellStyle name="Input 2 2 2 5 3 3" xfId="19878" xr:uid="{00000000-0005-0000-0000-000074490000}"/>
    <cellStyle name="Input 2 2 2 5 4" xfId="19879" xr:uid="{00000000-0005-0000-0000-000075490000}"/>
    <cellStyle name="Input 2 2 2 5 4 2" xfId="19880" xr:uid="{00000000-0005-0000-0000-000076490000}"/>
    <cellStyle name="Input 2 2 2 5 4 3" xfId="19881" xr:uid="{00000000-0005-0000-0000-000077490000}"/>
    <cellStyle name="Input 2 2 2 5 5" xfId="19882" xr:uid="{00000000-0005-0000-0000-000078490000}"/>
    <cellStyle name="Input 2 2 2 5 5 2" xfId="19883" xr:uid="{00000000-0005-0000-0000-000079490000}"/>
    <cellStyle name="Input 2 2 2 5 5 3" xfId="19884" xr:uid="{00000000-0005-0000-0000-00007A490000}"/>
    <cellStyle name="Input 2 2 2 5 6" xfId="19885" xr:uid="{00000000-0005-0000-0000-00007B490000}"/>
    <cellStyle name="Input 2 2 2 5 6 2" xfId="19886" xr:uid="{00000000-0005-0000-0000-00007C490000}"/>
    <cellStyle name="Input 2 2 2 5 6 3" xfId="19887" xr:uid="{00000000-0005-0000-0000-00007D490000}"/>
    <cellStyle name="Input 2 2 2 5 7" xfId="19888" xr:uid="{00000000-0005-0000-0000-00007E490000}"/>
    <cellStyle name="Input 2 2 2 5 7 2" xfId="19889" xr:uid="{00000000-0005-0000-0000-00007F490000}"/>
    <cellStyle name="Input 2 2 2 5 7 3" xfId="19890" xr:uid="{00000000-0005-0000-0000-000080490000}"/>
    <cellStyle name="Input 2 2 2 5 8" xfId="19891" xr:uid="{00000000-0005-0000-0000-000081490000}"/>
    <cellStyle name="Input 2 2 2 5 8 2" xfId="19892" xr:uid="{00000000-0005-0000-0000-000082490000}"/>
    <cellStyle name="Input 2 2 2 5 8 3" xfId="19893" xr:uid="{00000000-0005-0000-0000-000083490000}"/>
    <cellStyle name="Input 2 2 2 5 9" xfId="19894" xr:uid="{00000000-0005-0000-0000-000084490000}"/>
    <cellStyle name="Input 2 2 2 6" xfId="19895" xr:uid="{00000000-0005-0000-0000-000085490000}"/>
    <cellStyle name="Input 2 2 2 6 10" xfId="19896" xr:uid="{00000000-0005-0000-0000-000086490000}"/>
    <cellStyle name="Input 2 2 2 6 2" xfId="19897" xr:uid="{00000000-0005-0000-0000-000087490000}"/>
    <cellStyle name="Input 2 2 2 6 2 2" xfId="19898" xr:uid="{00000000-0005-0000-0000-000088490000}"/>
    <cellStyle name="Input 2 2 2 6 2 2 2" xfId="19899" xr:uid="{00000000-0005-0000-0000-000089490000}"/>
    <cellStyle name="Input 2 2 2 6 2 2 3" xfId="19900" xr:uid="{00000000-0005-0000-0000-00008A490000}"/>
    <cellStyle name="Input 2 2 2 6 2 3" xfId="19901" xr:uid="{00000000-0005-0000-0000-00008B490000}"/>
    <cellStyle name="Input 2 2 2 6 2 3 2" xfId="19902" xr:uid="{00000000-0005-0000-0000-00008C490000}"/>
    <cellStyle name="Input 2 2 2 6 2 3 3" xfId="19903" xr:uid="{00000000-0005-0000-0000-00008D490000}"/>
    <cellStyle name="Input 2 2 2 6 2 4" xfId="19904" xr:uid="{00000000-0005-0000-0000-00008E490000}"/>
    <cellStyle name="Input 2 2 2 6 2 4 2" xfId="19905" xr:uid="{00000000-0005-0000-0000-00008F490000}"/>
    <cellStyle name="Input 2 2 2 6 2 4 3" xfId="19906" xr:uid="{00000000-0005-0000-0000-000090490000}"/>
    <cellStyle name="Input 2 2 2 6 2 5" xfId="19907" xr:uid="{00000000-0005-0000-0000-000091490000}"/>
    <cellStyle name="Input 2 2 2 6 2 5 2" xfId="19908" xr:uid="{00000000-0005-0000-0000-000092490000}"/>
    <cellStyle name="Input 2 2 2 6 2 5 3" xfId="19909" xr:uid="{00000000-0005-0000-0000-000093490000}"/>
    <cellStyle name="Input 2 2 2 6 2 6" xfId="19910" xr:uid="{00000000-0005-0000-0000-000094490000}"/>
    <cellStyle name="Input 2 2 2 6 2 6 2" xfId="19911" xr:uid="{00000000-0005-0000-0000-000095490000}"/>
    <cellStyle name="Input 2 2 2 6 2 6 3" xfId="19912" xr:uid="{00000000-0005-0000-0000-000096490000}"/>
    <cellStyle name="Input 2 2 2 6 2 7" xfId="19913" xr:uid="{00000000-0005-0000-0000-000097490000}"/>
    <cellStyle name="Input 2 2 2 6 2 7 2" xfId="19914" xr:uid="{00000000-0005-0000-0000-000098490000}"/>
    <cellStyle name="Input 2 2 2 6 2 7 3" xfId="19915" xr:uid="{00000000-0005-0000-0000-000099490000}"/>
    <cellStyle name="Input 2 2 2 6 2 8" xfId="19916" xr:uid="{00000000-0005-0000-0000-00009A490000}"/>
    <cellStyle name="Input 2 2 2 6 2 9" xfId="19917" xr:uid="{00000000-0005-0000-0000-00009B490000}"/>
    <cellStyle name="Input 2 2 2 6 3" xfId="19918" xr:uid="{00000000-0005-0000-0000-00009C490000}"/>
    <cellStyle name="Input 2 2 2 6 3 2" xfId="19919" xr:uid="{00000000-0005-0000-0000-00009D490000}"/>
    <cellStyle name="Input 2 2 2 6 3 3" xfId="19920" xr:uid="{00000000-0005-0000-0000-00009E490000}"/>
    <cellStyle name="Input 2 2 2 6 4" xfId="19921" xr:uid="{00000000-0005-0000-0000-00009F490000}"/>
    <cellStyle name="Input 2 2 2 6 4 2" xfId="19922" xr:uid="{00000000-0005-0000-0000-0000A0490000}"/>
    <cellStyle name="Input 2 2 2 6 4 3" xfId="19923" xr:uid="{00000000-0005-0000-0000-0000A1490000}"/>
    <cellStyle name="Input 2 2 2 6 5" xfId="19924" xr:uid="{00000000-0005-0000-0000-0000A2490000}"/>
    <cellStyle name="Input 2 2 2 6 5 2" xfId="19925" xr:uid="{00000000-0005-0000-0000-0000A3490000}"/>
    <cellStyle name="Input 2 2 2 6 5 3" xfId="19926" xr:uid="{00000000-0005-0000-0000-0000A4490000}"/>
    <cellStyle name="Input 2 2 2 6 6" xfId="19927" xr:uid="{00000000-0005-0000-0000-0000A5490000}"/>
    <cellStyle name="Input 2 2 2 6 6 2" xfId="19928" xr:uid="{00000000-0005-0000-0000-0000A6490000}"/>
    <cellStyle name="Input 2 2 2 6 6 3" xfId="19929" xr:uid="{00000000-0005-0000-0000-0000A7490000}"/>
    <cellStyle name="Input 2 2 2 6 7" xfId="19930" xr:uid="{00000000-0005-0000-0000-0000A8490000}"/>
    <cellStyle name="Input 2 2 2 6 7 2" xfId="19931" xr:uid="{00000000-0005-0000-0000-0000A9490000}"/>
    <cellStyle name="Input 2 2 2 6 7 3" xfId="19932" xr:uid="{00000000-0005-0000-0000-0000AA490000}"/>
    <cellStyle name="Input 2 2 2 6 8" xfId="19933" xr:uid="{00000000-0005-0000-0000-0000AB490000}"/>
    <cellStyle name="Input 2 2 2 6 8 2" xfId="19934" xr:uid="{00000000-0005-0000-0000-0000AC490000}"/>
    <cellStyle name="Input 2 2 2 6 8 3" xfId="19935" xr:uid="{00000000-0005-0000-0000-0000AD490000}"/>
    <cellStyle name="Input 2 2 2 6 9" xfId="19936" xr:uid="{00000000-0005-0000-0000-0000AE490000}"/>
    <cellStyle name="Input 2 2 2 7" xfId="19937" xr:uid="{00000000-0005-0000-0000-0000AF490000}"/>
    <cellStyle name="Input 2 2 2 7 2" xfId="19938" xr:uid="{00000000-0005-0000-0000-0000B0490000}"/>
    <cellStyle name="Input 2 2 2 7 2 2" xfId="19939" xr:uid="{00000000-0005-0000-0000-0000B1490000}"/>
    <cellStyle name="Input 2 2 2 7 2 3" xfId="19940" xr:uid="{00000000-0005-0000-0000-0000B2490000}"/>
    <cellStyle name="Input 2 2 2 7 3" xfId="19941" xr:uid="{00000000-0005-0000-0000-0000B3490000}"/>
    <cellStyle name="Input 2 2 2 7 3 2" xfId="19942" xr:uid="{00000000-0005-0000-0000-0000B4490000}"/>
    <cellStyle name="Input 2 2 2 7 3 3" xfId="19943" xr:uid="{00000000-0005-0000-0000-0000B5490000}"/>
    <cellStyle name="Input 2 2 2 7 4" xfId="19944" xr:uid="{00000000-0005-0000-0000-0000B6490000}"/>
    <cellStyle name="Input 2 2 2 7 4 2" xfId="19945" xr:uid="{00000000-0005-0000-0000-0000B7490000}"/>
    <cellStyle name="Input 2 2 2 7 4 3" xfId="19946" xr:uid="{00000000-0005-0000-0000-0000B8490000}"/>
    <cellStyle name="Input 2 2 2 7 5" xfId="19947" xr:uid="{00000000-0005-0000-0000-0000B9490000}"/>
    <cellStyle name="Input 2 2 2 7 5 2" xfId="19948" xr:uid="{00000000-0005-0000-0000-0000BA490000}"/>
    <cellStyle name="Input 2 2 2 7 5 3" xfId="19949" xr:uid="{00000000-0005-0000-0000-0000BB490000}"/>
    <cellStyle name="Input 2 2 2 7 6" xfId="19950" xr:uid="{00000000-0005-0000-0000-0000BC490000}"/>
    <cellStyle name="Input 2 2 2 7 6 2" xfId="19951" xr:uid="{00000000-0005-0000-0000-0000BD490000}"/>
    <cellStyle name="Input 2 2 2 7 6 3" xfId="19952" xr:uid="{00000000-0005-0000-0000-0000BE490000}"/>
    <cellStyle name="Input 2 2 2 7 7" xfId="19953" xr:uid="{00000000-0005-0000-0000-0000BF490000}"/>
    <cellStyle name="Input 2 2 2 7 7 2" xfId="19954" xr:uid="{00000000-0005-0000-0000-0000C0490000}"/>
    <cellStyle name="Input 2 2 2 7 7 3" xfId="19955" xr:uid="{00000000-0005-0000-0000-0000C1490000}"/>
    <cellStyle name="Input 2 2 2 7 8" xfId="19956" xr:uid="{00000000-0005-0000-0000-0000C2490000}"/>
    <cellStyle name="Input 2 2 2 7 9" xfId="19957" xr:uid="{00000000-0005-0000-0000-0000C3490000}"/>
    <cellStyle name="Input 2 2 2 8" xfId="19958" xr:uid="{00000000-0005-0000-0000-0000C4490000}"/>
    <cellStyle name="Input 2 2 2 8 2" xfId="19959" xr:uid="{00000000-0005-0000-0000-0000C5490000}"/>
    <cellStyle name="Input 2 2 2 8 3" xfId="19960" xr:uid="{00000000-0005-0000-0000-0000C6490000}"/>
    <cellStyle name="Input 2 2 2 9" xfId="19961" xr:uid="{00000000-0005-0000-0000-0000C7490000}"/>
    <cellStyle name="Input 2 2 2 9 2" xfId="19962" xr:uid="{00000000-0005-0000-0000-0000C8490000}"/>
    <cellStyle name="Input 2 2 2 9 3" xfId="19963" xr:uid="{00000000-0005-0000-0000-0000C9490000}"/>
    <cellStyle name="Input 2 2 3" xfId="19964" xr:uid="{00000000-0005-0000-0000-0000CA490000}"/>
    <cellStyle name="Input 2 2 3 10" xfId="19965" xr:uid="{00000000-0005-0000-0000-0000CB490000}"/>
    <cellStyle name="Input 2 2 3 10 2" xfId="19966" xr:uid="{00000000-0005-0000-0000-0000CC490000}"/>
    <cellStyle name="Input 2 2 3 10 3" xfId="19967" xr:uid="{00000000-0005-0000-0000-0000CD490000}"/>
    <cellStyle name="Input 2 2 3 11" xfId="19968" xr:uid="{00000000-0005-0000-0000-0000CE490000}"/>
    <cellStyle name="Input 2 2 3 11 2" xfId="19969" xr:uid="{00000000-0005-0000-0000-0000CF490000}"/>
    <cellStyle name="Input 2 2 3 11 3" xfId="19970" xr:uid="{00000000-0005-0000-0000-0000D0490000}"/>
    <cellStyle name="Input 2 2 3 12" xfId="19971" xr:uid="{00000000-0005-0000-0000-0000D1490000}"/>
    <cellStyle name="Input 2 2 3 12 2" xfId="19972" xr:uid="{00000000-0005-0000-0000-0000D2490000}"/>
    <cellStyle name="Input 2 2 3 12 3" xfId="19973" xr:uid="{00000000-0005-0000-0000-0000D3490000}"/>
    <cellStyle name="Input 2 2 3 13" xfId="19974" xr:uid="{00000000-0005-0000-0000-0000D4490000}"/>
    <cellStyle name="Input 2 2 3 13 2" xfId="19975" xr:uid="{00000000-0005-0000-0000-0000D5490000}"/>
    <cellStyle name="Input 2 2 3 13 3" xfId="19976" xr:uid="{00000000-0005-0000-0000-0000D6490000}"/>
    <cellStyle name="Input 2 2 3 14" xfId="44060" xr:uid="{00000000-0005-0000-0000-0000D7490000}"/>
    <cellStyle name="Input 2 2 3 2" xfId="19977" xr:uid="{00000000-0005-0000-0000-0000D8490000}"/>
    <cellStyle name="Input 2 2 3 2 10" xfId="44061" xr:uid="{00000000-0005-0000-0000-0000D9490000}"/>
    <cellStyle name="Input 2 2 3 2 2" xfId="19978" xr:uid="{00000000-0005-0000-0000-0000DA490000}"/>
    <cellStyle name="Input 2 2 3 2 2 10" xfId="19979" xr:uid="{00000000-0005-0000-0000-0000DB490000}"/>
    <cellStyle name="Input 2 2 3 2 2 2" xfId="19980" xr:uid="{00000000-0005-0000-0000-0000DC490000}"/>
    <cellStyle name="Input 2 2 3 2 2 2 2" xfId="19981" xr:uid="{00000000-0005-0000-0000-0000DD490000}"/>
    <cellStyle name="Input 2 2 3 2 2 2 2 2" xfId="19982" xr:uid="{00000000-0005-0000-0000-0000DE490000}"/>
    <cellStyle name="Input 2 2 3 2 2 2 2 3" xfId="19983" xr:uid="{00000000-0005-0000-0000-0000DF490000}"/>
    <cellStyle name="Input 2 2 3 2 2 2 3" xfId="19984" xr:uid="{00000000-0005-0000-0000-0000E0490000}"/>
    <cellStyle name="Input 2 2 3 2 2 2 3 2" xfId="19985" xr:uid="{00000000-0005-0000-0000-0000E1490000}"/>
    <cellStyle name="Input 2 2 3 2 2 2 3 3" xfId="19986" xr:uid="{00000000-0005-0000-0000-0000E2490000}"/>
    <cellStyle name="Input 2 2 3 2 2 2 4" xfId="19987" xr:uid="{00000000-0005-0000-0000-0000E3490000}"/>
    <cellStyle name="Input 2 2 3 2 2 2 4 2" xfId="19988" xr:uid="{00000000-0005-0000-0000-0000E4490000}"/>
    <cellStyle name="Input 2 2 3 2 2 2 4 3" xfId="19989" xr:uid="{00000000-0005-0000-0000-0000E5490000}"/>
    <cellStyle name="Input 2 2 3 2 2 2 5" xfId="19990" xr:uid="{00000000-0005-0000-0000-0000E6490000}"/>
    <cellStyle name="Input 2 2 3 2 2 2 5 2" xfId="19991" xr:uid="{00000000-0005-0000-0000-0000E7490000}"/>
    <cellStyle name="Input 2 2 3 2 2 2 5 3" xfId="19992" xr:uid="{00000000-0005-0000-0000-0000E8490000}"/>
    <cellStyle name="Input 2 2 3 2 2 2 6" xfId="19993" xr:uid="{00000000-0005-0000-0000-0000E9490000}"/>
    <cellStyle name="Input 2 2 3 2 2 2 6 2" xfId="19994" xr:uid="{00000000-0005-0000-0000-0000EA490000}"/>
    <cellStyle name="Input 2 2 3 2 2 2 6 3" xfId="19995" xr:uid="{00000000-0005-0000-0000-0000EB490000}"/>
    <cellStyle name="Input 2 2 3 2 2 2 7" xfId="19996" xr:uid="{00000000-0005-0000-0000-0000EC490000}"/>
    <cellStyle name="Input 2 2 3 2 2 2 7 2" xfId="19997" xr:uid="{00000000-0005-0000-0000-0000ED490000}"/>
    <cellStyle name="Input 2 2 3 2 2 2 7 3" xfId="19998" xr:uid="{00000000-0005-0000-0000-0000EE490000}"/>
    <cellStyle name="Input 2 2 3 2 2 2 8" xfId="19999" xr:uid="{00000000-0005-0000-0000-0000EF490000}"/>
    <cellStyle name="Input 2 2 3 2 2 2 9" xfId="20000" xr:uid="{00000000-0005-0000-0000-0000F0490000}"/>
    <cellStyle name="Input 2 2 3 2 2 3" xfId="20001" xr:uid="{00000000-0005-0000-0000-0000F1490000}"/>
    <cellStyle name="Input 2 2 3 2 2 3 2" xfId="20002" xr:uid="{00000000-0005-0000-0000-0000F2490000}"/>
    <cellStyle name="Input 2 2 3 2 2 3 3" xfId="20003" xr:uid="{00000000-0005-0000-0000-0000F3490000}"/>
    <cellStyle name="Input 2 2 3 2 2 4" xfId="20004" xr:uid="{00000000-0005-0000-0000-0000F4490000}"/>
    <cellStyle name="Input 2 2 3 2 2 4 2" xfId="20005" xr:uid="{00000000-0005-0000-0000-0000F5490000}"/>
    <cellStyle name="Input 2 2 3 2 2 4 3" xfId="20006" xr:uid="{00000000-0005-0000-0000-0000F6490000}"/>
    <cellStyle name="Input 2 2 3 2 2 5" xfId="20007" xr:uid="{00000000-0005-0000-0000-0000F7490000}"/>
    <cellStyle name="Input 2 2 3 2 2 5 2" xfId="20008" xr:uid="{00000000-0005-0000-0000-0000F8490000}"/>
    <cellStyle name="Input 2 2 3 2 2 5 3" xfId="20009" xr:uid="{00000000-0005-0000-0000-0000F9490000}"/>
    <cellStyle name="Input 2 2 3 2 2 6" xfId="20010" xr:uid="{00000000-0005-0000-0000-0000FA490000}"/>
    <cellStyle name="Input 2 2 3 2 2 6 2" xfId="20011" xr:uid="{00000000-0005-0000-0000-0000FB490000}"/>
    <cellStyle name="Input 2 2 3 2 2 6 3" xfId="20012" xr:uid="{00000000-0005-0000-0000-0000FC490000}"/>
    <cellStyle name="Input 2 2 3 2 2 7" xfId="20013" xr:uid="{00000000-0005-0000-0000-0000FD490000}"/>
    <cellStyle name="Input 2 2 3 2 2 7 2" xfId="20014" xr:uid="{00000000-0005-0000-0000-0000FE490000}"/>
    <cellStyle name="Input 2 2 3 2 2 7 3" xfId="20015" xr:uid="{00000000-0005-0000-0000-0000FF490000}"/>
    <cellStyle name="Input 2 2 3 2 2 8" xfId="20016" xr:uid="{00000000-0005-0000-0000-0000004A0000}"/>
    <cellStyle name="Input 2 2 3 2 2 8 2" xfId="20017" xr:uid="{00000000-0005-0000-0000-0000014A0000}"/>
    <cellStyle name="Input 2 2 3 2 2 8 3" xfId="20018" xr:uid="{00000000-0005-0000-0000-0000024A0000}"/>
    <cellStyle name="Input 2 2 3 2 2 9" xfId="20019" xr:uid="{00000000-0005-0000-0000-0000034A0000}"/>
    <cellStyle name="Input 2 2 3 2 3" xfId="20020" xr:uid="{00000000-0005-0000-0000-0000044A0000}"/>
    <cellStyle name="Input 2 2 3 2 3 10" xfId="20021" xr:uid="{00000000-0005-0000-0000-0000054A0000}"/>
    <cellStyle name="Input 2 2 3 2 3 2" xfId="20022" xr:uid="{00000000-0005-0000-0000-0000064A0000}"/>
    <cellStyle name="Input 2 2 3 2 3 2 2" xfId="20023" xr:uid="{00000000-0005-0000-0000-0000074A0000}"/>
    <cellStyle name="Input 2 2 3 2 3 2 2 2" xfId="20024" xr:uid="{00000000-0005-0000-0000-0000084A0000}"/>
    <cellStyle name="Input 2 2 3 2 3 2 2 3" xfId="20025" xr:uid="{00000000-0005-0000-0000-0000094A0000}"/>
    <cellStyle name="Input 2 2 3 2 3 2 3" xfId="20026" xr:uid="{00000000-0005-0000-0000-00000A4A0000}"/>
    <cellStyle name="Input 2 2 3 2 3 2 3 2" xfId="20027" xr:uid="{00000000-0005-0000-0000-00000B4A0000}"/>
    <cellStyle name="Input 2 2 3 2 3 2 3 3" xfId="20028" xr:uid="{00000000-0005-0000-0000-00000C4A0000}"/>
    <cellStyle name="Input 2 2 3 2 3 2 4" xfId="20029" xr:uid="{00000000-0005-0000-0000-00000D4A0000}"/>
    <cellStyle name="Input 2 2 3 2 3 2 4 2" xfId="20030" xr:uid="{00000000-0005-0000-0000-00000E4A0000}"/>
    <cellStyle name="Input 2 2 3 2 3 2 4 3" xfId="20031" xr:uid="{00000000-0005-0000-0000-00000F4A0000}"/>
    <cellStyle name="Input 2 2 3 2 3 2 5" xfId="20032" xr:uid="{00000000-0005-0000-0000-0000104A0000}"/>
    <cellStyle name="Input 2 2 3 2 3 2 5 2" xfId="20033" xr:uid="{00000000-0005-0000-0000-0000114A0000}"/>
    <cellStyle name="Input 2 2 3 2 3 2 5 3" xfId="20034" xr:uid="{00000000-0005-0000-0000-0000124A0000}"/>
    <cellStyle name="Input 2 2 3 2 3 2 6" xfId="20035" xr:uid="{00000000-0005-0000-0000-0000134A0000}"/>
    <cellStyle name="Input 2 2 3 2 3 2 6 2" xfId="20036" xr:uid="{00000000-0005-0000-0000-0000144A0000}"/>
    <cellStyle name="Input 2 2 3 2 3 2 6 3" xfId="20037" xr:uid="{00000000-0005-0000-0000-0000154A0000}"/>
    <cellStyle name="Input 2 2 3 2 3 2 7" xfId="20038" xr:uid="{00000000-0005-0000-0000-0000164A0000}"/>
    <cellStyle name="Input 2 2 3 2 3 2 7 2" xfId="20039" xr:uid="{00000000-0005-0000-0000-0000174A0000}"/>
    <cellStyle name="Input 2 2 3 2 3 2 7 3" xfId="20040" xr:uid="{00000000-0005-0000-0000-0000184A0000}"/>
    <cellStyle name="Input 2 2 3 2 3 2 8" xfId="20041" xr:uid="{00000000-0005-0000-0000-0000194A0000}"/>
    <cellStyle name="Input 2 2 3 2 3 2 9" xfId="20042" xr:uid="{00000000-0005-0000-0000-00001A4A0000}"/>
    <cellStyle name="Input 2 2 3 2 3 3" xfId="20043" xr:uid="{00000000-0005-0000-0000-00001B4A0000}"/>
    <cellStyle name="Input 2 2 3 2 3 3 2" xfId="20044" xr:uid="{00000000-0005-0000-0000-00001C4A0000}"/>
    <cellStyle name="Input 2 2 3 2 3 3 3" xfId="20045" xr:uid="{00000000-0005-0000-0000-00001D4A0000}"/>
    <cellStyle name="Input 2 2 3 2 3 4" xfId="20046" xr:uid="{00000000-0005-0000-0000-00001E4A0000}"/>
    <cellStyle name="Input 2 2 3 2 3 4 2" xfId="20047" xr:uid="{00000000-0005-0000-0000-00001F4A0000}"/>
    <cellStyle name="Input 2 2 3 2 3 4 3" xfId="20048" xr:uid="{00000000-0005-0000-0000-0000204A0000}"/>
    <cellStyle name="Input 2 2 3 2 3 5" xfId="20049" xr:uid="{00000000-0005-0000-0000-0000214A0000}"/>
    <cellStyle name="Input 2 2 3 2 3 5 2" xfId="20050" xr:uid="{00000000-0005-0000-0000-0000224A0000}"/>
    <cellStyle name="Input 2 2 3 2 3 5 3" xfId="20051" xr:uid="{00000000-0005-0000-0000-0000234A0000}"/>
    <cellStyle name="Input 2 2 3 2 3 6" xfId="20052" xr:uid="{00000000-0005-0000-0000-0000244A0000}"/>
    <cellStyle name="Input 2 2 3 2 3 6 2" xfId="20053" xr:uid="{00000000-0005-0000-0000-0000254A0000}"/>
    <cellStyle name="Input 2 2 3 2 3 6 3" xfId="20054" xr:uid="{00000000-0005-0000-0000-0000264A0000}"/>
    <cellStyle name="Input 2 2 3 2 3 7" xfId="20055" xr:uid="{00000000-0005-0000-0000-0000274A0000}"/>
    <cellStyle name="Input 2 2 3 2 3 7 2" xfId="20056" xr:uid="{00000000-0005-0000-0000-0000284A0000}"/>
    <cellStyle name="Input 2 2 3 2 3 7 3" xfId="20057" xr:uid="{00000000-0005-0000-0000-0000294A0000}"/>
    <cellStyle name="Input 2 2 3 2 3 8" xfId="20058" xr:uid="{00000000-0005-0000-0000-00002A4A0000}"/>
    <cellStyle name="Input 2 2 3 2 3 8 2" xfId="20059" xr:uid="{00000000-0005-0000-0000-00002B4A0000}"/>
    <cellStyle name="Input 2 2 3 2 3 8 3" xfId="20060" xr:uid="{00000000-0005-0000-0000-00002C4A0000}"/>
    <cellStyle name="Input 2 2 3 2 3 9" xfId="20061" xr:uid="{00000000-0005-0000-0000-00002D4A0000}"/>
    <cellStyle name="Input 2 2 3 2 4" xfId="20062" xr:uid="{00000000-0005-0000-0000-00002E4A0000}"/>
    <cellStyle name="Input 2 2 3 2 4 10" xfId="20063" xr:uid="{00000000-0005-0000-0000-00002F4A0000}"/>
    <cellStyle name="Input 2 2 3 2 4 2" xfId="20064" xr:uid="{00000000-0005-0000-0000-0000304A0000}"/>
    <cellStyle name="Input 2 2 3 2 4 2 2" xfId="20065" xr:uid="{00000000-0005-0000-0000-0000314A0000}"/>
    <cellStyle name="Input 2 2 3 2 4 2 2 2" xfId="20066" xr:uid="{00000000-0005-0000-0000-0000324A0000}"/>
    <cellStyle name="Input 2 2 3 2 4 2 2 3" xfId="20067" xr:uid="{00000000-0005-0000-0000-0000334A0000}"/>
    <cellStyle name="Input 2 2 3 2 4 2 3" xfId="20068" xr:uid="{00000000-0005-0000-0000-0000344A0000}"/>
    <cellStyle name="Input 2 2 3 2 4 2 3 2" xfId="20069" xr:uid="{00000000-0005-0000-0000-0000354A0000}"/>
    <cellStyle name="Input 2 2 3 2 4 2 3 3" xfId="20070" xr:uid="{00000000-0005-0000-0000-0000364A0000}"/>
    <cellStyle name="Input 2 2 3 2 4 2 4" xfId="20071" xr:uid="{00000000-0005-0000-0000-0000374A0000}"/>
    <cellStyle name="Input 2 2 3 2 4 2 4 2" xfId="20072" xr:uid="{00000000-0005-0000-0000-0000384A0000}"/>
    <cellStyle name="Input 2 2 3 2 4 2 4 3" xfId="20073" xr:uid="{00000000-0005-0000-0000-0000394A0000}"/>
    <cellStyle name="Input 2 2 3 2 4 2 5" xfId="20074" xr:uid="{00000000-0005-0000-0000-00003A4A0000}"/>
    <cellStyle name="Input 2 2 3 2 4 2 5 2" xfId="20075" xr:uid="{00000000-0005-0000-0000-00003B4A0000}"/>
    <cellStyle name="Input 2 2 3 2 4 2 5 3" xfId="20076" xr:uid="{00000000-0005-0000-0000-00003C4A0000}"/>
    <cellStyle name="Input 2 2 3 2 4 2 6" xfId="20077" xr:uid="{00000000-0005-0000-0000-00003D4A0000}"/>
    <cellStyle name="Input 2 2 3 2 4 2 6 2" xfId="20078" xr:uid="{00000000-0005-0000-0000-00003E4A0000}"/>
    <cellStyle name="Input 2 2 3 2 4 2 6 3" xfId="20079" xr:uid="{00000000-0005-0000-0000-00003F4A0000}"/>
    <cellStyle name="Input 2 2 3 2 4 2 7" xfId="20080" xr:uid="{00000000-0005-0000-0000-0000404A0000}"/>
    <cellStyle name="Input 2 2 3 2 4 2 7 2" xfId="20081" xr:uid="{00000000-0005-0000-0000-0000414A0000}"/>
    <cellStyle name="Input 2 2 3 2 4 2 7 3" xfId="20082" xr:uid="{00000000-0005-0000-0000-0000424A0000}"/>
    <cellStyle name="Input 2 2 3 2 4 2 8" xfId="20083" xr:uid="{00000000-0005-0000-0000-0000434A0000}"/>
    <cellStyle name="Input 2 2 3 2 4 2 9" xfId="20084" xr:uid="{00000000-0005-0000-0000-0000444A0000}"/>
    <cellStyle name="Input 2 2 3 2 4 3" xfId="20085" xr:uid="{00000000-0005-0000-0000-0000454A0000}"/>
    <cellStyle name="Input 2 2 3 2 4 3 2" xfId="20086" xr:uid="{00000000-0005-0000-0000-0000464A0000}"/>
    <cellStyle name="Input 2 2 3 2 4 3 3" xfId="20087" xr:uid="{00000000-0005-0000-0000-0000474A0000}"/>
    <cellStyle name="Input 2 2 3 2 4 4" xfId="20088" xr:uid="{00000000-0005-0000-0000-0000484A0000}"/>
    <cellStyle name="Input 2 2 3 2 4 4 2" xfId="20089" xr:uid="{00000000-0005-0000-0000-0000494A0000}"/>
    <cellStyle name="Input 2 2 3 2 4 4 3" xfId="20090" xr:uid="{00000000-0005-0000-0000-00004A4A0000}"/>
    <cellStyle name="Input 2 2 3 2 4 5" xfId="20091" xr:uid="{00000000-0005-0000-0000-00004B4A0000}"/>
    <cellStyle name="Input 2 2 3 2 4 5 2" xfId="20092" xr:uid="{00000000-0005-0000-0000-00004C4A0000}"/>
    <cellStyle name="Input 2 2 3 2 4 5 3" xfId="20093" xr:uid="{00000000-0005-0000-0000-00004D4A0000}"/>
    <cellStyle name="Input 2 2 3 2 4 6" xfId="20094" xr:uid="{00000000-0005-0000-0000-00004E4A0000}"/>
    <cellStyle name="Input 2 2 3 2 4 6 2" xfId="20095" xr:uid="{00000000-0005-0000-0000-00004F4A0000}"/>
    <cellStyle name="Input 2 2 3 2 4 6 3" xfId="20096" xr:uid="{00000000-0005-0000-0000-0000504A0000}"/>
    <cellStyle name="Input 2 2 3 2 4 7" xfId="20097" xr:uid="{00000000-0005-0000-0000-0000514A0000}"/>
    <cellStyle name="Input 2 2 3 2 4 7 2" xfId="20098" xr:uid="{00000000-0005-0000-0000-0000524A0000}"/>
    <cellStyle name="Input 2 2 3 2 4 7 3" xfId="20099" xr:uid="{00000000-0005-0000-0000-0000534A0000}"/>
    <cellStyle name="Input 2 2 3 2 4 8" xfId="20100" xr:uid="{00000000-0005-0000-0000-0000544A0000}"/>
    <cellStyle name="Input 2 2 3 2 4 8 2" xfId="20101" xr:uid="{00000000-0005-0000-0000-0000554A0000}"/>
    <cellStyle name="Input 2 2 3 2 4 8 3" xfId="20102" xr:uid="{00000000-0005-0000-0000-0000564A0000}"/>
    <cellStyle name="Input 2 2 3 2 4 9" xfId="20103" xr:uid="{00000000-0005-0000-0000-0000574A0000}"/>
    <cellStyle name="Input 2 2 3 2 5" xfId="20104" xr:uid="{00000000-0005-0000-0000-0000584A0000}"/>
    <cellStyle name="Input 2 2 3 2 5 2" xfId="20105" xr:uid="{00000000-0005-0000-0000-0000594A0000}"/>
    <cellStyle name="Input 2 2 3 2 5 2 2" xfId="20106" xr:uid="{00000000-0005-0000-0000-00005A4A0000}"/>
    <cellStyle name="Input 2 2 3 2 5 2 3" xfId="20107" xr:uid="{00000000-0005-0000-0000-00005B4A0000}"/>
    <cellStyle name="Input 2 2 3 2 5 3" xfId="20108" xr:uid="{00000000-0005-0000-0000-00005C4A0000}"/>
    <cellStyle name="Input 2 2 3 2 5 3 2" xfId="20109" xr:uid="{00000000-0005-0000-0000-00005D4A0000}"/>
    <cellStyle name="Input 2 2 3 2 5 3 3" xfId="20110" xr:uid="{00000000-0005-0000-0000-00005E4A0000}"/>
    <cellStyle name="Input 2 2 3 2 5 4" xfId="20111" xr:uid="{00000000-0005-0000-0000-00005F4A0000}"/>
    <cellStyle name="Input 2 2 3 2 5 4 2" xfId="20112" xr:uid="{00000000-0005-0000-0000-0000604A0000}"/>
    <cellStyle name="Input 2 2 3 2 5 4 3" xfId="20113" xr:uid="{00000000-0005-0000-0000-0000614A0000}"/>
    <cellStyle name="Input 2 2 3 2 5 5" xfId="20114" xr:uid="{00000000-0005-0000-0000-0000624A0000}"/>
    <cellStyle name="Input 2 2 3 2 5 5 2" xfId="20115" xr:uid="{00000000-0005-0000-0000-0000634A0000}"/>
    <cellStyle name="Input 2 2 3 2 5 5 3" xfId="20116" xr:uid="{00000000-0005-0000-0000-0000644A0000}"/>
    <cellStyle name="Input 2 2 3 2 5 6" xfId="20117" xr:uid="{00000000-0005-0000-0000-0000654A0000}"/>
    <cellStyle name="Input 2 2 3 2 5 6 2" xfId="20118" xr:uid="{00000000-0005-0000-0000-0000664A0000}"/>
    <cellStyle name="Input 2 2 3 2 5 6 3" xfId="20119" xr:uid="{00000000-0005-0000-0000-0000674A0000}"/>
    <cellStyle name="Input 2 2 3 2 5 7" xfId="20120" xr:uid="{00000000-0005-0000-0000-0000684A0000}"/>
    <cellStyle name="Input 2 2 3 2 5 7 2" xfId="20121" xr:uid="{00000000-0005-0000-0000-0000694A0000}"/>
    <cellStyle name="Input 2 2 3 2 5 7 3" xfId="20122" xr:uid="{00000000-0005-0000-0000-00006A4A0000}"/>
    <cellStyle name="Input 2 2 3 2 5 8" xfId="20123" xr:uid="{00000000-0005-0000-0000-00006B4A0000}"/>
    <cellStyle name="Input 2 2 3 2 5 9" xfId="20124" xr:uid="{00000000-0005-0000-0000-00006C4A0000}"/>
    <cellStyle name="Input 2 2 3 2 6" xfId="20125" xr:uid="{00000000-0005-0000-0000-00006D4A0000}"/>
    <cellStyle name="Input 2 2 3 2 6 2" xfId="20126" xr:uid="{00000000-0005-0000-0000-00006E4A0000}"/>
    <cellStyle name="Input 2 2 3 2 6 3" xfId="20127" xr:uid="{00000000-0005-0000-0000-00006F4A0000}"/>
    <cellStyle name="Input 2 2 3 2 7" xfId="20128" xr:uid="{00000000-0005-0000-0000-0000704A0000}"/>
    <cellStyle name="Input 2 2 3 2 7 2" xfId="20129" xr:uid="{00000000-0005-0000-0000-0000714A0000}"/>
    <cellStyle name="Input 2 2 3 2 7 3" xfId="20130" xr:uid="{00000000-0005-0000-0000-0000724A0000}"/>
    <cellStyle name="Input 2 2 3 2 8" xfId="20131" xr:uid="{00000000-0005-0000-0000-0000734A0000}"/>
    <cellStyle name="Input 2 2 3 2 8 2" xfId="20132" xr:uid="{00000000-0005-0000-0000-0000744A0000}"/>
    <cellStyle name="Input 2 2 3 2 8 3" xfId="20133" xr:uid="{00000000-0005-0000-0000-0000754A0000}"/>
    <cellStyle name="Input 2 2 3 2 9" xfId="20134" xr:uid="{00000000-0005-0000-0000-0000764A0000}"/>
    <cellStyle name="Input 2 2 3 2 9 2" xfId="20135" xr:uid="{00000000-0005-0000-0000-0000774A0000}"/>
    <cellStyle name="Input 2 2 3 2 9 3" xfId="20136" xr:uid="{00000000-0005-0000-0000-0000784A0000}"/>
    <cellStyle name="Input 2 2 3 3" xfId="20137" xr:uid="{00000000-0005-0000-0000-0000794A0000}"/>
    <cellStyle name="Input 2 2 3 3 10" xfId="44062" xr:uid="{00000000-0005-0000-0000-00007A4A0000}"/>
    <cellStyle name="Input 2 2 3 3 2" xfId="20138" xr:uid="{00000000-0005-0000-0000-00007B4A0000}"/>
    <cellStyle name="Input 2 2 3 3 2 10" xfId="20139" xr:uid="{00000000-0005-0000-0000-00007C4A0000}"/>
    <cellStyle name="Input 2 2 3 3 2 2" xfId="20140" xr:uid="{00000000-0005-0000-0000-00007D4A0000}"/>
    <cellStyle name="Input 2 2 3 3 2 2 2" xfId="20141" xr:uid="{00000000-0005-0000-0000-00007E4A0000}"/>
    <cellStyle name="Input 2 2 3 3 2 2 2 2" xfId="20142" xr:uid="{00000000-0005-0000-0000-00007F4A0000}"/>
    <cellStyle name="Input 2 2 3 3 2 2 2 3" xfId="20143" xr:uid="{00000000-0005-0000-0000-0000804A0000}"/>
    <cellStyle name="Input 2 2 3 3 2 2 3" xfId="20144" xr:uid="{00000000-0005-0000-0000-0000814A0000}"/>
    <cellStyle name="Input 2 2 3 3 2 2 3 2" xfId="20145" xr:uid="{00000000-0005-0000-0000-0000824A0000}"/>
    <cellStyle name="Input 2 2 3 3 2 2 3 3" xfId="20146" xr:uid="{00000000-0005-0000-0000-0000834A0000}"/>
    <cellStyle name="Input 2 2 3 3 2 2 4" xfId="20147" xr:uid="{00000000-0005-0000-0000-0000844A0000}"/>
    <cellStyle name="Input 2 2 3 3 2 2 4 2" xfId="20148" xr:uid="{00000000-0005-0000-0000-0000854A0000}"/>
    <cellStyle name="Input 2 2 3 3 2 2 4 3" xfId="20149" xr:uid="{00000000-0005-0000-0000-0000864A0000}"/>
    <cellStyle name="Input 2 2 3 3 2 2 5" xfId="20150" xr:uid="{00000000-0005-0000-0000-0000874A0000}"/>
    <cellStyle name="Input 2 2 3 3 2 2 5 2" xfId="20151" xr:uid="{00000000-0005-0000-0000-0000884A0000}"/>
    <cellStyle name="Input 2 2 3 3 2 2 5 3" xfId="20152" xr:uid="{00000000-0005-0000-0000-0000894A0000}"/>
    <cellStyle name="Input 2 2 3 3 2 2 6" xfId="20153" xr:uid="{00000000-0005-0000-0000-00008A4A0000}"/>
    <cellStyle name="Input 2 2 3 3 2 2 6 2" xfId="20154" xr:uid="{00000000-0005-0000-0000-00008B4A0000}"/>
    <cellStyle name="Input 2 2 3 3 2 2 6 3" xfId="20155" xr:uid="{00000000-0005-0000-0000-00008C4A0000}"/>
    <cellStyle name="Input 2 2 3 3 2 2 7" xfId="20156" xr:uid="{00000000-0005-0000-0000-00008D4A0000}"/>
    <cellStyle name="Input 2 2 3 3 2 2 7 2" xfId="20157" xr:uid="{00000000-0005-0000-0000-00008E4A0000}"/>
    <cellStyle name="Input 2 2 3 3 2 2 7 3" xfId="20158" xr:uid="{00000000-0005-0000-0000-00008F4A0000}"/>
    <cellStyle name="Input 2 2 3 3 2 2 8" xfId="20159" xr:uid="{00000000-0005-0000-0000-0000904A0000}"/>
    <cellStyle name="Input 2 2 3 3 2 2 9" xfId="20160" xr:uid="{00000000-0005-0000-0000-0000914A0000}"/>
    <cellStyle name="Input 2 2 3 3 2 3" xfId="20161" xr:uid="{00000000-0005-0000-0000-0000924A0000}"/>
    <cellStyle name="Input 2 2 3 3 2 3 2" xfId="20162" xr:uid="{00000000-0005-0000-0000-0000934A0000}"/>
    <cellStyle name="Input 2 2 3 3 2 3 3" xfId="20163" xr:uid="{00000000-0005-0000-0000-0000944A0000}"/>
    <cellStyle name="Input 2 2 3 3 2 4" xfId="20164" xr:uid="{00000000-0005-0000-0000-0000954A0000}"/>
    <cellStyle name="Input 2 2 3 3 2 4 2" xfId="20165" xr:uid="{00000000-0005-0000-0000-0000964A0000}"/>
    <cellStyle name="Input 2 2 3 3 2 4 3" xfId="20166" xr:uid="{00000000-0005-0000-0000-0000974A0000}"/>
    <cellStyle name="Input 2 2 3 3 2 5" xfId="20167" xr:uid="{00000000-0005-0000-0000-0000984A0000}"/>
    <cellStyle name="Input 2 2 3 3 2 5 2" xfId="20168" xr:uid="{00000000-0005-0000-0000-0000994A0000}"/>
    <cellStyle name="Input 2 2 3 3 2 5 3" xfId="20169" xr:uid="{00000000-0005-0000-0000-00009A4A0000}"/>
    <cellStyle name="Input 2 2 3 3 2 6" xfId="20170" xr:uid="{00000000-0005-0000-0000-00009B4A0000}"/>
    <cellStyle name="Input 2 2 3 3 2 6 2" xfId="20171" xr:uid="{00000000-0005-0000-0000-00009C4A0000}"/>
    <cellStyle name="Input 2 2 3 3 2 6 3" xfId="20172" xr:uid="{00000000-0005-0000-0000-00009D4A0000}"/>
    <cellStyle name="Input 2 2 3 3 2 7" xfId="20173" xr:uid="{00000000-0005-0000-0000-00009E4A0000}"/>
    <cellStyle name="Input 2 2 3 3 2 7 2" xfId="20174" xr:uid="{00000000-0005-0000-0000-00009F4A0000}"/>
    <cellStyle name="Input 2 2 3 3 2 7 3" xfId="20175" xr:uid="{00000000-0005-0000-0000-0000A04A0000}"/>
    <cellStyle name="Input 2 2 3 3 2 8" xfId="20176" xr:uid="{00000000-0005-0000-0000-0000A14A0000}"/>
    <cellStyle name="Input 2 2 3 3 2 8 2" xfId="20177" xr:uid="{00000000-0005-0000-0000-0000A24A0000}"/>
    <cellStyle name="Input 2 2 3 3 2 8 3" xfId="20178" xr:uid="{00000000-0005-0000-0000-0000A34A0000}"/>
    <cellStyle name="Input 2 2 3 3 2 9" xfId="20179" xr:uid="{00000000-0005-0000-0000-0000A44A0000}"/>
    <cellStyle name="Input 2 2 3 3 3" xfId="20180" xr:uid="{00000000-0005-0000-0000-0000A54A0000}"/>
    <cellStyle name="Input 2 2 3 3 3 10" xfId="20181" xr:uid="{00000000-0005-0000-0000-0000A64A0000}"/>
    <cellStyle name="Input 2 2 3 3 3 2" xfId="20182" xr:uid="{00000000-0005-0000-0000-0000A74A0000}"/>
    <cellStyle name="Input 2 2 3 3 3 2 2" xfId="20183" xr:uid="{00000000-0005-0000-0000-0000A84A0000}"/>
    <cellStyle name="Input 2 2 3 3 3 2 2 2" xfId="20184" xr:uid="{00000000-0005-0000-0000-0000A94A0000}"/>
    <cellStyle name="Input 2 2 3 3 3 2 2 3" xfId="20185" xr:uid="{00000000-0005-0000-0000-0000AA4A0000}"/>
    <cellStyle name="Input 2 2 3 3 3 2 3" xfId="20186" xr:uid="{00000000-0005-0000-0000-0000AB4A0000}"/>
    <cellStyle name="Input 2 2 3 3 3 2 3 2" xfId="20187" xr:uid="{00000000-0005-0000-0000-0000AC4A0000}"/>
    <cellStyle name="Input 2 2 3 3 3 2 3 3" xfId="20188" xr:uid="{00000000-0005-0000-0000-0000AD4A0000}"/>
    <cellStyle name="Input 2 2 3 3 3 2 4" xfId="20189" xr:uid="{00000000-0005-0000-0000-0000AE4A0000}"/>
    <cellStyle name="Input 2 2 3 3 3 2 4 2" xfId="20190" xr:uid="{00000000-0005-0000-0000-0000AF4A0000}"/>
    <cellStyle name="Input 2 2 3 3 3 2 4 3" xfId="20191" xr:uid="{00000000-0005-0000-0000-0000B04A0000}"/>
    <cellStyle name="Input 2 2 3 3 3 2 5" xfId="20192" xr:uid="{00000000-0005-0000-0000-0000B14A0000}"/>
    <cellStyle name="Input 2 2 3 3 3 2 5 2" xfId="20193" xr:uid="{00000000-0005-0000-0000-0000B24A0000}"/>
    <cellStyle name="Input 2 2 3 3 3 2 5 3" xfId="20194" xr:uid="{00000000-0005-0000-0000-0000B34A0000}"/>
    <cellStyle name="Input 2 2 3 3 3 2 6" xfId="20195" xr:uid="{00000000-0005-0000-0000-0000B44A0000}"/>
    <cellStyle name="Input 2 2 3 3 3 2 6 2" xfId="20196" xr:uid="{00000000-0005-0000-0000-0000B54A0000}"/>
    <cellStyle name="Input 2 2 3 3 3 2 6 3" xfId="20197" xr:uid="{00000000-0005-0000-0000-0000B64A0000}"/>
    <cellStyle name="Input 2 2 3 3 3 2 7" xfId="20198" xr:uid="{00000000-0005-0000-0000-0000B74A0000}"/>
    <cellStyle name="Input 2 2 3 3 3 2 7 2" xfId="20199" xr:uid="{00000000-0005-0000-0000-0000B84A0000}"/>
    <cellStyle name="Input 2 2 3 3 3 2 7 3" xfId="20200" xr:uid="{00000000-0005-0000-0000-0000B94A0000}"/>
    <cellStyle name="Input 2 2 3 3 3 2 8" xfId="20201" xr:uid="{00000000-0005-0000-0000-0000BA4A0000}"/>
    <cellStyle name="Input 2 2 3 3 3 2 9" xfId="20202" xr:uid="{00000000-0005-0000-0000-0000BB4A0000}"/>
    <cellStyle name="Input 2 2 3 3 3 3" xfId="20203" xr:uid="{00000000-0005-0000-0000-0000BC4A0000}"/>
    <cellStyle name="Input 2 2 3 3 3 3 2" xfId="20204" xr:uid="{00000000-0005-0000-0000-0000BD4A0000}"/>
    <cellStyle name="Input 2 2 3 3 3 3 3" xfId="20205" xr:uid="{00000000-0005-0000-0000-0000BE4A0000}"/>
    <cellStyle name="Input 2 2 3 3 3 4" xfId="20206" xr:uid="{00000000-0005-0000-0000-0000BF4A0000}"/>
    <cellStyle name="Input 2 2 3 3 3 4 2" xfId="20207" xr:uid="{00000000-0005-0000-0000-0000C04A0000}"/>
    <cellStyle name="Input 2 2 3 3 3 4 3" xfId="20208" xr:uid="{00000000-0005-0000-0000-0000C14A0000}"/>
    <cellStyle name="Input 2 2 3 3 3 5" xfId="20209" xr:uid="{00000000-0005-0000-0000-0000C24A0000}"/>
    <cellStyle name="Input 2 2 3 3 3 5 2" xfId="20210" xr:uid="{00000000-0005-0000-0000-0000C34A0000}"/>
    <cellStyle name="Input 2 2 3 3 3 5 3" xfId="20211" xr:uid="{00000000-0005-0000-0000-0000C44A0000}"/>
    <cellStyle name="Input 2 2 3 3 3 6" xfId="20212" xr:uid="{00000000-0005-0000-0000-0000C54A0000}"/>
    <cellStyle name="Input 2 2 3 3 3 6 2" xfId="20213" xr:uid="{00000000-0005-0000-0000-0000C64A0000}"/>
    <cellStyle name="Input 2 2 3 3 3 6 3" xfId="20214" xr:uid="{00000000-0005-0000-0000-0000C74A0000}"/>
    <cellStyle name="Input 2 2 3 3 3 7" xfId="20215" xr:uid="{00000000-0005-0000-0000-0000C84A0000}"/>
    <cellStyle name="Input 2 2 3 3 3 7 2" xfId="20216" xr:uid="{00000000-0005-0000-0000-0000C94A0000}"/>
    <cellStyle name="Input 2 2 3 3 3 7 3" xfId="20217" xr:uid="{00000000-0005-0000-0000-0000CA4A0000}"/>
    <cellStyle name="Input 2 2 3 3 3 8" xfId="20218" xr:uid="{00000000-0005-0000-0000-0000CB4A0000}"/>
    <cellStyle name="Input 2 2 3 3 3 8 2" xfId="20219" xr:uid="{00000000-0005-0000-0000-0000CC4A0000}"/>
    <cellStyle name="Input 2 2 3 3 3 8 3" xfId="20220" xr:uid="{00000000-0005-0000-0000-0000CD4A0000}"/>
    <cellStyle name="Input 2 2 3 3 3 9" xfId="20221" xr:uid="{00000000-0005-0000-0000-0000CE4A0000}"/>
    <cellStyle name="Input 2 2 3 3 4" xfId="20222" xr:uid="{00000000-0005-0000-0000-0000CF4A0000}"/>
    <cellStyle name="Input 2 2 3 3 4 10" xfId="20223" xr:uid="{00000000-0005-0000-0000-0000D04A0000}"/>
    <cellStyle name="Input 2 2 3 3 4 2" xfId="20224" xr:uid="{00000000-0005-0000-0000-0000D14A0000}"/>
    <cellStyle name="Input 2 2 3 3 4 2 2" xfId="20225" xr:uid="{00000000-0005-0000-0000-0000D24A0000}"/>
    <cellStyle name="Input 2 2 3 3 4 2 2 2" xfId="20226" xr:uid="{00000000-0005-0000-0000-0000D34A0000}"/>
    <cellStyle name="Input 2 2 3 3 4 2 2 3" xfId="20227" xr:uid="{00000000-0005-0000-0000-0000D44A0000}"/>
    <cellStyle name="Input 2 2 3 3 4 2 3" xfId="20228" xr:uid="{00000000-0005-0000-0000-0000D54A0000}"/>
    <cellStyle name="Input 2 2 3 3 4 2 3 2" xfId="20229" xr:uid="{00000000-0005-0000-0000-0000D64A0000}"/>
    <cellStyle name="Input 2 2 3 3 4 2 3 3" xfId="20230" xr:uid="{00000000-0005-0000-0000-0000D74A0000}"/>
    <cellStyle name="Input 2 2 3 3 4 2 4" xfId="20231" xr:uid="{00000000-0005-0000-0000-0000D84A0000}"/>
    <cellStyle name="Input 2 2 3 3 4 2 4 2" xfId="20232" xr:uid="{00000000-0005-0000-0000-0000D94A0000}"/>
    <cellStyle name="Input 2 2 3 3 4 2 4 3" xfId="20233" xr:uid="{00000000-0005-0000-0000-0000DA4A0000}"/>
    <cellStyle name="Input 2 2 3 3 4 2 5" xfId="20234" xr:uid="{00000000-0005-0000-0000-0000DB4A0000}"/>
    <cellStyle name="Input 2 2 3 3 4 2 5 2" xfId="20235" xr:uid="{00000000-0005-0000-0000-0000DC4A0000}"/>
    <cellStyle name="Input 2 2 3 3 4 2 5 3" xfId="20236" xr:uid="{00000000-0005-0000-0000-0000DD4A0000}"/>
    <cellStyle name="Input 2 2 3 3 4 2 6" xfId="20237" xr:uid="{00000000-0005-0000-0000-0000DE4A0000}"/>
    <cellStyle name="Input 2 2 3 3 4 2 6 2" xfId="20238" xr:uid="{00000000-0005-0000-0000-0000DF4A0000}"/>
    <cellStyle name="Input 2 2 3 3 4 2 6 3" xfId="20239" xr:uid="{00000000-0005-0000-0000-0000E04A0000}"/>
    <cellStyle name="Input 2 2 3 3 4 2 7" xfId="20240" xr:uid="{00000000-0005-0000-0000-0000E14A0000}"/>
    <cellStyle name="Input 2 2 3 3 4 2 7 2" xfId="20241" xr:uid="{00000000-0005-0000-0000-0000E24A0000}"/>
    <cellStyle name="Input 2 2 3 3 4 2 7 3" xfId="20242" xr:uid="{00000000-0005-0000-0000-0000E34A0000}"/>
    <cellStyle name="Input 2 2 3 3 4 2 8" xfId="20243" xr:uid="{00000000-0005-0000-0000-0000E44A0000}"/>
    <cellStyle name="Input 2 2 3 3 4 2 9" xfId="20244" xr:uid="{00000000-0005-0000-0000-0000E54A0000}"/>
    <cellStyle name="Input 2 2 3 3 4 3" xfId="20245" xr:uid="{00000000-0005-0000-0000-0000E64A0000}"/>
    <cellStyle name="Input 2 2 3 3 4 3 2" xfId="20246" xr:uid="{00000000-0005-0000-0000-0000E74A0000}"/>
    <cellStyle name="Input 2 2 3 3 4 3 3" xfId="20247" xr:uid="{00000000-0005-0000-0000-0000E84A0000}"/>
    <cellStyle name="Input 2 2 3 3 4 4" xfId="20248" xr:uid="{00000000-0005-0000-0000-0000E94A0000}"/>
    <cellStyle name="Input 2 2 3 3 4 4 2" xfId="20249" xr:uid="{00000000-0005-0000-0000-0000EA4A0000}"/>
    <cellStyle name="Input 2 2 3 3 4 4 3" xfId="20250" xr:uid="{00000000-0005-0000-0000-0000EB4A0000}"/>
    <cellStyle name="Input 2 2 3 3 4 5" xfId="20251" xr:uid="{00000000-0005-0000-0000-0000EC4A0000}"/>
    <cellStyle name="Input 2 2 3 3 4 5 2" xfId="20252" xr:uid="{00000000-0005-0000-0000-0000ED4A0000}"/>
    <cellStyle name="Input 2 2 3 3 4 5 3" xfId="20253" xr:uid="{00000000-0005-0000-0000-0000EE4A0000}"/>
    <cellStyle name="Input 2 2 3 3 4 6" xfId="20254" xr:uid="{00000000-0005-0000-0000-0000EF4A0000}"/>
    <cellStyle name="Input 2 2 3 3 4 6 2" xfId="20255" xr:uid="{00000000-0005-0000-0000-0000F04A0000}"/>
    <cellStyle name="Input 2 2 3 3 4 6 3" xfId="20256" xr:uid="{00000000-0005-0000-0000-0000F14A0000}"/>
    <cellStyle name="Input 2 2 3 3 4 7" xfId="20257" xr:uid="{00000000-0005-0000-0000-0000F24A0000}"/>
    <cellStyle name="Input 2 2 3 3 4 7 2" xfId="20258" xr:uid="{00000000-0005-0000-0000-0000F34A0000}"/>
    <cellStyle name="Input 2 2 3 3 4 7 3" xfId="20259" xr:uid="{00000000-0005-0000-0000-0000F44A0000}"/>
    <cellStyle name="Input 2 2 3 3 4 8" xfId="20260" xr:uid="{00000000-0005-0000-0000-0000F54A0000}"/>
    <cellStyle name="Input 2 2 3 3 4 8 2" xfId="20261" xr:uid="{00000000-0005-0000-0000-0000F64A0000}"/>
    <cellStyle name="Input 2 2 3 3 4 8 3" xfId="20262" xr:uid="{00000000-0005-0000-0000-0000F74A0000}"/>
    <cellStyle name="Input 2 2 3 3 4 9" xfId="20263" xr:uid="{00000000-0005-0000-0000-0000F84A0000}"/>
    <cellStyle name="Input 2 2 3 3 5" xfId="20264" xr:uid="{00000000-0005-0000-0000-0000F94A0000}"/>
    <cellStyle name="Input 2 2 3 3 5 2" xfId="20265" xr:uid="{00000000-0005-0000-0000-0000FA4A0000}"/>
    <cellStyle name="Input 2 2 3 3 5 2 2" xfId="20266" xr:uid="{00000000-0005-0000-0000-0000FB4A0000}"/>
    <cellStyle name="Input 2 2 3 3 5 2 3" xfId="20267" xr:uid="{00000000-0005-0000-0000-0000FC4A0000}"/>
    <cellStyle name="Input 2 2 3 3 5 3" xfId="20268" xr:uid="{00000000-0005-0000-0000-0000FD4A0000}"/>
    <cellStyle name="Input 2 2 3 3 5 3 2" xfId="20269" xr:uid="{00000000-0005-0000-0000-0000FE4A0000}"/>
    <cellStyle name="Input 2 2 3 3 5 3 3" xfId="20270" xr:uid="{00000000-0005-0000-0000-0000FF4A0000}"/>
    <cellStyle name="Input 2 2 3 3 5 4" xfId="20271" xr:uid="{00000000-0005-0000-0000-0000004B0000}"/>
    <cellStyle name="Input 2 2 3 3 5 4 2" xfId="20272" xr:uid="{00000000-0005-0000-0000-0000014B0000}"/>
    <cellStyle name="Input 2 2 3 3 5 4 3" xfId="20273" xr:uid="{00000000-0005-0000-0000-0000024B0000}"/>
    <cellStyle name="Input 2 2 3 3 5 5" xfId="20274" xr:uid="{00000000-0005-0000-0000-0000034B0000}"/>
    <cellStyle name="Input 2 2 3 3 5 5 2" xfId="20275" xr:uid="{00000000-0005-0000-0000-0000044B0000}"/>
    <cellStyle name="Input 2 2 3 3 5 5 3" xfId="20276" xr:uid="{00000000-0005-0000-0000-0000054B0000}"/>
    <cellStyle name="Input 2 2 3 3 5 6" xfId="20277" xr:uid="{00000000-0005-0000-0000-0000064B0000}"/>
    <cellStyle name="Input 2 2 3 3 5 6 2" xfId="20278" xr:uid="{00000000-0005-0000-0000-0000074B0000}"/>
    <cellStyle name="Input 2 2 3 3 5 6 3" xfId="20279" xr:uid="{00000000-0005-0000-0000-0000084B0000}"/>
    <cellStyle name="Input 2 2 3 3 5 7" xfId="20280" xr:uid="{00000000-0005-0000-0000-0000094B0000}"/>
    <cellStyle name="Input 2 2 3 3 5 7 2" xfId="20281" xr:uid="{00000000-0005-0000-0000-00000A4B0000}"/>
    <cellStyle name="Input 2 2 3 3 5 7 3" xfId="20282" xr:uid="{00000000-0005-0000-0000-00000B4B0000}"/>
    <cellStyle name="Input 2 2 3 3 5 8" xfId="20283" xr:uid="{00000000-0005-0000-0000-00000C4B0000}"/>
    <cellStyle name="Input 2 2 3 3 5 9" xfId="20284" xr:uid="{00000000-0005-0000-0000-00000D4B0000}"/>
    <cellStyle name="Input 2 2 3 3 6" xfId="20285" xr:uid="{00000000-0005-0000-0000-00000E4B0000}"/>
    <cellStyle name="Input 2 2 3 3 6 2" xfId="20286" xr:uid="{00000000-0005-0000-0000-00000F4B0000}"/>
    <cellStyle name="Input 2 2 3 3 6 3" xfId="20287" xr:uid="{00000000-0005-0000-0000-0000104B0000}"/>
    <cellStyle name="Input 2 2 3 3 7" xfId="20288" xr:uid="{00000000-0005-0000-0000-0000114B0000}"/>
    <cellStyle name="Input 2 2 3 3 7 2" xfId="20289" xr:uid="{00000000-0005-0000-0000-0000124B0000}"/>
    <cellStyle name="Input 2 2 3 3 7 3" xfId="20290" xr:uid="{00000000-0005-0000-0000-0000134B0000}"/>
    <cellStyle name="Input 2 2 3 3 8" xfId="20291" xr:uid="{00000000-0005-0000-0000-0000144B0000}"/>
    <cellStyle name="Input 2 2 3 3 8 2" xfId="20292" xr:uid="{00000000-0005-0000-0000-0000154B0000}"/>
    <cellStyle name="Input 2 2 3 3 8 3" xfId="20293" xr:uid="{00000000-0005-0000-0000-0000164B0000}"/>
    <cellStyle name="Input 2 2 3 3 9" xfId="20294" xr:uid="{00000000-0005-0000-0000-0000174B0000}"/>
    <cellStyle name="Input 2 2 3 3 9 2" xfId="20295" xr:uid="{00000000-0005-0000-0000-0000184B0000}"/>
    <cellStyle name="Input 2 2 3 3 9 3" xfId="20296" xr:uid="{00000000-0005-0000-0000-0000194B0000}"/>
    <cellStyle name="Input 2 2 3 4" xfId="20297" xr:uid="{00000000-0005-0000-0000-00001A4B0000}"/>
    <cellStyle name="Input 2 2 3 4 10" xfId="44063" xr:uid="{00000000-0005-0000-0000-00001B4B0000}"/>
    <cellStyle name="Input 2 2 3 4 2" xfId="20298" xr:uid="{00000000-0005-0000-0000-00001C4B0000}"/>
    <cellStyle name="Input 2 2 3 4 2 10" xfId="20299" xr:uid="{00000000-0005-0000-0000-00001D4B0000}"/>
    <cellStyle name="Input 2 2 3 4 2 2" xfId="20300" xr:uid="{00000000-0005-0000-0000-00001E4B0000}"/>
    <cellStyle name="Input 2 2 3 4 2 2 2" xfId="20301" xr:uid="{00000000-0005-0000-0000-00001F4B0000}"/>
    <cellStyle name="Input 2 2 3 4 2 2 2 2" xfId="20302" xr:uid="{00000000-0005-0000-0000-0000204B0000}"/>
    <cellStyle name="Input 2 2 3 4 2 2 2 3" xfId="20303" xr:uid="{00000000-0005-0000-0000-0000214B0000}"/>
    <cellStyle name="Input 2 2 3 4 2 2 3" xfId="20304" xr:uid="{00000000-0005-0000-0000-0000224B0000}"/>
    <cellStyle name="Input 2 2 3 4 2 2 3 2" xfId="20305" xr:uid="{00000000-0005-0000-0000-0000234B0000}"/>
    <cellStyle name="Input 2 2 3 4 2 2 3 3" xfId="20306" xr:uid="{00000000-0005-0000-0000-0000244B0000}"/>
    <cellStyle name="Input 2 2 3 4 2 2 4" xfId="20307" xr:uid="{00000000-0005-0000-0000-0000254B0000}"/>
    <cellStyle name="Input 2 2 3 4 2 2 4 2" xfId="20308" xr:uid="{00000000-0005-0000-0000-0000264B0000}"/>
    <cellStyle name="Input 2 2 3 4 2 2 4 3" xfId="20309" xr:uid="{00000000-0005-0000-0000-0000274B0000}"/>
    <cellStyle name="Input 2 2 3 4 2 2 5" xfId="20310" xr:uid="{00000000-0005-0000-0000-0000284B0000}"/>
    <cellStyle name="Input 2 2 3 4 2 2 5 2" xfId="20311" xr:uid="{00000000-0005-0000-0000-0000294B0000}"/>
    <cellStyle name="Input 2 2 3 4 2 2 5 3" xfId="20312" xr:uid="{00000000-0005-0000-0000-00002A4B0000}"/>
    <cellStyle name="Input 2 2 3 4 2 2 6" xfId="20313" xr:uid="{00000000-0005-0000-0000-00002B4B0000}"/>
    <cellStyle name="Input 2 2 3 4 2 2 6 2" xfId="20314" xr:uid="{00000000-0005-0000-0000-00002C4B0000}"/>
    <cellStyle name="Input 2 2 3 4 2 2 6 3" xfId="20315" xr:uid="{00000000-0005-0000-0000-00002D4B0000}"/>
    <cellStyle name="Input 2 2 3 4 2 2 7" xfId="20316" xr:uid="{00000000-0005-0000-0000-00002E4B0000}"/>
    <cellStyle name="Input 2 2 3 4 2 2 7 2" xfId="20317" xr:uid="{00000000-0005-0000-0000-00002F4B0000}"/>
    <cellStyle name="Input 2 2 3 4 2 2 7 3" xfId="20318" xr:uid="{00000000-0005-0000-0000-0000304B0000}"/>
    <cellStyle name="Input 2 2 3 4 2 2 8" xfId="20319" xr:uid="{00000000-0005-0000-0000-0000314B0000}"/>
    <cellStyle name="Input 2 2 3 4 2 2 9" xfId="20320" xr:uid="{00000000-0005-0000-0000-0000324B0000}"/>
    <cellStyle name="Input 2 2 3 4 2 3" xfId="20321" xr:uid="{00000000-0005-0000-0000-0000334B0000}"/>
    <cellStyle name="Input 2 2 3 4 2 3 2" xfId="20322" xr:uid="{00000000-0005-0000-0000-0000344B0000}"/>
    <cellStyle name="Input 2 2 3 4 2 3 3" xfId="20323" xr:uid="{00000000-0005-0000-0000-0000354B0000}"/>
    <cellStyle name="Input 2 2 3 4 2 4" xfId="20324" xr:uid="{00000000-0005-0000-0000-0000364B0000}"/>
    <cellStyle name="Input 2 2 3 4 2 4 2" xfId="20325" xr:uid="{00000000-0005-0000-0000-0000374B0000}"/>
    <cellStyle name="Input 2 2 3 4 2 4 3" xfId="20326" xr:uid="{00000000-0005-0000-0000-0000384B0000}"/>
    <cellStyle name="Input 2 2 3 4 2 5" xfId="20327" xr:uid="{00000000-0005-0000-0000-0000394B0000}"/>
    <cellStyle name="Input 2 2 3 4 2 5 2" xfId="20328" xr:uid="{00000000-0005-0000-0000-00003A4B0000}"/>
    <cellStyle name="Input 2 2 3 4 2 5 3" xfId="20329" xr:uid="{00000000-0005-0000-0000-00003B4B0000}"/>
    <cellStyle name="Input 2 2 3 4 2 6" xfId="20330" xr:uid="{00000000-0005-0000-0000-00003C4B0000}"/>
    <cellStyle name="Input 2 2 3 4 2 6 2" xfId="20331" xr:uid="{00000000-0005-0000-0000-00003D4B0000}"/>
    <cellStyle name="Input 2 2 3 4 2 6 3" xfId="20332" xr:uid="{00000000-0005-0000-0000-00003E4B0000}"/>
    <cellStyle name="Input 2 2 3 4 2 7" xfId="20333" xr:uid="{00000000-0005-0000-0000-00003F4B0000}"/>
    <cellStyle name="Input 2 2 3 4 2 7 2" xfId="20334" xr:uid="{00000000-0005-0000-0000-0000404B0000}"/>
    <cellStyle name="Input 2 2 3 4 2 7 3" xfId="20335" xr:uid="{00000000-0005-0000-0000-0000414B0000}"/>
    <cellStyle name="Input 2 2 3 4 2 8" xfId="20336" xr:uid="{00000000-0005-0000-0000-0000424B0000}"/>
    <cellStyle name="Input 2 2 3 4 2 8 2" xfId="20337" xr:uid="{00000000-0005-0000-0000-0000434B0000}"/>
    <cellStyle name="Input 2 2 3 4 2 8 3" xfId="20338" xr:uid="{00000000-0005-0000-0000-0000444B0000}"/>
    <cellStyle name="Input 2 2 3 4 2 9" xfId="20339" xr:uid="{00000000-0005-0000-0000-0000454B0000}"/>
    <cellStyle name="Input 2 2 3 4 3" xfId="20340" xr:uid="{00000000-0005-0000-0000-0000464B0000}"/>
    <cellStyle name="Input 2 2 3 4 3 10" xfId="20341" xr:uid="{00000000-0005-0000-0000-0000474B0000}"/>
    <cellStyle name="Input 2 2 3 4 3 2" xfId="20342" xr:uid="{00000000-0005-0000-0000-0000484B0000}"/>
    <cellStyle name="Input 2 2 3 4 3 2 2" xfId="20343" xr:uid="{00000000-0005-0000-0000-0000494B0000}"/>
    <cellStyle name="Input 2 2 3 4 3 2 2 2" xfId="20344" xr:uid="{00000000-0005-0000-0000-00004A4B0000}"/>
    <cellStyle name="Input 2 2 3 4 3 2 2 3" xfId="20345" xr:uid="{00000000-0005-0000-0000-00004B4B0000}"/>
    <cellStyle name="Input 2 2 3 4 3 2 3" xfId="20346" xr:uid="{00000000-0005-0000-0000-00004C4B0000}"/>
    <cellStyle name="Input 2 2 3 4 3 2 3 2" xfId="20347" xr:uid="{00000000-0005-0000-0000-00004D4B0000}"/>
    <cellStyle name="Input 2 2 3 4 3 2 3 3" xfId="20348" xr:uid="{00000000-0005-0000-0000-00004E4B0000}"/>
    <cellStyle name="Input 2 2 3 4 3 2 4" xfId="20349" xr:uid="{00000000-0005-0000-0000-00004F4B0000}"/>
    <cellStyle name="Input 2 2 3 4 3 2 4 2" xfId="20350" xr:uid="{00000000-0005-0000-0000-0000504B0000}"/>
    <cellStyle name="Input 2 2 3 4 3 2 4 3" xfId="20351" xr:uid="{00000000-0005-0000-0000-0000514B0000}"/>
    <cellStyle name="Input 2 2 3 4 3 2 5" xfId="20352" xr:uid="{00000000-0005-0000-0000-0000524B0000}"/>
    <cellStyle name="Input 2 2 3 4 3 2 5 2" xfId="20353" xr:uid="{00000000-0005-0000-0000-0000534B0000}"/>
    <cellStyle name="Input 2 2 3 4 3 2 5 3" xfId="20354" xr:uid="{00000000-0005-0000-0000-0000544B0000}"/>
    <cellStyle name="Input 2 2 3 4 3 2 6" xfId="20355" xr:uid="{00000000-0005-0000-0000-0000554B0000}"/>
    <cellStyle name="Input 2 2 3 4 3 2 6 2" xfId="20356" xr:uid="{00000000-0005-0000-0000-0000564B0000}"/>
    <cellStyle name="Input 2 2 3 4 3 2 6 3" xfId="20357" xr:uid="{00000000-0005-0000-0000-0000574B0000}"/>
    <cellStyle name="Input 2 2 3 4 3 2 7" xfId="20358" xr:uid="{00000000-0005-0000-0000-0000584B0000}"/>
    <cellStyle name="Input 2 2 3 4 3 2 7 2" xfId="20359" xr:uid="{00000000-0005-0000-0000-0000594B0000}"/>
    <cellStyle name="Input 2 2 3 4 3 2 7 3" xfId="20360" xr:uid="{00000000-0005-0000-0000-00005A4B0000}"/>
    <cellStyle name="Input 2 2 3 4 3 2 8" xfId="20361" xr:uid="{00000000-0005-0000-0000-00005B4B0000}"/>
    <cellStyle name="Input 2 2 3 4 3 2 9" xfId="20362" xr:uid="{00000000-0005-0000-0000-00005C4B0000}"/>
    <cellStyle name="Input 2 2 3 4 3 3" xfId="20363" xr:uid="{00000000-0005-0000-0000-00005D4B0000}"/>
    <cellStyle name="Input 2 2 3 4 3 3 2" xfId="20364" xr:uid="{00000000-0005-0000-0000-00005E4B0000}"/>
    <cellStyle name="Input 2 2 3 4 3 3 3" xfId="20365" xr:uid="{00000000-0005-0000-0000-00005F4B0000}"/>
    <cellStyle name="Input 2 2 3 4 3 4" xfId="20366" xr:uid="{00000000-0005-0000-0000-0000604B0000}"/>
    <cellStyle name="Input 2 2 3 4 3 4 2" xfId="20367" xr:uid="{00000000-0005-0000-0000-0000614B0000}"/>
    <cellStyle name="Input 2 2 3 4 3 4 3" xfId="20368" xr:uid="{00000000-0005-0000-0000-0000624B0000}"/>
    <cellStyle name="Input 2 2 3 4 3 5" xfId="20369" xr:uid="{00000000-0005-0000-0000-0000634B0000}"/>
    <cellStyle name="Input 2 2 3 4 3 5 2" xfId="20370" xr:uid="{00000000-0005-0000-0000-0000644B0000}"/>
    <cellStyle name="Input 2 2 3 4 3 5 3" xfId="20371" xr:uid="{00000000-0005-0000-0000-0000654B0000}"/>
    <cellStyle name="Input 2 2 3 4 3 6" xfId="20372" xr:uid="{00000000-0005-0000-0000-0000664B0000}"/>
    <cellStyle name="Input 2 2 3 4 3 6 2" xfId="20373" xr:uid="{00000000-0005-0000-0000-0000674B0000}"/>
    <cellStyle name="Input 2 2 3 4 3 6 3" xfId="20374" xr:uid="{00000000-0005-0000-0000-0000684B0000}"/>
    <cellStyle name="Input 2 2 3 4 3 7" xfId="20375" xr:uid="{00000000-0005-0000-0000-0000694B0000}"/>
    <cellStyle name="Input 2 2 3 4 3 7 2" xfId="20376" xr:uid="{00000000-0005-0000-0000-00006A4B0000}"/>
    <cellStyle name="Input 2 2 3 4 3 7 3" xfId="20377" xr:uid="{00000000-0005-0000-0000-00006B4B0000}"/>
    <cellStyle name="Input 2 2 3 4 3 8" xfId="20378" xr:uid="{00000000-0005-0000-0000-00006C4B0000}"/>
    <cellStyle name="Input 2 2 3 4 3 8 2" xfId="20379" xr:uid="{00000000-0005-0000-0000-00006D4B0000}"/>
    <cellStyle name="Input 2 2 3 4 3 8 3" xfId="20380" xr:uid="{00000000-0005-0000-0000-00006E4B0000}"/>
    <cellStyle name="Input 2 2 3 4 3 9" xfId="20381" xr:uid="{00000000-0005-0000-0000-00006F4B0000}"/>
    <cellStyle name="Input 2 2 3 4 4" xfId="20382" xr:uid="{00000000-0005-0000-0000-0000704B0000}"/>
    <cellStyle name="Input 2 2 3 4 4 10" xfId="20383" xr:uid="{00000000-0005-0000-0000-0000714B0000}"/>
    <cellStyle name="Input 2 2 3 4 4 2" xfId="20384" xr:uid="{00000000-0005-0000-0000-0000724B0000}"/>
    <cellStyle name="Input 2 2 3 4 4 2 2" xfId="20385" xr:uid="{00000000-0005-0000-0000-0000734B0000}"/>
    <cellStyle name="Input 2 2 3 4 4 2 2 2" xfId="20386" xr:uid="{00000000-0005-0000-0000-0000744B0000}"/>
    <cellStyle name="Input 2 2 3 4 4 2 2 3" xfId="20387" xr:uid="{00000000-0005-0000-0000-0000754B0000}"/>
    <cellStyle name="Input 2 2 3 4 4 2 3" xfId="20388" xr:uid="{00000000-0005-0000-0000-0000764B0000}"/>
    <cellStyle name="Input 2 2 3 4 4 2 3 2" xfId="20389" xr:uid="{00000000-0005-0000-0000-0000774B0000}"/>
    <cellStyle name="Input 2 2 3 4 4 2 3 3" xfId="20390" xr:uid="{00000000-0005-0000-0000-0000784B0000}"/>
    <cellStyle name="Input 2 2 3 4 4 2 4" xfId="20391" xr:uid="{00000000-0005-0000-0000-0000794B0000}"/>
    <cellStyle name="Input 2 2 3 4 4 2 4 2" xfId="20392" xr:uid="{00000000-0005-0000-0000-00007A4B0000}"/>
    <cellStyle name="Input 2 2 3 4 4 2 4 3" xfId="20393" xr:uid="{00000000-0005-0000-0000-00007B4B0000}"/>
    <cellStyle name="Input 2 2 3 4 4 2 5" xfId="20394" xr:uid="{00000000-0005-0000-0000-00007C4B0000}"/>
    <cellStyle name="Input 2 2 3 4 4 2 5 2" xfId="20395" xr:uid="{00000000-0005-0000-0000-00007D4B0000}"/>
    <cellStyle name="Input 2 2 3 4 4 2 5 3" xfId="20396" xr:uid="{00000000-0005-0000-0000-00007E4B0000}"/>
    <cellStyle name="Input 2 2 3 4 4 2 6" xfId="20397" xr:uid="{00000000-0005-0000-0000-00007F4B0000}"/>
    <cellStyle name="Input 2 2 3 4 4 2 6 2" xfId="20398" xr:uid="{00000000-0005-0000-0000-0000804B0000}"/>
    <cellStyle name="Input 2 2 3 4 4 2 6 3" xfId="20399" xr:uid="{00000000-0005-0000-0000-0000814B0000}"/>
    <cellStyle name="Input 2 2 3 4 4 2 7" xfId="20400" xr:uid="{00000000-0005-0000-0000-0000824B0000}"/>
    <cellStyle name="Input 2 2 3 4 4 2 7 2" xfId="20401" xr:uid="{00000000-0005-0000-0000-0000834B0000}"/>
    <cellStyle name="Input 2 2 3 4 4 2 7 3" xfId="20402" xr:uid="{00000000-0005-0000-0000-0000844B0000}"/>
    <cellStyle name="Input 2 2 3 4 4 2 8" xfId="20403" xr:uid="{00000000-0005-0000-0000-0000854B0000}"/>
    <cellStyle name="Input 2 2 3 4 4 2 9" xfId="20404" xr:uid="{00000000-0005-0000-0000-0000864B0000}"/>
    <cellStyle name="Input 2 2 3 4 4 3" xfId="20405" xr:uid="{00000000-0005-0000-0000-0000874B0000}"/>
    <cellStyle name="Input 2 2 3 4 4 3 2" xfId="20406" xr:uid="{00000000-0005-0000-0000-0000884B0000}"/>
    <cellStyle name="Input 2 2 3 4 4 3 3" xfId="20407" xr:uid="{00000000-0005-0000-0000-0000894B0000}"/>
    <cellStyle name="Input 2 2 3 4 4 4" xfId="20408" xr:uid="{00000000-0005-0000-0000-00008A4B0000}"/>
    <cellStyle name="Input 2 2 3 4 4 4 2" xfId="20409" xr:uid="{00000000-0005-0000-0000-00008B4B0000}"/>
    <cellStyle name="Input 2 2 3 4 4 4 3" xfId="20410" xr:uid="{00000000-0005-0000-0000-00008C4B0000}"/>
    <cellStyle name="Input 2 2 3 4 4 5" xfId="20411" xr:uid="{00000000-0005-0000-0000-00008D4B0000}"/>
    <cellStyle name="Input 2 2 3 4 4 5 2" xfId="20412" xr:uid="{00000000-0005-0000-0000-00008E4B0000}"/>
    <cellStyle name="Input 2 2 3 4 4 5 3" xfId="20413" xr:uid="{00000000-0005-0000-0000-00008F4B0000}"/>
    <cellStyle name="Input 2 2 3 4 4 6" xfId="20414" xr:uid="{00000000-0005-0000-0000-0000904B0000}"/>
    <cellStyle name="Input 2 2 3 4 4 6 2" xfId="20415" xr:uid="{00000000-0005-0000-0000-0000914B0000}"/>
    <cellStyle name="Input 2 2 3 4 4 6 3" xfId="20416" xr:uid="{00000000-0005-0000-0000-0000924B0000}"/>
    <cellStyle name="Input 2 2 3 4 4 7" xfId="20417" xr:uid="{00000000-0005-0000-0000-0000934B0000}"/>
    <cellStyle name="Input 2 2 3 4 4 7 2" xfId="20418" xr:uid="{00000000-0005-0000-0000-0000944B0000}"/>
    <cellStyle name="Input 2 2 3 4 4 7 3" xfId="20419" xr:uid="{00000000-0005-0000-0000-0000954B0000}"/>
    <cellStyle name="Input 2 2 3 4 4 8" xfId="20420" xr:uid="{00000000-0005-0000-0000-0000964B0000}"/>
    <cellStyle name="Input 2 2 3 4 4 8 2" xfId="20421" xr:uid="{00000000-0005-0000-0000-0000974B0000}"/>
    <cellStyle name="Input 2 2 3 4 4 8 3" xfId="20422" xr:uid="{00000000-0005-0000-0000-0000984B0000}"/>
    <cellStyle name="Input 2 2 3 4 4 9" xfId="20423" xr:uid="{00000000-0005-0000-0000-0000994B0000}"/>
    <cellStyle name="Input 2 2 3 4 5" xfId="20424" xr:uid="{00000000-0005-0000-0000-00009A4B0000}"/>
    <cellStyle name="Input 2 2 3 4 5 2" xfId="20425" xr:uid="{00000000-0005-0000-0000-00009B4B0000}"/>
    <cellStyle name="Input 2 2 3 4 5 2 2" xfId="20426" xr:uid="{00000000-0005-0000-0000-00009C4B0000}"/>
    <cellStyle name="Input 2 2 3 4 5 2 3" xfId="20427" xr:uid="{00000000-0005-0000-0000-00009D4B0000}"/>
    <cellStyle name="Input 2 2 3 4 5 3" xfId="20428" xr:uid="{00000000-0005-0000-0000-00009E4B0000}"/>
    <cellStyle name="Input 2 2 3 4 5 3 2" xfId="20429" xr:uid="{00000000-0005-0000-0000-00009F4B0000}"/>
    <cellStyle name="Input 2 2 3 4 5 3 3" xfId="20430" xr:uid="{00000000-0005-0000-0000-0000A04B0000}"/>
    <cellStyle name="Input 2 2 3 4 5 4" xfId="20431" xr:uid="{00000000-0005-0000-0000-0000A14B0000}"/>
    <cellStyle name="Input 2 2 3 4 5 4 2" xfId="20432" xr:uid="{00000000-0005-0000-0000-0000A24B0000}"/>
    <cellStyle name="Input 2 2 3 4 5 4 3" xfId="20433" xr:uid="{00000000-0005-0000-0000-0000A34B0000}"/>
    <cellStyle name="Input 2 2 3 4 5 5" xfId="20434" xr:uid="{00000000-0005-0000-0000-0000A44B0000}"/>
    <cellStyle name="Input 2 2 3 4 5 5 2" xfId="20435" xr:uid="{00000000-0005-0000-0000-0000A54B0000}"/>
    <cellStyle name="Input 2 2 3 4 5 5 3" xfId="20436" xr:uid="{00000000-0005-0000-0000-0000A64B0000}"/>
    <cellStyle name="Input 2 2 3 4 5 6" xfId="20437" xr:uid="{00000000-0005-0000-0000-0000A74B0000}"/>
    <cellStyle name="Input 2 2 3 4 5 6 2" xfId="20438" xr:uid="{00000000-0005-0000-0000-0000A84B0000}"/>
    <cellStyle name="Input 2 2 3 4 5 6 3" xfId="20439" xr:uid="{00000000-0005-0000-0000-0000A94B0000}"/>
    <cellStyle name="Input 2 2 3 4 5 7" xfId="20440" xr:uid="{00000000-0005-0000-0000-0000AA4B0000}"/>
    <cellStyle name="Input 2 2 3 4 5 7 2" xfId="20441" xr:uid="{00000000-0005-0000-0000-0000AB4B0000}"/>
    <cellStyle name="Input 2 2 3 4 5 7 3" xfId="20442" xr:uid="{00000000-0005-0000-0000-0000AC4B0000}"/>
    <cellStyle name="Input 2 2 3 4 5 8" xfId="20443" xr:uid="{00000000-0005-0000-0000-0000AD4B0000}"/>
    <cellStyle name="Input 2 2 3 4 5 9" xfId="20444" xr:uid="{00000000-0005-0000-0000-0000AE4B0000}"/>
    <cellStyle name="Input 2 2 3 4 6" xfId="20445" xr:uid="{00000000-0005-0000-0000-0000AF4B0000}"/>
    <cellStyle name="Input 2 2 3 4 6 2" xfId="20446" xr:uid="{00000000-0005-0000-0000-0000B04B0000}"/>
    <cellStyle name="Input 2 2 3 4 6 3" xfId="20447" xr:uid="{00000000-0005-0000-0000-0000B14B0000}"/>
    <cellStyle name="Input 2 2 3 4 7" xfId="20448" xr:uid="{00000000-0005-0000-0000-0000B24B0000}"/>
    <cellStyle name="Input 2 2 3 4 7 2" xfId="20449" xr:uid="{00000000-0005-0000-0000-0000B34B0000}"/>
    <cellStyle name="Input 2 2 3 4 7 3" xfId="20450" xr:uid="{00000000-0005-0000-0000-0000B44B0000}"/>
    <cellStyle name="Input 2 2 3 4 8" xfId="20451" xr:uid="{00000000-0005-0000-0000-0000B54B0000}"/>
    <cellStyle name="Input 2 2 3 4 8 2" xfId="20452" xr:uid="{00000000-0005-0000-0000-0000B64B0000}"/>
    <cellStyle name="Input 2 2 3 4 8 3" xfId="20453" xr:uid="{00000000-0005-0000-0000-0000B74B0000}"/>
    <cellStyle name="Input 2 2 3 4 9" xfId="20454" xr:uid="{00000000-0005-0000-0000-0000B84B0000}"/>
    <cellStyle name="Input 2 2 3 4 9 2" xfId="20455" xr:uid="{00000000-0005-0000-0000-0000B94B0000}"/>
    <cellStyle name="Input 2 2 3 4 9 3" xfId="20456" xr:uid="{00000000-0005-0000-0000-0000BA4B0000}"/>
    <cellStyle name="Input 2 2 3 5" xfId="20457" xr:uid="{00000000-0005-0000-0000-0000BB4B0000}"/>
    <cellStyle name="Input 2 2 3 5 10" xfId="44064" xr:uid="{00000000-0005-0000-0000-0000BC4B0000}"/>
    <cellStyle name="Input 2 2 3 5 2" xfId="20458" xr:uid="{00000000-0005-0000-0000-0000BD4B0000}"/>
    <cellStyle name="Input 2 2 3 5 2 10" xfId="20459" xr:uid="{00000000-0005-0000-0000-0000BE4B0000}"/>
    <cellStyle name="Input 2 2 3 5 2 2" xfId="20460" xr:uid="{00000000-0005-0000-0000-0000BF4B0000}"/>
    <cellStyle name="Input 2 2 3 5 2 2 2" xfId="20461" xr:uid="{00000000-0005-0000-0000-0000C04B0000}"/>
    <cellStyle name="Input 2 2 3 5 2 2 2 2" xfId="20462" xr:uid="{00000000-0005-0000-0000-0000C14B0000}"/>
    <cellStyle name="Input 2 2 3 5 2 2 2 3" xfId="20463" xr:uid="{00000000-0005-0000-0000-0000C24B0000}"/>
    <cellStyle name="Input 2 2 3 5 2 2 3" xfId="20464" xr:uid="{00000000-0005-0000-0000-0000C34B0000}"/>
    <cellStyle name="Input 2 2 3 5 2 2 3 2" xfId="20465" xr:uid="{00000000-0005-0000-0000-0000C44B0000}"/>
    <cellStyle name="Input 2 2 3 5 2 2 3 3" xfId="20466" xr:uid="{00000000-0005-0000-0000-0000C54B0000}"/>
    <cellStyle name="Input 2 2 3 5 2 2 4" xfId="20467" xr:uid="{00000000-0005-0000-0000-0000C64B0000}"/>
    <cellStyle name="Input 2 2 3 5 2 2 4 2" xfId="20468" xr:uid="{00000000-0005-0000-0000-0000C74B0000}"/>
    <cellStyle name="Input 2 2 3 5 2 2 4 3" xfId="20469" xr:uid="{00000000-0005-0000-0000-0000C84B0000}"/>
    <cellStyle name="Input 2 2 3 5 2 2 5" xfId="20470" xr:uid="{00000000-0005-0000-0000-0000C94B0000}"/>
    <cellStyle name="Input 2 2 3 5 2 2 5 2" xfId="20471" xr:uid="{00000000-0005-0000-0000-0000CA4B0000}"/>
    <cellStyle name="Input 2 2 3 5 2 2 5 3" xfId="20472" xr:uid="{00000000-0005-0000-0000-0000CB4B0000}"/>
    <cellStyle name="Input 2 2 3 5 2 2 6" xfId="20473" xr:uid="{00000000-0005-0000-0000-0000CC4B0000}"/>
    <cellStyle name="Input 2 2 3 5 2 2 6 2" xfId="20474" xr:uid="{00000000-0005-0000-0000-0000CD4B0000}"/>
    <cellStyle name="Input 2 2 3 5 2 2 6 3" xfId="20475" xr:uid="{00000000-0005-0000-0000-0000CE4B0000}"/>
    <cellStyle name="Input 2 2 3 5 2 2 7" xfId="20476" xr:uid="{00000000-0005-0000-0000-0000CF4B0000}"/>
    <cellStyle name="Input 2 2 3 5 2 2 7 2" xfId="20477" xr:uid="{00000000-0005-0000-0000-0000D04B0000}"/>
    <cellStyle name="Input 2 2 3 5 2 2 7 3" xfId="20478" xr:uid="{00000000-0005-0000-0000-0000D14B0000}"/>
    <cellStyle name="Input 2 2 3 5 2 2 8" xfId="20479" xr:uid="{00000000-0005-0000-0000-0000D24B0000}"/>
    <cellStyle name="Input 2 2 3 5 2 2 9" xfId="20480" xr:uid="{00000000-0005-0000-0000-0000D34B0000}"/>
    <cellStyle name="Input 2 2 3 5 2 3" xfId="20481" xr:uid="{00000000-0005-0000-0000-0000D44B0000}"/>
    <cellStyle name="Input 2 2 3 5 2 3 2" xfId="20482" xr:uid="{00000000-0005-0000-0000-0000D54B0000}"/>
    <cellStyle name="Input 2 2 3 5 2 3 3" xfId="20483" xr:uid="{00000000-0005-0000-0000-0000D64B0000}"/>
    <cellStyle name="Input 2 2 3 5 2 4" xfId="20484" xr:uid="{00000000-0005-0000-0000-0000D74B0000}"/>
    <cellStyle name="Input 2 2 3 5 2 4 2" xfId="20485" xr:uid="{00000000-0005-0000-0000-0000D84B0000}"/>
    <cellStyle name="Input 2 2 3 5 2 4 3" xfId="20486" xr:uid="{00000000-0005-0000-0000-0000D94B0000}"/>
    <cellStyle name="Input 2 2 3 5 2 5" xfId="20487" xr:uid="{00000000-0005-0000-0000-0000DA4B0000}"/>
    <cellStyle name="Input 2 2 3 5 2 5 2" xfId="20488" xr:uid="{00000000-0005-0000-0000-0000DB4B0000}"/>
    <cellStyle name="Input 2 2 3 5 2 5 3" xfId="20489" xr:uid="{00000000-0005-0000-0000-0000DC4B0000}"/>
    <cellStyle name="Input 2 2 3 5 2 6" xfId="20490" xr:uid="{00000000-0005-0000-0000-0000DD4B0000}"/>
    <cellStyle name="Input 2 2 3 5 2 6 2" xfId="20491" xr:uid="{00000000-0005-0000-0000-0000DE4B0000}"/>
    <cellStyle name="Input 2 2 3 5 2 6 3" xfId="20492" xr:uid="{00000000-0005-0000-0000-0000DF4B0000}"/>
    <cellStyle name="Input 2 2 3 5 2 7" xfId="20493" xr:uid="{00000000-0005-0000-0000-0000E04B0000}"/>
    <cellStyle name="Input 2 2 3 5 2 7 2" xfId="20494" xr:uid="{00000000-0005-0000-0000-0000E14B0000}"/>
    <cellStyle name="Input 2 2 3 5 2 7 3" xfId="20495" xr:uid="{00000000-0005-0000-0000-0000E24B0000}"/>
    <cellStyle name="Input 2 2 3 5 2 8" xfId="20496" xr:uid="{00000000-0005-0000-0000-0000E34B0000}"/>
    <cellStyle name="Input 2 2 3 5 2 8 2" xfId="20497" xr:uid="{00000000-0005-0000-0000-0000E44B0000}"/>
    <cellStyle name="Input 2 2 3 5 2 8 3" xfId="20498" xr:uid="{00000000-0005-0000-0000-0000E54B0000}"/>
    <cellStyle name="Input 2 2 3 5 2 9" xfId="20499" xr:uid="{00000000-0005-0000-0000-0000E64B0000}"/>
    <cellStyle name="Input 2 2 3 5 3" xfId="20500" xr:uid="{00000000-0005-0000-0000-0000E74B0000}"/>
    <cellStyle name="Input 2 2 3 5 3 10" xfId="20501" xr:uid="{00000000-0005-0000-0000-0000E84B0000}"/>
    <cellStyle name="Input 2 2 3 5 3 2" xfId="20502" xr:uid="{00000000-0005-0000-0000-0000E94B0000}"/>
    <cellStyle name="Input 2 2 3 5 3 2 2" xfId="20503" xr:uid="{00000000-0005-0000-0000-0000EA4B0000}"/>
    <cellStyle name="Input 2 2 3 5 3 2 2 2" xfId="20504" xr:uid="{00000000-0005-0000-0000-0000EB4B0000}"/>
    <cellStyle name="Input 2 2 3 5 3 2 2 3" xfId="20505" xr:uid="{00000000-0005-0000-0000-0000EC4B0000}"/>
    <cellStyle name="Input 2 2 3 5 3 2 3" xfId="20506" xr:uid="{00000000-0005-0000-0000-0000ED4B0000}"/>
    <cellStyle name="Input 2 2 3 5 3 2 3 2" xfId="20507" xr:uid="{00000000-0005-0000-0000-0000EE4B0000}"/>
    <cellStyle name="Input 2 2 3 5 3 2 3 3" xfId="20508" xr:uid="{00000000-0005-0000-0000-0000EF4B0000}"/>
    <cellStyle name="Input 2 2 3 5 3 2 4" xfId="20509" xr:uid="{00000000-0005-0000-0000-0000F04B0000}"/>
    <cellStyle name="Input 2 2 3 5 3 2 4 2" xfId="20510" xr:uid="{00000000-0005-0000-0000-0000F14B0000}"/>
    <cellStyle name="Input 2 2 3 5 3 2 4 3" xfId="20511" xr:uid="{00000000-0005-0000-0000-0000F24B0000}"/>
    <cellStyle name="Input 2 2 3 5 3 2 5" xfId="20512" xr:uid="{00000000-0005-0000-0000-0000F34B0000}"/>
    <cellStyle name="Input 2 2 3 5 3 2 5 2" xfId="20513" xr:uid="{00000000-0005-0000-0000-0000F44B0000}"/>
    <cellStyle name="Input 2 2 3 5 3 2 5 3" xfId="20514" xr:uid="{00000000-0005-0000-0000-0000F54B0000}"/>
    <cellStyle name="Input 2 2 3 5 3 2 6" xfId="20515" xr:uid="{00000000-0005-0000-0000-0000F64B0000}"/>
    <cellStyle name="Input 2 2 3 5 3 2 6 2" xfId="20516" xr:uid="{00000000-0005-0000-0000-0000F74B0000}"/>
    <cellStyle name="Input 2 2 3 5 3 2 6 3" xfId="20517" xr:uid="{00000000-0005-0000-0000-0000F84B0000}"/>
    <cellStyle name="Input 2 2 3 5 3 2 7" xfId="20518" xr:uid="{00000000-0005-0000-0000-0000F94B0000}"/>
    <cellStyle name="Input 2 2 3 5 3 2 7 2" xfId="20519" xr:uid="{00000000-0005-0000-0000-0000FA4B0000}"/>
    <cellStyle name="Input 2 2 3 5 3 2 7 3" xfId="20520" xr:uid="{00000000-0005-0000-0000-0000FB4B0000}"/>
    <cellStyle name="Input 2 2 3 5 3 2 8" xfId="20521" xr:uid="{00000000-0005-0000-0000-0000FC4B0000}"/>
    <cellStyle name="Input 2 2 3 5 3 2 9" xfId="20522" xr:uid="{00000000-0005-0000-0000-0000FD4B0000}"/>
    <cellStyle name="Input 2 2 3 5 3 3" xfId="20523" xr:uid="{00000000-0005-0000-0000-0000FE4B0000}"/>
    <cellStyle name="Input 2 2 3 5 3 3 2" xfId="20524" xr:uid="{00000000-0005-0000-0000-0000FF4B0000}"/>
    <cellStyle name="Input 2 2 3 5 3 3 3" xfId="20525" xr:uid="{00000000-0005-0000-0000-0000004C0000}"/>
    <cellStyle name="Input 2 2 3 5 3 4" xfId="20526" xr:uid="{00000000-0005-0000-0000-0000014C0000}"/>
    <cellStyle name="Input 2 2 3 5 3 4 2" xfId="20527" xr:uid="{00000000-0005-0000-0000-0000024C0000}"/>
    <cellStyle name="Input 2 2 3 5 3 4 3" xfId="20528" xr:uid="{00000000-0005-0000-0000-0000034C0000}"/>
    <cellStyle name="Input 2 2 3 5 3 5" xfId="20529" xr:uid="{00000000-0005-0000-0000-0000044C0000}"/>
    <cellStyle name="Input 2 2 3 5 3 5 2" xfId="20530" xr:uid="{00000000-0005-0000-0000-0000054C0000}"/>
    <cellStyle name="Input 2 2 3 5 3 5 3" xfId="20531" xr:uid="{00000000-0005-0000-0000-0000064C0000}"/>
    <cellStyle name="Input 2 2 3 5 3 6" xfId="20532" xr:uid="{00000000-0005-0000-0000-0000074C0000}"/>
    <cellStyle name="Input 2 2 3 5 3 6 2" xfId="20533" xr:uid="{00000000-0005-0000-0000-0000084C0000}"/>
    <cellStyle name="Input 2 2 3 5 3 6 3" xfId="20534" xr:uid="{00000000-0005-0000-0000-0000094C0000}"/>
    <cellStyle name="Input 2 2 3 5 3 7" xfId="20535" xr:uid="{00000000-0005-0000-0000-00000A4C0000}"/>
    <cellStyle name="Input 2 2 3 5 3 7 2" xfId="20536" xr:uid="{00000000-0005-0000-0000-00000B4C0000}"/>
    <cellStyle name="Input 2 2 3 5 3 7 3" xfId="20537" xr:uid="{00000000-0005-0000-0000-00000C4C0000}"/>
    <cellStyle name="Input 2 2 3 5 3 8" xfId="20538" xr:uid="{00000000-0005-0000-0000-00000D4C0000}"/>
    <cellStyle name="Input 2 2 3 5 3 8 2" xfId="20539" xr:uid="{00000000-0005-0000-0000-00000E4C0000}"/>
    <cellStyle name="Input 2 2 3 5 3 8 3" xfId="20540" xr:uid="{00000000-0005-0000-0000-00000F4C0000}"/>
    <cellStyle name="Input 2 2 3 5 3 9" xfId="20541" xr:uid="{00000000-0005-0000-0000-0000104C0000}"/>
    <cellStyle name="Input 2 2 3 5 4" xfId="20542" xr:uid="{00000000-0005-0000-0000-0000114C0000}"/>
    <cellStyle name="Input 2 2 3 5 4 10" xfId="20543" xr:uid="{00000000-0005-0000-0000-0000124C0000}"/>
    <cellStyle name="Input 2 2 3 5 4 2" xfId="20544" xr:uid="{00000000-0005-0000-0000-0000134C0000}"/>
    <cellStyle name="Input 2 2 3 5 4 2 2" xfId="20545" xr:uid="{00000000-0005-0000-0000-0000144C0000}"/>
    <cellStyle name="Input 2 2 3 5 4 2 2 2" xfId="20546" xr:uid="{00000000-0005-0000-0000-0000154C0000}"/>
    <cellStyle name="Input 2 2 3 5 4 2 2 3" xfId="20547" xr:uid="{00000000-0005-0000-0000-0000164C0000}"/>
    <cellStyle name="Input 2 2 3 5 4 2 3" xfId="20548" xr:uid="{00000000-0005-0000-0000-0000174C0000}"/>
    <cellStyle name="Input 2 2 3 5 4 2 3 2" xfId="20549" xr:uid="{00000000-0005-0000-0000-0000184C0000}"/>
    <cellStyle name="Input 2 2 3 5 4 2 3 3" xfId="20550" xr:uid="{00000000-0005-0000-0000-0000194C0000}"/>
    <cellStyle name="Input 2 2 3 5 4 2 4" xfId="20551" xr:uid="{00000000-0005-0000-0000-00001A4C0000}"/>
    <cellStyle name="Input 2 2 3 5 4 2 4 2" xfId="20552" xr:uid="{00000000-0005-0000-0000-00001B4C0000}"/>
    <cellStyle name="Input 2 2 3 5 4 2 4 3" xfId="20553" xr:uid="{00000000-0005-0000-0000-00001C4C0000}"/>
    <cellStyle name="Input 2 2 3 5 4 2 5" xfId="20554" xr:uid="{00000000-0005-0000-0000-00001D4C0000}"/>
    <cellStyle name="Input 2 2 3 5 4 2 5 2" xfId="20555" xr:uid="{00000000-0005-0000-0000-00001E4C0000}"/>
    <cellStyle name="Input 2 2 3 5 4 2 5 3" xfId="20556" xr:uid="{00000000-0005-0000-0000-00001F4C0000}"/>
    <cellStyle name="Input 2 2 3 5 4 2 6" xfId="20557" xr:uid="{00000000-0005-0000-0000-0000204C0000}"/>
    <cellStyle name="Input 2 2 3 5 4 2 6 2" xfId="20558" xr:uid="{00000000-0005-0000-0000-0000214C0000}"/>
    <cellStyle name="Input 2 2 3 5 4 2 6 3" xfId="20559" xr:uid="{00000000-0005-0000-0000-0000224C0000}"/>
    <cellStyle name="Input 2 2 3 5 4 2 7" xfId="20560" xr:uid="{00000000-0005-0000-0000-0000234C0000}"/>
    <cellStyle name="Input 2 2 3 5 4 2 7 2" xfId="20561" xr:uid="{00000000-0005-0000-0000-0000244C0000}"/>
    <cellStyle name="Input 2 2 3 5 4 2 7 3" xfId="20562" xr:uid="{00000000-0005-0000-0000-0000254C0000}"/>
    <cellStyle name="Input 2 2 3 5 4 2 8" xfId="20563" xr:uid="{00000000-0005-0000-0000-0000264C0000}"/>
    <cellStyle name="Input 2 2 3 5 4 2 9" xfId="20564" xr:uid="{00000000-0005-0000-0000-0000274C0000}"/>
    <cellStyle name="Input 2 2 3 5 4 3" xfId="20565" xr:uid="{00000000-0005-0000-0000-0000284C0000}"/>
    <cellStyle name="Input 2 2 3 5 4 3 2" xfId="20566" xr:uid="{00000000-0005-0000-0000-0000294C0000}"/>
    <cellStyle name="Input 2 2 3 5 4 3 3" xfId="20567" xr:uid="{00000000-0005-0000-0000-00002A4C0000}"/>
    <cellStyle name="Input 2 2 3 5 4 4" xfId="20568" xr:uid="{00000000-0005-0000-0000-00002B4C0000}"/>
    <cellStyle name="Input 2 2 3 5 4 4 2" xfId="20569" xr:uid="{00000000-0005-0000-0000-00002C4C0000}"/>
    <cellStyle name="Input 2 2 3 5 4 4 3" xfId="20570" xr:uid="{00000000-0005-0000-0000-00002D4C0000}"/>
    <cellStyle name="Input 2 2 3 5 4 5" xfId="20571" xr:uid="{00000000-0005-0000-0000-00002E4C0000}"/>
    <cellStyle name="Input 2 2 3 5 4 5 2" xfId="20572" xr:uid="{00000000-0005-0000-0000-00002F4C0000}"/>
    <cellStyle name="Input 2 2 3 5 4 5 3" xfId="20573" xr:uid="{00000000-0005-0000-0000-0000304C0000}"/>
    <cellStyle name="Input 2 2 3 5 4 6" xfId="20574" xr:uid="{00000000-0005-0000-0000-0000314C0000}"/>
    <cellStyle name="Input 2 2 3 5 4 6 2" xfId="20575" xr:uid="{00000000-0005-0000-0000-0000324C0000}"/>
    <cellStyle name="Input 2 2 3 5 4 6 3" xfId="20576" xr:uid="{00000000-0005-0000-0000-0000334C0000}"/>
    <cellStyle name="Input 2 2 3 5 4 7" xfId="20577" xr:uid="{00000000-0005-0000-0000-0000344C0000}"/>
    <cellStyle name="Input 2 2 3 5 4 7 2" xfId="20578" xr:uid="{00000000-0005-0000-0000-0000354C0000}"/>
    <cellStyle name="Input 2 2 3 5 4 7 3" xfId="20579" xr:uid="{00000000-0005-0000-0000-0000364C0000}"/>
    <cellStyle name="Input 2 2 3 5 4 8" xfId="20580" xr:uid="{00000000-0005-0000-0000-0000374C0000}"/>
    <cellStyle name="Input 2 2 3 5 4 8 2" xfId="20581" xr:uid="{00000000-0005-0000-0000-0000384C0000}"/>
    <cellStyle name="Input 2 2 3 5 4 8 3" xfId="20582" xr:uid="{00000000-0005-0000-0000-0000394C0000}"/>
    <cellStyle name="Input 2 2 3 5 4 9" xfId="20583" xr:uid="{00000000-0005-0000-0000-00003A4C0000}"/>
    <cellStyle name="Input 2 2 3 5 5" xfId="20584" xr:uid="{00000000-0005-0000-0000-00003B4C0000}"/>
    <cellStyle name="Input 2 2 3 5 5 2" xfId="20585" xr:uid="{00000000-0005-0000-0000-00003C4C0000}"/>
    <cellStyle name="Input 2 2 3 5 5 2 2" xfId="20586" xr:uid="{00000000-0005-0000-0000-00003D4C0000}"/>
    <cellStyle name="Input 2 2 3 5 5 2 3" xfId="20587" xr:uid="{00000000-0005-0000-0000-00003E4C0000}"/>
    <cellStyle name="Input 2 2 3 5 5 3" xfId="20588" xr:uid="{00000000-0005-0000-0000-00003F4C0000}"/>
    <cellStyle name="Input 2 2 3 5 5 3 2" xfId="20589" xr:uid="{00000000-0005-0000-0000-0000404C0000}"/>
    <cellStyle name="Input 2 2 3 5 5 3 3" xfId="20590" xr:uid="{00000000-0005-0000-0000-0000414C0000}"/>
    <cellStyle name="Input 2 2 3 5 5 4" xfId="20591" xr:uid="{00000000-0005-0000-0000-0000424C0000}"/>
    <cellStyle name="Input 2 2 3 5 5 4 2" xfId="20592" xr:uid="{00000000-0005-0000-0000-0000434C0000}"/>
    <cellStyle name="Input 2 2 3 5 5 4 3" xfId="20593" xr:uid="{00000000-0005-0000-0000-0000444C0000}"/>
    <cellStyle name="Input 2 2 3 5 5 5" xfId="20594" xr:uid="{00000000-0005-0000-0000-0000454C0000}"/>
    <cellStyle name="Input 2 2 3 5 5 5 2" xfId="20595" xr:uid="{00000000-0005-0000-0000-0000464C0000}"/>
    <cellStyle name="Input 2 2 3 5 5 5 3" xfId="20596" xr:uid="{00000000-0005-0000-0000-0000474C0000}"/>
    <cellStyle name="Input 2 2 3 5 5 6" xfId="20597" xr:uid="{00000000-0005-0000-0000-0000484C0000}"/>
    <cellStyle name="Input 2 2 3 5 5 6 2" xfId="20598" xr:uid="{00000000-0005-0000-0000-0000494C0000}"/>
    <cellStyle name="Input 2 2 3 5 5 6 3" xfId="20599" xr:uid="{00000000-0005-0000-0000-00004A4C0000}"/>
    <cellStyle name="Input 2 2 3 5 5 7" xfId="20600" xr:uid="{00000000-0005-0000-0000-00004B4C0000}"/>
    <cellStyle name="Input 2 2 3 5 5 7 2" xfId="20601" xr:uid="{00000000-0005-0000-0000-00004C4C0000}"/>
    <cellStyle name="Input 2 2 3 5 5 7 3" xfId="20602" xr:uid="{00000000-0005-0000-0000-00004D4C0000}"/>
    <cellStyle name="Input 2 2 3 5 5 8" xfId="20603" xr:uid="{00000000-0005-0000-0000-00004E4C0000}"/>
    <cellStyle name="Input 2 2 3 5 5 9" xfId="20604" xr:uid="{00000000-0005-0000-0000-00004F4C0000}"/>
    <cellStyle name="Input 2 2 3 5 6" xfId="20605" xr:uid="{00000000-0005-0000-0000-0000504C0000}"/>
    <cellStyle name="Input 2 2 3 5 6 2" xfId="20606" xr:uid="{00000000-0005-0000-0000-0000514C0000}"/>
    <cellStyle name="Input 2 2 3 5 6 3" xfId="20607" xr:uid="{00000000-0005-0000-0000-0000524C0000}"/>
    <cellStyle name="Input 2 2 3 5 7" xfId="20608" xr:uid="{00000000-0005-0000-0000-0000534C0000}"/>
    <cellStyle name="Input 2 2 3 5 7 2" xfId="20609" xr:uid="{00000000-0005-0000-0000-0000544C0000}"/>
    <cellStyle name="Input 2 2 3 5 7 3" xfId="20610" xr:uid="{00000000-0005-0000-0000-0000554C0000}"/>
    <cellStyle name="Input 2 2 3 5 8" xfId="20611" xr:uid="{00000000-0005-0000-0000-0000564C0000}"/>
    <cellStyle name="Input 2 2 3 5 8 2" xfId="20612" xr:uid="{00000000-0005-0000-0000-0000574C0000}"/>
    <cellStyle name="Input 2 2 3 5 8 3" xfId="20613" xr:uid="{00000000-0005-0000-0000-0000584C0000}"/>
    <cellStyle name="Input 2 2 3 5 9" xfId="20614" xr:uid="{00000000-0005-0000-0000-0000594C0000}"/>
    <cellStyle name="Input 2 2 3 5 9 2" xfId="20615" xr:uid="{00000000-0005-0000-0000-00005A4C0000}"/>
    <cellStyle name="Input 2 2 3 5 9 3" xfId="20616" xr:uid="{00000000-0005-0000-0000-00005B4C0000}"/>
    <cellStyle name="Input 2 2 3 6" xfId="20617" xr:uid="{00000000-0005-0000-0000-00005C4C0000}"/>
    <cellStyle name="Input 2 2 3 6 10" xfId="20618" xr:uid="{00000000-0005-0000-0000-00005D4C0000}"/>
    <cellStyle name="Input 2 2 3 6 2" xfId="20619" xr:uid="{00000000-0005-0000-0000-00005E4C0000}"/>
    <cellStyle name="Input 2 2 3 6 2 2" xfId="20620" xr:uid="{00000000-0005-0000-0000-00005F4C0000}"/>
    <cellStyle name="Input 2 2 3 6 2 2 2" xfId="20621" xr:uid="{00000000-0005-0000-0000-0000604C0000}"/>
    <cellStyle name="Input 2 2 3 6 2 2 3" xfId="20622" xr:uid="{00000000-0005-0000-0000-0000614C0000}"/>
    <cellStyle name="Input 2 2 3 6 2 3" xfId="20623" xr:uid="{00000000-0005-0000-0000-0000624C0000}"/>
    <cellStyle name="Input 2 2 3 6 2 3 2" xfId="20624" xr:uid="{00000000-0005-0000-0000-0000634C0000}"/>
    <cellStyle name="Input 2 2 3 6 2 3 3" xfId="20625" xr:uid="{00000000-0005-0000-0000-0000644C0000}"/>
    <cellStyle name="Input 2 2 3 6 2 4" xfId="20626" xr:uid="{00000000-0005-0000-0000-0000654C0000}"/>
    <cellStyle name="Input 2 2 3 6 2 4 2" xfId="20627" xr:uid="{00000000-0005-0000-0000-0000664C0000}"/>
    <cellStyle name="Input 2 2 3 6 2 4 3" xfId="20628" xr:uid="{00000000-0005-0000-0000-0000674C0000}"/>
    <cellStyle name="Input 2 2 3 6 2 5" xfId="20629" xr:uid="{00000000-0005-0000-0000-0000684C0000}"/>
    <cellStyle name="Input 2 2 3 6 2 5 2" xfId="20630" xr:uid="{00000000-0005-0000-0000-0000694C0000}"/>
    <cellStyle name="Input 2 2 3 6 2 5 3" xfId="20631" xr:uid="{00000000-0005-0000-0000-00006A4C0000}"/>
    <cellStyle name="Input 2 2 3 6 2 6" xfId="20632" xr:uid="{00000000-0005-0000-0000-00006B4C0000}"/>
    <cellStyle name="Input 2 2 3 6 2 6 2" xfId="20633" xr:uid="{00000000-0005-0000-0000-00006C4C0000}"/>
    <cellStyle name="Input 2 2 3 6 2 6 3" xfId="20634" xr:uid="{00000000-0005-0000-0000-00006D4C0000}"/>
    <cellStyle name="Input 2 2 3 6 2 7" xfId="20635" xr:uid="{00000000-0005-0000-0000-00006E4C0000}"/>
    <cellStyle name="Input 2 2 3 6 2 7 2" xfId="20636" xr:uid="{00000000-0005-0000-0000-00006F4C0000}"/>
    <cellStyle name="Input 2 2 3 6 2 7 3" xfId="20637" xr:uid="{00000000-0005-0000-0000-0000704C0000}"/>
    <cellStyle name="Input 2 2 3 6 2 8" xfId="20638" xr:uid="{00000000-0005-0000-0000-0000714C0000}"/>
    <cellStyle name="Input 2 2 3 6 2 9" xfId="20639" xr:uid="{00000000-0005-0000-0000-0000724C0000}"/>
    <cellStyle name="Input 2 2 3 6 3" xfId="20640" xr:uid="{00000000-0005-0000-0000-0000734C0000}"/>
    <cellStyle name="Input 2 2 3 6 3 2" xfId="20641" xr:uid="{00000000-0005-0000-0000-0000744C0000}"/>
    <cellStyle name="Input 2 2 3 6 3 3" xfId="20642" xr:uid="{00000000-0005-0000-0000-0000754C0000}"/>
    <cellStyle name="Input 2 2 3 6 4" xfId="20643" xr:uid="{00000000-0005-0000-0000-0000764C0000}"/>
    <cellStyle name="Input 2 2 3 6 4 2" xfId="20644" xr:uid="{00000000-0005-0000-0000-0000774C0000}"/>
    <cellStyle name="Input 2 2 3 6 4 3" xfId="20645" xr:uid="{00000000-0005-0000-0000-0000784C0000}"/>
    <cellStyle name="Input 2 2 3 6 5" xfId="20646" xr:uid="{00000000-0005-0000-0000-0000794C0000}"/>
    <cellStyle name="Input 2 2 3 6 5 2" xfId="20647" xr:uid="{00000000-0005-0000-0000-00007A4C0000}"/>
    <cellStyle name="Input 2 2 3 6 5 3" xfId="20648" xr:uid="{00000000-0005-0000-0000-00007B4C0000}"/>
    <cellStyle name="Input 2 2 3 6 6" xfId="20649" xr:uid="{00000000-0005-0000-0000-00007C4C0000}"/>
    <cellStyle name="Input 2 2 3 6 6 2" xfId="20650" xr:uid="{00000000-0005-0000-0000-00007D4C0000}"/>
    <cellStyle name="Input 2 2 3 6 6 3" xfId="20651" xr:uid="{00000000-0005-0000-0000-00007E4C0000}"/>
    <cellStyle name="Input 2 2 3 6 7" xfId="20652" xr:uid="{00000000-0005-0000-0000-00007F4C0000}"/>
    <cellStyle name="Input 2 2 3 6 7 2" xfId="20653" xr:uid="{00000000-0005-0000-0000-0000804C0000}"/>
    <cellStyle name="Input 2 2 3 6 7 3" xfId="20654" xr:uid="{00000000-0005-0000-0000-0000814C0000}"/>
    <cellStyle name="Input 2 2 3 6 8" xfId="20655" xr:uid="{00000000-0005-0000-0000-0000824C0000}"/>
    <cellStyle name="Input 2 2 3 6 8 2" xfId="20656" xr:uid="{00000000-0005-0000-0000-0000834C0000}"/>
    <cellStyle name="Input 2 2 3 6 8 3" xfId="20657" xr:uid="{00000000-0005-0000-0000-0000844C0000}"/>
    <cellStyle name="Input 2 2 3 6 9" xfId="20658" xr:uid="{00000000-0005-0000-0000-0000854C0000}"/>
    <cellStyle name="Input 2 2 3 7" xfId="20659" xr:uid="{00000000-0005-0000-0000-0000864C0000}"/>
    <cellStyle name="Input 2 2 3 7 10" xfId="20660" xr:uid="{00000000-0005-0000-0000-0000874C0000}"/>
    <cellStyle name="Input 2 2 3 7 2" xfId="20661" xr:uid="{00000000-0005-0000-0000-0000884C0000}"/>
    <cellStyle name="Input 2 2 3 7 2 2" xfId="20662" xr:uid="{00000000-0005-0000-0000-0000894C0000}"/>
    <cellStyle name="Input 2 2 3 7 2 2 2" xfId="20663" xr:uid="{00000000-0005-0000-0000-00008A4C0000}"/>
    <cellStyle name="Input 2 2 3 7 2 2 3" xfId="20664" xr:uid="{00000000-0005-0000-0000-00008B4C0000}"/>
    <cellStyle name="Input 2 2 3 7 2 3" xfId="20665" xr:uid="{00000000-0005-0000-0000-00008C4C0000}"/>
    <cellStyle name="Input 2 2 3 7 2 3 2" xfId="20666" xr:uid="{00000000-0005-0000-0000-00008D4C0000}"/>
    <cellStyle name="Input 2 2 3 7 2 3 3" xfId="20667" xr:uid="{00000000-0005-0000-0000-00008E4C0000}"/>
    <cellStyle name="Input 2 2 3 7 2 4" xfId="20668" xr:uid="{00000000-0005-0000-0000-00008F4C0000}"/>
    <cellStyle name="Input 2 2 3 7 2 4 2" xfId="20669" xr:uid="{00000000-0005-0000-0000-0000904C0000}"/>
    <cellStyle name="Input 2 2 3 7 2 4 3" xfId="20670" xr:uid="{00000000-0005-0000-0000-0000914C0000}"/>
    <cellStyle name="Input 2 2 3 7 2 5" xfId="20671" xr:uid="{00000000-0005-0000-0000-0000924C0000}"/>
    <cellStyle name="Input 2 2 3 7 2 5 2" xfId="20672" xr:uid="{00000000-0005-0000-0000-0000934C0000}"/>
    <cellStyle name="Input 2 2 3 7 2 5 3" xfId="20673" xr:uid="{00000000-0005-0000-0000-0000944C0000}"/>
    <cellStyle name="Input 2 2 3 7 2 6" xfId="20674" xr:uid="{00000000-0005-0000-0000-0000954C0000}"/>
    <cellStyle name="Input 2 2 3 7 2 6 2" xfId="20675" xr:uid="{00000000-0005-0000-0000-0000964C0000}"/>
    <cellStyle name="Input 2 2 3 7 2 6 3" xfId="20676" xr:uid="{00000000-0005-0000-0000-0000974C0000}"/>
    <cellStyle name="Input 2 2 3 7 2 7" xfId="20677" xr:uid="{00000000-0005-0000-0000-0000984C0000}"/>
    <cellStyle name="Input 2 2 3 7 2 7 2" xfId="20678" xr:uid="{00000000-0005-0000-0000-0000994C0000}"/>
    <cellStyle name="Input 2 2 3 7 2 7 3" xfId="20679" xr:uid="{00000000-0005-0000-0000-00009A4C0000}"/>
    <cellStyle name="Input 2 2 3 7 2 8" xfId="20680" xr:uid="{00000000-0005-0000-0000-00009B4C0000}"/>
    <cellStyle name="Input 2 2 3 7 2 9" xfId="20681" xr:uid="{00000000-0005-0000-0000-00009C4C0000}"/>
    <cellStyle name="Input 2 2 3 7 3" xfId="20682" xr:uid="{00000000-0005-0000-0000-00009D4C0000}"/>
    <cellStyle name="Input 2 2 3 7 3 2" xfId="20683" xr:uid="{00000000-0005-0000-0000-00009E4C0000}"/>
    <cellStyle name="Input 2 2 3 7 3 3" xfId="20684" xr:uid="{00000000-0005-0000-0000-00009F4C0000}"/>
    <cellStyle name="Input 2 2 3 7 4" xfId="20685" xr:uid="{00000000-0005-0000-0000-0000A04C0000}"/>
    <cellStyle name="Input 2 2 3 7 4 2" xfId="20686" xr:uid="{00000000-0005-0000-0000-0000A14C0000}"/>
    <cellStyle name="Input 2 2 3 7 4 3" xfId="20687" xr:uid="{00000000-0005-0000-0000-0000A24C0000}"/>
    <cellStyle name="Input 2 2 3 7 5" xfId="20688" xr:uid="{00000000-0005-0000-0000-0000A34C0000}"/>
    <cellStyle name="Input 2 2 3 7 5 2" xfId="20689" xr:uid="{00000000-0005-0000-0000-0000A44C0000}"/>
    <cellStyle name="Input 2 2 3 7 5 3" xfId="20690" xr:uid="{00000000-0005-0000-0000-0000A54C0000}"/>
    <cellStyle name="Input 2 2 3 7 6" xfId="20691" xr:uid="{00000000-0005-0000-0000-0000A64C0000}"/>
    <cellStyle name="Input 2 2 3 7 6 2" xfId="20692" xr:uid="{00000000-0005-0000-0000-0000A74C0000}"/>
    <cellStyle name="Input 2 2 3 7 6 3" xfId="20693" xr:uid="{00000000-0005-0000-0000-0000A84C0000}"/>
    <cellStyle name="Input 2 2 3 7 7" xfId="20694" xr:uid="{00000000-0005-0000-0000-0000A94C0000}"/>
    <cellStyle name="Input 2 2 3 7 7 2" xfId="20695" xr:uid="{00000000-0005-0000-0000-0000AA4C0000}"/>
    <cellStyle name="Input 2 2 3 7 7 3" xfId="20696" xr:uid="{00000000-0005-0000-0000-0000AB4C0000}"/>
    <cellStyle name="Input 2 2 3 7 8" xfId="20697" xr:uid="{00000000-0005-0000-0000-0000AC4C0000}"/>
    <cellStyle name="Input 2 2 3 7 8 2" xfId="20698" xr:uid="{00000000-0005-0000-0000-0000AD4C0000}"/>
    <cellStyle name="Input 2 2 3 7 8 3" xfId="20699" xr:uid="{00000000-0005-0000-0000-0000AE4C0000}"/>
    <cellStyle name="Input 2 2 3 7 9" xfId="20700" xr:uid="{00000000-0005-0000-0000-0000AF4C0000}"/>
    <cellStyle name="Input 2 2 3 8" xfId="20701" xr:uid="{00000000-0005-0000-0000-0000B04C0000}"/>
    <cellStyle name="Input 2 2 3 8 10" xfId="20702" xr:uid="{00000000-0005-0000-0000-0000B14C0000}"/>
    <cellStyle name="Input 2 2 3 8 2" xfId="20703" xr:uid="{00000000-0005-0000-0000-0000B24C0000}"/>
    <cellStyle name="Input 2 2 3 8 2 2" xfId="20704" xr:uid="{00000000-0005-0000-0000-0000B34C0000}"/>
    <cellStyle name="Input 2 2 3 8 2 2 2" xfId="20705" xr:uid="{00000000-0005-0000-0000-0000B44C0000}"/>
    <cellStyle name="Input 2 2 3 8 2 2 3" xfId="20706" xr:uid="{00000000-0005-0000-0000-0000B54C0000}"/>
    <cellStyle name="Input 2 2 3 8 2 3" xfId="20707" xr:uid="{00000000-0005-0000-0000-0000B64C0000}"/>
    <cellStyle name="Input 2 2 3 8 2 3 2" xfId="20708" xr:uid="{00000000-0005-0000-0000-0000B74C0000}"/>
    <cellStyle name="Input 2 2 3 8 2 3 3" xfId="20709" xr:uid="{00000000-0005-0000-0000-0000B84C0000}"/>
    <cellStyle name="Input 2 2 3 8 2 4" xfId="20710" xr:uid="{00000000-0005-0000-0000-0000B94C0000}"/>
    <cellStyle name="Input 2 2 3 8 2 4 2" xfId="20711" xr:uid="{00000000-0005-0000-0000-0000BA4C0000}"/>
    <cellStyle name="Input 2 2 3 8 2 4 3" xfId="20712" xr:uid="{00000000-0005-0000-0000-0000BB4C0000}"/>
    <cellStyle name="Input 2 2 3 8 2 5" xfId="20713" xr:uid="{00000000-0005-0000-0000-0000BC4C0000}"/>
    <cellStyle name="Input 2 2 3 8 2 5 2" xfId="20714" xr:uid="{00000000-0005-0000-0000-0000BD4C0000}"/>
    <cellStyle name="Input 2 2 3 8 2 5 3" xfId="20715" xr:uid="{00000000-0005-0000-0000-0000BE4C0000}"/>
    <cellStyle name="Input 2 2 3 8 2 6" xfId="20716" xr:uid="{00000000-0005-0000-0000-0000BF4C0000}"/>
    <cellStyle name="Input 2 2 3 8 2 6 2" xfId="20717" xr:uid="{00000000-0005-0000-0000-0000C04C0000}"/>
    <cellStyle name="Input 2 2 3 8 2 6 3" xfId="20718" xr:uid="{00000000-0005-0000-0000-0000C14C0000}"/>
    <cellStyle name="Input 2 2 3 8 2 7" xfId="20719" xr:uid="{00000000-0005-0000-0000-0000C24C0000}"/>
    <cellStyle name="Input 2 2 3 8 2 7 2" xfId="20720" xr:uid="{00000000-0005-0000-0000-0000C34C0000}"/>
    <cellStyle name="Input 2 2 3 8 2 7 3" xfId="20721" xr:uid="{00000000-0005-0000-0000-0000C44C0000}"/>
    <cellStyle name="Input 2 2 3 8 2 8" xfId="20722" xr:uid="{00000000-0005-0000-0000-0000C54C0000}"/>
    <cellStyle name="Input 2 2 3 8 2 9" xfId="20723" xr:uid="{00000000-0005-0000-0000-0000C64C0000}"/>
    <cellStyle name="Input 2 2 3 8 3" xfId="20724" xr:uid="{00000000-0005-0000-0000-0000C74C0000}"/>
    <cellStyle name="Input 2 2 3 8 3 2" xfId="20725" xr:uid="{00000000-0005-0000-0000-0000C84C0000}"/>
    <cellStyle name="Input 2 2 3 8 3 3" xfId="20726" xr:uid="{00000000-0005-0000-0000-0000C94C0000}"/>
    <cellStyle name="Input 2 2 3 8 4" xfId="20727" xr:uid="{00000000-0005-0000-0000-0000CA4C0000}"/>
    <cellStyle name="Input 2 2 3 8 4 2" xfId="20728" xr:uid="{00000000-0005-0000-0000-0000CB4C0000}"/>
    <cellStyle name="Input 2 2 3 8 4 3" xfId="20729" xr:uid="{00000000-0005-0000-0000-0000CC4C0000}"/>
    <cellStyle name="Input 2 2 3 8 5" xfId="20730" xr:uid="{00000000-0005-0000-0000-0000CD4C0000}"/>
    <cellStyle name="Input 2 2 3 8 5 2" xfId="20731" xr:uid="{00000000-0005-0000-0000-0000CE4C0000}"/>
    <cellStyle name="Input 2 2 3 8 5 3" xfId="20732" xr:uid="{00000000-0005-0000-0000-0000CF4C0000}"/>
    <cellStyle name="Input 2 2 3 8 6" xfId="20733" xr:uid="{00000000-0005-0000-0000-0000D04C0000}"/>
    <cellStyle name="Input 2 2 3 8 6 2" xfId="20734" xr:uid="{00000000-0005-0000-0000-0000D14C0000}"/>
    <cellStyle name="Input 2 2 3 8 6 3" xfId="20735" xr:uid="{00000000-0005-0000-0000-0000D24C0000}"/>
    <cellStyle name="Input 2 2 3 8 7" xfId="20736" xr:uid="{00000000-0005-0000-0000-0000D34C0000}"/>
    <cellStyle name="Input 2 2 3 8 7 2" xfId="20737" xr:uid="{00000000-0005-0000-0000-0000D44C0000}"/>
    <cellStyle name="Input 2 2 3 8 7 3" xfId="20738" xr:uid="{00000000-0005-0000-0000-0000D54C0000}"/>
    <cellStyle name="Input 2 2 3 8 8" xfId="20739" xr:uid="{00000000-0005-0000-0000-0000D64C0000}"/>
    <cellStyle name="Input 2 2 3 8 8 2" xfId="20740" xr:uid="{00000000-0005-0000-0000-0000D74C0000}"/>
    <cellStyle name="Input 2 2 3 8 8 3" xfId="20741" xr:uid="{00000000-0005-0000-0000-0000D84C0000}"/>
    <cellStyle name="Input 2 2 3 8 9" xfId="20742" xr:uid="{00000000-0005-0000-0000-0000D94C0000}"/>
    <cellStyle name="Input 2 2 3 9" xfId="20743" xr:uid="{00000000-0005-0000-0000-0000DA4C0000}"/>
    <cellStyle name="Input 2 2 3 9 2" xfId="20744" xr:uid="{00000000-0005-0000-0000-0000DB4C0000}"/>
    <cellStyle name="Input 2 2 3 9 2 2" xfId="20745" xr:uid="{00000000-0005-0000-0000-0000DC4C0000}"/>
    <cellStyle name="Input 2 2 3 9 2 3" xfId="20746" xr:uid="{00000000-0005-0000-0000-0000DD4C0000}"/>
    <cellStyle name="Input 2 2 3 9 3" xfId="20747" xr:uid="{00000000-0005-0000-0000-0000DE4C0000}"/>
    <cellStyle name="Input 2 2 3 9 3 2" xfId="20748" xr:uid="{00000000-0005-0000-0000-0000DF4C0000}"/>
    <cellStyle name="Input 2 2 3 9 3 3" xfId="20749" xr:uid="{00000000-0005-0000-0000-0000E04C0000}"/>
    <cellStyle name="Input 2 2 3 9 4" xfId="20750" xr:uid="{00000000-0005-0000-0000-0000E14C0000}"/>
    <cellStyle name="Input 2 2 3 9 4 2" xfId="20751" xr:uid="{00000000-0005-0000-0000-0000E24C0000}"/>
    <cellStyle name="Input 2 2 3 9 4 3" xfId="20752" xr:uid="{00000000-0005-0000-0000-0000E34C0000}"/>
    <cellStyle name="Input 2 2 3 9 5" xfId="20753" xr:uid="{00000000-0005-0000-0000-0000E44C0000}"/>
    <cellStyle name="Input 2 2 3 9 5 2" xfId="20754" xr:uid="{00000000-0005-0000-0000-0000E54C0000}"/>
    <cellStyle name="Input 2 2 3 9 5 3" xfId="20755" xr:uid="{00000000-0005-0000-0000-0000E64C0000}"/>
    <cellStyle name="Input 2 2 3 9 6" xfId="20756" xr:uid="{00000000-0005-0000-0000-0000E74C0000}"/>
    <cellStyle name="Input 2 2 3 9 6 2" xfId="20757" xr:uid="{00000000-0005-0000-0000-0000E84C0000}"/>
    <cellStyle name="Input 2 2 3 9 6 3" xfId="20758" xr:uid="{00000000-0005-0000-0000-0000E94C0000}"/>
    <cellStyle name="Input 2 2 3 9 7" xfId="20759" xr:uid="{00000000-0005-0000-0000-0000EA4C0000}"/>
    <cellStyle name="Input 2 2 3 9 7 2" xfId="20760" xr:uid="{00000000-0005-0000-0000-0000EB4C0000}"/>
    <cellStyle name="Input 2 2 3 9 7 3" xfId="20761" xr:uid="{00000000-0005-0000-0000-0000EC4C0000}"/>
    <cellStyle name="Input 2 2 3 9 8" xfId="20762" xr:uid="{00000000-0005-0000-0000-0000ED4C0000}"/>
    <cellStyle name="Input 2 2 3 9 9" xfId="20763" xr:uid="{00000000-0005-0000-0000-0000EE4C0000}"/>
    <cellStyle name="Input 2 2 4" xfId="20764" xr:uid="{00000000-0005-0000-0000-0000EF4C0000}"/>
    <cellStyle name="Input 2 2 4 10" xfId="20765" xr:uid="{00000000-0005-0000-0000-0000F04C0000}"/>
    <cellStyle name="Input 2 2 4 10 2" xfId="20766" xr:uid="{00000000-0005-0000-0000-0000F14C0000}"/>
    <cellStyle name="Input 2 2 4 10 3" xfId="20767" xr:uid="{00000000-0005-0000-0000-0000F24C0000}"/>
    <cellStyle name="Input 2 2 4 11" xfId="20768" xr:uid="{00000000-0005-0000-0000-0000F34C0000}"/>
    <cellStyle name="Input 2 2 4 11 2" xfId="20769" xr:uid="{00000000-0005-0000-0000-0000F44C0000}"/>
    <cellStyle name="Input 2 2 4 11 3" xfId="20770" xr:uid="{00000000-0005-0000-0000-0000F54C0000}"/>
    <cellStyle name="Input 2 2 4 12" xfId="44065" xr:uid="{00000000-0005-0000-0000-0000F64C0000}"/>
    <cellStyle name="Input 2 2 4 2" xfId="20771" xr:uid="{00000000-0005-0000-0000-0000F74C0000}"/>
    <cellStyle name="Input 2 2 4 2 10" xfId="20772" xr:uid="{00000000-0005-0000-0000-0000F84C0000}"/>
    <cellStyle name="Input 2 2 4 2 2" xfId="20773" xr:uid="{00000000-0005-0000-0000-0000F94C0000}"/>
    <cellStyle name="Input 2 2 4 2 2 2" xfId="20774" xr:uid="{00000000-0005-0000-0000-0000FA4C0000}"/>
    <cellStyle name="Input 2 2 4 2 2 2 2" xfId="20775" xr:uid="{00000000-0005-0000-0000-0000FB4C0000}"/>
    <cellStyle name="Input 2 2 4 2 2 2 3" xfId="20776" xr:uid="{00000000-0005-0000-0000-0000FC4C0000}"/>
    <cellStyle name="Input 2 2 4 2 2 3" xfId="20777" xr:uid="{00000000-0005-0000-0000-0000FD4C0000}"/>
    <cellStyle name="Input 2 2 4 2 2 3 2" xfId="20778" xr:uid="{00000000-0005-0000-0000-0000FE4C0000}"/>
    <cellStyle name="Input 2 2 4 2 2 3 3" xfId="20779" xr:uid="{00000000-0005-0000-0000-0000FF4C0000}"/>
    <cellStyle name="Input 2 2 4 2 2 4" xfId="20780" xr:uid="{00000000-0005-0000-0000-0000004D0000}"/>
    <cellStyle name="Input 2 2 4 2 2 4 2" xfId="20781" xr:uid="{00000000-0005-0000-0000-0000014D0000}"/>
    <cellStyle name="Input 2 2 4 2 2 4 3" xfId="20782" xr:uid="{00000000-0005-0000-0000-0000024D0000}"/>
    <cellStyle name="Input 2 2 4 2 2 5" xfId="20783" xr:uid="{00000000-0005-0000-0000-0000034D0000}"/>
    <cellStyle name="Input 2 2 4 2 2 5 2" xfId="20784" xr:uid="{00000000-0005-0000-0000-0000044D0000}"/>
    <cellStyle name="Input 2 2 4 2 2 5 3" xfId="20785" xr:uid="{00000000-0005-0000-0000-0000054D0000}"/>
    <cellStyle name="Input 2 2 4 2 2 6" xfId="20786" xr:uid="{00000000-0005-0000-0000-0000064D0000}"/>
    <cellStyle name="Input 2 2 4 2 2 6 2" xfId="20787" xr:uid="{00000000-0005-0000-0000-0000074D0000}"/>
    <cellStyle name="Input 2 2 4 2 2 6 3" xfId="20788" xr:uid="{00000000-0005-0000-0000-0000084D0000}"/>
    <cellStyle name="Input 2 2 4 2 2 7" xfId="20789" xr:uid="{00000000-0005-0000-0000-0000094D0000}"/>
    <cellStyle name="Input 2 2 4 2 2 7 2" xfId="20790" xr:uid="{00000000-0005-0000-0000-00000A4D0000}"/>
    <cellStyle name="Input 2 2 4 2 2 7 3" xfId="20791" xr:uid="{00000000-0005-0000-0000-00000B4D0000}"/>
    <cellStyle name="Input 2 2 4 2 2 8" xfId="20792" xr:uid="{00000000-0005-0000-0000-00000C4D0000}"/>
    <cellStyle name="Input 2 2 4 2 2 9" xfId="20793" xr:uid="{00000000-0005-0000-0000-00000D4D0000}"/>
    <cellStyle name="Input 2 2 4 2 3" xfId="20794" xr:uid="{00000000-0005-0000-0000-00000E4D0000}"/>
    <cellStyle name="Input 2 2 4 2 3 2" xfId="20795" xr:uid="{00000000-0005-0000-0000-00000F4D0000}"/>
    <cellStyle name="Input 2 2 4 2 3 3" xfId="20796" xr:uid="{00000000-0005-0000-0000-0000104D0000}"/>
    <cellStyle name="Input 2 2 4 2 4" xfId="20797" xr:uid="{00000000-0005-0000-0000-0000114D0000}"/>
    <cellStyle name="Input 2 2 4 2 4 2" xfId="20798" xr:uid="{00000000-0005-0000-0000-0000124D0000}"/>
    <cellStyle name="Input 2 2 4 2 4 3" xfId="20799" xr:uid="{00000000-0005-0000-0000-0000134D0000}"/>
    <cellStyle name="Input 2 2 4 2 5" xfId="20800" xr:uid="{00000000-0005-0000-0000-0000144D0000}"/>
    <cellStyle name="Input 2 2 4 2 5 2" xfId="20801" xr:uid="{00000000-0005-0000-0000-0000154D0000}"/>
    <cellStyle name="Input 2 2 4 2 5 3" xfId="20802" xr:uid="{00000000-0005-0000-0000-0000164D0000}"/>
    <cellStyle name="Input 2 2 4 2 6" xfId="20803" xr:uid="{00000000-0005-0000-0000-0000174D0000}"/>
    <cellStyle name="Input 2 2 4 2 6 2" xfId="20804" xr:uid="{00000000-0005-0000-0000-0000184D0000}"/>
    <cellStyle name="Input 2 2 4 2 6 3" xfId="20805" xr:uid="{00000000-0005-0000-0000-0000194D0000}"/>
    <cellStyle name="Input 2 2 4 2 7" xfId="20806" xr:uid="{00000000-0005-0000-0000-00001A4D0000}"/>
    <cellStyle name="Input 2 2 4 2 7 2" xfId="20807" xr:uid="{00000000-0005-0000-0000-00001B4D0000}"/>
    <cellStyle name="Input 2 2 4 2 7 3" xfId="20808" xr:uid="{00000000-0005-0000-0000-00001C4D0000}"/>
    <cellStyle name="Input 2 2 4 2 8" xfId="20809" xr:uid="{00000000-0005-0000-0000-00001D4D0000}"/>
    <cellStyle name="Input 2 2 4 2 8 2" xfId="20810" xr:uid="{00000000-0005-0000-0000-00001E4D0000}"/>
    <cellStyle name="Input 2 2 4 2 8 3" xfId="20811" xr:uid="{00000000-0005-0000-0000-00001F4D0000}"/>
    <cellStyle name="Input 2 2 4 2 9" xfId="20812" xr:uid="{00000000-0005-0000-0000-0000204D0000}"/>
    <cellStyle name="Input 2 2 4 3" xfId="20813" xr:uid="{00000000-0005-0000-0000-0000214D0000}"/>
    <cellStyle name="Input 2 2 4 3 10" xfId="20814" xr:uid="{00000000-0005-0000-0000-0000224D0000}"/>
    <cellStyle name="Input 2 2 4 3 2" xfId="20815" xr:uid="{00000000-0005-0000-0000-0000234D0000}"/>
    <cellStyle name="Input 2 2 4 3 2 2" xfId="20816" xr:uid="{00000000-0005-0000-0000-0000244D0000}"/>
    <cellStyle name="Input 2 2 4 3 2 2 2" xfId="20817" xr:uid="{00000000-0005-0000-0000-0000254D0000}"/>
    <cellStyle name="Input 2 2 4 3 2 2 3" xfId="20818" xr:uid="{00000000-0005-0000-0000-0000264D0000}"/>
    <cellStyle name="Input 2 2 4 3 2 3" xfId="20819" xr:uid="{00000000-0005-0000-0000-0000274D0000}"/>
    <cellStyle name="Input 2 2 4 3 2 3 2" xfId="20820" xr:uid="{00000000-0005-0000-0000-0000284D0000}"/>
    <cellStyle name="Input 2 2 4 3 2 3 3" xfId="20821" xr:uid="{00000000-0005-0000-0000-0000294D0000}"/>
    <cellStyle name="Input 2 2 4 3 2 4" xfId="20822" xr:uid="{00000000-0005-0000-0000-00002A4D0000}"/>
    <cellStyle name="Input 2 2 4 3 2 4 2" xfId="20823" xr:uid="{00000000-0005-0000-0000-00002B4D0000}"/>
    <cellStyle name="Input 2 2 4 3 2 4 3" xfId="20824" xr:uid="{00000000-0005-0000-0000-00002C4D0000}"/>
    <cellStyle name="Input 2 2 4 3 2 5" xfId="20825" xr:uid="{00000000-0005-0000-0000-00002D4D0000}"/>
    <cellStyle name="Input 2 2 4 3 2 5 2" xfId="20826" xr:uid="{00000000-0005-0000-0000-00002E4D0000}"/>
    <cellStyle name="Input 2 2 4 3 2 5 3" xfId="20827" xr:uid="{00000000-0005-0000-0000-00002F4D0000}"/>
    <cellStyle name="Input 2 2 4 3 2 6" xfId="20828" xr:uid="{00000000-0005-0000-0000-0000304D0000}"/>
    <cellStyle name="Input 2 2 4 3 2 6 2" xfId="20829" xr:uid="{00000000-0005-0000-0000-0000314D0000}"/>
    <cellStyle name="Input 2 2 4 3 2 6 3" xfId="20830" xr:uid="{00000000-0005-0000-0000-0000324D0000}"/>
    <cellStyle name="Input 2 2 4 3 2 7" xfId="20831" xr:uid="{00000000-0005-0000-0000-0000334D0000}"/>
    <cellStyle name="Input 2 2 4 3 2 7 2" xfId="20832" xr:uid="{00000000-0005-0000-0000-0000344D0000}"/>
    <cellStyle name="Input 2 2 4 3 2 7 3" xfId="20833" xr:uid="{00000000-0005-0000-0000-0000354D0000}"/>
    <cellStyle name="Input 2 2 4 3 2 8" xfId="20834" xr:uid="{00000000-0005-0000-0000-0000364D0000}"/>
    <cellStyle name="Input 2 2 4 3 2 9" xfId="20835" xr:uid="{00000000-0005-0000-0000-0000374D0000}"/>
    <cellStyle name="Input 2 2 4 3 3" xfId="20836" xr:uid="{00000000-0005-0000-0000-0000384D0000}"/>
    <cellStyle name="Input 2 2 4 3 3 2" xfId="20837" xr:uid="{00000000-0005-0000-0000-0000394D0000}"/>
    <cellStyle name="Input 2 2 4 3 3 3" xfId="20838" xr:uid="{00000000-0005-0000-0000-00003A4D0000}"/>
    <cellStyle name="Input 2 2 4 3 4" xfId="20839" xr:uid="{00000000-0005-0000-0000-00003B4D0000}"/>
    <cellStyle name="Input 2 2 4 3 4 2" xfId="20840" xr:uid="{00000000-0005-0000-0000-00003C4D0000}"/>
    <cellStyle name="Input 2 2 4 3 4 3" xfId="20841" xr:uid="{00000000-0005-0000-0000-00003D4D0000}"/>
    <cellStyle name="Input 2 2 4 3 5" xfId="20842" xr:uid="{00000000-0005-0000-0000-00003E4D0000}"/>
    <cellStyle name="Input 2 2 4 3 5 2" xfId="20843" xr:uid="{00000000-0005-0000-0000-00003F4D0000}"/>
    <cellStyle name="Input 2 2 4 3 5 3" xfId="20844" xr:uid="{00000000-0005-0000-0000-0000404D0000}"/>
    <cellStyle name="Input 2 2 4 3 6" xfId="20845" xr:uid="{00000000-0005-0000-0000-0000414D0000}"/>
    <cellStyle name="Input 2 2 4 3 6 2" xfId="20846" xr:uid="{00000000-0005-0000-0000-0000424D0000}"/>
    <cellStyle name="Input 2 2 4 3 6 3" xfId="20847" xr:uid="{00000000-0005-0000-0000-0000434D0000}"/>
    <cellStyle name="Input 2 2 4 3 7" xfId="20848" xr:uid="{00000000-0005-0000-0000-0000444D0000}"/>
    <cellStyle name="Input 2 2 4 3 7 2" xfId="20849" xr:uid="{00000000-0005-0000-0000-0000454D0000}"/>
    <cellStyle name="Input 2 2 4 3 7 3" xfId="20850" xr:uid="{00000000-0005-0000-0000-0000464D0000}"/>
    <cellStyle name="Input 2 2 4 3 8" xfId="20851" xr:uid="{00000000-0005-0000-0000-0000474D0000}"/>
    <cellStyle name="Input 2 2 4 3 8 2" xfId="20852" xr:uid="{00000000-0005-0000-0000-0000484D0000}"/>
    <cellStyle name="Input 2 2 4 3 8 3" xfId="20853" xr:uid="{00000000-0005-0000-0000-0000494D0000}"/>
    <cellStyle name="Input 2 2 4 3 9" xfId="20854" xr:uid="{00000000-0005-0000-0000-00004A4D0000}"/>
    <cellStyle name="Input 2 2 4 4" xfId="20855" xr:uid="{00000000-0005-0000-0000-00004B4D0000}"/>
    <cellStyle name="Input 2 2 4 4 10" xfId="20856" xr:uid="{00000000-0005-0000-0000-00004C4D0000}"/>
    <cellStyle name="Input 2 2 4 4 2" xfId="20857" xr:uid="{00000000-0005-0000-0000-00004D4D0000}"/>
    <cellStyle name="Input 2 2 4 4 2 2" xfId="20858" xr:uid="{00000000-0005-0000-0000-00004E4D0000}"/>
    <cellStyle name="Input 2 2 4 4 2 2 2" xfId="20859" xr:uid="{00000000-0005-0000-0000-00004F4D0000}"/>
    <cellStyle name="Input 2 2 4 4 2 2 3" xfId="20860" xr:uid="{00000000-0005-0000-0000-0000504D0000}"/>
    <cellStyle name="Input 2 2 4 4 2 3" xfId="20861" xr:uid="{00000000-0005-0000-0000-0000514D0000}"/>
    <cellStyle name="Input 2 2 4 4 2 3 2" xfId="20862" xr:uid="{00000000-0005-0000-0000-0000524D0000}"/>
    <cellStyle name="Input 2 2 4 4 2 3 3" xfId="20863" xr:uid="{00000000-0005-0000-0000-0000534D0000}"/>
    <cellStyle name="Input 2 2 4 4 2 4" xfId="20864" xr:uid="{00000000-0005-0000-0000-0000544D0000}"/>
    <cellStyle name="Input 2 2 4 4 2 4 2" xfId="20865" xr:uid="{00000000-0005-0000-0000-0000554D0000}"/>
    <cellStyle name="Input 2 2 4 4 2 4 3" xfId="20866" xr:uid="{00000000-0005-0000-0000-0000564D0000}"/>
    <cellStyle name="Input 2 2 4 4 2 5" xfId="20867" xr:uid="{00000000-0005-0000-0000-0000574D0000}"/>
    <cellStyle name="Input 2 2 4 4 2 5 2" xfId="20868" xr:uid="{00000000-0005-0000-0000-0000584D0000}"/>
    <cellStyle name="Input 2 2 4 4 2 5 3" xfId="20869" xr:uid="{00000000-0005-0000-0000-0000594D0000}"/>
    <cellStyle name="Input 2 2 4 4 2 6" xfId="20870" xr:uid="{00000000-0005-0000-0000-00005A4D0000}"/>
    <cellStyle name="Input 2 2 4 4 2 6 2" xfId="20871" xr:uid="{00000000-0005-0000-0000-00005B4D0000}"/>
    <cellStyle name="Input 2 2 4 4 2 6 3" xfId="20872" xr:uid="{00000000-0005-0000-0000-00005C4D0000}"/>
    <cellStyle name="Input 2 2 4 4 2 7" xfId="20873" xr:uid="{00000000-0005-0000-0000-00005D4D0000}"/>
    <cellStyle name="Input 2 2 4 4 2 7 2" xfId="20874" xr:uid="{00000000-0005-0000-0000-00005E4D0000}"/>
    <cellStyle name="Input 2 2 4 4 2 7 3" xfId="20875" xr:uid="{00000000-0005-0000-0000-00005F4D0000}"/>
    <cellStyle name="Input 2 2 4 4 2 8" xfId="20876" xr:uid="{00000000-0005-0000-0000-0000604D0000}"/>
    <cellStyle name="Input 2 2 4 4 2 9" xfId="20877" xr:uid="{00000000-0005-0000-0000-0000614D0000}"/>
    <cellStyle name="Input 2 2 4 4 3" xfId="20878" xr:uid="{00000000-0005-0000-0000-0000624D0000}"/>
    <cellStyle name="Input 2 2 4 4 3 2" xfId="20879" xr:uid="{00000000-0005-0000-0000-0000634D0000}"/>
    <cellStyle name="Input 2 2 4 4 3 3" xfId="20880" xr:uid="{00000000-0005-0000-0000-0000644D0000}"/>
    <cellStyle name="Input 2 2 4 4 4" xfId="20881" xr:uid="{00000000-0005-0000-0000-0000654D0000}"/>
    <cellStyle name="Input 2 2 4 4 4 2" xfId="20882" xr:uid="{00000000-0005-0000-0000-0000664D0000}"/>
    <cellStyle name="Input 2 2 4 4 4 3" xfId="20883" xr:uid="{00000000-0005-0000-0000-0000674D0000}"/>
    <cellStyle name="Input 2 2 4 4 5" xfId="20884" xr:uid="{00000000-0005-0000-0000-0000684D0000}"/>
    <cellStyle name="Input 2 2 4 4 5 2" xfId="20885" xr:uid="{00000000-0005-0000-0000-0000694D0000}"/>
    <cellStyle name="Input 2 2 4 4 5 3" xfId="20886" xr:uid="{00000000-0005-0000-0000-00006A4D0000}"/>
    <cellStyle name="Input 2 2 4 4 6" xfId="20887" xr:uid="{00000000-0005-0000-0000-00006B4D0000}"/>
    <cellStyle name="Input 2 2 4 4 6 2" xfId="20888" xr:uid="{00000000-0005-0000-0000-00006C4D0000}"/>
    <cellStyle name="Input 2 2 4 4 6 3" xfId="20889" xr:uid="{00000000-0005-0000-0000-00006D4D0000}"/>
    <cellStyle name="Input 2 2 4 4 7" xfId="20890" xr:uid="{00000000-0005-0000-0000-00006E4D0000}"/>
    <cellStyle name="Input 2 2 4 4 7 2" xfId="20891" xr:uid="{00000000-0005-0000-0000-00006F4D0000}"/>
    <cellStyle name="Input 2 2 4 4 7 3" xfId="20892" xr:uid="{00000000-0005-0000-0000-0000704D0000}"/>
    <cellStyle name="Input 2 2 4 4 8" xfId="20893" xr:uid="{00000000-0005-0000-0000-0000714D0000}"/>
    <cellStyle name="Input 2 2 4 4 8 2" xfId="20894" xr:uid="{00000000-0005-0000-0000-0000724D0000}"/>
    <cellStyle name="Input 2 2 4 4 8 3" xfId="20895" xr:uid="{00000000-0005-0000-0000-0000734D0000}"/>
    <cellStyle name="Input 2 2 4 4 9" xfId="20896" xr:uid="{00000000-0005-0000-0000-0000744D0000}"/>
    <cellStyle name="Input 2 2 4 5" xfId="20897" xr:uid="{00000000-0005-0000-0000-0000754D0000}"/>
    <cellStyle name="Input 2 2 4 5 2" xfId="20898" xr:uid="{00000000-0005-0000-0000-0000764D0000}"/>
    <cellStyle name="Input 2 2 4 5 2 2" xfId="20899" xr:uid="{00000000-0005-0000-0000-0000774D0000}"/>
    <cellStyle name="Input 2 2 4 5 2 3" xfId="20900" xr:uid="{00000000-0005-0000-0000-0000784D0000}"/>
    <cellStyle name="Input 2 2 4 5 3" xfId="20901" xr:uid="{00000000-0005-0000-0000-0000794D0000}"/>
    <cellStyle name="Input 2 2 4 5 3 2" xfId="20902" xr:uid="{00000000-0005-0000-0000-00007A4D0000}"/>
    <cellStyle name="Input 2 2 4 5 3 3" xfId="20903" xr:uid="{00000000-0005-0000-0000-00007B4D0000}"/>
    <cellStyle name="Input 2 2 4 5 4" xfId="20904" xr:uid="{00000000-0005-0000-0000-00007C4D0000}"/>
    <cellStyle name="Input 2 2 4 5 4 2" xfId="20905" xr:uid="{00000000-0005-0000-0000-00007D4D0000}"/>
    <cellStyle name="Input 2 2 4 5 4 3" xfId="20906" xr:uid="{00000000-0005-0000-0000-00007E4D0000}"/>
    <cellStyle name="Input 2 2 4 5 5" xfId="20907" xr:uid="{00000000-0005-0000-0000-00007F4D0000}"/>
    <cellStyle name="Input 2 2 4 5 5 2" xfId="20908" xr:uid="{00000000-0005-0000-0000-0000804D0000}"/>
    <cellStyle name="Input 2 2 4 5 5 3" xfId="20909" xr:uid="{00000000-0005-0000-0000-0000814D0000}"/>
    <cellStyle name="Input 2 2 4 5 6" xfId="20910" xr:uid="{00000000-0005-0000-0000-0000824D0000}"/>
    <cellStyle name="Input 2 2 4 5 6 2" xfId="20911" xr:uid="{00000000-0005-0000-0000-0000834D0000}"/>
    <cellStyle name="Input 2 2 4 5 6 3" xfId="20912" xr:uid="{00000000-0005-0000-0000-0000844D0000}"/>
    <cellStyle name="Input 2 2 4 5 7" xfId="20913" xr:uid="{00000000-0005-0000-0000-0000854D0000}"/>
    <cellStyle name="Input 2 2 4 5 7 2" xfId="20914" xr:uid="{00000000-0005-0000-0000-0000864D0000}"/>
    <cellStyle name="Input 2 2 4 5 7 3" xfId="20915" xr:uid="{00000000-0005-0000-0000-0000874D0000}"/>
    <cellStyle name="Input 2 2 4 5 8" xfId="20916" xr:uid="{00000000-0005-0000-0000-0000884D0000}"/>
    <cellStyle name="Input 2 2 4 5 9" xfId="20917" xr:uid="{00000000-0005-0000-0000-0000894D0000}"/>
    <cellStyle name="Input 2 2 4 6" xfId="20918" xr:uid="{00000000-0005-0000-0000-00008A4D0000}"/>
    <cellStyle name="Input 2 2 4 6 2" xfId="20919" xr:uid="{00000000-0005-0000-0000-00008B4D0000}"/>
    <cellStyle name="Input 2 2 4 6 3" xfId="20920" xr:uid="{00000000-0005-0000-0000-00008C4D0000}"/>
    <cellStyle name="Input 2 2 4 7" xfId="20921" xr:uid="{00000000-0005-0000-0000-00008D4D0000}"/>
    <cellStyle name="Input 2 2 4 7 2" xfId="20922" xr:uid="{00000000-0005-0000-0000-00008E4D0000}"/>
    <cellStyle name="Input 2 2 4 7 3" xfId="20923" xr:uid="{00000000-0005-0000-0000-00008F4D0000}"/>
    <cellStyle name="Input 2 2 4 8" xfId="20924" xr:uid="{00000000-0005-0000-0000-0000904D0000}"/>
    <cellStyle name="Input 2 2 4 8 2" xfId="20925" xr:uid="{00000000-0005-0000-0000-0000914D0000}"/>
    <cellStyle name="Input 2 2 4 8 3" xfId="20926" xr:uid="{00000000-0005-0000-0000-0000924D0000}"/>
    <cellStyle name="Input 2 2 4 9" xfId="20927" xr:uid="{00000000-0005-0000-0000-0000934D0000}"/>
    <cellStyle name="Input 2 2 4 9 2" xfId="20928" xr:uid="{00000000-0005-0000-0000-0000944D0000}"/>
    <cellStyle name="Input 2 2 4 9 3" xfId="20929" xr:uid="{00000000-0005-0000-0000-0000954D0000}"/>
    <cellStyle name="Input 2 2 5" xfId="20930" xr:uid="{00000000-0005-0000-0000-0000964D0000}"/>
    <cellStyle name="Input 2 2 5 10" xfId="20931" xr:uid="{00000000-0005-0000-0000-0000974D0000}"/>
    <cellStyle name="Input 2 2 5 2" xfId="20932" xr:uid="{00000000-0005-0000-0000-0000984D0000}"/>
    <cellStyle name="Input 2 2 5 2 2" xfId="20933" xr:uid="{00000000-0005-0000-0000-0000994D0000}"/>
    <cellStyle name="Input 2 2 5 2 2 2" xfId="20934" xr:uid="{00000000-0005-0000-0000-00009A4D0000}"/>
    <cellStyle name="Input 2 2 5 2 2 3" xfId="20935" xr:uid="{00000000-0005-0000-0000-00009B4D0000}"/>
    <cellStyle name="Input 2 2 5 2 3" xfId="20936" xr:uid="{00000000-0005-0000-0000-00009C4D0000}"/>
    <cellStyle name="Input 2 2 5 2 3 2" xfId="20937" xr:uid="{00000000-0005-0000-0000-00009D4D0000}"/>
    <cellStyle name="Input 2 2 5 2 3 3" xfId="20938" xr:uid="{00000000-0005-0000-0000-00009E4D0000}"/>
    <cellStyle name="Input 2 2 5 2 4" xfId="20939" xr:uid="{00000000-0005-0000-0000-00009F4D0000}"/>
    <cellStyle name="Input 2 2 5 2 4 2" xfId="20940" xr:uid="{00000000-0005-0000-0000-0000A04D0000}"/>
    <cellStyle name="Input 2 2 5 2 4 3" xfId="20941" xr:uid="{00000000-0005-0000-0000-0000A14D0000}"/>
    <cellStyle name="Input 2 2 5 2 5" xfId="20942" xr:uid="{00000000-0005-0000-0000-0000A24D0000}"/>
    <cellStyle name="Input 2 2 5 2 5 2" xfId="20943" xr:uid="{00000000-0005-0000-0000-0000A34D0000}"/>
    <cellStyle name="Input 2 2 5 2 5 3" xfId="20944" xr:uid="{00000000-0005-0000-0000-0000A44D0000}"/>
    <cellStyle name="Input 2 2 5 2 6" xfId="20945" xr:uid="{00000000-0005-0000-0000-0000A54D0000}"/>
    <cellStyle name="Input 2 2 5 2 6 2" xfId="20946" xr:uid="{00000000-0005-0000-0000-0000A64D0000}"/>
    <cellStyle name="Input 2 2 5 2 6 3" xfId="20947" xr:uid="{00000000-0005-0000-0000-0000A74D0000}"/>
    <cellStyle name="Input 2 2 5 2 7" xfId="20948" xr:uid="{00000000-0005-0000-0000-0000A84D0000}"/>
    <cellStyle name="Input 2 2 5 2 7 2" xfId="20949" xr:uid="{00000000-0005-0000-0000-0000A94D0000}"/>
    <cellStyle name="Input 2 2 5 2 7 3" xfId="20950" xr:uid="{00000000-0005-0000-0000-0000AA4D0000}"/>
    <cellStyle name="Input 2 2 5 2 8" xfId="20951" xr:uid="{00000000-0005-0000-0000-0000AB4D0000}"/>
    <cellStyle name="Input 2 2 5 2 9" xfId="20952" xr:uid="{00000000-0005-0000-0000-0000AC4D0000}"/>
    <cellStyle name="Input 2 2 5 3" xfId="20953" xr:uid="{00000000-0005-0000-0000-0000AD4D0000}"/>
    <cellStyle name="Input 2 2 5 3 2" xfId="20954" xr:uid="{00000000-0005-0000-0000-0000AE4D0000}"/>
    <cellStyle name="Input 2 2 5 3 3" xfId="20955" xr:uid="{00000000-0005-0000-0000-0000AF4D0000}"/>
    <cellStyle name="Input 2 2 5 4" xfId="20956" xr:uid="{00000000-0005-0000-0000-0000B04D0000}"/>
    <cellStyle name="Input 2 2 5 4 2" xfId="20957" xr:uid="{00000000-0005-0000-0000-0000B14D0000}"/>
    <cellStyle name="Input 2 2 5 4 3" xfId="20958" xr:uid="{00000000-0005-0000-0000-0000B24D0000}"/>
    <cellStyle name="Input 2 2 5 5" xfId="20959" xr:uid="{00000000-0005-0000-0000-0000B34D0000}"/>
    <cellStyle name="Input 2 2 5 5 2" xfId="20960" xr:uid="{00000000-0005-0000-0000-0000B44D0000}"/>
    <cellStyle name="Input 2 2 5 5 3" xfId="20961" xr:uid="{00000000-0005-0000-0000-0000B54D0000}"/>
    <cellStyle name="Input 2 2 5 6" xfId="20962" xr:uid="{00000000-0005-0000-0000-0000B64D0000}"/>
    <cellStyle name="Input 2 2 5 6 2" xfId="20963" xr:uid="{00000000-0005-0000-0000-0000B74D0000}"/>
    <cellStyle name="Input 2 2 5 6 3" xfId="20964" xr:uid="{00000000-0005-0000-0000-0000B84D0000}"/>
    <cellStyle name="Input 2 2 5 7" xfId="20965" xr:uid="{00000000-0005-0000-0000-0000B94D0000}"/>
    <cellStyle name="Input 2 2 5 7 2" xfId="20966" xr:uid="{00000000-0005-0000-0000-0000BA4D0000}"/>
    <cellStyle name="Input 2 2 5 7 3" xfId="20967" xr:uid="{00000000-0005-0000-0000-0000BB4D0000}"/>
    <cellStyle name="Input 2 2 5 8" xfId="20968" xr:uid="{00000000-0005-0000-0000-0000BC4D0000}"/>
    <cellStyle name="Input 2 2 5 8 2" xfId="20969" xr:uid="{00000000-0005-0000-0000-0000BD4D0000}"/>
    <cellStyle name="Input 2 2 5 8 3" xfId="20970" xr:uid="{00000000-0005-0000-0000-0000BE4D0000}"/>
    <cellStyle name="Input 2 2 5 9" xfId="20971" xr:uid="{00000000-0005-0000-0000-0000BF4D0000}"/>
    <cellStyle name="Input 2 2 6" xfId="20972" xr:uid="{00000000-0005-0000-0000-0000C04D0000}"/>
    <cellStyle name="Input 2 2 6 10" xfId="20973" xr:uid="{00000000-0005-0000-0000-0000C14D0000}"/>
    <cellStyle name="Input 2 2 6 2" xfId="20974" xr:uid="{00000000-0005-0000-0000-0000C24D0000}"/>
    <cellStyle name="Input 2 2 6 2 2" xfId="20975" xr:uid="{00000000-0005-0000-0000-0000C34D0000}"/>
    <cellStyle name="Input 2 2 6 2 2 2" xfId="20976" xr:uid="{00000000-0005-0000-0000-0000C44D0000}"/>
    <cellStyle name="Input 2 2 6 2 2 3" xfId="20977" xr:uid="{00000000-0005-0000-0000-0000C54D0000}"/>
    <cellStyle name="Input 2 2 6 2 3" xfId="20978" xr:uid="{00000000-0005-0000-0000-0000C64D0000}"/>
    <cellStyle name="Input 2 2 6 2 3 2" xfId="20979" xr:uid="{00000000-0005-0000-0000-0000C74D0000}"/>
    <cellStyle name="Input 2 2 6 2 3 3" xfId="20980" xr:uid="{00000000-0005-0000-0000-0000C84D0000}"/>
    <cellStyle name="Input 2 2 6 2 4" xfId="20981" xr:uid="{00000000-0005-0000-0000-0000C94D0000}"/>
    <cellStyle name="Input 2 2 6 2 4 2" xfId="20982" xr:uid="{00000000-0005-0000-0000-0000CA4D0000}"/>
    <cellStyle name="Input 2 2 6 2 4 3" xfId="20983" xr:uid="{00000000-0005-0000-0000-0000CB4D0000}"/>
    <cellStyle name="Input 2 2 6 2 5" xfId="20984" xr:uid="{00000000-0005-0000-0000-0000CC4D0000}"/>
    <cellStyle name="Input 2 2 6 2 5 2" xfId="20985" xr:uid="{00000000-0005-0000-0000-0000CD4D0000}"/>
    <cellStyle name="Input 2 2 6 2 5 3" xfId="20986" xr:uid="{00000000-0005-0000-0000-0000CE4D0000}"/>
    <cellStyle name="Input 2 2 6 2 6" xfId="20987" xr:uid="{00000000-0005-0000-0000-0000CF4D0000}"/>
    <cellStyle name="Input 2 2 6 2 6 2" xfId="20988" xr:uid="{00000000-0005-0000-0000-0000D04D0000}"/>
    <cellStyle name="Input 2 2 6 2 6 3" xfId="20989" xr:uid="{00000000-0005-0000-0000-0000D14D0000}"/>
    <cellStyle name="Input 2 2 6 2 7" xfId="20990" xr:uid="{00000000-0005-0000-0000-0000D24D0000}"/>
    <cellStyle name="Input 2 2 6 2 7 2" xfId="20991" xr:uid="{00000000-0005-0000-0000-0000D34D0000}"/>
    <cellStyle name="Input 2 2 6 2 7 3" xfId="20992" xr:uid="{00000000-0005-0000-0000-0000D44D0000}"/>
    <cellStyle name="Input 2 2 6 2 8" xfId="20993" xr:uid="{00000000-0005-0000-0000-0000D54D0000}"/>
    <cellStyle name="Input 2 2 6 2 9" xfId="20994" xr:uid="{00000000-0005-0000-0000-0000D64D0000}"/>
    <cellStyle name="Input 2 2 6 3" xfId="20995" xr:uid="{00000000-0005-0000-0000-0000D74D0000}"/>
    <cellStyle name="Input 2 2 6 3 2" xfId="20996" xr:uid="{00000000-0005-0000-0000-0000D84D0000}"/>
    <cellStyle name="Input 2 2 6 3 3" xfId="20997" xr:uid="{00000000-0005-0000-0000-0000D94D0000}"/>
    <cellStyle name="Input 2 2 6 4" xfId="20998" xr:uid="{00000000-0005-0000-0000-0000DA4D0000}"/>
    <cellStyle name="Input 2 2 6 4 2" xfId="20999" xr:uid="{00000000-0005-0000-0000-0000DB4D0000}"/>
    <cellStyle name="Input 2 2 6 4 3" xfId="21000" xr:uid="{00000000-0005-0000-0000-0000DC4D0000}"/>
    <cellStyle name="Input 2 2 6 5" xfId="21001" xr:uid="{00000000-0005-0000-0000-0000DD4D0000}"/>
    <cellStyle name="Input 2 2 6 5 2" xfId="21002" xr:uid="{00000000-0005-0000-0000-0000DE4D0000}"/>
    <cellStyle name="Input 2 2 6 5 3" xfId="21003" xr:uid="{00000000-0005-0000-0000-0000DF4D0000}"/>
    <cellStyle name="Input 2 2 6 6" xfId="21004" xr:uid="{00000000-0005-0000-0000-0000E04D0000}"/>
    <cellStyle name="Input 2 2 6 6 2" xfId="21005" xr:uid="{00000000-0005-0000-0000-0000E14D0000}"/>
    <cellStyle name="Input 2 2 6 6 3" xfId="21006" xr:uid="{00000000-0005-0000-0000-0000E24D0000}"/>
    <cellStyle name="Input 2 2 6 7" xfId="21007" xr:uid="{00000000-0005-0000-0000-0000E34D0000}"/>
    <cellStyle name="Input 2 2 6 7 2" xfId="21008" xr:uid="{00000000-0005-0000-0000-0000E44D0000}"/>
    <cellStyle name="Input 2 2 6 7 3" xfId="21009" xr:uid="{00000000-0005-0000-0000-0000E54D0000}"/>
    <cellStyle name="Input 2 2 6 8" xfId="21010" xr:uid="{00000000-0005-0000-0000-0000E64D0000}"/>
    <cellStyle name="Input 2 2 6 8 2" xfId="21011" xr:uid="{00000000-0005-0000-0000-0000E74D0000}"/>
    <cellStyle name="Input 2 2 6 8 3" xfId="21012" xr:uid="{00000000-0005-0000-0000-0000E84D0000}"/>
    <cellStyle name="Input 2 2 6 9" xfId="21013" xr:uid="{00000000-0005-0000-0000-0000E94D0000}"/>
    <cellStyle name="Input 2 2 7" xfId="21014" xr:uid="{00000000-0005-0000-0000-0000EA4D0000}"/>
    <cellStyle name="Input 2 2 7 10" xfId="21015" xr:uid="{00000000-0005-0000-0000-0000EB4D0000}"/>
    <cellStyle name="Input 2 2 7 2" xfId="21016" xr:uid="{00000000-0005-0000-0000-0000EC4D0000}"/>
    <cellStyle name="Input 2 2 7 2 2" xfId="21017" xr:uid="{00000000-0005-0000-0000-0000ED4D0000}"/>
    <cellStyle name="Input 2 2 7 2 2 2" xfId="21018" xr:uid="{00000000-0005-0000-0000-0000EE4D0000}"/>
    <cellStyle name="Input 2 2 7 2 2 3" xfId="21019" xr:uid="{00000000-0005-0000-0000-0000EF4D0000}"/>
    <cellStyle name="Input 2 2 7 2 3" xfId="21020" xr:uid="{00000000-0005-0000-0000-0000F04D0000}"/>
    <cellStyle name="Input 2 2 7 2 3 2" xfId="21021" xr:uid="{00000000-0005-0000-0000-0000F14D0000}"/>
    <cellStyle name="Input 2 2 7 2 3 3" xfId="21022" xr:uid="{00000000-0005-0000-0000-0000F24D0000}"/>
    <cellStyle name="Input 2 2 7 2 4" xfId="21023" xr:uid="{00000000-0005-0000-0000-0000F34D0000}"/>
    <cellStyle name="Input 2 2 7 2 4 2" xfId="21024" xr:uid="{00000000-0005-0000-0000-0000F44D0000}"/>
    <cellStyle name="Input 2 2 7 2 4 3" xfId="21025" xr:uid="{00000000-0005-0000-0000-0000F54D0000}"/>
    <cellStyle name="Input 2 2 7 2 5" xfId="21026" xr:uid="{00000000-0005-0000-0000-0000F64D0000}"/>
    <cellStyle name="Input 2 2 7 2 5 2" xfId="21027" xr:uid="{00000000-0005-0000-0000-0000F74D0000}"/>
    <cellStyle name="Input 2 2 7 2 5 3" xfId="21028" xr:uid="{00000000-0005-0000-0000-0000F84D0000}"/>
    <cellStyle name="Input 2 2 7 2 6" xfId="21029" xr:uid="{00000000-0005-0000-0000-0000F94D0000}"/>
    <cellStyle name="Input 2 2 7 2 6 2" xfId="21030" xr:uid="{00000000-0005-0000-0000-0000FA4D0000}"/>
    <cellStyle name="Input 2 2 7 2 6 3" xfId="21031" xr:uid="{00000000-0005-0000-0000-0000FB4D0000}"/>
    <cellStyle name="Input 2 2 7 2 7" xfId="21032" xr:uid="{00000000-0005-0000-0000-0000FC4D0000}"/>
    <cellStyle name="Input 2 2 7 2 7 2" xfId="21033" xr:uid="{00000000-0005-0000-0000-0000FD4D0000}"/>
    <cellStyle name="Input 2 2 7 2 7 3" xfId="21034" xr:uid="{00000000-0005-0000-0000-0000FE4D0000}"/>
    <cellStyle name="Input 2 2 7 2 8" xfId="21035" xr:uid="{00000000-0005-0000-0000-0000FF4D0000}"/>
    <cellStyle name="Input 2 2 7 2 9" xfId="21036" xr:uid="{00000000-0005-0000-0000-0000004E0000}"/>
    <cellStyle name="Input 2 2 7 3" xfId="21037" xr:uid="{00000000-0005-0000-0000-0000014E0000}"/>
    <cellStyle name="Input 2 2 7 3 2" xfId="21038" xr:uid="{00000000-0005-0000-0000-0000024E0000}"/>
    <cellStyle name="Input 2 2 7 3 3" xfId="21039" xr:uid="{00000000-0005-0000-0000-0000034E0000}"/>
    <cellStyle name="Input 2 2 7 4" xfId="21040" xr:uid="{00000000-0005-0000-0000-0000044E0000}"/>
    <cellStyle name="Input 2 2 7 4 2" xfId="21041" xr:uid="{00000000-0005-0000-0000-0000054E0000}"/>
    <cellStyle name="Input 2 2 7 4 3" xfId="21042" xr:uid="{00000000-0005-0000-0000-0000064E0000}"/>
    <cellStyle name="Input 2 2 7 5" xfId="21043" xr:uid="{00000000-0005-0000-0000-0000074E0000}"/>
    <cellStyle name="Input 2 2 7 5 2" xfId="21044" xr:uid="{00000000-0005-0000-0000-0000084E0000}"/>
    <cellStyle name="Input 2 2 7 5 3" xfId="21045" xr:uid="{00000000-0005-0000-0000-0000094E0000}"/>
    <cellStyle name="Input 2 2 7 6" xfId="21046" xr:uid="{00000000-0005-0000-0000-00000A4E0000}"/>
    <cellStyle name="Input 2 2 7 6 2" xfId="21047" xr:uid="{00000000-0005-0000-0000-00000B4E0000}"/>
    <cellStyle name="Input 2 2 7 6 3" xfId="21048" xr:uid="{00000000-0005-0000-0000-00000C4E0000}"/>
    <cellStyle name="Input 2 2 7 7" xfId="21049" xr:uid="{00000000-0005-0000-0000-00000D4E0000}"/>
    <cellStyle name="Input 2 2 7 7 2" xfId="21050" xr:uid="{00000000-0005-0000-0000-00000E4E0000}"/>
    <cellStyle name="Input 2 2 7 7 3" xfId="21051" xr:uid="{00000000-0005-0000-0000-00000F4E0000}"/>
    <cellStyle name="Input 2 2 7 8" xfId="21052" xr:uid="{00000000-0005-0000-0000-0000104E0000}"/>
    <cellStyle name="Input 2 2 7 8 2" xfId="21053" xr:uid="{00000000-0005-0000-0000-0000114E0000}"/>
    <cellStyle name="Input 2 2 7 8 3" xfId="21054" xr:uid="{00000000-0005-0000-0000-0000124E0000}"/>
    <cellStyle name="Input 2 2 7 9" xfId="21055" xr:uid="{00000000-0005-0000-0000-0000134E0000}"/>
    <cellStyle name="Input 2 2 8" xfId="21056" xr:uid="{00000000-0005-0000-0000-0000144E0000}"/>
    <cellStyle name="Input 2 2 8 2" xfId="21057" xr:uid="{00000000-0005-0000-0000-0000154E0000}"/>
    <cellStyle name="Input 2 2 8 2 2" xfId="21058" xr:uid="{00000000-0005-0000-0000-0000164E0000}"/>
    <cellStyle name="Input 2 2 8 2 3" xfId="21059" xr:uid="{00000000-0005-0000-0000-0000174E0000}"/>
    <cellStyle name="Input 2 2 8 3" xfId="21060" xr:uid="{00000000-0005-0000-0000-0000184E0000}"/>
    <cellStyle name="Input 2 2 8 3 2" xfId="21061" xr:uid="{00000000-0005-0000-0000-0000194E0000}"/>
    <cellStyle name="Input 2 2 8 3 3" xfId="21062" xr:uid="{00000000-0005-0000-0000-00001A4E0000}"/>
    <cellStyle name="Input 2 2 8 4" xfId="21063" xr:uid="{00000000-0005-0000-0000-00001B4E0000}"/>
    <cellStyle name="Input 2 2 8 4 2" xfId="21064" xr:uid="{00000000-0005-0000-0000-00001C4E0000}"/>
    <cellStyle name="Input 2 2 8 4 3" xfId="21065" xr:uid="{00000000-0005-0000-0000-00001D4E0000}"/>
    <cellStyle name="Input 2 2 8 5" xfId="21066" xr:uid="{00000000-0005-0000-0000-00001E4E0000}"/>
    <cellStyle name="Input 2 2 8 5 2" xfId="21067" xr:uid="{00000000-0005-0000-0000-00001F4E0000}"/>
    <cellStyle name="Input 2 2 8 5 3" xfId="21068" xr:uid="{00000000-0005-0000-0000-0000204E0000}"/>
    <cellStyle name="Input 2 2 8 6" xfId="21069" xr:uid="{00000000-0005-0000-0000-0000214E0000}"/>
    <cellStyle name="Input 2 2 8 6 2" xfId="21070" xr:uid="{00000000-0005-0000-0000-0000224E0000}"/>
    <cellStyle name="Input 2 2 8 6 3" xfId="21071" xr:uid="{00000000-0005-0000-0000-0000234E0000}"/>
    <cellStyle name="Input 2 2 8 7" xfId="21072" xr:uid="{00000000-0005-0000-0000-0000244E0000}"/>
    <cellStyle name="Input 2 2 8 7 2" xfId="21073" xr:uid="{00000000-0005-0000-0000-0000254E0000}"/>
    <cellStyle name="Input 2 2 8 7 3" xfId="21074" xr:uid="{00000000-0005-0000-0000-0000264E0000}"/>
    <cellStyle name="Input 2 2 8 8" xfId="21075" xr:uid="{00000000-0005-0000-0000-0000274E0000}"/>
    <cellStyle name="Input 2 2 8 9" xfId="21076" xr:uid="{00000000-0005-0000-0000-0000284E0000}"/>
    <cellStyle name="Input 2 2 9" xfId="21077" xr:uid="{00000000-0005-0000-0000-0000294E0000}"/>
    <cellStyle name="Input 2 2 9 2" xfId="21078" xr:uid="{00000000-0005-0000-0000-00002A4E0000}"/>
    <cellStyle name="Input 2 2 9 3" xfId="21079" xr:uid="{00000000-0005-0000-0000-00002B4E0000}"/>
    <cellStyle name="Input 2 3" xfId="1087" xr:uid="{00000000-0005-0000-0000-00002C4E0000}"/>
    <cellStyle name="Input 2 3 10" xfId="21080" xr:uid="{00000000-0005-0000-0000-00002D4E0000}"/>
    <cellStyle name="Input 2 3 10 2" xfId="21081" xr:uid="{00000000-0005-0000-0000-00002E4E0000}"/>
    <cellStyle name="Input 2 3 10 3" xfId="21082" xr:uid="{00000000-0005-0000-0000-00002F4E0000}"/>
    <cellStyle name="Input 2 3 11" xfId="21083" xr:uid="{00000000-0005-0000-0000-0000304E0000}"/>
    <cellStyle name="Input 2 3 11 2" xfId="21084" xr:uid="{00000000-0005-0000-0000-0000314E0000}"/>
    <cellStyle name="Input 2 3 11 3" xfId="21085" xr:uid="{00000000-0005-0000-0000-0000324E0000}"/>
    <cellStyle name="Input 2 3 12" xfId="21086" xr:uid="{00000000-0005-0000-0000-0000334E0000}"/>
    <cellStyle name="Input 2 3 13" xfId="21087" xr:uid="{00000000-0005-0000-0000-0000344E0000}"/>
    <cellStyle name="Input 2 3 2" xfId="21088" xr:uid="{00000000-0005-0000-0000-0000354E0000}"/>
    <cellStyle name="Input 2 3 2 10" xfId="21089" xr:uid="{00000000-0005-0000-0000-0000364E0000}"/>
    <cellStyle name="Input 2 3 2 10 2" xfId="21090" xr:uid="{00000000-0005-0000-0000-0000374E0000}"/>
    <cellStyle name="Input 2 3 2 10 3" xfId="21091" xr:uid="{00000000-0005-0000-0000-0000384E0000}"/>
    <cellStyle name="Input 2 3 2 11" xfId="21092" xr:uid="{00000000-0005-0000-0000-0000394E0000}"/>
    <cellStyle name="Input 2 3 2 11 2" xfId="21093" xr:uid="{00000000-0005-0000-0000-00003A4E0000}"/>
    <cellStyle name="Input 2 3 2 11 3" xfId="21094" xr:uid="{00000000-0005-0000-0000-00003B4E0000}"/>
    <cellStyle name="Input 2 3 2 12" xfId="21095" xr:uid="{00000000-0005-0000-0000-00003C4E0000}"/>
    <cellStyle name="Input 2 3 2 12 2" xfId="21096" xr:uid="{00000000-0005-0000-0000-00003D4E0000}"/>
    <cellStyle name="Input 2 3 2 12 3" xfId="21097" xr:uid="{00000000-0005-0000-0000-00003E4E0000}"/>
    <cellStyle name="Input 2 3 2 13" xfId="21098" xr:uid="{00000000-0005-0000-0000-00003F4E0000}"/>
    <cellStyle name="Input 2 3 2 13 2" xfId="21099" xr:uid="{00000000-0005-0000-0000-0000404E0000}"/>
    <cellStyle name="Input 2 3 2 13 3" xfId="21100" xr:uid="{00000000-0005-0000-0000-0000414E0000}"/>
    <cellStyle name="Input 2 3 2 14" xfId="44066" xr:uid="{00000000-0005-0000-0000-0000424E0000}"/>
    <cellStyle name="Input 2 3 2 2" xfId="21101" xr:uid="{00000000-0005-0000-0000-0000434E0000}"/>
    <cellStyle name="Input 2 3 2 2 10" xfId="44067" xr:uid="{00000000-0005-0000-0000-0000444E0000}"/>
    <cellStyle name="Input 2 3 2 2 2" xfId="21102" xr:uid="{00000000-0005-0000-0000-0000454E0000}"/>
    <cellStyle name="Input 2 3 2 2 2 10" xfId="21103" xr:uid="{00000000-0005-0000-0000-0000464E0000}"/>
    <cellStyle name="Input 2 3 2 2 2 2" xfId="21104" xr:uid="{00000000-0005-0000-0000-0000474E0000}"/>
    <cellStyle name="Input 2 3 2 2 2 2 2" xfId="21105" xr:uid="{00000000-0005-0000-0000-0000484E0000}"/>
    <cellStyle name="Input 2 3 2 2 2 2 2 2" xfId="21106" xr:uid="{00000000-0005-0000-0000-0000494E0000}"/>
    <cellStyle name="Input 2 3 2 2 2 2 2 3" xfId="21107" xr:uid="{00000000-0005-0000-0000-00004A4E0000}"/>
    <cellStyle name="Input 2 3 2 2 2 2 3" xfId="21108" xr:uid="{00000000-0005-0000-0000-00004B4E0000}"/>
    <cellStyle name="Input 2 3 2 2 2 2 3 2" xfId="21109" xr:uid="{00000000-0005-0000-0000-00004C4E0000}"/>
    <cellStyle name="Input 2 3 2 2 2 2 3 3" xfId="21110" xr:uid="{00000000-0005-0000-0000-00004D4E0000}"/>
    <cellStyle name="Input 2 3 2 2 2 2 4" xfId="21111" xr:uid="{00000000-0005-0000-0000-00004E4E0000}"/>
    <cellStyle name="Input 2 3 2 2 2 2 4 2" xfId="21112" xr:uid="{00000000-0005-0000-0000-00004F4E0000}"/>
    <cellStyle name="Input 2 3 2 2 2 2 4 3" xfId="21113" xr:uid="{00000000-0005-0000-0000-0000504E0000}"/>
    <cellStyle name="Input 2 3 2 2 2 2 5" xfId="21114" xr:uid="{00000000-0005-0000-0000-0000514E0000}"/>
    <cellStyle name="Input 2 3 2 2 2 2 5 2" xfId="21115" xr:uid="{00000000-0005-0000-0000-0000524E0000}"/>
    <cellStyle name="Input 2 3 2 2 2 2 5 3" xfId="21116" xr:uid="{00000000-0005-0000-0000-0000534E0000}"/>
    <cellStyle name="Input 2 3 2 2 2 2 6" xfId="21117" xr:uid="{00000000-0005-0000-0000-0000544E0000}"/>
    <cellStyle name="Input 2 3 2 2 2 2 6 2" xfId="21118" xr:uid="{00000000-0005-0000-0000-0000554E0000}"/>
    <cellStyle name="Input 2 3 2 2 2 2 6 3" xfId="21119" xr:uid="{00000000-0005-0000-0000-0000564E0000}"/>
    <cellStyle name="Input 2 3 2 2 2 2 7" xfId="21120" xr:uid="{00000000-0005-0000-0000-0000574E0000}"/>
    <cellStyle name="Input 2 3 2 2 2 2 7 2" xfId="21121" xr:uid="{00000000-0005-0000-0000-0000584E0000}"/>
    <cellStyle name="Input 2 3 2 2 2 2 7 3" xfId="21122" xr:uid="{00000000-0005-0000-0000-0000594E0000}"/>
    <cellStyle name="Input 2 3 2 2 2 2 8" xfId="21123" xr:uid="{00000000-0005-0000-0000-00005A4E0000}"/>
    <cellStyle name="Input 2 3 2 2 2 2 9" xfId="21124" xr:uid="{00000000-0005-0000-0000-00005B4E0000}"/>
    <cellStyle name="Input 2 3 2 2 2 3" xfId="21125" xr:uid="{00000000-0005-0000-0000-00005C4E0000}"/>
    <cellStyle name="Input 2 3 2 2 2 3 2" xfId="21126" xr:uid="{00000000-0005-0000-0000-00005D4E0000}"/>
    <cellStyle name="Input 2 3 2 2 2 3 3" xfId="21127" xr:uid="{00000000-0005-0000-0000-00005E4E0000}"/>
    <cellStyle name="Input 2 3 2 2 2 4" xfId="21128" xr:uid="{00000000-0005-0000-0000-00005F4E0000}"/>
    <cellStyle name="Input 2 3 2 2 2 4 2" xfId="21129" xr:uid="{00000000-0005-0000-0000-0000604E0000}"/>
    <cellStyle name="Input 2 3 2 2 2 4 3" xfId="21130" xr:uid="{00000000-0005-0000-0000-0000614E0000}"/>
    <cellStyle name="Input 2 3 2 2 2 5" xfId="21131" xr:uid="{00000000-0005-0000-0000-0000624E0000}"/>
    <cellStyle name="Input 2 3 2 2 2 5 2" xfId="21132" xr:uid="{00000000-0005-0000-0000-0000634E0000}"/>
    <cellStyle name="Input 2 3 2 2 2 5 3" xfId="21133" xr:uid="{00000000-0005-0000-0000-0000644E0000}"/>
    <cellStyle name="Input 2 3 2 2 2 6" xfId="21134" xr:uid="{00000000-0005-0000-0000-0000654E0000}"/>
    <cellStyle name="Input 2 3 2 2 2 6 2" xfId="21135" xr:uid="{00000000-0005-0000-0000-0000664E0000}"/>
    <cellStyle name="Input 2 3 2 2 2 6 3" xfId="21136" xr:uid="{00000000-0005-0000-0000-0000674E0000}"/>
    <cellStyle name="Input 2 3 2 2 2 7" xfId="21137" xr:uid="{00000000-0005-0000-0000-0000684E0000}"/>
    <cellStyle name="Input 2 3 2 2 2 7 2" xfId="21138" xr:uid="{00000000-0005-0000-0000-0000694E0000}"/>
    <cellStyle name="Input 2 3 2 2 2 7 3" xfId="21139" xr:uid="{00000000-0005-0000-0000-00006A4E0000}"/>
    <cellStyle name="Input 2 3 2 2 2 8" xfId="21140" xr:uid="{00000000-0005-0000-0000-00006B4E0000}"/>
    <cellStyle name="Input 2 3 2 2 2 8 2" xfId="21141" xr:uid="{00000000-0005-0000-0000-00006C4E0000}"/>
    <cellStyle name="Input 2 3 2 2 2 8 3" xfId="21142" xr:uid="{00000000-0005-0000-0000-00006D4E0000}"/>
    <cellStyle name="Input 2 3 2 2 2 9" xfId="21143" xr:uid="{00000000-0005-0000-0000-00006E4E0000}"/>
    <cellStyle name="Input 2 3 2 2 3" xfId="21144" xr:uid="{00000000-0005-0000-0000-00006F4E0000}"/>
    <cellStyle name="Input 2 3 2 2 3 10" xfId="21145" xr:uid="{00000000-0005-0000-0000-0000704E0000}"/>
    <cellStyle name="Input 2 3 2 2 3 2" xfId="21146" xr:uid="{00000000-0005-0000-0000-0000714E0000}"/>
    <cellStyle name="Input 2 3 2 2 3 2 2" xfId="21147" xr:uid="{00000000-0005-0000-0000-0000724E0000}"/>
    <cellStyle name="Input 2 3 2 2 3 2 2 2" xfId="21148" xr:uid="{00000000-0005-0000-0000-0000734E0000}"/>
    <cellStyle name="Input 2 3 2 2 3 2 2 3" xfId="21149" xr:uid="{00000000-0005-0000-0000-0000744E0000}"/>
    <cellStyle name="Input 2 3 2 2 3 2 3" xfId="21150" xr:uid="{00000000-0005-0000-0000-0000754E0000}"/>
    <cellStyle name="Input 2 3 2 2 3 2 3 2" xfId="21151" xr:uid="{00000000-0005-0000-0000-0000764E0000}"/>
    <cellStyle name="Input 2 3 2 2 3 2 3 3" xfId="21152" xr:uid="{00000000-0005-0000-0000-0000774E0000}"/>
    <cellStyle name="Input 2 3 2 2 3 2 4" xfId="21153" xr:uid="{00000000-0005-0000-0000-0000784E0000}"/>
    <cellStyle name="Input 2 3 2 2 3 2 4 2" xfId="21154" xr:uid="{00000000-0005-0000-0000-0000794E0000}"/>
    <cellStyle name="Input 2 3 2 2 3 2 4 3" xfId="21155" xr:uid="{00000000-0005-0000-0000-00007A4E0000}"/>
    <cellStyle name="Input 2 3 2 2 3 2 5" xfId="21156" xr:uid="{00000000-0005-0000-0000-00007B4E0000}"/>
    <cellStyle name="Input 2 3 2 2 3 2 5 2" xfId="21157" xr:uid="{00000000-0005-0000-0000-00007C4E0000}"/>
    <cellStyle name="Input 2 3 2 2 3 2 5 3" xfId="21158" xr:uid="{00000000-0005-0000-0000-00007D4E0000}"/>
    <cellStyle name="Input 2 3 2 2 3 2 6" xfId="21159" xr:uid="{00000000-0005-0000-0000-00007E4E0000}"/>
    <cellStyle name="Input 2 3 2 2 3 2 6 2" xfId="21160" xr:uid="{00000000-0005-0000-0000-00007F4E0000}"/>
    <cellStyle name="Input 2 3 2 2 3 2 6 3" xfId="21161" xr:uid="{00000000-0005-0000-0000-0000804E0000}"/>
    <cellStyle name="Input 2 3 2 2 3 2 7" xfId="21162" xr:uid="{00000000-0005-0000-0000-0000814E0000}"/>
    <cellStyle name="Input 2 3 2 2 3 2 7 2" xfId="21163" xr:uid="{00000000-0005-0000-0000-0000824E0000}"/>
    <cellStyle name="Input 2 3 2 2 3 2 7 3" xfId="21164" xr:uid="{00000000-0005-0000-0000-0000834E0000}"/>
    <cellStyle name="Input 2 3 2 2 3 2 8" xfId="21165" xr:uid="{00000000-0005-0000-0000-0000844E0000}"/>
    <cellStyle name="Input 2 3 2 2 3 2 9" xfId="21166" xr:uid="{00000000-0005-0000-0000-0000854E0000}"/>
    <cellStyle name="Input 2 3 2 2 3 3" xfId="21167" xr:uid="{00000000-0005-0000-0000-0000864E0000}"/>
    <cellStyle name="Input 2 3 2 2 3 3 2" xfId="21168" xr:uid="{00000000-0005-0000-0000-0000874E0000}"/>
    <cellStyle name="Input 2 3 2 2 3 3 3" xfId="21169" xr:uid="{00000000-0005-0000-0000-0000884E0000}"/>
    <cellStyle name="Input 2 3 2 2 3 4" xfId="21170" xr:uid="{00000000-0005-0000-0000-0000894E0000}"/>
    <cellStyle name="Input 2 3 2 2 3 4 2" xfId="21171" xr:uid="{00000000-0005-0000-0000-00008A4E0000}"/>
    <cellStyle name="Input 2 3 2 2 3 4 3" xfId="21172" xr:uid="{00000000-0005-0000-0000-00008B4E0000}"/>
    <cellStyle name="Input 2 3 2 2 3 5" xfId="21173" xr:uid="{00000000-0005-0000-0000-00008C4E0000}"/>
    <cellStyle name="Input 2 3 2 2 3 5 2" xfId="21174" xr:uid="{00000000-0005-0000-0000-00008D4E0000}"/>
    <cellStyle name="Input 2 3 2 2 3 5 3" xfId="21175" xr:uid="{00000000-0005-0000-0000-00008E4E0000}"/>
    <cellStyle name="Input 2 3 2 2 3 6" xfId="21176" xr:uid="{00000000-0005-0000-0000-00008F4E0000}"/>
    <cellStyle name="Input 2 3 2 2 3 6 2" xfId="21177" xr:uid="{00000000-0005-0000-0000-0000904E0000}"/>
    <cellStyle name="Input 2 3 2 2 3 6 3" xfId="21178" xr:uid="{00000000-0005-0000-0000-0000914E0000}"/>
    <cellStyle name="Input 2 3 2 2 3 7" xfId="21179" xr:uid="{00000000-0005-0000-0000-0000924E0000}"/>
    <cellStyle name="Input 2 3 2 2 3 7 2" xfId="21180" xr:uid="{00000000-0005-0000-0000-0000934E0000}"/>
    <cellStyle name="Input 2 3 2 2 3 7 3" xfId="21181" xr:uid="{00000000-0005-0000-0000-0000944E0000}"/>
    <cellStyle name="Input 2 3 2 2 3 8" xfId="21182" xr:uid="{00000000-0005-0000-0000-0000954E0000}"/>
    <cellStyle name="Input 2 3 2 2 3 8 2" xfId="21183" xr:uid="{00000000-0005-0000-0000-0000964E0000}"/>
    <cellStyle name="Input 2 3 2 2 3 8 3" xfId="21184" xr:uid="{00000000-0005-0000-0000-0000974E0000}"/>
    <cellStyle name="Input 2 3 2 2 3 9" xfId="21185" xr:uid="{00000000-0005-0000-0000-0000984E0000}"/>
    <cellStyle name="Input 2 3 2 2 4" xfId="21186" xr:uid="{00000000-0005-0000-0000-0000994E0000}"/>
    <cellStyle name="Input 2 3 2 2 4 10" xfId="21187" xr:uid="{00000000-0005-0000-0000-00009A4E0000}"/>
    <cellStyle name="Input 2 3 2 2 4 2" xfId="21188" xr:uid="{00000000-0005-0000-0000-00009B4E0000}"/>
    <cellStyle name="Input 2 3 2 2 4 2 2" xfId="21189" xr:uid="{00000000-0005-0000-0000-00009C4E0000}"/>
    <cellStyle name="Input 2 3 2 2 4 2 2 2" xfId="21190" xr:uid="{00000000-0005-0000-0000-00009D4E0000}"/>
    <cellStyle name="Input 2 3 2 2 4 2 2 3" xfId="21191" xr:uid="{00000000-0005-0000-0000-00009E4E0000}"/>
    <cellStyle name="Input 2 3 2 2 4 2 3" xfId="21192" xr:uid="{00000000-0005-0000-0000-00009F4E0000}"/>
    <cellStyle name="Input 2 3 2 2 4 2 3 2" xfId="21193" xr:uid="{00000000-0005-0000-0000-0000A04E0000}"/>
    <cellStyle name="Input 2 3 2 2 4 2 3 3" xfId="21194" xr:uid="{00000000-0005-0000-0000-0000A14E0000}"/>
    <cellStyle name="Input 2 3 2 2 4 2 4" xfId="21195" xr:uid="{00000000-0005-0000-0000-0000A24E0000}"/>
    <cellStyle name="Input 2 3 2 2 4 2 4 2" xfId="21196" xr:uid="{00000000-0005-0000-0000-0000A34E0000}"/>
    <cellStyle name="Input 2 3 2 2 4 2 4 3" xfId="21197" xr:uid="{00000000-0005-0000-0000-0000A44E0000}"/>
    <cellStyle name="Input 2 3 2 2 4 2 5" xfId="21198" xr:uid="{00000000-0005-0000-0000-0000A54E0000}"/>
    <cellStyle name="Input 2 3 2 2 4 2 5 2" xfId="21199" xr:uid="{00000000-0005-0000-0000-0000A64E0000}"/>
    <cellStyle name="Input 2 3 2 2 4 2 5 3" xfId="21200" xr:uid="{00000000-0005-0000-0000-0000A74E0000}"/>
    <cellStyle name="Input 2 3 2 2 4 2 6" xfId="21201" xr:uid="{00000000-0005-0000-0000-0000A84E0000}"/>
    <cellStyle name="Input 2 3 2 2 4 2 6 2" xfId="21202" xr:uid="{00000000-0005-0000-0000-0000A94E0000}"/>
    <cellStyle name="Input 2 3 2 2 4 2 6 3" xfId="21203" xr:uid="{00000000-0005-0000-0000-0000AA4E0000}"/>
    <cellStyle name="Input 2 3 2 2 4 2 7" xfId="21204" xr:uid="{00000000-0005-0000-0000-0000AB4E0000}"/>
    <cellStyle name="Input 2 3 2 2 4 2 7 2" xfId="21205" xr:uid="{00000000-0005-0000-0000-0000AC4E0000}"/>
    <cellStyle name="Input 2 3 2 2 4 2 7 3" xfId="21206" xr:uid="{00000000-0005-0000-0000-0000AD4E0000}"/>
    <cellStyle name="Input 2 3 2 2 4 2 8" xfId="21207" xr:uid="{00000000-0005-0000-0000-0000AE4E0000}"/>
    <cellStyle name="Input 2 3 2 2 4 2 9" xfId="21208" xr:uid="{00000000-0005-0000-0000-0000AF4E0000}"/>
    <cellStyle name="Input 2 3 2 2 4 3" xfId="21209" xr:uid="{00000000-0005-0000-0000-0000B04E0000}"/>
    <cellStyle name="Input 2 3 2 2 4 3 2" xfId="21210" xr:uid="{00000000-0005-0000-0000-0000B14E0000}"/>
    <cellStyle name="Input 2 3 2 2 4 3 3" xfId="21211" xr:uid="{00000000-0005-0000-0000-0000B24E0000}"/>
    <cellStyle name="Input 2 3 2 2 4 4" xfId="21212" xr:uid="{00000000-0005-0000-0000-0000B34E0000}"/>
    <cellStyle name="Input 2 3 2 2 4 4 2" xfId="21213" xr:uid="{00000000-0005-0000-0000-0000B44E0000}"/>
    <cellStyle name="Input 2 3 2 2 4 4 3" xfId="21214" xr:uid="{00000000-0005-0000-0000-0000B54E0000}"/>
    <cellStyle name="Input 2 3 2 2 4 5" xfId="21215" xr:uid="{00000000-0005-0000-0000-0000B64E0000}"/>
    <cellStyle name="Input 2 3 2 2 4 5 2" xfId="21216" xr:uid="{00000000-0005-0000-0000-0000B74E0000}"/>
    <cellStyle name="Input 2 3 2 2 4 5 3" xfId="21217" xr:uid="{00000000-0005-0000-0000-0000B84E0000}"/>
    <cellStyle name="Input 2 3 2 2 4 6" xfId="21218" xr:uid="{00000000-0005-0000-0000-0000B94E0000}"/>
    <cellStyle name="Input 2 3 2 2 4 6 2" xfId="21219" xr:uid="{00000000-0005-0000-0000-0000BA4E0000}"/>
    <cellStyle name="Input 2 3 2 2 4 6 3" xfId="21220" xr:uid="{00000000-0005-0000-0000-0000BB4E0000}"/>
    <cellStyle name="Input 2 3 2 2 4 7" xfId="21221" xr:uid="{00000000-0005-0000-0000-0000BC4E0000}"/>
    <cellStyle name="Input 2 3 2 2 4 7 2" xfId="21222" xr:uid="{00000000-0005-0000-0000-0000BD4E0000}"/>
    <cellStyle name="Input 2 3 2 2 4 7 3" xfId="21223" xr:uid="{00000000-0005-0000-0000-0000BE4E0000}"/>
    <cellStyle name="Input 2 3 2 2 4 8" xfId="21224" xr:uid="{00000000-0005-0000-0000-0000BF4E0000}"/>
    <cellStyle name="Input 2 3 2 2 4 8 2" xfId="21225" xr:uid="{00000000-0005-0000-0000-0000C04E0000}"/>
    <cellStyle name="Input 2 3 2 2 4 8 3" xfId="21226" xr:uid="{00000000-0005-0000-0000-0000C14E0000}"/>
    <cellStyle name="Input 2 3 2 2 4 9" xfId="21227" xr:uid="{00000000-0005-0000-0000-0000C24E0000}"/>
    <cellStyle name="Input 2 3 2 2 5" xfId="21228" xr:uid="{00000000-0005-0000-0000-0000C34E0000}"/>
    <cellStyle name="Input 2 3 2 2 5 2" xfId="21229" xr:uid="{00000000-0005-0000-0000-0000C44E0000}"/>
    <cellStyle name="Input 2 3 2 2 5 2 2" xfId="21230" xr:uid="{00000000-0005-0000-0000-0000C54E0000}"/>
    <cellStyle name="Input 2 3 2 2 5 2 3" xfId="21231" xr:uid="{00000000-0005-0000-0000-0000C64E0000}"/>
    <cellStyle name="Input 2 3 2 2 5 3" xfId="21232" xr:uid="{00000000-0005-0000-0000-0000C74E0000}"/>
    <cellStyle name="Input 2 3 2 2 5 3 2" xfId="21233" xr:uid="{00000000-0005-0000-0000-0000C84E0000}"/>
    <cellStyle name="Input 2 3 2 2 5 3 3" xfId="21234" xr:uid="{00000000-0005-0000-0000-0000C94E0000}"/>
    <cellStyle name="Input 2 3 2 2 5 4" xfId="21235" xr:uid="{00000000-0005-0000-0000-0000CA4E0000}"/>
    <cellStyle name="Input 2 3 2 2 5 4 2" xfId="21236" xr:uid="{00000000-0005-0000-0000-0000CB4E0000}"/>
    <cellStyle name="Input 2 3 2 2 5 4 3" xfId="21237" xr:uid="{00000000-0005-0000-0000-0000CC4E0000}"/>
    <cellStyle name="Input 2 3 2 2 5 5" xfId="21238" xr:uid="{00000000-0005-0000-0000-0000CD4E0000}"/>
    <cellStyle name="Input 2 3 2 2 5 5 2" xfId="21239" xr:uid="{00000000-0005-0000-0000-0000CE4E0000}"/>
    <cellStyle name="Input 2 3 2 2 5 5 3" xfId="21240" xr:uid="{00000000-0005-0000-0000-0000CF4E0000}"/>
    <cellStyle name="Input 2 3 2 2 5 6" xfId="21241" xr:uid="{00000000-0005-0000-0000-0000D04E0000}"/>
    <cellStyle name="Input 2 3 2 2 5 6 2" xfId="21242" xr:uid="{00000000-0005-0000-0000-0000D14E0000}"/>
    <cellStyle name="Input 2 3 2 2 5 6 3" xfId="21243" xr:uid="{00000000-0005-0000-0000-0000D24E0000}"/>
    <cellStyle name="Input 2 3 2 2 5 7" xfId="21244" xr:uid="{00000000-0005-0000-0000-0000D34E0000}"/>
    <cellStyle name="Input 2 3 2 2 5 7 2" xfId="21245" xr:uid="{00000000-0005-0000-0000-0000D44E0000}"/>
    <cellStyle name="Input 2 3 2 2 5 7 3" xfId="21246" xr:uid="{00000000-0005-0000-0000-0000D54E0000}"/>
    <cellStyle name="Input 2 3 2 2 5 8" xfId="21247" xr:uid="{00000000-0005-0000-0000-0000D64E0000}"/>
    <cellStyle name="Input 2 3 2 2 5 9" xfId="21248" xr:uid="{00000000-0005-0000-0000-0000D74E0000}"/>
    <cellStyle name="Input 2 3 2 2 6" xfId="21249" xr:uid="{00000000-0005-0000-0000-0000D84E0000}"/>
    <cellStyle name="Input 2 3 2 2 6 2" xfId="21250" xr:uid="{00000000-0005-0000-0000-0000D94E0000}"/>
    <cellStyle name="Input 2 3 2 2 6 3" xfId="21251" xr:uid="{00000000-0005-0000-0000-0000DA4E0000}"/>
    <cellStyle name="Input 2 3 2 2 7" xfId="21252" xr:uid="{00000000-0005-0000-0000-0000DB4E0000}"/>
    <cellStyle name="Input 2 3 2 2 7 2" xfId="21253" xr:uid="{00000000-0005-0000-0000-0000DC4E0000}"/>
    <cellStyle name="Input 2 3 2 2 7 3" xfId="21254" xr:uid="{00000000-0005-0000-0000-0000DD4E0000}"/>
    <cellStyle name="Input 2 3 2 2 8" xfId="21255" xr:uid="{00000000-0005-0000-0000-0000DE4E0000}"/>
    <cellStyle name="Input 2 3 2 2 8 2" xfId="21256" xr:uid="{00000000-0005-0000-0000-0000DF4E0000}"/>
    <cellStyle name="Input 2 3 2 2 8 3" xfId="21257" xr:uid="{00000000-0005-0000-0000-0000E04E0000}"/>
    <cellStyle name="Input 2 3 2 2 9" xfId="21258" xr:uid="{00000000-0005-0000-0000-0000E14E0000}"/>
    <cellStyle name="Input 2 3 2 2 9 2" xfId="21259" xr:uid="{00000000-0005-0000-0000-0000E24E0000}"/>
    <cellStyle name="Input 2 3 2 2 9 3" xfId="21260" xr:uid="{00000000-0005-0000-0000-0000E34E0000}"/>
    <cellStyle name="Input 2 3 2 3" xfId="21261" xr:uid="{00000000-0005-0000-0000-0000E44E0000}"/>
    <cellStyle name="Input 2 3 2 3 10" xfId="44068" xr:uid="{00000000-0005-0000-0000-0000E54E0000}"/>
    <cellStyle name="Input 2 3 2 3 2" xfId="21262" xr:uid="{00000000-0005-0000-0000-0000E64E0000}"/>
    <cellStyle name="Input 2 3 2 3 2 10" xfId="21263" xr:uid="{00000000-0005-0000-0000-0000E74E0000}"/>
    <cellStyle name="Input 2 3 2 3 2 2" xfId="21264" xr:uid="{00000000-0005-0000-0000-0000E84E0000}"/>
    <cellStyle name="Input 2 3 2 3 2 2 2" xfId="21265" xr:uid="{00000000-0005-0000-0000-0000E94E0000}"/>
    <cellStyle name="Input 2 3 2 3 2 2 2 2" xfId="21266" xr:uid="{00000000-0005-0000-0000-0000EA4E0000}"/>
    <cellStyle name="Input 2 3 2 3 2 2 2 3" xfId="21267" xr:uid="{00000000-0005-0000-0000-0000EB4E0000}"/>
    <cellStyle name="Input 2 3 2 3 2 2 3" xfId="21268" xr:uid="{00000000-0005-0000-0000-0000EC4E0000}"/>
    <cellStyle name="Input 2 3 2 3 2 2 3 2" xfId="21269" xr:uid="{00000000-0005-0000-0000-0000ED4E0000}"/>
    <cellStyle name="Input 2 3 2 3 2 2 3 3" xfId="21270" xr:uid="{00000000-0005-0000-0000-0000EE4E0000}"/>
    <cellStyle name="Input 2 3 2 3 2 2 4" xfId="21271" xr:uid="{00000000-0005-0000-0000-0000EF4E0000}"/>
    <cellStyle name="Input 2 3 2 3 2 2 4 2" xfId="21272" xr:uid="{00000000-0005-0000-0000-0000F04E0000}"/>
    <cellStyle name="Input 2 3 2 3 2 2 4 3" xfId="21273" xr:uid="{00000000-0005-0000-0000-0000F14E0000}"/>
    <cellStyle name="Input 2 3 2 3 2 2 5" xfId="21274" xr:uid="{00000000-0005-0000-0000-0000F24E0000}"/>
    <cellStyle name="Input 2 3 2 3 2 2 5 2" xfId="21275" xr:uid="{00000000-0005-0000-0000-0000F34E0000}"/>
    <cellStyle name="Input 2 3 2 3 2 2 5 3" xfId="21276" xr:uid="{00000000-0005-0000-0000-0000F44E0000}"/>
    <cellStyle name="Input 2 3 2 3 2 2 6" xfId="21277" xr:uid="{00000000-0005-0000-0000-0000F54E0000}"/>
    <cellStyle name="Input 2 3 2 3 2 2 6 2" xfId="21278" xr:uid="{00000000-0005-0000-0000-0000F64E0000}"/>
    <cellStyle name="Input 2 3 2 3 2 2 6 3" xfId="21279" xr:uid="{00000000-0005-0000-0000-0000F74E0000}"/>
    <cellStyle name="Input 2 3 2 3 2 2 7" xfId="21280" xr:uid="{00000000-0005-0000-0000-0000F84E0000}"/>
    <cellStyle name="Input 2 3 2 3 2 2 7 2" xfId="21281" xr:uid="{00000000-0005-0000-0000-0000F94E0000}"/>
    <cellStyle name="Input 2 3 2 3 2 2 7 3" xfId="21282" xr:uid="{00000000-0005-0000-0000-0000FA4E0000}"/>
    <cellStyle name="Input 2 3 2 3 2 2 8" xfId="21283" xr:uid="{00000000-0005-0000-0000-0000FB4E0000}"/>
    <cellStyle name="Input 2 3 2 3 2 2 9" xfId="21284" xr:uid="{00000000-0005-0000-0000-0000FC4E0000}"/>
    <cellStyle name="Input 2 3 2 3 2 3" xfId="21285" xr:uid="{00000000-0005-0000-0000-0000FD4E0000}"/>
    <cellStyle name="Input 2 3 2 3 2 3 2" xfId="21286" xr:uid="{00000000-0005-0000-0000-0000FE4E0000}"/>
    <cellStyle name="Input 2 3 2 3 2 3 3" xfId="21287" xr:uid="{00000000-0005-0000-0000-0000FF4E0000}"/>
    <cellStyle name="Input 2 3 2 3 2 4" xfId="21288" xr:uid="{00000000-0005-0000-0000-0000004F0000}"/>
    <cellStyle name="Input 2 3 2 3 2 4 2" xfId="21289" xr:uid="{00000000-0005-0000-0000-0000014F0000}"/>
    <cellStyle name="Input 2 3 2 3 2 4 3" xfId="21290" xr:uid="{00000000-0005-0000-0000-0000024F0000}"/>
    <cellStyle name="Input 2 3 2 3 2 5" xfId="21291" xr:uid="{00000000-0005-0000-0000-0000034F0000}"/>
    <cellStyle name="Input 2 3 2 3 2 5 2" xfId="21292" xr:uid="{00000000-0005-0000-0000-0000044F0000}"/>
    <cellStyle name="Input 2 3 2 3 2 5 3" xfId="21293" xr:uid="{00000000-0005-0000-0000-0000054F0000}"/>
    <cellStyle name="Input 2 3 2 3 2 6" xfId="21294" xr:uid="{00000000-0005-0000-0000-0000064F0000}"/>
    <cellStyle name="Input 2 3 2 3 2 6 2" xfId="21295" xr:uid="{00000000-0005-0000-0000-0000074F0000}"/>
    <cellStyle name="Input 2 3 2 3 2 6 3" xfId="21296" xr:uid="{00000000-0005-0000-0000-0000084F0000}"/>
    <cellStyle name="Input 2 3 2 3 2 7" xfId="21297" xr:uid="{00000000-0005-0000-0000-0000094F0000}"/>
    <cellStyle name="Input 2 3 2 3 2 7 2" xfId="21298" xr:uid="{00000000-0005-0000-0000-00000A4F0000}"/>
    <cellStyle name="Input 2 3 2 3 2 7 3" xfId="21299" xr:uid="{00000000-0005-0000-0000-00000B4F0000}"/>
    <cellStyle name="Input 2 3 2 3 2 8" xfId="21300" xr:uid="{00000000-0005-0000-0000-00000C4F0000}"/>
    <cellStyle name="Input 2 3 2 3 2 8 2" xfId="21301" xr:uid="{00000000-0005-0000-0000-00000D4F0000}"/>
    <cellStyle name="Input 2 3 2 3 2 8 3" xfId="21302" xr:uid="{00000000-0005-0000-0000-00000E4F0000}"/>
    <cellStyle name="Input 2 3 2 3 2 9" xfId="21303" xr:uid="{00000000-0005-0000-0000-00000F4F0000}"/>
    <cellStyle name="Input 2 3 2 3 3" xfId="21304" xr:uid="{00000000-0005-0000-0000-0000104F0000}"/>
    <cellStyle name="Input 2 3 2 3 3 10" xfId="21305" xr:uid="{00000000-0005-0000-0000-0000114F0000}"/>
    <cellStyle name="Input 2 3 2 3 3 2" xfId="21306" xr:uid="{00000000-0005-0000-0000-0000124F0000}"/>
    <cellStyle name="Input 2 3 2 3 3 2 2" xfId="21307" xr:uid="{00000000-0005-0000-0000-0000134F0000}"/>
    <cellStyle name="Input 2 3 2 3 3 2 2 2" xfId="21308" xr:uid="{00000000-0005-0000-0000-0000144F0000}"/>
    <cellStyle name="Input 2 3 2 3 3 2 2 3" xfId="21309" xr:uid="{00000000-0005-0000-0000-0000154F0000}"/>
    <cellStyle name="Input 2 3 2 3 3 2 3" xfId="21310" xr:uid="{00000000-0005-0000-0000-0000164F0000}"/>
    <cellStyle name="Input 2 3 2 3 3 2 3 2" xfId="21311" xr:uid="{00000000-0005-0000-0000-0000174F0000}"/>
    <cellStyle name="Input 2 3 2 3 3 2 3 3" xfId="21312" xr:uid="{00000000-0005-0000-0000-0000184F0000}"/>
    <cellStyle name="Input 2 3 2 3 3 2 4" xfId="21313" xr:uid="{00000000-0005-0000-0000-0000194F0000}"/>
    <cellStyle name="Input 2 3 2 3 3 2 4 2" xfId="21314" xr:uid="{00000000-0005-0000-0000-00001A4F0000}"/>
    <cellStyle name="Input 2 3 2 3 3 2 4 3" xfId="21315" xr:uid="{00000000-0005-0000-0000-00001B4F0000}"/>
    <cellStyle name="Input 2 3 2 3 3 2 5" xfId="21316" xr:uid="{00000000-0005-0000-0000-00001C4F0000}"/>
    <cellStyle name="Input 2 3 2 3 3 2 5 2" xfId="21317" xr:uid="{00000000-0005-0000-0000-00001D4F0000}"/>
    <cellStyle name="Input 2 3 2 3 3 2 5 3" xfId="21318" xr:uid="{00000000-0005-0000-0000-00001E4F0000}"/>
    <cellStyle name="Input 2 3 2 3 3 2 6" xfId="21319" xr:uid="{00000000-0005-0000-0000-00001F4F0000}"/>
    <cellStyle name="Input 2 3 2 3 3 2 6 2" xfId="21320" xr:uid="{00000000-0005-0000-0000-0000204F0000}"/>
    <cellStyle name="Input 2 3 2 3 3 2 6 3" xfId="21321" xr:uid="{00000000-0005-0000-0000-0000214F0000}"/>
    <cellStyle name="Input 2 3 2 3 3 2 7" xfId="21322" xr:uid="{00000000-0005-0000-0000-0000224F0000}"/>
    <cellStyle name="Input 2 3 2 3 3 2 7 2" xfId="21323" xr:uid="{00000000-0005-0000-0000-0000234F0000}"/>
    <cellStyle name="Input 2 3 2 3 3 2 7 3" xfId="21324" xr:uid="{00000000-0005-0000-0000-0000244F0000}"/>
    <cellStyle name="Input 2 3 2 3 3 2 8" xfId="21325" xr:uid="{00000000-0005-0000-0000-0000254F0000}"/>
    <cellStyle name="Input 2 3 2 3 3 2 9" xfId="21326" xr:uid="{00000000-0005-0000-0000-0000264F0000}"/>
    <cellStyle name="Input 2 3 2 3 3 3" xfId="21327" xr:uid="{00000000-0005-0000-0000-0000274F0000}"/>
    <cellStyle name="Input 2 3 2 3 3 3 2" xfId="21328" xr:uid="{00000000-0005-0000-0000-0000284F0000}"/>
    <cellStyle name="Input 2 3 2 3 3 3 3" xfId="21329" xr:uid="{00000000-0005-0000-0000-0000294F0000}"/>
    <cellStyle name="Input 2 3 2 3 3 4" xfId="21330" xr:uid="{00000000-0005-0000-0000-00002A4F0000}"/>
    <cellStyle name="Input 2 3 2 3 3 4 2" xfId="21331" xr:uid="{00000000-0005-0000-0000-00002B4F0000}"/>
    <cellStyle name="Input 2 3 2 3 3 4 3" xfId="21332" xr:uid="{00000000-0005-0000-0000-00002C4F0000}"/>
    <cellStyle name="Input 2 3 2 3 3 5" xfId="21333" xr:uid="{00000000-0005-0000-0000-00002D4F0000}"/>
    <cellStyle name="Input 2 3 2 3 3 5 2" xfId="21334" xr:uid="{00000000-0005-0000-0000-00002E4F0000}"/>
    <cellStyle name="Input 2 3 2 3 3 5 3" xfId="21335" xr:uid="{00000000-0005-0000-0000-00002F4F0000}"/>
    <cellStyle name="Input 2 3 2 3 3 6" xfId="21336" xr:uid="{00000000-0005-0000-0000-0000304F0000}"/>
    <cellStyle name="Input 2 3 2 3 3 6 2" xfId="21337" xr:uid="{00000000-0005-0000-0000-0000314F0000}"/>
    <cellStyle name="Input 2 3 2 3 3 6 3" xfId="21338" xr:uid="{00000000-0005-0000-0000-0000324F0000}"/>
    <cellStyle name="Input 2 3 2 3 3 7" xfId="21339" xr:uid="{00000000-0005-0000-0000-0000334F0000}"/>
    <cellStyle name="Input 2 3 2 3 3 7 2" xfId="21340" xr:uid="{00000000-0005-0000-0000-0000344F0000}"/>
    <cellStyle name="Input 2 3 2 3 3 7 3" xfId="21341" xr:uid="{00000000-0005-0000-0000-0000354F0000}"/>
    <cellStyle name="Input 2 3 2 3 3 8" xfId="21342" xr:uid="{00000000-0005-0000-0000-0000364F0000}"/>
    <cellStyle name="Input 2 3 2 3 3 8 2" xfId="21343" xr:uid="{00000000-0005-0000-0000-0000374F0000}"/>
    <cellStyle name="Input 2 3 2 3 3 8 3" xfId="21344" xr:uid="{00000000-0005-0000-0000-0000384F0000}"/>
    <cellStyle name="Input 2 3 2 3 3 9" xfId="21345" xr:uid="{00000000-0005-0000-0000-0000394F0000}"/>
    <cellStyle name="Input 2 3 2 3 4" xfId="21346" xr:uid="{00000000-0005-0000-0000-00003A4F0000}"/>
    <cellStyle name="Input 2 3 2 3 4 10" xfId="21347" xr:uid="{00000000-0005-0000-0000-00003B4F0000}"/>
    <cellStyle name="Input 2 3 2 3 4 2" xfId="21348" xr:uid="{00000000-0005-0000-0000-00003C4F0000}"/>
    <cellStyle name="Input 2 3 2 3 4 2 2" xfId="21349" xr:uid="{00000000-0005-0000-0000-00003D4F0000}"/>
    <cellStyle name="Input 2 3 2 3 4 2 2 2" xfId="21350" xr:uid="{00000000-0005-0000-0000-00003E4F0000}"/>
    <cellStyle name="Input 2 3 2 3 4 2 2 3" xfId="21351" xr:uid="{00000000-0005-0000-0000-00003F4F0000}"/>
    <cellStyle name="Input 2 3 2 3 4 2 3" xfId="21352" xr:uid="{00000000-0005-0000-0000-0000404F0000}"/>
    <cellStyle name="Input 2 3 2 3 4 2 3 2" xfId="21353" xr:uid="{00000000-0005-0000-0000-0000414F0000}"/>
    <cellStyle name="Input 2 3 2 3 4 2 3 3" xfId="21354" xr:uid="{00000000-0005-0000-0000-0000424F0000}"/>
    <cellStyle name="Input 2 3 2 3 4 2 4" xfId="21355" xr:uid="{00000000-0005-0000-0000-0000434F0000}"/>
    <cellStyle name="Input 2 3 2 3 4 2 4 2" xfId="21356" xr:uid="{00000000-0005-0000-0000-0000444F0000}"/>
    <cellStyle name="Input 2 3 2 3 4 2 4 3" xfId="21357" xr:uid="{00000000-0005-0000-0000-0000454F0000}"/>
    <cellStyle name="Input 2 3 2 3 4 2 5" xfId="21358" xr:uid="{00000000-0005-0000-0000-0000464F0000}"/>
    <cellStyle name="Input 2 3 2 3 4 2 5 2" xfId="21359" xr:uid="{00000000-0005-0000-0000-0000474F0000}"/>
    <cellStyle name="Input 2 3 2 3 4 2 5 3" xfId="21360" xr:uid="{00000000-0005-0000-0000-0000484F0000}"/>
    <cellStyle name="Input 2 3 2 3 4 2 6" xfId="21361" xr:uid="{00000000-0005-0000-0000-0000494F0000}"/>
    <cellStyle name="Input 2 3 2 3 4 2 6 2" xfId="21362" xr:uid="{00000000-0005-0000-0000-00004A4F0000}"/>
    <cellStyle name="Input 2 3 2 3 4 2 6 3" xfId="21363" xr:uid="{00000000-0005-0000-0000-00004B4F0000}"/>
    <cellStyle name="Input 2 3 2 3 4 2 7" xfId="21364" xr:uid="{00000000-0005-0000-0000-00004C4F0000}"/>
    <cellStyle name="Input 2 3 2 3 4 2 7 2" xfId="21365" xr:uid="{00000000-0005-0000-0000-00004D4F0000}"/>
    <cellStyle name="Input 2 3 2 3 4 2 7 3" xfId="21366" xr:uid="{00000000-0005-0000-0000-00004E4F0000}"/>
    <cellStyle name="Input 2 3 2 3 4 2 8" xfId="21367" xr:uid="{00000000-0005-0000-0000-00004F4F0000}"/>
    <cellStyle name="Input 2 3 2 3 4 2 9" xfId="21368" xr:uid="{00000000-0005-0000-0000-0000504F0000}"/>
    <cellStyle name="Input 2 3 2 3 4 3" xfId="21369" xr:uid="{00000000-0005-0000-0000-0000514F0000}"/>
    <cellStyle name="Input 2 3 2 3 4 3 2" xfId="21370" xr:uid="{00000000-0005-0000-0000-0000524F0000}"/>
    <cellStyle name="Input 2 3 2 3 4 3 3" xfId="21371" xr:uid="{00000000-0005-0000-0000-0000534F0000}"/>
    <cellStyle name="Input 2 3 2 3 4 4" xfId="21372" xr:uid="{00000000-0005-0000-0000-0000544F0000}"/>
    <cellStyle name="Input 2 3 2 3 4 4 2" xfId="21373" xr:uid="{00000000-0005-0000-0000-0000554F0000}"/>
    <cellStyle name="Input 2 3 2 3 4 4 3" xfId="21374" xr:uid="{00000000-0005-0000-0000-0000564F0000}"/>
    <cellStyle name="Input 2 3 2 3 4 5" xfId="21375" xr:uid="{00000000-0005-0000-0000-0000574F0000}"/>
    <cellStyle name="Input 2 3 2 3 4 5 2" xfId="21376" xr:uid="{00000000-0005-0000-0000-0000584F0000}"/>
    <cellStyle name="Input 2 3 2 3 4 5 3" xfId="21377" xr:uid="{00000000-0005-0000-0000-0000594F0000}"/>
    <cellStyle name="Input 2 3 2 3 4 6" xfId="21378" xr:uid="{00000000-0005-0000-0000-00005A4F0000}"/>
    <cellStyle name="Input 2 3 2 3 4 6 2" xfId="21379" xr:uid="{00000000-0005-0000-0000-00005B4F0000}"/>
    <cellStyle name="Input 2 3 2 3 4 6 3" xfId="21380" xr:uid="{00000000-0005-0000-0000-00005C4F0000}"/>
    <cellStyle name="Input 2 3 2 3 4 7" xfId="21381" xr:uid="{00000000-0005-0000-0000-00005D4F0000}"/>
    <cellStyle name="Input 2 3 2 3 4 7 2" xfId="21382" xr:uid="{00000000-0005-0000-0000-00005E4F0000}"/>
    <cellStyle name="Input 2 3 2 3 4 7 3" xfId="21383" xr:uid="{00000000-0005-0000-0000-00005F4F0000}"/>
    <cellStyle name="Input 2 3 2 3 4 8" xfId="21384" xr:uid="{00000000-0005-0000-0000-0000604F0000}"/>
    <cellStyle name="Input 2 3 2 3 4 8 2" xfId="21385" xr:uid="{00000000-0005-0000-0000-0000614F0000}"/>
    <cellStyle name="Input 2 3 2 3 4 8 3" xfId="21386" xr:uid="{00000000-0005-0000-0000-0000624F0000}"/>
    <cellStyle name="Input 2 3 2 3 4 9" xfId="21387" xr:uid="{00000000-0005-0000-0000-0000634F0000}"/>
    <cellStyle name="Input 2 3 2 3 5" xfId="21388" xr:uid="{00000000-0005-0000-0000-0000644F0000}"/>
    <cellStyle name="Input 2 3 2 3 5 2" xfId="21389" xr:uid="{00000000-0005-0000-0000-0000654F0000}"/>
    <cellStyle name="Input 2 3 2 3 5 2 2" xfId="21390" xr:uid="{00000000-0005-0000-0000-0000664F0000}"/>
    <cellStyle name="Input 2 3 2 3 5 2 3" xfId="21391" xr:uid="{00000000-0005-0000-0000-0000674F0000}"/>
    <cellStyle name="Input 2 3 2 3 5 3" xfId="21392" xr:uid="{00000000-0005-0000-0000-0000684F0000}"/>
    <cellStyle name="Input 2 3 2 3 5 3 2" xfId="21393" xr:uid="{00000000-0005-0000-0000-0000694F0000}"/>
    <cellStyle name="Input 2 3 2 3 5 3 3" xfId="21394" xr:uid="{00000000-0005-0000-0000-00006A4F0000}"/>
    <cellStyle name="Input 2 3 2 3 5 4" xfId="21395" xr:uid="{00000000-0005-0000-0000-00006B4F0000}"/>
    <cellStyle name="Input 2 3 2 3 5 4 2" xfId="21396" xr:uid="{00000000-0005-0000-0000-00006C4F0000}"/>
    <cellStyle name="Input 2 3 2 3 5 4 3" xfId="21397" xr:uid="{00000000-0005-0000-0000-00006D4F0000}"/>
    <cellStyle name="Input 2 3 2 3 5 5" xfId="21398" xr:uid="{00000000-0005-0000-0000-00006E4F0000}"/>
    <cellStyle name="Input 2 3 2 3 5 5 2" xfId="21399" xr:uid="{00000000-0005-0000-0000-00006F4F0000}"/>
    <cellStyle name="Input 2 3 2 3 5 5 3" xfId="21400" xr:uid="{00000000-0005-0000-0000-0000704F0000}"/>
    <cellStyle name="Input 2 3 2 3 5 6" xfId="21401" xr:uid="{00000000-0005-0000-0000-0000714F0000}"/>
    <cellStyle name="Input 2 3 2 3 5 6 2" xfId="21402" xr:uid="{00000000-0005-0000-0000-0000724F0000}"/>
    <cellStyle name="Input 2 3 2 3 5 6 3" xfId="21403" xr:uid="{00000000-0005-0000-0000-0000734F0000}"/>
    <cellStyle name="Input 2 3 2 3 5 7" xfId="21404" xr:uid="{00000000-0005-0000-0000-0000744F0000}"/>
    <cellStyle name="Input 2 3 2 3 5 7 2" xfId="21405" xr:uid="{00000000-0005-0000-0000-0000754F0000}"/>
    <cellStyle name="Input 2 3 2 3 5 7 3" xfId="21406" xr:uid="{00000000-0005-0000-0000-0000764F0000}"/>
    <cellStyle name="Input 2 3 2 3 5 8" xfId="21407" xr:uid="{00000000-0005-0000-0000-0000774F0000}"/>
    <cellStyle name="Input 2 3 2 3 5 9" xfId="21408" xr:uid="{00000000-0005-0000-0000-0000784F0000}"/>
    <cellStyle name="Input 2 3 2 3 6" xfId="21409" xr:uid="{00000000-0005-0000-0000-0000794F0000}"/>
    <cellStyle name="Input 2 3 2 3 6 2" xfId="21410" xr:uid="{00000000-0005-0000-0000-00007A4F0000}"/>
    <cellStyle name="Input 2 3 2 3 6 3" xfId="21411" xr:uid="{00000000-0005-0000-0000-00007B4F0000}"/>
    <cellStyle name="Input 2 3 2 3 7" xfId="21412" xr:uid="{00000000-0005-0000-0000-00007C4F0000}"/>
    <cellStyle name="Input 2 3 2 3 7 2" xfId="21413" xr:uid="{00000000-0005-0000-0000-00007D4F0000}"/>
    <cellStyle name="Input 2 3 2 3 7 3" xfId="21414" xr:uid="{00000000-0005-0000-0000-00007E4F0000}"/>
    <cellStyle name="Input 2 3 2 3 8" xfId="21415" xr:uid="{00000000-0005-0000-0000-00007F4F0000}"/>
    <cellStyle name="Input 2 3 2 3 8 2" xfId="21416" xr:uid="{00000000-0005-0000-0000-0000804F0000}"/>
    <cellStyle name="Input 2 3 2 3 8 3" xfId="21417" xr:uid="{00000000-0005-0000-0000-0000814F0000}"/>
    <cellStyle name="Input 2 3 2 3 9" xfId="21418" xr:uid="{00000000-0005-0000-0000-0000824F0000}"/>
    <cellStyle name="Input 2 3 2 3 9 2" xfId="21419" xr:uid="{00000000-0005-0000-0000-0000834F0000}"/>
    <cellStyle name="Input 2 3 2 3 9 3" xfId="21420" xr:uid="{00000000-0005-0000-0000-0000844F0000}"/>
    <cellStyle name="Input 2 3 2 4" xfId="21421" xr:uid="{00000000-0005-0000-0000-0000854F0000}"/>
    <cellStyle name="Input 2 3 2 4 10" xfId="44069" xr:uid="{00000000-0005-0000-0000-0000864F0000}"/>
    <cellStyle name="Input 2 3 2 4 2" xfId="21422" xr:uid="{00000000-0005-0000-0000-0000874F0000}"/>
    <cellStyle name="Input 2 3 2 4 2 10" xfId="21423" xr:uid="{00000000-0005-0000-0000-0000884F0000}"/>
    <cellStyle name="Input 2 3 2 4 2 2" xfId="21424" xr:uid="{00000000-0005-0000-0000-0000894F0000}"/>
    <cellStyle name="Input 2 3 2 4 2 2 2" xfId="21425" xr:uid="{00000000-0005-0000-0000-00008A4F0000}"/>
    <cellStyle name="Input 2 3 2 4 2 2 2 2" xfId="21426" xr:uid="{00000000-0005-0000-0000-00008B4F0000}"/>
    <cellStyle name="Input 2 3 2 4 2 2 2 3" xfId="21427" xr:uid="{00000000-0005-0000-0000-00008C4F0000}"/>
    <cellStyle name="Input 2 3 2 4 2 2 3" xfId="21428" xr:uid="{00000000-0005-0000-0000-00008D4F0000}"/>
    <cellStyle name="Input 2 3 2 4 2 2 3 2" xfId="21429" xr:uid="{00000000-0005-0000-0000-00008E4F0000}"/>
    <cellStyle name="Input 2 3 2 4 2 2 3 3" xfId="21430" xr:uid="{00000000-0005-0000-0000-00008F4F0000}"/>
    <cellStyle name="Input 2 3 2 4 2 2 4" xfId="21431" xr:uid="{00000000-0005-0000-0000-0000904F0000}"/>
    <cellStyle name="Input 2 3 2 4 2 2 4 2" xfId="21432" xr:uid="{00000000-0005-0000-0000-0000914F0000}"/>
    <cellStyle name="Input 2 3 2 4 2 2 4 3" xfId="21433" xr:uid="{00000000-0005-0000-0000-0000924F0000}"/>
    <cellStyle name="Input 2 3 2 4 2 2 5" xfId="21434" xr:uid="{00000000-0005-0000-0000-0000934F0000}"/>
    <cellStyle name="Input 2 3 2 4 2 2 5 2" xfId="21435" xr:uid="{00000000-0005-0000-0000-0000944F0000}"/>
    <cellStyle name="Input 2 3 2 4 2 2 5 3" xfId="21436" xr:uid="{00000000-0005-0000-0000-0000954F0000}"/>
    <cellStyle name="Input 2 3 2 4 2 2 6" xfId="21437" xr:uid="{00000000-0005-0000-0000-0000964F0000}"/>
    <cellStyle name="Input 2 3 2 4 2 2 6 2" xfId="21438" xr:uid="{00000000-0005-0000-0000-0000974F0000}"/>
    <cellStyle name="Input 2 3 2 4 2 2 6 3" xfId="21439" xr:uid="{00000000-0005-0000-0000-0000984F0000}"/>
    <cellStyle name="Input 2 3 2 4 2 2 7" xfId="21440" xr:uid="{00000000-0005-0000-0000-0000994F0000}"/>
    <cellStyle name="Input 2 3 2 4 2 2 7 2" xfId="21441" xr:uid="{00000000-0005-0000-0000-00009A4F0000}"/>
    <cellStyle name="Input 2 3 2 4 2 2 7 3" xfId="21442" xr:uid="{00000000-0005-0000-0000-00009B4F0000}"/>
    <cellStyle name="Input 2 3 2 4 2 2 8" xfId="21443" xr:uid="{00000000-0005-0000-0000-00009C4F0000}"/>
    <cellStyle name="Input 2 3 2 4 2 2 9" xfId="21444" xr:uid="{00000000-0005-0000-0000-00009D4F0000}"/>
    <cellStyle name="Input 2 3 2 4 2 3" xfId="21445" xr:uid="{00000000-0005-0000-0000-00009E4F0000}"/>
    <cellStyle name="Input 2 3 2 4 2 3 2" xfId="21446" xr:uid="{00000000-0005-0000-0000-00009F4F0000}"/>
    <cellStyle name="Input 2 3 2 4 2 3 3" xfId="21447" xr:uid="{00000000-0005-0000-0000-0000A04F0000}"/>
    <cellStyle name="Input 2 3 2 4 2 4" xfId="21448" xr:uid="{00000000-0005-0000-0000-0000A14F0000}"/>
    <cellStyle name="Input 2 3 2 4 2 4 2" xfId="21449" xr:uid="{00000000-0005-0000-0000-0000A24F0000}"/>
    <cellStyle name="Input 2 3 2 4 2 4 3" xfId="21450" xr:uid="{00000000-0005-0000-0000-0000A34F0000}"/>
    <cellStyle name="Input 2 3 2 4 2 5" xfId="21451" xr:uid="{00000000-0005-0000-0000-0000A44F0000}"/>
    <cellStyle name="Input 2 3 2 4 2 5 2" xfId="21452" xr:uid="{00000000-0005-0000-0000-0000A54F0000}"/>
    <cellStyle name="Input 2 3 2 4 2 5 3" xfId="21453" xr:uid="{00000000-0005-0000-0000-0000A64F0000}"/>
    <cellStyle name="Input 2 3 2 4 2 6" xfId="21454" xr:uid="{00000000-0005-0000-0000-0000A74F0000}"/>
    <cellStyle name="Input 2 3 2 4 2 6 2" xfId="21455" xr:uid="{00000000-0005-0000-0000-0000A84F0000}"/>
    <cellStyle name="Input 2 3 2 4 2 6 3" xfId="21456" xr:uid="{00000000-0005-0000-0000-0000A94F0000}"/>
    <cellStyle name="Input 2 3 2 4 2 7" xfId="21457" xr:uid="{00000000-0005-0000-0000-0000AA4F0000}"/>
    <cellStyle name="Input 2 3 2 4 2 7 2" xfId="21458" xr:uid="{00000000-0005-0000-0000-0000AB4F0000}"/>
    <cellStyle name="Input 2 3 2 4 2 7 3" xfId="21459" xr:uid="{00000000-0005-0000-0000-0000AC4F0000}"/>
    <cellStyle name="Input 2 3 2 4 2 8" xfId="21460" xr:uid="{00000000-0005-0000-0000-0000AD4F0000}"/>
    <cellStyle name="Input 2 3 2 4 2 8 2" xfId="21461" xr:uid="{00000000-0005-0000-0000-0000AE4F0000}"/>
    <cellStyle name="Input 2 3 2 4 2 8 3" xfId="21462" xr:uid="{00000000-0005-0000-0000-0000AF4F0000}"/>
    <cellStyle name="Input 2 3 2 4 2 9" xfId="21463" xr:uid="{00000000-0005-0000-0000-0000B04F0000}"/>
    <cellStyle name="Input 2 3 2 4 3" xfId="21464" xr:uid="{00000000-0005-0000-0000-0000B14F0000}"/>
    <cellStyle name="Input 2 3 2 4 3 10" xfId="21465" xr:uid="{00000000-0005-0000-0000-0000B24F0000}"/>
    <cellStyle name="Input 2 3 2 4 3 2" xfId="21466" xr:uid="{00000000-0005-0000-0000-0000B34F0000}"/>
    <cellStyle name="Input 2 3 2 4 3 2 2" xfId="21467" xr:uid="{00000000-0005-0000-0000-0000B44F0000}"/>
    <cellStyle name="Input 2 3 2 4 3 2 2 2" xfId="21468" xr:uid="{00000000-0005-0000-0000-0000B54F0000}"/>
    <cellStyle name="Input 2 3 2 4 3 2 2 3" xfId="21469" xr:uid="{00000000-0005-0000-0000-0000B64F0000}"/>
    <cellStyle name="Input 2 3 2 4 3 2 3" xfId="21470" xr:uid="{00000000-0005-0000-0000-0000B74F0000}"/>
    <cellStyle name="Input 2 3 2 4 3 2 3 2" xfId="21471" xr:uid="{00000000-0005-0000-0000-0000B84F0000}"/>
    <cellStyle name="Input 2 3 2 4 3 2 3 3" xfId="21472" xr:uid="{00000000-0005-0000-0000-0000B94F0000}"/>
    <cellStyle name="Input 2 3 2 4 3 2 4" xfId="21473" xr:uid="{00000000-0005-0000-0000-0000BA4F0000}"/>
    <cellStyle name="Input 2 3 2 4 3 2 4 2" xfId="21474" xr:uid="{00000000-0005-0000-0000-0000BB4F0000}"/>
    <cellStyle name="Input 2 3 2 4 3 2 4 3" xfId="21475" xr:uid="{00000000-0005-0000-0000-0000BC4F0000}"/>
    <cellStyle name="Input 2 3 2 4 3 2 5" xfId="21476" xr:uid="{00000000-0005-0000-0000-0000BD4F0000}"/>
    <cellStyle name="Input 2 3 2 4 3 2 5 2" xfId="21477" xr:uid="{00000000-0005-0000-0000-0000BE4F0000}"/>
    <cellStyle name="Input 2 3 2 4 3 2 5 3" xfId="21478" xr:uid="{00000000-0005-0000-0000-0000BF4F0000}"/>
    <cellStyle name="Input 2 3 2 4 3 2 6" xfId="21479" xr:uid="{00000000-0005-0000-0000-0000C04F0000}"/>
    <cellStyle name="Input 2 3 2 4 3 2 6 2" xfId="21480" xr:uid="{00000000-0005-0000-0000-0000C14F0000}"/>
    <cellStyle name="Input 2 3 2 4 3 2 6 3" xfId="21481" xr:uid="{00000000-0005-0000-0000-0000C24F0000}"/>
    <cellStyle name="Input 2 3 2 4 3 2 7" xfId="21482" xr:uid="{00000000-0005-0000-0000-0000C34F0000}"/>
    <cellStyle name="Input 2 3 2 4 3 2 7 2" xfId="21483" xr:uid="{00000000-0005-0000-0000-0000C44F0000}"/>
    <cellStyle name="Input 2 3 2 4 3 2 7 3" xfId="21484" xr:uid="{00000000-0005-0000-0000-0000C54F0000}"/>
    <cellStyle name="Input 2 3 2 4 3 2 8" xfId="21485" xr:uid="{00000000-0005-0000-0000-0000C64F0000}"/>
    <cellStyle name="Input 2 3 2 4 3 2 9" xfId="21486" xr:uid="{00000000-0005-0000-0000-0000C74F0000}"/>
    <cellStyle name="Input 2 3 2 4 3 3" xfId="21487" xr:uid="{00000000-0005-0000-0000-0000C84F0000}"/>
    <cellStyle name="Input 2 3 2 4 3 3 2" xfId="21488" xr:uid="{00000000-0005-0000-0000-0000C94F0000}"/>
    <cellStyle name="Input 2 3 2 4 3 3 3" xfId="21489" xr:uid="{00000000-0005-0000-0000-0000CA4F0000}"/>
    <cellStyle name="Input 2 3 2 4 3 4" xfId="21490" xr:uid="{00000000-0005-0000-0000-0000CB4F0000}"/>
    <cellStyle name="Input 2 3 2 4 3 4 2" xfId="21491" xr:uid="{00000000-0005-0000-0000-0000CC4F0000}"/>
    <cellStyle name="Input 2 3 2 4 3 4 3" xfId="21492" xr:uid="{00000000-0005-0000-0000-0000CD4F0000}"/>
    <cellStyle name="Input 2 3 2 4 3 5" xfId="21493" xr:uid="{00000000-0005-0000-0000-0000CE4F0000}"/>
    <cellStyle name="Input 2 3 2 4 3 5 2" xfId="21494" xr:uid="{00000000-0005-0000-0000-0000CF4F0000}"/>
    <cellStyle name="Input 2 3 2 4 3 5 3" xfId="21495" xr:uid="{00000000-0005-0000-0000-0000D04F0000}"/>
    <cellStyle name="Input 2 3 2 4 3 6" xfId="21496" xr:uid="{00000000-0005-0000-0000-0000D14F0000}"/>
    <cellStyle name="Input 2 3 2 4 3 6 2" xfId="21497" xr:uid="{00000000-0005-0000-0000-0000D24F0000}"/>
    <cellStyle name="Input 2 3 2 4 3 6 3" xfId="21498" xr:uid="{00000000-0005-0000-0000-0000D34F0000}"/>
    <cellStyle name="Input 2 3 2 4 3 7" xfId="21499" xr:uid="{00000000-0005-0000-0000-0000D44F0000}"/>
    <cellStyle name="Input 2 3 2 4 3 7 2" xfId="21500" xr:uid="{00000000-0005-0000-0000-0000D54F0000}"/>
    <cellStyle name="Input 2 3 2 4 3 7 3" xfId="21501" xr:uid="{00000000-0005-0000-0000-0000D64F0000}"/>
    <cellStyle name="Input 2 3 2 4 3 8" xfId="21502" xr:uid="{00000000-0005-0000-0000-0000D74F0000}"/>
    <cellStyle name="Input 2 3 2 4 3 8 2" xfId="21503" xr:uid="{00000000-0005-0000-0000-0000D84F0000}"/>
    <cellStyle name="Input 2 3 2 4 3 8 3" xfId="21504" xr:uid="{00000000-0005-0000-0000-0000D94F0000}"/>
    <cellStyle name="Input 2 3 2 4 3 9" xfId="21505" xr:uid="{00000000-0005-0000-0000-0000DA4F0000}"/>
    <cellStyle name="Input 2 3 2 4 4" xfId="21506" xr:uid="{00000000-0005-0000-0000-0000DB4F0000}"/>
    <cellStyle name="Input 2 3 2 4 4 10" xfId="21507" xr:uid="{00000000-0005-0000-0000-0000DC4F0000}"/>
    <cellStyle name="Input 2 3 2 4 4 2" xfId="21508" xr:uid="{00000000-0005-0000-0000-0000DD4F0000}"/>
    <cellStyle name="Input 2 3 2 4 4 2 2" xfId="21509" xr:uid="{00000000-0005-0000-0000-0000DE4F0000}"/>
    <cellStyle name="Input 2 3 2 4 4 2 2 2" xfId="21510" xr:uid="{00000000-0005-0000-0000-0000DF4F0000}"/>
    <cellStyle name="Input 2 3 2 4 4 2 2 3" xfId="21511" xr:uid="{00000000-0005-0000-0000-0000E04F0000}"/>
    <cellStyle name="Input 2 3 2 4 4 2 3" xfId="21512" xr:uid="{00000000-0005-0000-0000-0000E14F0000}"/>
    <cellStyle name="Input 2 3 2 4 4 2 3 2" xfId="21513" xr:uid="{00000000-0005-0000-0000-0000E24F0000}"/>
    <cellStyle name="Input 2 3 2 4 4 2 3 3" xfId="21514" xr:uid="{00000000-0005-0000-0000-0000E34F0000}"/>
    <cellStyle name="Input 2 3 2 4 4 2 4" xfId="21515" xr:uid="{00000000-0005-0000-0000-0000E44F0000}"/>
    <cellStyle name="Input 2 3 2 4 4 2 4 2" xfId="21516" xr:uid="{00000000-0005-0000-0000-0000E54F0000}"/>
    <cellStyle name="Input 2 3 2 4 4 2 4 3" xfId="21517" xr:uid="{00000000-0005-0000-0000-0000E64F0000}"/>
    <cellStyle name="Input 2 3 2 4 4 2 5" xfId="21518" xr:uid="{00000000-0005-0000-0000-0000E74F0000}"/>
    <cellStyle name="Input 2 3 2 4 4 2 5 2" xfId="21519" xr:uid="{00000000-0005-0000-0000-0000E84F0000}"/>
    <cellStyle name="Input 2 3 2 4 4 2 5 3" xfId="21520" xr:uid="{00000000-0005-0000-0000-0000E94F0000}"/>
    <cellStyle name="Input 2 3 2 4 4 2 6" xfId="21521" xr:uid="{00000000-0005-0000-0000-0000EA4F0000}"/>
    <cellStyle name="Input 2 3 2 4 4 2 6 2" xfId="21522" xr:uid="{00000000-0005-0000-0000-0000EB4F0000}"/>
    <cellStyle name="Input 2 3 2 4 4 2 6 3" xfId="21523" xr:uid="{00000000-0005-0000-0000-0000EC4F0000}"/>
    <cellStyle name="Input 2 3 2 4 4 2 7" xfId="21524" xr:uid="{00000000-0005-0000-0000-0000ED4F0000}"/>
    <cellStyle name="Input 2 3 2 4 4 2 7 2" xfId="21525" xr:uid="{00000000-0005-0000-0000-0000EE4F0000}"/>
    <cellStyle name="Input 2 3 2 4 4 2 7 3" xfId="21526" xr:uid="{00000000-0005-0000-0000-0000EF4F0000}"/>
    <cellStyle name="Input 2 3 2 4 4 2 8" xfId="21527" xr:uid="{00000000-0005-0000-0000-0000F04F0000}"/>
    <cellStyle name="Input 2 3 2 4 4 2 9" xfId="21528" xr:uid="{00000000-0005-0000-0000-0000F14F0000}"/>
    <cellStyle name="Input 2 3 2 4 4 3" xfId="21529" xr:uid="{00000000-0005-0000-0000-0000F24F0000}"/>
    <cellStyle name="Input 2 3 2 4 4 3 2" xfId="21530" xr:uid="{00000000-0005-0000-0000-0000F34F0000}"/>
    <cellStyle name="Input 2 3 2 4 4 3 3" xfId="21531" xr:uid="{00000000-0005-0000-0000-0000F44F0000}"/>
    <cellStyle name="Input 2 3 2 4 4 4" xfId="21532" xr:uid="{00000000-0005-0000-0000-0000F54F0000}"/>
    <cellStyle name="Input 2 3 2 4 4 4 2" xfId="21533" xr:uid="{00000000-0005-0000-0000-0000F64F0000}"/>
    <cellStyle name="Input 2 3 2 4 4 4 3" xfId="21534" xr:uid="{00000000-0005-0000-0000-0000F74F0000}"/>
    <cellStyle name="Input 2 3 2 4 4 5" xfId="21535" xr:uid="{00000000-0005-0000-0000-0000F84F0000}"/>
    <cellStyle name="Input 2 3 2 4 4 5 2" xfId="21536" xr:uid="{00000000-0005-0000-0000-0000F94F0000}"/>
    <cellStyle name="Input 2 3 2 4 4 5 3" xfId="21537" xr:uid="{00000000-0005-0000-0000-0000FA4F0000}"/>
    <cellStyle name="Input 2 3 2 4 4 6" xfId="21538" xr:uid="{00000000-0005-0000-0000-0000FB4F0000}"/>
    <cellStyle name="Input 2 3 2 4 4 6 2" xfId="21539" xr:uid="{00000000-0005-0000-0000-0000FC4F0000}"/>
    <cellStyle name="Input 2 3 2 4 4 6 3" xfId="21540" xr:uid="{00000000-0005-0000-0000-0000FD4F0000}"/>
    <cellStyle name="Input 2 3 2 4 4 7" xfId="21541" xr:uid="{00000000-0005-0000-0000-0000FE4F0000}"/>
    <cellStyle name="Input 2 3 2 4 4 7 2" xfId="21542" xr:uid="{00000000-0005-0000-0000-0000FF4F0000}"/>
    <cellStyle name="Input 2 3 2 4 4 7 3" xfId="21543" xr:uid="{00000000-0005-0000-0000-000000500000}"/>
    <cellStyle name="Input 2 3 2 4 4 8" xfId="21544" xr:uid="{00000000-0005-0000-0000-000001500000}"/>
    <cellStyle name="Input 2 3 2 4 4 8 2" xfId="21545" xr:uid="{00000000-0005-0000-0000-000002500000}"/>
    <cellStyle name="Input 2 3 2 4 4 8 3" xfId="21546" xr:uid="{00000000-0005-0000-0000-000003500000}"/>
    <cellStyle name="Input 2 3 2 4 4 9" xfId="21547" xr:uid="{00000000-0005-0000-0000-000004500000}"/>
    <cellStyle name="Input 2 3 2 4 5" xfId="21548" xr:uid="{00000000-0005-0000-0000-000005500000}"/>
    <cellStyle name="Input 2 3 2 4 5 2" xfId="21549" xr:uid="{00000000-0005-0000-0000-000006500000}"/>
    <cellStyle name="Input 2 3 2 4 5 2 2" xfId="21550" xr:uid="{00000000-0005-0000-0000-000007500000}"/>
    <cellStyle name="Input 2 3 2 4 5 2 3" xfId="21551" xr:uid="{00000000-0005-0000-0000-000008500000}"/>
    <cellStyle name="Input 2 3 2 4 5 3" xfId="21552" xr:uid="{00000000-0005-0000-0000-000009500000}"/>
    <cellStyle name="Input 2 3 2 4 5 3 2" xfId="21553" xr:uid="{00000000-0005-0000-0000-00000A500000}"/>
    <cellStyle name="Input 2 3 2 4 5 3 3" xfId="21554" xr:uid="{00000000-0005-0000-0000-00000B500000}"/>
    <cellStyle name="Input 2 3 2 4 5 4" xfId="21555" xr:uid="{00000000-0005-0000-0000-00000C500000}"/>
    <cellStyle name="Input 2 3 2 4 5 4 2" xfId="21556" xr:uid="{00000000-0005-0000-0000-00000D500000}"/>
    <cellStyle name="Input 2 3 2 4 5 4 3" xfId="21557" xr:uid="{00000000-0005-0000-0000-00000E500000}"/>
    <cellStyle name="Input 2 3 2 4 5 5" xfId="21558" xr:uid="{00000000-0005-0000-0000-00000F500000}"/>
    <cellStyle name="Input 2 3 2 4 5 5 2" xfId="21559" xr:uid="{00000000-0005-0000-0000-000010500000}"/>
    <cellStyle name="Input 2 3 2 4 5 5 3" xfId="21560" xr:uid="{00000000-0005-0000-0000-000011500000}"/>
    <cellStyle name="Input 2 3 2 4 5 6" xfId="21561" xr:uid="{00000000-0005-0000-0000-000012500000}"/>
    <cellStyle name="Input 2 3 2 4 5 6 2" xfId="21562" xr:uid="{00000000-0005-0000-0000-000013500000}"/>
    <cellStyle name="Input 2 3 2 4 5 6 3" xfId="21563" xr:uid="{00000000-0005-0000-0000-000014500000}"/>
    <cellStyle name="Input 2 3 2 4 5 7" xfId="21564" xr:uid="{00000000-0005-0000-0000-000015500000}"/>
    <cellStyle name="Input 2 3 2 4 5 7 2" xfId="21565" xr:uid="{00000000-0005-0000-0000-000016500000}"/>
    <cellStyle name="Input 2 3 2 4 5 7 3" xfId="21566" xr:uid="{00000000-0005-0000-0000-000017500000}"/>
    <cellStyle name="Input 2 3 2 4 5 8" xfId="21567" xr:uid="{00000000-0005-0000-0000-000018500000}"/>
    <cellStyle name="Input 2 3 2 4 5 9" xfId="21568" xr:uid="{00000000-0005-0000-0000-000019500000}"/>
    <cellStyle name="Input 2 3 2 4 6" xfId="21569" xr:uid="{00000000-0005-0000-0000-00001A500000}"/>
    <cellStyle name="Input 2 3 2 4 6 2" xfId="21570" xr:uid="{00000000-0005-0000-0000-00001B500000}"/>
    <cellStyle name="Input 2 3 2 4 6 3" xfId="21571" xr:uid="{00000000-0005-0000-0000-00001C500000}"/>
    <cellStyle name="Input 2 3 2 4 7" xfId="21572" xr:uid="{00000000-0005-0000-0000-00001D500000}"/>
    <cellStyle name="Input 2 3 2 4 7 2" xfId="21573" xr:uid="{00000000-0005-0000-0000-00001E500000}"/>
    <cellStyle name="Input 2 3 2 4 7 3" xfId="21574" xr:uid="{00000000-0005-0000-0000-00001F500000}"/>
    <cellStyle name="Input 2 3 2 4 8" xfId="21575" xr:uid="{00000000-0005-0000-0000-000020500000}"/>
    <cellStyle name="Input 2 3 2 4 8 2" xfId="21576" xr:uid="{00000000-0005-0000-0000-000021500000}"/>
    <cellStyle name="Input 2 3 2 4 8 3" xfId="21577" xr:uid="{00000000-0005-0000-0000-000022500000}"/>
    <cellStyle name="Input 2 3 2 4 9" xfId="21578" xr:uid="{00000000-0005-0000-0000-000023500000}"/>
    <cellStyle name="Input 2 3 2 4 9 2" xfId="21579" xr:uid="{00000000-0005-0000-0000-000024500000}"/>
    <cellStyle name="Input 2 3 2 4 9 3" xfId="21580" xr:uid="{00000000-0005-0000-0000-000025500000}"/>
    <cellStyle name="Input 2 3 2 5" xfId="21581" xr:uid="{00000000-0005-0000-0000-000026500000}"/>
    <cellStyle name="Input 2 3 2 5 10" xfId="44070" xr:uid="{00000000-0005-0000-0000-000027500000}"/>
    <cellStyle name="Input 2 3 2 5 2" xfId="21582" xr:uid="{00000000-0005-0000-0000-000028500000}"/>
    <cellStyle name="Input 2 3 2 5 2 10" xfId="21583" xr:uid="{00000000-0005-0000-0000-000029500000}"/>
    <cellStyle name="Input 2 3 2 5 2 2" xfId="21584" xr:uid="{00000000-0005-0000-0000-00002A500000}"/>
    <cellStyle name="Input 2 3 2 5 2 2 2" xfId="21585" xr:uid="{00000000-0005-0000-0000-00002B500000}"/>
    <cellStyle name="Input 2 3 2 5 2 2 2 2" xfId="21586" xr:uid="{00000000-0005-0000-0000-00002C500000}"/>
    <cellStyle name="Input 2 3 2 5 2 2 2 3" xfId="21587" xr:uid="{00000000-0005-0000-0000-00002D500000}"/>
    <cellStyle name="Input 2 3 2 5 2 2 3" xfId="21588" xr:uid="{00000000-0005-0000-0000-00002E500000}"/>
    <cellStyle name="Input 2 3 2 5 2 2 3 2" xfId="21589" xr:uid="{00000000-0005-0000-0000-00002F500000}"/>
    <cellStyle name="Input 2 3 2 5 2 2 3 3" xfId="21590" xr:uid="{00000000-0005-0000-0000-000030500000}"/>
    <cellStyle name="Input 2 3 2 5 2 2 4" xfId="21591" xr:uid="{00000000-0005-0000-0000-000031500000}"/>
    <cellStyle name="Input 2 3 2 5 2 2 4 2" xfId="21592" xr:uid="{00000000-0005-0000-0000-000032500000}"/>
    <cellStyle name="Input 2 3 2 5 2 2 4 3" xfId="21593" xr:uid="{00000000-0005-0000-0000-000033500000}"/>
    <cellStyle name="Input 2 3 2 5 2 2 5" xfId="21594" xr:uid="{00000000-0005-0000-0000-000034500000}"/>
    <cellStyle name="Input 2 3 2 5 2 2 5 2" xfId="21595" xr:uid="{00000000-0005-0000-0000-000035500000}"/>
    <cellStyle name="Input 2 3 2 5 2 2 5 3" xfId="21596" xr:uid="{00000000-0005-0000-0000-000036500000}"/>
    <cellStyle name="Input 2 3 2 5 2 2 6" xfId="21597" xr:uid="{00000000-0005-0000-0000-000037500000}"/>
    <cellStyle name="Input 2 3 2 5 2 2 6 2" xfId="21598" xr:uid="{00000000-0005-0000-0000-000038500000}"/>
    <cellStyle name="Input 2 3 2 5 2 2 6 3" xfId="21599" xr:uid="{00000000-0005-0000-0000-000039500000}"/>
    <cellStyle name="Input 2 3 2 5 2 2 7" xfId="21600" xr:uid="{00000000-0005-0000-0000-00003A500000}"/>
    <cellStyle name="Input 2 3 2 5 2 2 7 2" xfId="21601" xr:uid="{00000000-0005-0000-0000-00003B500000}"/>
    <cellStyle name="Input 2 3 2 5 2 2 7 3" xfId="21602" xr:uid="{00000000-0005-0000-0000-00003C500000}"/>
    <cellStyle name="Input 2 3 2 5 2 2 8" xfId="21603" xr:uid="{00000000-0005-0000-0000-00003D500000}"/>
    <cellStyle name="Input 2 3 2 5 2 2 9" xfId="21604" xr:uid="{00000000-0005-0000-0000-00003E500000}"/>
    <cellStyle name="Input 2 3 2 5 2 3" xfId="21605" xr:uid="{00000000-0005-0000-0000-00003F500000}"/>
    <cellStyle name="Input 2 3 2 5 2 3 2" xfId="21606" xr:uid="{00000000-0005-0000-0000-000040500000}"/>
    <cellStyle name="Input 2 3 2 5 2 3 3" xfId="21607" xr:uid="{00000000-0005-0000-0000-000041500000}"/>
    <cellStyle name="Input 2 3 2 5 2 4" xfId="21608" xr:uid="{00000000-0005-0000-0000-000042500000}"/>
    <cellStyle name="Input 2 3 2 5 2 4 2" xfId="21609" xr:uid="{00000000-0005-0000-0000-000043500000}"/>
    <cellStyle name="Input 2 3 2 5 2 4 3" xfId="21610" xr:uid="{00000000-0005-0000-0000-000044500000}"/>
    <cellStyle name="Input 2 3 2 5 2 5" xfId="21611" xr:uid="{00000000-0005-0000-0000-000045500000}"/>
    <cellStyle name="Input 2 3 2 5 2 5 2" xfId="21612" xr:uid="{00000000-0005-0000-0000-000046500000}"/>
    <cellStyle name="Input 2 3 2 5 2 5 3" xfId="21613" xr:uid="{00000000-0005-0000-0000-000047500000}"/>
    <cellStyle name="Input 2 3 2 5 2 6" xfId="21614" xr:uid="{00000000-0005-0000-0000-000048500000}"/>
    <cellStyle name="Input 2 3 2 5 2 6 2" xfId="21615" xr:uid="{00000000-0005-0000-0000-000049500000}"/>
    <cellStyle name="Input 2 3 2 5 2 6 3" xfId="21616" xr:uid="{00000000-0005-0000-0000-00004A500000}"/>
    <cellStyle name="Input 2 3 2 5 2 7" xfId="21617" xr:uid="{00000000-0005-0000-0000-00004B500000}"/>
    <cellStyle name="Input 2 3 2 5 2 7 2" xfId="21618" xr:uid="{00000000-0005-0000-0000-00004C500000}"/>
    <cellStyle name="Input 2 3 2 5 2 7 3" xfId="21619" xr:uid="{00000000-0005-0000-0000-00004D500000}"/>
    <cellStyle name="Input 2 3 2 5 2 8" xfId="21620" xr:uid="{00000000-0005-0000-0000-00004E500000}"/>
    <cellStyle name="Input 2 3 2 5 2 8 2" xfId="21621" xr:uid="{00000000-0005-0000-0000-00004F500000}"/>
    <cellStyle name="Input 2 3 2 5 2 8 3" xfId="21622" xr:uid="{00000000-0005-0000-0000-000050500000}"/>
    <cellStyle name="Input 2 3 2 5 2 9" xfId="21623" xr:uid="{00000000-0005-0000-0000-000051500000}"/>
    <cellStyle name="Input 2 3 2 5 3" xfId="21624" xr:uid="{00000000-0005-0000-0000-000052500000}"/>
    <cellStyle name="Input 2 3 2 5 3 10" xfId="21625" xr:uid="{00000000-0005-0000-0000-000053500000}"/>
    <cellStyle name="Input 2 3 2 5 3 2" xfId="21626" xr:uid="{00000000-0005-0000-0000-000054500000}"/>
    <cellStyle name="Input 2 3 2 5 3 2 2" xfId="21627" xr:uid="{00000000-0005-0000-0000-000055500000}"/>
    <cellStyle name="Input 2 3 2 5 3 2 2 2" xfId="21628" xr:uid="{00000000-0005-0000-0000-000056500000}"/>
    <cellStyle name="Input 2 3 2 5 3 2 2 3" xfId="21629" xr:uid="{00000000-0005-0000-0000-000057500000}"/>
    <cellStyle name="Input 2 3 2 5 3 2 3" xfId="21630" xr:uid="{00000000-0005-0000-0000-000058500000}"/>
    <cellStyle name="Input 2 3 2 5 3 2 3 2" xfId="21631" xr:uid="{00000000-0005-0000-0000-000059500000}"/>
    <cellStyle name="Input 2 3 2 5 3 2 3 3" xfId="21632" xr:uid="{00000000-0005-0000-0000-00005A500000}"/>
    <cellStyle name="Input 2 3 2 5 3 2 4" xfId="21633" xr:uid="{00000000-0005-0000-0000-00005B500000}"/>
    <cellStyle name="Input 2 3 2 5 3 2 4 2" xfId="21634" xr:uid="{00000000-0005-0000-0000-00005C500000}"/>
    <cellStyle name="Input 2 3 2 5 3 2 4 3" xfId="21635" xr:uid="{00000000-0005-0000-0000-00005D500000}"/>
    <cellStyle name="Input 2 3 2 5 3 2 5" xfId="21636" xr:uid="{00000000-0005-0000-0000-00005E500000}"/>
    <cellStyle name="Input 2 3 2 5 3 2 5 2" xfId="21637" xr:uid="{00000000-0005-0000-0000-00005F500000}"/>
    <cellStyle name="Input 2 3 2 5 3 2 5 3" xfId="21638" xr:uid="{00000000-0005-0000-0000-000060500000}"/>
    <cellStyle name="Input 2 3 2 5 3 2 6" xfId="21639" xr:uid="{00000000-0005-0000-0000-000061500000}"/>
    <cellStyle name="Input 2 3 2 5 3 2 6 2" xfId="21640" xr:uid="{00000000-0005-0000-0000-000062500000}"/>
    <cellStyle name="Input 2 3 2 5 3 2 6 3" xfId="21641" xr:uid="{00000000-0005-0000-0000-000063500000}"/>
    <cellStyle name="Input 2 3 2 5 3 2 7" xfId="21642" xr:uid="{00000000-0005-0000-0000-000064500000}"/>
    <cellStyle name="Input 2 3 2 5 3 2 7 2" xfId="21643" xr:uid="{00000000-0005-0000-0000-000065500000}"/>
    <cellStyle name="Input 2 3 2 5 3 2 7 3" xfId="21644" xr:uid="{00000000-0005-0000-0000-000066500000}"/>
    <cellStyle name="Input 2 3 2 5 3 2 8" xfId="21645" xr:uid="{00000000-0005-0000-0000-000067500000}"/>
    <cellStyle name="Input 2 3 2 5 3 2 9" xfId="21646" xr:uid="{00000000-0005-0000-0000-000068500000}"/>
    <cellStyle name="Input 2 3 2 5 3 3" xfId="21647" xr:uid="{00000000-0005-0000-0000-000069500000}"/>
    <cellStyle name="Input 2 3 2 5 3 3 2" xfId="21648" xr:uid="{00000000-0005-0000-0000-00006A500000}"/>
    <cellStyle name="Input 2 3 2 5 3 3 3" xfId="21649" xr:uid="{00000000-0005-0000-0000-00006B500000}"/>
    <cellStyle name="Input 2 3 2 5 3 4" xfId="21650" xr:uid="{00000000-0005-0000-0000-00006C500000}"/>
    <cellStyle name="Input 2 3 2 5 3 4 2" xfId="21651" xr:uid="{00000000-0005-0000-0000-00006D500000}"/>
    <cellStyle name="Input 2 3 2 5 3 4 3" xfId="21652" xr:uid="{00000000-0005-0000-0000-00006E500000}"/>
    <cellStyle name="Input 2 3 2 5 3 5" xfId="21653" xr:uid="{00000000-0005-0000-0000-00006F500000}"/>
    <cellStyle name="Input 2 3 2 5 3 5 2" xfId="21654" xr:uid="{00000000-0005-0000-0000-000070500000}"/>
    <cellStyle name="Input 2 3 2 5 3 5 3" xfId="21655" xr:uid="{00000000-0005-0000-0000-000071500000}"/>
    <cellStyle name="Input 2 3 2 5 3 6" xfId="21656" xr:uid="{00000000-0005-0000-0000-000072500000}"/>
    <cellStyle name="Input 2 3 2 5 3 6 2" xfId="21657" xr:uid="{00000000-0005-0000-0000-000073500000}"/>
    <cellStyle name="Input 2 3 2 5 3 6 3" xfId="21658" xr:uid="{00000000-0005-0000-0000-000074500000}"/>
    <cellStyle name="Input 2 3 2 5 3 7" xfId="21659" xr:uid="{00000000-0005-0000-0000-000075500000}"/>
    <cellStyle name="Input 2 3 2 5 3 7 2" xfId="21660" xr:uid="{00000000-0005-0000-0000-000076500000}"/>
    <cellStyle name="Input 2 3 2 5 3 7 3" xfId="21661" xr:uid="{00000000-0005-0000-0000-000077500000}"/>
    <cellStyle name="Input 2 3 2 5 3 8" xfId="21662" xr:uid="{00000000-0005-0000-0000-000078500000}"/>
    <cellStyle name="Input 2 3 2 5 3 8 2" xfId="21663" xr:uid="{00000000-0005-0000-0000-000079500000}"/>
    <cellStyle name="Input 2 3 2 5 3 8 3" xfId="21664" xr:uid="{00000000-0005-0000-0000-00007A500000}"/>
    <cellStyle name="Input 2 3 2 5 3 9" xfId="21665" xr:uid="{00000000-0005-0000-0000-00007B500000}"/>
    <cellStyle name="Input 2 3 2 5 4" xfId="21666" xr:uid="{00000000-0005-0000-0000-00007C500000}"/>
    <cellStyle name="Input 2 3 2 5 4 10" xfId="21667" xr:uid="{00000000-0005-0000-0000-00007D500000}"/>
    <cellStyle name="Input 2 3 2 5 4 2" xfId="21668" xr:uid="{00000000-0005-0000-0000-00007E500000}"/>
    <cellStyle name="Input 2 3 2 5 4 2 2" xfId="21669" xr:uid="{00000000-0005-0000-0000-00007F500000}"/>
    <cellStyle name="Input 2 3 2 5 4 2 2 2" xfId="21670" xr:uid="{00000000-0005-0000-0000-000080500000}"/>
    <cellStyle name="Input 2 3 2 5 4 2 2 3" xfId="21671" xr:uid="{00000000-0005-0000-0000-000081500000}"/>
    <cellStyle name="Input 2 3 2 5 4 2 3" xfId="21672" xr:uid="{00000000-0005-0000-0000-000082500000}"/>
    <cellStyle name="Input 2 3 2 5 4 2 3 2" xfId="21673" xr:uid="{00000000-0005-0000-0000-000083500000}"/>
    <cellStyle name="Input 2 3 2 5 4 2 3 3" xfId="21674" xr:uid="{00000000-0005-0000-0000-000084500000}"/>
    <cellStyle name="Input 2 3 2 5 4 2 4" xfId="21675" xr:uid="{00000000-0005-0000-0000-000085500000}"/>
    <cellStyle name="Input 2 3 2 5 4 2 4 2" xfId="21676" xr:uid="{00000000-0005-0000-0000-000086500000}"/>
    <cellStyle name="Input 2 3 2 5 4 2 4 3" xfId="21677" xr:uid="{00000000-0005-0000-0000-000087500000}"/>
    <cellStyle name="Input 2 3 2 5 4 2 5" xfId="21678" xr:uid="{00000000-0005-0000-0000-000088500000}"/>
    <cellStyle name="Input 2 3 2 5 4 2 5 2" xfId="21679" xr:uid="{00000000-0005-0000-0000-000089500000}"/>
    <cellStyle name="Input 2 3 2 5 4 2 5 3" xfId="21680" xr:uid="{00000000-0005-0000-0000-00008A500000}"/>
    <cellStyle name="Input 2 3 2 5 4 2 6" xfId="21681" xr:uid="{00000000-0005-0000-0000-00008B500000}"/>
    <cellStyle name="Input 2 3 2 5 4 2 6 2" xfId="21682" xr:uid="{00000000-0005-0000-0000-00008C500000}"/>
    <cellStyle name="Input 2 3 2 5 4 2 6 3" xfId="21683" xr:uid="{00000000-0005-0000-0000-00008D500000}"/>
    <cellStyle name="Input 2 3 2 5 4 2 7" xfId="21684" xr:uid="{00000000-0005-0000-0000-00008E500000}"/>
    <cellStyle name="Input 2 3 2 5 4 2 7 2" xfId="21685" xr:uid="{00000000-0005-0000-0000-00008F500000}"/>
    <cellStyle name="Input 2 3 2 5 4 2 7 3" xfId="21686" xr:uid="{00000000-0005-0000-0000-000090500000}"/>
    <cellStyle name="Input 2 3 2 5 4 2 8" xfId="21687" xr:uid="{00000000-0005-0000-0000-000091500000}"/>
    <cellStyle name="Input 2 3 2 5 4 2 9" xfId="21688" xr:uid="{00000000-0005-0000-0000-000092500000}"/>
    <cellStyle name="Input 2 3 2 5 4 3" xfId="21689" xr:uid="{00000000-0005-0000-0000-000093500000}"/>
    <cellStyle name="Input 2 3 2 5 4 3 2" xfId="21690" xr:uid="{00000000-0005-0000-0000-000094500000}"/>
    <cellStyle name="Input 2 3 2 5 4 3 3" xfId="21691" xr:uid="{00000000-0005-0000-0000-000095500000}"/>
    <cellStyle name="Input 2 3 2 5 4 4" xfId="21692" xr:uid="{00000000-0005-0000-0000-000096500000}"/>
    <cellStyle name="Input 2 3 2 5 4 4 2" xfId="21693" xr:uid="{00000000-0005-0000-0000-000097500000}"/>
    <cellStyle name="Input 2 3 2 5 4 4 3" xfId="21694" xr:uid="{00000000-0005-0000-0000-000098500000}"/>
    <cellStyle name="Input 2 3 2 5 4 5" xfId="21695" xr:uid="{00000000-0005-0000-0000-000099500000}"/>
    <cellStyle name="Input 2 3 2 5 4 5 2" xfId="21696" xr:uid="{00000000-0005-0000-0000-00009A500000}"/>
    <cellStyle name="Input 2 3 2 5 4 5 3" xfId="21697" xr:uid="{00000000-0005-0000-0000-00009B500000}"/>
    <cellStyle name="Input 2 3 2 5 4 6" xfId="21698" xr:uid="{00000000-0005-0000-0000-00009C500000}"/>
    <cellStyle name="Input 2 3 2 5 4 6 2" xfId="21699" xr:uid="{00000000-0005-0000-0000-00009D500000}"/>
    <cellStyle name="Input 2 3 2 5 4 6 3" xfId="21700" xr:uid="{00000000-0005-0000-0000-00009E500000}"/>
    <cellStyle name="Input 2 3 2 5 4 7" xfId="21701" xr:uid="{00000000-0005-0000-0000-00009F500000}"/>
    <cellStyle name="Input 2 3 2 5 4 7 2" xfId="21702" xr:uid="{00000000-0005-0000-0000-0000A0500000}"/>
    <cellStyle name="Input 2 3 2 5 4 7 3" xfId="21703" xr:uid="{00000000-0005-0000-0000-0000A1500000}"/>
    <cellStyle name="Input 2 3 2 5 4 8" xfId="21704" xr:uid="{00000000-0005-0000-0000-0000A2500000}"/>
    <cellStyle name="Input 2 3 2 5 4 8 2" xfId="21705" xr:uid="{00000000-0005-0000-0000-0000A3500000}"/>
    <cellStyle name="Input 2 3 2 5 4 8 3" xfId="21706" xr:uid="{00000000-0005-0000-0000-0000A4500000}"/>
    <cellStyle name="Input 2 3 2 5 4 9" xfId="21707" xr:uid="{00000000-0005-0000-0000-0000A5500000}"/>
    <cellStyle name="Input 2 3 2 5 5" xfId="21708" xr:uid="{00000000-0005-0000-0000-0000A6500000}"/>
    <cellStyle name="Input 2 3 2 5 5 2" xfId="21709" xr:uid="{00000000-0005-0000-0000-0000A7500000}"/>
    <cellStyle name="Input 2 3 2 5 5 2 2" xfId="21710" xr:uid="{00000000-0005-0000-0000-0000A8500000}"/>
    <cellStyle name="Input 2 3 2 5 5 2 3" xfId="21711" xr:uid="{00000000-0005-0000-0000-0000A9500000}"/>
    <cellStyle name="Input 2 3 2 5 5 3" xfId="21712" xr:uid="{00000000-0005-0000-0000-0000AA500000}"/>
    <cellStyle name="Input 2 3 2 5 5 3 2" xfId="21713" xr:uid="{00000000-0005-0000-0000-0000AB500000}"/>
    <cellStyle name="Input 2 3 2 5 5 3 3" xfId="21714" xr:uid="{00000000-0005-0000-0000-0000AC500000}"/>
    <cellStyle name="Input 2 3 2 5 5 4" xfId="21715" xr:uid="{00000000-0005-0000-0000-0000AD500000}"/>
    <cellStyle name="Input 2 3 2 5 5 4 2" xfId="21716" xr:uid="{00000000-0005-0000-0000-0000AE500000}"/>
    <cellStyle name="Input 2 3 2 5 5 4 3" xfId="21717" xr:uid="{00000000-0005-0000-0000-0000AF500000}"/>
    <cellStyle name="Input 2 3 2 5 5 5" xfId="21718" xr:uid="{00000000-0005-0000-0000-0000B0500000}"/>
    <cellStyle name="Input 2 3 2 5 5 5 2" xfId="21719" xr:uid="{00000000-0005-0000-0000-0000B1500000}"/>
    <cellStyle name="Input 2 3 2 5 5 5 3" xfId="21720" xr:uid="{00000000-0005-0000-0000-0000B2500000}"/>
    <cellStyle name="Input 2 3 2 5 5 6" xfId="21721" xr:uid="{00000000-0005-0000-0000-0000B3500000}"/>
    <cellStyle name="Input 2 3 2 5 5 6 2" xfId="21722" xr:uid="{00000000-0005-0000-0000-0000B4500000}"/>
    <cellStyle name="Input 2 3 2 5 5 6 3" xfId="21723" xr:uid="{00000000-0005-0000-0000-0000B5500000}"/>
    <cellStyle name="Input 2 3 2 5 5 7" xfId="21724" xr:uid="{00000000-0005-0000-0000-0000B6500000}"/>
    <cellStyle name="Input 2 3 2 5 5 7 2" xfId="21725" xr:uid="{00000000-0005-0000-0000-0000B7500000}"/>
    <cellStyle name="Input 2 3 2 5 5 7 3" xfId="21726" xr:uid="{00000000-0005-0000-0000-0000B8500000}"/>
    <cellStyle name="Input 2 3 2 5 5 8" xfId="21727" xr:uid="{00000000-0005-0000-0000-0000B9500000}"/>
    <cellStyle name="Input 2 3 2 5 5 9" xfId="21728" xr:uid="{00000000-0005-0000-0000-0000BA500000}"/>
    <cellStyle name="Input 2 3 2 5 6" xfId="21729" xr:uid="{00000000-0005-0000-0000-0000BB500000}"/>
    <cellStyle name="Input 2 3 2 5 6 2" xfId="21730" xr:uid="{00000000-0005-0000-0000-0000BC500000}"/>
    <cellStyle name="Input 2 3 2 5 6 3" xfId="21731" xr:uid="{00000000-0005-0000-0000-0000BD500000}"/>
    <cellStyle name="Input 2 3 2 5 7" xfId="21732" xr:uid="{00000000-0005-0000-0000-0000BE500000}"/>
    <cellStyle name="Input 2 3 2 5 7 2" xfId="21733" xr:uid="{00000000-0005-0000-0000-0000BF500000}"/>
    <cellStyle name="Input 2 3 2 5 7 3" xfId="21734" xr:uid="{00000000-0005-0000-0000-0000C0500000}"/>
    <cellStyle name="Input 2 3 2 5 8" xfId="21735" xr:uid="{00000000-0005-0000-0000-0000C1500000}"/>
    <cellStyle name="Input 2 3 2 5 8 2" xfId="21736" xr:uid="{00000000-0005-0000-0000-0000C2500000}"/>
    <cellStyle name="Input 2 3 2 5 8 3" xfId="21737" xr:uid="{00000000-0005-0000-0000-0000C3500000}"/>
    <cellStyle name="Input 2 3 2 5 9" xfId="21738" xr:uid="{00000000-0005-0000-0000-0000C4500000}"/>
    <cellStyle name="Input 2 3 2 5 9 2" xfId="21739" xr:uid="{00000000-0005-0000-0000-0000C5500000}"/>
    <cellStyle name="Input 2 3 2 5 9 3" xfId="21740" xr:uid="{00000000-0005-0000-0000-0000C6500000}"/>
    <cellStyle name="Input 2 3 2 6" xfId="21741" xr:uid="{00000000-0005-0000-0000-0000C7500000}"/>
    <cellStyle name="Input 2 3 2 6 10" xfId="21742" xr:uid="{00000000-0005-0000-0000-0000C8500000}"/>
    <cellStyle name="Input 2 3 2 6 2" xfId="21743" xr:uid="{00000000-0005-0000-0000-0000C9500000}"/>
    <cellStyle name="Input 2 3 2 6 2 2" xfId="21744" xr:uid="{00000000-0005-0000-0000-0000CA500000}"/>
    <cellStyle name="Input 2 3 2 6 2 2 2" xfId="21745" xr:uid="{00000000-0005-0000-0000-0000CB500000}"/>
    <cellStyle name="Input 2 3 2 6 2 2 3" xfId="21746" xr:uid="{00000000-0005-0000-0000-0000CC500000}"/>
    <cellStyle name="Input 2 3 2 6 2 3" xfId="21747" xr:uid="{00000000-0005-0000-0000-0000CD500000}"/>
    <cellStyle name="Input 2 3 2 6 2 3 2" xfId="21748" xr:uid="{00000000-0005-0000-0000-0000CE500000}"/>
    <cellStyle name="Input 2 3 2 6 2 3 3" xfId="21749" xr:uid="{00000000-0005-0000-0000-0000CF500000}"/>
    <cellStyle name="Input 2 3 2 6 2 4" xfId="21750" xr:uid="{00000000-0005-0000-0000-0000D0500000}"/>
    <cellStyle name="Input 2 3 2 6 2 4 2" xfId="21751" xr:uid="{00000000-0005-0000-0000-0000D1500000}"/>
    <cellStyle name="Input 2 3 2 6 2 4 3" xfId="21752" xr:uid="{00000000-0005-0000-0000-0000D2500000}"/>
    <cellStyle name="Input 2 3 2 6 2 5" xfId="21753" xr:uid="{00000000-0005-0000-0000-0000D3500000}"/>
    <cellStyle name="Input 2 3 2 6 2 5 2" xfId="21754" xr:uid="{00000000-0005-0000-0000-0000D4500000}"/>
    <cellStyle name="Input 2 3 2 6 2 5 3" xfId="21755" xr:uid="{00000000-0005-0000-0000-0000D5500000}"/>
    <cellStyle name="Input 2 3 2 6 2 6" xfId="21756" xr:uid="{00000000-0005-0000-0000-0000D6500000}"/>
    <cellStyle name="Input 2 3 2 6 2 6 2" xfId="21757" xr:uid="{00000000-0005-0000-0000-0000D7500000}"/>
    <cellStyle name="Input 2 3 2 6 2 6 3" xfId="21758" xr:uid="{00000000-0005-0000-0000-0000D8500000}"/>
    <cellStyle name="Input 2 3 2 6 2 7" xfId="21759" xr:uid="{00000000-0005-0000-0000-0000D9500000}"/>
    <cellStyle name="Input 2 3 2 6 2 7 2" xfId="21760" xr:uid="{00000000-0005-0000-0000-0000DA500000}"/>
    <cellStyle name="Input 2 3 2 6 2 7 3" xfId="21761" xr:uid="{00000000-0005-0000-0000-0000DB500000}"/>
    <cellStyle name="Input 2 3 2 6 2 8" xfId="21762" xr:uid="{00000000-0005-0000-0000-0000DC500000}"/>
    <cellStyle name="Input 2 3 2 6 2 9" xfId="21763" xr:uid="{00000000-0005-0000-0000-0000DD500000}"/>
    <cellStyle name="Input 2 3 2 6 3" xfId="21764" xr:uid="{00000000-0005-0000-0000-0000DE500000}"/>
    <cellStyle name="Input 2 3 2 6 3 2" xfId="21765" xr:uid="{00000000-0005-0000-0000-0000DF500000}"/>
    <cellStyle name="Input 2 3 2 6 3 3" xfId="21766" xr:uid="{00000000-0005-0000-0000-0000E0500000}"/>
    <cellStyle name="Input 2 3 2 6 4" xfId="21767" xr:uid="{00000000-0005-0000-0000-0000E1500000}"/>
    <cellStyle name="Input 2 3 2 6 4 2" xfId="21768" xr:uid="{00000000-0005-0000-0000-0000E2500000}"/>
    <cellStyle name="Input 2 3 2 6 4 3" xfId="21769" xr:uid="{00000000-0005-0000-0000-0000E3500000}"/>
    <cellStyle name="Input 2 3 2 6 5" xfId="21770" xr:uid="{00000000-0005-0000-0000-0000E4500000}"/>
    <cellStyle name="Input 2 3 2 6 5 2" xfId="21771" xr:uid="{00000000-0005-0000-0000-0000E5500000}"/>
    <cellStyle name="Input 2 3 2 6 5 3" xfId="21772" xr:uid="{00000000-0005-0000-0000-0000E6500000}"/>
    <cellStyle name="Input 2 3 2 6 6" xfId="21773" xr:uid="{00000000-0005-0000-0000-0000E7500000}"/>
    <cellStyle name="Input 2 3 2 6 6 2" xfId="21774" xr:uid="{00000000-0005-0000-0000-0000E8500000}"/>
    <cellStyle name="Input 2 3 2 6 6 3" xfId="21775" xr:uid="{00000000-0005-0000-0000-0000E9500000}"/>
    <cellStyle name="Input 2 3 2 6 7" xfId="21776" xr:uid="{00000000-0005-0000-0000-0000EA500000}"/>
    <cellStyle name="Input 2 3 2 6 7 2" xfId="21777" xr:uid="{00000000-0005-0000-0000-0000EB500000}"/>
    <cellStyle name="Input 2 3 2 6 7 3" xfId="21778" xr:uid="{00000000-0005-0000-0000-0000EC500000}"/>
    <cellStyle name="Input 2 3 2 6 8" xfId="21779" xr:uid="{00000000-0005-0000-0000-0000ED500000}"/>
    <cellStyle name="Input 2 3 2 6 8 2" xfId="21780" xr:uid="{00000000-0005-0000-0000-0000EE500000}"/>
    <cellStyle name="Input 2 3 2 6 8 3" xfId="21781" xr:uid="{00000000-0005-0000-0000-0000EF500000}"/>
    <cellStyle name="Input 2 3 2 6 9" xfId="21782" xr:uid="{00000000-0005-0000-0000-0000F0500000}"/>
    <cellStyle name="Input 2 3 2 7" xfId="21783" xr:uid="{00000000-0005-0000-0000-0000F1500000}"/>
    <cellStyle name="Input 2 3 2 7 10" xfId="21784" xr:uid="{00000000-0005-0000-0000-0000F2500000}"/>
    <cellStyle name="Input 2 3 2 7 2" xfId="21785" xr:uid="{00000000-0005-0000-0000-0000F3500000}"/>
    <cellStyle name="Input 2 3 2 7 2 2" xfId="21786" xr:uid="{00000000-0005-0000-0000-0000F4500000}"/>
    <cellStyle name="Input 2 3 2 7 2 2 2" xfId="21787" xr:uid="{00000000-0005-0000-0000-0000F5500000}"/>
    <cellStyle name="Input 2 3 2 7 2 2 3" xfId="21788" xr:uid="{00000000-0005-0000-0000-0000F6500000}"/>
    <cellStyle name="Input 2 3 2 7 2 3" xfId="21789" xr:uid="{00000000-0005-0000-0000-0000F7500000}"/>
    <cellStyle name="Input 2 3 2 7 2 3 2" xfId="21790" xr:uid="{00000000-0005-0000-0000-0000F8500000}"/>
    <cellStyle name="Input 2 3 2 7 2 3 3" xfId="21791" xr:uid="{00000000-0005-0000-0000-0000F9500000}"/>
    <cellStyle name="Input 2 3 2 7 2 4" xfId="21792" xr:uid="{00000000-0005-0000-0000-0000FA500000}"/>
    <cellStyle name="Input 2 3 2 7 2 4 2" xfId="21793" xr:uid="{00000000-0005-0000-0000-0000FB500000}"/>
    <cellStyle name="Input 2 3 2 7 2 4 3" xfId="21794" xr:uid="{00000000-0005-0000-0000-0000FC500000}"/>
    <cellStyle name="Input 2 3 2 7 2 5" xfId="21795" xr:uid="{00000000-0005-0000-0000-0000FD500000}"/>
    <cellStyle name="Input 2 3 2 7 2 5 2" xfId="21796" xr:uid="{00000000-0005-0000-0000-0000FE500000}"/>
    <cellStyle name="Input 2 3 2 7 2 5 3" xfId="21797" xr:uid="{00000000-0005-0000-0000-0000FF500000}"/>
    <cellStyle name="Input 2 3 2 7 2 6" xfId="21798" xr:uid="{00000000-0005-0000-0000-000000510000}"/>
    <cellStyle name="Input 2 3 2 7 2 6 2" xfId="21799" xr:uid="{00000000-0005-0000-0000-000001510000}"/>
    <cellStyle name="Input 2 3 2 7 2 6 3" xfId="21800" xr:uid="{00000000-0005-0000-0000-000002510000}"/>
    <cellStyle name="Input 2 3 2 7 2 7" xfId="21801" xr:uid="{00000000-0005-0000-0000-000003510000}"/>
    <cellStyle name="Input 2 3 2 7 2 7 2" xfId="21802" xr:uid="{00000000-0005-0000-0000-000004510000}"/>
    <cellStyle name="Input 2 3 2 7 2 7 3" xfId="21803" xr:uid="{00000000-0005-0000-0000-000005510000}"/>
    <cellStyle name="Input 2 3 2 7 2 8" xfId="21804" xr:uid="{00000000-0005-0000-0000-000006510000}"/>
    <cellStyle name="Input 2 3 2 7 2 9" xfId="21805" xr:uid="{00000000-0005-0000-0000-000007510000}"/>
    <cellStyle name="Input 2 3 2 7 3" xfId="21806" xr:uid="{00000000-0005-0000-0000-000008510000}"/>
    <cellStyle name="Input 2 3 2 7 3 2" xfId="21807" xr:uid="{00000000-0005-0000-0000-000009510000}"/>
    <cellStyle name="Input 2 3 2 7 3 3" xfId="21808" xr:uid="{00000000-0005-0000-0000-00000A510000}"/>
    <cellStyle name="Input 2 3 2 7 4" xfId="21809" xr:uid="{00000000-0005-0000-0000-00000B510000}"/>
    <cellStyle name="Input 2 3 2 7 4 2" xfId="21810" xr:uid="{00000000-0005-0000-0000-00000C510000}"/>
    <cellStyle name="Input 2 3 2 7 4 3" xfId="21811" xr:uid="{00000000-0005-0000-0000-00000D510000}"/>
    <cellStyle name="Input 2 3 2 7 5" xfId="21812" xr:uid="{00000000-0005-0000-0000-00000E510000}"/>
    <cellStyle name="Input 2 3 2 7 5 2" xfId="21813" xr:uid="{00000000-0005-0000-0000-00000F510000}"/>
    <cellStyle name="Input 2 3 2 7 5 3" xfId="21814" xr:uid="{00000000-0005-0000-0000-000010510000}"/>
    <cellStyle name="Input 2 3 2 7 6" xfId="21815" xr:uid="{00000000-0005-0000-0000-000011510000}"/>
    <cellStyle name="Input 2 3 2 7 6 2" xfId="21816" xr:uid="{00000000-0005-0000-0000-000012510000}"/>
    <cellStyle name="Input 2 3 2 7 6 3" xfId="21817" xr:uid="{00000000-0005-0000-0000-000013510000}"/>
    <cellStyle name="Input 2 3 2 7 7" xfId="21818" xr:uid="{00000000-0005-0000-0000-000014510000}"/>
    <cellStyle name="Input 2 3 2 7 7 2" xfId="21819" xr:uid="{00000000-0005-0000-0000-000015510000}"/>
    <cellStyle name="Input 2 3 2 7 7 3" xfId="21820" xr:uid="{00000000-0005-0000-0000-000016510000}"/>
    <cellStyle name="Input 2 3 2 7 8" xfId="21821" xr:uid="{00000000-0005-0000-0000-000017510000}"/>
    <cellStyle name="Input 2 3 2 7 8 2" xfId="21822" xr:uid="{00000000-0005-0000-0000-000018510000}"/>
    <cellStyle name="Input 2 3 2 7 8 3" xfId="21823" xr:uid="{00000000-0005-0000-0000-000019510000}"/>
    <cellStyle name="Input 2 3 2 7 9" xfId="21824" xr:uid="{00000000-0005-0000-0000-00001A510000}"/>
    <cellStyle name="Input 2 3 2 8" xfId="21825" xr:uid="{00000000-0005-0000-0000-00001B510000}"/>
    <cellStyle name="Input 2 3 2 8 10" xfId="21826" xr:uid="{00000000-0005-0000-0000-00001C510000}"/>
    <cellStyle name="Input 2 3 2 8 2" xfId="21827" xr:uid="{00000000-0005-0000-0000-00001D510000}"/>
    <cellStyle name="Input 2 3 2 8 2 2" xfId="21828" xr:uid="{00000000-0005-0000-0000-00001E510000}"/>
    <cellStyle name="Input 2 3 2 8 2 2 2" xfId="21829" xr:uid="{00000000-0005-0000-0000-00001F510000}"/>
    <cellStyle name="Input 2 3 2 8 2 2 3" xfId="21830" xr:uid="{00000000-0005-0000-0000-000020510000}"/>
    <cellStyle name="Input 2 3 2 8 2 3" xfId="21831" xr:uid="{00000000-0005-0000-0000-000021510000}"/>
    <cellStyle name="Input 2 3 2 8 2 3 2" xfId="21832" xr:uid="{00000000-0005-0000-0000-000022510000}"/>
    <cellStyle name="Input 2 3 2 8 2 3 3" xfId="21833" xr:uid="{00000000-0005-0000-0000-000023510000}"/>
    <cellStyle name="Input 2 3 2 8 2 4" xfId="21834" xr:uid="{00000000-0005-0000-0000-000024510000}"/>
    <cellStyle name="Input 2 3 2 8 2 4 2" xfId="21835" xr:uid="{00000000-0005-0000-0000-000025510000}"/>
    <cellStyle name="Input 2 3 2 8 2 4 3" xfId="21836" xr:uid="{00000000-0005-0000-0000-000026510000}"/>
    <cellStyle name="Input 2 3 2 8 2 5" xfId="21837" xr:uid="{00000000-0005-0000-0000-000027510000}"/>
    <cellStyle name="Input 2 3 2 8 2 5 2" xfId="21838" xr:uid="{00000000-0005-0000-0000-000028510000}"/>
    <cellStyle name="Input 2 3 2 8 2 5 3" xfId="21839" xr:uid="{00000000-0005-0000-0000-000029510000}"/>
    <cellStyle name="Input 2 3 2 8 2 6" xfId="21840" xr:uid="{00000000-0005-0000-0000-00002A510000}"/>
    <cellStyle name="Input 2 3 2 8 2 6 2" xfId="21841" xr:uid="{00000000-0005-0000-0000-00002B510000}"/>
    <cellStyle name="Input 2 3 2 8 2 6 3" xfId="21842" xr:uid="{00000000-0005-0000-0000-00002C510000}"/>
    <cellStyle name="Input 2 3 2 8 2 7" xfId="21843" xr:uid="{00000000-0005-0000-0000-00002D510000}"/>
    <cellStyle name="Input 2 3 2 8 2 7 2" xfId="21844" xr:uid="{00000000-0005-0000-0000-00002E510000}"/>
    <cellStyle name="Input 2 3 2 8 2 7 3" xfId="21845" xr:uid="{00000000-0005-0000-0000-00002F510000}"/>
    <cellStyle name="Input 2 3 2 8 2 8" xfId="21846" xr:uid="{00000000-0005-0000-0000-000030510000}"/>
    <cellStyle name="Input 2 3 2 8 2 9" xfId="21847" xr:uid="{00000000-0005-0000-0000-000031510000}"/>
    <cellStyle name="Input 2 3 2 8 3" xfId="21848" xr:uid="{00000000-0005-0000-0000-000032510000}"/>
    <cellStyle name="Input 2 3 2 8 3 2" xfId="21849" xr:uid="{00000000-0005-0000-0000-000033510000}"/>
    <cellStyle name="Input 2 3 2 8 3 3" xfId="21850" xr:uid="{00000000-0005-0000-0000-000034510000}"/>
    <cellStyle name="Input 2 3 2 8 4" xfId="21851" xr:uid="{00000000-0005-0000-0000-000035510000}"/>
    <cellStyle name="Input 2 3 2 8 4 2" xfId="21852" xr:uid="{00000000-0005-0000-0000-000036510000}"/>
    <cellStyle name="Input 2 3 2 8 4 3" xfId="21853" xr:uid="{00000000-0005-0000-0000-000037510000}"/>
    <cellStyle name="Input 2 3 2 8 5" xfId="21854" xr:uid="{00000000-0005-0000-0000-000038510000}"/>
    <cellStyle name="Input 2 3 2 8 5 2" xfId="21855" xr:uid="{00000000-0005-0000-0000-000039510000}"/>
    <cellStyle name="Input 2 3 2 8 5 3" xfId="21856" xr:uid="{00000000-0005-0000-0000-00003A510000}"/>
    <cellStyle name="Input 2 3 2 8 6" xfId="21857" xr:uid="{00000000-0005-0000-0000-00003B510000}"/>
    <cellStyle name="Input 2 3 2 8 6 2" xfId="21858" xr:uid="{00000000-0005-0000-0000-00003C510000}"/>
    <cellStyle name="Input 2 3 2 8 6 3" xfId="21859" xr:uid="{00000000-0005-0000-0000-00003D510000}"/>
    <cellStyle name="Input 2 3 2 8 7" xfId="21860" xr:uid="{00000000-0005-0000-0000-00003E510000}"/>
    <cellStyle name="Input 2 3 2 8 7 2" xfId="21861" xr:uid="{00000000-0005-0000-0000-00003F510000}"/>
    <cellStyle name="Input 2 3 2 8 7 3" xfId="21862" xr:uid="{00000000-0005-0000-0000-000040510000}"/>
    <cellStyle name="Input 2 3 2 8 8" xfId="21863" xr:uid="{00000000-0005-0000-0000-000041510000}"/>
    <cellStyle name="Input 2 3 2 8 8 2" xfId="21864" xr:uid="{00000000-0005-0000-0000-000042510000}"/>
    <cellStyle name="Input 2 3 2 8 8 3" xfId="21865" xr:uid="{00000000-0005-0000-0000-000043510000}"/>
    <cellStyle name="Input 2 3 2 8 9" xfId="21866" xr:uid="{00000000-0005-0000-0000-000044510000}"/>
    <cellStyle name="Input 2 3 2 9" xfId="21867" xr:uid="{00000000-0005-0000-0000-000045510000}"/>
    <cellStyle name="Input 2 3 2 9 2" xfId="21868" xr:uid="{00000000-0005-0000-0000-000046510000}"/>
    <cellStyle name="Input 2 3 2 9 2 2" xfId="21869" xr:uid="{00000000-0005-0000-0000-000047510000}"/>
    <cellStyle name="Input 2 3 2 9 2 3" xfId="21870" xr:uid="{00000000-0005-0000-0000-000048510000}"/>
    <cellStyle name="Input 2 3 2 9 3" xfId="21871" xr:uid="{00000000-0005-0000-0000-000049510000}"/>
    <cellStyle name="Input 2 3 2 9 3 2" xfId="21872" xr:uid="{00000000-0005-0000-0000-00004A510000}"/>
    <cellStyle name="Input 2 3 2 9 3 3" xfId="21873" xr:uid="{00000000-0005-0000-0000-00004B510000}"/>
    <cellStyle name="Input 2 3 2 9 4" xfId="21874" xr:uid="{00000000-0005-0000-0000-00004C510000}"/>
    <cellStyle name="Input 2 3 2 9 4 2" xfId="21875" xr:uid="{00000000-0005-0000-0000-00004D510000}"/>
    <cellStyle name="Input 2 3 2 9 4 3" xfId="21876" xr:uid="{00000000-0005-0000-0000-00004E510000}"/>
    <cellStyle name="Input 2 3 2 9 5" xfId="21877" xr:uid="{00000000-0005-0000-0000-00004F510000}"/>
    <cellStyle name="Input 2 3 2 9 5 2" xfId="21878" xr:uid="{00000000-0005-0000-0000-000050510000}"/>
    <cellStyle name="Input 2 3 2 9 5 3" xfId="21879" xr:uid="{00000000-0005-0000-0000-000051510000}"/>
    <cellStyle name="Input 2 3 2 9 6" xfId="21880" xr:uid="{00000000-0005-0000-0000-000052510000}"/>
    <cellStyle name="Input 2 3 2 9 6 2" xfId="21881" xr:uid="{00000000-0005-0000-0000-000053510000}"/>
    <cellStyle name="Input 2 3 2 9 6 3" xfId="21882" xr:uid="{00000000-0005-0000-0000-000054510000}"/>
    <cellStyle name="Input 2 3 2 9 7" xfId="21883" xr:uid="{00000000-0005-0000-0000-000055510000}"/>
    <cellStyle name="Input 2 3 2 9 7 2" xfId="21884" xr:uid="{00000000-0005-0000-0000-000056510000}"/>
    <cellStyle name="Input 2 3 2 9 7 3" xfId="21885" xr:uid="{00000000-0005-0000-0000-000057510000}"/>
    <cellStyle name="Input 2 3 2 9 8" xfId="21886" xr:uid="{00000000-0005-0000-0000-000058510000}"/>
    <cellStyle name="Input 2 3 2 9 9" xfId="21887" xr:uid="{00000000-0005-0000-0000-000059510000}"/>
    <cellStyle name="Input 2 3 3" xfId="21888" xr:uid="{00000000-0005-0000-0000-00005A510000}"/>
    <cellStyle name="Input 2 3 3 10" xfId="21889" xr:uid="{00000000-0005-0000-0000-00005B510000}"/>
    <cellStyle name="Input 2 3 3 10 2" xfId="21890" xr:uid="{00000000-0005-0000-0000-00005C510000}"/>
    <cellStyle name="Input 2 3 3 10 3" xfId="21891" xr:uid="{00000000-0005-0000-0000-00005D510000}"/>
    <cellStyle name="Input 2 3 3 11" xfId="21892" xr:uid="{00000000-0005-0000-0000-00005E510000}"/>
    <cellStyle name="Input 2 3 3 11 2" xfId="21893" xr:uid="{00000000-0005-0000-0000-00005F510000}"/>
    <cellStyle name="Input 2 3 3 11 3" xfId="21894" xr:uid="{00000000-0005-0000-0000-000060510000}"/>
    <cellStyle name="Input 2 3 3 12" xfId="44071" xr:uid="{00000000-0005-0000-0000-000061510000}"/>
    <cellStyle name="Input 2 3 3 2" xfId="21895" xr:uid="{00000000-0005-0000-0000-000062510000}"/>
    <cellStyle name="Input 2 3 3 2 10" xfId="21896" xr:uid="{00000000-0005-0000-0000-000063510000}"/>
    <cellStyle name="Input 2 3 3 2 2" xfId="21897" xr:uid="{00000000-0005-0000-0000-000064510000}"/>
    <cellStyle name="Input 2 3 3 2 2 2" xfId="21898" xr:uid="{00000000-0005-0000-0000-000065510000}"/>
    <cellStyle name="Input 2 3 3 2 2 2 2" xfId="21899" xr:uid="{00000000-0005-0000-0000-000066510000}"/>
    <cellStyle name="Input 2 3 3 2 2 2 3" xfId="21900" xr:uid="{00000000-0005-0000-0000-000067510000}"/>
    <cellStyle name="Input 2 3 3 2 2 3" xfId="21901" xr:uid="{00000000-0005-0000-0000-000068510000}"/>
    <cellStyle name="Input 2 3 3 2 2 3 2" xfId="21902" xr:uid="{00000000-0005-0000-0000-000069510000}"/>
    <cellStyle name="Input 2 3 3 2 2 3 3" xfId="21903" xr:uid="{00000000-0005-0000-0000-00006A510000}"/>
    <cellStyle name="Input 2 3 3 2 2 4" xfId="21904" xr:uid="{00000000-0005-0000-0000-00006B510000}"/>
    <cellStyle name="Input 2 3 3 2 2 4 2" xfId="21905" xr:uid="{00000000-0005-0000-0000-00006C510000}"/>
    <cellStyle name="Input 2 3 3 2 2 4 3" xfId="21906" xr:uid="{00000000-0005-0000-0000-00006D510000}"/>
    <cellStyle name="Input 2 3 3 2 2 5" xfId="21907" xr:uid="{00000000-0005-0000-0000-00006E510000}"/>
    <cellStyle name="Input 2 3 3 2 2 5 2" xfId="21908" xr:uid="{00000000-0005-0000-0000-00006F510000}"/>
    <cellStyle name="Input 2 3 3 2 2 5 3" xfId="21909" xr:uid="{00000000-0005-0000-0000-000070510000}"/>
    <cellStyle name="Input 2 3 3 2 2 6" xfId="21910" xr:uid="{00000000-0005-0000-0000-000071510000}"/>
    <cellStyle name="Input 2 3 3 2 2 6 2" xfId="21911" xr:uid="{00000000-0005-0000-0000-000072510000}"/>
    <cellStyle name="Input 2 3 3 2 2 6 3" xfId="21912" xr:uid="{00000000-0005-0000-0000-000073510000}"/>
    <cellStyle name="Input 2 3 3 2 2 7" xfId="21913" xr:uid="{00000000-0005-0000-0000-000074510000}"/>
    <cellStyle name="Input 2 3 3 2 2 7 2" xfId="21914" xr:uid="{00000000-0005-0000-0000-000075510000}"/>
    <cellStyle name="Input 2 3 3 2 2 7 3" xfId="21915" xr:uid="{00000000-0005-0000-0000-000076510000}"/>
    <cellStyle name="Input 2 3 3 2 2 8" xfId="21916" xr:uid="{00000000-0005-0000-0000-000077510000}"/>
    <cellStyle name="Input 2 3 3 2 2 9" xfId="21917" xr:uid="{00000000-0005-0000-0000-000078510000}"/>
    <cellStyle name="Input 2 3 3 2 3" xfId="21918" xr:uid="{00000000-0005-0000-0000-000079510000}"/>
    <cellStyle name="Input 2 3 3 2 3 2" xfId="21919" xr:uid="{00000000-0005-0000-0000-00007A510000}"/>
    <cellStyle name="Input 2 3 3 2 3 3" xfId="21920" xr:uid="{00000000-0005-0000-0000-00007B510000}"/>
    <cellStyle name="Input 2 3 3 2 4" xfId="21921" xr:uid="{00000000-0005-0000-0000-00007C510000}"/>
    <cellStyle name="Input 2 3 3 2 4 2" xfId="21922" xr:uid="{00000000-0005-0000-0000-00007D510000}"/>
    <cellStyle name="Input 2 3 3 2 4 3" xfId="21923" xr:uid="{00000000-0005-0000-0000-00007E510000}"/>
    <cellStyle name="Input 2 3 3 2 5" xfId="21924" xr:uid="{00000000-0005-0000-0000-00007F510000}"/>
    <cellStyle name="Input 2 3 3 2 5 2" xfId="21925" xr:uid="{00000000-0005-0000-0000-000080510000}"/>
    <cellStyle name="Input 2 3 3 2 5 3" xfId="21926" xr:uid="{00000000-0005-0000-0000-000081510000}"/>
    <cellStyle name="Input 2 3 3 2 6" xfId="21927" xr:uid="{00000000-0005-0000-0000-000082510000}"/>
    <cellStyle name="Input 2 3 3 2 6 2" xfId="21928" xr:uid="{00000000-0005-0000-0000-000083510000}"/>
    <cellStyle name="Input 2 3 3 2 6 3" xfId="21929" xr:uid="{00000000-0005-0000-0000-000084510000}"/>
    <cellStyle name="Input 2 3 3 2 7" xfId="21930" xr:uid="{00000000-0005-0000-0000-000085510000}"/>
    <cellStyle name="Input 2 3 3 2 7 2" xfId="21931" xr:uid="{00000000-0005-0000-0000-000086510000}"/>
    <cellStyle name="Input 2 3 3 2 7 3" xfId="21932" xr:uid="{00000000-0005-0000-0000-000087510000}"/>
    <cellStyle name="Input 2 3 3 2 8" xfId="21933" xr:uid="{00000000-0005-0000-0000-000088510000}"/>
    <cellStyle name="Input 2 3 3 2 8 2" xfId="21934" xr:uid="{00000000-0005-0000-0000-000089510000}"/>
    <cellStyle name="Input 2 3 3 2 8 3" xfId="21935" xr:uid="{00000000-0005-0000-0000-00008A510000}"/>
    <cellStyle name="Input 2 3 3 2 9" xfId="21936" xr:uid="{00000000-0005-0000-0000-00008B510000}"/>
    <cellStyle name="Input 2 3 3 3" xfId="21937" xr:uid="{00000000-0005-0000-0000-00008C510000}"/>
    <cellStyle name="Input 2 3 3 3 10" xfId="21938" xr:uid="{00000000-0005-0000-0000-00008D510000}"/>
    <cellStyle name="Input 2 3 3 3 2" xfId="21939" xr:uid="{00000000-0005-0000-0000-00008E510000}"/>
    <cellStyle name="Input 2 3 3 3 2 2" xfId="21940" xr:uid="{00000000-0005-0000-0000-00008F510000}"/>
    <cellStyle name="Input 2 3 3 3 2 2 2" xfId="21941" xr:uid="{00000000-0005-0000-0000-000090510000}"/>
    <cellStyle name="Input 2 3 3 3 2 2 3" xfId="21942" xr:uid="{00000000-0005-0000-0000-000091510000}"/>
    <cellStyle name="Input 2 3 3 3 2 3" xfId="21943" xr:uid="{00000000-0005-0000-0000-000092510000}"/>
    <cellStyle name="Input 2 3 3 3 2 3 2" xfId="21944" xr:uid="{00000000-0005-0000-0000-000093510000}"/>
    <cellStyle name="Input 2 3 3 3 2 3 3" xfId="21945" xr:uid="{00000000-0005-0000-0000-000094510000}"/>
    <cellStyle name="Input 2 3 3 3 2 4" xfId="21946" xr:uid="{00000000-0005-0000-0000-000095510000}"/>
    <cellStyle name="Input 2 3 3 3 2 4 2" xfId="21947" xr:uid="{00000000-0005-0000-0000-000096510000}"/>
    <cellStyle name="Input 2 3 3 3 2 4 3" xfId="21948" xr:uid="{00000000-0005-0000-0000-000097510000}"/>
    <cellStyle name="Input 2 3 3 3 2 5" xfId="21949" xr:uid="{00000000-0005-0000-0000-000098510000}"/>
    <cellStyle name="Input 2 3 3 3 2 5 2" xfId="21950" xr:uid="{00000000-0005-0000-0000-000099510000}"/>
    <cellStyle name="Input 2 3 3 3 2 5 3" xfId="21951" xr:uid="{00000000-0005-0000-0000-00009A510000}"/>
    <cellStyle name="Input 2 3 3 3 2 6" xfId="21952" xr:uid="{00000000-0005-0000-0000-00009B510000}"/>
    <cellStyle name="Input 2 3 3 3 2 6 2" xfId="21953" xr:uid="{00000000-0005-0000-0000-00009C510000}"/>
    <cellStyle name="Input 2 3 3 3 2 6 3" xfId="21954" xr:uid="{00000000-0005-0000-0000-00009D510000}"/>
    <cellStyle name="Input 2 3 3 3 2 7" xfId="21955" xr:uid="{00000000-0005-0000-0000-00009E510000}"/>
    <cellStyle name="Input 2 3 3 3 2 7 2" xfId="21956" xr:uid="{00000000-0005-0000-0000-00009F510000}"/>
    <cellStyle name="Input 2 3 3 3 2 7 3" xfId="21957" xr:uid="{00000000-0005-0000-0000-0000A0510000}"/>
    <cellStyle name="Input 2 3 3 3 2 8" xfId="21958" xr:uid="{00000000-0005-0000-0000-0000A1510000}"/>
    <cellStyle name="Input 2 3 3 3 2 9" xfId="21959" xr:uid="{00000000-0005-0000-0000-0000A2510000}"/>
    <cellStyle name="Input 2 3 3 3 3" xfId="21960" xr:uid="{00000000-0005-0000-0000-0000A3510000}"/>
    <cellStyle name="Input 2 3 3 3 3 2" xfId="21961" xr:uid="{00000000-0005-0000-0000-0000A4510000}"/>
    <cellStyle name="Input 2 3 3 3 3 3" xfId="21962" xr:uid="{00000000-0005-0000-0000-0000A5510000}"/>
    <cellStyle name="Input 2 3 3 3 4" xfId="21963" xr:uid="{00000000-0005-0000-0000-0000A6510000}"/>
    <cellStyle name="Input 2 3 3 3 4 2" xfId="21964" xr:uid="{00000000-0005-0000-0000-0000A7510000}"/>
    <cellStyle name="Input 2 3 3 3 4 3" xfId="21965" xr:uid="{00000000-0005-0000-0000-0000A8510000}"/>
    <cellStyle name="Input 2 3 3 3 5" xfId="21966" xr:uid="{00000000-0005-0000-0000-0000A9510000}"/>
    <cellStyle name="Input 2 3 3 3 5 2" xfId="21967" xr:uid="{00000000-0005-0000-0000-0000AA510000}"/>
    <cellStyle name="Input 2 3 3 3 5 3" xfId="21968" xr:uid="{00000000-0005-0000-0000-0000AB510000}"/>
    <cellStyle name="Input 2 3 3 3 6" xfId="21969" xr:uid="{00000000-0005-0000-0000-0000AC510000}"/>
    <cellStyle name="Input 2 3 3 3 6 2" xfId="21970" xr:uid="{00000000-0005-0000-0000-0000AD510000}"/>
    <cellStyle name="Input 2 3 3 3 6 3" xfId="21971" xr:uid="{00000000-0005-0000-0000-0000AE510000}"/>
    <cellStyle name="Input 2 3 3 3 7" xfId="21972" xr:uid="{00000000-0005-0000-0000-0000AF510000}"/>
    <cellStyle name="Input 2 3 3 3 7 2" xfId="21973" xr:uid="{00000000-0005-0000-0000-0000B0510000}"/>
    <cellStyle name="Input 2 3 3 3 7 3" xfId="21974" xr:uid="{00000000-0005-0000-0000-0000B1510000}"/>
    <cellStyle name="Input 2 3 3 3 8" xfId="21975" xr:uid="{00000000-0005-0000-0000-0000B2510000}"/>
    <cellStyle name="Input 2 3 3 3 8 2" xfId="21976" xr:uid="{00000000-0005-0000-0000-0000B3510000}"/>
    <cellStyle name="Input 2 3 3 3 8 3" xfId="21977" xr:uid="{00000000-0005-0000-0000-0000B4510000}"/>
    <cellStyle name="Input 2 3 3 3 9" xfId="21978" xr:uid="{00000000-0005-0000-0000-0000B5510000}"/>
    <cellStyle name="Input 2 3 3 4" xfId="21979" xr:uid="{00000000-0005-0000-0000-0000B6510000}"/>
    <cellStyle name="Input 2 3 3 4 10" xfId="21980" xr:uid="{00000000-0005-0000-0000-0000B7510000}"/>
    <cellStyle name="Input 2 3 3 4 2" xfId="21981" xr:uid="{00000000-0005-0000-0000-0000B8510000}"/>
    <cellStyle name="Input 2 3 3 4 2 2" xfId="21982" xr:uid="{00000000-0005-0000-0000-0000B9510000}"/>
    <cellStyle name="Input 2 3 3 4 2 2 2" xfId="21983" xr:uid="{00000000-0005-0000-0000-0000BA510000}"/>
    <cellStyle name="Input 2 3 3 4 2 2 3" xfId="21984" xr:uid="{00000000-0005-0000-0000-0000BB510000}"/>
    <cellStyle name="Input 2 3 3 4 2 3" xfId="21985" xr:uid="{00000000-0005-0000-0000-0000BC510000}"/>
    <cellStyle name="Input 2 3 3 4 2 3 2" xfId="21986" xr:uid="{00000000-0005-0000-0000-0000BD510000}"/>
    <cellStyle name="Input 2 3 3 4 2 3 3" xfId="21987" xr:uid="{00000000-0005-0000-0000-0000BE510000}"/>
    <cellStyle name="Input 2 3 3 4 2 4" xfId="21988" xr:uid="{00000000-0005-0000-0000-0000BF510000}"/>
    <cellStyle name="Input 2 3 3 4 2 4 2" xfId="21989" xr:uid="{00000000-0005-0000-0000-0000C0510000}"/>
    <cellStyle name="Input 2 3 3 4 2 4 3" xfId="21990" xr:uid="{00000000-0005-0000-0000-0000C1510000}"/>
    <cellStyle name="Input 2 3 3 4 2 5" xfId="21991" xr:uid="{00000000-0005-0000-0000-0000C2510000}"/>
    <cellStyle name="Input 2 3 3 4 2 5 2" xfId="21992" xr:uid="{00000000-0005-0000-0000-0000C3510000}"/>
    <cellStyle name="Input 2 3 3 4 2 5 3" xfId="21993" xr:uid="{00000000-0005-0000-0000-0000C4510000}"/>
    <cellStyle name="Input 2 3 3 4 2 6" xfId="21994" xr:uid="{00000000-0005-0000-0000-0000C5510000}"/>
    <cellStyle name="Input 2 3 3 4 2 6 2" xfId="21995" xr:uid="{00000000-0005-0000-0000-0000C6510000}"/>
    <cellStyle name="Input 2 3 3 4 2 6 3" xfId="21996" xr:uid="{00000000-0005-0000-0000-0000C7510000}"/>
    <cellStyle name="Input 2 3 3 4 2 7" xfId="21997" xr:uid="{00000000-0005-0000-0000-0000C8510000}"/>
    <cellStyle name="Input 2 3 3 4 2 7 2" xfId="21998" xr:uid="{00000000-0005-0000-0000-0000C9510000}"/>
    <cellStyle name="Input 2 3 3 4 2 7 3" xfId="21999" xr:uid="{00000000-0005-0000-0000-0000CA510000}"/>
    <cellStyle name="Input 2 3 3 4 2 8" xfId="22000" xr:uid="{00000000-0005-0000-0000-0000CB510000}"/>
    <cellStyle name="Input 2 3 3 4 2 9" xfId="22001" xr:uid="{00000000-0005-0000-0000-0000CC510000}"/>
    <cellStyle name="Input 2 3 3 4 3" xfId="22002" xr:uid="{00000000-0005-0000-0000-0000CD510000}"/>
    <cellStyle name="Input 2 3 3 4 3 2" xfId="22003" xr:uid="{00000000-0005-0000-0000-0000CE510000}"/>
    <cellStyle name="Input 2 3 3 4 3 3" xfId="22004" xr:uid="{00000000-0005-0000-0000-0000CF510000}"/>
    <cellStyle name="Input 2 3 3 4 4" xfId="22005" xr:uid="{00000000-0005-0000-0000-0000D0510000}"/>
    <cellStyle name="Input 2 3 3 4 4 2" xfId="22006" xr:uid="{00000000-0005-0000-0000-0000D1510000}"/>
    <cellStyle name="Input 2 3 3 4 4 3" xfId="22007" xr:uid="{00000000-0005-0000-0000-0000D2510000}"/>
    <cellStyle name="Input 2 3 3 4 5" xfId="22008" xr:uid="{00000000-0005-0000-0000-0000D3510000}"/>
    <cellStyle name="Input 2 3 3 4 5 2" xfId="22009" xr:uid="{00000000-0005-0000-0000-0000D4510000}"/>
    <cellStyle name="Input 2 3 3 4 5 3" xfId="22010" xr:uid="{00000000-0005-0000-0000-0000D5510000}"/>
    <cellStyle name="Input 2 3 3 4 6" xfId="22011" xr:uid="{00000000-0005-0000-0000-0000D6510000}"/>
    <cellStyle name="Input 2 3 3 4 6 2" xfId="22012" xr:uid="{00000000-0005-0000-0000-0000D7510000}"/>
    <cellStyle name="Input 2 3 3 4 6 3" xfId="22013" xr:uid="{00000000-0005-0000-0000-0000D8510000}"/>
    <cellStyle name="Input 2 3 3 4 7" xfId="22014" xr:uid="{00000000-0005-0000-0000-0000D9510000}"/>
    <cellStyle name="Input 2 3 3 4 7 2" xfId="22015" xr:uid="{00000000-0005-0000-0000-0000DA510000}"/>
    <cellStyle name="Input 2 3 3 4 7 3" xfId="22016" xr:uid="{00000000-0005-0000-0000-0000DB510000}"/>
    <cellStyle name="Input 2 3 3 4 8" xfId="22017" xr:uid="{00000000-0005-0000-0000-0000DC510000}"/>
    <cellStyle name="Input 2 3 3 4 8 2" xfId="22018" xr:uid="{00000000-0005-0000-0000-0000DD510000}"/>
    <cellStyle name="Input 2 3 3 4 8 3" xfId="22019" xr:uid="{00000000-0005-0000-0000-0000DE510000}"/>
    <cellStyle name="Input 2 3 3 4 9" xfId="22020" xr:uid="{00000000-0005-0000-0000-0000DF510000}"/>
    <cellStyle name="Input 2 3 3 5" xfId="22021" xr:uid="{00000000-0005-0000-0000-0000E0510000}"/>
    <cellStyle name="Input 2 3 3 5 2" xfId="22022" xr:uid="{00000000-0005-0000-0000-0000E1510000}"/>
    <cellStyle name="Input 2 3 3 5 2 2" xfId="22023" xr:uid="{00000000-0005-0000-0000-0000E2510000}"/>
    <cellStyle name="Input 2 3 3 5 2 3" xfId="22024" xr:uid="{00000000-0005-0000-0000-0000E3510000}"/>
    <cellStyle name="Input 2 3 3 5 3" xfId="22025" xr:uid="{00000000-0005-0000-0000-0000E4510000}"/>
    <cellStyle name="Input 2 3 3 5 3 2" xfId="22026" xr:uid="{00000000-0005-0000-0000-0000E5510000}"/>
    <cellStyle name="Input 2 3 3 5 3 3" xfId="22027" xr:uid="{00000000-0005-0000-0000-0000E6510000}"/>
    <cellStyle name="Input 2 3 3 5 4" xfId="22028" xr:uid="{00000000-0005-0000-0000-0000E7510000}"/>
    <cellStyle name="Input 2 3 3 5 4 2" xfId="22029" xr:uid="{00000000-0005-0000-0000-0000E8510000}"/>
    <cellStyle name="Input 2 3 3 5 4 3" xfId="22030" xr:uid="{00000000-0005-0000-0000-0000E9510000}"/>
    <cellStyle name="Input 2 3 3 5 5" xfId="22031" xr:uid="{00000000-0005-0000-0000-0000EA510000}"/>
    <cellStyle name="Input 2 3 3 5 5 2" xfId="22032" xr:uid="{00000000-0005-0000-0000-0000EB510000}"/>
    <cellStyle name="Input 2 3 3 5 5 3" xfId="22033" xr:uid="{00000000-0005-0000-0000-0000EC510000}"/>
    <cellStyle name="Input 2 3 3 5 6" xfId="22034" xr:uid="{00000000-0005-0000-0000-0000ED510000}"/>
    <cellStyle name="Input 2 3 3 5 6 2" xfId="22035" xr:uid="{00000000-0005-0000-0000-0000EE510000}"/>
    <cellStyle name="Input 2 3 3 5 6 3" xfId="22036" xr:uid="{00000000-0005-0000-0000-0000EF510000}"/>
    <cellStyle name="Input 2 3 3 5 7" xfId="22037" xr:uid="{00000000-0005-0000-0000-0000F0510000}"/>
    <cellStyle name="Input 2 3 3 5 7 2" xfId="22038" xr:uid="{00000000-0005-0000-0000-0000F1510000}"/>
    <cellStyle name="Input 2 3 3 5 7 3" xfId="22039" xr:uid="{00000000-0005-0000-0000-0000F2510000}"/>
    <cellStyle name="Input 2 3 3 5 8" xfId="22040" xr:uid="{00000000-0005-0000-0000-0000F3510000}"/>
    <cellStyle name="Input 2 3 3 5 9" xfId="22041" xr:uid="{00000000-0005-0000-0000-0000F4510000}"/>
    <cellStyle name="Input 2 3 3 6" xfId="22042" xr:uid="{00000000-0005-0000-0000-0000F5510000}"/>
    <cellStyle name="Input 2 3 3 6 2" xfId="22043" xr:uid="{00000000-0005-0000-0000-0000F6510000}"/>
    <cellStyle name="Input 2 3 3 6 3" xfId="22044" xr:uid="{00000000-0005-0000-0000-0000F7510000}"/>
    <cellStyle name="Input 2 3 3 7" xfId="22045" xr:uid="{00000000-0005-0000-0000-0000F8510000}"/>
    <cellStyle name="Input 2 3 3 7 2" xfId="22046" xr:uid="{00000000-0005-0000-0000-0000F9510000}"/>
    <cellStyle name="Input 2 3 3 7 3" xfId="22047" xr:uid="{00000000-0005-0000-0000-0000FA510000}"/>
    <cellStyle name="Input 2 3 3 8" xfId="22048" xr:uid="{00000000-0005-0000-0000-0000FB510000}"/>
    <cellStyle name="Input 2 3 3 8 2" xfId="22049" xr:uid="{00000000-0005-0000-0000-0000FC510000}"/>
    <cellStyle name="Input 2 3 3 8 3" xfId="22050" xr:uid="{00000000-0005-0000-0000-0000FD510000}"/>
    <cellStyle name="Input 2 3 3 9" xfId="22051" xr:uid="{00000000-0005-0000-0000-0000FE510000}"/>
    <cellStyle name="Input 2 3 3 9 2" xfId="22052" xr:uid="{00000000-0005-0000-0000-0000FF510000}"/>
    <cellStyle name="Input 2 3 3 9 3" xfId="22053" xr:uid="{00000000-0005-0000-0000-000000520000}"/>
    <cellStyle name="Input 2 3 4" xfId="22054" xr:uid="{00000000-0005-0000-0000-000001520000}"/>
    <cellStyle name="Input 2 3 4 10" xfId="22055" xr:uid="{00000000-0005-0000-0000-000002520000}"/>
    <cellStyle name="Input 2 3 4 2" xfId="22056" xr:uid="{00000000-0005-0000-0000-000003520000}"/>
    <cellStyle name="Input 2 3 4 2 2" xfId="22057" xr:uid="{00000000-0005-0000-0000-000004520000}"/>
    <cellStyle name="Input 2 3 4 2 2 2" xfId="22058" xr:uid="{00000000-0005-0000-0000-000005520000}"/>
    <cellStyle name="Input 2 3 4 2 2 3" xfId="22059" xr:uid="{00000000-0005-0000-0000-000006520000}"/>
    <cellStyle name="Input 2 3 4 2 3" xfId="22060" xr:uid="{00000000-0005-0000-0000-000007520000}"/>
    <cellStyle name="Input 2 3 4 2 3 2" xfId="22061" xr:uid="{00000000-0005-0000-0000-000008520000}"/>
    <cellStyle name="Input 2 3 4 2 3 3" xfId="22062" xr:uid="{00000000-0005-0000-0000-000009520000}"/>
    <cellStyle name="Input 2 3 4 2 4" xfId="22063" xr:uid="{00000000-0005-0000-0000-00000A520000}"/>
    <cellStyle name="Input 2 3 4 2 4 2" xfId="22064" xr:uid="{00000000-0005-0000-0000-00000B520000}"/>
    <cellStyle name="Input 2 3 4 2 4 3" xfId="22065" xr:uid="{00000000-0005-0000-0000-00000C520000}"/>
    <cellStyle name="Input 2 3 4 2 5" xfId="22066" xr:uid="{00000000-0005-0000-0000-00000D520000}"/>
    <cellStyle name="Input 2 3 4 2 5 2" xfId="22067" xr:uid="{00000000-0005-0000-0000-00000E520000}"/>
    <cellStyle name="Input 2 3 4 2 5 3" xfId="22068" xr:uid="{00000000-0005-0000-0000-00000F520000}"/>
    <cellStyle name="Input 2 3 4 2 6" xfId="22069" xr:uid="{00000000-0005-0000-0000-000010520000}"/>
    <cellStyle name="Input 2 3 4 2 6 2" xfId="22070" xr:uid="{00000000-0005-0000-0000-000011520000}"/>
    <cellStyle name="Input 2 3 4 2 6 3" xfId="22071" xr:uid="{00000000-0005-0000-0000-000012520000}"/>
    <cellStyle name="Input 2 3 4 2 7" xfId="22072" xr:uid="{00000000-0005-0000-0000-000013520000}"/>
    <cellStyle name="Input 2 3 4 2 7 2" xfId="22073" xr:uid="{00000000-0005-0000-0000-000014520000}"/>
    <cellStyle name="Input 2 3 4 2 7 3" xfId="22074" xr:uid="{00000000-0005-0000-0000-000015520000}"/>
    <cellStyle name="Input 2 3 4 2 8" xfId="22075" xr:uid="{00000000-0005-0000-0000-000016520000}"/>
    <cellStyle name="Input 2 3 4 2 9" xfId="22076" xr:uid="{00000000-0005-0000-0000-000017520000}"/>
    <cellStyle name="Input 2 3 4 3" xfId="22077" xr:uid="{00000000-0005-0000-0000-000018520000}"/>
    <cellStyle name="Input 2 3 4 3 2" xfId="22078" xr:uid="{00000000-0005-0000-0000-000019520000}"/>
    <cellStyle name="Input 2 3 4 3 3" xfId="22079" xr:uid="{00000000-0005-0000-0000-00001A520000}"/>
    <cellStyle name="Input 2 3 4 4" xfId="22080" xr:uid="{00000000-0005-0000-0000-00001B520000}"/>
    <cellStyle name="Input 2 3 4 4 2" xfId="22081" xr:uid="{00000000-0005-0000-0000-00001C520000}"/>
    <cellStyle name="Input 2 3 4 4 3" xfId="22082" xr:uid="{00000000-0005-0000-0000-00001D520000}"/>
    <cellStyle name="Input 2 3 4 5" xfId="22083" xr:uid="{00000000-0005-0000-0000-00001E520000}"/>
    <cellStyle name="Input 2 3 4 5 2" xfId="22084" xr:uid="{00000000-0005-0000-0000-00001F520000}"/>
    <cellStyle name="Input 2 3 4 5 3" xfId="22085" xr:uid="{00000000-0005-0000-0000-000020520000}"/>
    <cellStyle name="Input 2 3 4 6" xfId="22086" xr:uid="{00000000-0005-0000-0000-000021520000}"/>
    <cellStyle name="Input 2 3 4 6 2" xfId="22087" xr:uid="{00000000-0005-0000-0000-000022520000}"/>
    <cellStyle name="Input 2 3 4 6 3" xfId="22088" xr:uid="{00000000-0005-0000-0000-000023520000}"/>
    <cellStyle name="Input 2 3 4 7" xfId="22089" xr:uid="{00000000-0005-0000-0000-000024520000}"/>
    <cellStyle name="Input 2 3 4 7 2" xfId="22090" xr:uid="{00000000-0005-0000-0000-000025520000}"/>
    <cellStyle name="Input 2 3 4 7 3" xfId="22091" xr:uid="{00000000-0005-0000-0000-000026520000}"/>
    <cellStyle name="Input 2 3 4 8" xfId="22092" xr:uid="{00000000-0005-0000-0000-000027520000}"/>
    <cellStyle name="Input 2 3 4 8 2" xfId="22093" xr:uid="{00000000-0005-0000-0000-000028520000}"/>
    <cellStyle name="Input 2 3 4 8 3" xfId="22094" xr:uid="{00000000-0005-0000-0000-000029520000}"/>
    <cellStyle name="Input 2 3 4 9" xfId="22095" xr:uid="{00000000-0005-0000-0000-00002A520000}"/>
    <cellStyle name="Input 2 3 5" xfId="22096" xr:uid="{00000000-0005-0000-0000-00002B520000}"/>
    <cellStyle name="Input 2 3 5 10" xfId="22097" xr:uid="{00000000-0005-0000-0000-00002C520000}"/>
    <cellStyle name="Input 2 3 5 2" xfId="22098" xr:uid="{00000000-0005-0000-0000-00002D520000}"/>
    <cellStyle name="Input 2 3 5 2 2" xfId="22099" xr:uid="{00000000-0005-0000-0000-00002E520000}"/>
    <cellStyle name="Input 2 3 5 2 2 2" xfId="22100" xr:uid="{00000000-0005-0000-0000-00002F520000}"/>
    <cellStyle name="Input 2 3 5 2 2 3" xfId="22101" xr:uid="{00000000-0005-0000-0000-000030520000}"/>
    <cellStyle name="Input 2 3 5 2 3" xfId="22102" xr:uid="{00000000-0005-0000-0000-000031520000}"/>
    <cellStyle name="Input 2 3 5 2 3 2" xfId="22103" xr:uid="{00000000-0005-0000-0000-000032520000}"/>
    <cellStyle name="Input 2 3 5 2 3 3" xfId="22104" xr:uid="{00000000-0005-0000-0000-000033520000}"/>
    <cellStyle name="Input 2 3 5 2 4" xfId="22105" xr:uid="{00000000-0005-0000-0000-000034520000}"/>
    <cellStyle name="Input 2 3 5 2 4 2" xfId="22106" xr:uid="{00000000-0005-0000-0000-000035520000}"/>
    <cellStyle name="Input 2 3 5 2 4 3" xfId="22107" xr:uid="{00000000-0005-0000-0000-000036520000}"/>
    <cellStyle name="Input 2 3 5 2 5" xfId="22108" xr:uid="{00000000-0005-0000-0000-000037520000}"/>
    <cellStyle name="Input 2 3 5 2 5 2" xfId="22109" xr:uid="{00000000-0005-0000-0000-000038520000}"/>
    <cellStyle name="Input 2 3 5 2 5 3" xfId="22110" xr:uid="{00000000-0005-0000-0000-000039520000}"/>
    <cellStyle name="Input 2 3 5 2 6" xfId="22111" xr:uid="{00000000-0005-0000-0000-00003A520000}"/>
    <cellStyle name="Input 2 3 5 2 6 2" xfId="22112" xr:uid="{00000000-0005-0000-0000-00003B520000}"/>
    <cellStyle name="Input 2 3 5 2 6 3" xfId="22113" xr:uid="{00000000-0005-0000-0000-00003C520000}"/>
    <cellStyle name="Input 2 3 5 2 7" xfId="22114" xr:uid="{00000000-0005-0000-0000-00003D520000}"/>
    <cellStyle name="Input 2 3 5 2 7 2" xfId="22115" xr:uid="{00000000-0005-0000-0000-00003E520000}"/>
    <cellStyle name="Input 2 3 5 2 7 3" xfId="22116" xr:uid="{00000000-0005-0000-0000-00003F520000}"/>
    <cellStyle name="Input 2 3 5 2 8" xfId="22117" xr:uid="{00000000-0005-0000-0000-000040520000}"/>
    <cellStyle name="Input 2 3 5 2 9" xfId="22118" xr:uid="{00000000-0005-0000-0000-000041520000}"/>
    <cellStyle name="Input 2 3 5 3" xfId="22119" xr:uid="{00000000-0005-0000-0000-000042520000}"/>
    <cellStyle name="Input 2 3 5 3 2" xfId="22120" xr:uid="{00000000-0005-0000-0000-000043520000}"/>
    <cellStyle name="Input 2 3 5 3 3" xfId="22121" xr:uid="{00000000-0005-0000-0000-000044520000}"/>
    <cellStyle name="Input 2 3 5 4" xfId="22122" xr:uid="{00000000-0005-0000-0000-000045520000}"/>
    <cellStyle name="Input 2 3 5 4 2" xfId="22123" xr:uid="{00000000-0005-0000-0000-000046520000}"/>
    <cellStyle name="Input 2 3 5 4 3" xfId="22124" xr:uid="{00000000-0005-0000-0000-000047520000}"/>
    <cellStyle name="Input 2 3 5 5" xfId="22125" xr:uid="{00000000-0005-0000-0000-000048520000}"/>
    <cellStyle name="Input 2 3 5 5 2" xfId="22126" xr:uid="{00000000-0005-0000-0000-000049520000}"/>
    <cellStyle name="Input 2 3 5 5 3" xfId="22127" xr:uid="{00000000-0005-0000-0000-00004A520000}"/>
    <cellStyle name="Input 2 3 5 6" xfId="22128" xr:uid="{00000000-0005-0000-0000-00004B520000}"/>
    <cellStyle name="Input 2 3 5 6 2" xfId="22129" xr:uid="{00000000-0005-0000-0000-00004C520000}"/>
    <cellStyle name="Input 2 3 5 6 3" xfId="22130" xr:uid="{00000000-0005-0000-0000-00004D520000}"/>
    <cellStyle name="Input 2 3 5 7" xfId="22131" xr:uid="{00000000-0005-0000-0000-00004E520000}"/>
    <cellStyle name="Input 2 3 5 7 2" xfId="22132" xr:uid="{00000000-0005-0000-0000-00004F520000}"/>
    <cellStyle name="Input 2 3 5 7 3" xfId="22133" xr:uid="{00000000-0005-0000-0000-000050520000}"/>
    <cellStyle name="Input 2 3 5 8" xfId="22134" xr:uid="{00000000-0005-0000-0000-000051520000}"/>
    <cellStyle name="Input 2 3 5 8 2" xfId="22135" xr:uid="{00000000-0005-0000-0000-000052520000}"/>
    <cellStyle name="Input 2 3 5 8 3" xfId="22136" xr:uid="{00000000-0005-0000-0000-000053520000}"/>
    <cellStyle name="Input 2 3 5 9" xfId="22137" xr:uid="{00000000-0005-0000-0000-000054520000}"/>
    <cellStyle name="Input 2 3 6" xfId="22138" xr:uid="{00000000-0005-0000-0000-000055520000}"/>
    <cellStyle name="Input 2 3 6 10" xfId="22139" xr:uid="{00000000-0005-0000-0000-000056520000}"/>
    <cellStyle name="Input 2 3 6 2" xfId="22140" xr:uid="{00000000-0005-0000-0000-000057520000}"/>
    <cellStyle name="Input 2 3 6 2 2" xfId="22141" xr:uid="{00000000-0005-0000-0000-000058520000}"/>
    <cellStyle name="Input 2 3 6 2 2 2" xfId="22142" xr:uid="{00000000-0005-0000-0000-000059520000}"/>
    <cellStyle name="Input 2 3 6 2 2 3" xfId="22143" xr:uid="{00000000-0005-0000-0000-00005A520000}"/>
    <cellStyle name="Input 2 3 6 2 3" xfId="22144" xr:uid="{00000000-0005-0000-0000-00005B520000}"/>
    <cellStyle name="Input 2 3 6 2 3 2" xfId="22145" xr:uid="{00000000-0005-0000-0000-00005C520000}"/>
    <cellStyle name="Input 2 3 6 2 3 3" xfId="22146" xr:uid="{00000000-0005-0000-0000-00005D520000}"/>
    <cellStyle name="Input 2 3 6 2 4" xfId="22147" xr:uid="{00000000-0005-0000-0000-00005E520000}"/>
    <cellStyle name="Input 2 3 6 2 4 2" xfId="22148" xr:uid="{00000000-0005-0000-0000-00005F520000}"/>
    <cellStyle name="Input 2 3 6 2 4 3" xfId="22149" xr:uid="{00000000-0005-0000-0000-000060520000}"/>
    <cellStyle name="Input 2 3 6 2 5" xfId="22150" xr:uid="{00000000-0005-0000-0000-000061520000}"/>
    <cellStyle name="Input 2 3 6 2 5 2" xfId="22151" xr:uid="{00000000-0005-0000-0000-000062520000}"/>
    <cellStyle name="Input 2 3 6 2 5 3" xfId="22152" xr:uid="{00000000-0005-0000-0000-000063520000}"/>
    <cellStyle name="Input 2 3 6 2 6" xfId="22153" xr:uid="{00000000-0005-0000-0000-000064520000}"/>
    <cellStyle name="Input 2 3 6 2 6 2" xfId="22154" xr:uid="{00000000-0005-0000-0000-000065520000}"/>
    <cellStyle name="Input 2 3 6 2 6 3" xfId="22155" xr:uid="{00000000-0005-0000-0000-000066520000}"/>
    <cellStyle name="Input 2 3 6 2 7" xfId="22156" xr:uid="{00000000-0005-0000-0000-000067520000}"/>
    <cellStyle name="Input 2 3 6 2 7 2" xfId="22157" xr:uid="{00000000-0005-0000-0000-000068520000}"/>
    <cellStyle name="Input 2 3 6 2 7 3" xfId="22158" xr:uid="{00000000-0005-0000-0000-000069520000}"/>
    <cellStyle name="Input 2 3 6 2 8" xfId="22159" xr:uid="{00000000-0005-0000-0000-00006A520000}"/>
    <cellStyle name="Input 2 3 6 2 9" xfId="22160" xr:uid="{00000000-0005-0000-0000-00006B520000}"/>
    <cellStyle name="Input 2 3 6 3" xfId="22161" xr:uid="{00000000-0005-0000-0000-00006C520000}"/>
    <cellStyle name="Input 2 3 6 3 2" xfId="22162" xr:uid="{00000000-0005-0000-0000-00006D520000}"/>
    <cellStyle name="Input 2 3 6 3 3" xfId="22163" xr:uid="{00000000-0005-0000-0000-00006E520000}"/>
    <cellStyle name="Input 2 3 6 4" xfId="22164" xr:uid="{00000000-0005-0000-0000-00006F520000}"/>
    <cellStyle name="Input 2 3 6 4 2" xfId="22165" xr:uid="{00000000-0005-0000-0000-000070520000}"/>
    <cellStyle name="Input 2 3 6 4 3" xfId="22166" xr:uid="{00000000-0005-0000-0000-000071520000}"/>
    <cellStyle name="Input 2 3 6 5" xfId="22167" xr:uid="{00000000-0005-0000-0000-000072520000}"/>
    <cellStyle name="Input 2 3 6 5 2" xfId="22168" xr:uid="{00000000-0005-0000-0000-000073520000}"/>
    <cellStyle name="Input 2 3 6 5 3" xfId="22169" xr:uid="{00000000-0005-0000-0000-000074520000}"/>
    <cellStyle name="Input 2 3 6 6" xfId="22170" xr:uid="{00000000-0005-0000-0000-000075520000}"/>
    <cellStyle name="Input 2 3 6 6 2" xfId="22171" xr:uid="{00000000-0005-0000-0000-000076520000}"/>
    <cellStyle name="Input 2 3 6 6 3" xfId="22172" xr:uid="{00000000-0005-0000-0000-000077520000}"/>
    <cellStyle name="Input 2 3 6 7" xfId="22173" xr:uid="{00000000-0005-0000-0000-000078520000}"/>
    <cellStyle name="Input 2 3 6 7 2" xfId="22174" xr:uid="{00000000-0005-0000-0000-000079520000}"/>
    <cellStyle name="Input 2 3 6 7 3" xfId="22175" xr:uid="{00000000-0005-0000-0000-00007A520000}"/>
    <cellStyle name="Input 2 3 6 8" xfId="22176" xr:uid="{00000000-0005-0000-0000-00007B520000}"/>
    <cellStyle name="Input 2 3 6 8 2" xfId="22177" xr:uid="{00000000-0005-0000-0000-00007C520000}"/>
    <cellStyle name="Input 2 3 6 8 3" xfId="22178" xr:uid="{00000000-0005-0000-0000-00007D520000}"/>
    <cellStyle name="Input 2 3 6 9" xfId="22179" xr:uid="{00000000-0005-0000-0000-00007E520000}"/>
    <cellStyle name="Input 2 3 7" xfId="22180" xr:uid="{00000000-0005-0000-0000-00007F520000}"/>
    <cellStyle name="Input 2 3 7 2" xfId="22181" xr:uid="{00000000-0005-0000-0000-000080520000}"/>
    <cellStyle name="Input 2 3 7 2 2" xfId="22182" xr:uid="{00000000-0005-0000-0000-000081520000}"/>
    <cellStyle name="Input 2 3 7 2 3" xfId="22183" xr:uid="{00000000-0005-0000-0000-000082520000}"/>
    <cellStyle name="Input 2 3 7 3" xfId="22184" xr:uid="{00000000-0005-0000-0000-000083520000}"/>
    <cellStyle name="Input 2 3 7 3 2" xfId="22185" xr:uid="{00000000-0005-0000-0000-000084520000}"/>
    <cellStyle name="Input 2 3 7 3 3" xfId="22186" xr:uid="{00000000-0005-0000-0000-000085520000}"/>
    <cellStyle name="Input 2 3 7 4" xfId="22187" xr:uid="{00000000-0005-0000-0000-000086520000}"/>
    <cellStyle name="Input 2 3 7 4 2" xfId="22188" xr:uid="{00000000-0005-0000-0000-000087520000}"/>
    <cellStyle name="Input 2 3 7 4 3" xfId="22189" xr:uid="{00000000-0005-0000-0000-000088520000}"/>
    <cellStyle name="Input 2 3 7 5" xfId="22190" xr:uid="{00000000-0005-0000-0000-000089520000}"/>
    <cellStyle name="Input 2 3 7 5 2" xfId="22191" xr:uid="{00000000-0005-0000-0000-00008A520000}"/>
    <cellStyle name="Input 2 3 7 5 3" xfId="22192" xr:uid="{00000000-0005-0000-0000-00008B520000}"/>
    <cellStyle name="Input 2 3 7 6" xfId="22193" xr:uid="{00000000-0005-0000-0000-00008C520000}"/>
    <cellStyle name="Input 2 3 7 6 2" xfId="22194" xr:uid="{00000000-0005-0000-0000-00008D520000}"/>
    <cellStyle name="Input 2 3 7 6 3" xfId="22195" xr:uid="{00000000-0005-0000-0000-00008E520000}"/>
    <cellStyle name="Input 2 3 7 7" xfId="22196" xr:uid="{00000000-0005-0000-0000-00008F520000}"/>
    <cellStyle name="Input 2 3 7 7 2" xfId="22197" xr:uid="{00000000-0005-0000-0000-000090520000}"/>
    <cellStyle name="Input 2 3 7 7 3" xfId="22198" xr:uid="{00000000-0005-0000-0000-000091520000}"/>
    <cellStyle name="Input 2 3 7 8" xfId="22199" xr:uid="{00000000-0005-0000-0000-000092520000}"/>
    <cellStyle name="Input 2 3 7 9" xfId="22200" xr:uid="{00000000-0005-0000-0000-000093520000}"/>
    <cellStyle name="Input 2 3 8" xfId="22201" xr:uid="{00000000-0005-0000-0000-000094520000}"/>
    <cellStyle name="Input 2 3 8 2" xfId="22202" xr:uid="{00000000-0005-0000-0000-000095520000}"/>
    <cellStyle name="Input 2 3 8 3" xfId="22203" xr:uid="{00000000-0005-0000-0000-000096520000}"/>
    <cellStyle name="Input 2 3 9" xfId="22204" xr:uid="{00000000-0005-0000-0000-000097520000}"/>
    <cellStyle name="Input 2 3 9 2" xfId="22205" xr:uid="{00000000-0005-0000-0000-000098520000}"/>
    <cellStyle name="Input 2 3 9 3" xfId="22206" xr:uid="{00000000-0005-0000-0000-000099520000}"/>
    <cellStyle name="Input 2 4" xfId="2354" xr:uid="{00000000-0005-0000-0000-00009A520000}"/>
    <cellStyle name="Input 2 4 10" xfId="22207" xr:uid="{00000000-0005-0000-0000-00009B520000}"/>
    <cellStyle name="Input 2 4 10 2" xfId="22208" xr:uid="{00000000-0005-0000-0000-00009C520000}"/>
    <cellStyle name="Input 2 4 10 3" xfId="22209" xr:uid="{00000000-0005-0000-0000-00009D520000}"/>
    <cellStyle name="Input 2 4 11" xfId="22210" xr:uid="{00000000-0005-0000-0000-00009E520000}"/>
    <cellStyle name="Input 2 4 11 2" xfId="22211" xr:uid="{00000000-0005-0000-0000-00009F520000}"/>
    <cellStyle name="Input 2 4 11 3" xfId="22212" xr:uid="{00000000-0005-0000-0000-0000A0520000}"/>
    <cellStyle name="Input 2 4 12" xfId="22213" xr:uid="{00000000-0005-0000-0000-0000A1520000}"/>
    <cellStyle name="Input 2 4 12 2" xfId="22214" xr:uid="{00000000-0005-0000-0000-0000A2520000}"/>
    <cellStyle name="Input 2 4 12 3" xfId="22215" xr:uid="{00000000-0005-0000-0000-0000A3520000}"/>
    <cellStyle name="Input 2 4 13" xfId="22216" xr:uid="{00000000-0005-0000-0000-0000A4520000}"/>
    <cellStyle name="Input 2 4 13 2" xfId="22217" xr:uid="{00000000-0005-0000-0000-0000A5520000}"/>
    <cellStyle name="Input 2 4 13 3" xfId="22218" xr:uid="{00000000-0005-0000-0000-0000A6520000}"/>
    <cellStyle name="Input 2 4 14" xfId="44072" xr:uid="{00000000-0005-0000-0000-0000A7520000}"/>
    <cellStyle name="Input 2 4 2" xfId="22219" xr:uid="{00000000-0005-0000-0000-0000A8520000}"/>
    <cellStyle name="Input 2 4 2 10" xfId="44073" xr:uid="{00000000-0005-0000-0000-0000A9520000}"/>
    <cellStyle name="Input 2 4 2 2" xfId="22220" xr:uid="{00000000-0005-0000-0000-0000AA520000}"/>
    <cellStyle name="Input 2 4 2 2 10" xfId="22221" xr:uid="{00000000-0005-0000-0000-0000AB520000}"/>
    <cellStyle name="Input 2 4 2 2 2" xfId="22222" xr:uid="{00000000-0005-0000-0000-0000AC520000}"/>
    <cellStyle name="Input 2 4 2 2 2 2" xfId="22223" xr:uid="{00000000-0005-0000-0000-0000AD520000}"/>
    <cellStyle name="Input 2 4 2 2 2 2 2" xfId="22224" xr:uid="{00000000-0005-0000-0000-0000AE520000}"/>
    <cellStyle name="Input 2 4 2 2 2 2 3" xfId="22225" xr:uid="{00000000-0005-0000-0000-0000AF520000}"/>
    <cellStyle name="Input 2 4 2 2 2 3" xfId="22226" xr:uid="{00000000-0005-0000-0000-0000B0520000}"/>
    <cellStyle name="Input 2 4 2 2 2 3 2" xfId="22227" xr:uid="{00000000-0005-0000-0000-0000B1520000}"/>
    <cellStyle name="Input 2 4 2 2 2 3 3" xfId="22228" xr:uid="{00000000-0005-0000-0000-0000B2520000}"/>
    <cellStyle name="Input 2 4 2 2 2 4" xfId="22229" xr:uid="{00000000-0005-0000-0000-0000B3520000}"/>
    <cellStyle name="Input 2 4 2 2 2 4 2" xfId="22230" xr:uid="{00000000-0005-0000-0000-0000B4520000}"/>
    <cellStyle name="Input 2 4 2 2 2 4 3" xfId="22231" xr:uid="{00000000-0005-0000-0000-0000B5520000}"/>
    <cellStyle name="Input 2 4 2 2 2 5" xfId="22232" xr:uid="{00000000-0005-0000-0000-0000B6520000}"/>
    <cellStyle name="Input 2 4 2 2 2 5 2" xfId="22233" xr:uid="{00000000-0005-0000-0000-0000B7520000}"/>
    <cellStyle name="Input 2 4 2 2 2 5 3" xfId="22234" xr:uid="{00000000-0005-0000-0000-0000B8520000}"/>
    <cellStyle name="Input 2 4 2 2 2 6" xfId="22235" xr:uid="{00000000-0005-0000-0000-0000B9520000}"/>
    <cellStyle name="Input 2 4 2 2 2 6 2" xfId="22236" xr:uid="{00000000-0005-0000-0000-0000BA520000}"/>
    <cellStyle name="Input 2 4 2 2 2 6 3" xfId="22237" xr:uid="{00000000-0005-0000-0000-0000BB520000}"/>
    <cellStyle name="Input 2 4 2 2 2 7" xfId="22238" xr:uid="{00000000-0005-0000-0000-0000BC520000}"/>
    <cellStyle name="Input 2 4 2 2 2 7 2" xfId="22239" xr:uid="{00000000-0005-0000-0000-0000BD520000}"/>
    <cellStyle name="Input 2 4 2 2 2 7 3" xfId="22240" xr:uid="{00000000-0005-0000-0000-0000BE520000}"/>
    <cellStyle name="Input 2 4 2 2 2 8" xfId="22241" xr:uid="{00000000-0005-0000-0000-0000BF520000}"/>
    <cellStyle name="Input 2 4 2 2 2 9" xfId="22242" xr:uid="{00000000-0005-0000-0000-0000C0520000}"/>
    <cellStyle name="Input 2 4 2 2 3" xfId="22243" xr:uid="{00000000-0005-0000-0000-0000C1520000}"/>
    <cellStyle name="Input 2 4 2 2 3 2" xfId="22244" xr:uid="{00000000-0005-0000-0000-0000C2520000}"/>
    <cellStyle name="Input 2 4 2 2 3 3" xfId="22245" xr:uid="{00000000-0005-0000-0000-0000C3520000}"/>
    <cellStyle name="Input 2 4 2 2 4" xfId="22246" xr:uid="{00000000-0005-0000-0000-0000C4520000}"/>
    <cellStyle name="Input 2 4 2 2 4 2" xfId="22247" xr:uid="{00000000-0005-0000-0000-0000C5520000}"/>
    <cellStyle name="Input 2 4 2 2 4 3" xfId="22248" xr:uid="{00000000-0005-0000-0000-0000C6520000}"/>
    <cellStyle name="Input 2 4 2 2 5" xfId="22249" xr:uid="{00000000-0005-0000-0000-0000C7520000}"/>
    <cellStyle name="Input 2 4 2 2 5 2" xfId="22250" xr:uid="{00000000-0005-0000-0000-0000C8520000}"/>
    <cellStyle name="Input 2 4 2 2 5 3" xfId="22251" xr:uid="{00000000-0005-0000-0000-0000C9520000}"/>
    <cellStyle name="Input 2 4 2 2 6" xfId="22252" xr:uid="{00000000-0005-0000-0000-0000CA520000}"/>
    <cellStyle name="Input 2 4 2 2 6 2" xfId="22253" xr:uid="{00000000-0005-0000-0000-0000CB520000}"/>
    <cellStyle name="Input 2 4 2 2 6 3" xfId="22254" xr:uid="{00000000-0005-0000-0000-0000CC520000}"/>
    <cellStyle name="Input 2 4 2 2 7" xfId="22255" xr:uid="{00000000-0005-0000-0000-0000CD520000}"/>
    <cellStyle name="Input 2 4 2 2 7 2" xfId="22256" xr:uid="{00000000-0005-0000-0000-0000CE520000}"/>
    <cellStyle name="Input 2 4 2 2 7 3" xfId="22257" xr:uid="{00000000-0005-0000-0000-0000CF520000}"/>
    <cellStyle name="Input 2 4 2 2 8" xfId="22258" xr:uid="{00000000-0005-0000-0000-0000D0520000}"/>
    <cellStyle name="Input 2 4 2 2 8 2" xfId="22259" xr:uid="{00000000-0005-0000-0000-0000D1520000}"/>
    <cellStyle name="Input 2 4 2 2 8 3" xfId="22260" xr:uid="{00000000-0005-0000-0000-0000D2520000}"/>
    <cellStyle name="Input 2 4 2 2 9" xfId="22261" xr:uid="{00000000-0005-0000-0000-0000D3520000}"/>
    <cellStyle name="Input 2 4 2 3" xfId="22262" xr:uid="{00000000-0005-0000-0000-0000D4520000}"/>
    <cellStyle name="Input 2 4 2 3 10" xfId="22263" xr:uid="{00000000-0005-0000-0000-0000D5520000}"/>
    <cellStyle name="Input 2 4 2 3 2" xfId="22264" xr:uid="{00000000-0005-0000-0000-0000D6520000}"/>
    <cellStyle name="Input 2 4 2 3 2 2" xfId="22265" xr:uid="{00000000-0005-0000-0000-0000D7520000}"/>
    <cellStyle name="Input 2 4 2 3 2 2 2" xfId="22266" xr:uid="{00000000-0005-0000-0000-0000D8520000}"/>
    <cellStyle name="Input 2 4 2 3 2 2 3" xfId="22267" xr:uid="{00000000-0005-0000-0000-0000D9520000}"/>
    <cellStyle name="Input 2 4 2 3 2 3" xfId="22268" xr:uid="{00000000-0005-0000-0000-0000DA520000}"/>
    <cellStyle name="Input 2 4 2 3 2 3 2" xfId="22269" xr:uid="{00000000-0005-0000-0000-0000DB520000}"/>
    <cellStyle name="Input 2 4 2 3 2 3 3" xfId="22270" xr:uid="{00000000-0005-0000-0000-0000DC520000}"/>
    <cellStyle name="Input 2 4 2 3 2 4" xfId="22271" xr:uid="{00000000-0005-0000-0000-0000DD520000}"/>
    <cellStyle name="Input 2 4 2 3 2 4 2" xfId="22272" xr:uid="{00000000-0005-0000-0000-0000DE520000}"/>
    <cellStyle name="Input 2 4 2 3 2 4 3" xfId="22273" xr:uid="{00000000-0005-0000-0000-0000DF520000}"/>
    <cellStyle name="Input 2 4 2 3 2 5" xfId="22274" xr:uid="{00000000-0005-0000-0000-0000E0520000}"/>
    <cellStyle name="Input 2 4 2 3 2 5 2" xfId="22275" xr:uid="{00000000-0005-0000-0000-0000E1520000}"/>
    <cellStyle name="Input 2 4 2 3 2 5 3" xfId="22276" xr:uid="{00000000-0005-0000-0000-0000E2520000}"/>
    <cellStyle name="Input 2 4 2 3 2 6" xfId="22277" xr:uid="{00000000-0005-0000-0000-0000E3520000}"/>
    <cellStyle name="Input 2 4 2 3 2 6 2" xfId="22278" xr:uid="{00000000-0005-0000-0000-0000E4520000}"/>
    <cellStyle name="Input 2 4 2 3 2 6 3" xfId="22279" xr:uid="{00000000-0005-0000-0000-0000E5520000}"/>
    <cellStyle name="Input 2 4 2 3 2 7" xfId="22280" xr:uid="{00000000-0005-0000-0000-0000E6520000}"/>
    <cellStyle name="Input 2 4 2 3 2 7 2" xfId="22281" xr:uid="{00000000-0005-0000-0000-0000E7520000}"/>
    <cellStyle name="Input 2 4 2 3 2 7 3" xfId="22282" xr:uid="{00000000-0005-0000-0000-0000E8520000}"/>
    <cellStyle name="Input 2 4 2 3 2 8" xfId="22283" xr:uid="{00000000-0005-0000-0000-0000E9520000}"/>
    <cellStyle name="Input 2 4 2 3 2 9" xfId="22284" xr:uid="{00000000-0005-0000-0000-0000EA520000}"/>
    <cellStyle name="Input 2 4 2 3 3" xfId="22285" xr:uid="{00000000-0005-0000-0000-0000EB520000}"/>
    <cellStyle name="Input 2 4 2 3 3 2" xfId="22286" xr:uid="{00000000-0005-0000-0000-0000EC520000}"/>
    <cellStyle name="Input 2 4 2 3 3 3" xfId="22287" xr:uid="{00000000-0005-0000-0000-0000ED520000}"/>
    <cellStyle name="Input 2 4 2 3 4" xfId="22288" xr:uid="{00000000-0005-0000-0000-0000EE520000}"/>
    <cellStyle name="Input 2 4 2 3 4 2" xfId="22289" xr:uid="{00000000-0005-0000-0000-0000EF520000}"/>
    <cellStyle name="Input 2 4 2 3 4 3" xfId="22290" xr:uid="{00000000-0005-0000-0000-0000F0520000}"/>
    <cellStyle name="Input 2 4 2 3 5" xfId="22291" xr:uid="{00000000-0005-0000-0000-0000F1520000}"/>
    <cellStyle name="Input 2 4 2 3 5 2" xfId="22292" xr:uid="{00000000-0005-0000-0000-0000F2520000}"/>
    <cellStyle name="Input 2 4 2 3 5 3" xfId="22293" xr:uid="{00000000-0005-0000-0000-0000F3520000}"/>
    <cellStyle name="Input 2 4 2 3 6" xfId="22294" xr:uid="{00000000-0005-0000-0000-0000F4520000}"/>
    <cellStyle name="Input 2 4 2 3 6 2" xfId="22295" xr:uid="{00000000-0005-0000-0000-0000F5520000}"/>
    <cellStyle name="Input 2 4 2 3 6 3" xfId="22296" xr:uid="{00000000-0005-0000-0000-0000F6520000}"/>
    <cellStyle name="Input 2 4 2 3 7" xfId="22297" xr:uid="{00000000-0005-0000-0000-0000F7520000}"/>
    <cellStyle name="Input 2 4 2 3 7 2" xfId="22298" xr:uid="{00000000-0005-0000-0000-0000F8520000}"/>
    <cellStyle name="Input 2 4 2 3 7 3" xfId="22299" xr:uid="{00000000-0005-0000-0000-0000F9520000}"/>
    <cellStyle name="Input 2 4 2 3 8" xfId="22300" xr:uid="{00000000-0005-0000-0000-0000FA520000}"/>
    <cellStyle name="Input 2 4 2 3 8 2" xfId="22301" xr:uid="{00000000-0005-0000-0000-0000FB520000}"/>
    <cellStyle name="Input 2 4 2 3 8 3" xfId="22302" xr:uid="{00000000-0005-0000-0000-0000FC520000}"/>
    <cellStyle name="Input 2 4 2 3 9" xfId="22303" xr:uid="{00000000-0005-0000-0000-0000FD520000}"/>
    <cellStyle name="Input 2 4 2 4" xfId="22304" xr:uid="{00000000-0005-0000-0000-0000FE520000}"/>
    <cellStyle name="Input 2 4 2 4 10" xfId="22305" xr:uid="{00000000-0005-0000-0000-0000FF520000}"/>
    <cellStyle name="Input 2 4 2 4 2" xfId="22306" xr:uid="{00000000-0005-0000-0000-000000530000}"/>
    <cellStyle name="Input 2 4 2 4 2 2" xfId="22307" xr:uid="{00000000-0005-0000-0000-000001530000}"/>
    <cellStyle name="Input 2 4 2 4 2 2 2" xfId="22308" xr:uid="{00000000-0005-0000-0000-000002530000}"/>
    <cellStyle name="Input 2 4 2 4 2 2 3" xfId="22309" xr:uid="{00000000-0005-0000-0000-000003530000}"/>
    <cellStyle name="Input 2 4 2 4 2 3" xfId="22310" xr:uid="{00000000-0005-0000-0000-000004530000}"/>
    <cellStyle name="Input 2 4 2 4 2 3 2" xfId="22311" xr:uid="{00000000-0005-0000-0000-000005530000}"/>
    <cellStyle name="Input 2 4 2 4 2 3 3" xfId="22312" xr:uid="{00000000-0005-0000-0000-000006530000}"/>
    <cellStyle name="Input 2 4 2 4 2 4" xfId="22313" xr:uid="{00000000-0005-0000-0000-000007530000}"/>
    <cellStyle name="Input 2 4 2 4 2 4 2" xfId="22314" xr:uid="{00000000-0005-0000-0000-000008530000}"/>
    <cellStyle name="Input 2 4 2 4 2 4 3" xfId="22315" xr:uid="{00000000-0005-0000-0000-000009530000}"/>
    <cellStyle name="Input 2 4 2 4 2 5" xfId="22316" xr:uid="{00000000-0005-0000-0000-00000A530000}"/>
    <cellStyle name="Input 2 4 2 4 2 5 2" xfId="22317" xr:uid="{00000000-0005-0000-0000-00000B530000}"/>
    <cellStyle name="Input 2 4 2 4 2 5 3" xfId="22318" xr:uid="{00000000-0005-0000-0000-00000C530000}"/>
    <cellStyle name="Input 2 4 2 4 2 6" xfId="22319" xr:uid="{00000000-0005-0000-0000-00000D530000}"/>
    <cellStyle name="Input 2 4 2 4 2 6 2" xfId="22320" xr:uid="{00000000-0005-0000-0000-00000E530000}"/>
    <cellStyle name="Input 2 4 2 4 2 6 3" xfId="22321" xr:uid="{00000000-0005-0000-0000-00000F530000}"/>
    <cellStyle name="Input 2 4 2 4 2 7" xfId="22322" xr:uid="{00000000-0005-0000-0000-000010530000}"/>
    <cellStyle name="Input 2 4 2 4 2 7 2" xfId="22323" xr:uid="{00000000-0005-0000-0000-000011530000}"/>
    <cellStyle name="Input 2 4 2 4 2 7 3" xfId="22324" xr:uid="{00000000-0005-0000-0000-000012530000}"/>
    <cellStyle name="Input 2 4 2 4 2 8" xfId="22325" xr:uid="{00000000-0005-0000-0000-000013530000}"/>
    <cellStyle name="Input 2 4 2 4 2 9" xfId="22326" xr:uid="{00000000-0005-0000-0000-000014530000}"/>
    <cellStyle name="Input 2 4 2 4 3" xfId="22327" xr:uid="{00000000-0005-0000-0000-000015530000}"/>
    <cellStyle name="Input 2 4 2 4 3 2" xfId="22328" xr:uid="{00000000-0005-0000-0000-000016530000}"/>
    <cellStyle name="Input 2 4 2 4 3 3" xfId="22329" xr:uid="{00000000-0005-0000-0000-000017530000}"/>
    <cellStyle name="Input 2 4 2 4 4" xfId="22330" xr:uid="{00000000-0005-0000-0000-000018530000}"/>
    <cellStyle name="Input 2 4 2 4 4 2" xfId="22331" xr:uid="{00000000-0005-0000-0000-000019530000}"/>
    <cellStyle name="Input 2 4 2 4 4 3" xfId="22332" xr:uid="{00000000-0005-0000-0000-00001A530000}"/>
    <cellStyle name="Input 2 4 2 4 5" xfId="22333" xr:uid="{00000000-0005-0000-0000-00001B530000}"/>
    <cellStyle name="Input 2 4 2 4 5 2" xfId="22334" xr:uid="{00000000-0005-0000-0000-00001C530000}"/>
    <cellStyle name="Input 2 4 2 4 5 3" xfId="22335" xr:uid="{00000000-0005-0000-0000-00001D530000}"/>
    <cellStyle name="Input 2 4 2 4 6" xfId="22336" xr:uid="{00000000-0005-0000-0000-00001E530000}"/>
    <cellStyle name="Input 2 4 2 4 6 2" xfId="22337" xr:uid="{00000000-0005-0000-0000-00001F530000}"/>
    <cellStyle name="Input 2 4 2 4 6 3" xfId="22338" xr:uid="{00000000-0005-0000-0000-000020530000}"/>
    <cellStyle name="Input 2 4 2 4 7" xfId="22339" xr:uid="{00000000-0005-0000-0000-000021530000}"/>
    <cellStyle name="Input 2 4 2 4 7 2" xfId="22340" xr:uid="{00000000-0005-0000-0000-000022530000}"/>
    <cellStyle name="Input 2 4 2 4 7 3" xfId="22341" xr:uid="{00000000-0005-0000-0000-000023530000}"/>
    <cellStyle name="Input 2 4 2 4 8" xfId="22342" xr:uid="{00000000-0005-0000-0000-000024530000}"/>
    <cellStyle name="Input 2 4 2 4 8 2" xfId="22343" xr:uid="{00000000-0005-0000-0000-000025530000}"/>
    <cellStyle name="Input 2 4 2 4 8 3" xfId="22344" xr:uid="{00000000-0005-0000-0000-000026530000}"/>
    <cellStyle name="Input 2 4 2 4 9" xfId="22345" xr:uid="{00000000-0005-0000-0000-000027530000}"/>
    <cellStyle name="Input 2 4 2 5" xfId="22346" xr:uid="{00000000-0005-0000-0000-000028530000}"/>
    <cellStyle name="Input 2 4 2 5 2" xfId="22347" xr:uid="{00000000-0005-0000-0000-000029530000}"/>
    <cellStyle name="Input 2 4 2 5 2 2" xfId="22348" xr:uid="{00000000-0005-0000-0000-00002A530000}"/>
    <cellStyle name="Input 2 4 2 5 2 3" xfId="22349" xr:uid="{00000000-0005-0000-0000-00002B530000}"/>
    <cellStyle name="Input 2 4 2 5 3" xfId="22350" xr:uid="{00000000-0005-0000-0000-00002C530000}"/>
    <cellStyle name="Input 2 4 2 5 3 2" xfId="22351" xr:uid="{00000000-0005-0000-0000-00002D530000}"/>
    <cellStyle name="Input 2 4 2 5 3 3" xfId="22352" xr:uid="{00000000-0005-0000-0000-00002E530000}"/>
    <cellStyle name="Input 2 4 2 5 4" xfId="22353" xr:uid="{00000000-0005-0000-0000-00002F530000}"/>
    <cellStyle name="Input 2 4 2 5 4 2" xfId="22354" xr:uid="{00000000-0005-0000-0000-000030530000}"/>
    <cellStyle name="Input 2 4 2 5 4 3" xfId="22355" xr:uid="{00000000-0005-0000-0000-000031530000}"/>
    <cellStyle name="Input 2 4 2 5 5" xfId="22356" xr:uid="{00000000-0005-0000-0000-000032530000}"/>
    <cellStyle name="Input 2 4 2 5 5 2" xfId="22357" xr:uid="{00000000-0005-0000-0000-000033530000}"/>
    <cellStyle name="Input 2 4 2 5 5 3" xfId="22358" xr:uid="{00000000-0005-0000-0000-000034530000}"/>
    <cellStyle name="Input 2 4 2 5 6" xfId="22359" xr:uid="{00000000-0005-0000-0000-000035530000}"/>
    <cellStyle name="Input 2 4 2 5 6 2" xfId="22360" xr:uid="{00000000-0005-0000-0000-000036530000}"/>
    <cellStyle name="Input 2 4 2 5 6 3" xfId="22361" xr:uid="{00000000-0005-0000-0000-000037530000}"/>
    <cellStyle name="Input 2 4 2 5 7" xfId="22362" xr:uid="{00000000-0005-0000-0000-000038530000}"/>
    <cellStyle name="Input 2 4 2 5 7 2" xfId="22363" xr:uid="{00000000-0005-0000-0000-000039530000}"/>
    <cellStyle name="Input 2 4 2 5 7 3" xfId="22364" xr:uid="{00000000-0005-0000-0000-00003A530000}"/>
    <cellStyle name="Input 2 4 2 5 8" xfId="22365" xr:uid="{00000000-0005-0000-0000-00003B530000}"/>
    <cellStyle name="Input 2 4 2 5 9" xfId="22366" xr:uid="{00000000-0005-0000-0000-00003C530000}"/>
    <cellStyle name="Input 2 4 2 6" xfId="22367" xr:uid="{00000000-0005-0000-0000-00003D530000}"/>
    <cellStyle name="Input 2 4 2 6 2" xfId="22368" xr:uid="{00000000-0005-0000-0000-00003E530000}"/>
    <cellStyle name="Input 2 4 2 6 3" xfId="22369" xr:uid="{00000000-0005-0000-0000-00003F530000}"/>
    <cellStyle name="Input 2 4 2 7" xfId="22370" xr:uid="{00000000-0005-0000-0000-000040530000}"/>
    <cellStyle name="Input 2 4 2 7 2" xfId="22371" xr:uid="{00000000-0005-0000-0000-000041530000}"/>
    <cellStyle name="Input 2 4 2 7 3" xfId="22372" xr:uid="{00000000-0005-0000-0000-000042530000}"/>
    <cellStyle name="Input 2 4 2 8" xfId="22373" xr:uid="{00000000-0005-0000-0000-000043530000}"/>
    <cellStyle name="Input 2 4 2 8 2" xfId="22374" xr:uid="{00000000-0005-0000-0000-000044530000}"/>
    <cellStyle name="Input 2 4 2 8 3" xfId="22375" xr:uid="{00000000-0005-0000-0000-000045530000}"/>
    <cellStyle name="Input 2 4 2 9" xfId="22376" xr:uid="{00000000-0005-0000-0000-000046530000}"/>
    <cellStyle name="Input 2 4 2 9 2" xfId="22377" xr:uid="{00000000-0005-0000-0000-000047530000}"/>
    <cellStyle name="Input 2 4 2 9 3" xfId="22378" xr:uid="{00000000-0005-0000-0000-000048530000}"/>
    <cellStyle name="Input 2 4 3" xfId="22379" xr:uid="{00000000-0005-0000-0000-000049530000}"/>
    <cellStyle name="Input 2 4 3 10" xfId="44074" xr:uid="{00000000-0005-0000-0000-00004A530000}"/>
    <cellStyle name="Input 2 4 3 2" xfId="22380" xr:uid="{00000000-0005-0000-0000-00004B530000}"/>
    <cellStyle name="Input 2 4 3 2 10" xfId="22381" xr:uid="{00000000-0005-0000-0000-00004C530000}"/>
    <cellStyle name="Input 2 4 3 2 2" xfId="22382" xr:uid="{00000000-0005-0000-0000-00004D530000}"/>
    <cellStyle name="Input 2 4 3 2 2 2" xfId="22383" xr:uid="{00000000-0005-0000-0000-00004E530000}"/>
    <cellStyle name="Input 2 4 3 2 2 2 2" xfId="22384" xr:uid="{00000000-0005-0000-0000-00004F530000}"/>
    <cellStyle name="Input 2 4 3 2 2 2 3" xfId="22385" xr:uid="{00000000-0005-0000-0000-000050530000}"/>
    <cellStyle name="Input 2 4 3 2 2 3" xfId="22386" xr:uid="{00000000-0005-0000-0000-000051530000}"/>
    <cellStyle name="Input 2 4 3 2 2 3 2" xfId="22387" xr:uid="{00000000-0005-0000-0000-000052530000}"/>
    <cellStyle name="Input 2 4 3 2 2 3 3" xfId="22388" xr:uid="{00000000-0005-0000-0000-000053530000}"/>
    <cellStyle name="Input 2 4 3 2 2 4" xfId="22389" xr:uid="{00000000-0005-0000-0000-000054530000}"/>
    <cellStyle name="Input 2 4 3 2 2 4 2" xfId="22390" xr:uid="{00000000-0005-0000-0000-000055530000}"/>
    <cellStyle name="Input 2 4 3 2 2 4 3" xfId="22391" xr:uid="{00000000-0005-0000-0000-000056530000}"/>
    <cellStyle name="Input 2 4 3 2 2 5" xfId="22392" xr:uid="{00000000-0005-0000-0000-000057530000}"/>
    <cellStyle name="Input 2 4 3 2 2 5 2" xfId="22393" xr:uid="{00000000-0005-0000-0000-000058530000}"/>
    <cellStyle name="Input 2 4 3 2 2 5 3" xfId="22394" xr:uid="{00000000-0005-0000-0000-000059530000}"/>
    <cellStyle name="Input 2 4 3 2 2 6" xfId="22395" xr:uid="{00000000-0005-0000-0000-00005A530000}"/>
    <cellStyle name="Input 2 4 3 2 2 6 2" xfId="22396" xr:uid="{00000000-0005-0000-0000-00005B530000}"/>
    <cellStyle name="Input 2 4 3 2 2 6 3" xfId="22397" xr:uid="{00000000-0005-0000-0000-00005C530000}"/>
    <cellStyle name="Input 2 4 3 2 2 7" xfId="22398" xr:uid="{00000000-0005-0000-0000-00005D530000}"/>
    <cellStyle name="Input 2 4 3 2 2 7 2" xfId="22399" xr:uid="{00000000-0005-0000-0000-00005E530000}"/>
    <cellStyle name="Input 2 4 3 2 2 7 3" xfId="22400" xr:uid="{00000000-0005-0000-0000-00005F530000}"/>
    <cellStyle name="Input 2 4 3 2 2 8" xfId="22401" xr:uid="{00000000-0005-0000-0000-000060530000}"/>
    <cellStyle name="Input 2 4 3 2 2 9" xfId="22402" xr:uid="{00000000-0005-0000-0000-000061530000}"/>
    <cellStyle name="Input 2 4 3 2 3" xfId="22403" xr:uid="{00000000-0005-0000-0000-000062530000}"/>
    <cellStyle name="Input 2 4 3 2 3 2" xfId="22404" xr:uid="{00000000-0005-0000-0000-000063530000}"/>
    <cellStyle name="Input 2 4 3 2 3 3" xfId="22405" xr:uid="{00000000-0005-0000-0000-000064530000}"/>
    <cellStyle name="Input 2 4 3 2 4" xfId="22406" xr:uid="{00000000-0005-0000-0000-000065530000}"/>
    <cellStyle name="Input 2 4 3 2 4 2" xfId="22407" xr:uid="{00000000-0005-0000-0000-000066530000}"/>
    <cellStyle name="Input 2 4 3 2 4 3" xfId="22408" xr:uid="{00000000-0005-0000-0000-000067530000}"/>
    <cellStyle name="Input 2 4 3 2 5" xfId="22409" xr:uid="{00000000-0005-0000-0000-000068530000}"/>
    <cellStyle name="Input 2 4 3 2 5 2" xfId="22410" xr:uid="{00000000-0005-0000-0000-000069530000}"/>
    <cellStyle name="Input 2 4 3 2 5 3" xfId="22411" xr:uid="{00000000-0005-0000-0000-00006A530000}"/>
    <cellStyle name="Input 2 4 3 2 6" xfId="22412" xr:uid="{00000000-0005-0000-0000-00006B530000}"/>
    <cellStyle name="Input 2 4 3 2 6 2" xfId="22413" xr:uid="{00000000-0005-0000-0000-00006C530000}"/>
    <cellStyle name="Input 2 4 3 2 6 3" xfId="22414" xr:uid="{00000000-0005-0000-0000-00006D530000}"/>
    <cellStyle name="Input 2 4 3 2 7" xfId="22415" xr:uid="{00000000-0005-0000-0000-00006E530000}"/>
    <cellStyle name="Input 2 4 3 2 7 2" xfId="22416" xr:uid="{00000000-0005-0000-0000-00006F530000}"/>
    <cellStyle name="Input 2 4 3 2 7 3" xfId="22417" xr:uid="{00000000-0005-0000-0000-000070530000}"/>
    <cellStyle name="Input 2 4 3 2 8" xfId="22418" xr:uid="{00000000-0005-0000-0000-000071530000}"/>
    <cellStyle name="Input 2 4 3 2 8 2" xfId="22419" xr:uid="{00000000-0005-0000-0000-000072530000}"/>
    <cellStyle name="Input 2 4 3 2 8 3" xfId="22420" xr:uid="{00000000-0005-0000-0000-000073530000}"/>
    <cellStyle name="Input 2 4 3 2 9" xfId="22421" xr:uid="{00000000-0005-0000-0000-000074530000}"/>
    <cellStyle name="Input 2 4 3 3" xfId="22422" xr:uid="{00000000-0005-0000-0000-000075530000}"/>
    <cellStyle name="Input 2 4 3 3 10" xfId="22423" xr:uid="{00000000-0005-0000-0000-000076530000}"/>
    <cellStyle name="Input 2 4 3 3 2" xfId="22424" xr:uid="{00000000-0005-0000-0000-000077530000}"/>
    <cellStyle name="Input 2 4 3 3 2 2" xfId="22425" xr:uid="{00000000-0005-0000-0000-000078530000}"/>
    <cellStyle name="Input 2 4 3 3 2 2 2" xfId="22426" xr:uid="{00000000-0005-0000-0000-000079530000}"/>
    <cellStyle name="Input 2 4 3 3 2 2 3" xfId="22427" xr:uid="{00000000-0005-0000-0000-00007A530000}"/>
    <cellStyle name="Input 2 4 3 3 2 3" xfId="22428" xr:uid="{00000000-0005-0000-0000-00007B530000}"/>
    <cellStyle name="Input 2 4 3 3 2 3 2" xfId="22429" xr:uid="{00000000-0005-0000-0000-00007C530000}"/>
    <cellStyle name="Input 2 4 3 3 2 3 3" xfId="22430" xr:uid="{00000000-0005-0000-0000-00007D530000}"/>
    <cellStyle name="Input 2 4 3 3 2 4" xfId="22431" xr:uid="{00000000-0005-0000-0000-00007E530000}"/>
    <cellStyle name="Input 2 4 3 3 2 4 2" xfId="22432" xr:uid="{00000000-0005-0000-0000-00007F530000}"/>
    <cellStyle name="Input 2 4 3 3 2 4 3" xfId="22433" xr:uid="{00000000-0005-0000-0000-000080530000}"/>
    <cellStyle name="Input 2 4 3 3 2 5" xfId="22434" xr:uid="{00000000-0005-0000-0000-000081530000}"/>
    <cellStyle name="Input 2 4 3 3 2 5 2" xfId="22435" xr:uid="{00000000-0005-0000-0000-000082530000}"/>
    <cellStyle name="Input 2 4 3 3 2 5 3" xfId="22436" xr:uid="{00000000-0005-0000-0000-000083530000}"/>
    <cellStyle name="Input 2 4 3 3 2 6" xfId="22437" xr:uid="{00000000-0005-0000-0000-000084530000}"/>
    <cellStyle name="Input 2 4 3 3 2 6 2" xfId="22438" xr:uid="{00000000-0005-0000-0000-000085530000}"/>
    <cellStyle name="Input 2 4 3 3 2 6 3" xfId="22439" xr:uid="{00000000-0005-0000-0000-000086530000}"/>
    <cellStyle name="Input 2 4 3 3 2 7" xfId="22440" xr:uid="{00000000-0005-0000-0000-000087530000}"/>
    <cellStyle name="Input 2 4 3 3 2 7 2" xfId="22441" xr:uid="{00000000-0005-0000-0000-000088530000}"/>
    <cellStyle name="Input 2 4 3 3 2 7 3" xfId="22442" xr:uid="{00000000-0005-0000-0000-000089530000}"/>
    <cellStyle name="Input 2 4 3 3 2 8" xfId="22443" xr:uid="{00000000-0005-0000-0000-00008A530000}"/>
    <cellStyle name="Input 2 4 3 3 2 9" xfId="22444" xr:uid="{00000000-0005-0000-0000-00008B530000}"/>
    <cellStyle name="Input 2 4 3 3 3" xfId="22445" xr:uid="{00000000-0005-0000-0000-00008C530000}"/>
    <cellStyle name="Input 2 4 3 3 3 2" xfId="22446" xr:uid="{00000000-0005-0000-0000-00008D530000}"/>
    <cellStyle name="Input 2 4 3 3 3 3" xfId="22447" xr:uid="{00000000-0005-0000-0000-00008E530000}"/>
    <cellStyle name="Input 2 4 3 3 4" xfId="22448" xr:uid="{00000000-0005-0000-0000-00008F530000}"/>
    <cellStyle name="Input 2 4 3 3 4 2" xfId="22449" xr:uid="{00000000-0005-0000-0000-000090530000}"/>
    <cellStyle name="Input 2 4 3 3 4 3" xfId="22450" xr:uid="{00000000-0005-0000-0000-000091530000}"/>
    <cellStyle name="Input 2 4 3 3 5" xfId="22451" xr:uid="{00000000-0005-0000-0000-000092530000}"/>
    <cellStyle name="Input 2 4 3 3 5 2" xfId="22452" xr:uid="{00000000-0005-0000-0000-000093530000}"/>
    <cellStyle name="Input 2 4 3 3 5 3" xfId="22453" xr:uid="{00000000-0005-0000-0000-000094530000}"/>
    <cellStyle name="Input 2 4 3 3 6" xfId="22454" xr:uid="{00000000-0005-0000-0000-000095530000}"/>
    <cellStyle name="Input 2 4 3 3 6 2" xfId="22455" xr:uid="{00000000-0005-0000-0000-000096530000}"/>
    <cellStyle name="Input 2 4 3 3 6 3" xfId="22456" xr:uid="{00000000-0005-0000-0000-000097530000}"/>
    <cellStyle name="Input 2 4 3 3 7" xfId="22457" xr:uid="{00000000-0005-0000-0000-000098530000}"/>
    <cellStyle name="Input 2 4 3 3 7 2" xfId="22458" xr:uid="{00000000-0005-0000-0000-000099530000}"/>
    <cellStyle name="Input 2 4 3 3 7 3" xfId="22459" xr:uid="{00000000-0005-0000-0000-00009A530000}"/>
    <cellStyle name="Input 2 4 3 3 8" xfId="22460" xr:uid="{00000000-0005-0000-0000-00009B530000}"/>
    <cellStyle name="Input 2 4 3 3 8 2" xfId="22461" xr:uid="{00000000-0005-0000-0000-00009C530000}"/>
    <cellStyle name="Input 2 4 3 3 8 3" xfId="22462" xr:uid="{00000000-0005-0000-0000-00009D530000}"/>
    <cellStyle name="Input 2 4 3 3 9" xfId="22463" xr:uid="{00000000-0005-0000-0000-00009E530000}"/>
    <cellStyle name="Input 2 4 3 4" xfId="22464" xr:uid="{00000000-0005-0000-0000-00009F530000}"/>
    <cellStyle name="Input 2 4 3 4 10" xfId="22465" xr:uid="{00000000-0005-0000-0000-0000A0530000}"/>
    <cellStyle name="Input 2 4 3 4 2" xfId="22466" xr:uid="{00000000-0005-0000-0000-0000A1530000}"/>
    <cellStyle name="Input 2 4 3 4 2 2" xfId="22467" xr:uid="{00000000-0005-0000-0000-0000A2530000}"/>
    <cellStyle name="Input 2 4 3 4 2 2 2" xfId="22468" xr:uid="{00000000-0005-0000-0000-0000A3530000}"/>
    <cellStyle name="Input 2 4 3 4 2 2 3" xfId="22469" xr:uid="{00000000-0005-0000-0000-0000A4530000}"/>
    <cellStyle name="Input 2 4 3 4 2 3" xfId="22470" xr:uid="{00000000-0005-0000-0000-0000A5530000}"/>
    <cellStyle name="Input 2 4 3 4 2 3 2" xfId="22471" xr:uid="{00000000-0005-0000-0000-0000A6530000}"/>
    <cellStyle name="Input 2 4 3 4 2 3 3" xfId="22472" xr:uid="{00000000-0005-0000-0000-0000A7530000}"/>
    <cellStyle name="Input 2 4 3 4 2 4" xfId="22473" xr:uid="{00000000-0005-0000-0000-0000A8530000}"/>
    <cellStyle name="Input 2 4 3 4 2 4 2" xfId="22474" xr:uid="{00000000-0005-0000-0000-0000A9530000}"/>
    <cellStyle name="Input 2 4 3 4 2 4 3" xfId="22475" xr:uid="{00000000-0005-0000-0000-0000AA530000}"/>
    <cellStyle name="Input 2 4 3 4 2 5" xfId="22476" xr:uid="{00000000-0005-0000-0000-0000AB530000}"/>
    <cellStyle name="Input 2 4 3 4 2 5 2" xfId="22477" xr:uid="{00000000-0005-0000-0000-0000AC530000}"/>
    <cellStyle name="Input 2 4 3 4 2 5 3" xfId="22478" xr:uid="{00000000-0005-0000-0000-0000AD530000}"/>
    <cellStyle name="Input 2 4 3 4 2 6" xfId="22479" xr:uid="{00000000-0005-0000-0000-0000AE530000}"/>
    <cellStyle name="Input 2 4 3 4 2 6 2" xfId="22480" xr:uid="{00000000-0005-0000-0000-0000AF530000}"/>
    <cellStyle name="Input 2 4 3 4 2 6 3" xfId="22481" xr:uid="{00000000-0005-0000-0000-0000B0530000}"/>
    <cellStyle name="Input 2 4 3 4 2 7" xfId="22482" xr:uid="{00000000-0005-0000-0000-0000B1530000}"/>
    <cellStyle name="Input 2 4 3 4 2 7 2" xfId="22483" xr:uid="{00000000-0005-0000-0000-0000B2530000}"/>
    <cellStyle name="Input 2 4 3 4 2 7 3" xfId="22484" xr:uid="{00000000-0005-0000-0000-0000B3530000}"/>
    <cellStyle name="Input 2 4 3 4 2 8" xfId="22485" xr:uid="{00000000-0005-0000-0000-0000B4530000}"/>
    <cellStyle name="Input 2 4 3 4 2 9" xfId="22486" xr:uid="{00000000-0005-0000-0000-0000B5530000}"/>
    <cellStyle name="Input 2 4 3 4 3" xfId="22487" xr:uid="{00000000-0005-0000-0000-0000B6530000}"/>
    <cellStyle name="Input 2 4 3 4 3 2" xfId="22488" xr:uid="{00000000-0005-0000-0000-0000B7530000}"/>
    <cellStyle name="Input 2 4 3 4 3 3" xfId="22489" xr:uid="{00000000-0005-0000-0000-0000B8530000}"/>
    <cellStyle name="Input 2 4 3 4 4" xfId="22490" xr:uid="{00000000-0005-0000-0000-0000B9530000}"/>
    <cellStyle name="Input 2 4 3 4 4 2" xfId="22491" xr:uid="{00000000-0005-0000-0000-0000BA530000}"/>
    <cellStyle name="Input 2 4 3 4 4 3" xfId="22492" xr:uid="{00000000-0005-0000-0000-0000BB530000}"/>
    <cellStyle name="Input 2 4 3 4 5" xfId="22493" xr:uid="{00000000-0005-0000-0000-0000BC530000}"/>
    <cellStyle name="Input 2 4 3 4 5 2" xfId="22494" xr:uid="{00000000-0005-0000-0000-0000BD530000}"/>
    <cellStyle name="Input 2 4 3 4 5 3" xfId="22495" xr:uid="{00000000-0005-0000-0000-0000BE530000}"/>
    <cellStyle name="Input 2 4 3 4 6" xfId="22496" xr:uid="{00000000-0005-0000-0000-0000BF530000}"/>
    <cellStyle name="Input 2 4 3 4 6 2" xfId="22497" xr:uid="{00000000-0005-0000-0000-0000C0530000}"/>
    <cellStyle name="Input 2 4 3 4 6 3" xfId="22498" xr:uid="{00000000-0005-0000-0000-0000C1530000}"/>
    <cellStyle name="Input 2 4 3 4 7" xfId="22499" xr:uid="{00000000-0005-0000-0000-0000C2530000}"/>
    <cellStyle name="Input 2 4 3 4 7 2" xfId="22500" xr:uid="{00000000-0005-0000-0000-0000C3530000}"/>
    <cellStyle name="Input 2 4 3 4 7 3" xfId="22501" xr:uid="{00000000-0005-0000-0000-0000C4530000}"/>
    <cellStyle name="Input 2 4 3 4 8" xfId="22502" xr:uid="{00000000-0005-0000-0000-0000C5530000}"/>
    <cellStyle name="Input 2 4 3 4 8 2" xfId="22503" xr:uid="{00000000-0005-0000-0000-0000C6530000}"/>
    <cellStyle name="Input 2 4 3 4 8 3" xfId="22504" xr:uid="{00000000-0005-0000-0000-0000C7530000}"/>
    <cellStyle name="Input 2 4 3 4 9" xfId="22505" xr:uid="{00000000-0005-0000-0000-0000C8530000}"/>
    <cellStyle name="Input 2 4 3 5" xfId="22506" xr:uid="{00000000-0005-0000-0000-0000C9530000}"/>
    <cellStyle name="Input 2 4 3 5 2" xfId="22507" xr:uid="{00000000-0005-0000-0000-0000CA530000}"/>
    <cellStyle name="Input 2 4 3 5 2 2" xfId="22508" xr:uid="{00000000-0005-0000-0000-0000CB530000}"/>
    <cellStyle name="Input 2 4 3 5 2 3" xfId="22509" xr:uid="{00000000-0005-0000-0000-0000CC530000}"/>
    <cellStyle name="Input 2 4 3 5 3" xfId="22510" xr:uid="{00000000-0005-0000-0000-0000CD530000}"/>
    <cellStyle name="Input 2 4 3 5 3 2" xfId="22511" xr:uid="{00000000-0005-0000-0000-0000CE530000}"/>
    <cellStyle name="Input 2 4 3 5 3 3" xfId="22512" xr:uid="{00000000-0005-0000-0000-0000CF530000}"/>
    <cellStyle name="Input 2 4 3 5 4" xfId="22513" xr:uid="{00000000-0005-0000-0000-0000D0530000}"/>
    <cellStyle name="Input 2 4 3 5 4 2" xfId="22514" xr:uid="{00000000-0005-0000-0000-0000D1530000}"/>
    <cellStyle name="Input 2 4 3 5 4 3" xfId="22515" xr:uid="{00000000-0005-0000-0000-0000D2530000}"/>
    <cellStyle name="Input 2 4 3 5 5" xfId="22516" xr:uid="{00000000-0005-0000-0000-0000D3530000}"/>
    <cellStyle name="Input 2 4 3 5 5 2" xfId="22517" xr:uid="{00000000-0005-0000-0000-0000D4530000}"/>
    <cellStyle name="Input 2 4 3 5 5 3" xfId="22518" xr:uid="{00000000-0005-0000-0000-0000D5530000}"/>
    <cellStyle name="Input 2 4 3 5 6" xfId="22519" xr:uid="{00000000-0005-0000-0000-0000D6530000}"/>
    <cellStyle name="Input 2 4 3 5 6 2" xfId="22520" xr:uid="{00000000-0005-0000-0000-0000D7530000}"/>
    <cellStyle name="Input 2 4 3 5 6 3" xfId="22521" xr:uid="{00000000-0005-0000-0000-0000D8530000}"/>
    <cellStyle name="Input 2 4 3 5 7" xfId="22522" xr:uid="{00000000-0005-0000-0000-0000D9530000}"/>
    <cellStyle name="Input 2 4 3 5 7 2" xfId="22523" xr:uid="{00000000-0005-0000-0000-0000DA530000}"/>
    <cellStyle name="Input 2 4 3 5 7 3" xfId="22524" xr:uid="{00000000-0005-0000-0000-0000DB530000}"/>
    <cellStyle name="Input 2 4 3 5 8" xfId="22525" xr:uid="{00000000-0005-0000-0000-0000DC530000}"/>
    <cellStyle name="Input 2 4 3 5 9" xfId="22526" xr:uid="{00000000-0005-0000-0000-0000DD530000}"/>
    <cellStyle name="Input 2 4 3 6" xfId="22527" xr:uid="{00000000-0005-0000-0000-0000DE530000}"/>
    <cellStyle name="Input 2 4 3 6 2" xfId="22528" xr:uid="{00000000-0005-0000-0000-0000DF530000}"/>
    <cellStyle name="Input 2 4 3 6 3" xfId="22529" xr:uid="{00000000-0005-0000-0000-0000E0530000}"/>
    <cellStyle name="Input 2 4 3 7" xfId="22530" xr:uid="{00000000-0005-0000-0000-0000E1530000}"/>
    <cellStyle name="Input 2 4 3 7 2" xfId="22531" xr:uid="{00000000-0005-0000-0000-0000E2530000}"/>
    <cellStyle name="Input 2 4 3 7 3" xfId="22532" xr:uid="{00000000-0005-0000-0000-0000E3530000}"/>
    <cellStyle name="Input 2 4 3 8" xfId="22533" xr:uid="{00000000-0005-0000-0000-0000E4530000}"/>
    <cellStyle name="Input 2 4 3 8 2" xfId="22534" xr:uid="{00000000-0005-0000-0000-0000E5530000}"/>
    <cellStyle name="Input 2 4 3 8 3" xfId="22535" xr:uid="{00000000-0005-0000-0000-0000E6530000}"/>
    <cellStyle name="Input 2 4 3 9" xfId="22536" xr:uid="{00000000-0005-0000-0000-0000E7530000}"/>
    <cellStyle name="Input 2 4 3 9 2" xfId="22537" xr:uid="{00000000-0005-0000-0000-0000E8530000}"/>
    <cellStyle name="Input 2 4 3 9 3" xfId="22538" xr:uid="{00000000-0005-0000-0000-0000E9530000}"/>
    <cellStyle name="Input 2 4 4" xfId="22539" xr:uid="{00000000-0005-0000-0000-0000EA530000}"/>
    <cellStyle name="Input 2 4 4 10" xfId="44075" xr:uid="{00000000-0005-0000-0000-0000EB530000}"/>
    <cellStyle name="Input 2 4 4 2" xfId="22540" xr:uid="{00000000-0005-0000-0000-0000EC530000}"/>
    <cellStyle name="Input 2 4 4 2 10" xfId="22541" xr:uid="{00000000-0005-0000-0000-0000ED530000}"/>
    <cellStyle name="Input 2 4 4 2 2" xfId="22542" xr:uid="{00000000-0005-0000-0000-0000EE530000}"/>
    <cellStyle name="Input 2 4 4 2 2 2" xfId="22543" xr:uid="{00000000-0005-0000-0000-0000EF530000}"/>
    <cellStyle name="Input 2 4 4 2 2 2 2" xfId="22544" xr:uid="{00000000-0005-0000-0000-0000F0530000}"/>
    <cellStyle name="Input 2 4 4 2 2 2 3" xfId="22545" xr:uid="{00000000-0005-0000-0000-0000F1530000}"/>
    <cellStyle name="Input 2 4 4 2 2 3" xfId="22546" xr:uid="{00000000-0005-0000-0000-0000F2530000}"/>
    <cellStyle name="Input 2 4 4 2 2 3 2" xfId="22547" xr:uid="{00000000-0005-0000-0000-0000F3530000}"/>
    <cellStyle name="Input 2 4 4 2 2 3 3" xfId="22548" xr:uid="{00000000-0005-0000-0000-0000F4530000}"/>
    <cellStyle name="Input 2 4 4 2 2 4" xfId="22549" xr:uid="{00000000-0005-0000-0000-0000F5530000}"/>
    <cellStyle name="Input 2 4 4 2 2 4 2" xfId="22550" xr:uid="{00000000-0005-0000-0000-0000F6530000}"/>
    <cellStyle name="Input 2 4 4 2 2 4 3" xfId="22551" xr:uid="{00000000-0005-0000-0000-0000F7530000}"/>
    <cellStyle name="Input 2 4 4 2 2 5" xfId="22552" xr:uid="{00000000-0005-0000-0000-0000F8530000}"/>
    <cellStyle name="Input 2 4 4 2 2 5 2" xfId="22553" xr:uid="{00000000-0005-0000-0000-0000F9530000}"/>
    <cellStyle name="Input 2 4 4 2 2 5 3" xfId="22554" xr:uid="{00000000-0005-0000-0000-0000FA530000}"/>
    <cellStyle name="Input 2 4 4 2 2 6" xfId="22555" xr:uid="{00000000-0005-0000-0000-0000FB530000}"/>
    <cellStyle name="Input 2 4 4 2 2 6 2" xfId="22556" xr:uid="{00000000-0005-0000-0000-0000FC530000}"/>
    <cellStyle name="Input 2 4 4 2 2 6 3" xfId="22557" xr:uid="{00000000-0005-0000-0000-0000FD530000}"/>
    <cellStyle name="Input 2 4 4 2 2 7" xfId="22558" xr:uid="{00000000-0005-0000-0000-0000FE530000}"/>
    <cellStyle name="Input 2 4 4 2 2 7 2" xfId="22559" xr:uid="{00000000-0005-0000-0000-0000FF530000}"/>
    <cellStyle name="Input 2 4 4 2 2 7 3" xfId="22560" xr:uid="{00000000-0005-0000-0000-000000540000}"/>
    <cellStyle name="Input 2 4 4 2 2 8" xfId="22561" xr:uid="{00000000-0005-0000-0000-000001540000}"/>
    <cellStyle name="Input 2 4 4 2 2 9" xfId="22562" xr:uid="{00000000-0005-0000-0000-000002540000}"/>
    <cellStyle name="Input 2 4 4 2 3" xfId="22563" xr:uid="{00000000-0005-0000-0000-000003540000}"/>
    <cellStyle name="Input 2 4 4 2 3 2" xfId="22564" xr:uid="{00000000-0005-0000-0000-000004540000}"/>
    <cellStyle name="Input 2 4 4 2 3 3" xfId="22565" xr:uid="{00000000-0005-0000-0000-000005540000}"/>
    <cellStyle name="Input 2 4 4 2 4" xfId="22566" xr:uid="{00000000-0005-0000-0000-000006540000}"/>
    <cellStyle name="Input 2 4 4 2 4 2" xfId="22567" xr:uid="{00000000-0005-0000-0000-000007540000}"/>
    <cellStyle name="Input 2 4 4 2 4 3" xfId="22568" xr:uid="{00000000-0005-0000-0000-000008540000}"/>
    <cellStyle name="Input 2 4 4 2 5" xfId="22569" xr:uid="{00000000-0005-0000-0000-000009540000}"/>
    <cellStyle name="Input 2 4 4 2 5 2" xfId="22570" xr:uid="{00000000-0005-0000-0000-00000A540000}"/>
    <cellStyle name="Input 2 4 4 2 5 3" xfId="22571" xr:uid="{00000000-0005-0000-0000-00000B540000}"/>
    <cellStyle name="Input 2 4 4 2 6" xfId="22572" xr:uid="{00000000-0005-0000-0000-00000C540000}"/>
    <cellStyle name="Input 2 4 4 2 6 2" xfId="22573" xr:uid="{00000000-0005-0000-0000-00000D540000}"/>
    <cellStyle name="Input 2 4 4 2 6 3" xfId="22574" xr:uid="{00000000-0005-0000-0000-00000E540000}"/>
    <cellStyle name="Input 2 4 4 2 7" xfId="22575" xr:uid="{00000000-0005-0000-0000-00000F540000}"/>
    <cellStyle name="Input 2 4 4 2 7 2" xfId="22576" xr:uid="{00000000-0005-0000-0000-000010540000}"/>
    <cellStyle name="Input 2 4 4 2 7 3" xfId="22577" xr:uid="{00000000-0005-0000-0000-000011540000}"/>
    <cellStyle name="Input 2 4 4 2 8" xfId="22578" xr:uid="{00000000-0005-0000-0000-000012540000}"/>
    <cellStyle name="Input 2 4 4 2 8 2" xfId="22579" xr:uid="{00000000-0005-0000-0000-000013540000}"/>
    <cellStyle name="Input 2 4 4 2 8 3" xfId="22580" xr:uid="{00000000-0005-0000-0000-000014540000}"/>
    <cellStyle name="Input 2 4 4 2 9" xfId="22581" xr:uid="{00000000-0005-0000-0000-000015540000}"/>
    <cellStyle name="Input 2 4 4 3" xfId="22582" xr:uid="{00000000-0005-0000-0000-000016540000}"/>
    <cellStyle name="Input 2 4 4 3 10" xfId="22583" xr:uid="{00000000-0005-0000-0000-000017540000}"/>
    <cellStyle name="Input 2 4 4 3 2" xfId="22584" xr:uid="{00000000-0005-0000-0000-000018540000}"/>
    <cellStyle name="Input 2 4 4 3 2 2" xfId="22585" xr:uid="{00000000-0005-0000-0000-000019540000}"/>
    <cellStyle name="Input 2 4 4 3 2 2 2" xfId="22586" xr:uid="{00000000-0005-0000-0000-00001A540000}"/>
    <cellStyle name="Input 2 4 4 3 2 2 3" xfId="22587" xr:uid="{00000000-0005-0000-0000-00001B540000}"/>
    <cellStyle name="Input 2 4 4 3 2 3" xfId="22588" xr:uid="{00000000-0005-0000-0000-00001C540000}"/>
    <cellStyle name="Input 2 4 4 3 2 3 2" xfId="22589" xr:uid="{00000000-0005-0000-0000-00001D540000}"/>
    <cellStyle name="Input 2 4 4 3 2 3 3" xfId="22590" xr:uid="{00000000-0005-0000-0000-00001E540000}"/>
    <cellStyle name="Input 2 4 4 3 2 4" xfId="22591" xr:uid="{00000000-0005-0000-0000-00001F540000}"/>
    <cellStyle name="Input 2 4 4 3 2 4 2" xfId="22592" xr:uid="{00000000-0005-0000-0000-000020540000}"/>
    <cellStyle name="Input 2 4 4 3 2 4 3" xfId="22593" xr:uid="{00000000-0005-0000-0000-000021540000}"/>
    <cellStyle name="Input 2 4 4 3 2 5" xfId="22594" xr:uid="{00000000-0005-0000-0000-000022540000}"/>
    <cellStyle name="Input 2 4 4 3 2 5 2" xfId="22595" xr:uid="{00000000-0005-0000-0000-000023540000}"/>
    <cellStyle name="Input 2 4 4 3 2 5 3" xfId="22596" xr:uid="{00000000-0005-0000-0000-000024540000}"/>
    <cellStyle name="Input 2 4 4 3 2 6" xfId="22597" xr:uid="{00000000-0005-0000-0000-000025540000}"/>
    <cellStyle name="Input 2 4 4 3 2 6 2" xfId="22598" xr:uid="{00000000-0005-0000-0000-000026540000}"/>
    <cellStyle name="Input 2 4 4 3 2 6 3" xfId="22599" xr:uid="{00000000-0005-0000-0000-000027540000}"/>
    <cellStyle name="Input 2 4 4 3 2 7" xfId="22600" xr:uid="{00000000-0005-0000-0000-000028540000}"/>
    <cellStyle name="Input 2 4 4 3 2 7 2" xfId="22601" xr:uid="{00000000-0005-0000-0000-000029540000}"/>
    <cellStyle name="Input 2 4 4 3 2 7 3" xfId="22602" xr:uid="{00000000-0005-0000-0000-00002A540000}"/>
    <cellStyle name="Input 2 4 4 3 2 8" xfId="22603" xr:uid="{00000000-0005-0000-0000-00002B540000}"/>
    <cellStyle name="Input 2 4 4 3 2 9" xfId="22604" xr:uid="{00000000-0005-0000-0000-00002C540000}"/>
    <cellStyle name="Input 2 4 4 3 3" xfId="22605" xr:uid="{00000000-0005-0000-0000-00002D540000}"/>
    <cellStyle name="Input 2 4 4 3 3 2" xfId="22606" xr:uid="{00000000-0005-0000-0000-00002E540000}"/>
    <cellStyle name="Input 2 4 4 3 3 3" xfId="22607" xr:uid="{00000000-0005-0000-0000-00002F540000}"/>
    <cellStyle name="Input 2 4 4 3 4" xfId="22608" xr:uid="{00000000-0005-0000-0000-000030540000}"/>
    <cellStyle name="Input 2 4 4 3 4 2" xfId="22609" xr:uid="{00000000-0005-0000-0000-000031540000}"/>
    <cellStyle name="Input 2 4 4 3 4 3" xfId="22610" xr:uid="{00000000-0005-0000-0000-000032540000}"/>
    <cellStyle name="Input 2 4 4 3 5" xfId="22611" xr:uid="{00000000-0005-0000-0000-000033540000}"/>
    <cellStyle name="Input 2 4 4 3 5 2" xfId="22612" xr:uid="{00000000-0005-0000-0000-000034540000}"/>
    <cellStyle name="Input 2 4 4 3 5 3" xfId="22613" xr:uid="{00000000-0005-0000-0000-000035540000}"/>
    <cellStyle name="Input 2 4 4 3 6" xfId="22614" xr:uid="{00000000-0005-0000-0000-000036540000}"/>
    <cellStyle name="Input 2 4 4 3 6 2" xfId="22615" xr:uid="{00000000-0005-0000-0000-000037540000}"/>
    <cellStyle name="Input 2 4 4 3 6 3" xfId="22616" xr:uid="{00000000-0005-0000-0000-000038540000}"/>
    <cellStyle name="Input 2 4 4 3 7" xfId="22617" xr:uid="{00000000-0005-0000-0000-000039540000}"/>
    <cellStyle name="Input 2 4 4 3 7 2" xfId="22618" xr:uid="{00000000-0005-0000-0000-00003A540000}"/>
    <cellStyle name="Input 2 4 4 3 7 3" xfId="22619" xr:uid="{00000000-0005-0000-0000-00003B540000}"/>
    <cellStyle name="Input 2 4 4 3 8" xfId="22620" xr:uid="{00000000-0005-0000-0000-00003C540000}"/>
    <cellStyle name="Input 2 4 4 3 8 2" xfId="22621" xr:uid="{00000000-0005-0000-0000-00003D540000}"/>
    <cellStyle name="Input 2 4 4 3 8 3" xfId="22622" xr:uid="{00000000-0005-0000-0000-00003E540000}"/>
    <cellStyle name="Input 2 4 4 3 9" xfId="22623" xr:uid="{00000000-0005-0000-0000-00003F540000}"/>
    <cellStyle name="Input 2 4 4 4" xfId="22624" xr:uid="{00000000-0005-0000-0000-000040540000}"/>
    <cellStyle name="Input 2 4 4 4 10" xfId="22625" xr:uid="{00000000-0005-0000-0000-000041540000}"/>
    <cellStyle name="Input 2 4 4 4 2" xfId="22626" xr:uid="{00000000-0005-0000-0000-000042540000}"/>
    <cellStyle name="Input 2 4 4 4 2 2" xfId="22627" xr:uid="{00000000-0005-0000-0000-000043540000}"/>
    <cellStyle name="Input 2 4 4 4 2 2 2" xfId="22628" xr:uid="{00000000-0005-0000-0000-000044540000}"/>
    <cellStyle name="Input 2 4 4 4 2 2 3" xfId="22629" xr:uid="{00000000-0005-0000-0000-000045540000}"/>
    <cellStyle name="Input 2 4 4 4 2 3" xfId="22630" xr:uid="{00000000-0005-0000-0000-000046540000}"/>
    <cellStyle name="Input 2 4 4 4 2 3 2" xfId="22631" xr:uid="{00000000-0005-0000-0000-000047540000}"/>
    <cellStyle name="Input 2 4 4 4 2 3 3" xfId="22632" xr:uid="{00000000-0005-0000-0000-000048540000}"/>
    <cellStyle name="Input 2 4 4 4 2 4" xfId="22633" xr:uid="{00000000-0005-0000-0000-000049540000}"/>
    <cellStyle name="Input 2 4 4 4 2 4 2" xfId="22634" xr:uid="{00000000-0005-0000-0000-00004A540000}"/>
    <cellStyle name="Input 2 4 4 4 2 4 3" xfId="22635" xr:uid="{00000000-0005-0000-0000-00004B540000}"/>
    <cellStyle name="Input 2 4 4 4 2 5" xfId="22636" xr:uid="{00000000-0005-0000-0000-00004C540000}"/>
    <cellStyle name="Input 2 4 4 4 2 5 2" xfId="22637" xr:uid="{00000000-0005-0000-0000-00004D540000}"/>
    <cellStyle name="Input 2 4 4 4 2 5 3" xfId="22638" xr:uid="{00000000-0005-0000-0000-00004E540000}"/>
    <cellStyle name="Input 2 4 4 4 2 6" xfId="22639" xr:uid="{00000000-0005-0000-0000-00004F540000}"/>
    <cellStyle name="Input 2 4 4 4 2 6 2" xfId="22640" xr:uid="{00000000-0005-0000-0000-000050540000}"/>
    <cellStyle name="Input 2 4 4 4 2 6 3" xfId="22641" xr:uid="{00000000-0005-0000-0000-000051540000}"/>
    <cellStyle name="Input 2 4 4 4 2 7" xfId="22642" xr:uid="{00000000-0005-0000-0000-000052540000}"/>
    <cellStyle name="Input 2 4 4 4 2 7 2" xfId="22643" xr:uid="{00000000-0005-0000-0000-000053540000}"/>
    <cellStyle name="Input 2 4 4 4 2 7 3" xfId="22644" xr:uid="{00000000-0005-0000-0000-000054540000}"/>
    <cellStyle name="Input 2 4 4 4 2 8" xfId="22645" xr:uid="{00000000-0005-0000-0000-000055540000}"/>
    <cellStyle name="Input 2 4 4 4 2 9" xfId="22646" xr:uid="{00000000-0005-0000-0000-000056540000}"/>
    <cellStyle name="Input 2 4 4 4 3" xfId="22647" xr:uid="{00000000-0005-0000-0000-000057540000}"/>
    <cellStyle name="Input 2 4 4 4 3 2" xfId="22648" xr:uid="{00000000-0005-0000-0000-000058540000}"/>
    <cellStyle name="Input 2 4 4 4 3 3" xfId="22649" xr:uid="{00000000-0005-0000-0000-000059540000}"/>
    <cellStyle name="Input 2 4 4 4 4" xfId="22650" xr:uid="{00000000-0005-0000-0000-00005A540000}"/>
    <cellStyle name="Input 2 4 4 4 4 2" xfId="22651" xr:uid="{00000000-0005-0000-0000-00005B540000}"/>
    <cellStyle name="Input 2 4 4 4 4 3" xfId="22652" xr:uid="{00000000-0005-0000-0000-00005C540000}"/>
    <cellStyle name="Input 2 4 4 4 5" xfId="22653" xr:uid="{00000000-0005-0000-0000-00005D540000}"/>
    <cellStyle name="Input 2 4 4 4 5 2" xfId="22654" xr:uid="{00000000-0005-0000-0000-00005E540000}"/>
    <cellStyle name="Input 2 4 4 4 5 3" xfId="22655" xr:uid="{00000000-0005-0000-0000-00005F540000}"/>
    <cellStyle name="Input 2 4 4 4 6" xfId="22656" xr:uid="{00000000-0005-0000-0000-000060540000}"/>
    <cellStyle name="Input 2 4 4 4 6 2" xfId="22657" xr:uid="{00000000-0005-0000-0000-000061540000}"/>
    <cellStyle name="Input 2 4 4 4 6 3" xfId="22658" xr:uid="{00000000-0005-0000-0000-000062540000}"/>
    <cellStyle name="Input 2 4 4 4 7" xfId="22659" xr:uid="{00000000-0005-0000-0000-000063540000}"/>
    <cellStyle name="Input 2 4 4 4 7 2" xfId="22660" xr:uid="{00000000-0005-0000-0000-000064540000}"/>
    <cellStyle name="Input 2 4 4 4 7 3" xfId="22661" xr:uid="{00000000-0005-0000-0000-000065540000}"/>
    <cellStyle name="Input 2 4 4 4 8" xfId="22662" xr:uid="{00000000-0005-0000-0000-000066540000}"/>
    <cellStyle name="Input 2 4 4 4 8 2" xfId="22663" xr:uid="{00000000-0005-0000-0000-000067540000}"/>
    <cellStyle name="Input 2 4 4 4 8 3" xfId="22664" xr:uid="{00000000-0005-0000-0000-000068540000}"/>
    <cellStyle name="Input 2 4 4 4 9" xfId="22665" xr:uid="{00000000-0005-0000-0000-000069540000}"/>
    <cellStyle name="Input 2 4 4 5" xfId="22666" xr:uid="{00000000-0005-0000-0000-00006A540000}"/>
    <cellStyle name="Input 2 4 4 5 2" xfId="22667" xr:uid="{00000000-0005-0000-0000-00006B540000}"/>
    <cellStyle name="Input 2 4 4 5 2 2" xfId="22668" xr:uid="{00000000-0005-0000-0000-00006C540000}"/>
    <cellStyle name="Input 2 4 4 5 2 3" xfId="22669" xr:uid="{00000000-0005-0000-0000-00006D540000}"/>
    <cellStyle name="Input 2 4 4 5 3" xfId="22670" xr:uid="{00000000-0005-0000-0000-00006E540000}"/>
    <cellStyle name="Input 2 4 4 5 3 2" xfId="22671" xr:uid="{00000000-0005-0000-0000-00006F540000}"/>
    <cellStyle name="Input 2 4 4 5 3 3" xfId="22672" xr:uid="{00000000-0005-0000-0000-000070540000}"/>
    <cellStyle name="Input 2 4 4 5 4" xfId="22673" xr:uid="{00000000-0005-0000-0000-000071540000}"/>
    <cellStyle name="Input 2 4 4 5 4 2" xfId="22674" xr:uid="{00000000-0005-0000-0000-000072540000}"/>
    <cellStyle name="Input 2 4 4 5 4 3" xfId="22675" xr:uid="{00000000-0005-0000-0000-000073540000}"/>
    <cellStyle name="Input 2 4 4 5 5" xfId="22676" xr:uid="{00000000-0005-0000-0000-000074540000}"/>
    <cellStyle name="Input 2 4 4 5 5 2" xfId="22677" xr:uid="{00000000-0005-0000-0000-000075540000}"/>
    <cellStyle name="Input 2 4 4 5 5 3" xfId="22678" xr:uid="{00000000-0005-0000-0000-000076540000}"/>
    <cellStyle name="Input 2 4 4 5 6" xfId="22679" xr:uid="{00000000-0005-0000-0000-000077540000}"/>
    <cellStyle name="Input 2 4 4 5 6 2" xfId="22680" xr:uid="{00000000-0005-0000-0000-000078540000}"/>
    <cellStyle name="Input 2 4 4 5 6 3" xfId="22681" xr:uid="{00000000-0005-0000-0000-000079540000}"/>
    <cellStyle name="Input 2 4 4 5 7" xfId="22682" xr:uid="{00000000-0005-0000-0000-00007A540000}"/>
    <cellStyle name="Input 2 4 4 5 7 2" xfId="22683" xr:uid="{00000000-0005-0000-0000-00007B540000}"/>
    <cellStyle name="Input 2 4 4 5 7 3" xfId="22684" xr:uid="{00000000-0005-0000-0000-00007C540000}"/>
    <cellStyle name="Input 2 4 4 5 8" xfId="22685" xr:uid="{00000000-0005-0000-0000-00007D540000}"/>
    <cellStyle name="Input 2 4 4 5 9" xfId="22686" xr:uid="{00000000-0005-0000-0000-00007E540000}"/>
    <cellStyle name="Input 2 4 4 6" xfId="22687" xr:uid="{00000000-0005-0000-0000-00007F540000}"/>
    <cellStyle name="Input 2 4 4 6 2" xfId="22688" xr:uid="{00000000-0005-0000-0000-000080540000}"/>
    <cellStyle name="Input 2 4 4 6 3" xfId="22689" xr:uid="{00000000-0005-0000-0000-000081540000}"/>
    <cellStyle name="Input 2 4 4 7" xfId="22690" xr:uid="{00000000-0005-0000-0000-000082540000}"/>
    <cellStyle name="Input 2 4 4 7 2" xfId="22691" xr:uid="{00000000-0005-0000-0000-000083540000}"/>
    <cellStyle name="Input 2 4 4 7 3" xfId="22692" xr:uid="{00000000-0005-0000-0000-000084540000}"/>
    <cellStyle name="Input 2 4 4 8" xfId="22693" xr:uid="{00000000-0005-0000-0000-000085540000}"/>
    <cellStyle name="Input 2 4 4 8 2" xfId="22694" xr:uid="{00000000-0005-0000-0000-000086540000}"/>
    <cellStyle name="Input 2 4 4 8 3" xfId="22695" xr:uid="{00000000-0005-0000-0000-000087540000}"/>
    <cellStyle name="Input 2 4 4 9" xfId="22696" xr:uid="{00000000-0005-0000-0000-000088540000}"/>
    <cellStyle name="Input 2 4 4 9 2" xfId="22697" xr:uid="{00000000-0005-0000-0000-000089540000}"/>
    <cellStyle name="Input 2 4 4 9 3" xfId="22698" xr:uid="{00000000-0005-0000-0000-00008A540000}"/>
    <cellStyle name="Input 2 4 5" xfId="22699" xr:uid="{00000000-0005-0000-0000-00008B540000}"/>
    <cellStyle name="Input 2 4 5 10" xfId="44076" xr:uid="{00000000-0005-0000-0000-00008C540000}"/>
    <cellStyle name="Input 2 4 5 2" xfId="22700" xr:uid="{00000000-0005-0000-0000-00008D540000}"/>
    <cellStyle name="Input 2 4 5 2 10" xfId="22701" xr:uid="{00000000-0005-0000-0000-00008E540000}"/>
    <cellStyle name="Input 2 4 5 2 2" xfId="22702" xr:uid="{00000000-0005-0000-0000-00008F540000}"/>
    <cellStyle name="Input 2 4 5 2 2 2" xfId="22703" xr:uid="{00000000-0005-0000-0000-000090540000}"/>
    <cellStyle name="Input 2 4 5 2 2 2 2" xfId="22704" xr:uid="{00000000-0005-0000-0000-000091540000}"/>
    <cellStyle name="Input 2 4 5 2 2 2 3" xfId="22705" xr:uid="{00000000-0005-0000-0000-000092540000}"/>
    <cellStyle name="Input 2 4 5 2 2 3" xfId="22706" xr:uid="{00000000-0005-0000-0000-000093540000}"/>
    <cellStyle name="Input 2 4 5 2 2 3 2" xfId="22707" xr:uid="{00000000-0005-0000-0000-000094540000}"/>
    <cellStyle name="Input 2 4 5 2 2 3 3" xfId="22708" xr:uid="{00000000-0005-0000-0000-000095540000}"/>
    <cellStyle name="Input 2 4 5 2 2 4" xfId="22709" xr:uid="{00000000-0005-0000-0000-000096540000}"/>
    <cellStyle name="Input 2 4 5 2 2 4 2" xfId="22710" xr:uid="{00000000-0005-0000-0000-000097540000}"/>
    <cellStyle name="Input 2 4 5 2 2 4 3" xfId="22711" xr:uid="{00000000-0005-0000-0000-000098540000}"/>
    <cellStyle name="Input 2 4 5 2 2 5" xfId="22712" xr:uid="{00000000-0005-0000-0000-000099540000}"/>
    <cellStyle name="Input 2 4 5 2 2 5 2" xfId="22713" xr:uid="{00000000-0005-0000-0000-00009A540000}"/>
    <cellStyle name="Input 2 4 5 2 2 5 3" xfId="22714" xr:uid="{00000000-0005-0000-0000-00009B540000}"/>
    <cellStyle name="Input 2 4 5 2 2 6" xfId="22715" xr:uid="{00000000-0005-0000-0000-00009C540000}"/>
    <cellStyle name="Input 2 4 5 2 2 6 2" xfId="22716" xr:uid="{00000000-0005-0000-0000-00009D540000}"/>
    <cellStyle name="Input 2 4 5 2 2 6 3" xfId="22717" xr:uid="{00000000-0005-0000-0000-00009E540000}"/>
    <cellStyle name="Input 2 4 5 2 2 7" xfId="22718" xr:uid="{00000000-0005-0000-0000-00009F540000}"/>
    <cellStyle name="Input 2 4 5 2 2 7 2" xfId="22719" xr:uid="{00000000-0005-0000-0000-0000A0540000}"/>
    <cellStyle name="Input 2 4 5 2 2 7 3" xfId="22720" xr:uid="{00000000-0005-0000-0000-0000A1540000}"/>
    <cellStyle name="Input 2 4 5 2 2 8" xfId="22721" xr:uid="{00000000-0005-0000-0000-0000A2540000}"/>
    <cellStyle name="Input 2 4 5 2 2 9" xfId="22722" xr:uid="{00000000-0005-0000-0000-0000A3540000}"/>
    <cellStyle name="Input 2 4 5 2 3" xfId="22723" xr:uid="{00000000-0005-0000-0000-0000A4540000}"/>
    <cellStyle name="Input 2 4 5 2 3 2" xfId="22724" xr:uid="{00000000-0005-0000-0000-0000A5540000}"/>
    <cellStyle name="Input 2 4 5 2 3 3" xfId="22725" xr:uid="{00000000-0005-0000-0000-0000A6540000}"/>
    <cellStyle name="Input 2 4 5 2 4" xfId="22726" xr:uid="{00000000-0005-0000-0000-0000A7540000}"/>
    <cellStyle name="Input 2 4 5 2 4 2" xfId="22727" xr:uid="{00000000-0005-0000-0000-0000A8540000}"/>
    <cellStyle name="Input 2 4 5 2 4 3" xfId="22728" xr:uid="{00000000-0005-0000-0000-0000A9540000}"/>
    <cellStyle name="Input 2 4 5 2 5" xfId="22729" xr:uid="{00000000-0005-0000-0000-0000AA540000}"/>
    <cellStyle name="Input 2 4 5 2 5 2" xfId="22730" xr:uid="{00000000-0005-0000-0000-0000AB540000}"/>
    <cellStyle name="Input 2 4 5 2 5 3" xfId="22731" xr:uid="{00000000-0005-0000-0000-0000AC540000}"/>
    <cellStyle name="Input 2 4 5 2 6" xfId="22732" xr:uid="{00000000-0005-0000-0000-0000AD540000}"/>
    <cellStyle name="Input 2 4 5 2 6 2" xfId="22733" xr:uid="{00000000-0005-0000-0000-0000AE540000}"/>
    <cellStyle name="Input 2 4 5 2 6 3" xfId="22734" xr:uid="{00000000-0005-0000-0000-0000AF540000}"/>
    <cellStyle name="Input 2 4 5 2 7" xfId="22735" xr:uid="{00000000-0005-0000-0000-0000B0540000}"/>
    <cellStyle name="Input 2 4 5 2 7 2" xfId="22736" xr:uid="{00000000-0005-0000-0000-0000B1540000}"/>
    <cellStyle name="Input 2 4 5 2 7 3" xfId="22737" xr:uid="{00000000-0005-0000-0000-0000B2540000}"/>
    <cellStyle name="Input 2 4 5 2 8" xfId="22738" xr:uid="{00000000-0005-0000-0000-0000B3540000}"/>
    <cellStyle name="Input 2 4 5 2 8 2" xfId="22739" xr:uid="{00000000-0005-0000-0000-0000B4540000}"/>
    <cellStyle name="Input 2 4 5 2 8 3" xfId="22740" xr:uid="{00000000-0005-0000-0000-0000B5540000}"/>
    <cellStyle name="Input 2 4 5 2 9" xfId="22741" xr:uid="{00000000-0005-0000-0000-0000B6540000}"/>
    <cellStyle name="Input 2 4 5 3" xfId="22742" xr:uid="{00000000-0005-0000-0000-0000B7540000}"/>
    <cellStyle name="Input 2 4 5 3 10" xfId="22743" xr:uid="{00000000-0005-0000-0000-0000B8540000}"/>
    <cellStyle name="Input 2 4 5 3 2" xfId="22744" xr:uid="{00000000-0005-0000-0000-0000B9540000}"/>
    <cellStyle name="Input 2 4 5 3 2 2" xfId="22745" xr:uid="{00000000-0005-0000-0000-0000BA540000}"/>
    <cellStyle name="Input 2 4 5 3 2 2 2" xfId="22746" xr:uid="{00000000-0005-0000-0000-0000BB540000}"/>
    <cellStyle name="Input 2 4 5 3 2 2 3" xfId="22747" xr:uid="{00000000-0005-0000-0000-0000BC540000}"/>
    <cellStyle name="Input 2 4 5 3 2 3" xfId="22748" xr:uid="{00000000-0005-0000-0000-0000BD540000}"/>
    <cellStyle name="Input 2 4 5 3 2 3 2" xfId="22749" xr:uid="{00000000-0005-0000-0000-0000BE540000}"/>
    <cellStyle name="Input 2 4 5 3 2 3 3" xfId="22750" xr:uid="{00000000-0005-0000-0000-0000BF540000}"/>
    <cellStyle name="Input 2 4 5 3 2 4" xfId="22751" xr:uid="{00000000-0005-0000-0000-0000C0540000}"/>
    <cellStyle name="Input 2 4 5 3 2 4 2" xfId="22752" xr:uid="{00000000-0005-0000-0000-0000C1540000}"/>
    <cellStyle name="Input 2 4 5 3 2 4 3" xfId="22753" xr:uid="{00000000-0005-0000-0000-0000C2540000}"/>
    <cellStyle name="Input 2 4 5 3 2 5" xfId="22754" xr:uid="{00000000-0005-0000-0000-0000C3540000}"/>
    <cellStyle name="Input 2 4 5 3 2 5 2" xfId="22755" xr:uid="{00000000-0005-0000-0000-0000C4540000}"/>
    <cellStyle name="Input 2 4 5 3 2 5 3" xfId="22756" xr:uid="{00000000-0005-0000-0000-0000C5540000}"/>
    <cellStyle name="Input 2 4 5 3 2 6" xfId="22757" xr:uid="{00000000-0005-0000-0000-0000C6540000}"/>
    <cellStyle name="Input 2 4 5 3 2 6 2" xfId="22758" xr:uid="{00000000-0005-0000-0000-0000C7540000}"/>
    <cellStyle name="Input 2 4 5 3 2 6 3" xfId="22759" xr:uid="{00000000-0005-0000-0000-0000C8540000}"/>
    <cellStyle name="Input 2 4 5 3 2 7" xfId="22760" xr:uid="{00000000-0005-0000-0000-0000C9540000}"/>
    <cellStyle name="Input 2 4 5 3 2 7 2" xfId="22761" xr:uid="{00000000-0005-0000-0000-0000CA540000}"/>
    <cellStyle name="Input 2 4 5 3 2 7 3" xfId="22762" xr:uid="{00000000-0005-0000-0000-0000CB540000}"/>
    <cellStyle name="Input 2 4 5 3 2 8" xfId="22763" xr:uid="{00000000-0005-0000-0000-0000CC540000}"/>
    <cellStyle name="Input 2 4 5 3 2 9" xfId="22764" xr:uid="{00000000-0005-0000-0000-0000CD540000}"/>
    <cellStyle name="Input 2 4 5 3 3" xfId="22765" xr:uid="{00000000-0005-0000-0000-0000CE540000}"/>
    <cellStyle name="Input 2 4 5 3 3 2" xfId="22766" xr:uid="{00000000-0005-0000-0000-0000CF540000}"/>
    <cellStyle name="Input 2 4 5 3 3 3" xfId="22767" xr:uid="{00000000-0005-0000-0000-0000D0540000}"/>
    <cellStyle name="Input 2 4 5 3 4" xfId="22768" xr:uid="{00000000-0005-0000-0000-0000D1540000}"/>
    <cellStyle name="Input 2 4 5 3 4 2" xfId="22769" xr:uid="{00000000-0005-0000-0000-0000D2540000}"/>
    <cellStyle name="Input 2 4 5 3 4 3" xfId="22770" xr:uid="{00000000-0005-0000-0000-0000D3540000}"/>
    <cellStyle name="Input 2 4 5 3 5" xfId="22771" xr:uid="{00000000-0005-0000-0000-0000D4540000}"/>
    <cellStyle name="Input 2 4 5 3 5 2" xfId="22772" xr:uid="{00000000-0005-0000-0000-0000D5540000}"/>
    <cellStyle name="Input 2 4 5 3 5 3" xfId="22773" xr:uid="{00000000-0005-0000-0000-0000D6540000}"/>
    <cellStyle name="Input 2 4 5 3 6" xfId="22774" xr:uid="{00000000-0005-0000-0000-0000D7540000}"/>
    <cellStyle name="Input 2 4 5 3 6 2" xfId="22775" xr:uid="{00000000-0005-0000-0000-0000D8540000}"/>
    <cellStyle name="Input 2 4 5 3 6 3" xfId="22776" xr:uid="{00000000-0005-0000-0000-0000D9540000}"/>
    <cellStyle name="Input 2 4 5 3 7" xfId="22777" xr:uid="{00000000-0005-0000-0000-0000DA540000}"/>
    <cellStyle name="Input 2 4 5 3 7 2" xfId="22778" xr:uid="{00000000-0005-0000-0000-0000DB540000}"/>
    <cellStyle name="Input 2 4 5 3 7 3" xfId="22779" xr:uid="{00000000-0005-0000-0000-0000DC540000}"/>
    <cellStyle name="Input 2 4 5 3 8" xfId="22780" xr:uid="{00000000-0005-0000-0000-0000DD540000}"/>
    <cellStyle name="Input 2 4 5 3 8 2" xfId="22781" xr:uid="{00000000-0005-0000-0000-0000DE540000}"/>
    <cellStyle name="Input 2 4 5 3 8 3" xfId="22782" xr:uid="{00000000-0005-0000-0000-0000DF540000}"/>
    <cellStyle name="Input 2 4 5 3 9" xfId="22783" xr:uid="{00000000-0005-0000-0000-0000E0540000}"/>
    <cellStyle name="Input 2 4 5 4" xfId="22784" xr:uid="{00000000-0005-0000-0000-0000E1540000}"/>
    <cellStyle name="Input 2 4 5 4 10" xfId="22785" xr:uid="{00000000-0005-0000-0000-0000E2540000}"/>
    <cellStyle name="Input 2 4 5 4 2" xfId="22786" xr:uid="{00000000-0005-0000-0000-0000E3540000}"/>
    <cellStyle name="Input 2 4 5 4 2 2" xfId="22787" xr:uid="{00000000-0005-0000-0000-0000E4540000}"/>
    <cellStyle name="Input 2 4 5 4 2 2 2" xfId="22788" xr:uid="{00000000-0005-0000-0000-0000E5540000}"/>
    <cellStyle name="Input 2 4 5 4 2 2 3" xfId="22789" xr:uid="{00000000-0005-0000-0000-0000E6540000}"/>
    <cellStyle name="Input 2 4 5 4 2 3" xfId="22790" xr:uid="{00000000-0005-0000-0000-0000E7540000}"/>
    <cellStyle name="Input 2 4 5 4 2 3 2" xfId="22791" xr:uid="{00000000-0005-0000-0000-0000E8540000}"/>
    <cellStyle name="Input 2 4 5 4 2 3 3" xfId="22792" xr:uid="{00000000-0005-0000-0000-0000E9540000}"/>
    <cellStyle name="Input 2 4 5 4 2 4" xfId="22793" xr:uid="{00000000-0005-0000-0000-0000EA540000}"/>
    <cellStyle name="Input 2 4 5 4 2 4 2" xfId="22794" xr:uid="{00000000-0005-0000-0000-0000EB540000}"/>
    <cellStyle name="Input 2 4 5 4 2 4 3" xfId="22795" xr:uid="{00000000-0005-0000-0000-0000EC540000}"/>
    <cellStyle name="Input 2 4 5 4 2 5" xfId="22796" xr:uid="{00000000-0005-0000-0000-0000ED540000}"/>
    <cellStyle name="Input 2 4 5 4 2 5 2" xfId="22797" xr:uid="{00000000-0005-0000-0000-0000EE540000}"/>
    <cellStyle name="Input 2 4 5 4 2 5 3" xfId="22798" xr:uid="{00000000-0005-0000-0000-0000EF540000}"/>
    <cellStyle name="Input 2 4 5 4 2 6" xfId="22799" xr:uid="{00000000-0005-0000-0000-0000F0540000}"/>
    <cellStyle name="Input 2 4 5 4 2 6 2" xfId="22800" xr:uid="{00000000-0005-0000-0000-0000F1540000}"/>
    <cellStyle name="Input 2 4 5 4 2 6 3" xfId="22801" xr:uid="{00000000-0005-0000-0000-0000F2540000}"/>
    <cellStyle name="Input 2 4 5 4 2 7" xfId="22802" xr:uid="{00000000-0005-0000-0000-0000F3540000}"/>
    <cellStyle name="Input 2 4 5 4 2 7 2" xfId="22803" xr:uid="{00000000-0005-0000-0000-0000F4540000}"/>
    <cellStyle name="Input 2 4 5 4 2 7 3" xfId="22804" xr:uid="{00000000-0005-0000-0000-0000F5540000}"/>
    <cellStyle name="Input 2 4 5 4 2 8" xfId="22805" xr:uid="{00000000-0005-0000-0000-0000F6540000}"/>
    <cellStyle name="Input 2 4 5 4 2 9" xfId="22806" xr:uid="{00000000-0005-0000-0000-0000F7540000}"/>
    <cellStyle name="Input 2 4 5 4 3" xfId="22807" xr:uid="{00000000-0005-0000-0000-0000F8540000}"/>
    <cellStyle name="Input 2 4 5 4 3 2" xfId="22808" xr:uid="{00000000-0005-0000-0000-0000F9540000}"/>
    <cellStyle name="Input 2 4 5 4 3 3" xfId="22809" xr:uid="{00000000-0005-0000-0000-0000FA540000}"/>
    <cellStyle name="Input 2 4 5 4 4" xfId="22810" xr:uid="{00000000-0005-0000-0000-0000FB540000}"/>
    <cellStyle name="Input 2 4 5 4 4 2" xfId="22811" xr:uid="{00000000-0005-0000-0000-0000FC540000}"/>
    <cellStyle name="Input 2 4 5 4 4 3" xfId="22812" xr:uid="{00000000-0005-0000-0000-0000FD540000}"/>
    <cellStyle name="Input 2 4 5 4 5" xfId="22813" xr:uid="{00000000-0005-0000-0000-0000FE540000}"/>
    <cellStyle name="Input 2 4 5 4 5 2" xfId="22814" xr:uid="{00000000-0005-0000-0000-0000FF540000}"/>
    <cellStyle name="Input 2 4 5 4 5 3" xfId="22815" xr:uid="{00000000-0005-0000-0000-000000550000}"/>
    <cellStyle name="Input 2 4 5 4 6" xfId="22816" xr:uid="{00000000-0005-0000-0000-000001550000}"/>
    <cellStyle name="Input 2 4 5 4 6 2" xfId="22817" xr:uid="{00000000-0005-0000-0000-000002550000}"/>
    <cellStyle name="Input 2 4 5 4 6 3" xfId="22818" xr:uid="{00000000-0005-0000-0000-000003550000}"/>
    <cellStyle name="Input 2 4 5 4 7" xfId="22819" xr:uid="{00000000-0005-0000-0000-000004550000}"/>
    <cellStyle name="Input 2 4 5 4 7 2" xfId="22820" xr:uid="{00000000-0005-0000-0000-000005550000}"/>
    <cellStyle name="Input 2 4 5 4 7 3" xfId="22821" xr:uid="{00000000-0005-0000-0000-000006550000}"/>
    <cellStyle name="Input 2 4 5 4 8" xfId="22822" xr:uid="{00000000-0005-0000-0000-000007550000}"/>
    <cellStyle name="Input 2 4 5 4 8 2" xfId="22823" xr:uid="{00000000-0005-0000-0000-000008550000}"/>
    <cellStyle name="Input 2 4 5 4 8 3" xfId="22824" xr:uid="{00000000-0005-0000-0000-000009550000}"/>
    <cellStyle name="Input 2 4 5 4 9" xfId="22825" xr:uid="{00000000-0005-0000-0000-00000A550000}"/>
    <cellStyle name="Input 2 4 5 5" xfId="22826" xr:uid="{00000000-0005-0000-0000-00000B550000}"/>
    <cellStyle name="Input 2 4 5 5 2" xfId="22827" xr:uid="{00000000-0005-0000-0000-00000C550000}"/>
    <cellStyle name="Input 2 4 5 5 2 2" xfId="22828" xr:uid="{00000000-0005-0000-0000-00000D550000}"/>
    <cellStyle name="Input 2 4 5 5 2 3" xfId="22829" xr:uid="{00000000-0005-0000-0000-00000E550000}"/>
    <cellStyle name="Input 2 4 5 5 3" xfId="22830" xr:uid="{00000000-0005-0000-0000-00000F550000}"/>
    <cellStyle name="Input 2 4 5 5 3 2" xfId="22831" xr:uid="{00000000-0005-0000-0000-000010550000}"/>
    <cellStyle name="Input 2 4 5 5 3 3" xfId="22832" xr:uid="{00000000-0005-0000-0000-000011550000}"/>
    <cellStyle name="Input 2 4 5 5 4" xfId="22833" xr:uid="{00000000-0005-0000-0000-000012550000}"/>
    <cellStyle name="Input 2 4 5 5 4 2" xfId="22834" xr:uid="{00000000-0005-0000-0000-000013550000}"/>
    <cellStyle name="Input 2 4 5 5 4 3" xfId="22835" xr:uid="{00000000-0005-0000-0000-000014550000}"/>
    <cellStyle name="Input 2 4 5 5 5" xfId="22836" xr:uid="{00000000-0005-0000-0000-000015550000}"/>
    <cellStyle name="Input 2 4 5 5 5 2" xfId="22837" xr:uid="{00000000-0005-0000-0000-000016550000}"/>
    <cellStyle name="Input 2 4 5 5 5 3" xfId="22838" xr:uid="{00000000-0005-0000-0000-000017550000}"/>
    <cellStyle name="Input 2 4 5 5 6" xfId="22839" xr:uid="{00000000-0005-0000-0000-000018550000}"/>
    <cellStyle name="Input 2 4 5 5 6 2" xfId="22840" xr:uid="{00000000-0005-0000-0000-000019550000}"/>
    <cellStyle name="Input 2 4 5 5 6 3" xfId="22841" xr:uid="{00000000-0005-0000-0000-00001A550000}"/>
    <cellStyle name="Input 2 4 5 5 7" xfId="22842" xr:uid="{00000000-0005-0000-0000-00001B550000}"/>
    <cellStyle name="Input 2 4 5 5 7 2" xfId="22843" xr:uid="{00000000-0005-0000-0000-00001C550000}"/>
    <cellStyle name="Input 2 4 5 5 7 3" xfId="22844" xr:uid="{00000000-0005-0000-0000-00001D550000}"/>
    <cellStyle name="Input 2 4 5 5 8" xfId="22845" xr:uid="{00000000-0005-0000-0000-00001E550000}"/>
    <cellStyle name="Input 2 4 5 5 9" xfId="22846" xr:uid="{00000000-0005-0000-0000-00001F550000}"/>
    <cellStyle name="Input 2 4 5 6" xfId="22847" xr:uid="{00000000-0005-0000-0000-000020550000}"/>
    <cellStyle name="Input 2 4 5 6 2" xfId="22848" xr:uid="{00000000-0005-0000-0000-000021550000}"/>
    <cellStyle name="Input 2 4 5 6 3" xfId="22849" xr:uid="{00000000-0005-0000-0000-000022550000}"/>
    <cellStyle name="Input 2 4 5 7" xfId="22850" xr:uid="{00000000-0005-0000-0000-000023550000}"/>
    <cellStyle name="Input 2 4 5 7 2" xfId="22851" xr:uid="{00000000-0005-0000-0000-000024550000}"/>
    <cellStyle name="Input 2 4 5 7 3" xfId="22852" xr:uid="{00000000-0005-0000-0000-000025550000}"/>
    <cellStyle name="Input 2 4 5 8" xfId="22853" xr:uid="{00000000-0005-0000-0000-000026550000}"/>
    <cellStyle name="Input 2 4 5 8 2" xfId="22854" xr:uid="{00000000-0005-0000-0000-000027550000}"/>
    <cellStyle name="Input 2 4 5 8 3" xfId="22855" xr:uid="{00000000-0005-0000-0000-000028550000}"/>
    <cellStyle name="Input 2 4 5 9" xfId="22856" xr:uid="{00000000-0005-0000-0000-000029550000}"/>
    <cellStyle name="Input 2 4 5 9 2" xfId="22857" xr:uid="{00000000-0005-0000-0000-00002A550000}"/>
    <cellStyle name="Input 2 4 5 9 3" xfId="22858" xr:uid="{00000000-0005-0000-0000-00002B550000}"/>
    <cellStyle name="Input 2 4 6" xfId="22859" xr:uid="{00000000-0005-0000-0000-00002C550000}"/>
    <cellStyle name="Input 2 4 6 10" xfId="22860" xr:uid="{00000000-0005-0000-0000-00002D550000}"/>
    <cellStyle name="Input 2 4 6 2" xfId="22861" xr:uid="{00000000-0005-0000-0000-00002E550000}"/>
    <cellStyle name="Input 2 4 6 2 2" xfId="22862" xr:uid="{00000000-0005-0000-0000-00002F550000}"/>
    <cellStyle name="Input 2 4 6 2 2 2" xfId="22863" xr:uid="{00000000-0005-0000-0000-000030550000}"/>
    <cellStyle name="Input 2 4 6 2 2 3" xfId="22864" xr:uid="{00000000-0005-0000-0000-000031550000}"/>
    <cellStyle name="Input 2 4 6 2 3" xfId="22865" xr:uid="{00000000-0005-0000-0000-000032550000}"/>
    <cellStyle name="Input 2 4 6 2 3 2" xfId="22866" xr:uid="{00000000-0005-0000-0000-000033550000}"/>
    <cellStyle name="Input 2 4 6 2 3 3" xfId="22867" xr:uid="{00000000-0005-0000-0000-000034550000}"/>
    <cellStyle name="Input 2 4 6 2 4" xfId="22868" xr:uid="{00000000-0005-0000-0000-000035550000}"/>
    <cellStyle name="Input 2 4 6 2 4 2" xfId="22869" xr:uid="{00000000-0005-0000-0000-000036550000}"/>
    <cellStyle name="Input 2 4 6 2 4 3" xfId="22870" xr:uid="{00000000-0005-0000-0000-000037550000}"/>
    <cellStyle name="Input 2 4 6 2 5" xfId="22871" xr:uid="{00000000-0005-0000-0000-000038550000}"/>
    <cellStyle name="Input 2 4 6 2 5 2" xfId="22872" xr:uid="{00000000-0005-0000-0000-000039550000}"/>
    <cellStyle name="Input 2 4 6 2 5 3" xfId="22873" xr:uid="{00000000-0005-0000-0000-00003A550000}"/>
    <cellStyle name="Input 2 4 6 2 6" xfId="22874" xr:uid="{00000000-0005-0000-0000-00003B550000}"/>
    <cellStyle name="Input 2 4 6 2 6 2" xfId="22875" xr:uid="{00000000-0005-0000-0000-00003C550000}"/>
    <cellStyle name="Input 2 4 6 2 6 3" xfId="22876" xr:uid="{00000000-0005-0000-0000-00003D550000}"/>
    <cellStyle name="Input 2 4 6 2 7" xfId="22877" xr:uid="{00000000-0005-0000-0000-00003E550000}"/>
    <cellStyle name="Input 2 4 6 2 7 2" xfId="22878" xr:uid="{00000000-0005-0000-0000-00003F550000}"/>
    <cellStyle name="Input 2 4 6 2 7 3" xfId="22879" xr:uid="{00000000-0005-0000-0000-000040550000}"/>
    <cellStyle name="Input 2 4 6 2 8" xfId="22880" xr:uid="{00000000-0005-0000-0000-000041550000}"/>
    <cellStyle name="Input 2 4 6 2 9" xfId="22881" xr:uid="{00000000-0005-0000-0000-000042550000}"/>
    <cellStyle name="Input 2 4 6 3" xfId="22882" xr:uid="{00000000-0005-0000-0000-000043550000}"/>
    <cellStyle name="Input 2 4 6 3 2" xfId="22883" xr:uid="{00000000-0005-0000-0000-000044550000}"/>
    <cellStyle name="Input 2 4 6 3 3" xfId="22884" xr:uid="{00000000-0005-0000-0000-000045550000}"/>
    <cellStyle name="Input 2 4 6 4" xfId="22885" xr:uid="{00000000-0005-0000-0000-000046550000}"/>
    <cellStyle name="Input 2 4 6 4 2" xfId="22886" xr:uid="{00000000-0005-0000-0000-000047550000}"/>
    <cellStyle name="Input 2 4 6 4 3" xfId="22887" xr:uid="{00000000-0005-0000-0000-000048550000}"/>
    <cellStyle name="Input 2 4 6 5" xfId="22888" xr:uid="{00000000-0005-0000-0000-000049550000}"/>
    <cellStyle name="Input 2 4 6 5 2" xfId="22889" xr:uid="{00000000-0005-0000-0000-00004A550000}"/>
    <cellStyle name="Input 2 4 6 5 3" xfId="22890" xr:uid="{00000000-0005-0000-0000-00004B550000}"/>
    <cellStyle name="Input 2 4 6 6" xfId="22891" xr:uid="{00000000-0005-0000-0000-00004C550000}"/>
    <cellStyle name="Input 2 4 6 6 2" xfId="22892" xr:uid="{00000000-0005-0000-0000-00004D550000}"/>
    <cellStyle name="Input 2 4 6 6 3" xfId="22893" xr:uid="{00000000-0005-0000-0000-00004E550000}"/>
    <cellStyle name="Input 2 4 6 7" xfId="22894" xr:uid="{00000000-0005-0000-0000-00004F550000}"/>
    <cellStyle name="Input 2 4 6 7 2" xfId="22895" xr:uid="{00000000-0005-0000-0000-000050550000}"/>
    <cellStyle name="Input 2 4 6 7 3" xfId="22896" xr:uid="{00000000-0005-0000-0000-000051550000}"/>
    <cellStyle name="Input 2 4 6 8" xfId="22897" xr:uid="{00000000-0005-0000-0000-000052550000}"/>
    <cellStyle name="Input 2 4 6 8 2" xfId="22898" xr:uid="{00000000-0005-0000-0000-000053550000}"/>
    <cellStyle name="Input 2 4 6 8 3" xfId="22899" xr:uid="{00000000-0005-0000-0000-000054550000}"/>
    <cellStyle name="Input 2 4 6 9" xfId="22900" xr:uid="{00000000-0005-0000-0000-000055550000}"/>
    <cellStyle name="Input 2 4 7" xfId="22901" xr:uid="{00000000-0005-0000-0000-000056550000}"/>
    <cellStyle name="Input 2 4 7 10" xfId="22902" xr:uid="{00000000-0005-0000-0000-000057550000}"/>
    <cellStyle name="Input 2 4 7 2" xfId="22903" xr:uid="{00000000-0005-0000-0000-000058550000}"/>
    <cellStyle name="Input 2 4 7 2 2" xfId="22904" xr:uid="{00000000-0005-0000-0000-000059550000}"/>
    <cellStyle name="Input 2 4 7 2 2 2" xfId="22905" xr:uid="{00000000-0005-0000-0000-00005A550000}"/>
    <cellStyle name="Input 2 4 7 2 2 3" xfId="22906" xr:uid="{00000000-0005-0000-0000-00005B550000}"/>
    <cellStyle name="Input 2 4 7 2 3" xfId="22907" xr:uid="{00000000-0005-0000-0000-00005C550000}"/>
    <cellStyle name="Input 2 4 7 2 3 2" xfId="22908" xr:uid="{00000000-0005-0000-0000-00005D550000}"/>
    <cellStyle name="Input 2 4 7 2 3 3" xfId="22909" xr:uid="{00000000-0005-0000-0000-00005E550000}"/>
    <cellStyle name="Input 2 4 7 2 4" xfId="22910" xr:uid="{00000000-0005-0000-0000-00005F550000}"/>
    <cellStyle name="Input 2 4 7 2 4 2" xfId="22911" xr:uid="{00000000-0005-0000-0000-000060550000}"/>
    <cellStyle name="Input 2 4 7 2 4 3" xfId="22912" xr:uid="{00000000-0005-0000-0000-000061550000}"/>
    <cellStyle name="Input 2 4 7 2 5" xfId="22913" xr:uid="{00000000-0005-0000-0000-000062550000}"/>
    <cellStyle name="Input 2 4 7 2 5 2" xfId="22914" xr:uid="{00000000-0005-0000-0000-000063550000}"/>
    <cellStyle name="Input 2 4 7 2 5 3" xfId="22915" xr:uid="{00000000-0005-0000-0000-000064550000}"/>
    <cellStyle name="Input 2 4 7 2 6" xfId="22916" xr:uid="{00000000-0005-0000-0000-000065550000}"/>
    <cellStyle name="Input 2 4 7 2 6 2" xfId="22917" xr:uid="{00000000-0005-0000-0000-000066550000}"/>
    <cellStyle name="Input 2 4 7 2 6 3" xfId="22918" xr:uid="{00000000-0005-0000-0000-000067550000}"/>
    <cellStyle name="Input 2 4 7 2 7" xfId="22919" xr:uid="{00000000-0005-0000-0000-000068550000}"/>
    <cellStyle name="Input 2 4 7 2 7 2" xfId="22920" xr:uid="{00000000-0005-0000-0000-000069550000}"/>
    <cellStyle name="Input 2 4 7 2 7 3" xfId="22921" xr:uid="{00000000-0005-0000-0000-00006A550000}"/>
    <cellStyle name="Input 2 4 7 2 8" xfId="22922" xr:uid="{00000000-0005-0000-0000-00006B550000}"/>
    <cellStyle name="Input 2 4 7 2 9" xfId="22923" xr:uid="{00000000-0005-0000-0000-00006C550000}"/>
    <cellStyle name="Input 2 4 7 3" xfId="22924" xr:uid="{00000000-0005-0000-0000-00006D550000}"/>
    <cellStyle name="Input 2 4 7 3 2" xfId="22925" xr:uid="{00000000-0005-0000-0000-00006E550000}"/>
    <cellStyle name="Input 2 4 7 3 3" xfId="22926" xr:uid="{00000000-0005-0000-0000-00006F550000}"/>
    <cellStyle name="Input 2 4 7 4" xfId="22927" xr:uid="{00000000-0005-0000-0000-000070550000}"/>
    <cellStyle name="Input 2 4 7 4 2" xfId="22928" xr:uid="{00000000-0005-0000-0000-000071550000}"/>
    <cellStyle name="Input 2 4 7 4 3" xfId="22929" xr:uid="{00000000-0005-0000-0000-000072550000}"/>
    <cellStyle name="Input 2 4 7 5" xfId="22930" xr:uid="{00000000-0005-0000-0000-000073550000}"/>
    <cellStyle name="Input 2 4 7 5 2" xfId="22931" xr:uid="{00000000-0005-0000-0000-000074550000}"/>
    <cellStyle name="Input 2 4 7 5 3" xfId="22932" xr:uid="{00000000-0005-0000-0000-000075550000}"/>
    <cellStyle name="Input 2 4 7 6" xfId="22933" xr:uid="{00000000-0005-0000-0000-000076550000}"/>
    <cellStyle name="Input 2 4 7 6 2" xfId="22934" xr:uid="{00000000-0005-0000-0000-000077550000}"/>
    <cellStyle name="Input 2 4 7 6 3" xfId="22935" xr:uid="{00000000-0005-0000-0000-000078550000}"/>
    <cellStyle name="Input 2 4 7 7" xfId="22936" xr:uid="{00000000-0005-0000-0000-000079550000}"/>
    <cellStyle name="Input 2 4 7 7 2" xfId="22937" xr:uid="{00000000-0005-0000-0000-00007A550000}"/>
    <cellStyle name="Input 2 4 7 7 3" xfId="22938" xr:uid="{00000000-0005-0000-0000-00007B550000}"/>
    <cellStyle name="Input 2 4 7 8" xfId="22939" xr:uid="{00000000-0005-0000-0000-00007C550000}"/>
    <cellStyle name="Input 2 4 7 8 2" xfId="22940" xr:uid="{00000000-0005-0000-0000-00007D550000}"/>
    <cellStyle name="Input 2 4 7 8 3" xfId="22941" xr:uid="{00000000-0005-0000-0000-00007E550000}"/>
    <cellStyle name="Input 2 4 7 9" xfId="22942" xr:uid="{00000000-0005-0000-0000-00007F550000}"/>
    <cellStyle name="Input 2 4 8" xfId="22943" xr:uid="{00000000-0005-0000-0000-000080550000}"/>
    <cellStyle name="Input 2 4 8 10" xfId="22944" xr:uid="{00000000-0005-0000-0000-000081550000}"/>
    <cellStyle name="Input 2 4 8 2" xfId="22945" xr:uid="{00000000-0005-0000-0000-000082550000}"/>
    <cellStyle name="Input 2 4 8 2 2" xfId="22946" xr:uid="{00000000-0005-0000-0000-000083550000}"/>
    <cellStyle name="Input 2 4 8 2 2 2" xfId="22947" xr:uid="{00000000-0005-0000-0000-000084550000}"/>
    <cellStyle name="Input 2 4 8 2 2 3" xfId="22948" xr:uid="{00000000-0005-0000-0000-000085550000}"/>
    <cellStyle name="Input 2 4 8 2 3" xfId="22949" xr:uid="{00000000-0005-0000-0000-000086550000}"/>
    <cellStyle name="Input 2 4 8 2 3 2" xfId="22950" xr:uid="{00000000-0005-0000-0000-000087550000}"/>
    <cellStyle name="Input 2 4 8 2 3 3" xfId="22951" xr:uid="{00000000-0005-0000-0000-000088550000}"/>
    <cellStyle name="Input 2 4 8 2 4" xfId="22952" xr:uid="{00000000-0005-0000-0000-000089550000}"/>
    <cellStyle name="Input 2 4 8 2 4 2" xfId="22953" xr:uid="{00000000-0005-0000-0000-00008A550000}"/>
    <cellStyle name="Input 2 4 8 2 4 3" xfId="22954" xr:uid="{00000000-0005-0000-0000-00008B550000}"/>
    <cellStyle name="Input 2 4 8 2 5" xfId="22955" xr:uid="{00000000-0005-0000-0000-00008C550000}"/>
    <cellStyle name="Input 2 4 8 2 5 2" xfId="22956" xr:uid="{00000000-0005-0000-0000-00008D550000}"/>
    <cellStyle name="Input 2 4 8 2 5 3" xfId="22957" xr:uid="{00000000-0005-0000-0000-00008E550000}"/>
    <cellStyle name="Input 2 4 8 2 6" xfId="22958" xr:uid="{00000000-0005-0000-0000-00008F550000}"/>
    <cellStyle name="Input 2 4 8 2 6 2" xfId="22959" xr:uid="{00000000-0005-0000-0000-000090550000}"/>
    <cellStyle name="Input 2 4 8 2 6 3" xfId="22960" xr:uid="{00000000-0005-0000-0000-000091550000}"/>
    <cellStyle name="Input 2 4 8 2 7" xfId="22961" xr:uid="{00000000-0005-0000-0000-000092550000}"/>
    <cellStyle name="Input 2 4 8 2 7 2" xfId="22962" xr:uid="{00000000-0005-0000-0000-000093550000}"/>
    <cellStyle name="Input 2 4 8 2 7 3" xfId="22963" xr:uid="{00000000-0005-0000-0000-000094550000}"/>
    <cellStyle name="Input 2 4 8 2 8" xfId="22964" xr:uid="{00000000-0005-0000-0000-000095550000}"/>
    <cellStyle name="Input 2 4 8 2 9" xfId="22965" xr:uid="{00000000-0005-0000-0000-000096550000}"/>
    <cellStyle name="Input 2 4 8 3" xfId="22966" xr:uid="{00000000-0005-0000-0000-000097550000}"/>
    <cellStyle name="Input 2 4 8 3 2" xfId="22967" xr:uid="{00000000-0005-0000-0000-000098550000}"/>
    <cellStyle name="Input 2 4 8 3 3" xfId="22968" xr:uid="{00000000-0005-0000-0000-000099550000}"/>
    <cellStyle name="Input 2 4 8 4" xfId="22969" xr:uid="{00000000-0005-0000-0000-00009A550000}"/>
    <cellStyle name="Input 2 4 8 4 2" xfId="22970" xr:uid="{00000000-0005-0000-0000-00009B550000}"/>
    <cellStyle name="Input 2 4 8 4 3" xfId="22971" xr:uid="{00000000-0005-0000-0000-00009C550000}"/>
    <cellStyle name="Input 2 4 8 5" xfId="22972" xr:uid="{00000000-0005-0000-0000-00009D550000}"/>
    <cellStyle name="Input 2 4 8 5 2" xfId="22973" xr:uid="{00000000-0005-0000-0000-00009E550000}"/>
    <cellStyle name="Input 2 4 8 5 3" xfId="22974" xr:uid="{00000000-0005-0000-0000-00009F550000}"/>
    <cellStyle name="Input 2 4 8 6" xfId="22975" xr:uid="{00000000-0005-0000-0000-0000A0550000}"/>
    <cellStyle name="Input 2 4 8 6 2" xfId="22976" xr:uid="{00000000-0005-0000-0000-0000A1550000}"/>
    <cellStyle name="Input 2 4 8 6 3" xfId="22977" xr:uid="{00000000-0005-0000-0000-0000A2550000}"/>
    <cellStyle name="Input 2 4 8 7" xfId="22978" xr:uid="{00000000-0005-0000-0000-0000A3550000}"/>
    <cellStyle name="Input 2 4 8 7 2" xfId="22979" xr:uid="{00000000-0005-0000-0000-0000A4550000}"/>
    <cellStyle name="Input 2 4 8 7 3" xfId="22980" xr:uid="{00000000-0005-0000-0000-0000A5550000}"/>
    <cellStyle name="Input 2 4 8 8" xfId="22981" xr:uid="{00000000-0005-0000-0000-0000A6550000}"/>
    <cellStyle name="Input 2 4 8 8 2" xfId="22982" xr:uid="{00000000-0005-0000-0000-0000A7550000}"/>
    <cellStyle name="Input 2 4 8 8 3" xfId="22983" xr:uid="{00000000-0005-0000-0000-0000A8550000}"/>
    <cellStyle name="Input 2 4 8 9" xfId="22984" xr:uid="{00000000-0005-0000-0000-0000A9550000}"/>
    <cellStyle name="Input 2 4 9" xfId="22985" xr:uid="{00000000-0005-0000-0000-0000AA550000}"/>
    <cellStyle name="Input 2 4 9 2" xfId="22986" xr:uid="{00000000-0005-0000-0000-0000AB550000}"/>
    <cellStyle name="Input 2 4 9 2 2" xfId="22987" xr:uid="{00000000-0005-0000-0000-0000AC550000}"/>
    <cellStyle name="Input 2 4 9 2 3" xfId="22988" xr:uid="{00000000-0005-0000-0000-0000AD550000}"/>
    <cellStyle name="Input 2 4 9 3" xfId="22989" xr:uid="{00000000-0005-0000-0000-0000AE550000}"/>
    <cellStyle name="Input 2 4 9 3 2" xfId="22990" xr:uid="{00000000-0005-0000-0000-0000AF550000}"/>
    <cellStyle name="Input 2 4 9 3 3" xfId="22991" xr:uid="{00000000-0005-0000-0000-0000B0550000}"/>
    <cellStyle name="Input 2 4 9 4" xfId="22992" xr:uid="{00000000-0005-0000-0000-0000B1550000}"/>
    <cellStyle name="Input 2 4 9 4 2" xfId="22993" xr:uid="{00000000-0005-0000-0000-0000B2550000}"/>
    <cellStyle name="Input 2 4 9 4 3" xfId="22994" xr:uid="{00000000-0005-0000-0000-0000B3550000}"/>
    <cellStyle name="Input 2 4 9 5" xfId="22995" xr:uid="{00000000-0005-0000-0000-0000B4550000}"/>
    <cellStyle name="Input 2 4 9 5 2" xfId="22996" xr:uid="{00000000-0005-0000-0000-0000B5550000}"/>
    <cellStyle name="Input 2 4 9 5 3" xfId="22997" xr:uid="{00000000-0005-0000-0000-0000B6550000}"/>
    <cellStyle name="Input 2 4 9 6" xfId="22998" xr:uid="{00000000-0005-0000-0000-0000B7550000}"/>
    <cellStyle name="Input 2 4 9 6 2" xfId="22999" xr:uid="{00000000-0005-0000-0000-0000B8550000}"/>
    <cellStyle name="Input 2 4 9 6 3" xfId="23000" xr:uid="{00000000-0005-0000-0000-0000B9550000}"/>
    <cellStyle name="Input 2 4 9 7" xfId="23001" xr:uid="{00000000-0005-0000-0000-0000BA550000}"/>
    <cellStyle name="Input 2 4 9 7 2" xfId="23002" xr:uid="{00000000-0005-0000-0000-0000BB550000}"/>
    <cellStyle name="Input 2 4 9 7 3" xfId="23003" xr:uid="{00000000-0005-0000-0000-0000BC550000}"/>
    <cellStyle name="Input 2 4 9 8" xfId="23004" xr:uid="{00000000-0005-0000-0000-0000BD550000}"/>
    <cellStyle name="Input 2 4 9 9" xfId="23005" xr:uid="{00000000-0005-0000-0000-0000BE550000}"/>
    <cellStyle name="Input 2 5" xfId="23006" xr:uid="{00000000-0005-0000-0000-0000BF550000}"/>
    <cellStyle name="Input 2 5 10" xfId="23007" xr:uid="{00000000-0005-0000-0000-0000C0550000}"/>
    <cellStyle name="Input 2 5 10 2" xfId="23008" xr:uid="{00000000-0005-0000-0000-0000C1550000}"/>
    <cellStyle name="Input 2 5 10 3" xfId="23009" xr:uid="{00000000-0005-0000-0000-0000C2550000}"/>
    <cellStyle name="Input 2 5 11" xfId="23010" xr:uid="{00000000-0005-0000-0000-0000C3550000}"/>
    <cellStyle name="Input 2 5 11 2" xfId="23011" xr:uid="{00000000-0005-0000-0000-0000C4550000}"/>
    <cellStyle name="Input 2 5 11 3" xfId="23012" xr:uid="{00000000-0005-0000-0000-0000C5550000}"/>
    <cellStyle name="Input 2 5 12" xfId="44077" xr:uid="{00000000-0005-0000-0000-0000C6550000}"/>
    <cellStyle name="Input 2 5 2" xfId="23013" xr:uid="{00000000-0005-0000-0000-0000C7550000}"/>
    <cellStyle name="Input 2 5 2 10" xfId="23014" xr:uid="{00000000-0005-0000-0000-0000C8550000}"/>
    <cellStyle name="Input 2 5 2 2" xfId="23015" xr:uid="{00000000-0005-0000-0000-0000C9550000}"/>
    <cellStyle name="Input 2 5 2 2 2" xfId="23016" xr:uid="{00000000-0005-0000-0000-0000CA550000}"/>
    <cellStyle name="Input 2 5 2 2 2 2" xfId="23017" xr:uid="{00000000-0005-0000-0000-0000CB550000}"/>
    <cellStyle name="Input 2 5 2 2 2 3" xfId="23018" xr:uid="{00000000-0005-0000-0000-0000CC550000}"/>
    <cellStyle name="Input 2 5 2 2 3" xfId="23019" xr:uid="{00000000-0005-0000-0000-0000CD550000}"/>
    <cellStyle name="Input 2 5 2 2 3 2" xfId="23020" xr:uid="{00000000-0005-0000-0000-0000CE550000}"/>
    <cellStyle name="Input 2 5 2 2 3 3" xfId="23021" xr:uid="{00000000-0005-0000-0000-0000CF550000}"/>
    <cellStyle name="Input 2 5 2 2 4" xfId="23022" xr:uid="{00000000-0005-0000-0000-0000D0550000}"/>
    <cellStyle name="Input 2 5 2 2 4 2" xfId="23023" xr:uid="{00000000-0005-0000-0000-0000D1550000}"/>
    <cellStyle name="Input 2 5 2 2 4 3" xfId="23024" xr:uid="{00000000-0005-0000-0000-0000D2550000}"/>
    <cellStyle name="Input 2 5 2 2 5" xfId="23025" xr:uid="{00000000-0005-0000-0000-0000D3550000}"/>
    <cellStyle name="Input 2 5 2 2 5 2" xfId="23026" xr:uid="{00000000-0005-0000-0000-0000D4550000}"/>
    <cellStyle name="Input 2 5 2 2 5 3" xfId="23027" xr:uid="{00000000-0005-0000-0000-0000D5550000}"/>
    <cellStyle name="Input 2 5 2 2 6" xfId="23028" xr:uid="{00000000-0005-0000-0000-0000D6550000}"/>
    <cellStyle name="Input 2 5 2 2 6 2" xfId="23029" xr:uid="{00000000-0005-0000-0000-0000D7550000}"/>
    <cellStyle name="Input 2 5 2 2 6 3" xfId="23030" xr:uid="{00000000-0005-0000-0000-0000D8550000}"/>
    <cellStyle name="Input 2 5 2 2 7" xfId="23031" xr:uid="{00000000-0005-0000-0000-0000D9550000}"/>
    <cellStyle name="Input 2 5 2 2 7 2" xfId="23032" xr:uid="{00000000-0005-0000-0000-0000DA550000}"/>
    <cellStyle name="Input 2 5 2 2 7 3" xfId="23033" xr:uid="{00000000-0005-0000-0000-0000DB550000}"/>
    <cellStyle name="Input 2 5 2 2 8" xfId="23034" xr:uid="{00000000-0005-0000-0000-0000DC550000}"/>
    <cellStyle name="Input 2 5 2 2 9" xfId="23035" xr:uid="{00000000-0005-0000-0000-0000DD550000}"/>
    <cellStyle name="Input 2 5 2 3" xfId="23036" xr:uid="{00000000-0005-0000-0000-0000DE550000}"/>
    <cellStyle name="Input 2 5 2 3 2" xfId="23037" xr:uid="{00000000-0005-0000-0000-0000DF550000}"/>
    <cellStyle name="Input 2 5 2 3 3" xfId="23038" xr:uid="{00000000-0005-0000-0000-0000E0550000}"/>
    <cellStyle name="Input 2 5 2 4" xfId="23039" xr:uid="{00000000-0005-0000-0000-0000E1550000}"/>
    <cellStyle name="Input 2 5 2 4 2" xfId="23040" xr:uid="{00000000-0005-0000-0000-0000E2550000}"/>
    <cellStyle name="Input 2 5 2 4 3" xfId="23041" xr:uid="{00000000-0005-0000-0000-0000E3550000}"/>
    <cellStyle name="Input 2 5 2 5" xfId="23042" xr:uid="{00000000-0005-0000-0000-0000E4550000}"/>
    <cellStyle name="Input 2 5 2 5 2" xfId="23043" xr:uid="{00000000-0005-0000-0000-0000E5550000}"/>
    <cellStyle name="Input 2 5 2 5 3" xfId="23044" xr:uid="{00000000-0005-0000-0000-0000E6550000}"/>
    <cellStyle name="Input 2 5 2 6" xfId="23045" xr:uid="{00000000-0005-0000-0000-0000E7550000}"/>
    <cellStyle name="Input 2 5 2 6 2" xfId="23046" xr:uid="{00000000-0005-0000-0000-0000E8550000}"/>
    <cellStyle name="Input 2 5 2 6 3" xfId="23047" xr:uid="{00000000-0005-0000-0000-0000E9550000}"/>
    <cellStyle name="Input 2 5 2 7" xfId="23048" xr:uid="{00000000-0005-0000-0000-0000EA550000}"/>
    <cellStyle name="Input 2 5 2 7 2" xfId="23049" xr:uid="{00000000-0005-0000-0000-0000EB550000}"/>
    <cellStyle name="Input 2 5 2 7 3" xfId="23050" xr:uid="{00000000-0005-0000-0000-0000EC550000}"/>
    <cellStyle name="Input 2 5 2 8" xfId="23051" xr:uid="{00000000-0005-0000-0000-0000ED550000}"/>
    <cellStyle name="Input 2 5 2 8 2" xfId="23052" xr:uid="{00000000-0005-0000-0000-0000EE550000}"/>
    <cellStyle name="Input 2 5 2 8 3" xfId="23053" xr:uid="{00000000-0005-0000-0000-0000EF550000}"/>
    <cellStyle name="Input 2 5 2 9" xfId="23054" xr:uid="{00000000-0005-0000-0000-0000F0550000}"/>
    <cellStyle name="Input 2 5 3" xfId="23055" xr:uid="{00000000-0005-0000-0000-0000F1550000}"/>
    <cellStyle name="Input 2 5 3 10" xfId="23056" xr:uid="{00000000-0005-0000-0000-0000F2550000}"/>
    <cellStyle name="Input 2 5 3 2" xfId="23057" xr:uid="{00000000-0005-0000-0000-0000F3550000}"/>
    <cellStyle name="Input 2 5 3 2 2" xfId="23058" xr:uid="{00000000-0005-0000-0000-0000F4550000}"/>
    <cellStyle name="Input 2 5 3 2 2 2" xfId="23059" xr:uid="{00000000-0005-0000-0000-0000F5550000}"/>
    <cellStyle name="Input 2 5 3 2 2 3" xfId="23060" xr:uid="{00000000-0005-0000-0000-0000F6550000}"/>
    <cellStyle name="Input 2 5 3 2 3" xfId="23061" xr:uid="{00000000-0005-0000-0000-0000F7550000}"/>
    <cellStyle name="Input 2 5 3 2 3 2" xfId="23062" xr:uid="{00000000-0005-0000-0000-0000F8550000}"/>
    <cellStyle name="Input 2 5 3 2 3 3" xfId="23063" xr:uid="{00000000-0005-0000-0000-0000F9550000}"/>
    <cellStyle name="Input 2 5 3 2 4" xfId="23064" xr:uid="{00000000-0005-0000-0000-0000FA550000}"/>
    <cellStyle name="Input 2 5 3 2 4 2" xfId="23065" xr:uid="{00000000-0005-0000-0000-0000FB550000}"/>
    <cellStyle name="Input 2 5 3 2 4 3" xfId="23066" xr:uid="{00000000-0005-0000-0000-0000FC550000}"/>
    <cellStyle name="Input 2 5 3 2 5" xfId="23067" xr:uid="{00000000-0005-0000-0000-0000FD550000}"/>
    <cellStyle name="Input 2 5 3 2 5 2" xfId="23068" xr:uid="{00000000-0005-0000-0000-0000FE550000}"/>
    <cellStyle name="Input 2 5 3 2 5 3" xfId="23069" xr:uid="{00000000-0005-0000-0000-0000FF550000}"/>
    <cellStyle name="Input 2 5 3 2 6" xfId="23070" xr:uid="{00000000-0005-0000-0000-000000560000}"/>
    <cellStyle name="Input 2 5 3 2 6 2" xfId="23071" xr:uid="{00000000-0005-0000-0000-000001560000}"/>
    <cellStyle name="Input 2 5 3 2 6 3" xfId="23072" xr:uid="{00000000-0005-0000-0000-000002560000}"/>
    <cellStyle name="Input 2 5 3 2 7" xfId="23073" xr:uid="{00000000-0005-0000-0000-000003560000}"/>
    <cellStyle name="Input 2 5 3 2 7 2" xfId="23074" xr:uid="{00000000-0005-0000-0000-000004560000}"/>
    <cellStyle name="Input 2 5 3 2 7 3" xfId="23075" xr:uid="{00000000-0005-0000-0000-000005560000}"/>
    <cellStyle name="Input 2 5 3 2 8" xfId="23076" xr:uid="{00000000-0005-0000-0000-000006560000}"/>
    <cellStyle name="Input 2 5 3 2 9" xfId="23077" xr:uid="{00000000-0005-0000-0000-000007560000}"/>
    <cellStyle name="Input 2 5 3 3" xfId="23078" xr:uid="{00000000-0005-0000-0000-000008560000}"/>
    <cellStyle name="Input 2 5 3 3 2" xfId="23079" xr:uid="{00000000-0005-0000-0000-000009560000}"/>
    <cellStyle name="Input 2 5 3 3 3" xfId="23080" xr:uid="{00000000-0005-0000-0000-00000A560000}"/>
    <cellStyle name="Input 2 5 3 4" xfId="23081" xr:uid="{00000000-0005-0000-0000-00000B560000}"/>
    <cellStyle name="Input 2 5 3 4 2" xfId="23082" xr:uid="{00000000-0005-0000-0000-00000C560000}"/>
    <cellStyle name="Input 2 5 3 4 3" xfId="23083" xr:uid="{00000000-0005-0000-0000-00000D560000}"/>
    <cellStyle name="Input 2 5 3 5" xfId="23084" xr:uid="{00000000-0005-0000-0000-00000E560000}"/>
    <cellStyle name="Input 2 5 3 5 2" xfId="23085" xr:uid="{00000000-0005-0000-0000-00000F560000}"/>
    <cellStyle name="Input 2 5 3 5 3" xfId="23086" xr:uid="{00000000-0005-0000-0000-000010560000}"/>
    <cellStyle name="Input 2 5 3 6" xfId="23087" xr:uid="{00000000-0005-0000-0000-000011560000}"/>
    <cellStyle name="Input 2 5 3 6 2" xfId="23088" xr:uid="{00000000-0005-0000-0000-000012560000}"/>
    <cellStyle name="Input 2 5 3 6 3" xfId="23089" xr:uid="{00000000-0005-0000-0000-000013560000}"/>
    <cellStyle name="Input 2 5 3 7" xfId="23090" xr:uid="{00000000-0005-0000-0000-000014560000}"/>
    <cellStyle name="Input 2 5 3 7 2" xfId="23091" xr:uid="{00000000-0005-0000-0000-000015560000}"/>
    <cellStyle name="Input 2 5 3 7 3" xfId="23092" xr:uid="{00000000-0005-0000-0000-000016560000}"/>
    <cellStyle name="Input 2 5 3 8" xfId="23093" xr:uid="{00000000-0005-0000-0000-000017560000}"/>
    <cellStyle name="Input 2 5 3 8 2" xfId="23094" xr:uid="{00000000-0005-0000-0000-000018560000}"/>
    <cellStyle name="Input 2 5 3 8 3" xfId="23095" xr:uid="{00000000-0005-0000-0000-000019560000}"/>
    <cellStyle name="Input 2 5 3 9" xfId="23096" xr:uid="{00000000-0005-0000-0000-00001A560000}"/>
    <cellStyle name="Input 2 5 4" xfId="23097" xr:uid="{00000000-0005-0000-0000-00001B560000}"/>
    <cellStyle name="Input 2 5 4 10" xfId="23098" xr:uid="{00000000-0005-0000-0000-00001C560000}"/>
    <cellStyle name="Input 2 5 4 2" xfId="23099" xr:uid="{00000000-0005-0000-0000-00001D560000}"/>
    <cellStyle name="Input 2 5 4 2 2" xfId="23100" xr:uid="{00000000-0005-0000-0000-00001E560000}"/>
    <cellStyle name="Input 2 5 4 2 2 2" xfId="23101" xr:uid="{00000000-0005-0000-0000-00001F560000}"/>
    <cellStyle name="Input 2 5 4 2 2 3" xfId="23102" xr:uid="{00000000-0005-0000-0000-000020560000}"/>
    <cellStyle name="Input 2 5 4 2 3" xfId="23103" xr:uid="{00000000-0005-0000-0000-000021560000}"/>
    <cellStyle name="Input 2 5 4 2 3 2" xfId="23104" xr:uid="{00000000-0005-0000-0000-000022560000}"/>
    <cellStyle name="Input 2 5 4 2 3 3" xfId="23105" xr:uid="{00000000-0005-0000-0000-000023560000}"/>
    <cellStyle name="Input 2 5 4 2 4" xfId="23106" xr:uid="{00000000-0005-0000-0000-000024560000}"/>
    <cellStyle name="Input 2 5 4 2 4 2" xfId="23107" xr:uid="{00000000-0005-0000-0000-000025560000}"/>
    <cellStyle name="Input 2 5 4 2 4 3" xfId="23108" xr:uid="{00000000-0005-0000-0000-000026560000}"/>
    <cellStyle name="Input 2 5 4 2 5" xfId="23109" xr:uid="{00000000-0005-0000-0000-000027560000}"/>
    <cellStyle name="Input 2 5 4 2 5 2" xfId="23110" xr:uid="{00000000-0005-0000-0000-000028560000}"/>
    <cellStyle name="Input 2 5 4 2 5 3" xfId="23111" xr:uid="{00000000-0005-0000-0000-000029560000}"/>
    <cellStyle name="Input 2 5 4 2 6" xfId="23112" xr:uid="{00000000-0005-0000-0000-00002A560000}"/>
    <cellStyle name="Input 2 5 4 2 6 2" xfId="23113" xr:uid="{00000000-0005-0000-0000-00002B560000}"/>
    <cellStyle name="Input 2 5 4 2 6 3" xfId="23114" xr:uid="{00000000-0005-0000-0000-00002C560000}"/>
    <cellStyle name="Input 2 5 4 2 7" xfId="23115" xr:uid="{00000000-0005-0000-0000-00002D560000}"/>
    <cellStyle name="Input 2 5 4 2 7 2" xfId="23116" xr:uid="{00000000-0005-0000-0000-00002E560000}"/>
    <cellStyle name="Input 2 5 4 2 7 3" xfId="23117" xr:uid="{00000000-0005-0000-0000-00002F560000}"/>
    <cellStyle name="Input 2 5 4 2 8" xfId="23118" xr:uid="{00000000-0005-0000-0000-000030560000}"/>
    <cellStyle name="Input 2 5 4 2 9" xfId="23119" xr:uid="{00000000-0005-0000-0000-000031560000}"/>
    <cellStyle name="Input 2 5 4 3" xfId="23120" xr:uid="{00000000-0005-0000-0000-000032560000}"/>
    <cellStyle name="Input 2 5 4 3 2" xfId="23121" xr:uid="{00000000-0005-0000-0000-000033560000}"/>
    <cellStyle name="Input 2 5 4 3 3" xfId="23122" xr:uid="{00000000-0005-0000-0000-000034560000}"/>
    <cellStyle name="Input 2 5 4 4" xfId="23123" xr:uid="{00000000-0005-0000-0000-000035560000}"/>
    <cellStyle name="Input 2 5 4 4 2" xfId="23124" xr:uid="{00000000-0005-0000-0000-000036560000}"/>
    <cellStyle name="Input 2 5 4 4 3" xfId="23125" xr:uid="{00000000-0005-0000-0000-000037560000}"/>
    <cellStyle name="Input 2 5 4 5" xfId="23126" xr:uid="{00000000-0005-0000-0000-000038560000}"/>
    <cellStyle name="Input 2 5 4 5 2" xfId="23127" xr:uid="{00000000-0005-0000-0000-000039560000}"/>
    <cellStyle name="Input 2 5 4 5 3" xfId="23128" xr:uid="{00000000-0005-0000-0000-00003A560000}"/>
    <cellStyle name="Input 2 5 4 6" xfId="23129" xr:uid="{00000000-0005-0000-0000-00003B560000}"/>
    <cellStyle name="Input 2 5 4 6 2" xfId="23130" xr:uid="{00000000-0005-0000-0000-00003C560000}"/>
    <cellStyle name="Input 2 5 4 6 3" xfId="23131" xr:uid="{00000000-0005-0000-0000-00003D560000}"/>
    <cellStyle name="Input 2 5 4 7" xfId="23132" xr:uid="{00000000-0005-0000-0000-00003E560000}"/>
    <cellStyle name="Input 2 5 4 7 2" xfId="23133" xr:uid="{00000000-0005-0000-0000-00003F560000}"/>
    <cellStyle name="Input 2 5 4 7 3" xfId="23134" xr:uid="{00000000-0005-0000-0000-000040560000}"/>
    <cellStyle name="Input 2 5 4 8" xfId="23135" xr:uid="{00000000-0005-0000-0000-000041560000}"/>
    <cellStyle name="Input 2 5 4 8 2" xfId="23136" xr:uid="{00000000-0005-0000-0000-000042560000}"/>
    <cellStyle name="Input 2 5 4 8 3" xfId="23137" xr:uid="{00000000-0005-0000-0000-000043560000}"/>
    <cellStyle name="Input 2 5 4 9" xfId="23138" xr:uid="{00000000-0005-0000-0000-000044560000}"/>
    <cellStyle name="Input 2 5 5" xfId="23139" xr:uid="{00000000-0005-0000-0000-000045560000}"/>
    <cellStyle name="Input 2 5 5 2" xfId="23140" xr:uid="{00000000-0005-0000-0000-000046560000}"/>
    <cellStyle name="Input 2 5 5 2 2" xfId="23141" xr:uid="{00000000-0005-0000-0000-000047560000}"/>
    <cellStyle name="Input 2 5 5 2 3" xfId="23142" xr:uid="{00000000-0005-0000-0000-000048560000}"/>
    <cellStyle name="Input 2 5 5 3" xfId="23143" xr:uid="{00000000-0005-0000-0000-000049560000}"/>
    <cellStyle name="Input 2 5 5 3 2" xfId="23144" xr:uid="{00000000-0005-0000-0000-00004A560000}"/>
    <cellStyle name="Input 2 5 5 3 3" xfId="23145" xr:uid="{00000000-0005-0000-0000-00004B560000}"/>
    <cellStyle name="Input 2 5 5 4" xfId="23146" xr:uid="{00000000-0005-0000-0000-00004C560000}"/>
    <cellStyle name="Input 2 5 5 4 2" xfId="23147" xr:uid="{00000000-0005-0000-0000-00004D560000}"/>
    <cellStyle name="Input 2 5 5 4 3" xfId="23148" xr:uid="{00000000-0005-0000-0000-00004E560000}"/>
    <cellStyle name="Input 2 5 5 5" xfId="23149" xr:uid="{00000000-0005-0000-0000-00004F560000}"/>
    <cellStyle name="Input 2 5 5 5 2" xfId="23150" xr:uid="{00000000-0005-0000-0000-000050560000}"/>
    <cellStyle name="Input 2 5 5 5 3" xfId="23151" xr:uid="{00000000-0005-0000-0000-000051560000}"/>
    <cellStyle name="Input 2 5 5 6" xfId="23152" xr:uid="{00000000-0005-0000-0000-000052560000}"/>
    <cellStyle name="Input 2 5 5 6 2" xfId="23153" xr:uid="{00000000-0005-0000-0000-000053560000}"/>
    <cellStyle name="Input 2 5 5 6 3" xfId="23154" xr:uid="{00000000-0005-0000-0000-000054560000}"/>
    <cellStyle name="Input 2 5 5 7" xfId="23155" xr:uid="{00000000-0005-0000-0000-000055560000}"/>
    <cellStyle name="Input 2 5 5 7 2" xfId="23156" xr:uid="{00000000-0005-0000-0000-000056560000}"/>
    <cellStyle name="Input 2 5 5 7 3" xfId="23157" xr:uid="{00000000-0005-0000-0000-000057560000}"/>
    <cellStyle name="Input 2 5 5 8" xfId="23158" xr:uid="{00000000-0005-0000-0000-000058560000}"/>
    <cellStyle name="Input 2 5 5 9" xfId="23159" xr:uid="{00000000-0005-0000-0000-000059560000}"/>
    <cellStyle name="Input 2 5 6" xfId="23160" xr:uid="{00000000-0005-0000-0000-00005A560000}"/>
    <cellStyle name="Input 2 5 6 2" xfId="23161" xr:uid="{00000000-0005-0000-0000-00005B560000}"/>
    <cellStyle name="Input 2 5 6 3" xfId="23162" xr:uid="{00000000-0005-0000-0000-00005C560000}"/>
    <cellStyle name="Input 2 5 7" xfId="23163" xr:uid="{00000000-0005-0000-0000-00005D560000}"/>
    <cellStyle name="Input 2 5 7 2" xfId="23164" xr:uid="{00000000-0005-0000-0000-00005E560000}"/>
    <cellStyle name="Input 2 5 7 3" xfId="23165" xr:uid="{00000000-0005-0000-0000-00005F560000}"/>
    <cellStyle name="Input 2 5 8" xfId="23166" xr:uid="{00000000-0005-0000-0000-000060560000}"/>
    <cellStyle name="Input 2 5 8 2" xfId="23167" xr:uid="{00000000-0005-0000-0000-000061560000}"/>
    <cellStyle name="Input 2 5 8 3" xfId="23168" xr:uid="{00000000-0005-0000-0000-000062560000}"/>
    <cellStyle name="Input 2 5 9" xfId="23169" xr:uid="{00000000-0005-0000-0000-000063560000}"/>
    <cellStyle name="Input 2 5 9 2" xfId="23170" xr:uid="{00000000-0005-0000-0000-000064560000}"/>
    <cellStyle name="Input 2 5 9 3" xfId="23171" xr:uid="{00000000-0005-0000-0000-000065560000}"/>
    <cellStyle name="Input 2 6" xfId="23172" xr:uid="{00000000-0005-0000-0000-000066560000}"/>
    <cellStyle name="Input 2 6 10" xfId="23173" xr:uid="{00000000-0005-0000-0000-000067560000}"/>
    <cellStyle name="Input 2 6 2" xfId="23174" xr:uid="{00000000-0005-0000-0000-000068560000}"/>
    <cellStyle name="Input 2 6 2 2" xfId="23175" xr:uid="{00000000-0005-0000-0000-000069560000}"/>
    <cellStyle name="Input 2 6 2 2 2" xfId="23176" xr:uid="{00000000-0005-0000-0000-00006A560000}"/>
    <cellStyle name="Input 2 6 2 2 3" xfId="23177" xr:uid="{00000000-0005-0000-0000-00006B560000}"/>
    <cellStyle name="Input 2 6 2 3" xfId="23178" xr:uid="{00000000-0005-0000-0000-00006C560000}"/>
    <cellStyle name="Input 2 6 2 3 2" xfId="23179" xr:uid="{00000000-0005-0000-0000-00006D560000}"/>
    <cellStyle name="Input 2 6 2 3 3" xfId="23180" xr:uid="{00000000-0005-0000-0000-00006E560000}"/>
    <cellStyle name="Input 2 6 2 4" xfId="23181" xr:uid="{00000000-0005-0000-0000-00006F560000}"/>
    <cellStyle name="Input 2 6 2 4 2" xfId="23182" xr:uid="{00000000-0005-0000-0000-000070560000}"/>
    <cellStyle name="Input 2 6 2 4 3" xfId="23183" xr:uid="{00000000-0005-0000-0000-000071560000}"/>
    <cellStyle name="Input 2 6 2 5" xfId="23184" xr:uid="{00000000-0005-0000-0000-000072560000}"/>
    <cellStyle name="Input 2 6 2 5 2" xfId="23185" xr:uid="{00000000-0005-0000-0000-000073560000}"/>
    <cellStyle name="Input 2 6 2 5 3" xfId="23186" xr:uid="{00000000-0005-0000-0000-000074560000}"/>
    <cellStyle name="Input 2 6 2 6" xfId="23187" xr:uid="{00000000-0005-0000-0000-000075560000}"/>
    <cellStyle name="Input 2 6 2 6 2" xfId="23188" xr:uid="{00000000-0005-0000-0000-000076560000}"/>
    <cellStyle name="Input 2 6 2 6 3" xfId="23189" xr:uid="{00000000-0005-0000-0000-000077560000}"/>
    <cellStyle name="Input 2 6 2 7" xfId="23190" xr:uid="{00000000-0005-0000-0000-000078560000}"/>
    <cellStyle name="Input 2 6 2 7 2" xfId="23191" xr:uid="{00000000-0005-0000-0000-000079560000}"/>
    <cellStyle name="Input 2 6 2 7 3" xfId="23192" xr:uid="{00000000-0005-0000-0000-00007A560000}"/>
    <cellStyle name="Input 2 6 2 8" xfId="23193" xr:uid="{00000000-0005-0000-0000-00007B560000}"/>
    <cellStyle name="Input 2 6 2 9" xfId="23194" xr:uid="{00000000-0005-0000-0000-00007C560000}"/>
    <cellStyle name="Input 2 6 3" xfId="23195" xr:uid="{00000000-0005-0000-0000-00007D560000}"/>
    <cellStyle name="Input 2 6 3 2" xfId="23196" xr:uid="{00000000-0005-0000-0000-00007E560000}"/>
    <cellStyle name="Input 2 6 3 3" xfId="23197" xr:uid="{00000000-0005-0000-0000-00007F560000}"/>
    <cellStyle name="Input 2 6 4" xfId="23198" xr:uid="{00000000-0005-0000-0000-000080560000}"/>
    <cellStyle name="Input 2 6 4 2" xfId="23199" xr:uid="{00000000-0005-0000-0000-000081560000}"/>
    <cellStyle name="Input 2 6 4 3" xfId="23200" xr:uid="{00000000-0005-0000-0000-000082560000}"/>
    <cellStyle name="Input 2 6 5" xfId="23201" xr:uid="{00000000-0005-0000-0000-000083560000}"/>
    <cellStyle name="Input 2 6 5 2" xfId="23202" xr:uid="{00000000-0005-0000-0000-000084560000}"/>
    <cellStyle name="Input 2 6 5 3" xfId="23203" xr:uid="{00000000-0005-0000-0000-000085560000}"/>
    <cellStyle name="Input 2 6 6" xfId="23204" xr:uid="{00000000-0005-0000-0000-000086560000}"/>
    <cellStyle name="Input 2 6 6 2" xfId="23205" xr:uid="{00000000-0005-0000-0000-000087560000}"/>
    <cellStyle name="Input 2 6 6 3" xfId="23206" xr:uid="{00000000-0005-0000-0000-000088560000}"/>
    <cellStyle name="Input 2 6 7" xfId="23207" xr:uid="{00000000-0005-0000-0000-000089560000}"/>
    <cellStyle name="Input 2 6 7 2" xfId="23208" xr:uid="{00000000-0005-0000-0000-00008A560000}"/>
    <cellStyle name="Input 2 6 7 3" xfId="23209" xr:uid="{00000000-0005-0000-0000-00008B560000}"/>
    <cellStyle name="Input 2 6 8" xfId="23210" xr:uid="{00000000-0005-0000-0000-00008C560000}"/>
    <cellStyle name="Input 2 6 8 2" xfId="23211" xr:uid="{00000000-0005-0000-0000-00008D560000}"/>
    <cellStyle name="Input 2 6 8 3" xfId="23212" xr:uid="{00000000-0005-0000-0000-00008E560000}"/>
    <cellStyle name="Input 2 6 9" xfId="23213" xr:uid="{00000000-0005-0000-0000-00008F560000}"/>
    <cellStyle name="Input 2 7" xfId="23214" xr:uid="{00000000-0005-0000-0000-000090560000}"/>
    <cellStyle name="Input 2 7 10" xfId="23215" xr:uid="{00000000-0005-0000-0000-000091560000}"/>
    <cellStyle name="Input 2 7 2" xfId="23216" xr:uid="{00000000-0005-0000-0000-000092560000}"/>
    <cellStyle name="Input 2 7 2 2" xfId="23217" xr:uid="{00000000-0005-0000-0000-000093560000}"/>
    <cellStyle name="Input 2 7 2 2 2" xfId="23218" xr:uid="{00000000-0005-0000-0000-000094560000}"/>
    <cellStyle name="Input 2 7 2 2 3" xfId="23219" xr:uid="{00000000-0005-0000-0000-000095560000}"/>
    <cellStyle name="Input 2 7 2 3" xfId="23220" xr:uid="{00000000-0005-0000-0000-000096560000}"/>
    <cellStyle name="Input 2 7 2 3 2" xfId="23221" xr:uid="{00000000-0005-0000-0000-000097560000}"/>
    <cellStyle name="Input 2 7 2 3 3" xfId="23222" xr:uid="{00000000-0005-0000-0000-000098560000}"/>
    <cellStyle name="Input 2 7 2 4" xfId="23223" xr:uid="{00000000-0005-0000-0000-000099560000}"/>
    <cellStyle name="Input 2 7 2 4 2" xfId="23224" xr:uid="{00000000-0005-0000-0000-00009A560000}"/>
    <cellStyle name="Input 2 7 2 4 3" xfId="23225" xr:uid="{00000000-0005-0000-0000-00009B560000}"/>
    <cellStyle name="Input 2 7 2 5" xfId="23226" xr:uid="{00000000-0005-0000-0000-00009C560000}"/>
    <cellStyle name="Input 2 7 2 5 2" xfId="23227" xr:uid="{00000000-0005-0000-0000-00009D560000}"/>
    <cellStyle name="Input 2 7 2 5 3" xfId="23228" xr:uid="{00000000-0005-0000-0000-00009E560000}"/>
    <cellStyle name="Input 2 7 2 6" xfId="23229" xr:uid="{00000000-0005-0000-0000-00009F560000}"/>
    <cellStyle name="Input 2 7 2 6 2" xfId="23230" xr:uid="{00000000-0005-0000-0000-0000A0560000}"/>
    <cellStyle name="Input 2 7 2 6 3" xfId="23231" xr:uid="{00000000-0005-0000-0000-0000A1560000}"/>
    <cellStyle name="Input 2 7 2 7" xfId="23232" xr:uid="{00000000-0005-0000-0000-0000A2560000}"/>
    <cellStyle name="Input 2 7 2 7 2" xfId="23233" xr:uid="{00000000-0005-0000-0000-0000A3560000}"/>
    <cellStyle name="Input 2 7 2 7 3" xfId="23234" xr:uid="{00000000-0005-0000-0000-0000A4560000}"/>
    <cellStyle name="Input 2 7 2 8" xfId="23235" xr:uid="{00000000-0005-0000-0000-0000A5560000}"/>
    <cellStyle name="Input 2 7 2 9" xfId="23236" xr:uid="{00000000-0005-0000-0000-0000A6560000}"/>
    <cellStyle name="Input 2 7 3" xfId="23237" xr:uid="{00000000-0005-0000-0000-0000A7560000}"/>
    <cellStyle name="Input 2 7 3 2" xfId="23238" xr:uid="{00000000-0005-0000-0000-0000A8560000}"/>
    <cellStyle name="Input 2 7 3 3" xfId="23239" xr:uid="{00000000-0005-0000-0000-0000A9560000}"/>
    <cellStyle name="Input 2 7 4" xfId="23240" xr:uid="{00000000-0005-0000-0000-0000AA560000}"/>
    <cellStyle name="Input 2 7 4 2" xfId="23241" xr:uid="{00000000-0005-0000-0000-0000AB560000}"/>
    <cellStyle name="Input 2 7 4 3" xfId="23242" xr:uid="{00000000-0005-0000-0000-0000AC560000}"/>
    <cellStyle name="Input 2 7 5" xfId="23243" xr:uid="{00000000-0005-0000-0000-0000AD560000}"/>
    <cellStyle name="Input 2 7 5 2" xfId="23244" xr:uid="{00000000-0005-0000-0000-0000AE560000}"/>
    <cellStyle name="Input 2 7 5 3" xfId="23245" xr:uid="{00000000-0005-0000-0000-0000AF560000}"/>
    <cellStyle name="Input 2 7 6" xfId="23246" xr:uid="{00000000-0005-0000-0000-0000B0560000}"/>
    <cellStyle name="Input 2 7 6 2" xfId="23247" xr:uid="{00000000-0005-0000-0000-0000B1560000}"/>
    <cellStyle name="Input 2 7 6 3" xfId="23248" xr:uid="{00000000-0005-0000-0000-0000B2560000}"/>
    <cellStyle name="Input 2 7 7" xfId="23249" xr:uid="{00000000-0005-0000-0000-0000B3560000}"/>
    <cellStyle name="Input 2 7 7 2" xfId="23250" xr:uid="{00000000-0005-0000-0000-0000B4560000}"/>
    <cellStyle name="Input 2 7 7 3" xfId="23251" xr:uid="{00000000-0005-0000-0000-0000B5560000}"/>
    <cellStyle name="Input 2 7 8" xfId="23252" xr:uid="{00000000-0005-0000-0000-0000B6560000}"/>
    <cellStyle name="Input 2 7 8 2" xfId="23253" xr:uid="{00000000-0005-0000-0000-0000B7560000}"/>
    <cellStyle name="Input 2 7 8 3" xfId="23254" xr:uid="{00000000-0005-0000-0000-0000B8560000}"/>
    <cellStyle name="Input 2 7 9" xfId="23255" xr:uid="{00000000-0005-0000-0000-0000B9560000}"/>
    <cellStyle name="Input 2 8" xfId="23256" xr:uid="{00000000-0005-0000-0000-0000BA560000}"/>
    <cellStyle name="Input 2 8 10" xfId="23257" xr:uid="{00000000-0005-0000-0000-0000BB560000}"/>
    <cellStyle name="Input 2 8 2" xfId="23258" xr:uid="{00000000-0005-0000-0000-0000BC560000}"/>
    <cellStyle name="Input 2 8 2 2" xfId="23259" xr:uid="{00000000-0005-0000-0000-0000BD560000}"/>
    <cellStyle name="Input 2 8 2 2 2" xfId="23260" xr:uid="{00000000-0005-0000-0000-0000BE560000}"/>
    <cellStyle name="Input 2 8 2 2 3" xfId="23261" xr:uid="{00000000-0005-0000-0000-0000BF560000}"/>
    <cellStyle name="Input 2 8 2 3" xfId="23262" xr:uid="{00000000-0005-0000-0000-0000C0560000}"/>
    <cellStyle name="Input 2 8 2 3 2" xfId="23263" xr:uid="{00000000-0005-0000-0000-0000C1560000}"/>
    <cellStyle name="Input 2 8 2 3 3" xfId="23264" xr:uid="{00000000-0005-0000-0000-0000C2560000}"/>
    <cellStyle name="Input 2 8 2 4" xfId="23265" xr:uid="{00000000-0005-0000-0000-0000C3560000}"/>
    <cellStyle name="Input 2 8 2 4 2" xfId="23266" xr:uid="{00000000-0005-0000-0000-0000C4560000}"/>
    <cellStyle name="Input 2 8 2 4 3" xfId="23267" xr:uid="{00000000-0005-0000-0000-0000C5560000}"/>
    <cellStyle name="Input 2 8 2 5" xfId="23268" xr:uid="{00000000-0005-0000-0000-0000C6560000}"/>
    <cellStyle name="Input 2 8 2 5 2" xfId="23269" xr:uid="{00000000-0005-0000-0000-0000C7560000}"/>
    <cellStyle name="Input 2 8 2 5 3" xfId="23270" xr:uid="{00000000-0005-0000-0000-0000C8560000}"/>
    <cellStyle name="Input 2 8 2 6" xfId="23271" xr:uid="{00000000-0005-0000-0000-0000C9560000}"/>
    <cellStyle name="Input 2 8 2 6 2" xfId="23272" xr:uid="{00000000-0005-0000-0000-0000CA560000}"/>
    <cellStyle name="Input 2 8 2 6 3" xfId="23273" xr:uid="{00000000-0005-0000-0000-0000CB560000}"/>
    <cellStyle name="Input 2 8 2 7" xfId="23274" xr:uid="{00000000-0005-0000-0000-0000CC560000}"/>
    <cellStyle name="Input 2 8 2 7 2" xfId="23275" xr:uid="{00000000-0005-0000-0000-0000CD560000}"/>
    <cellStyle name="Input 2 8 2 7 3" xfId="23276" xr:uid="{00000000-0005-0000-0000-0000CE560000}"/>
    <cellStyle name="Input 2 8 2 8" xfId="23277" xr:uid="{00000000-0005-0000-0000-0000CF560000}"/>
    <cellStyle name="Input 2 8 2 9" xfId="23278" xr:uid="{00000000-0005-0000-0000-0000D0560000}"/>
    <cellStyle name="Input 2 8 3" xfId="23279" xr:uid="{00000000-0005-0000-0000-0000D1560000}"/>
    <cellStyle name="Input 2 8 3 2" xfId="23280" xr:uid="{00000000-0005-0000-0000-0000D2560000}"/>
    <cellStyle name="Input 2 8 3 3" xfId="23281" xr:uid="{00000000-0005-0000-0000-0000D3560000}"/>
    <cellStyle name="Input 2 8 4" xfId="23282" xr:uid="{00000000-0005-0000-0000-0000D4560000}"/>
    <cellStyle name="Input 2 8 4 2" xfId="23283" xr:uid="{00000000-0005-0000-0000-0000D5560000}"/>
    <cellStyle name="Input 2 8 4 3" xfId="23284" xr:uid="{00000000-0005-0000-0000-0000D6560000}"/>
    <cellStyle name="Input 2 8 5" xfId="23285" xr:uid="{00000000-0005-0000-0000-0000D7560000}"/>
    <cellStyle name="Input 2 8 5 2" xfId="23286" xr:uid="{00000000-0005-0000-0000-0000D8560000}"/>
    <cellStyle name="Input 2 8 5 3" xfId="23287" xr:uid="{00000000-0005-0000-0000-0000D9560000}"/>
    <cellStyle name="Input 2 8 6" xfId="23288" xr:uid="{00000000-0005-0000-0000-0000DA560000}"/>
    <cellStyle name="Input 2 8 6 2" xfId="23289" xr:uid="{00000000-0005-0000-0000-0000DB560000}"/>
    <cellStyle name="Input 2 8 6 3" xfId="23290" xr:uid="{00000000-0005-0000-0000-0000DC560000}"/>
    <cellStyle name="Input 2 8 7" xfId="23291" xr:uid="{00000000-0005-0000-0000-0000DD560000}"/>
    <cellStyle name="Input 2 8 7 2" xfId="23292" xr:uid="{00000000-0005-0000-0000-0000DE560000}"/>
    <cellStyle name="Input 2 8 7 3" xfId="23293" xr:uid="{00000000-0005-0000-0000-0000DF560000}"/>
    <cellStyle name="Input 2 8 8" xfId="23294" xr:uid="{00000000-0005-0000-0000-0000E0560000}"/>
    <cellStyle name="Input 2 8 8 2" xfId="23295" xr:uid="{00000000-0005-0000-0000-0000E1560000}"/>
    <cellStyle name="Input 2 8 8 3" xfId="23296" xr:uid="{00000000-0005-0000-0000-0000E2560000}"/>
    <cellStyle name="Input 2 8 9" xfId="23297" xr:uid="{00000000-0005-0000-0000-0000E3560000}"/>
    <cellStyle name="Input 2 9" xfId="23298" xr:uid="{00000000-0005-0000-0000-0000E4560000}"/>
    <cellStyle name="Input 2 9 2" xfId="23299" xr:uid="{00000000-0005-0000-0000-0000E5560000}"/>
    <cellStyle name="Input 2 9 2 2" xfId="23300" xr:uid="{00000000-0005-0000-0000-0000E6560000}"/>
    <cellStyle name="Input 2 9 2 3" xfId="23301" xr:uid="{00000000-0005-0000-0000-0000E7560000}"/>
    <cellStyle name="Input 2 9 3" xfId="23302" xr:uid="{00000000-0005-0000-0000-0000E8560000}"/>
    <cellStyle name="Input 2 9 3 2" xfId="23303" xr:uid="{00000000-0005-0000-0000-0000E9560000}"/>
    <cellStyle name="Input 2 9 3 3" xfId="23304" xr:uid="{00000000-0005-0000-0000-0000EA560000}"/>
    <cellStyle name="Input 2 9 4" xfId="23305" xr:uid="{00000000-0005-0000-0000-0000EB560000}"/>
    <cellStyle name="Input 2 9 4 2" xfId="23306" xr:uid="{00000000-0005-0000-0000-0000EC560000}"/>
    <cellStyle name="Input 2 9 4 3" xfId="23307" xr:uid="{00000000-0005-0000-0000-0000ED560000}"/>
    <cellStyle name="Input 2 9 5" xfId="23308" xr:uid="{00000000-0005-0000-0000-0000EE560000}"/>
    <cellStyle name="Input 2 9 5 2" xfId="23309" xr:uid="{00000000-0005-0000-0000-0000EF560000}"/>
    <cellStyle name="Input 2 9 5 3" xfId="23310" xr:uid="{00000000-0005-0000-0000-0000F0560000}"/>
    <cellStyle name="Input 2 9 6" xfId="23311" xr:uid="{00000000-0005-0000-0000-0000F1560000}"/>
    <cellStyle name="Input 2 9 6 2" xfId="23312" xr:uid="{00000000-0005-0000-0000-0000F2560000}"/>
    <cellStyle name="Input 2 9 6 3" xfId="23313" xr:uid="{00000000-0005-0000-0000-0000F3560000}"/>
    <cellStyle name="Input 2 9 7" xfId="23314" xr:uid="{00000000-0005-0000-0000-0000F4560000}"/>
    <cellStyle name="Input 2 9 7 2" xfId="23315" xr:uid="{00000000-0005-0000-0000-0000F5560000}"/>
    <cellStyle name="Input 2 9 7 3" xfId="23316" xr:uid="{00000000-0005-0000-0000-0000F6560000}"/>
    <cellStyle name="Input 2 9 8" xfId="23317" xr:uid="{00000000-0005-0000-0000-0000F7560000}"/>
    <cellStyle name="Input 2 9 9" xfId="23318" xr:uid="{00000000-0005-0000-0000-0000F8560000}"/>
    <cellStyle name="Input 3" xfId="341" xr:uid="{00000000-0005-0000-0000-0000F9560000}"/>
    <cellStyle name="Input 3 2" xfId="342" xr:uid="{00000000-0005-0000-0000-0000FA560000}"/>
    <cellStyle name="Input 3 2 10" xfId="23319" xr:uid="{00000000-0005-0000-0000-0000FB560000}"/>
    <cellStyle name="Input 3 2 10 2" xfId="23320" xr:uid="{00000000-0005-0000-0000-0000FC560000}"/>
    <cellStyle name="Input 3 2 10 3" xfId="23321" xr:uid="{00000000-0005-0000-0000-0000FD560000}"/>
    <cellStyle name="Input 3 2 11" xfId="23322" xr:uid="{00000000-0005-0000-0000-0000FE560000}"/>
    <cellStyle name="Input 3 2 11 2" xfId="23323" xr:uid="{00000000-0005-0000-0000-0000FF560000}"/>
    <cellStyle name="Input 3 2 11 3" xfId="23324" xr:uid="{00000000-0005-0000-0000-000000570000}"/>
    <cellStyle name="Input 3 2 12" xfId="23325" xr:uid="{00000000-0005-0000-0000-000001570000}"/>
    <cellStyle name="Input 3 2 13" xfId="23326" xr:uid="{00000000-0005-0000-0000-000002570000}"/>
    <cellStyle name="Input 3 2 2" xfId="23327" xr:uid="{00000000-0005-0000-0000-000003570000}"/>
    <cellStyle name="Input 3 2 2 10" xfId="23328" xr:uid="{00000000-0005-0000-0000-000004570000}"/>
    <cellStyle name="Input 3 2 2 10 2" xfId="23329" xr:uid="{00000000-0005-0000-0000-000005570000}"/>
    <cellStyle name="Input 3 2 2 10 3" xfId="23330" xr:uid="{00000000-0005-0000-0000-000006570000}"/>
    <cellStyle name="Input 3 2 2 11" xfId="23331" xr:uid="{00000000-0005-0000-0000-000007570000}"/>
    <cellStyle name="Input 3 2 2 11 2" xfId="23332" xr:uid="{00000000-0005-0000-0000-000008570000}"/>
    <cellStyle name="Input 3 2 2 11 3" xfId="23333" xr:uid="{00000000-0005-0000-0000-000009570000}"/>
    <cellStyle name="Input 3 2 2 12" xfId="23334" xr:uid="{00000000-0005-0000-0000-00000A570000}"/>
    <cellStyle name="Input 3 2 2 12 2" xfId="23335" xr:uid="{00000000-0005-0000-0000-00000B570000}"/>
    <cellStyle name="Input 3 2 2 12 3" xfId="23336" xr:uid="{00000000-0005-0000-0000-00000C570000}"/>
    <cellStyle name="Input 3 2 2 13" xfId="23337" xr:uid="{00000000-0005-0000-0000-00000D570000}"/>
    <cellStyle name="Input 3 2 2 13 2" xfId="23338" xr:uid="{00000000-0005-0000-0000-00000E570000}"/>
    <cellStyle name="Input 3 2 2 13 3" xfId="23339" xr:uid="{00000000-0005-0000-0000-00000F570000}"/>
    <cellStyle name="Input 3 2 2 14" xfId="44078" xr:uid="{00000000-0005-0000-0000-000010570000}"/>
    <cellStyle name="Input 3 2 2 2" xfId="23340" xr:uid="{00000000-0005-0000-0000-000011570000}"/>
    <cellStyle name="Input 3 2 2 2 10" xfId="44079" xr:uid="{00000000-0005-0000-0000-000012570000}"/>
    <cellStyle name="Input 3 2 2 2 2" xfId="23341" xr:uid="{00000000-0005-0000-0000-000013570000}"/>
    <cellStyle name="Input 3 2 2 2 2 10" xfId="23342" xr:uid="{00000000-0005-0000-0000-000014570000}"/>
    <cellStyle name="Input 3 2 2 2 2 2" xfId="23343" xr:uid="{00000000-0005-0000-0000-000015570000}"/>
    <cellStyle name="Input 3 2 2 2 2 2 2" xfId="23344" xr:uid="{00000000-0005-0000-0000-000016570000}"/>
    <cellStyle name="Input 3 2 2 2 2 2 2 2" xfId="23345" xr:uid="{00000000-0005-0000-0000-000017570000}"/>
    <cellStyle name="Input 3 2 2 2 2 2 2 3" xfId="23346" xr:uid="{00000000-0005-0000-0000-000018570000}"/>
    <cellStyle name="Input 3 2 2 2 2 2 3" xfId="23347" xr:uid="{00000000-0005-0000-0000-000019570000}"/>
    <cellStyle name="Input 3 2 2 2 2 2 3 2" xfId="23348" xr:uid="{00000000-0005-0000-0000-00001A570000}"/>
    <cellStyle name="Input 3 2 2 2 2 2 3 3" xfId="23349" xr:uid="{00000000-0005-0000-0000-00001B570000}"/>
    <cellStyle name="Input 3 2 2 2 2 2 4" xfId="23350" xr:uid="{00000000-0005-0000-0000-00001C570000}"/>
    <cellStyle name="Input 3 2 2 2 2 2 4 2" xfId="23351" xr:uid="{00000000-0005-0000-0000-00001D570000}"/>
    <cellStyle name="Input 3 2 2 2 2 2 4 3" xfId="23352" xr:uid="{00000000-0005-0000-0000-00001E570000}"/>
    <cellStyle name="Input 3 2 2 2 2 2 5" xfId="23353" xr:uid="{00000000-0005-0000-0000-00001F570000}"/>
    <cellStyle name="Input 3 2 2 2 2 2 5 2" xfId="23354" xr:uid="{00000000-0005-0000-0000-000020570000}"/>
    <cellStyle name="Input 3 2 2 2 2 2 5 3" xfId="23355" xr:uid="{00000000-0005-0000-0000-000021570000}"/>
    <cellStyle name="Input 3 2 2 2 2 2 6" xfId="23356" xr:uid="{00000000-0005-0000-0000-000022570000}"/>
    <cellStyle name="Input 3 2 2 2 2 2 6 2" xfId="23357" xr:uid="{00000000-0005-0000-0000-000023570000}"/>
    <cellStyle name="Input 3 2 2 2 2 2 6 3" xfId="23358" xr:uid="{00000000-0005-0000-0000-000024570000}"/>
    <cellStyle name="Input 3 2 2 2 2 2 7" xfId="23359" xr:uid="{00000000-0005-0000-0000-000025570000}"/>
    <cellStyle name="Input 3 2 2 2 2 2 7 2" xfId="23360" xr:uid="{00000000-0005-0000-0000-000026570000}"/>
    <cellStyle name="Input 3 2 2 2 2 2 7 3" xfId="23361" xr:uid="{00000000-0005-0000-0000-000027570000}"/>
    <cellStyle name="Input 3 2 2 2 2 2 8" xfId="23362" xr:uid="{00000000-0005-0000-0000-000028570000}"/>
    <cellStyle name="Input 3 2 2 2 2 2 9" xfId="23363" xr:uid="{00000000-0005-0000-0000-000029570000}"/>
    <cellStyle name="Input 3 2 2 2 2 3" xfId="23364" xr:uid="{00000000-0005-0000-0000-00002A570000}"/>
    <cellStyle name="Input 3 2 2 2 2 3 2" xfId="23365" xr:uid="{00000000-0005-0000-0000-00002B570000}"/>
    <cellStyle name="Input 3 2 2 2 2 3 3" xfId="23366" xr:uid="{00000000-0005-0000-0000-00002C570000}"/>
    <cellStyle name="Input 3 2 2 2 2 4" xfId="23367" xr:uid="{00000000-0005-0000-0000-00002D570000}"/>
    <cellStyle name="Input 3 2 2 2 2 4 2" xfId="23368" xr:uid="{00000000-0005-0000-0000-00002E570000}"/>
    <cellStyle name="Input 3 2 2 2 2 4 3" xfId="23369" xr:uid="{00000000-0005-0000-0000-00002F570000}"/>
    <cellStyle name="Input 3 2 2 2 2 5" xfId="23370" xr:uid="{00000000-0005-0000-0000-000030570000}"/>
    <cellStyle name="Input 3 2 2 2 2 5 2" xfId="23371" xr:uid="{00000000-0005-0000-0000-000031570000}"/>
    <cellStyle name="Input 3 2 2 2 2 5 3" xfId="23372" xr:uid="{00000000-0005-0000-0000-000032570000}"/>
    <cellStyle name="Input 3 2 2 2 2 6" xfId="23373" xr:uid="{00000000-0005-0000-0000-000033570000}"/>
    <cellStyle name="Input 3 2 2 2 2 6 2" xfId="23374" xr:uid="{00000000-0005-0000-0000-000034570000}"/>
    <cellStyle name="Input 3 2 2 2 2 6 3" xfId="23375" xr:uid="{00000000-0005-0000-0000-000035570000}"/>
    <cellStyle name="Input 3 2 2 2 2 7" xfId="23376" xr:uid="{00000000-0005-0000-0000-000036570000}"/>
    <cellStyle name="Input 3 2 2 2 2 7 2" xfId="23377" xr:uid="{00000000-0005-0000-0000-000037570000}"/>
    <cellStyle name="Input 3 2 2 2 2 7 3" xfId="23378" xr:uid="{00000000-0005-0000-0000-000038570000}"/>
    <cellStyle name="Input 3 2 2 2 2 8" xfId="23379" xr:uid="{00000000-0005-0000-0000-000039570000}"/>
    <cellStyle name="Input 3 2 2 2 2 8 2" xfId="23380" xr:uid="{00000000-0005-0000-0000-00003A570000}"/>
    <cellStyle name="Input 3 2 2 2 2 8 3" xfId="23381" xr:uid="{00000000-0005-0000-0000-00003B570000}"/>
    <cellStyle name="Input 3 2 2 2 2 9" xfId="23382" xr:uid="{00000000-0005-0000-0000-00003C570000}"/>
    <cellStyle name="Input 3 2 2 2 3" xfId="23383" xr:uid="{00000000-0005-0000-0000-00003D570000}"/>
    <cellStyle name="Input 3 2 2 2 3 10" xfId="23384" xr:uid="{00000000-0005-0000-0000-00003E570000}"/>
    <cellStyle name="Input 3 2 2 2 3 2" xfId="23385" xr:uid="{00000000-0005-0000-0000-00003F570000}"/>
    <cellStyle name="Input 3 2 2 2 3 2 2" xfId="23386" xr:uid="{00000000-0005-0000-0000-000040570000}"/>
    <cellStyle name="Input 3 2 2 2 3 2 2 2" xfId="23387" xr:uid="{00000000-0005-0000-0000-000041570000}"/>
    <cellStyle name="Input 3 2 2 2 3 2 2 3" xfId="23388" xr:uid="{00000000-0005-0000-0000-000042570000}"/>
    <cellStyle name="Input 3 2 2 2 3 2 3" xfId="23389" xr:uid="{00000000-0005-0000-0000-000043570000}"/>
    <cellStyle name="Input 3 2 2 2 3 2 3 2" xfId="23390" xr:uid="{00000000-0005-0000-0000-000044570000}"/>
    <cellStyle name="Input 3 2 2 2 3 2 3 3" xfId="23391" xr:uid="{00000000-0005-0000-0000-000045570000}"/>
    <cellStyle name="Input 3 2 2 2 3 2 4" xfId="23392" xr:uid="{00000000-0005-0000-0000-000046570000}"/>
    <cellStyle name="Input 3 2 2 2 3 2 4 2" xfId="23393" xr:uid="{00000000-0005-0000-0000-000047570000}"/>
    <cellStyle name="Input 3 2 2 2 3 2 4 3" xfId="23394" xr:uid="{00000000-0005-0000-0000-000048570000}"/>
    <cellStyle name="Input 3 2 2 2 3 2 5" xfId="23395" xr:uid="{00000000-0005-0000-0000-000049570000}"/>
    <cellStyle name="Input 3 2 2 2 3 2 5 2" xfId="23396" xr:uid="{00000000-0005-0000-0000-00004A570000}"/>
    <cellStyle name="Input 3 2 2 2 3 2 5 3" xfId="23397" xr:uid="{00000000-0005-0000-0000-00004B570000}"/>
    <cellStyle name="Input 3 2 2 2 3 2 6" xfId="23398" xr:uid="{00000000-0005-0000-0000-00004C570000}"/>
    <cellStyle name="Input 3 2 2 2 3 2 6 2" xfId="23399" xr:uid="{00000000-0005-0000-0000-00004D570000}"/>
    <cellStyle name="Input 3 2 2 2 3 2 6 3" xfId="23400" xr:uid="{00000000-0005-0000-0000-00004E570000}"/>
    <cellStyle name="Input 3 2 2 2 3 2 7" xfId="23401" xr:uid="{00000000-0005-0000-0000-00004F570000}"/>
    <cellStyle name="Input 3 2 2 2 3 2 7 2" xfId="23402" xr:uid="{00000000-0005-0000-0000-000050570000}"/>
    <cellStyle name="Input 3 2 2 2 3 2 7 3" xfId="23403" xr:uid="{00000000-0005-0000-0000-000051570000}"/>
    <cellStyle name="Input 3 2 2 2 3 2 8" xfId="23404" xr:uid="{00000000-0005-0000-0000-000052570000}"/>
    <cellStyle name="Input 3 2 2 2 3 2 9" xfId="23405" xr:uid="{00000000-0005-0000-0000-000053570000}"/>
    <cellStyle name="Input 3 2 2 2 3 3" xfId="23406" xr:uid="{00000000-0005-0000-0000-000054570000}"/>
    <cellStyle name="Input 3 2 2 2 3 3 2" xfId="23407" xr:uid="{00000000-0005-0000-0000-000055570000}"/>
    <cellStyle name="Input 3 2 2 2 3 3 3" xfId="23408" xr:uid="{00000000-0005-0000-0000-000056570000}"/>
    <cellStyle name="Input 3 2 2 2 3 4" xfId="23409" xr:uid="{00000000-0005-0000-0000-000057570000}"/>
    <cellStyle name="Input 3 2 2 2 3 4 2" xfId="23410" xr:uid="{00000000-0005-0000-0000-000058570000}"/>
    <cellStyle name="Input 3 2 2 2 3 4 3" xfId="23411" xr:uid="{00000000-0005-0000-0000-000059570000}"/>
    <cellStyle name="Input 3 2 2 2 3 5" xfId="23412" xr:uid="{00000000-0005-0000-0000-00005A570000}"/>
    <cellStyle name="Input 3 2 2 2 3 5 2" xfId="23413" xr:uid="{00000000-0005-0000-0000-00005B570000}"/>
    <cellStyle name="Input 3 2 2 2 3 5 3" xfId="23414" xr:uid="{00000000-0005-0000-0000-00005C570000}"/>
    <cellStyle name="Input 3 2 2 2 3 6" xfId="23415" xr:uid="{00000000-0005-0000-0000-00005D570000}"/>
    <cellStyle name="Input 3 2 2 2 3 6 2" xfId="23416" xr:uid="{00000000-0005-0000-0000-00005E570000}"/>
    <cellStyle name="Input 3 2 2 2 3 6 3" xfId="23417" xr:uid="{00000000-0005-0000-0000-00005F570000}"/>
    <cellStyle name="Input 3 2 2 2 3 7" xfId="23418" xr:uid="{00000000-0005-0000-0000-000060570000}"/>
    <cellStyle name="Input 3 2 2 2 3 7 2" xfId="23419" xr:uid="{00000000-0005-0000-0000-000061570000}"/>
    <cellStyle name="Input 3 2 2 2 3 7 3" xfId="23420" xr:uid="{00000000-0005-0000-0000-000062570000}"/>
    <cellStyle name="Input 3 2 2 2 3 8" xfId="23421" xr:uid="{00000000-0005-0000-0000-000063570000}"/>
    <cellStyle name="Input 3 2 2 2 3 8 2" xfId="23422" xr:uid="{00000000-0005-0000-0000-000064570000}"/>
    <cellStyle name="Input 3 2 2 2 3 8 3" xfId="23423" xr:uid="{00000000-0005-0000-0000-000065570000}"/>
    <cellStyle name="Input 3 2 2 2 3 9" xfId="23424" xr:uid="{00000000-0005-0000-0000-000066570000}"/>
    <cellStyle name="Input 3 2 2 2 4" xfId="23425" xr:uid="{00000000-0005-0000-0000-000067570000}"/>
    <cellStyle name="Input 3 2 2 2 4 10" xfId="23426" xr:uid="{00000000-0005-0000-0000-000068570000}"/>
    <cellStyle name="Input 3 2 2 2 4 2" xfId="23427" xr:uid="{00000000-0005-0000-0000-000069570000}"/>
    <cellStyle name="Input 3 2 2 2 4 2 2" xfId="23428" xr:uid="{00000000-0005-0000-0000-00006A570000}"/>
    <cellStyle name="Input 3 2 2 2 4 2 2 2" xfId="23429" xr:uid="{00000000-0005-0000-0000-00006B570000}"/>
    <cellStyle name="Input 3 2 2 2 4 2 2 3" xfId="23430" xr:uid="{00000000-0005-0000-0000-00006C570000}"/>
    <cellStyle name="Input 3 2 2 2 4 2 3" xfId="23431" xr:uid="{00000000-0005-0000-0000-00006D570000}"/>
    <cellStyle name="Input 3 2 2 2 4 2 3 2" xfId="23432" xr:uid="{00000000-0005-0000-0000-00006E570000}"/>
    <cellStyle name="Input 3 2 2 2 4 2 3 3" xfId="23433" xr:uid="{00000000-0005-0000-0000-00006F570000}"/>
    <cellStyle name="Input 3 2 2 2 4 2 4" xfId="23434" xr:uid="{00000000-0005-0000-0000-000070570000}"/>
    <cellStyle name="Input 3 2 2 2 4 2 4 2" xfId="23435" xr:uid="{00000000-0005-0000-0000-000071570000}"/>
    <cellStyle name="Input 3 2 2 2 4 2 4 3" xfId="23436" xr:uid="{00000000-0005-0000-0000-000072570000}"/>
    <cellStyle name="Input 3 2 2 2 4 2 5" xfId="23437" xr:uid="{00000000-0005-0000-0000-000073570000}"/>
    <cellStyle name="Input 3 2 2 2 4 2 5 2" xfId="23438" xr:uid="{00000000-0005-0000-0000-000074570000}"/>
    <cellStyle name="Input 3 2 2 2 4 2 5 3" xfId="23439" xr:uid="{00000000-0005-0000-0000-000075570000}"/>
    <cellStyle name="Input 3 2 2 2 4 2 6" xfId="23440" xr:uid="{00000000-0005-0000-0000-000076570000}"/>
    <cellStyle name="Input 3 2 2 2 4 2 6 2" xfId="23441" xr:uid="{00000000-0005-0000-0000-000077570000}"/>
    <cellStyle name="Input 3 2 2 2 4 2 6 3" xfId="23442" xr:uid="{00000000-0005-0000-0000-000078570000}"/>
    <cellStyle name="Input 3 2 2 2 4 2 7" xfId="23443" xr:uid="{00000000-0005-0000-0000-000079570000}"/>
    <cellStyle name="Input 3 2 2 2 4 2 7 2" xfId="23444" xr:uid="{00000000-0005-0000-0000-00007A570000}"/>
    <cellStyle name="Input 3 2 2 2 4 2 7 3" xfId="23445" xr:uid="{00000000-0005-0000-0000-00007B570000}"/>
    <cellStyle name="Input 3 2 2 2 4 2 8" xfId="23446" xr:uid="{00000000-0005-0000-0000-00007C570000}"/>
    <cellStyle name="Input 3 2 2 2 4 2 9" xfId="23447" xr:uid="{00000000-0005-0000-0000-00007D570000}"/>
    <cellStyle name="Input 3 2 2 2 4 3" xfId="23448" xr:uid="{00000000-0005-0000-0000-00007E570000}"/>
    <cellStyle name="Input 3 2 2 2 4 3 2" xfId="23449" xr:uid="{00000000-0005-0000-0000-00007F570000}"/>
    <cellStyle name="Input 3 2 2 2 4 3 3" xfId="23450" xr:uid="{00000000-0005-0000-0000-000080570000}"/>
    <cellStyle name="Input 3 2 2 2 4 4" xfId="23451" xr:uid="{00000000-0005-0000-0000-000081570000}"/>
    <cellStyle name="Input 3 2 2 2 4 4 2" xfId="23452" xr:uid="{00000000-0005-0000-0000-000082570000}"/>
    <cellStyle name="Input 3 2 2 2 4 4 3" xfId="23453" xr:uid="{00000000-0005-0000-0000-000083570000}"/>
    <cellStyle name="Input 3 2 2 2 4 5" xfId="23454" xr:uid="{00000000-0005-0000-0000-000084570000}"/>
    <cellStyle name="Input 3 2 2 2 4 5 2" xfId="23455" xr:uid="{00000000-0005-0000-0000-000085570000}"/>
    <cellStyle name="Input 3 2 2 2 4 5 3" xfId="23456" xr:uid="{00000000-0005-0000-0000-000086570000}"/>
    <cellStyle name="Input 3 2 2 2 4 6" xfId="23457" xr:uid="{00000000-0005-0000-0000-000087570000}"/>
    <cellStyle name="Input 3 2 2 2 4 6 2" xfId="23458" xr:uid="{00000000-0005-0000-0000-000088570000}"/>
    <cellStyle name="Input 3 2 2 2 4 6 3" xfId="23459" xr:uid="{00000000-0005-0000-0000-000089570000}"/>
    <cellStyle name="Input 3 2 2 2 4 7" xfId="23460" xr:uid="{00000000-0005-0000-0000-00008A570000}"/>
    <cellStyle name="Input 3 2 2 2 4 7 2" xfId="23461" xr:uid="{00000000-0005-0000-0000-00008B570000}"/>
    <cellStyle name="Input 3 2 2 2 4 7 3" xfId="23462" xr:uid="{00000000-0005-0000-0000-00008C570000}"/>
    <cellStyle name="Input 3 2 2 2 4 8" xfId="23463" xr:uid="{00000000-0005-0000-0000-00008D570000}"/>
    <cellStyle name="Input 3 2 2 2 4 8 2" xfId="23464" xr:uid="{00000000-0005-0000-0000-00008E570000}"/>
    <cellStyle name="Input 3 2 2 2 4 8 3" xfId="23465" xr:uid="{00000000-0005-0000-0000-00008F570000}"/>
    <cellStyle name="Input 3 2 2 2 4 9" xfId="23466" xr:uid="{00000000-0005-0000-0000-000090570000}"/>
    <cellStyle name="Input 3 2 2 2 5" xfId="23467" xr:uid="{00000000-0005-0000-0000-000091570000}"/>
    <cellStyle name="Input 3 2 2 2 5 2" xfId="23468" xr:uid="{00000000-0005-0000-0000-000092570000}"/>
    <cellStyle name="Input 3 2 2 2 5 2 2" xfId="23469" xr:uid="{00000000-0005-0000-0000-000093570000}"/>
    <cellStyle name="Input 3 2 2 2 5 2 3" xfId="23470" xr:uid="{00000000-0005-0000-0000-000094570000}"/>
    <cellStyle name="Input 3 2 2 2 5 3" xfId="23471" xr:uid="{00000000-0005-0000-0000-000095570000}"/>
    <cellStyle name="Input 3 2 2 2 5 3 2" xfId="23472" xr:uid="{00000000-0005-0000-0000-000096570000}"/>
    <cellStyle name="Input 3 2 2 2 5 3 3" xfId="23473" xr:uid="{00000000-0005-0000-0000-000097570000}"/>
    <cellStyle name="Input 3 2 2 2 5 4" xfId="23474" xr:uid="{00000000-0005-0000-0000-000098570000}"/>
    <cellStyle name="Input 3 2 2 2 5 4 2" xfId="23475" xr:uid="{00000000-0005-0000-0000-000099570000}"/>
    <cellStyle name="Input 3 2 2 2 5 4 3" xfId="23476" xr:uid="{00000000-0005-0000-0000-00009A570000}"/>
    <cellStyle name="Input 3 2 2 2 5 5" xfId="23477" xr:uid="{00000000-0005-0000-0000-00009B570000}"/>
    <cellStyle name="Input 3 2 2 2 5 5 2" xfId="23478" xr:uid="{00000000-0005-0000-0000-00009C570000}"/>
    <cellStyle name="Input 3 2 2 2 5 5 3" xfId="23479" xr:uid="{00000000-0005-0000-0000-00009D570000}"/>
    <cellStyle name="Input 3 2 2 2 5 6" xfId="23480" xr:uid="{00000000-0005-0000-0000-00009E570000}"/>
    <cellStyle name="Input 3 2 2 2 5 6 2" xfId="23481" xr:uid="{00000000-0005-0000-0000-00009F570000}"/>
    <cellStyle name="Input 3 2 2 2 5 6 3" xfId="23482" xr:uid="{00000000-0005-0000-0000-0000A0570000}"/>
    <cellStyle name="Input 3 2 2 2 5 7" xfId="23483" xr:uid="{00000000-0005-0000-0000-0000A1570000}"/>
    <cellStyle name="Input 3 2 2 2 5 7 2" xfId="23484" xr:uid="{00000000-0005-0000-0000-0000A2570000}"/>
    <cellStyle name="Input 3 2 2 2 5 7 3" xfId="23485" xr:uid="{00000000-0005-0000-0000-0000A3570000}"/>
    <cellStyle name="Input 3 2 2 2 5 8" xfId="23486" xr:uid="{00000000-0005-0000-0000-0000A4570000}"/>
    <cellStyle name="Input 3 2 2 2 5 9" xfId="23487" xr:uid="{00000000-0005-0000-0000-0000A5570000}"/>
    <cellStyle name="Input 3 2 2 2 6" xfId="23488" xr:uid="{00000000-0005-0000-0000-0000A6570000}"/>
    <cellStyle name="Input 3 2 2 2 6 2" xfId="23489" xr:uid="{00000000-0005-0000-0000-0000A7570000}"/>
    <cellStyle name="Input 3 2 2 2 6 3" xfId="23490" xr:uid="{00000000-0005-0000-0000-0000A8570000}"/>
    <cellStyle name="Input 3 2 2 2 7" xfId="23491" xr:uid="{00000000-0005-0000-0000-0000A9570000}"/>
    <cellStyle name="Input 3 2 2 2 7 2" xfId="23492" xr:uid="{00000000-0005-0000-0000-0000AA570000}"/>
    <cellStyle name="Input 3 2 2 2 7 3" xfId="23493" xr:uid="{00000000-0005-0000-0000-0000AB570000}"/>
    <cellStyle name="Input 3 2 2 2 8" xfId="23494" xr:uid="{00000000-0005-0000-0000-0000AC570000}"/>
    <cellStyle name="Input 3 2 2 2 8 2" xfId="23495" xr:uid="{00000000-0005-0000-0000-0000AD570000}"/>
    <cellStyle name="Input 3 2 2 2 8 3" xfId="23496" xr:uid="{00000000-0005-0000-0000-0000AE570000}"/>
    <cellStyle name="Input 3 2 2 2 9" xfId="23497" xr:uid="{00000000-0005-0000-0000-0000AF570000}"/>
    <cellStyle name="Input 3 2 2 2 9 2" xfId="23498" xr:uid="{00000000-0005-0000-0000-0000B0570000}"/>
    <cellStyle name="Input 3 2 2 2 9 3" xfId="23499" xr:uid="{00000000-0005-0000-0000-0000B1570000}"/>
    <cellStyle name="Input 3 2 2 3" xfId="23500" xr:uid="{00000000-0005-0000-0000-0000B2570000}"/>
    <cellStyle name="Input 3 2 2 3 10" xfId="44080" xr:uid="{00000000-0005-0000-0000-0000B3570000}"/>
    <cellStyle name="Input 3 2 2 3 2" xfId="23501" xr:uid="{00000000-0005-0000-0000-0000B4570000}"/>
    <cellStyle name="Input 3 2 2 3 2 10" xfId="23502" xr:uid="{00000000-0005-0000-0000-0000B5570000}"/>
    <cellStyle name="Input 3 2 2 3 2 2" xfId="23503" xr:uid="{00000000-0005-0000-0000-0000B6570000}"/>
    <cellStyle name="Input 3 2 2 3 2 2 2" xfId="23504" xr:uid="{00000000-0005-0000-0000-0000B7570000}"/>
    <cellStyle name="Input 3 2 2 3 2 2 2 2" xfId="23505" xr:uid="{00000000-0005-0000-0000-0000B8570000}"/>
    <cellStyle name="Input 3 2 2 3 2 2 2 3" xfId="23506" xr:uid="{00000000-0005-0000-0000-0000B9570000}"/>
    <cellStyle name="Input 3 2 2 3 2 2 3" xfId="23507" xr:uid="{00000000-0005-0000-0000-0000BA570000}"/>
    <cellStyle name="Input 3 2 2 3 2 2 3 2" xfId="23508" xr:uid="{00000000-0005-0000-0000-0000BB570000}"/>
    <cellStyle name="Input 3 2 2 3 2 2 3 3" xfId="23509" xr:uid="{00000000-0005-0000-0000-0000BC570000}"/>
    <cellStyle name="Input 3 2 2 3 2 2 4" xfId="23510" xr:uid="{00000000-0005-0000-0000-0000BD570000}"/>
    <cellStyle name="Input 3 2 2 3 2 2 4 2" xfId="23511" xr:uid="{00000000-0005-0000-0000-0000BE570000}"/>
    <cellStyle name="Input 3 2 2 3 2 2 4 3" xfId="23512" xr:uid="{00000000-0005-0000-0000-0000BF570000}"/>
    <cellStyle name="Input 3 2 2 3 2 2 5" xfId="23513" xr:uid="{00000000-0005-0000-0000-0000C0570000}"/>
    <cellStyle name="Input 3 2 2 3 2 2 5 2" xfId="23514" xr:uid="{00000000-0005-0000-0000-0000C1570000}"/>
    <cellStyle name="Input 3 2 2 3 2 2 5 3" xfId="23515" xr:uid="{00000000-0005-0000-0000-0000C2570000}"/>
    <cellStyle name="Input 3 2 2 3 2 2 6" xfId="23516" xr:uid="{00000000-0005-0000-0000-0000C3570000}"/>
    <cellStyle name="Input 3 2 2 3 2 2 6 2" xfId="23517" xr:uid="{00000000-0005-0000-0000-0000C4570000}"/>
    <cellStyle name="Input 3 2 2 3 2 2 6 3" xfId="23518" xr:uid="{00000000-0005-0000-0000-0000C5570000}"/>
    <cellStyle name="Input 3 2 2 3 2 2 7" xfId="23519" xr:uid="{00000000-0005-0000-0000-0000C6570000}"/>
    <cellStyle name="Input 3 2 2 3 2 2 7 2" xfId="23520" xr:uid="{00000000-0005-0000-0000-0000C7570000}"/>
    <cellStyle name="Input 3 2 2 3 2 2 7 3" xfId="23521" xr:uid="{00000000-0005-0000-0000-0000C8570000}"/>
    <cellStyle name="Input 3 2 2 3 2 2 8" xfId="23522" xr:uid="{00000000-0005-0000-0000-0000C9570000}"/>
    <cellStyle name="Input 3 2 2 3 2 2 9" xfId="23523" xr:uid="{00000000-0005-0000-0000-0000CA570000}"/>
    <cellStyle name="Input 3 2 2 3 2 3" xfId="23524" xr:uid="{00000000-0005-0000-0000-0000CB570000}"/>
    <cellStyle name="Input 3 2 2 3 2 3 2" xfId="23525" xr:uid="{00000000-0005-0000-0000-0000CC570000}"/>
    <cellStyle name="Input 3 2 2 3 2 3 3" xfId="23526" xr:uid="{00000000-0005-0000-0000-0000CD570000}"/>
    <cellStyle name="Input 3 2 2 3 2 4" xfId="23527" xr:uid="{00000000-0005-0000-0000-0000CE570000}"/>
    <cellStyle name="Input 3 2 2 3 2 4 2" xfId="23528" xr:uid="{00000000-0005-0000-0000-0000CF570000}"/>
    <cellStyle name="Input 3 2 2 3 2 4 3" xfId="23529" xr:uid="{00000000-0005-0000-0000-0000D0570000}"/>
    <cellStyle name="Input 3 2 2 3 2 5" xfId="23530" xr:uid="{00000000-0005-0000-0000-0000D1570000}"/>
    <cellStyle name="Input 3 2 2 3 2 5 2" xfId="23531" xr:uid="{00000000-0005-0000-0000-0000D2570000}"/>
    <cellStyle name="Input 3 2 2 3 2 5 3" xfId="23532" xr:uid="{00000000-0005-0000-0000-0000D3570000}"/>
    <cellStyle name="Input 3 2 2 3 2 6" xfId="23533" xr:uid="{00000000-0005-0000-0000-0000D4570000}"/>
    <cellStyle name="Input 3 2 2 3 2 6 2" xfId="23534" xr:uid="{00000000-0005-0000-0000-0000D5570000}"/>
    <cellStyle name="Input 3 2 2 3 2 6 3" xfId="23535" xr:uid="{00000000-0005-0000-0000-0000D6570000}"/>
    <cellStyle name="Input 3 2 2 3 2 7" xfId="23536" xr:uid="{00000000-0005-0000-0000-0000D7570000}"/>
    <cellStyle name="Input 3 2 2 3 2 7 2" xfId="23537" xr:uid="{00000000-0005-0000-0000-0000D8570000}"/>
    <cellStyle name="Input 3 2 2 3 2 7 3" xfId="23538" xr:uid="{00000000-0005-0000-0000-0000D9570000}"/>
    <cellStyle name="Input 3 2 2 3 2 8" xfId="23539" xr:uid="{00000000-0005-0000-0000-0000DA570000}"/>
    <cellStyle name="Input 3 2 2 3 2 8 2" xfId="23540" xr:uid="{00000000-0005-0000-0000-0000DB570000}"/>
    <cellStyle name="Input 3 2 2 3 2 8 3" xfId="23541" xr:uid="{00000000-0005-0000-0000-0000DC570000}"/>
    <cellStyle name="Input 3 2 2 3 2 9" xfId="23542" xr:uid="{00000000-0005-0000-0000-0000DD570000}"/>
    <cellStyle name="Input 3 2 2 3 3" xfId="23543" xr:uid="{00000000-0005-0000-0000-0000DE570000}"/>
    <cellStyle name="Input 3 2 2 3 3 10" xfId="23544" xr:uid="{00000000-0005-0000-0000-0000DF570000}"/>
    <cellStyle name="Input 3 2 2 3 3 2" xfId="23545" xr:uid="{00000000-0005-0000-0000-0000E0570000}"/>
    <cellStyle name="Input 3 2 2 3 3 2 2" xfId="23546" xr:uid="{00000000-0005-0000-0000-0000E1570000}"/>
    <cellStyle name="Input 3 2 2 3 3 2 2 2" xfId="23547" xr:uid="{00000000-0005-0000-0000-0000E2570000}"/>
    <cellStyle name="Input 3 2 2 3 3 2 2 3" xfId="23548" xr:uid="{00000000-0005-0000-0000-0000E3570000}"/>
    <cellStyle name="Input 3 2 2 3 3 2 3" xfId="23549" xr:uid="{00000000-0005-0000-0000-0000E4570000}"/>
    <cellStyle name="Input 3 2 2 3 3 2 3 2" xfId="23550" xr:uid="{00000000-0005-0000-0000-0000E5570000}"/>
    <cellStyle name="Input 3 2 2 3 3 2 3 3" xfId="23551" xr:uid="{00000000-0005-0000-0000-0000E6570000}"/>
    <cellStyle name="Input 3 2 2 3 3 2 4" xfId="23552" xr:uid="{00000000-0005-0000-0000-0000E7570000}"/>
    <cellStyle name="Input 3 2 2 3 3 2 4 2" xfId="23553" xr:uid="{00000000-0005-0000-0000-0000E8570000}"/>
    <cellStyle name="Input 3 2 2 3 3 2 4 3" xfId="23554" xr:uid="{00000000-0005-0000-0000-0000E9570000}"/>
    <cellStyle name="Input 3 2 2 3 3 2 5" xfId="23555" xr:uid="{00000000-0005-0000-0000-0000EA570000}"/>
    <cellStyle name="Input 3 2 2 3 3 2 5 2" xfId="23556" xr:uid="{00000000-0005-0000-0000-0000EB570000}"/>
    <cellStyle name="Input 3 2 2 3 3 2 5 3" xfId="23557" xr:uid="{00000000-0005-0000-0000-0000EC570000}"/>
    <cellStyle name="Input 3 2 2 3 3 2 6" xfId="23558" xr:uid="{00000000-0005-0000-0000-0000ED570000}"/>
    <cellStyle name="Input 3 2 2 3 3 2 6 2" xfId="23559" xr:uid="{00000000-0005-0000-0000-0000EE570000}"/>
    <cellStyle name="Input 3 2 2 3 3 2 6 3" xfId="23560" xr:uid="{00000000-0005-0000-0000-0000EF570000}"/>
    <cellStyle name="Input 3 2 2 3 3 2 7" xfId="23561" xr:uid="{00000000-0005-0000-0000-0000F0570000}"/>
    <cellStyle name="Input 3 2 2 3 3 2 7 2" xfId="23562" xr:uid="{00000000-0005-0000-0000-0000F1570000}"/>
    <cellStyle name="Input 3 2 2 3 3 2 7 3" xfId="23563" xr:uid="{00000000-0005-0000-0000-0000F2570000}"/>
    <cellStyle name="Input 3 2 2 3 3 2 8" xfId="23564" xr:uid="{00000000-0005-0000-0000-0000F3570000}"/>
    <cellStyle name="Input 3 2 2 3 3 2 9" xfId="23565" xr:uid="{00000000-0005-0000-0000-0000F4570000}"/>
    <cellStyle name="Input 3 2 2 3 3 3" xfId="23566" xr:uid="{00000000-0005-0000-0000-0000F5570000}"/>
    <cellStyle name="Input 3 2 2 3 3 3 2" xfId="23567" xr:uid="{00000000-0005-0000-0000-0000F6570000}"/>
    <cellStyle name="Input 3 2 2 3 3 3 3" xfId="23568" xr:uid="{00000000-0005-0000-0000-0000F7570000}"/>
    <cellStyle name="Input 3 2 2 3 3 4" xfId="23569" xr:uid="{00000000-0005-0000-0000-0000F8570000}"/>
    <cellStyle name="Input 3 2 2 3 3 4 2" xfId="23570" xr:uid="{00000000-0005-0000-0000-0000F9570000}"/>
    <cellStyle name="Input 3 2 2 3 3 4 3" xfId="23571" xr:uid="{00000000-0005-0000-0000-0000FA570000}"/>
    <cellStyle name="Input 3 2 2 3 3 5" xfId="23572" xr:uid="{00000000-0005-0000-0000-0000FB570000}"/>
    <cellStyle name="Input 3 2 2 3 3 5 2" xfId="23573" xr:uid="{00000000-0005-0000-0000-0000FC570000}"/>
    <cellStyle name="Input 3 2 2 3 3 5 3" xfId="23574" xr:uid="{00000000-0005-0000-0000-0000FD570000}"/>
    <cellStyle name="Input 3 2 2 3 3 6" xfId="23575" xr:uid="{00000000-0005-0000-0000-0000FE570000}"/>
    <cellStyle name="Input 3 2 2 3 3 6 2" xfId="23576" xr:uid="{00000000-0005-0000-0000-0000FF570000}"/>
    <cellStyle name="Input 3 2 2 3 3 6 3" xfId="23577" xr:uid="{00000000-0005-0000-0000-000000580000}"/>
    <cellStyle name="Input 3 2 2 3 3 7" xfId="23578" xr:uid="{00000000-0005-0000-0000-000001580000}"/>
    <cellStyle name="Input 3 2 2 3 3 7 2" xfId="23579" xr:uid="{00000000-0005-0000-0000-000002580000}"/>
    <cellStyle name="Input 3 2 2 3 3 7 3" xfId="23580" xr:uid="{00000000-0005-0000-0000-000003580000}"/>
    <cellStyle name="Input 3 2 2 3 3 8" xfId="23581" xr:uid="{00000000-0005-0000-0000-000004580000}"/>
    <cellStyle name="Input 3 2 2 3 3 8 2" xfId="23582" xr:uid="{00000000-0005-0000-0000-000005580000}"/>
    <cellStyle name="Input 3 2 2 3 3 8 3" xfId="23583" xr:uid="{00000000-0005-0000-0000-000006580000}"/>
    <cellStyle name="Input 3 2 2 3 3 9" xfId="23584" xr:uid="{00000000-0005-0000-0000-000007580000}"/>
    <cellStyle name="Input 3 2 2 3 4" xfId="23585" xr:uid="{00000000-0005-0000-0000-000008580000}"/>
    <cellStyle name="Input 3 2 2 3 4 10" xfId="23586" xr:uid="{00000000-0005-0000-0000-000009580000}"/>
    <cellStyle name="Input 3 2 2 3 4 2" xfId="23587" xr:uid="{00000000-0005-0000-0000-00000A580000}"/>
    <cellStyle name="Input 3 2 2 3 4 2 2" xfId="23588" xr:uid="{00000000-0005-0000-0000-00000B580000}"/>
    <cellStyle name="Input 3 2 2 3 4 2 2 2" xfId="23589" xr:uid="{00000000-0005-0000-0000-00000C580000}"/>
    <cellStyle name="Input 3 2 2 3 4 2 2 3" xfId="23590" xr:uid="{00000000-0005-0000-0000-00000D580000}"/>
    <cellStyle name="Input 3 2 2 3 4 2 3" xfId="23591" xr:uid="{00000000-0005-0000-0000-00000E580000}"/>
    <cellStyle name="Input 3 2 2 3 4 2 3 2" xfId="23592" xr:uid="{00000000-0005-0000-0000-00000F580000}"/>
    <cellStyle name="Input 3 2 2 3 4 2 3 3" xfId="23593" xr:uid="{00000000-0005-0000-0000-000010580000}"/>
    <cellStyle name="Input 3 2 2 3 4 2 4" xfId="23594" xr:uid="{00000000-0005-0000-0000-000011580000}"/>
    <cellStyle name="Input 3 2 2 3 4 2 4 2" xfId="23595" xr:uid="{00000000-0005-0000-0000-000012580000}"/>
    <cellStyle name="Input 3 2 2 3 4 2 4 3" xfId="23596" xr:uid="{00000000-0005-0000-0000-000013580000}"/>
    <cellStyle name="Input 3 2 2 3 4 2 5" xfId="23597" xr:uid="{00000000-0005-0000-0000-000014580000}"/>
    <cellStyle name="Input 3 2 2 3 4 2 5 2" xfId="23598" xr:uid="{00000000-0005-0000-0000-000015580000}"/>
    <cellStyle name="Input 3 2 2 3 4 2 5 3" xfId="23599" xr:uid="{00000000-0005-0000-0000-000016580000}"/>
    <cellStyle name="Input 3 2 2 3 4 2 6" xfId="23600" xr:uid="{00000000-0005-0000-0000-000017580000}"/>
    <cellStyle name="Input 3 2 2 3 4 2 6 2" xfId="23601" xr:uid="{00000000-0005-0000-0000-000018580000}"/>
    <cellStyle name="Input 3 2 2 3 4 2 6 3" xfId="23602" xr:uid="{00000000-0005-0000-0000-000019580000}"/>
    <cellStyle name="Input 3 2 2 3 4 2 7" xfId="23603" xr:uid="{00000000-0005-0000-0000-00001A580000}"/>
    <cellStyle name="Input 3 2 2 3 4 2 7 2" xfId="23604" xr:uid="{00000000-0005-0000-0000-00001B580000}"/>
    <cellStyle name="Input 3 2 2 3 4 2 7 3" xfId="23605" xr:uid="{00000000-0005-0000-0000-00001C580000}"/>
    <cellStyle name="Input 3 2 2 3 4 2 8" xfId="23606" xr:uid="{00000000-0005-0000-0000-00001D580000}"/>
    <cellStyle name="Input 3 2 2 3 4 2 9" xfId="23607" xr:uid="{00000000-0005-0000-0000-00001E580000}"/>
    <cellStyle name="Input 3 2 2 3 4 3" xfId="23608" xr:uid="{00000000-0005-0000-0000-00001F580000}"/>
    <cellStyle name="Input 3 2 2 3 4 3 2" xfId="23609" xr:uid="{00000000-0005-0000-0000-000020580000}"/>
    <cellStyle name="Input 3 2 2 3 4 3 3" xfId="23610" xr:uid="{00000000-0005-0000-0000-000021580000}"/>
    <cellStyle name="Input 3 2 2 3 4 4" xfId="23611" xr:uid="{00000000-0005-0000-0000-000022580000}"/>
    <cellStyle name="Input 3 2 2 3 4 4 2" xfId="23612" xr:uid="{00000000-0005-0000-0000-000023580000}"/>
    <cellStyle name="Input 3 2 2 3 4 4 3" xfId="23613" xr:uid="{00000000-0005-0000-0000-000024580000}"/>
    <cellStyle name="Input 3 2 2 3 4 5" xfId="23614" xr:uid="{00000000-0005-0000-0000-000025580000}"/>
    <cellStyle name="Input 3 2 2 3 4 5 2" xfId="23615" xr:uid="{00000000-0005-0000-0000-000026580000}"/>
    <cellStyle name="Input 3 2 2 3 4 5 3" xfId="23616" xr:uid="{00000000-0005-0000-0000-000027580000}"/>
    <cellStyle name="Input 3 2 2 3 4 6" xfId="23617" xr:uid="{00000000-0005-0000-0000-000028580000}"/>
    <cellStyle name="Input 3 2 2 3 4 6 2" xfId="23618" xr:uid="{00000000-0005-0000-0000-000029580000}"/>
    <cellStyle name="Input 3 2 2 3 4 6 3" xfId="23619" xr:uid="{00000000-0005-0000-0000-00002A580000}"/>
    <cellStyle name="Input 3 2 2 3 4 7" xfId="23620" xr:uid="{00000000-0005-0000-0000-00002B580000}"/>
    <cellStyle name="Input 3 2 2 3 4 7 2" xfId="23621" xr:uid="{00000000-0005-0000-0000-00002C580000}"/>
    <cellStyle name="Input 3 2 2 3 4 7 3" xfId="23622" xr:uid="{00000000-0005-0000-0000-00002D580000}"/>
    <cellStyle name="Input 3 2 2 3 4 8" xfId="23623" xr:uid="{00000000-0005-0000-0000-00002E580000}"/>
    <cellStyle name="Input 3 2 2 3 4 8 2" xfId="23624" xr:uid="{00000000-0005-0000-0000-00002F580000}"/>
    <cellStyle name="Input 3 2 2 3 4 8 3" xfId="23625" xr:uid="{00000000-0005-0000-0000-000030580000}"/>
    <cellStyle name="Input 3 2 2 3 4 9" xfId="23626" xr:uid="{00000000-0005-0000-0000-000031580000}"/>
    <cellStyle name="Input 3 2 2 3 5" xfId="23627" xr:uid="{00000000-0005-0000-0000-000032580000}"/>
    <cellStyle name="Input 3 2 2 3 5 2" xfId="23628" xr:uid="{00000000-0005-0000-0000-000033580000}"/>
    <cellStyle name="Input 3 2 2 3 5 2 2" xfId="23629" xr:uid="{00000000-0005-0000-0000-000034580000}"/>
    <cellStyle name="Input 3 2 2 3 5 2 3" xfId="23630" xr:uid="{00000000-0005-0000-0000-000035580000}"/>
    <cellStyle name="Input 3 2 2 3 5 3" xfId="23631" xr:uid="{00000000-0005-0000-0000-000036580000}"/>
    <cellStyle name="Input 3 2 2 3 5 3 2" xfId="23632" xr:uid="{00000000-0005-0000-0000-000037580000}"/>
    <cellStyle name="Input 3 2 2 3 5 3 3" xfId="23633" xr:uid="{00000000-0005-0000-0000-000038580000}"/>
    <cellStyle name="Input 3 2 2 3 5 4" xfId="23634" xr:uid="{00000000-0005-0000-0000-000039580000}"/>
    <cellStyle name="Input 3 2 2 3 5 4 2" xfId="23635" xr:uid="{00000000-0005-0000-0000-00003A580000}"/>
    <cellStyle name="Input 3 2 2 3 5 4 3" xfId="23636" xr:uid="{00000000-0005-0000-0000-00003B580000}"/>
    <cellStyle name="Input 3 2 2 3 5 5" xfId="23637" xr:uid="{00000000-0005-0000-0000-00003C580000}"/>
    <cellStyle name="Input 3 2 2 3 5 5 2" xfId="23638" xr:uid="{00000000-0005-0000-0000-00003D580000}"/>
    <cellStyle name="Input 3 2 2 3 5 5 3" xfId="23639" xr:uid="{00000000-0005-0000-0000-00003E580000}"/>
    <cellStyle name="Input 3 2 2 3 5 6" xfId="23640" xr:uid="{00000000-0005-0000-0000-00003F580000}"/>
    <cellStyle name="Input 3 2 2 3 5 6 2" xfId="23641" xr:uid="{00000000-0005-0000-0000-000040580000}"/>
    <cellStyle name="Input 3 2 2 3 5 6 3" xfId="23642" xr:uid="{00000000-0005-0000-0000-000041580000}"/>
    <cellStyle name="Input 3 2 2 3 5 7" xfId="23643" xr:uid="{00000000-0005-0000-0000-000042580000}"/>
    <cellStyle name="Input 3 2 2 3 5 7 2" xfId="23644" xr:uid="{00000000-0005-0000-0000-000043580000}"/>
    <cellStyle name="Input 3 2 2 3 5 7 3" xfId="23645" xr:uid="{00000000-0005-0000-0000-000044580000}"/>
    <cellStyle name="Input 3 2 2 3 5 8" xfId="23646" xr:uid="{00000000-0005-0000-0000-000045580000}"/>
    <cellStyle name="Input 3 2 2 3 5 9" xfId="23647" xr:uid="{00000000-0005-0000-0000-000046580000}"/>
    <cellStyle name="Input 3 2 2 3 6" xfId="23648" xr:uid="{00000000-0005-0000-0000-000047580000}"/>
    <cellStyle name="Input 3 2 2 3 6 2" xfId="23649" xr:uid="{00000000-0005-0000-0000-000048580000}"/>
    <cellStyle name="Input 3 2 2 3 6 3" xfId="23650" xr:uid="{00000000-0005-0000-0000-000049580000}"/>
    <cellStyle name="Input 3 2 2 3 7" xfId="23651" xr:uid="{00000000-0005-0000-0000-00004A580000}"/>
    <cellStyle name="Input 3 2 2 3 7 2" xfId="23652" xr:uid="{00000000-0005-0000-0000-00004B580000}"/>
    <cellStyle name="Input 3 2 2 3 7 3" xfId="23653" xr:uid="{00000000-0005-0000-0000-00004C580000}"/>
    <cellStyle name="Input 3 2 2 3 8" xfId="23654" xr:uid="{00000000-0005-0000-0000-00004D580000}"/>
    <cellStyle name="Input 3 2 2 3 8 2" xfId="23655" xr:uid="{00000000-0005-0000-0000-00004E580000}"/>
    <cellStyle name="Input 3 2 2 3 8 3" xfId="23656" xr:uid="{00000000-0005-0000-0000-00004F580000}"/>
    <cellStyle name="Input 3 2 2 3 9" xfId="23657" xr:uid="{00000000-0005-0000-0000-000050580000}"/>
    <cellStyle name="Input 3 2 2 3 9 2" xfId="23658" xr:uid="{00000000-0005-0000-0000-000051580000}"/>
    <cellStyle name="Input 3 2 2 3 9 3" xfId="23659" xr:uid="{00000000-0005-0000-0000-000052580000}"/>
    <cellStyle name="Input 3 2 2 4" xfId="23660" xr:uid="{00000000-0005-0000-0000-000053580000}"/>
    <cellStyle name="Input 3 2 2 4 10" xfId="44081" xr:uid="{00000000-0005-0000-0000-000054580000}"/>
    <cellStyle name="Input 3 2 2 4 2" xfId="23661" xr:uid="{00000000-0005-0000-0000-000055580000}"/>
    <cellStyle name="Input 3 2 2 4 2 10" xfId="23662" xr:uid="{00000000-0005-0000-0000-000056580000}"/>
    <cellStyle name="Input 3 2 2 4 2 2" xfId="23663" xr:uid="{00000000-0005-0000-0000-000057580000}"/>
    <cellStyle name="Input 3 2 2 4 2 2 2" xfId="23664" xr:uid="{00000000-0005-0000-0000-000058580000}"/>
    <cellStyle name="Input 3 2 2 4 2 2 2 2" xfId="23665" xr:uid="{00000000-0005-0000-0000-000059580000}"/>
    <cellStyle name="Input 3 2 2 4 2 2 2 3" xfId="23666" xr:uid="{00000000-0005-0000-0000-00005A580000}"/>
    <cellStyle name="Input 3 2 2 4 2 2 3" xfId="23667" xr:uid="{00000000-0005-0000-0000-00005B580000}"/>
    <cellStyle name="Input 3 2 2 4 2 2 3 2" xfId="23668" xr:uid="{00000000-0005-0000-0000-00005C580000}"/>
    <cellStyle name="Input 3 2 2 4 2 2 3 3" xfId="23669" xr:uid="{00000000-0005-0000-0000-00005D580000}"/>
    <cellStyle name="Input 3 2 2 4 2 2 4" xfId="23670" xr:uid="{00000000-0005-0000-0000-00005E580000}"/>
    <cellStyle name="Input 3 2 2 4 2 2 4 2" xfId="23671" xr:uid="{00000000-0005-0000-0000-00005F580000}"/>
    <cellStyle name="Input 3 2 2 4 2 2 4 3" xfId="23672" xr:uid="{00000000-0005-0000-0000-000060580000}"/>
    <cellStyle name="Input 3 2 2 4 2 2 5" xfId="23673" xr:uid="{00000000-0005-0000-0000-000061580000}"/>
    <cellStyle name="Input 3 2 2 4 2 2 5 2" xfId="23674" xr:uid="{00000000-0005-0000-0000-000062580000}"/>
    <cellStyle name="Input 3 2 2 4 2 2 5 3" xfId="23675" xr:uid="{00000000-0005-0000-0000-000063580000}"/>
    <cellStyle name="Input 3 2 2 4 2 2 6" xfId="23676" xr:uid="{00000000-0005-0000-0000-000064580000}"/>
    <cellStyle name="Input 3 2 2 4 2 2 6 2" xfId="23677" xr:uid="{00000000-0005-0000-0000-000065580000}"/>
    <cellStyle name="Input 3 2 2 4 2 2 6 3" xfId="23678" xr:uid="{00000000-0005-0000-0000-000066580000}"/>
    <cellStyle name="Input 3 2 2 4 2 2 7" xfId="23679" xr:uid="{00000000-0005-0000-0000-000067580000}"/>
    <cellStyle name="Input 3 2 2 4 2 2 7 2" xfId="23680" xr:uid="{00000000-0005-0000-0000-000068580000}"/>
    <cellStyle name="Input 3 2 2 4 2 2 7 3" xfId="23681" xr:uid="{00000000-0005-0000-0000-000069580000}"/>
    <cellStyle name="Input 3 2 2 4 2 2 8" xfId="23682" xr:uid="{00000000-0005-0000-0000-00006A580000}"/>
    <cellStyle name="Input 3 2 2 4 2 2 9" xfId="23683" xr:uid="{00000000-0005-0000-0000-00006B580000}"/>
    <cellStyle name="Input 3 2 2 4 2 3" xfId="23684" xr:uid="{00000000-0005-0000-0000-00006C580000}"/>
    <cellStyle name="Input 3 2 2 4 2 3 2" xfId="23685" xr:uid="{00000000-0005-0000-0000-00006D580000}"/>
    <cellStyle name="Input 3 2 2 4 2 3 3" xfId="23686" xr:uid="{00000000-0005-0000-0000-00006E580000}"/>
    <cellStyle name="Input 3 2 2 4 2 4" xfId="23687" xr:uid="{00000000-0005-0000-0000-00006F580000}"/>
    <cellStyle name="Input 3 2 2 4 2 4 2" xfId="23688" xr:uid="{00000000-0005-0000-0000-000070580000}"/>
    <cellStyle name="Input 3 2 2 4 2 4 3" xfId="23689" xr:uid="{00000000-0005-0000-0000-000071580000}"/>
    <cellStyle name="Input 3 2 2 4 2 5" xfId="23690" xr:uid="{00000000-0005-0000-0000-000072580000}"/>
    <cellStyle name="Input 3 2 2 4 2 5 2" xfId="23691" xr:uid="{00000000-0005-0000-0000-000073580000}"/>
    <cellStyle name="Input 3 2 2 4 2 5 3" xfId="23692" xr:uid="{00000000-0005-0000-0000-000074580000}"/>
    <cellStyle name="Input 3 2 2 4 2 6" xfId="23693" xr:uid="{00000000-0005-0000-0000-000075580000}"/>
    <cellStyle name="Input 3 2 2 4 2 6 2" xfId="23694" xr:uid="{00000000-0005-0000-0000-000076580000}"/>
    <cellStyle name="Input 3 2 2 4 2 6 3" xfId="23695" xr:uid="{00000000-0005-0000-0000-000077580000}"/>
    <cellStyle name="Input 3 2 2 4 2 7" xfId="23696" xr:uid="{00000000-0005-0000-0000-000078580000}"/>
    <cellStyle name="Input 3 2 2 4 2 7 2" xfId="23697" xr:uid="{00000000-0005-0000-0000-000079580000}"/>
    <cellStyle name="Input 3 2 2 4 2 7 3" xfId="23698" xr:uid="{00000000-0005-0000-0000-00007A580000}"/>
    <cellStyle name="Input 3 2 2 4 2 8" xfId="23699" xr:uid="{00000000-0005-0000-0000-00007B580000}"/>
    <cellStyle name="Input 3 2 2 4 2 8 2" xfId="23700" xr:uid="{00000000-0005-0000-0000-00007C580000}"/>
    <cellStyle name="Input 3 2 2 4 2 8 3" xfId="23701" xr:uid="{00000000-0005-0000-0000-00007D580000}"/>
    <cellStyle name="Input 3 2 2 4 2 9" xfId="23702" xr:uid="{00000000-0005-0000-0000-00007E580000}"/>
    <cellStyle name="Input 3 2 2 4 3" xfId="23703" xr:uid="{00000000-0005-0000-0000-00007F580000}"/>
    <cellStyle name="Input 3 2 2 4 3 10" xfId="23704" xr:uid="{00000000-0005-0000-0000-000080580000}"/>
    <cellStyle name="Input 3 2 2 4 3 2" xfId="23705" xr:uid="{00000000-0005-0000-0000-000081580000}"/>
    <cellStyle name="Input 3 2 2 4 3 2 2" xfId="23706" xr:uid="{00000000-0005-0000-0000-000082580000}"/>
    <cellStyle name="Input 3 2 2 4 3 2 2 2" xfId="23707" xr:uid="{00000000-0005-0000-0000-000083580000}"/>
    <cellStyle name="Input 3 2 2 4 3 2 2 3" xfId="23708" xr:uid="{00000000-0005-0000-0000-000084580000}"/>
    <cellStyle name="Input 3 2 2 4 3 2 3" xfId="23709" xr:uid="{00000000-0005-0000-0000-000085580000}"/>
    <cellStyle name="Input 3 2 2 4 3 2 3 2" xfId="23710" xr:uid="{00000000-0005-0000-0000-000086580000}"/>
    <cellStyle name="Input 3 2 2 4 3 2 3 3" xfId="23711" xr:uid="{00000000-0005-0000-0000-000087580000}"/>
    <cellStyle name="Input 3 2 2 4 3 2 4" xfId="23712" xr:uid="{00000000-0005-0000-0000-000088580000}"/>
    <cellStyle name="Input 3 2 2 4 3 2 4 2" xfId="23713" xr:uid="{00000000-0005-0000-0000-000089580000}"/>
    <cellStyle name="Input 3 2 2 4 3 2 4 3" xfId="23714" xr:uid="{00000000-0005-0000-0000-00008A580000}"/>
    <cellStyle name="Input 3 2 2 4 3 2 5" xfId="23715" xr:uid="{00000000-0005-0000-0000-00008B580000}"/>
    <cellStyle name="Input 3 2 2 4 3 2 5 2" xfId="23716" xr:uid="{00000000-0005-0000-0000-00008C580000}"/>
    <cellStyle name="Input 3 2 2 4 3 2 5 3" xfId="23717" xr:uid="{00000000-0005-0000-0000-00008D580000}"/>
    <cellStyle name="Input 3 2 2 4 3 2 6" xfId="23718" xr:uid="{00000000-0005-0000-0000-00008E580000}"/>
    <cellStyle name="Input 3 2 2 4 3 2 6 2" xfId="23719" xr:uid="{00000000-0005-0000-0000-00008F580000}"/>
    <cellStyle name="Input 3 2 2 4 3 2 6 3" xfId="23720" xr:uid="{00000000-0005-0000-0000-000090580000}"/>
    <cellStyle name="Input 3 2 2 4 3 2 7" xfId="23721" xr:uid="{00000000-0005-0000-0000-000091580000}"/>
    <cellStyle name="Input 3 2 2 4 3 2 7 2" xfId="23722" xr:uid="{00000000-0005-0000-0000-000092580000}"/>
    <cellStyle name="Input 3 2 2 4 3 2 7 3" xfId="23723" xr:uid="{00000000-0005-0000-0000-000093580000}"/>
    <cellStyle name="Input 3 2 2 4 3 2 8" xfId="23724" xr:uid="{00000000-0005-0000-0000-000094580000}"/>
    <cellStyle name="Input 3 2 2 4 3 2 9" xfId="23725" xr:uid="{00000000-0005-0000-0000-000095580000}"/>
    <cellStyle name="Input 3 2 2 4 3 3" xfId="23726" xr:uid="{00000000-0005-0000-0000-000096580000}"/>
    <cellStyle name="Input 3 2 2 4 3 3 2" xfId="23727" xr:uid="{00000000-0005-0000-0000-000097580000}"/>
    <cellStyle name="Input 3 2 2 4 3 3 3" xfId="23728" xr:uid="{00000000-0005-0000-0000-000098580000}"/>
    <cellStyle name="Input 3 2 2 4 3 4" xfId="23729" xr:uid="{00000000-0005-0000-0000-000099580000}"/>
    <cellStyle name="Input 3 2 2 4 3 4 2" xfId="23730" xr:uid="{00000000-0005-0000-0000-00009A580000}"/>
    <cellStyle name="Input 3 2 2 4 3 4 3" xfId="23731" xr:uid="{00000000-0005-0000-0000-00009B580000}"/>
    <cellStyle name="Input 3 2 2 4 3 5" xfId="23732" xr:uid="{00000000-0005-0000-0000-00009C580000}"/>
    <cellStyle name="Input 3 2 2 4 3 5 2" xfId="23733" xr:uid="{00000000-0005-0000-0000-00009D580000}"/>
    <cellStyle name="Input 3 2 2 4 3 5 3" xfId="23734" xr:uid="{00000000-0005-0000-0000-00009E580000}"/>
    <cellStyle name="Input 3 2 2 4 3 6" xfId="23735" xr:uid="{00000000-0005-0000-0000-00009F580000}"/>
    <cellStyle name="Input 3 2 2 4 3 6 2" xfId="23736" xr:uid="{00000000-0005-0000-0000-0000A0580000}"/>
    <cellStyle name="Input 3 2 2 4 3 6 3" xfId="23737" xr:uid="{00000000-0005-0000-0000-0000A1580000}"/>
    <cellStyle name="Input 3 2 2 4 3 7" xfId="23738" xr:uid="{00000000-0005-0000-0000-0000A2580000}"/>
    <cellStyle name="Input 3 2 2 4 3 7 2" xfId="23739" xr:uid="{00000000-0005-0000-0000-0000A3580000}"/>
    <cellStyle name="Input 3 2 2 4 3 7 3" xfId="23740" xr:uid="{00000000-0005-0000-0000-0000A4580000}"/>
    <cellStyle name="Input 3 2 2 4 3 8" xfId="23741" xr:uid="{00000000-0005-0000-0000-0000A5580000}"/>
    <cellStyle name="Input 3 2 2 4 3 8 2" xfId="23742" xr:uid="{00000000-0005-0000-0000-0000A6580000}"/>
    <cellStyle name="Input 3 2 2 4 3 8 3" xfId="23743" xr:uid="{00000000-0005-0000-0000-0000A7580000}"/>
    <cellStyle name="Input 3 2 2 4 3 9" xfId="23744" xr:uid="{00000000-0005-0000-0000-0000A8580000}"/>
    <cellStyle name="Input 3 2 2 4 4" xfId="23745" xr:uid="{00000000-0005-0000-0000-0000A9580000}"/>
    <cellStyle name="Input 3 2 2 4 4 10" xfId="23746" xr:uid="{00000000-0005-0000-0000-0000AA580000}"/>
    <cellStyle name="Input 3 2 2 4 4 2" xfId="23747" xr:uid="{00000000-0005-0000-0000-0000AB580000}"/>
    <cellStyle name="Input 3 2 2 4 4 2 2" xfId="23748" xr:uid="{00000000-0005-0000-0000-0000AC580000}"/>
    <cellStyle name="Input 3 2 2 4 4 2 2 2" xfId="23749" xr:uid="{00000000-0005-0000-0000-0000AD580000}"/>
    <cellStyle name="Input 3 2 2 4 4 2 2 3" xfId="23750" xr:uid="{00000000-0005-0000-0000-0000AE580000}"/>
    <cellStyle name="Input 3 2 2 4 4 2 3" xfId="23751" xr:uid="{00000000-0005-0000-0000-0000AF580000}"/>
    <cellStyle name="Input 3 2 2 4 4 2 3 2" xfId="23752" xr:uid="{00000000-0005-0000-0000-0000B0580000}"/>
    <cellStyle name="Input 3 2 2 4 4 2 3 3" xfId="23753" xr:uid="{00000000-0005-0000-0000-0000B1580000}"/>
    <cellStyle name="Input 3 2 2 4 4 2 4" xfId="23754" xr:uid="{00000000-0005-0000-0000-0000B2580000}"/>
    <cellStyle name="Input 3 2 2 4 4 2 4 2" xfId="23755" xr:uid="{00000000-0005-0000-0000-0000B3580000}"/>
    <cellStyle name="Input 3 2 2 4 4 2 4 3" xfId="23756" xr:uid="{00000000-0005-0000-0000-0000B4580000}"/>
    <cellStyle name="Input 3 2 2 4 4 2 5" xfId="23757" xr:uid="{00000000-0005-0000-0000-0000B5580000}"/>
    <cellStyle name="Input 3 2 2 4 4 2 5 2" xfId="23758" xr:uid="{00000000-0005-0000-0000-0000B6580000}"/>
    <cellStyle name="Input 3 2 2 4 4 2 5 3" xfId="23759" xr:uid="{00000000-0005-0000-0000-0000B7580000}"/>
    <cellStyle name="Input 3 2 2 4 4 2 6" xfId="23760" xr:uid="{00000000-0005-0000-0000-0000B8580000}"/>
    <cellStyle name="Input 3 2 2 4 4 2 6 2" xfId="23761" xr:uid="{00000000-0005-0000-0000-0000B9580000}"/>
    <cellStyle name="Input 3 2 2 4 4 2 6 3" xfId="23762" xr:uid="{00000000-0005-0000-0000-0000BA580000}"/>
    <cellStyle name="Input 3 2 2 4 4 2 7" xfId="23763" xr:uid="{00000000-0005-0000-0000-0000BB580000}"/>
    <cellStyle name="Input 3 2 2 4 4 2 7 2" xfId="23764" xr:uid="{00000000-0005-0000-0000-0000BC580000}"/>
    <cellStyle name="Input 3 2 2 4 4 2 7 3" xfId="23765" xr:uid="{00000000-0005-0000-0000-0000BD580000}"/>
    <cellStyle name="Input 3 2 2 4 4 2 8" xfId="23766" xr:uid="{00000000-0005-0000-0000-0000BE580000}"/>
    <cellStyle name="Input 3 2 2 4 4 2 9" xfId="23767" xr:uid="{00000000-0005-0000-0000-0000BF580000}"/>
    <cellStyle name="Input 3 2 2 4 4 3" xfId="23768" xr:uid="{00000000-0005-0000-0000-0000C0580000}"/>
    <cellStyle name="Input 3 2 2 4 4 3 2" xfId="23769" xr:uid="{00000000-0005-0000-0000-0000C1580000}"/>
    <cellStyle name="Input 3 2 2 4 4 3 3" xfId="23770" xr:uid="{00000000-0005-0000-0000-0000C2580000}"/>
    <cellStyle name="Input 3 2 2 4 4 4" xfId="23771" xr:uid="{00000000-0005-0000-0000-0000C3580000}"/>
    <cellStyle name="Input 3 2 2 4 4 4 2" xfId="23772" xr:uid="{00000000-0005-0000-0000-0000C4580000}"/>
    <cellStyle name="Input 3 2 2 4 4 4 3" xfId="23773" xr:uid="{00000000-0005-0000-0000-0000C5580000}"/>
    <cellStyle name="Input 3 2 2 4 4 5" xfId="23774" xr:uid="{00000000-0005-0000-0000-0000C6580000}"/>
    <cellStyle name="Input 3 2 2 4 4 5 2" xfId="23775" xr:uid="{00000000-0005-0000-0000-0000C7580000}"/>
    <cellStyle name="Input 3 2 2 4 4 5 3" xfId="23776" xr:uid="{00000000-0005-0000-0000-0000C8580000}"/>
    <cellStyle name="Input 3 2 2 4 4 6" xfId="23777" xr:uid="{00000000-0005-0000-0000-0000C9580000}"/>
    <cellStyle name="Input 3 2 2 4 4 6 2" xfId="23778" xr:uid="{00000000-0005-0000-0000-0000CA580000}"/>
    <cellStyle name="Input 3 2 2 4 4 6 3" xfId="23779" xr:uid="{00000000-0005-0000-0000-0000CB580000}"/>
    <cellStyle name="Input 3 2 2 4 4 7" xfId="23780" xr:uid="{00000000-0005-0000-0000-0000CC580000}"/>
    <cellStyle name="Input 3 2 2 4 4 7 2" xfId="23781" xr:uid="{00000000-0005-0000-0000-0000CD580000}"/>
    <cellStyle name="Input 3 2 2 4 4 7 3" xfId="23782" xr:uid="{00000000-0005-0000-0000-0000CE580000}"/>
    <cellStyle name="Input 3 2 2 4 4 8" xfId="23783" xr:uid="{00000000-0005-0000-0000-0000CF580000}"/>
    <cellStyle name="Input 3 2 2 4 4 8 2" xfId="23784" xr:uid="{00000000-0005-0000-0000-0000D0580000}"/>
    <cellStyle name="Input 3 2 2 4 4 8 3" xfId="23785" xr:uid="{00000000-0005-0000-0000-0000D1580000}"/>
    <cellStyle name="Input 3 2 2 4 4 9" xfId="23786" xr:uid="{00000000-0005-0000-0000-0000D2580000}"/>
    <cellStyle name="Input 3 2 2 4 5" xfId="23787" xr:uid="{00000000-0005-0000-0000-0000D3580000}"/>
    <cellStyle name="Input 3 2 2 4 5 2" xfId="23788" xr:uid="{00000000-0005-0000-0000-0000D4580000}"/>
    <cellStyle name="Input 3 2 2 4 5 2 2" xfId="23789" xr:uid="{00000000-0005-0000-0000-0000D5580000}"/>
    <cellStyle name="Input 3 2 2 4 5 2 3" xfId="23790" xr:uid="{00000000-0005-0000-0000-0000D6580000}"/>
    <cellStyle name="Input 3 2 2 4 5 3" xfId="23791" xr:uid="{00000000-0005-0000-0000-0000D7580000}"/>
    <cellStyle name="Input 3 2 2 4 5 3 2" xfId="23792" xr:uid="{00000000-0005-0000-0000-0000D8580000}"/>
    <cellStyle name="Input 3 2 2 4 5 3 3" xfId="23793" xr:uid="{00000000-0005-0000-0000-0000D9580000}"/>
    <cellStyle name="Input 3 2 2 4 5 4" xfId="23794" xr:uid="{00000000-0005-0000-0000-0000DA580000}"/>
    <cellStyle name="Input 3 2 2 4 5 4 2" xfId="23795" xr:uid="{00000000-0005-0000-0000-0000DB580000}"/>
    <cellStyle name="Input 3 2 2 4 5 4 3" xfId="23796" xr:uid="{00000000-0005-0000-0000-0000DC580000}"/>
    <cellStyle name="Input 3 2 2 4 5 5" xfId="23797" xr:uid="{00000000-0005-0000-0000-0000DD580000}"/>
    <cellStyle name="Input 3 2 2 4 5 5 2" xfId="23798" xr:uid="{00000000-0005-0000-0000-0000DE580000}"/>
    <cellStyle name="Input 3 2 2 4 5 5 3" xfId="23799" xr:uid="{00000000-0005-0000-0000-0000DF580000}"/>
    <cellStyle name="Input 3 2 2 4 5 6" xfId="23800" xr:uid="{00000000-0005-0000-0000-0000E0580000}"/>
    <cellStyle name="Input 3 2 2 4 5 6 2" xfId="23801" xr:uid="{00000000-0005-0000-0000-0000E1580000}"/>
    <cellStyle name="Input 3 2 2 4 5 6 3" xfId="23802" xr:uid="{00000000-0005-0000-0000-0000E2580000}"/>
    <cellStyle name="Input 3 2 2 4 5 7" xfId="23803" xr:uid="{00000000-0005-0000-0000-0000E3580000}"/>
    <cellStyle name="Input 3 2 2 4 5 7 2" xfId="23804" xr:uid="{00000000-0005-0000-0000-0000E4580000}"/>
    <cellStyle name="Input 3 2 2 4 5 7 3" xfId="23805" xr:uid="{00000000-0005-0000-0000-0000E5580000}"/>
    <cellStyle name="Input 3 2 2 4 5 8" xfId="23806" xr:uid="{00000000-0005-0000-0000-0000E6580000}"/>
    <cellStyle name="Input 3 2 2 4 5 9" xfId="23807" xr:uid="{00000000-0005-0000-0000-0000E7580000}"/>
    <cellStyle name="Input 3 2 2 4 6" xfId="23808" xr:uid="{00000000-0005-0000-0000-0000E8580000}"/>
    <cellStyle name="Input 3 2 2 4 6 2" xfId="23809" xr:uid="{00000000-0005-0000-0000-0000E9580000}"/>
    <cellStyle name="Input 3 2 2 4 6 3" xfId="23810" xr:uid="{00000000-0005-0000-0000-0000EA580000}"/>
    <cellStyle name="Input 3 2 2 4 7" xfId="23811" xr:uid="{00000000-0005-0000-0000-0000EB580000}"/>
    <cellStyle name="Input 3 2 2 4 7 2" xfId="23812" xr:uid="{00000000-0005-0000-0000-0000EC580000}"/>
    <cellStyle name="Input 3 2 2 4 7 3" xfId="23813" xr:uid="{00000000-0005-0000-0000-0000ED580000}"/>
    <cellStyle name="Input 3 2 2 4 8" xfId="23814" xr:uid="{00000000-0005-0000-0000-0000EE580000}"/>
    <cellStyle name="Input 3 2 2 4 8 2" xfId="23815" xr:uid="{00000000-0005-0000-0000-0000EF580000}"/>
    <cellStyle name="Input 3 2 2 4 8 3" xfId="23816" xr:uid="{00000000-0005-0000-0000-0000F0580000}"/>
    <cellStyle name="Input 3 2 2 4 9" xfId="23817" xr:uid="{00000000-0005-0000-0000-0000F1580000}"/>
    <cellStyle name="Input 3 2 2 4 9 2" xfId="23818" xr:uid="{00000000-0005-0000-0000-0000F2580000}"/>
    <cellStyle name="Input 3 2 2 4 9 3" xfId="23819" xr:uid="{00000000-0005-0000-0000-0000F3580000}"/>
    <cellStyle name="Input 3 2 2 5" xfId="23820" xr:uid="{00000000-0005-0000-0000-0000F4580000}"/>
    <cellStyle name="Input 3 2 2 5 10" xfId="44082" xr:uid="{00000000-0005-0000-0000-0000F5580000}"/>
    <cellStyle name="Input 3 2 2 5 2" xfId="23821" xr:uid="{00000000-0005-0000-0000-0000F6580000}"/>
    <cellStyle name="Input 3 2 2 5 2 10" xfId="23822" xr:uid="{00000000-0005-0000-0000-0000F7580000}"/>
    <cellStyle name="Input 3 2 2 5 2 2" xfId="23823" xr:uid="{00000000-0005-0000-0000-0000F8580000}"/>
    <cellStyle name="Input 3 2 2 5 2 2 2" xfId="23824" xr:uid="{00000000-0005-0000-0000-0000F9580000}"/>
    <cellStyle name="Input 3 2 2 5 2 2 2 2" xfId="23825" xr:uid="{00000000-0005-0000-0000-0000FA580000}"/>
    <cellStyle name="Input 3 2 2 5 2 2 2 3" xfId="23826" xr:uid="{00000000-0005-0000-0000-0000FB580000}"/>
    <cellStyle name="Input 3 2 2 5 2 2 3" xfId="23827" xr:uid="{00000000-0005-0000-0000-0000FC580000}"/>
    <cellStyle name="Input 3 2 2 5 2 2 3 2" xfId="23828" xr:uid="{00000000-0005-0000-0000-0000FD580000}"/>
    <cellStyle name="Input 3 2 2 5 2 2 3 3" xfId="23829" xr:uid="{00000000-0005-0000-0000-0000FE580000}"/>
    <cellStyle name="Input 3 2 2 5 2 2 4" xfId="23830" xr:uid="{00000000-0005-0000-0000-0000FF580000}"/>
    <cellStyle name="Input 3 2 2 5 2 2 4 2" xfId="23831" xr:uid="{00000000-0005-0000-0000-000000590000}"/>
    <cellStyle name="Input 3 2 2 5 2 2 4 3" xfId="23832" xr:uid="{00000000-0005-0000-0000-000001590000}"/>
    <cellStyle name="Input 3 2 2 5 2 2 5" xfId="23833" xr:uid="{00000000-0005-0000-0000-000002590000}"/>
    <cellStyle name="Input 3 2 2 5 2 2 5 2" xfId="23834" xr:uid="{00000000-0005-0000-0000-000003590000}"/>
    <cellStyle name="Input 3 2 2 5 2 2 5 3" xfId="23835" xr:uid="{00000000-0005-0000-0000-000004590000}"/>
    <cellStyle name="Input 3 2 2 5 2 2 6" xfId="23836" xr:uid="{00000000-0005-0000-0000-000005590000}"/>
    <cellStyle name="Input 3 2 2 5 2 2 6 2" xfId="23837" xr:uid="{00000000-0005-0000-0000-000006590000}"/>
    <cellStyle name="Input 3 2 2 5 2 2 6 3" xfId="23838" xr:uid="{00000000-0005-0000-0000-000007590000}"/>
    <cellStyle name="Input 3 2 2 5 2 2 7" xfId="23839" xr:uid="{00000000-0005-0000-0000-000008590000}"/>
    <cellStyle name="Input 3 2 2 5 2 2 7 2" xfId="23840" xr:uid="{00000000-0005-0000-0000-000009590000}"/>
    <cellStyle name="Input 3 2 2 5 2 2 7 3" xfId="23841" xr:uid="{00000000-0005-0000-0000-00000A590000}"/>
    <cellStyle name="Input 3 2 2 5 2 2 8" xfId="23842" xr:uid="{00000000-0005-0000-0000-00000B590000}"/>
    <cellStyle name="Input 3 2 2 5 2 2 9" xfId="23843" xr:uid="{00000000-0005-0000-0000-00000C590000}"/>
    <cellStyle name="Input 3 2 2 5 2 3" xfId="23844" xr:uid="{00000000-0005-0000-0000-00000D590000}"/>
    <cellStyle name="Input 3 2 2 5 2 3 2" xfId="23845" xr:uid="{00000000-0005-0000-0000-00000E590000}"/>
    <cellStyle name="Input 3 2 2 5 2 3 3" xfId="23846" xr:uid="{00000000-0005-0000-0000-00000F590000}"/>
    <cellStyle name="Input 3 2 2 5 2 4" xfId="23847" xr:uid="{00000000-0005-0000-0000-000010590000}"/>
    <cellStyle name="Input 3 2 2 5 2 4 2" xfId="23848" xr:uid="{00000000-0005-0000-0000-000011590000}"/>
    <cellStyle name="Input 3 2 2 5 2 4 3" xfId="23849" xr:uid="{00000000-0005-0000-0000-000012590000}"/>
    <cellStyle name="Input 3 2 2 5 2 5" xfId="23850" xr:uid="{00000000-0005-0000-0000-000013590000}"/>
    <cellStyle name="Input 3 2 2 5 2 5 2" xfId="23851" xr:uid="{00000000-0005-0000-0000-000014590000}"/>
    <cellStyle name="Input 3 2 2 5 2 5 3" xfId="23852" xr:uid="{00000000-0005-0000-0000-000015590000}"/>
    <cellStyle name="Input 3 2 2 5 2 6" xfId="23853" xr:uid="{00000000-0005-0000-0000-000016590000}"/>
    <cellStyle name="Input 3 2 2 5 2 6 2" xfId="23854" xr:uid="{00000000-0005-0000-0000-000017590000}"/>
    <cellStyle name="Input 3 2 2 5 2 6 3" xfId="23855" xr:uid="{00000000-0005-0000-0000-000018590000}"/>
    <cellStyle name="Input 3 2 2 5 2 7" xfId="23856" xr:uid="{00000000-0005-0000-0000-000019590000}"/>
    <cellStyle name="Input 3 2 2 5 2 7 2" xfId="23857" xr:uid="{00000000-0005-0000-0000-00001A590000}"/>
    <cellStyle name="Input 3 2 2 5 2 7 3" xfId="23858" xr:uid="{00000000-0005-0000-0000-00001B590000}"/>
    <cellStyle name="Input 3 2 2 5 2 8" xfId="23859" xr:uid="{00000000-0005-0000-0000-00001C590000}"/>
    <cellStyle name="Input 3 2 2 5 2 8 2" xfId="23860" xr:uid="{00000000-0005-0000-0000-00001D590000}"/>
    <cellStyle name="Input 3 2 2 5 2 8 3" xfId="23861" xr:uid="{00000000-0005-0000-0000-00001E590000}"/>
    <cellStyle name="Input 3 2 2 5 2 9" xfId="23862" xr:uid="{00000000-0005-0000-0000-00001F590000}"/>
    <cellStyle name="Input 3 2 2 5 3" xfId="23863" xr:uid="{00000000-0005-0000-0000-000020590000}"/>
    <cellStyle name="Input 3 2 2 5 3 10" xfId="23864" xr:uid="{00000000-0005-0000-0000-000021590000}"/>
    <cellStyle name="Input 3 2 2 5 3 2" xfId="23865" xr:uid="{00000000-0005-0000-0000-000022590000}"/>
    <cellStyle name="Input 3 2 2 5 3 2 2" xfId="23866" xr:uid="{00000000-0005-0000-0000-000023590000}"/>
    <cellStyle name="Input 3 2 2 5 3 2 2 2" xfId="23867" xr:uid="{00000000-0005-0000-0000-000024590000}"/>
    <cellStyle name="Input 3 2 2 5 3 2 2 3" xfId="23868" xr:uid="{00000000-0005-0000-0000-000025590000}"/>
    <cellStyle name="Input 3 2 2 5 3 2 3" xfId="23869" xr:uid="{00000000-0005-0000-0000-000026590000}"/>
    <cellStyle name="Input 3 2 2 5 3 2 3 2" xfId="23870" xr:uid="{00000000-0005-0000-0000-000027590000}"/>
    <cellStyle name="Input 3 2 2 5 3 2 3 3" xfId="23871" xr:uid="{00000000-0005-0000-0000-000028590000}"/>
    <cellStyle name="Input 3 2 2 5 3 2 4" xfId="23872" xr:uid="{00000000-0005-0000-0000-000029590000}"/>
    <cellStyle name="Input 3 2 2 5 3 2 4 2" xfId="23873" xr:uid="{00000000-0005-0000-0000-00002A590000}"/>
    <cellStyle name="Input 3 2 2 5 3 2 4 3" xfId="23874" xr:uid="{00000000-0005-0000-0000-00002B590000}"/>
    <cellStyle name="Input 3 2 2 5 3 2 5" xfId="23875" xr:uid="{00000000-0005-0000-0000-00002C590000}"/>
    <cellStyle name="Input 3 2 2 5 3 2 5 2" xfId="23876" xr:uid="{00000000-0005-0000-0000-00002D590000}"/>
    <cellStyle name="Input 3 2 2 5 3 2 5 3" xfId="23877" xr:uid="{00000000-0005-0000-0000-00002E590000}"/>
    <cellStyle name="Input 3 2 2 5 3 2 6" xfId="23878" xr:uid="{00000000-0005-0000-0000-00002F590000}"/>
    <cellStyle name="Input 3 2 2 5 3 2 6 2" xfId="23879" xr:uid="{00000000-0005-0000-0000-000030590000}"/>
    <cellStyle name="Input 3 2 2 5 3 2 6 3" xfId="23880" xr:uid="{00000000-0005-0000-0000-000031590000}"/>
    <cellStyle name="Input 3 2 2 5 3 2 7" xfId="23881" xr:uid="{00000000-0005-0000-0000-000032590000}"/>
    <cellStyle name="Input 3 2 2 5 3 2 7 2" xfId="23882" xr:uid="{00000000-0005-0000-0000-000033590000}"/>
    <cellStyle name="Input 3 2 2 5 3 2 7 3" xfId="23883" xr:uid="{00000000-0005-0000-0000-000034590000}"/>
    <cellStyle name="Input 3 2 2 5 3 2 8" xfId="23884" xr:uid="{00000000-0005-0000-0000-000035590000}"/>
    <cellStyle name="Input 3 2 2 5 3 2 9" xfId="23885" xr:uid="{00000000-0005-0000-0000-000036590000}"/>
    <cellStyle name="Input 3 2 2 5 3 3" xfId="23886" xr:uid="{00000000-0005-0000-0000-000037590000}"/>
    <cellStyle name="Input 3 2 2 5 3 3 2" xfId="23887" xr:uid="{00000000-0005-0000-0000-000038590000}"/>
    <cellStyle name="Input 3 2 2 5 3 3 3" xfId="23888" xr:uid="{00000000-0005-0000-0000-000039590000}"/>
    <cellStyle name="Input 3 2 2 5 3 4" xfId="23889" xr:uid="{00000000-0005-0000-0000-00003A590000}"/>
    <cellStyle name="Input 3 2 2 5 3 4 2" xfId="23890" xr:uid="{00000000-0005-0000-0000-00003B590000}"/>
    <cellStyle name="Input 3 2 2 5 3 4 3" xfId="23891" xr:uid="{00000000-0005-0000-0000-00003C590000}"/>
    <cellStyle name="Input 3 2 2 5 3 5" xfId="23892" xr:uid="{00000000-0005-0000-0000-00003D590000}"/>
    <cellStyle name="Input 3 2 2 5 3 5 2" xfId="23893" xr:uid="{00000000-0005-0000-0000-00003E590000}"/>
    <cellStyle name="Input 3 2 2 5 3 5 3" xfId="23894" xr:uid="{00000000-0005-0000-0000-00003F590000}"/>
    <cellStyle name="Input 3 2 2 5 3 6" xfId="23895" xr:uid="{00000000-0005-0000-0000-000040590000}"/>
    <cellStyle name="Input 3 2 2 5 3 6 2" xfId="23896" xr:uid="{00000000-0005-0000-0000-000041590000}"/>
    <cellStyle name="Input 3 2 2 5 3 6 3" xfId="23897" xr:uid="{00000000-0005-0000-0000-000042590000}"/>
    <cellStyle name="Input 3 2 2 5 3 7" xfId="23898" xr:uid="{00000000-0005-0000-0000-000043590000}"/>
    <cellStyle name="Input 3 2 2 5 3 7 2" xfId="23899" xr:uid="{00000000-0005-0000-0000-000044590000}"/>
    <cellStyle name="Input 3 2 2 5 3 7 3" xfId="23900" xr:uid="{00000000-0005-0000-0000-000045590000}"/>
    <cellStyle name="Input 3 2 2 5 3 8" xfId="23901" xr:uid="{00000000-0005-0000-0000-000046590000}"/>
    <cellStyle name="Input 3 2 2 5 3 8 2" xfId="23902" xr:uid="{00000000-0005-0000-0000-000047590000}"/>
    <cellStyle name="Input 3 2 2 5 3 8 3" xfId="23903" xr:uid="{00000000-0005-0000-0000-000048590000}"/>
    <cellStyle name="Input 3 2 2 5 3 9" xfId="23904" xr:uid="{00000000-0005-0000-0000-000049590000}"/>
    <cellStyle name="Input 3 2 2 5 4" xfId="23905" xr:uid="{00000000-0005-0000-0000-00004A590000}"/>
    <cellStyle name="Input 3 2 2 5 4 10" xfId="23906" xr:uid="{00000000-0005-0000-0000-00004B590000}"/>
    <cellStyle name="Input 3 2 2 5 4 2" xfId="23907" xr:uid="{00000000-0005-0000-0000-00004C590000}"/>
    <cellStyle name="Input 3 2 2 5 4 2 2" xfId="23908" xr:uid="{00000000-0005-0000-0000-00004D590000}"/>
    <cellStyle name="Input 3 2 2 5 4 2 2 2" xfId="23909" xr:uid="{00000000-0005-0000-0000-00004E590000}"/>
    <cellStyle name="Input 3 2 2 5 4 2 2 3" xfId="23910" xr:uid="{00000000-0005-0000-0000-00004F590000}"/>
    <cellStyle name="Input 3 2 2 5 4 2 3" xfId="23911" xr:uid="{00000000-0005-0000-0000-000050590000}"/>
    <cellStyle name="Input 3 2 2 5 4 2 3 2" xfId="23912" xr:uid="{00000000-0005-0000-0000-000051590000}"/>
    <cellStyle name="Input 3 2 2 5 4 2 3 3" xfId="23913" xr:uid="{00000000-0005-0000-0000-000052590000}"/>
    <cellStyle name="Input 3 2 2 5 4 2 4" xfId="23914" xr:uid="{00000000-0005-0000-0000-000053590000}"/>
    <cellStyle name="Input 3 2 2 5 4 2 4 2" xfId="23915" xr:uid="{00000000-0005-0000-0000-000054590000}"/>
    <cellStyle name="Input 3 2 2 5 4 2 4 3" xfId="23916" xr:uid="{00000000-0005-0000-0000-000055590000}"/>
    <cellStyle name="Input 3 2 2 5 4 2 5" xfId="23917" xr:uid="{00000000-0005-0000-0000-000056590000}"/>
    <cellStyle name="Input 3 2 2 5 4 2 5 2" xfId="23918" xr:uid="{00000000-0005-0000-0000-000057590000}"/>
    <cellStyle name="Input 3 2 2 5 4 2 5 3" xfId="23919" xr:uid="{00000000-0005-0000-0000-000058590000}"/>
    <cellStyle name="Input 3 2 2 5 4 2 6" xfId="23920" xr:uid="{00000000-0005-0000-0000-000059590000}"/>
    <cellStyle name="Input 3 2 2 5 4 2 6 2" xfId="23921" xr:uid="{00000000-0005-0000-0000-00005A590000}"/>
    <cellStyle name="Input 3 2 2 5 4 2 6 3" xfId="23922" xr:uid="{00000000-0005-0000-0000-00005B590000}"/>
    <cellStyle name="Input 3 2 2 5 4 2 7" xfId="23923" xr:uid="{00000000-0005-0000-0000-00005C590000}"/>
    <cellStyle name="Input 3 2 2 5 4 2 7 2" xfId="23924" xr:uid="{00000000-0005-0000-0000-00005D590000}"/>
    <cellStyle name="Input 3 2 2 5 4 2 7 3" xfId="23925" xr:uid="{00000000-0005-0000-0000-00005E590000}"/>
    <cellStyle name="Input 3 2 2 5 4 2 8" xfId="23926" xr:uid="{00000000-0005-0000-0000-00005F590000}"/>
    <cellStyle name="Input 3 2 2 5 4 2 9" xfId="23927" xr:uid="{00000000-0005-0000-0000-000060590000}"/>
    <cellStyle name="Input 3 2 2 5 4 3" xfId="23928" xr:uid="{00000000-0005-0000-0000-000061590000}"/>
    <cellStyle name="Input 3 2 2 5 4 3 2" xfId="23929" xr:uid="{00000000-0005-0000-0000-000062590000}"/>
    <cellStyle name="Input 3 2 2 5 4 3 3" xfId="23930" xr:uid="{00000000-0005-0000-0000-000063590000}"/>
    <cellStyle name="Input 3 2 2 5 4 4" xfId="23931" xr:uid="{00000000-0005-0000-0000-000064590000}"/>
    <cellStyle name="Input 3 2 2 5 4 4 2" xfId="23932" xr:uid="{00000000-0005-0000-0000-000065590000}"/>
    <cellStyle name="Input 3 2 2 5 4 4 3" xfId="23933" xr:uid="{00000000-0005-0000-0000-000066590000}"/>
    <cellStyle name="Input 3 2 2 5 4 5" xfId="23934" xr:uid="{00000000-0005-0000-0000-000067590000}"/>
    <cellStyle name="Input 3 2 2 5 4 5 2" xfId="23935" xr:uid="{00000000-0005-0000-0000-000068590000}"/>
    <cellStyle name="Input 3 2 2 5 4 5 3" xfId="23936" xr:uid="{00000000-0005-0000-0000-000069590000}"/>
    <cellStyle name="Input 3 2 2 5 4 6" xfId="23937" xr:uid="{00000000-0005-0000-0000-00006A590000}"/>
    <cellStyle name="Input 3 2 2 5 4 6 2" xfId="23938" xr:uid="{00000000-0005-0000-0000-00006B590000}"/>
    <cellStyle name="Input 3 2 2 5 4 6 3" xfId="23939" xr:uid="{00000000-0005-0000-0000-00006C590000}"/>
    <cellStyle name="Input 3 2 2 5 4 7" xfId="23940" xr:uid="{00000000-0005-0000-0000-00006D590000}"/>
    <cellStyle name="Input 3 2 2 5 4 7 2" xfId="23941" xr:uid="{00000000-0005-0000-0000-00006E590000}"/>
    <cellStyle name="Input 3 2 2 5 4 7 3" xfId="23942" xr:uid="{00000000-0005-0000-0000-00006F590000}"/>
    <cellStyle name="Input 3 2 2 5 4 8" xfId="23943" xr:uid="{00000000-0005-0000-0000-000070590000}"/>
    <cellStyle name="Input 3 2 2 5 4 8 2" xfId="23944" xr:uid="{00000000-0005-0000-0000-000071590000}"/>
    <cellStyle name="Input 3 2 2 5 4 8 3" xfId="23945" xr:uid="{00000000-0005-0000-0000-000072590000}"/>
    <cellStyle name="Input 3 2 2 5 4 9" xfId="23946" xr:uid="{00000000-0005-0000-0000-000073590000}"/>
    <cellStyle name="Input 3 2 2 5 5" xfId="23947" xr:uid="{00000000-0005-0000-0000-000074590000}"/>
    <cellStyle name="Input 3 2 2 5 5 2" xfId="23948" xr:uid="{00000000-0005-0000-0000-000075590000}"/>
    <cellStyle name="Input 3 2 2 5 5 2 2" xfId="23949" xr:uid="{00000000-0005-0000-0000-000076590000}"/>
    <cellStyle name="Input 3 2 2 5 5 2 3" xfId="23950" xr:uid="{00000000-0005-0000-0000-000077590000}"/>
    <cellStyle name="Input 3 2 2 5 5 3" xfId="23951" xr:uid="{00000000-0005-0000-0000-000078590000}"/>
    <cellStyle name="Input 3 2 2 5 5 3 2" xfId="23952" xr:uid="{00000000-0005-0000-0000-000079590000}"/>
    <cellStyle name="Input 3 2 2 5 5 3 3" xfId="23953" xr:uid="{00000000-0005-0000-0000-00007A590000}"/>
    <cellStyle name="Input 3 2 2 5 5 4" xfId="23954" xr:uid="{00000000-0005-0000-0000-00007B590000}"/>
    <cellStyle name="Input 3 2 2 5 5 4 2" xfId="23955" xr:uid="{00000000-0005-0000-0000-00007C590000}"/>
    <cellStyle name="Input 3 2 2 5 5 4 3" xfId="23956" xr:uid="{00000000-0005-0000-0000-00007D590000}"/>
    <cellStyle name="Input 3 2 2 5 5 5" xfId="23957" xr:uid="{00000000-0005-0000-0000-00007E590000}"/>
    <cellStyle name="Input 3 2 2 5 5 5 2" xfId="23958" xr:uid="{00000000-0005-0000-0000-00007F590000}"/>
    <cellStyle name="Input 3 2 2 5 5 5 3" xfId="23959" xr:uid="{00000000-0005-0000-0000-000080590000}"/>
    <cellStyle name="Input 3 2 2 5 5 6" xfId="23960" xr:uid="{00000000-0005-0000-0000-000081590000}"/>
    <cellStyle name="Input 3 2 2 5 5 6 2" xfId="23961" xr:uid="{00000000-0005-0000-0000-000082590000}"/>
    <cellStyle name="Input 3 2 2 5 5 6 3" xfId="23962" xr:uid="{00000000-0005-0000-0000-000083590000}"/>
    <cellStyle name="Input 3 2 2 5 5 7" xfId="23963" xr:uid="{00000000-0005-0000-0000-000084590000}"/>
    <cellStyle name="Input 3 2 2 5 5 7 2" xfId="23964" xr:uid="{00000000-0005-0000-0000-000085590000}"/>
    <cellStyle name="Input 3 2 2 5 5 7 3" xfId="23965" xr:uid="{00000000-0005-0000-0000-000086590000}"/>
    <cellStyle name="Input 3 2 2 5 5 8" xfId="23966" xr:uid="{00000000-0005-0000-0000-000087590000}"/>
    <cellStyle name="Input 3 2 2 5 5 9" xfId="23967" xr:uid="{00000000-0005-0000-0000-000088590000}"/>
    <cellStyle name="Input 3 2 2 5 6" xfId="23968" xr:uid="{00000000-0005-0000-0000-000089590000}"/>
    <cellStyle name="Input 3 2 2 5 6 2" xfId="23969" xr:uid="{00000000-0005-0000-0000-00008A590000}"/>
    <cellStyle name="Input 3 2 2 5 6 3" xfId="23970" xr:uid="{00000000-0005-0000-0000-00008B590000}"/>
    <cellStyle name="Input 3 2 2 5 7" xfId="23971" xr:uid="{00000000-0005-0000-0000-00008C590000}"/>
    <cellStyle name="Input 3 2 2 5 7 2" xfId="23972" xr:uid="{00000000-0005-0000-0000-00008D590000}"/>
    <cellStyle name="Input 3 2 2 5 7 3" xfId="23973" xr:uid="{00000000-0005-0000-0000-00008E590000}"/>
    <cellStyle name="Input 3 2 2 5 8" xfId="23974" xr:uid="{00000000-0005-0000-0000-00008F590000}"/>
    <cellStyle name="Input 3 2 2 5 8 2" xfId="23975" xr:uid="{00000000-0005-0000-0000-000090590000}"/>
    <cellStyle name="Input 3 2 2 5 8 3" xfId="23976" xr:uid="{00000000-0005-0000-0000-000091590000}"/>
    <cellStyle name="Input 3 2 2 5 9" xfId="23977" xr:uid="{00000000-0005-0000-0000-000092590000}"/>
    <cellStyle name="Input 3 2 2 5 9 2" xfId="23978" xr:uid="{00000000-0005-0000-0000-000093590000}"/>
    <cellStyle name="Input 3 2 2 5 9 3" xfId="23979" xr:uid="{00000000-0005-0000-0000-000094590000}"/>
    <cellStyle name="Input 3 2 2 6" xfId="23980" xr:uid="{00000000-0005-0000-0000-000095590000}"/>
    <cellStyle name="Input 3 2 2 6 10" xfId="23981" xr:uid="{00000000-0005-0000-0000-000096590000}"/>
    <cellStyle name="Input 3 2 2 6 2" xfId="23982" xr:uid="{00000000-0005-0000-0000-000097590000}"/>
    <cellStyle name="Input 3 2 2 6 2 2" xfId="23983" xr:uid="{00000000-0005-0000-0000-000098590000}"/>
    <cellStyle name="Input 3 2 2 6 2 2 2" xfId="23984" xr:uid="{00000000-0005-0000-0000-000099590000}"/>
    <cellStyle name="Input 3 2 2 6 2 2 3" xfId="23985" xr:uid="{00000000-0005-0000-0000-00009A590000}"/>
    <cellStyle name="Input 3 2 2 6 2 3" xfId="23986" xr:uid="{00000000-0005-0000-0000-00009B590000}"/>
    <cellStyle name="Input 3 2 2 6 2 3 2" xfId="23987" xr:uid="{00000000-0005-0000-0000-00009C590000}"/>
    <cellStyle name="Input 3 2 2 6 2 3 3" xfId="23988" xr:uid="{00000000-0005-0000-0000-00009D590000}"/>
    <cellStyle name="Input 3 2 2 6 2 4" xfId="23989" xr:uid="{00000000-0005-0000-0000-00009E590000}"/>
    <cellStyle name="Input 3 2 2 6 2 4 2" xfId="23990" xr:uid="{00000000-0005-0000-0000-00009F590000}"/>
    <cellStyle name="Input 3 2 2 6 2 4 3" xfId="23991" xr:uid="{00000000-0005-0000-0000-0000A0590000}"/>
    <cellStyle name="Input 3 2 2 6 2 5" xfId="23992" xr:uid="{00000000-0005-0000-0000-0000A1590000}"/>
    <cellStyle name="Input 3 2 2 6 2 5 2" xfId="23993" xr:uid="{00000000-0005-0000-0000-0000A2590000}"/>
    <cellStyle name="Input 3 2 2 6 2 5 3" xfId="23994" xr:uid="{00000000-0005-0000-0000-0000A3590000}"/>
    <cellStyle name="Input 3 2 2 6 2 6" xfId="23995" xr:uid="{00000000-0005-0000-0000-0000A4590000}"/>
    <cellStyle name="Input 3 2 2 6 2 6 2" xfId="23996" xr:uid="{00000000-0005-0000-0000-0000A5590000}"/>
    <cellStyle name="Input 3 2 2 6 2 6 3" xfId="23997" xr:uid="{00000000-0005-0000-0000-0000A6590000}"/>
    <cellStyle name="Input 3 2 2 6 2 7" xfId="23998" xr:uid="{00000000-0005-0000-0000-0000A7590000}"/>
    <cellStyle name="Input 3 2 2 6 2 7 2" xfId="23999" xr:uid="{00000000-0005-0000-0000-0000A8590000}"/>
    <cellStyle name="Input 3 2 2 6 2 7 3" xfId="24000" xr:uid="{00000000-0005-0000-0000-0000A9590000}"/>
    <cellStyle name="Input 3 2 2 6 2 8" xfId="24001" xr:uid="{00000000-0005-0000-0000-0000AA590000}"/>
    <cellStyle name="Input 3 2 2 6 2 9" xfId="24002" xr:uid="{00000000-0005-0000-0000-0000AB590000}"/>
    <cellStyle name="Input 3 2 2 6 3" xfId="24003" xr:uid="{00000000-0005-0000-0000-0000AC590000}"/>
    <cellStyle name="Input 3 2 2 6 3 2" xfId="24004" xr:uid="{00000000-0005-0000-0000-0000AD590000}"/>
    <cellStyle name="Input 3 2 2 6 3 3" xfId="24005" xr:uid="{00000000-0005-0000-0000-0000AE590000}"/>
    <cellStyle name="Input 3 2 2 6 4" xfId="24006" xr:uid="{00000000-0005-0000-0000-0000AF590000}"/>
    <cellStyle name="Input 3 2 2 6 4 2" xfId="24007" xr:uid="{00000000-0005-0000-0000-0000B0590000}"/>
    <cellStyle name="Input 3 2 2 6 4 3" xfId="24008" xr:uid="{00000000-0005-0000-0000-0000B1590000}"/>
    <cellStyle name="Input 3 2 2 6 5" xfId="24009" xr:uid="{00000000-0005-0000-0000-0000B2590000}"/>
    <cellStyle name="Input 3 2 2 6 5 2" xfId="24010" xr:uid="{00000000-0005-0000-0000-0000B3590000}"/>
    <cellStyle name="Input 3 2 2 6 5 3" xfId="24011" xr:uid="{00000000-0005-0000-0000-0000B4590000}"/>
    <cellStyle name="Input 3 2 2 6 6" xfId="24012" xr:uid="{00000000-0005-0000-0000-0000B5590000}"/>
    <cellStyle name="Input 3 2 2 6 6 2" xfId="24013" xr:uid="{00000000-0005-0000-0000-0000B6590000}"/>
    <cellStyle name="Input 3 2 2 6 6 3" xfId="24014" xr:uid="{00000000-0005-0000-0000-0000B7590000}"/>
    <cellStyle name="Input 3 2 2 6 7" xfId="24015" xr:uid="{00000000-0005-0000-0000-0000B8590000}"/>
    <cellStyle name="Input 3 2 2 6 7 2" xfId="24016" xr:uid="{00000000-0005-0000-0000-0000B9590000}"/>
    <cellStyle name="Input 3 2 2 6 7 3" xfId="24017" xr:uid="{00000000-0005-0000-0000-0000BA590000}"/>
    <cellStyle name="Input 3 2 2 6 8" xfId="24018" xr:uid="{00000000-0005-0000-0000-0000BB590000}"/>
    <cellStyle name="Input 3 2 2 6 8 2" xfId="24019" xr:uid="{00000000-0005-0000-0000-0000BC590000}"/>
    <cellStyle name="Input 3 2 2 6 8 3" xfId="24020" xr:uid="{00000000-0005-0000-0000-0000BD590000}"/>
    <cellStyle name="Input 3 2 2 6 9" xfId="24021" xr:uid="{00000000-0005-0000-0000-0000BE590000}"/>
    <cellStyle name="Input 3 2 2 7" xfId="24022" xr:uid="{00000000-0005-0000-0000-0000BF590000}"/>
    <cellStyle name="Input 3 2 2 7 10" xfId="24023" xr:uid="{00000000-0005-0000-0000-0000C0590000}"/>
    <cellStyle name="Input 3 2 2 7 2" xfId="24024" xr:uid="{00000000-0005-0000-0000-0000C1590000}"/>
    <cellStyle name="Input 3 2 2 7 2 2" xfId="24025" xr:uid="{00000000-0005-0000-0000-0000C2590000}"/>
    <cellStyle name="Input 3 2 2 7 2 2 2" xfId="24026" xr:uid="{00000000-0005-0000-0000-0000C3590000}"/>
    <cellStyle name="Input 3 2 2 7 2 2 3" xfId="24027" xr:uid="{00000000-0005-0000-0000-0000C4590000}"/>
    <cellStyle name="Input 3 2 2 7 2 3" xfId="24028" xr:uid="{00000000-0005-0000-0000-0000C5590000}"/>
    <cellStyle name="Input 3 2 2 7 2 3 2" xfId="24029" xr:uid="{00000000-0005-0000-0000-0000C6590000}"/>
    <cellStyle name="Input 3 2 2 7 2 3 3" xfId="24030" xr:uid="{00000000-0005-0000-0000-0000C7590000}"/>
    <cellStyle name="Input 3 2 2 7 2 4" xfId="24031" xr:uid="{00000000-0005-0000-0000-0000C8590000}"/>
    <cellStyle name="Input 3 2 2 7 2 4 2" xfId="24032" xr:uid="{00000000-0005-0000-0000-0000C9590000}"/>
    <cellStyle name="Input 3 2 2 7 2 4 3" xfId="24033" xr:uid="{00000000-0005-0000-0000-0000CA590000}"/>
    <cellStyle name="Input 3 2 2 7 2 5" xfId="24034" xr:uid="{00000000-0005-0000-0000-0000CB590000}"/>
    <cellStyle name="Input 3 2 2 7 2 5 2" xfId="24035" xr:uid="{00000000-0005-0000-0000-0000CC590000}"/>
    <cellStyle name="Input 3 2 2 7 2 5 3" xfId="24036" xr:uid="{00000000-0005-0000-0000-0000CD590000}"/>
    <cellStyle name="Input 3 2 2 7 2 6" xfId="24037" xr:uid="{00000000-0005-0000-0000-0000CE590000}"/>
    <cellStyle name="Input 3 2 2 7 2 6 2" xfId="24038" xr:uid="{00000000-0005-0000-0000-0000CF590000}"/>
    <cellStyle name="Input 3 2 2 7 2 6 3" xfId="24039" xr:uid="{00000000-0005-0000-0000-0000D0590000}"/>
    <cellStyle name="Input 3 2 2 7 2 7" xfId="24040" xr:uid="{00000000-0005-0000-0000-0000D1590000}"/>
    <cellStyle name="Input 3 2 2 7 2 7 2" xfId="24041" xr:uid="{00000000-0005-0000-0000-0000D2590000}"/>
    <cellStyle name="Input 3 2 2 7 2 7 3" xfId="24042" xr:uid="{00000000-0005-0000-0000-0000D3590000}"/>
    <cellStyle name="Input 3 2 2 7 2 8" xfId="24043" xr:uid="{00000000-0005-0000-0000-0000D4590000}"/>
    <cellStyle name="Input 3 2 2 7 2 9" xfId="24044" xr:uid="{00000000-0005-0000-0000-0000D5590000}"/>
    <cellStyle name="Input 3 2 2 7 3" xfId="24045" xr:uid="{00000000-0005-0000-0000-0000D6590000}"/>
    <cellStyle name="Input 3 2 2 7 3 2" xfId="24046" xr:uid="{00000000-0005-0000-0000-0000D7590000}"/>
    <cellStyle name="Input 3 2 2 7 3 3" xfId="24047" xr:uid="{00000000-0005-0000-0000-0000D8590000}"/>
    <cellStyle name="Input 3 2 2 7 4" xfId="24048" xr:uid="{00000000-0005-0000-0000-0000D9590000}"/>
    <cellStyle name="Input 3 2 2 7 4 2" xfId="24049" xr:uid="{00000000-0005-0000-0000-0000DA590000}"/>
    <cellStyle name="Input 3 2 2 7 4 3" xfId="24050" xr:uid="{00000000-0005-0000-0000-0000DB590000}"/>
    <cellStyle name="Input 3 2 2 7 5" xfId="24051" xr:uid="{00000000-0005-0000-0000-0000DC590000}"/>
    <cellStyle name="Input 3 2 2 7 5 2" xfId="24052" xr:uid="{00000000-0005-0000-0000-0000DD590000}"/>
    <cellStyle name="Input 3 2 2 7 5 3" xfId="24053" xr:uid="{00000000-0005-0000-0000-0000DE590000}"/>
    <cellStyle name="Input 3 2 2 7 6" xfId="24054" xr:uid="{00000000-0005-0000-0000-0000DF590000}"/>
    <cellStyle name="Input 3 2 2 7 6 2" xfId="24055" xr:uid="{00000000-0005-0000-0000-0000E0590000}"/>
    <cellStyle name="Input 3 2 2 7 6 3" xfId="24056" xr:uid="{00000000-0005-0000-0000-0000E1590000}"/>
    <cellStyle name="Input 3 2 2 7 7" xfId="24057" xr:uid="{00000000-0005-0000-0000-0000E2590000}"/>
    <cellStyle name="Input 3 2 2 7 7 2" xfId="24058" xr:uid="{00000000-0005-0000-0000-0000E3590000}"/>
    <cellStyle name="Input 3 2 2 7 7 3" xfId="24059" xr:uid="{00000000-0005-0000-0000-0000E4590000}"/>
    <cellStyle name="Input 3 2 2 7 8" xfId="24060" xr:uid="{00000000-0005-0000-0000-0000E5590000}"/>
    <cellStyle name="Input 3 2 2 7 8 2" xfId="24061" xr:uid="{00000000-0005-0000-0000-0000E6590000}"/>
    <cellStyle name="Input 3 2 2 7 8 3" xfId="24062" xr:uid="{00000000-0005-0000-0000-0000E7590000}"/>
    <cellStyle name="Input 3 2 2 7 9" xfId="24063" xr:uid="{00000000-0005-0000-0000-0000E8590000}"/>
    <cellStyle name="Input 3 2 2 8" xfId="24064" xr:uid="{00000000-0005-0000-0000-0000E9590000}"/>
    <cellStyle name="Input 3 2 2 8 10" xfId="24065" xr:uid="{00000000-0005-0000-0000-0000EA590000}"/>
    <cellStyle name="Input 3 2 2 8 2" xfId="24066" xr:uid="{00000000-0005-0000-0000-0000EB590000}"/>
    <cellStyle name="Input 3 2 2 8 2 2" xfId="24067" xr:uid="{00000000-0005-0000-0000-0000EC590000}"/>
    <cellStyle name="Input 3 2 2 8 2 2 2" xfId="24068" xr:uid="{00000000-0005-0000-0000-0000ED590000}"/>
    <cellStyle name="Input 3 2 2 8 2 2 3" xfId="24069" xr:uid="{00000000-0005-0000-0000-0000EE590000}"/>
    <cellStyle name="Input 3 2 2 8 2 3" xfId="24070" xr:uid="{00000000-0005-0000-0000-0000EF590000}"/>
    <cellStyle name="Input 3 2 2 8 2 3 2" xfId="24071" xr:uid="{00000000-0005-0000-0000-0000F0590000}"/>
    <cellStyle name="Input 3 2 2 8 2 3 3" xfId="24072" xr:uid="{00000000-0005-0000-0000-0000F1590000}"/>
    <cellStyle name="Input 3 2 2 8 2 4" xfId="24073" xr:uid="{00000000-0005-0000-0000-0000F2590000}"/>
    <cellStyle name="Input 3 2 2 8 2 4 2" xfId="24074" xr:uid="{00000000-0005-0000-0000-0000F3590000}"/>
    <cellStyle name="Input 3 2 2 8 2 4 3" xfId="24075" xr:uid="{00000000-0005-0000-0000-0000F4590000}"/>
    <cellStyle name="Input 3 2 2 8 2 5" xfId="24076" xr:uid="{00000000-0005-0000-0000-0000F5590000}"/>
    <cellStyle name="Input 3 2 2 8 2 5 2" xfId="24077" xr:uid="{00000000-0005-0000-0000-0000F6590000}"/>
    <cellStyle name="Input 3 2 2 8 2 5 3" xfId="24078" xr:uid="{00000000-0005-0000-0000-0000F7590000}"/>
    <cellStyle name="Input 3 2 2 8 2 6" xfId="24079" xr:uid="{00000000-0005-0000-0000-0000F8590000}"/>
    <cellStyle name="Input 3 2 2 8 2 6 2" xfId="24080" xr:uid="{00000000-0005-0000-0000-0000F9590000}"/>
    <cellStyle name="Input 3 2 2 8 2 6 3" xfId="24081" xr:uid="{00000000-0005-0000-0000-0000FA590000}"/>
    <cellStyle name="Input 3 2 2 8 2 7" xfId="24082" xr:uid="{00000000-0005-0000-0000-0000FB590000}"/>
    <cellStyle name="Input 3 2 2 8 2 7 2" xfId="24083" xr:uid="{00000000-0005-0000-0000-0000FC590000}"/>
    <cellStyle name="Input 3 2 2 8 2 7 3" xfId="24084" xr:uid="{00000000-0005-0000-0000-0000FD590000}"/>
    <cellStyle name="Input 3 2 2 8 2 8" xfId="24085" xr:uid="{00000000-0005-0000-0000-0000FE590000}"/>
    <cellStyle name="Input 3 2 2 8 2 9" xfId="24086" xr:uid="{00000000-0005-0000-0000-0000FF590000}"/>
    <cellStyle name="Input 3 2 2 8 3" xfId="24087" xr:uid="{00000000-0005-0000-0000-0000005A0000}"/>
    <cellStyle name="Input 3 2 2 8 3 2" xfId="24088" xr:uid="{00000000-0005-0000-0000-0000015A0000}"/>
    <cellStyle name="Input 3 2 2 8 3 3" xfId="24089" xr:uid="{00000000-0005-0000-0000-0000025A0000}"/>
    <cellStyle name="Input 3 2 2 8 4" xfId="24090" xr:uid="{00000000-0005-0000-0000-0000035A0000}"/>
    <cellStyle name="Input 3 2 2 8 4 2" xfId="24091" xr:uid="{00000000-0005-0000-0000-0000045A0000}"/>
    <cellStyle name="Input 3 2 2 8 4 3" xfId="24092" xr:uid="{00000000-0005-0000-0000-0000055A0000}"/>
    <cellStyle name="Input 3 2 2 8 5" xfId="24093" xr:uid="{00000000-0005-0000-0000-0000065A0000}"/>
    <cellStyle name="Input 3 2 2 8 5 2" xfId="24094" xr:uid="{00000000-0005-0000-0000-0000075A0000}"/>
    <cellStyle name="Input 3 2 2 8 5 3" xfId="24095" xr:uid="{00000000-0005-0000-0000-0000085A0000}"/>
    <cellStyle name="Input 3 2 2 8 6" xfId="24096" xr:uid="{00000000-0005-0000-0000-0000095A0000}"/>
    <cellStyle name="Input 3 2 2 8 6 2" xfId="24097" xr:uid="{00000000-0005-0000-0000-00000A5A0000}"/>
    <cellStyle name="Input 3 2 2 8 6 3" xfId="24098" xr:uid="{00000000-0005-0000-0000-00000B5A0000}"/>
    <cellStyle name="Input 3 2 2 8 7" xfId="24099" xr:uid="{00000000-0005-0000-0000-00000C5A0000}"/>
    <cellStyle name="Input 3 2 2 8 7 2" xfId="24100" xr:uid="{00000000-0005-0000-0000-00000D5A0000}"/>
    <cellStyle name="Input 3 2 2 8 7 3" xfId="24101" xr:uid="{00000000-0005-0000-0000-00000E5A0000}"/>
    <cellStyle name="Input 3 2 2 8 8" xfId="24102" xr:uid="{00000000-0005-0000-0000-00000F5A0000}"/>
    <cellStyle name="Input 3 2 2 8 8 2" xfId="24103" xr:uid="{00000000-0005-0000-0000-0000105A0000}"/>
    <cellStyle name="Input 3 2 2 8 8 3" xfId="24104" xr:uid="{00000000-0005-0000-0000-0000115A0000}"/>
    <cellStyle name="Input 3 2 2 8 9" xfId="24105" xr:uid="{00000000-0005-0000-0000-0000125A0000}"/>
    <cellStyle name="Input 3 2 2 9" xfId="24106" xr:uid="{00000000-0005-0000-0000-0000135A0000}"/>
    <cellStyle name="Input 3 2 2 9 2" xfId="24107" xr:uid="{00000000-0005-0000-0000-0000145A0000}"/>
    <cellStyle name="Input 3 2 2 9 2 2" xfId="24108" xr:uid="{00000000-0005-0000-0000-0000155A0000}"/>
    <cellStyle name="Input 3 2 2 9 2 3" xfId="24109" xr:uid="{00000000-0005-0000-0000-0000165A0000}"/>
    <cellStyle name="Input 3 2 2 9 3" xfId="24110" xr:uid="{00000000-0005-0000-0000-0000175A0000}"/>
    <cellStyle name="Input 3 2 2 9 3 2" xfId="24111" xr:uid="{00000000-0005-0000-0000-0000185A0000}"/>
    <cellStyle name="Input 3 2 2 9 3 3" xfId="24112" xr:uid="{00000000-0005-0000-0000-0000195A0000}"/>
    <cellStyle name="Input 3 2 2 9 4" xfId="24113" xr:uid="{00000000-0005-0000-0000-00001A5A0000}"/>
    <cellStyle name="Input 3 2 2 9 4 2" xfId="24114" xr:uid="{00000000-0005-0000-0000-00001B5A0000}"/>
    <cellStyle name="Input 3 2 2 9 4 3" xfId="24115" xr:uid="{00000000-0005-0000-0000-00001C5A0000}"/>
    <cellStyle name="Input 3 2 2 9 5" xfId="24116" xr:uid="{00000000-0005-0000-0000-00001D5A0000}"/>
    <cellStyle name="Input 3 2 2 9 5 2" xfId="24117" xr:uid="{00000000-0005-0000-0000-00001E5A0000}"/>
    <cellStyle name="Input 3 2 2 9 5 3" xfId="24118" xr:uid="{00000000-0005-0000-0000-00001F5A0000}"/>
    <cellStyle name="Input 3 2 2 9 6" xfId="24119" xr:uid="{00000000-0005-0000-0000-0000205A0000}"/>
    <cellStyle name="Input 3 2 2 9 6 2" xfId="24120" xr:uid="{00000000-0005-0000-0000-0000215A0000}"/>
    <cellStyle name="Input 3 2 2 9 6 3" xfId="24121" xr:uid="{00000000-0005-0000-0000-0000225A0000}"/>
    <cellStyle name="Input 3 2 2 9 7" xfId="24122" xr:uid="{00000000-0005-0000-0000-0000235A0000}"/>
    <cellStyle name="Input 3 2 2 9 7 2" xfId="24123" xr:uid="{00000000-0005-0000-0000-0000245A0000}"/>
    <cellStyle name="Input 3 2 2 9 7 3" xfId="24124" xr:uid="{00000000-0005-0000-0000-0000255A0000}"/>
    <cellStyle name="Input 3 2 2 9 8" xfId="24125" xr:uid="{00000000-0005-0000-0000-0000265A0000}"/>
    <cellStyle name="Input 3 2 2 9 9" xfId="24126" xr:uid="{00000000-0005-0000-0000-0000275A0000}"/>
    <cellStyle name="Input 3 2 3" xfId="24127" xr:uid="{00000000-0005-0000-0000-0000285A0000}"/>
    <cellStyle name="Input 3 2 3 10" xfId="24128" xr:uid="{00000000-0005-0000-0000-0000295A0000}"/>
    <cellStyle name="Input 3 2 3 10 2" xfId="24129" xr:uid="{00000000-0005-0000-0000-00002A5A0000}"/>
    <cellStyle name="Input 3 2 3 10 3" xfId="24130" xr:uid="{00000000-0005-0000-0000-00002B5A0000}"/>
    <cellStyle name="Input 3 2 3 11" xfId="24131" xr:uid="{00000000-0005-0000-0000-00002C5A0000}"/>
    <cellStyle name="Input 3 2 3 11 2" xfId="24132" xr:uid="{00000000-0005-0000-0000-00002D5A0000}"/>
    <cellStyle name="Input 3 2 3 11 3" xfId="24133" xr:uid="{00000000-0005-0000-0000-00002E5A0000}"/>
    <cellStyle name="Input 3 2 3 12" xfId="44083" xr:uid="{00000000-0005-0000-0000-00002F5A0000}"/>
    <cellStyle name="Input 3 2 3 2" xfId="24134" xr:uid="{00000000-0005-0000-0000-0000305A0000}"/>
    <cellStyle name="Input 3 2 3 2 10" xfId="24135" xr:uid="{00000000-0005-0000-0000-0000315A0000}"/>
    <cellStyle name="Input 3 2 3 2 2" xfId="24136" xr:uid="{00000000-0005-0000-0000-0000325A0000}"/>
    <cellStyle name="Input 3 2 3 2 2 2" xfId="24137" xr:uid="{00000000-0005-0000-0000-0000335A0000}"/>
    <cellStyle name="Input 3 2 3 2 2 2 2" xfId="24138" xr:uid="{00000000-0005-0000-0000-0000345A0000}"/>
    <cellStyle name="Input 3 2 3 2 2 2 3" xfId="24139" xr:uid="{00000000-0005-0000-0000-0000355A0000}"/>
    <cellStyle name="Input 3 2 3 2 2 3" xfId="24140" xr:uid="{00000000-0005-0000-0000-0000365A0000}"/>
    <cellStyle name="Input 3 2 3 2 2 3 2" xfId="24141" xr:uid="{00000000-0005-0000-0000-0000375A0000}"/>
    <cellStyle name="Input 3 2 3 2 2 3 3" xfId="24142" xr:uid="{00000000-0005-0000-0000-0000385A0000}"/>
    <cellStyle name="Input 3 2 3 2 2 4" xfId="24143" xr:uid="{00000000-0005-0000-0000-0000395A0000}"/>
    <cellStyle name="Input 3 2 3 2 2 4 2" xfId="24144" xr:uid="{00000000-0005-0000-0000-00003A5A0000}"/>
    <cellStyle name="Input 3 2 3 2 2 4 3" xfId="24145" xr:uid="{00000000-0005-0000-0000-00003B5A0000}"/>
    <cellStyle name="Input 3 2 3 2 2 5" xfId="24146" xr:uid="{00000000-0005-0000-0000-00003C5A0000}"/>
    <cellStyle name="Input 3 2 3 2 2 5 2" xfId="24147" xr:uid="{00000000-0005-0000-0000-00003D5A0000}"/>
    <cellStyle name="Input 3 2 3 2 2 5 3" xfId="24148" xr:uid="{00000000-0005-0000-0000-00003E5A0000}"/>
    <cellStyle name="Input 3 2 3 2 2 6" xfId="24149" xr:uid="{00000000-0005-0000-0000-00003F5A0000}"/>
    <cellStyle name="Input 3 2 3 2 2 6 2" xfId="24150" xr:uid="{00000000-0005-0000-0000-0000405A0000}"/>
    <cellStyle name="Input 3 2 3 2 2 6 3" xfId="24151" xr:uid="{00000000-0005-0000-0000-0000415A0000}"/>
    <cellStyle name="Input 3 2 3 2 2 7" xfId="24152" xr:uid="{00000000-0005-0000-0000-0000425A0000}"/>
    <cellStyle name="Input 3 2 3 2 2 7 2" xfId="24153" xr:uid="{00000000-0005-0000-0000-0000435A0000}"/>
    <cellStyle name="Input 3 2 3 2 2 7 3" xfId="24154" xr:uid="{00000000-0005-0000-0000-0000445A0000}"/>
    <cellStyle name="Input 3 2 3 2 2 8" xfId="24155" xr:uid="{00000000-0005-0000-0000-0000455A0000}"/>
    <cellStyle name="Input 3 2 3 2 2 9" xfId="24156" xr:uid="{00000000-0005-0000-0000-0000465A0000}"/>
    <cellStyle name="Input 3 2 3 2 3" xfId="24157" xr:uid="{00000000-0005-0000-0000-0000475A0000}"/>
    <cellStyle name="Input 3 2 3 2 3 2" xfId="24158" xr:uid="{00000000-0005-0000-0000-0000485A0000}"/>
    <cellStyle name="Input 3 2 3 2 3 3" xfId="24159" xr:uid="{00000000-0005-0000-0000-0000495A0000}"/>
    <cellStyle name="Input 3 2 3 2 4" xfId="24160" xr:uid="{00000000-0005-0000-0000-00004A5A0000}"/>
    <cellStyle name="Input 3 2 3 2 4 2" xfId="24161" xr:uid="{00000000-0005-0000-0000-00004B5A0000}"/>
    <cellStyle name="Input 3 2 3 2 4 3" xfId="24162" xr:uid="{00000000-0005-0000-0000-00004C5A0000}"/>
    <cellStyle name="Input 3 2 3 2 5" xfId="24163" xr:uid="{00000000-0005-0000-0000-00004D5A0000}"/>
    <cellStyle name="Input 3 2 3 2 5 2" xfId="24164" xr:uid="{00000000-0005-0000-0000-00004E5A0000}"/>
    <cellStyle name="Input 3 2 3 2 5 3" xfId="24165" xr:uid="{00000000-0005-0000-0000-00004F5A0000}"/>
    <cellStyle name="Input 3 2 3 2 6" xfId="24166" xr:uid="{00000000-0005-0000-0000-0000505A0000}"/>
    <cellStyle name="Input 3 2 3 2 6 2" xfId="24167" xr:uid="{00000000-0005-0000-0000-0000515A0000}"/>
    <cellStyle name="Input 3 2 3 2 6 3" xfId="24168" xr:uid="{00000000-0005-0000-0000-0000525A0000}"/>
    <cellStyle name="Input 3 2 3 2 7" xfId="24169" xr:uid="{00000000-0005-0000-0000-0000535A0000}"/>
    <cellStyle name="Input 3 2 3 2 7 2" xfId="24170" xr:uid="{00000000-0005-0000-0000-0000545A0000}"/>
    <cellStyle name="Input 3 2 3 2 7 3" xfId="24171" xr:uid="{00000000-0005-0000-0000-0000555A0000}"/>
    <cellStyle name="Input 3 2 3 2 8" xfId="24172" xr:uid="{00000000-0005-0000-0000-0000565A0000}"/>
    <cellStyle name="Input 3 2 3 2 8 2" xfId="24173" xr:uid="{00000000-0005-0000-0000-0000575A0000}"/>
    <cellStyle name="Input 3 2 3 2 8 3" xfId="24174" xr:uid="{00000000-0005-0000-0000-0000585A0000}"/>
    <cellStyle name="Input 3 2 3 2 9" xfId="24175" xr:uid="{00000000-0005-0000-0000-0000595A0000}"/>
    <cellStyle name="Input 3 2 3 3" xfId="24176" xr:uid="{00000000-0005-0000-0000-00005A5A0000}"/>
    <cellStyle name="Input 3 2 3 3 10" xfId="24177" xr:uid="{00000000-0005-0000-0000-00005B5A0000}"/>
    <cellStyle name="Input 3 2 3 3 2" xfId="24178" xr:uid="{00000000-0005-0000-0000-00005C5A0000}"/>
    <cellStyle name="Input 3 2 3 3 2 2" xfId="24179" xr:uid="{00000000-0005-0000-0000-00005D5A0000}"/>
    <cellStyle name="Input 3 2 3 3 2 2 2" xfId="24180" xr:uid="{00000000-0005-0000-0000-00005E5A0000}"/>
    <cellStyle name="Input 3 2 3 3 2 2 3" xfId="24181" xr:uid="{00000000-0005-0000-0000-00005F5A0000}"/>
    <cellStyle name="Input 3 2 3 3 2 3" xfId="24182" xr:uid="{00000000-0005-0000-0000-0000605A0000}"/>
    <cellStyle name="Input 3 2 3 3 2 3 2" xfId="24183" xr:uid="{00000000-0005-0000-0000-0000615A0000}"/>
    <cellStyle name="Input 3 2 3 3 2 3 3" xfId="24184" xr:uid="{00000000-0005-0000-0000-0000625A0000}"/>
    <cellStyle name="Input 3 2 3 3 2 4" xfId="24185" xr:uid="{00000000-0005-0000-0000-0000635A0000}"/>
    <cellStyle name="Input 3 2 3 3 2 4 2" xfId="24186" xr:uid="{00000000-0005-0000-0000-0000645A0000}"/>
    <cellStyle name="Input 3 2 3 3 2 4 3" xfId="24187" xr:uid="{00000000-0005-0000-0000-0000655A0000}"/>
    <cellStyle name="Input 3 2 3 3 2 5" xfId="24188" xr:uid="{00000000-0005-0000-0000-0000665A0000}"/>
    <cellStyle name="Input 3 2 3 3 2 5 2" xfId="24189" xr:uid="{00000000-0005-0000-0000-0000675A0000}"/>
    <cellStyle name="Input 3 2 3 3 2 5 3" xfId="24190" xr:uid="{00000000-0005-0000-0000-0000685A0000}"/>
    <cellStyle name="Input 3 2 3 3 2 6" xfId="24191" xr:uid="{00000000-0005-0000-0000-0000695A0000}"/>
    <cellStyle name="Input 3 2 3 3 2 6 2" xfId="24192" xr:uid="{00000000-0005-0000-0000-00006A5A0000}"/>
    <cellStyle name="Input 3 2 3 3 2 6 3" xfId="24193" xr:uid="{00000000-0005-0000-0000-00006B5A0000}"/>
    <cellStyle name="Input 3 2 3 3 2 7" xfId="24194" xr:uid="{00000000-0005-0000-0000-00006C5A0000}"/>
    <cellStyle name="Input 3 2 3 3 2 7 2" xfId="24195" xr:uid="{00000000-0005-0000-0000-00006D5A0000}"/>
    <cellStyle name="Input 3 2 3 3 2 7 3" xfId="24196" xr:uid="{00000000-0005-0000-0000-00006E5A0000}"/>
    <cellStyle name="Input 3 2 3 3 2 8" xfId="24197" xr:uid="{00000000-0005-0000-0000-00006F5A0000}"/>
    <cellStyle name="Input 3 2 3 3 2 9" xfId="24198" xr:uid="{00000000-0005-0000-0000-0000705A0000}"/>
    <cellStyle name="Input 3 2 3 3 3" xfId="24199" xr:uid="{00000000-0005-0000-0000-0000715A0000}"/>
    <cellStyle name="Input 3 2 3 3 3 2" xfId="24200" xr:uid="{00000000-0005-0000-0000-0000725A0000}"/>
    <cellStyle name="Input 3 2 3 3 3 3" xfId="24201" xr:uid="{00000000-0005-0000-0000-0000735A0000}"/>
    <cellStyle name="Input 3 2 3 3 4" xfId="24202" xr:uid="{00000000-0005-0000-0000-0000745A0000}"/>
    <cellStyle name="Input 3 2 3 3 4 2" xfId="24203" xr:uid="{00000000-0005-0000-0000-0000755A0000}"/>
    <cellStyle name="Input 3 2 3 3 4 3" xfId="24204" xr:uid="{00000000-0005-0000-0000-0000765A0000}"/>
    <cellStyle name="Input 3 2 3 3 5" xfId="24205" xr:uid="{00000000-0005-0000-0000-0000775A0000}"/>
    <cellStyle name="Input 3 2 3 3 5 2" xfId="24206" xr:uid="{00000000-0005-0000-0000-0000785A0000}"/>
    <cellStyle name="Input 3 2 3 3 5 3" xfId="24207" xr:uid="{00000000-0005-0000-0000-0000795A0000}"/>
    <cellStyle name="Input 3 2 3 3 6" xfId="24208" xr:uid="{00000000-0005-0000-0000-00007A5A0000}"/>
    <cellStyle name="Input 3 2 3 3 6 2" xfId="24209" xr:uid="{00000000-0005-0000-0000-00007B5A0000}"/>
    <cellStyle name="Input 3 2 3 3 6 3" xfId="24210" xr:uid="{00000000-0005-0000-0000-00007C5A0000}"/>
    <cellStyle name="Input 3 2 3 3 7" xfId="24211" xr:uid="{00000000-0005-0000-0000-00007D5A0000}"/>
    <cellStyle name="Input 3 2 3 3 7 2" xfId="24212" xr:uid="{00000000-0005-0000-0000-00007E5A0000}"/>
    <cellStyle name="Input 3 2 3 3 7 3" xfId="24213" xr:uid="{00000000-0005-0000-0000-00007F5A0000}"/>
    <cellStyle name="Input 3 2 3 3 8" xfId="24214" xr:uid="{00000000-0005-0000-0000-0000805A0000}"/>
    <cellStyle name="Input 3 2 3 3 8 2" xfId="24215" xr:uid="{00000000-0005-0000-0000-0000815A0000}"/>
    <cellStyle name="Input 3 2 3 3 8 3" xfId="24216" xr:uid="{00000000-0005-0000-0000-0000825A0000}"/>
    <cellStyle name="Input 3 2 3 3 9" xfId="24217" xr:uid="{00000000-0005-0000-0000-0000835A0000}"/>
    <cellStyle name="Input 3 2 3 4" xfId="24218" xr:uid="{00000000-0005-0000-0000-0000845A0000}"/>
    <cellStyle name="Input 3 2 3 4 10" xfId="24219" xr:uid="{00000000-0005-0000-0000-0000855A0000}"/>
    <cellStyle name="Input 3 2 3 4 2" xfId="24220" xr:uid="{00000000-0005-0000-0000-0000865A0000}"/>
    <cellStyle name="Input 3 2 3 4 2 2" xfId="24221" xr:uid="{00000000-0005-0000-0000-0000875A0000}"/>
    <cellStyle name="Input 3 2 3 4 2 2 2" xfId="24222" xr:uid="{00000000-0005-0000-0000-0000885A0000}"/>
    <cellStyle name="Input 3 2 3 4 2 2 3" xfId="24223" xr:uid="{00000000-0005-0000-0000-0000895A0000}"/>
    <cellStyle name="Input 3 2 3 4 2 3" xfId="24224" xr:uid="{00000000-0005-0000-0000-00008A5A0000}"/>
    <cellStyle name="Input 3 2 3 4 2 3 2" xfId="24225" xr:uid="{00000000-0005-0000-0000-00008B5A0000}"/>
    <cellStyle name="Input 3 2 3 4 2 3 3" xfId="24226" xr:uid="{00000000-0005-0000-0000-00008C5A0000}"/>
    <cellStyle name="Input 3 2 3 4 2 4" xfId="24227" xr:uid="{00000000-0005-0000-0000-00008D5A0000}"/>
    <cellStyle name="Input 3 2 3 4 2 4 2" xfId="24228" xr:uid="{00000000-0005-0000-0000-00008E5A0000}"/>
    <cellStyle name="Input 3 2 3 4 2 4 3" xfId="24229" xr:uid="{00000000-0005-0000-0000-00008F5A0000}"/>
    <cellStyle name="Input 3 2 3 4 2 5" xfId="24230" xr:uid="{00000000-0005-0000-0000-0000905A0000}"/>
    <cellStyle name="Input 3 2 3 4 2 5 2" xfId="24231" xr:uid="{00000000-0005-0000-0000-0000915A0000}"/>
    <cellStyle name="Input 3 2 3 4 2 5 3" xfId="24232" xr:uid="{00000000-0005-0000-0000-0000925A0000}"/>
    <cellStyle name="Input 3 2 3 4 2 6" xfId="24233" xr:uid="{00000000-0005-0000-0000-0000935A0000}"/>
    <cellStyle name="Input 3 2 3 4 2 6 2" xfId="24234" xr:uid="{00000000-0005-0000-0000-0000945A0000}"/>
    <cellStyle name="Input 3 2 3 4 2 6 3" xfId="24235" xr:uid="{00000000-0005-0000-0000-0000955A0000}"/>
    <cellStyle name="Input 3 2 3 4 2 7" xfId="24236" xr:uid="{00000000-0005-0000-0000-0000965A0000}"/>
    <cellStyle name="Input 3 2 3 4 2 7 2" xfId="24237" xr:uid="{00000000-0005-0000-0000-0000975A0000}"/>
    <cellStyle name="Input 3 2 3 4 2 7 3" xfId="24238" xr:uid="{00000000-0005-0000-0000-0000985A0000}"/>
    <cellStyle name="Input 3 2 3 4 2 8" xfId="24239" xr:uid="{00000000-0005-0000-0000-0000995A0000}"/>
    <cellStyle name="Input 3 2 3 4 2 9" xfId="24240" xr:uid="{00000000-0005-0000-0000-00009A5A0000}"/>
    <cellStyle name="Input 3 2 3 4 3" xfId="24241" xr:uid="{00000000-0005-0000-0000-00009B5A0000}"/>
    <cellStyle name="Input 3 2 3 4 3 2" xfId="24242" xr:uid="{00000000-0005-0000-0000-00009C5A0000}"/>
    <cellStyle name="Input 3 2 3 4 3 3" xfId="24243" xr:uid="{00000000-0005-0000-0000-00009D5A0000}"/>
    <cellStyle name="Input 3 2 3 4 4" xfId="24244" xr:uid="{00000000-0005-0000-0000-00009E5A0000}"/>
    <cellStyle name="Input 3 2 3 4 4 2" xfId="24245" xr:uid="{00000000-0005-0000-0000-00009F5A0000}"/>
    <cellStyle name="Input 3 2 3 4 4 3" xfId="24246" xr:uid="{00000000-0005-0000-0000-0000A05A0000}"/>
    <cellStyle name="Input 3 2 3 4 5" xfId="24247" xr:uid="{00000000-0005-0000-0000-0000A15A0000}"/>
    <cellStyle name="Input 3 2 3 4 5 2" xfId="24248" xr:uid="{00000000-0005-0000-0000-0000A25A0000}"/>
    <cellStyle name="Input 3 2 3 4 5 3" xfId="24249" xr:uid="{00000000-0005-0000-0000-0000A35A0000}"/>
    <cellStyle name="Input 3 2 3 4 6" xfId="24250" xr:uid="{00000000-0005-0000-0000-0000A45A0000}"/>
    <cellStyle name="Input 3 2 3 4 6 2" xfId="24251" xr:uid="{00000000-0005-0000-0000-0000A55A0000}"/>
    <cellStyle name="Input 3 2 3 4 6 3" xfId="24252" xr:uid="{00000000-0005-0000-0000-0000A65A0000}"/>
    <cellStyle name="Input 3 2 3 4 7" xfId="24253" xr:uid="{00000000-0005-0000-0000-0000A75A0000}"/>
    <cellStyle name="Input 3 2 3 4 7 2" xfId="24254" xr:uid="{00000000-0005-0000-0000-0000A85A0000}"/>
    <cellStyle name="Input 3 2 3 4 7 3" xfId="24255" xr:uid="{00000000-0005-0000-0000-0000A95A0000}"/>
    <cellStyle name="Input 3 2 3 4 8" xfId="24256" xr:uid="{00000000-0005-0000-0000-0000AA5A0000}"/>
    <cellStyle name="Input 3 2 3 4 8 2" xfId="24257" xr:uid="{00000000-0005-0000-0000-0000AB5A0000}"/>
    <cellStyle name="Input 3 2 3 4 8 3" xfId="24258" xr:uid="{00000000-0005-0000-0000-0000AC5A0000}"/>
    <cellStyle name="Input 3 2 3 4 9" xfId="24259" xr:uid="{00000000-0005-0000-0000-0000AD5A0000}"/>
    <cellStyle name="Input 3 2 3 5" xfId="24260" xr:uid="{00000000-0005-0000-0000-0000AE5A0000}"/>
    <cellStyle name="Input 3 2 3 5 2" xfId="24261" xr:uid="{00000000-0005-0000-0000-0000AF5A0000}"/>
    <cellStyle name="Input 3 2 3 5 2 2" xfId="24262" xr:uid="{00000000-0005-0000-0000-0000B05A0000}"/>
    <cellStyle name="Input 3 2 3 5 2 3" xfId="24263" xr:uid="{00000000-0005-0000-0000-0000B15A0000}"/>
    <cellStyle name="Input 3 2 3 5 3" xfId="24264" xr:uid="{00000000-0005-0000-0000-0000B25A0000}"/>
    <cellStyle name="Input 3 2 3 5 3 2" xfId="24265" xr:uid="{00000000-0005-0000-0000-0000B35A0000}"/>
    <cellStyle name="Input 3 2 3 5 3 3" xfId="24266" xr:uid="{00000000-0005-0000-0000-0000B45A0000}"/>
    <cellStyle name="Input 3 2 3 5 4" xfId="24267" xr:uid="{00000000-0005-0000-0000-0000B55A0000}"/>
    <cellStyle name="Input 3 2 3 5 4 2" xfId="24268" xr:uid="{00000000-0005-0000-0000-0000B65A0000}"/>
    <cellStyle name="Input 3 2 3 5 4 3" xfId="24269" xr:uid="{00000000-0005-0000-0000-0000B75A0000}"/>
    <cellStyle name="Input 3 2 3 5 5" xfId="24270" xr:uid="{00000000-0005-0000-0000-0000B85A0000}"/>
    <cellStyle name="Input 3 2 3 5 5 2" xfId="24271" xr:uid="{00000000-0005-0000-0000-0000B95A0000}"/>
    <cellStyle name="Input 3 2 3 5 5 3" xfId="24272" xr:uid="{00000000-0005-0000-0000-0000BA5A0000}"/>
    <cellStyle name="Input 3 2 3 5 6" xfId="24273" xr:uid="{00000000-0005-0000-0000-0000BB5A0000}"/>
    <cellStyle name="Input 3 2 3 5 6 2" xfId="24274" xr:uid="{00000000-0005-0000-0000-0000BC5A0000}"/>
    <cellStyle name="Input 3 2 3 5 6 3" xfId="24275" xr:uid="{00000000-0005-0000-0000-0000BD5A0000}"/>
    <cellStyle name="Input 3 2 3 5 7" xfId="24276" xr:uid="{00000000-0005-0000-0000-0000BE5A0000}"/>
    <cellStyle name="Input 3 2 3 5 7 2" xfId="24277" xr:uid="{00000000-0005-0000-0000-0000BF5A0000}"/>
    <cellStyle name="Input 3 2 3 5 7 3" xfId="24278" xr:uid="{00000000-0005-0000-0000-0000C05A0000}"/>
    <cellStyle name="Input 3 2 3 5 8" xfId="24279" xr:uid="{00000000-0005-0000-0000-0000C15A0000}"/>
    <cellStyle name="Input 3 2 3 5 9" xfId="24280" xr:uid="{00000000-0005-0000-0000-0000C25A0000}"/>
    <cellStyle name="Input 3 2 3 6" xfId="24281" xr:uid="{00000000-0005-0000-0000-0000C35A0000}"/>
    <cellStyle name="Input 3 2 3 6 2" xfId="24282" xr:uid="{00000000-0005-0000-0000-0000C45A0000}"/>
    <cellStyle name="Input 3 2 3 6 3" xfId="24283" xr:uid="{00000000-0005-0000-0000-0000C55A0000}"/>
    <cellStyle name="Input 3 2 3 7" xfId="24284" xr:uid="{00000000-0005-0000-0000-0000C65A0000}"/>
    <cellStyle name="Input 3 2 3 7 2" xfId="24285" xr:uid="{00000000-0005-0000-0000-0000C75A0000}"/>
    <cellStyle name="Input 3 2 3 7 3" xfId="24286" xr:uid="{00000000-0005-0000-0000-0000C85A0000}"/>
    <cellStyle name="Input 3 2 3 8" xfId="24287" xr:uid="{00000000-0005-0000-0000-0000C95A0000}"/>
    <cellStyle name="Input 3 2 3 8 2" xfId="24288" xr:uid="{00000000-0005-0000-0000-0000CA5A0000}"/>
    <cellStyle name="Input 3 2 3 8 3" xfId="24289" xr:uid="{00000000-0005-0000-0000-0000CB5A0000}"/>
    <cellStyle name="Input 3 2 3 9" xfId="24290" xr:uid="{00000000-0005-0000-0000-0000CC5A0000}"/>
    <cellStyle name="Input 3 2 3 9 2" xfId="24291" xr:uid="{00000000-0005-0000-0000-0000CD5A0000}"/>
    <cellStyle name="Input 3 2 3 9 3" xfId="24292" xr:uid="{00000000-0005-0000-0000-0000CE5A0000}"/>
    <cellStyle name="Input 3 2 4" xfId="24293" xr:uid="{00000000-0005-0000-0000-0000CF5A0000}"/>
    <cellStyle name="Input 3 2 4 10" xfId="24294" xr:uid="{00000000-0005-0000-0000-0000D05A0000}"/>
    <cellStyle name="Input 3 2 4 2" xfId="24295" xr:uid="{00000000-0005-0000-0000-0000D15A0000}"/>
    <cellStyle name="Input 3 2 4 2 2" xfId="24296" xr:uid="{00000000-0005-0000-0000-0000D25A0000}"/>
    <cellStyle name="Input 3 2 4 2 2 2" xfId="24297" xr:uid="{00000000-0005-0000-0000-0000D35A0000}"/>
    <cellStyle name="Input 3 2 4 2 2 3" xfId="24298" xr:uid="{00000000-0005-0000-0000-0000D45A0000}"/>
    <cellStyle name="Input 3 2 4 2 3" xfId="24299" xr:uid="{00000000-0005-0000-0000-0000D55A0000}"/>
    <cellStyle name="Input 3 2 4 2 3 2" xfId="24300" xr:uid="{00000000-0005-0000-0000-0000D65A0000}"/>
    <cellStyle name="Input 3 2 4 2 3 3" xfId="24301" xr:uid="{00000000-0005-0000-0000-0000D75A0000}"/>
    <cellStyle name="Input 3 2 4 2 4" xfId="24302" xr:uid="{00000000-0005-0000-0000-0000D85A0000}"/>
    <cellStyle name="Input 3 2 4 2 4 2" xfId="24303" xr:uid="{00000000-0005-0000-0000-0000D95A0000}"/>
    <cellStyle name="Input 3 2 4 2 4 3" xfId="24304" xr:uid="{00000000-0005-0000-0000-0000DA5A0000}"/>
    <cellStyle name="Input 3 2 4 2 5" xfId="24305" xr:uid="{00000000-0005-0000-0000-0000DB5A0000}"/>
    <cellStyle name="Input 3 2 4 2 5 2" xfId="24306" xr:uid="{00000000-0005-0000-0000-0000DC5A0000}"/>
    <cellStyle name="Input 3 2 4 2 5 3" xfId="24307" xr:uid="{00000000-0005-0000-0000-0000DD5A0000}"/>
    <cellStyle name="Input 3 2 4 2 6" xfId="24308" xr:uid="{00000000-0005-0000-0000-0000DE5A0000}"/>
    <cellStyle name="Input 3 2 4 2 6 2" xfId="24309" xr:uid="{00000000-0005-0000-0000-0000DF5A0000}"/>
    <cellStyle name="Input 3 2 4 2 6 3" xfId="24310" xr:uid="{00000000-0005-0000-0000-0000E05A0000}"/>
    <cellStyle name="Input 3 2 4 2 7" xfId="24311" xr:uid="{00000000-0005-0000-0000-0000E15A0000}"/>
    <cellStyle name="Input 3 2 4 2 7 2" xfId="24312" xr:uid="{00000000-0005-0000-0000-0000E25A0000}"/>
    <cellStyle name="Input 3 2 4 2 7 3" xfId="24313" xr:uid="{00000000-0005-0000-0000-0000E35A0000}"/>
    <cellStyle name="Input 3 2 4 2 8" xfId="24314" xr:uid="{00000000-0005-0000-0000-0000E45A0000}"/>
    <cellStyle name="Input 3 2 4 2 9" xfId="24315" xr:uid="{00000000-0005-0000-0000-0000E55A0000}"/>
    <cellStyle name="Input 3 2 4 3" xfId="24316" xr:uid="{00000000-0005-0000-0000-0000E65A0000}"/>
    <cellStyle name="Input 3 2 4 3 2" xfId="24317" xr:uid="{00000000-0005-0000-0000-0000E75A0000}"/>
    <cellStyle name="Input 3 2 4 3 3" xfId="24318" xr:uid="{00000000-0005-0000-0000-0000E85A0000}"/>
    <cellStyle name="Input 3 2 4 4" xfId="24319" xr:uid="{00000000-0005-0000-0000-0000E95A0000}"/>
    <cellStyle name="Input 3 2 4 4 2" xfId="24320" xr:uid="{00000000-0005-0000-0000-0000EA5A0000}"/>
    <cellStyle name="Input 3 2 4 4 3" xfId="24321" xr:uid="{00000000-0005-0000-0000-0000EB5A0000}"/>
    <cellStyle name="Input 3 2 4 5" xfId="24322" xr:uid="{00000000-0005-0000-0000-0000EC5A0000}"/>
    <cellStyle name="Input 3 2 4 5 2" xfId="24323" xr:uid="{00000000-0005-0000-0000-0000ED5A0000}"/>
    <cellStyle name="Input 3 2 4 5 3" xfId="24324" xr:uid="{00000000-0005-0000-0000-0000EE5A0000}"/>
    <cellStyle name="Input 3 2 4 6" xfId="24325" xr:uid="{00000000-0005-0000-0000-0000EF5A0000}"/>
    <cellStyle name="Input 3 2 4 6 2" xfId="24326" xr:uid="{00000000-0005-0000-0000-0000F05A0000}"/>
    <cellStyle name="Input 3 2 4 6 3" xfId="24327" xr:uid="{00000000-0005-0000-0000-0000F15A0000}"/>
    <cellStyle name="Input 3 2 4 7" xfId="24328" xr:uid="{00000000-0005-0000-0000-0000F25A0000}"/>
    <cellStyle name="Input 3 2 4 7 2" xfId="24329" xr:uid="{00000000-0005-0000-0000-0000F35A0000}"/>
    <cellStyle name="Input 3 2 4 7 3" xfId="24330" xr:uid="{00000000-0005-0000-0000-0000F45A0000}"/>
    <cellStyle name="Input 3 2 4 8" xfId="24331" xr:uid="{00000000-0005-0000-0000-0000F55A0000}"/>
    <cellStyle name="Input 3 2 4 8 2" xfId="24332" xr:uid="{00000000-0005-0000-0000-0000F65A0000}"/>
    <cellStyle name="Input 3 2 4 8 3" xfId="24333" xr:uid="{00000000-0005-0000-0000-0000F75A0000}"/>
    <cellStyle name="Input 3 2 4 9" xfId="24334" xr:uid="{00000000-0005-0000-0000-0000F85A0000}"/>
    <cellStyle name="Input 3 2 5" xfId="24335" xr:uid="{00000000-0005-0000-0000-0000F95A0000}"/>
    <cellStyle name="Input 3 2 5 10" xfId="24336" xr:uid="{00000000-0005-0000-0000-0000FA5A0000}"/>
    <cellStyle name="Input 3 2 5 2" xfId="24337" xr:uid="{00000000-0005-0000-0000-0000FB5A0000}"/>
    <cellStyle name="Input 3 2 5 2 2" xfId="24338" xr:uid="{00000000-0005-0000-0000-0000FC5A0000}"/>
    <cellStyle name="Input 3 2 5 2 2 2" xfId="24339" xr:uid="{00000000-0005-0000-0000-0000FD5A0000}"/>
    <cellStyle name="Input 3 2 5 2 2 3" xfId="24340" xr:uid="{00000000-0005-0000-0000-0000FE5A0000}"/>
    <cellStyle name="Input 3 2 5 2 3" xfId="24341" xr:uid="{00000000-0005-0000-0000-0000FF5A0000}"/>
    <cellStyle name="Input 3 2 5 2 3 2" xfId="24342" xr:uid="{00000000-0005-0000-0000-0000005B0000}"/>
    <cellStyle name="Input 3 2 5 2 3 3" xfId="24343" xr:uid="{00000000-0005-0000-0000-0000015B0000}"/>
    <cellStyle name="Input 3 2 5 2 4" xfId="24344" xr:uid="{00000000-0005-0000-0000-0000025B0000}"/>
    <cellStyle name="Input 3 2 5 2 4 2" xfId="24345" xr:uid="{00000000-0005-0000-0000-0000035B0000}"/>
    <cellStyle name="Input 3 2 5 2 4 3" xfId="24346" xr:uid="{00000000-0005-0000-0000-0000045B0000}"/>
    <cellStyle name="Input 3 2 5 2 5" xfId="24347" xr:uid="{00000000-0005-0000-0000-0000055B0000}"/>
    <cellStyle name="Input 3 2 5 2 5 2" xfId="24348" xr:uid="{00000000-0005-0000-0000-0000065B0000}"/>
    <cellStyle name="Input 3 2 5 2 5 3" xfId="24349" xr:uid="{00000000-0005-0000-0000-0000075B0000}"/>
    <cellStyle name="Input 3 2 5 2 6" xfId="24350" xr:uid="{00000000-0005-0000-0000-0000085B0000}"/>
    <cellStyle name="Input 3 2 5 2 6 2" xfId="24351" xr:uid="{00000000-0005-0000-0000-0000095B0000}"/>
    <cellStyle name="Input 3 2 5 2 6 3" xfId="24352" xr:uid="{00000000-0005-0000-0000-00000A5B0000}"/>
    <cellStyle name="Input 3 2 5 2 7" xfId="24353" xr:uid="{00000000-0005-0000-0000-00000B5B0000}"/>
    <cellStyle name="Input 3 2 5 2 7 2" xfId="24354" xr:uid="{00000000-0005-0000-0000-00000C5B0000}"/>
    <cellStyle name="Input 3 2 5 2 7 3" xfId="24355" xr:uid="{00000000-0005-0000-0000-00000D5B0000}"/>
    <cellStyle name="Input 3 2 5 2 8" xfId="24356" xr:uid="{00000000-0005-0000-0000-00000E5B0000}"/>
    <cellStyle name="Input 3 2 5 2 9" xfId="24357" xr:uid="{00000000-0005-0000-0000-00000F5B0000}"/>
    <cellStyle name="Input 3 2 5 3" xfId="24358" xr:uid="{00000000-0005-0000-0000-0000105B0000}"/>
    <cellStyle name="Input 3 2 5 3 2" xfId="24359" xr:uid="{00000000-0005-0000-0000-0000115B0000}"/>
    <cellStyle name="Input 3 2 5 3 3" xfId="24360" xr:uid="{00000000-0005-0000-0000-0000125B0000}"/>
    <cellStyle name="Input 3 2 5 4" xfId="24361" xr:uid="{00000000-0005-0000-0000-0000135B0000}"/>
    <cellStyle name="Input 3 2 5 4 2" xfId="24362" xr:uid="{00000000-0005-0000-0000-0000145B0000}"/>
    <cellStyle name="Input 3 2 5 4 3" xfId="24363" xr:uid="{00000000-0005-0000-0000-0000155B0000}"/>
    <cellStyle name="Input 3 2 5 5" xfId="24364" xr:uid="{00000000-0005-0000-0000-0000165B0000}"/>
    <cellStyle name="Input 3 2 5 5 2" xfId="24365" xr:uid="{00000000-0005-0000-0000-0000175B0000}"/>
    <cellStyle name="Input 3 2 5 5 3" xfId="24366" xr:uid="{00000000-0005-0000-0000-0000185B0000}"/>
    <cellStyle name="Input 3 2 5 6" xfId="24367" xr:uid="{00000000-0005-0000-0000-0000195B0000}"/>
    <cellStyle name="Input 3 2 5 6 2" xfId="24368" xr:uid="{00000000-0005-0000-0000-00001A5B0000}"/>
    <cellStyle name="Input 3 2 5 6 3" xfId="24369" xr:uid="{00000000-0005-0000-0000-00001B5B0000}"/>
    <cellStyle name="Input 3 2 5 7" xfId="24370" xr:uid="{00000000-0005-0000-0000-00001C5B0000}"/>
    <cellStyle name="Input 3 2 5 7 2" xfId="24371" xr:uid="{00000000-0005-0000-0000-00001D5B0000}"/>
    <cellStyle name="Input 3 2 5 7 3" xfId="24372" xr:uid="{00000000-0005-0000-0000-00001E5B0000}"/>
    <cellStyle name="Input 3 2 5 8" xfId="24373" xr:uid="{00000000-0005-0000-0000-00001F5B0000}"/>
    <cellStyle name="Input 3 2 5 8 2" xfId="24374" xr:uid="{00000000-0005-0000-0000-0000205B0000}"/>
    <cellStyle name="Input 3 2 5 8 3" xfId="24375" xr:uid="{00000000-0005-0000-0000-0000215B0000}"/>
    <cellStyle name="Input 3 2 5 9" xfId="24376" xr:uid="{00000000-0005-0000-0000-0000225B0000}"/>
    <cellStyle name="Input 3 2 6" xfId="24377" xr:uid="{00000000-0005-0000-0000-0000235B0000}"/>
    <cellStyle name="Input 3 2 6 10" xfId="24378" xr:uid="{00000000-0005-0000-0000-0000245B0000}"/>
    <cellStyle name="Input 3 2 6 2" xfId="24379" xr:uid="{00000000-0005-0000-0000-0000255B0000}"/>
    <cellStyle name="Input 3 2 6 2 2" xfId="24380" xr:uid="{00000000-0005-0000-0000-0000265B0000}"/>
    <cellStyle name="Input 3 2 6 2 2 2" xfId="24381" xr:uid="{00000000-0005-0000-0000-0000275B0000}"/>
    <cellStyle name="Input 3 2 6 2 2 3" xfId="24382" xr:uid="{00000000-0005-0000-0000-0000285B0000}"/>
    <cellStyle name="Input 3 2 6 2 3" xfId="24383" xr:uid="{00000000-0005-0000-0000-0000295B0000}"/>
    <cellStyle name="Input 3 2 6 2 3 2" xfId="24384" xr:uid="{00000000-0005-0000-0000-00002A5B0000}"/>
    <cellStyle name="Input 3 2 6 2 3 3" xfId="24385" xr:uid="{00000000-0005-0000-0000-00002B5B0000}"/>
    <cellStyle name="Input 3 2 6 2 4" xfId="24386" xr:uid="{00000000-0005-0000-0000-00002C5B0000}"/>
    <cellStyle name="Input 3 2 6 2 4 2" xfId="24387" xr:uid="{00000000-0005-0000-0000-00002D5B0000}"/>
    <cellStyle name="Input 3 2 6 2 4 3" xfId="24388" xr:uid="{00000000-0005-0000-0000-00002E5B0000}"/>
    <cellStyle name="Input 3 2 6 2 5" xfId="24389" xr:uid="{00000000-0005-0000-0000-00002F5B0000}"/>
    <cellStyle name="Input 3 2 6 2 5 2" xfId="24390" xr:uid="{00000000-0005-0000-0000-0000305B0000}"/>
    <cellStyle name="Input 3 2 6 2 5 3" xfId="24391" xr:uid="{00000000-0005-0000-0000-0000315B0000}"/>
    <cellStyle name="Input 3 2 6 2 6" xfId="24392" xr:uid="{00000000-0005-0000-0000-0000325B0000}"/>
    <cellStyle name="Input 3 2 6 2 6 2" xfId="24393" xr:uid="{00000000-0005-0000-0000-0000335B0000}"/>
    <cellStyle name="Input 3 2 6 2 6 3" xfId="24394" xr:uid="{00000000-0005-0000-0000-0000345B0000}"/>
    <cellStyle name="Input 3 2 6 2 7" xfId="24395" xr:uid="{00000000-0005-0000-0000-0000355B0000}"/>
    <cellStyle name="Input 3 2 6 2 7 2" xfId="24396" xr:uid="{00000000-0005-0000-0000-0000365B0000}"/>
    <cellStyle name="Input 3 2 6 2 7 3" xfId="24397" xr:uid="{00000000-0005-0000-0000-0000375B0000}"/>
    <cellStyle name="Input 3 2 6 2 8" xfId="24398" xr:uid="{00000000-0005-0000-0000-0000385B0000}"/>
    <cellStyle name="Input 3 2 6 2 9" xfId="24399" xr:uid="{00000000-0005-0000-0000-0000395B0000}"/>
    <cellStyle name="Input 3 2 6 3" xfId="24400" xr:uid="{00000000-0005-0000-0000-00003A5B0000}"/>
    <cellStyle name="Input 3 2 6 3 2" xfId="24401" xr:uid="{00000000-0005-0000-0000-00003B5B0000}"/>
    <cellStyle name="Input 3 2 6 3 3" xfId="24402" xr:uid="{00000000-0005-0000-0000-00003C5B0000}"/>
    <cellStyle name="Input 3 2 6 4" xfId="24403" xr:uid="{00000000-0005-0000-0000-00003D5B0000}"/>
    <cellStyle name="Input 3 2 6 4 2" xfId="24404" xr:uid="{00000000-0005-0000-0000-00003E5B0000}"/>
    <cellStyle name="Input 3 2 6 4 3" xfId="24405" xr:uid="{00000000-0005-0000-0000-00003F5B0000}"/>
    <cellStyle name="Input 3 2 6 5" xfId="24406" xr:uid="{00000000-0005-0000-0000-0000405B0000}"/>
    <cellStyle name="Input 3 2 6 5 2" xfId="24407" xr:uid="{00000000-0005-0000-0000-0000415B0000}"/>
    <cellStyle name="Input 3 2 6 5 3" xfId="24408" xr:uid="{00000000-0005-0000-0000-0000425B0000}"/>
    <cellStyle name="Input 3 2 6 6" xfId="24409" xr:uid="{00000000-0005-0000-0000-0000435B0000}"/>
    <cellStyle name="Input 3 2 6 6 2" xfId="24410" xr:uid="{00000000-0005-0000-0000-0000445B0000}"/>
    <cellStyle name="Input 3 2 6 6 3" xfId="24411" xr:uid="{00000000-0005-0000-0000-0000455B0000}"/>
    <cellStyle name="Input 3 2 6 7" xfId="24412" xr:uid="{00000000-0005-0000-0000-0000465B0000}"/>
    <cellStyle name="Input 3 2 6 7 2" xfId="24413" xr:uid="{00000000-0005-0000-0000-0000475B0000}"/>
    <cellStyle name="Input 3 2 6 7 3" xfId="24414" xr:uid="{00000000-0005-0000-0000-0000485B0000}"/>
    <cellStyle name="Input 3 2 6 8" xfId="24415" xr:uid="{00000000-0005-0000-0000-0000495B0000}"/>
    <cellStyle name="Input 3 2 6 8 2" xfId="24416" xr:uid="{00000000-0005-0000-0000-00004A5B0000}"/>
    <cellStyle name="Input 3 2 6 8 3" xfId="24417" xr:uid="{00000000-0005-0000-0000-00004B5B0000}"/>
    <cellStyle name="Input 3 2 6 9" xfId="24418" xr:uid="{00000000-0005-0000-0000-00004C5B0000}"/>
    <cellStyle name="Input 3 2 7" xfId="24419" xr:uid="{00000000-0005-0000-0000-00004D5B0000}"/>
    <cellStyle name="Input 3 2 7 2" xfId="24420" xr:uid="{00000000-0005-0000-0000-00004E5B0000}"/>
    <cellStyle name="Input 3 2 7 2 2" xfId="24421" xr:uid="{00000000-0005-0000-0000-00004F5B0000}"/>
    <cellStyle name="Input 3 2 7 2 3" xfId="24422" xr:uid="{00000000-0005-0000-0000-0000505B0000}"/>
    <cellStyle name="Input 3 2 7 3" xfId="24423" xr:uid="{00000000-0005-0000-0000-0000515B0000}"/>
    <cellStyle name="Input 3 2 7 3 2" xfId="24424" xr:uid="{00000000-0005-0000-0000-0000525B0000}"/>
    <cellStyle name="Input 3 2 7 3 3" xfId="24425" xr:uid="{00000000-0005-0000-0000-0000535B0000}"/>
    <cellStyle name="Input 3 2 7 4" xfId="24426" xr:uid="{00000000-0005-0000-0000-0000545B0000}"/>
    <cellStyle name="Input 3 2 7 4 2" xfId="24427" xr:uid="{00000000-0005-0000-0000-0000555B0000}"/>
    <cellStyle name="Input 3 2 7 4 3" xfId="24428" xr:uid="{00000000-0005-0000-0000-0000565B0000}"/>
    <cellStyle name="Input 3 2 7 5" xfId="24429" xr:uid="{00000000-0005-0000-0000-0000575B0000}"/>
    <cellStyle name="Input 3 2 7 5 2" xfId="24430" xr:uid="{00000000-0005-0000-0000-0000585B0000}"/>
    <cellStyle name="Input 3 2 7 5 3" xfId="24431" xr:uid="{00000000-0005-0000-0000-0000595B0000}"/>
    <cellStyle name="Input 3 2 7 6" xfId="24432" xr:uid="{00000000-0005-0000-0000-00005A5B0000}"/>
    <cellStyle name="Input 3 2 7 6 2" xfId="24433" xr:uid="{00000000-0005-0000-0000-00005B5B0000}"/>
    <cellStyle name="Input 3 2 7 6 3" xfId="24434" xr:uid="{00000000-0005-0000-0000-00005C5B0000}"/>
    <cellStyle name="Input 3 2 7 7" xfId="24435" xr:uid="{00000000-0005-0000-0000-00005D5B0000}"/>
    <cellStyle name="Input 3 2 7 7 2" xfId="24436" xr:uid="{00000000-0005-0000-0000-00005E5B0000}"/>
    <cellStyle name="Input 3 2 7 7 3" xfId="24437" xr:uid="{00000000-0005-0000-0000-00005F5B0000}"/>
    <cellStyle name="Input 3 2 7 8" xfId="24438" xr:uid="{00000000-0005-0000-0000-0000605B0000}"/>
    <cellStyle name="Input 3 2 7 9" xfId="24439" xr:uid="{00000000-0005-0000-0000-0000615B0000}"/>
    <cellStyle name="Input 3 2 8" xfId="24440" xr:uid="{00000000-0005-0000-0000-0000625B0000}"/>
    <cellStyle name="Input 3 2 8 2" xfId="24441" xr:uid="{00000000-0005-0000-0000-0000635B0000}"/>
    <cellStyle name="Input 3 2 8 3" xfId="24442" xr:uid="{00000000-0005-0000-0000-0000645B0000}"/>
    <cellStyle name="Input 3 2 9" xfId="24443" xr:uid="{00000000-0005-0000-0000-0000655B0000}"/>
    <cellStyle name="Input 3 2 9 2" xfId="24444" xr:uid="{00000000-0005-0000-0000-0000665B0000}"/>
    <cellStyle name="Input 3 2 9 3" xfId="24445" xr:uid="{00000000-0005-0000-0000-0000675B0000}"/>
    <cellStyle name="Input 3 3" xfId="1088" xr:uid="{00000000-0005-0000-0000-0000685B0000}"/>
    <cellStyle name="Input 3 3 10" xfId="24446" xr:uid="{00000000-0005-0000-0000-0000695B0000}"/>
    <cellStyle name="Input 3 3 10 2" xfId="24447" xr:uid="{00000000-0005-0000-0000-00006A5B0000}"/>
    <cellStyle name="Input 3 3 10 3" xfId="24448" xr:uid="{00000000-0005-0000-0000-00006B5B0000}"/>
    <cellStyle name="Input 3 3 11" xfId="24449" xr:uid="{00000000-0005-0000-0000-00006C5B0000}"/>
    <cellStyle name="Input 3 3 11 2" xfId="24450" xr:uid="{00000000-0005-0000-0000-00006D5B0000}"/>
    <cellStyle name="Input 3 3 11 3" xfId="24451" xr:uid="{00000000-0005-0000-0000-00006E5B0000}"/>
    <cellStyle name="Input 3 3 12" xfId="24452" xr:uid="{00000000-0005-0000-0000-00006F5B0000}"/>
    <cellStyle name="Input 3 3 12 2" xfId="24453" xr:uid="{00000000-0005-0000-0000-0000705B0000}"/>
    <cellStyle name="Input 3 3 12 3" xfId="24454" xr:uid="{00000000-0005-0000-0000-0000715B0000}"/>
    <cellStyle name="Input 3 3 13" xfId="24455" xr:uid="{00000000-0005-0000-0000-0000725B0000}"/>
    <cellStyle name="Input 3 3 13 2" xfId="24456" xr:uid="{00000000-0005-0000-0000-0000735B0000}"/>
    <cellStyle name="Input 3 3 13 3" xfId="24457" xr:uid="{00000000-0005-0000-0000-0000745B0000}"/>
    <cellStyle name="Input 3 3 14" xfId="44084" xr:uid="{00000000-0005-0000-0000-0000755B0000}"/>
    <cellStyle name="Input 3 3 2" xfId="24458" xr:uid="{00000000-0005-0000-0000-0000765B0000}"/>
    <cellStyle name="Input 3 3 2 10" xfId="44085" xr:uid="{00000000-0005-0000-0000-0000775B0000}"/>
    <cellStyle name="Input 3 3 2 2" xfId="24459" xr:uid="{00000000-0005-0000-0000-0000785B0000}"/>
    <cellStyle name="Input 3 3 2 2 10" xfId="24460" xr:uid="{00000000-0005-0000-0000-0000795B0000}"/>
    <cellStyle name="Input 3 3 2 2 2" xfId="24461" xr:uid="{00000000-0005-0000-0000-00007A5B0000}"/>
    <cellStyle name="Input 3 3 2 2 2 2" xfId="24462" xr:uid="{00000000-0005-0000-0000-00007B5B0000}"/>
    <cellStyle name="Input 3 3 2 2 2 2 2" xfId="24463" xr:uid="{00000000-0005-0000-0000-00007C5B0000}"/>
    <cellStyle name="Input 3 3 2 2 2 2 3" xfId="24464" xr:uid="{00000000-0005-0000-0000-00007D5B0000}"/>
    <cellStyle name="Input 3 3 2 2 2 3" xfId="24465" xr:uid="{00000000-0005-0000-0000-00007E5B0000}"/>
    <cellStyle name="Input 3 3 2 2 2 3 2" xfId="24466" xr:uid="{00000000-0005-0000-0000-00007F5B0000}"/>
    <cellStyle name="Input 3 3 2 2 2 3 3" xfId="24467" xr:uid="{00000000-0005-0000-0000-0000805B0000}"/>
    <cellStyle name="Input 3 3 2 2 2 4" xfId="24468" xr:uid="{00000000-0005-0000-0000-0000815B0000}"/>
    <cellStyle name="Input 3 3 2 2 2 4 2" xfId="24469" xr:uid="{00000000-0005-0000-0000-0000825B0000}"/>
    <cellStyle name="Input 3 3 2 2 2 4 3" xfId="24470" xr:uid="{00000000-0005-0000-0000-0000835B0000}"/>
    <cellStyle name="Input 3 3 2 2 2 5" xfId="24471" xr:uid="{00000000-0005-0000-0000-0000845B0000}"/>
    <cellStyle name="Input 3 3 2 2 2 5 2" xfId="24472" xr:uid="{00000000-0005-0000-0000-0000855B0000}"/>
    <cellStyle name="Input 3 3 2 2 2 5 3" xfId="24473" xr:uid="{00000000-0005-0000-0000-0000865B0000}"/>
    <cellStyle name="Input 3 3 2 2 2 6" xfId="24474" xr:uid="{00000000-0005-0000-0000-0000875B0000}"/>
    <cellStyle name="Input 3 3 2 2 2 6 2" xfId="24475" xr:uid="{00000000-0005-0000-0000-0000885B0000}"/>
    <cellStyle name="Input 3 3 2 2 2 6 3" xfId="24476" xr:uid="{00000000-0005-0000-0000-0000895B0000}"/>
    <cellStyle name="Input 3 3 2 2 2 7" xfId="24477" xr:uid="{00000000-0005-0000-0000-00008A5B0000}"/>
    <cellStyle name="Input 3 3 2 2 2 7 2" xfId="24478" xr:uid="{00000000-0005-0000-0000-00008B5B0000}"/>
    <cellStyle name="Input 3 3 2 2 2 7 3" xfId="24479" xr:uid="{00000000-0005-0000-0000-00008C5B0000}"/>
    <cellStyle name="Input 3 3 2 2 2 8" xfId="24480" xr:uid="{00000000-0005-0000-0000-00008D5B0000}"/>
    <cellStyle name="Input 3 3 2 2 2 9" xfId="24481" xr:uid="{00000000-0005-0000-0000-00008E5B0000}"/>
    <cellStyle name="Input 3 3 2 2 3" xfId="24482" xr:uid="{00000000-0005-0000-0000-00008F5B0000}"/>
    <cellStyle name="Input 3 3 2 2 3 2" xfId="24483" xr:uid="{00000000-0005-0000-0000-0000905B0000}"/>
    <cellStyle name="Input 3 3 2 2 3 3" xfId="24484" xr:uid="{00000000-0005-0000-0000-0000915B0000}"/>
    <cellStyle name="Input 3 3 2 2 4" xfId="24485" xr:uid="{00000000-0005-0000-0000-0000925B0000}"/>
    <cellStyle name="Input 3 3 2 2 4 2" xfId="24486" xr:uid="{00000000-0005-0000-0000-0000935B0000}"/>
    <cellStyle name="Input 3 3 2 2 4 3" xfId="24487" xr:uid="{00000000-0005-0000-0000-0000945B0000}"/>
    <cellStyle name="Input 3 3 2 2 5" xfId="24488" xr:uid="{00000000-0005-0000-0000-0000955B0000}"/>
    <cellStyle name="Input 3 3 2 2 5 2" xfId="24489" xr:uid="{00000000-0005-0000-0000-0000965B0000}"/>
    <cellStyle name="Input 3 3 2 2 5 3" xfId="24490" xr:uid="{00000000-0005-0000-0000-0000975B0000}"/>
    <cellStyle name="Input 3 3 2 2 6" xfId="24491" xr:uid="{00000000-0005-0000-0000-0000985B0000}"/>
    <cellStyle name="Input 3 3 2 2 6 2" xfId="24492" xr:uid="{00000000-0005-0000-0000-0000995B0000}"/>
    <cellStyle name="Input 3 3 2 2 6 3" xfId="24493" xr:uid="{00000000-0005-0000-0000-00009A5B0000}"/>
    <cellStyle name="Input 3 3 2 2 7" xfId="24494" xr:uid="{00000000-0005-0000-0000-00009B5B0000}"/>
    <cellStyle name="Input 3 3 2 2 7 2" xfId="24495" xr:uid="{00000000-0005-0000-0000-00009C5B0000}"/>
    <cellStyle name="Input 3 3 2 2 7 3" xfId="24496" xr:uid="{00000000-0005-0000-0000-00009D5B0000}"/>
    <cellStyle name="Input 3 3 2 2 8" xfId="24497" xr:uid="{00000000-0005-0000-0000-00009E5B0000}"/>
    <cellStyle name="Input 3 3 2 2 8 2" xfId="24498" xr:uid="{00000000-0005-0000-0000-00009F5B0000}"/>
    <cellStyle name="Input 3 3 2 2 8 3" xfId="24499" xr:uid="{00000000-0005-0000-0000-0000A05B0000}"/>
    <cellStyle name="Input 3 3 2 2 9" xfId="24500" xr:uid="{00000000-0005-0000-0000-0000A15B0000}"/>
    <cellStyle name="Input 3 3 2 3" xfId="24501" xr:uid="{00000000-0005-0000-0000-0000A25B0000}"/>
    <cellStyle name="Input 3 3 2 3 10" xfId="24502" xr:uid="{00000000-0005-0000-0000-0000A35B0000}"/>
    <cellStyle name="Input 3 3 2 3 2" xfId="24503" xr:uid="{00000000-0005-0000-0000-0000A45B0000}"/>
    <cellStyle name="Input 3 3 2 3 2 2" xfId="24504" xr:uid="{00000000-0005-0000-0000-0000A55B0000}"/>
    <cellStyle name="Input 3 3 2 3 2 2 2" xfId="24505" xr:uid="{00000000-0005-0000-0000-0000A65B0000}"/>
    <cellStyle name="Input 3 3 2 3 2 2 3" xfId="24506" xr:uid="{00000000-0005-0000-0000-0000A75B0000}"/>
    <cellStyle name="Input 3 3 2 3 2 3" xfId="24507" xr:uid="{00000000-0005-0000-0000-0000A85B0000}"/>
    <cellStyle name="Input 3 3 2 3 2 3 2" xfId="24508" xr:uid="{00000000-0005-0000-0000-0000A95B0000}"/>
    <cellStyle name="Input 3 3 2 3 2 3 3" xfId="24509" xr:uid="{00000000-0005-0000-0000-0000AA5B0000}"/>
    <cellStyle name="Input 3 3 2 3 2 4" xfId="24510" xr:uid="{00000000-0005-0000-0000-0000AB5B0000}"/>
    <cellStyle name="Input 3 3 2 3 2 4 2" xfId="24511" xr:uid="{00000000-0005-0000-0000-0000AC5B0000}"/>
    <cellStyle name="Input 3 3 2 3 2 4 3" xfId="24512" xr:uid="{00000000-0005-0000-0000-0000AD5B0000}"/>
    <cellStyle name="Input 3 3 2 3 2 5" xfId="24513" xr:uid="{00000000-0005-0000-0000-0000AE5B0000}"/>
    <cellStyle name="Input 3 3 2 3 2 5 2" xfId="24514" xr:uid="{00000000-0005-0000-0000-0000AF5B0000}"/>
    <cellStyle name="Input 3 3 2 3 2 5 3" xfId="24515" xr:uid="{00000000-0005-0000-0000-0000B05B0000}"/>
    <cellStyle name="Input 3 3 2 3 2 6" xfId="24516" xr:uid="{00000000-0005-0000-0000-0000B15B0000}"/>
    <cellStyle name="Input 3 3 2 3 2 6 2" xfId="24517" xr:uid="{00000000-0005-0000-0000-0000B25B0000}"/>
    <cellStyle name="Input 3 3 2 3 2 6 3" xfId="24518" xr:uid="{00000000-0005-0000-0000-0000B35B0000}"/>
    <cellStyle name="Input 3 3 2 3 2 7" xfId="24519" xr:uid="{00000000-0005-0000-0000-0000B45B0000}"/>
    <cellStyle name="Input 3 3 2 3 2 7 2" xfId="24520" xr:uid="{00000000-0005-0000-0000-0000B55B0000}"/>
    <cellStyle name="Input 3 3 2 3 2 7 3" xfId="24521" xr:uid="{00000000-0005-0000-0000-0000B65B0000}"/>
    <cellStyle name="Input 3 3 2 3 2 8" xfId="24522" xr:uid="{00000000-0005-0000-0000-0000B75B0000}"/>
    <cellStyle name="Input 3 3 2 3 2 9" xfId="24523" xr:uid="{00000000-0005-0000-0000-0000B85B0000}"/>
    <cellStyle name="Input 3 3 2 3 3" xfId="24524" xr:uid="{00000000-0005-0000-0000-0000B95B0000}"/>
    <cellStyle name="Input 3 3 2 3 3 2" xfId="24525" xr:uid="{00000000-0005-0000-0000-0000BA5B0000}"/>
    <cellStyle name="Input 3 3 2 3 3 3" xfId="24526" xr:uid="{00000000-0005-0000-0000-0000BB5B0000}"/>
    <cellStyle name="Input 3 3 2 3 4" xfId="24527" xr:uid="{00000000-0005-0000-0000-0000BC5B0000}"/>
    <cellStyle name="Input 3 3 2 3 4 2" xfId="24528" xr:uid="{00000000-0005-0000-0000-0000BD5B0000}"/>
    <cellStyle name="Input 3 3 2 3 4 3" xfId="24529" xr:uid="{00000000-0005-0000-0000-0000BE5B0000}"/>
    <cellStyle name="Input 3 3 2 3 5" xfId="24530" xr:uid="{00000000-0005-0000-0000-0000BF5B0000}"/>
    <cellStyle name="Input 3 3 2 3 5 2" xfId="24531" xr:uid="{00000000-0005-0000-0000-0000C05B0000}"/>
    <cellStyle name="Input 3 3 2 3 5 3" xfId="24532" xr:uid="{00000000-0005-0000-0000-0000C15B0000}"/>
    <cellStyle name="Input 3 3 2 3 6" xfId="24533" xr:uid="{00000000-0005-0000-0000-0000C25B0000}"/>
    <cellStyle name="Input 3 3 2 3 6 2" xfId="24534" xr:uid="{00000000-0005-0000-0000-0000C35B0000}"/>
    <cellStyle name="Input 3 3 2 3 6 3" xfId="24535" xr:uid="{00000000-0005-0000-0000-0000C45B0000}"/>
    <cellStyle name="Input 3 3 2 3 7" xfId="24536" xr:uid="{00000000-0005-0000-0000-0000C55B0000}"/>
    <cellStyle name="Input 3 3 2 3 7 2" xfId="24537" xr:uid="{00000000-0005-0000-0000-0000C65B0000}"/>
    <cellStyle name="Input 3 3 2 3 7 3" xfId="24538" xr:uid="{00000000-0005-0000-0000-0000C75B0000}"/>
    <cellStyle name="Input 3 3 2 3 8" xfId="24539" xr:uid="{00000000-0005-0000-0000-0000C85B0000}"/>
    <cellStyle name="Input 3 3 2 3 8 2" xfId="24540" xr:uid="{00000000-0005-0000-0000-0000C95B0000}"/>
    <cellStyle name="Input 3 3 2 3 8 3" xfId="24541" xr:uid="{00000000-0005-0000-0000-0000CA5B0000}"/>
    <cellStyle name="Input 3 3 2 3 9" xfId="24542" xr:uid="{00000000-0005-0000-0000-0000CB5B0000}"/>
    <cellStyle name="Input 3 3 2 4" xfId="24543" xr:uid="{00000000-0005-0000-0000-0000CC5B0000}"/>
    <cellStyle name="Input 3 3 2 4 10" xfId="24544" xr:uid="{00000000-0005-0000-0000-0000CD5B0000}"/>
    <cellStyle name="Input 3 3 2 4 2" xfId="24545" xr:uid="{00000000-0005-0000-0000-0000CE5B0000}"/>
    <cellStyle name="Input 3 3 2 4 2 2" xfId="24546" xr:uid="{00000000-0005-0000-0000-0000CF5B0000}"/>
    <cellStyle name="Input 3 3 2 4 2 2 2" xfId="24547" xr:uid="{00000000-0005-0000-0000-0000D05B0000}"/>
    <cellStyle name="Input 3 3 2 4 2 2 3" xfId="24548" xr:uid="{00000000-0005-0000-0000-0000D15B0000}"/>
    <cellStyle name="Input 3 3 2 4 2 3" xfId="24549" xr:uid="{00000000-0005-0000-0000-0000D25B0000}"/>
    <cellStyle name="Input 3 3 2 4 2 3 2" xfId="24550" xr:uid="{00000000-0005-0000-0000-0000D35B0000}"/>
    <cellStyle name="Input 3 3 2 4 2 3 3" xfId="24551" xr:uid="{00000000-0005-0000-0000-0000D45B0000}"/>
    <cellStyle name="Input 3 3 2 4 2 4" xfId="24552" xr:uid="{00000000-0005-0000-0000-0000D55B0000}"/>
    <cellStyle name="Input 3 3 2 4 2 4 2" xfId="24553" xr:uid="{00000000-0005-0000-0000-0000D65B0000}"/>
    <cellStyle name="Input 3 3 2 4 2 4 3" xfId="24554" xr:uid="{00000000-0005-0000-0000-0000D75B0000}"/>
    <cellStyle name="Input 3 3 2 4 2 5" xfId="24555" xr:uid="{00000000-0005-0000-0000-0000D85B0000}"/>
    <cellStyle name="Input 3 3 2 4 2 5 2" xfId="24556" xr:uid="{00000000-0005-0000-0000-0000D95B0000}"/>
    <cellStyle name="Input 3 3 2 4 2 5 3" xfId="24557" xr:uid="{00000000-0005-0000-0000-0000DA5B0000}"/>
    <cellStyle name="Input 3 3 2 4 2 6" xfId="24558" xr:uid="{00000000-0005-0000-0000-0000DB5B0000}"/>
    <cellStyle name="Input 3 3 2 4 2 6 2" xfId="24559" xr:uid="{00000000-0005-0000-0000-0000DC5B0000}"/>
    <cellStyle name="Input 3 3 2 4 2 6 3" xfId="24560" xr:uid="{00000000-0005-0000-0000-0000DD5B0000}"/>
    <cellStyle name="Input 3 3 2 4 2 7" xfId="24561" xr:uid="{00000000-0005-0000-0000-0000DE5B0000}"/>
    <cellStyle name="Input 3 3 2 4 2 7 2" xfId="24562" xr:uid="{00000000-0005-0000-0000-0000DF5B0000}"/>
    <cellStyle name="Input 3 3 2 4 2 7 3" xfId="24563" xr:uid="{00000000-0005-0000-0000-0000E05B0000}"/>
    <cellStyle name="Input 3 3 2 4 2 8" xfId="24564" xr:uid="{00000000-0005-0000-0000-0000E15B0000}"/>
    <cellStyle name="Input 3 3 2 4 2 9" xfId="24565" xr:uid="{00000000-0005-0000-0000-0000E25B0000}"/>
    <cellStyle name="Input 3 3 2 4 3" xfId="24566" xr:uid="{00000000-0005-0000-0000-0000E35B0000}"/>
    <cellStyle name="Input 3 3 2 4 3 2" xfId="24567" xr:uid="{00000000-0005-0000-0000-0000E45B0000}"/>
    <cellStyle name="Input 3 3 2 4 3 3" xfId="24568" xr:uid="{00000000-0005-0000-0000-0000E55B0000}"/>
    <cellStyle name="Input 3 3 2 4 4" xfId="24569" xr:uid="{00000000-0005-0000-0000-0000E65B0000}"/>
    <cellStyle name="Input 3 3 2 4 4 2" xfId="24570" xr:uid="{00000000-0005-0000-0000-0000E75B0000}"/>
    <cellStyle name="Input 3 3 2 4 4 3" xfId="24571" xr:uid="{00000000-0005-0000-0000-0000E85B0000}"/>
    <cellStyle name="Input 3 3 2 4 5" xfId="24572" xr:uid="{00000000-0005-0000-0000-0000E95B0000}"/>
    <cellStyle name="Input 3 3 2 4 5 2" xfId="24573" xr:uid="{00000000-0005-0000-0000-0000EA5B0000}"/>
    <cellStyle name="Input 3 3 2 4 5 3" xfId="24574" xr:uid="{00000000-0005-0000-0000-0000EB5B0000}"/>
    <cellStyle name="Input 3 3 2 4 6" xfId="24575" xr:uid="{00000000-0005-0000-0000-0000EC5B0000}"/>
    <cellStyle name="Input 3 3 2 4 6 2" xfId="24576" xr:uid="{00000000-0005-0000-0000-0000ED5B0000}"/>
    <cellStyle name="Input 3 3 2 4 6 3" xfId="24577" xr:uid="{00000000-0005-0000-0000-0000EE5B0000}"/>
    <cellStyle name="Input 3 3 2 4 7" xfId="24578" xr:uid="{00000000-0005-0000-0000-0000EF5B0000}"/>
    <cellStyle name="Input 3 3 2 4 7 2" xfId="24579" xr:uid="{00000000-0005-0000-0000-0000F05B0000}"/>
    <cellStyle name="Input 3 3 2 4 7 3" xfId="24580" xr:uid="{00000000-0005-0000-0000-0000F15B0000}"/>
    <cellStyle name="Input 3 3 2 4 8" xfId="24581" xr:uid="{00000000-0005-0000-0000-0000F25B0000}"/>
    <cellStyle name="Input 3 3 2 4 8 2" xfId="24582" xr:uid="{00000000-0005-0000-0000-0000F35B0000}"/>
    <cellStyle name="Input 3 3 2 4 8 3" xfId="24583" xr:uid="{00000000-0005-0000-0000-0000F45B0000}"/>
    <cellStyle name="Input 3 3 2 4 9" xfId="24584" xr:uid="{00000000-0005-0000-0000-0000F55B0000}"/>
    <cellStyle name="Input 3 3 2 5" xfId="24585" xr:uid="{00000000-0005-0000-0000-0000F65B0000}"/>
    <cellStyle name="Input 3 3 2 5 2" xfId="24586" xr:uid="{00000000-0005-0000-0000-0000F75B0000}"/>
    <cellStyle name="Input 3 3 2 5 2 2" xfId="24587" xr:uid="{00000000-0005-0000-0000-0000F85B0000}"/>
    <cellStyle name="Input 3 3 2 5 2 3" xfId="24588" xr:uid="{00000000-0005-0000-0000-0000F95B0000}"/>
    <cellStyle name="Input 3 3 2 5 3" xfId="24589" xr:uid="{00000000-0005-0000-0000-0000FA5B0000}"/>
    <cellStyle name="Input 3 3 2 5 3 2" xfId="24590" xr:uid="{00000000-0005-0000-0000-0000FB5B0000}"/>
    <cellStyle name="Input 3 3 2 5 3 3" xfId="24591" xr:uid="{00000000-0005-0000-0000-0000FC5B0000}"/>
    <cellStyle name="Input 3 3 2 5 4" xfId="24592" xr:uid="{00000000-0005-0000-0000-0000FD5B0000}"/>
    <cellStyle name="Input 3 3 2 5 4 2" xfId="24593" xr:uid="{00000000-0005-0000-0000-0000FE5B0000}"/>
    <cellStyle name="Input 3 3 2 5 4 3" xfId="24594" xr:uid="{00000000-0005-0000-0000-0000FF5B0000}"/>
    <cellStyle name="Input 3 3 2 5 5" xfId="24595" xr:uid="{00000000-0005-0000-0000-0000005C0000}"/>
    <cellStyle name="Input 3 3 2 5 5 2" xfId="24596" xr:uid="{00000000-0005-0000-0000-0000015C0000}"/>
    <cellStyle name="Input 3 3 2 5 5 3" xfId="24597" xr:uid="{00000000-0005-0000-0000-0000025C0000}"/>
    <cellStyle name="Input 3 3 2 5 6" xfId="24598" xr:uid="{00000000-0005-0000-0000-0000035C0000}"/>
    <cellStyle name="Input 3 3 2 5 6 2" xfId="24599" xr:uid="{00000000-0005-0000-0000-0000045C0000}"/>
    <cellStyle name="Input 3 3 2 5 6 3" xfId="24600" xr:uid="{00000000-0005-0000-0000-0000055C0000}"/>
    <cellStyle name="Input 3 3 2 5 7" xfId="24601" xr:uid="{00000000-0005-0000-0000-0000065C0000}"/>
    <cellStyle name="Input 3 3 2 5 7 2" xfId="24602" xr:uid="{00000000-0005-0000-0000-0000075C0000}"/>
    <cellStyle name="Input 3 3 2 5 7 3" xfId="24603" xr:uid="{00000000-0005-0000-0000-0000085C0000}"/>
    <cellStyle name="Input 3 3 2 5 8" xfId="24604" xr:uid="{00000000-0005-0000-0000-0000095C0000}"/>
    <cellStyle name="Input 3 3 2 5 9" xfId="24605" xr:uid="{00000000-0005-0000-0000-00000A5C0000}"/>
    <cellStyle name="Input 3 3 2 6" xfId="24606" xr:uid="{00000000-0005-0000-0000-00000B5C0000}"/>
    <cellStyle name="Input 3 3 2 6 2" xfId="24607" xr:uid="{00000000-0005-0000-0000-00000C5C0000}"/>
    <cellStyle name="Input 3 3 2 6 3" xfId="24608" xr:uid="{00000000-0005-0000-0000-00000D5C0000}"/>
    <cellStyle name="Input 3 3 2 7" xfId="24609" xr:uid="{00000000-0005-0000-0000-00000E5C0000}"/>
    <cellStyle name="Input 3 3 2 7 2" xfId="24610" xr:uid="{00000000-0005-0000-0000-00000F5C0000}"/>
    <cellStyle name="Input 3 3 2 7 3" xfId="24611" xr:uid="{00000000-0005-0000-0000-0000105C0000}"/>
    <cellStyle name="Input 3 3 2 8" xfId="24612" xr:uid="{00000000-0005-0000-0000-0000115C0000}"/>
    <cellStyle name="Input 3 3 2 8 2" xfId="24613" xr:uid="{00000000-0005-0000-0000-0000125C0000}"/>
    <cellStyle name="Input 3 3 2 8 3" xfId="24614" xr:uid="{00000000-0005-0000-0000-0000135C0000}"/>
    <cellStyle name="Input 3 3 2 9" xfId="24615" xr:uid="{00000000-0005-0000-0000-0000145C0000}"/>
    <cellStyle name="Input 3 3 2 9 2" xfId="24616" xr:uid="{00000000-0005-0000-0000-0000155C0000}"/>
    <cellStyle name="Input 3 3 2 9 3" xfId="24617" xr:uid="{00000000-0005-0000-0000-0000165C0000}"/>
    <cellStyle name="Input 3 3 3" xfId="24618" xr:uid="{00000000-0005-0000-0000-0000175C0000}"/>
    <cellStyle name="Input 3 3 3 10" xfId="44086" xr:uid="{00000000-0005-0000-0000-0000185C0000}"/>
    <cellStyle name="Input 3 3 3 2" xfId="24619" xr:uid="{00000000-0005-0000-0000-0000195C0000}"/>
    <cellStyle name="Input 3 3 3 2 10" xfId="24620" xr:uid="{00000000-0005-0000-0000-00001A5C0000}"/>
    <cellStyle name="Input 3 3 3 2 2" xfId="24621" xr:uid="{00000000-0005-0000-0000-00001B5C0000}"/>
    <cellStyle name="Input 3 3 3 2 2 2" xfId="24622" xr:uid="{00000000-0005-0000-0000-00001C5C0000}"/>
    <cellStyle name="Input 3 3 3 2 2 2 2" xfId="24623" xr:uid="{00000000-0005-0000-0000-00001D5C0000}"/>
    <cellStyle name="Input 3 3 3 2 2 2 3" xfId="24624" xr:uid="{00000000-0005-0000-0000-00001E5C0000}"/>
    <cellStyle name="Input 3 3 3 2 2 3" xfId="24625" xr:uid="{00000000-0005-0000-0000-00001F5C0000}"/>
    <cellStyle name="Input 3 3 3 2 2 3 2" xfId="24626" xr:uid="{00000000-0005-0000-0000-0000205C0000}"/>
    <cellStyle name="Input 3 3 3 2 2 3 3" xfId="24627" xr:uid="{00000000-0005-0000-0000-0000215C0000}"/>
    <cellStyle name="Input 3 3 3 2 2 4" xfId="24628" xr:uid="{00000000-0005-0000-0000-0000225C0000}"/>
    <cellStyle name="Input 3 3 3 2 2 4 2" xfId="24629" xr:uid="{00000000-0005-0000-0000-0000235C0000}"/>
    <cellStyle name="Input 3 3 3 2 2 4 3" xfId="24630" xr:uid="{00000000-0005-0000-0000-0000245C0000}"/>
    <cellStyle name="Input 3 3 3 2 2 5" xfId="24631" xr:uid="{00000000-0005-0000-0000-0000255C0000}"/>
    <cellStyle name="Input 3 3 3 2 2 5 2" xfId="24632" xr:uid="{00000000-0005-0000-0000-0000265C0000}"/>
    <cellStyle name="Input 3 3 3 2 2 5 3" xfId="24633" xr:uid="{00000000-0005-0000-0000-0000275C0000}"/>
    <cellStyle name="Input 3 3 3 2 2 6" xfId="24634" xr:uid="{00000000-0005-0000-0000-0000285C0000}"/>
    <cellStyle name="Input 3 3 3 2 2 6 2" xfId="24635" xr:uid="{00000000-0005-0000-0000-0000295C0000}"/>
    <cellStyle name="Input 3 3 3 2 2 6 3" xfId="24636" xr:uid="{00000000-0005-0000-0000-00002A5C0000}"/>
    <cellStyle name="Input 3 3 3 2 2 7" xfId="24637" xr:uid="{00000000-0005-0000-0000-00002B5C0000}"/>
    <cellStyle name="Input 3 3 3 2 2 7 2" xfId="24638" xr:uid="{00000000-0005-0000-0000-00002C5C0000}"/>
    <cellStyle name="Input 3 3 3 2 2 7 3" xfId="24639" xr:uid="{00000000-0005-0000-0000-00002D5C0000}"/>
    <cellStyle name="Input 3 3 3 2 2 8" xfId="24640" xr:uid="{00000000-0005-0000-0000-00002E5C0000}"/>
    <cellStyle name="Input 3 3 3 2 2 9" xfId="24641" xr:uid="{00000000-0005-0000-0000-00002F5C0000}"/>
    <cellStyle name="Input 3 3 3 2 3" xfId="24642" xr:uid="{00000000-0005-0000-0000-0000305C0000}"/>
    <cellStyle name="Input 3 3 3 2 3 2" xfId="24643" xr:uid="{00000000-0005-0000-0000-0000315C0000}"/>
    <cellStyle name="Input 3 3 3 2 3 3" xfId="24644" xr:uid="{00000000-0005-0000-0000-0000325C0000}"/>
    <cellStyle name="Input 3 3 3 2 4" xfId="24645" xr:uid="{00000000-0005-0000-0000-0000335C0000}"/>
    <cellStyle name="Input 3 3 3 2 4 2" xfId="24646" xr:uid="{00000000-0005-0000-0000-0000345C0000}"/>
    <cellStyle name="Input 3 3 3 2 4 3" xfId="24647" xr:uid="{00000000-0005-0000-0000-0000355C0000}"/>
    <cellStyle name="Input 3 3 3 2 5" xfId="24648" xr:uid="{00000000-0005-0000-0000-0000365C0000}"/>
    <cellStyle name="Input 3 3 3 2 5 2" xfId="24649" xr:uid="{00000000-0005-0000-0000-0000375C0000}"/>
    <cellStyle name="Input 3 3 3 2 5 3" xfId="24650" xr:uid="{00000000-0005-0000-0000-0000385C0000}"/>
    <cellStyle name="Input 3 3 3 2 6" xfId="24651" xr:uid="{00000000-0005-0000-0000-0000395C0000}"/>
    <cellStyle name="Input 3 3 3 2 6 2" xfId="24652" xr:uid="{00000000-0005-0000-0000-00003A5C0000}"/>
    <cellStyle name="Input 3 3 3 2 6 3" xfId="24653" xr:uid="{00000000-0005-0000-0000-00003B5C0000}"/>
    <cellStyle name="Input 3 3 3 2 7" xfId="24654" xr:uid="{00000000-0005-0000-0000-00003C5C0000}"/>
    <cellStyle name="Input 3 3 3 2 7 2" xfId="24655" xr:uid="{00000000-0005-0000-0000-00003D5C0000}"/>
    <cellStyle name="Input 3 3 3 2 7 3" xfId="24656" xr:uid="{00000000-0005-0000-0000-00003E5C0000}"/>
    <cellStyle name="Input 3 3 3 2 8" xfId="24657" xr:uid="{00000000-0005-0000-0000-00003F5C0000}"/>
    <cellStyle name="Input 3 3 3 2 8 2" xfId="24658" xr:uid="{00000000-0005-0000-0000-0000405C0000}"/>
    <cellStyle name="Input 3 3 3 2 8 3" xfId="24659" xr:uid="{00000000-0005-0000-0000-0000415C0000}"/>
    <cellStyle name="Input 3 3 3 2 9" xfId="24660" xr:uid="{00000000-0005-0000-0000-0000425C0000}"/>
    <cellStyle name="Input 3 3 3 3" xfId="24661" xr:uid="{00000000-0005-0000-0000-0000435C0000}"/>
    <cellStyle name="Input 3 3 3 3 10" xfId="24662" xr:uid="{00000000-0005-0000-0000-0000445C0000}"/>
    <cellStyle name="Input 3 3 3 3 2" xfId="24663" xr:uid="{00000000-0005-0000-0000-0000455C0000}"/>
    <cellStyle name="Input 3 3 3 3 2 2" xfId="24664" xr:uid="{00000000-0005-0000-0000-0000465C0000}"/>
    <cellStyle name="Input 3 3 3 3 2 2 2" xfId="24665" xr:uid="{00000000-0005-0000-0000-0000475C0000}"/>
    <cellStyle name="Input 3 3 3 3 2 2 3" xfId="24666" xr:uid="{00000000-0005-0000-0000-0000485C0000}"/>
    <cellStyle name="Input 3 3 3 3 2 3" xfId="24667" xr:uid="{00000000-0005-0000-0000-0000495C0000}"/>
    <cellStyle name="Input 3 3 3 3 2 3 2" xfId="24668" xr:uid="{00000000-0005-0000-0000-00004A5C0000}"/>
    <cellStyle name="Input 3 3 3 3 2 3 3" xfId="24669" xr:uid="{00000000-0005-0000-0000-00004B5C0000}"/>
    <cellStyle name="Input 3 3 3 3 2 4" xfId="24670" xr:uid="{00000000-0005-0000-0000-00004C5C0000}"/>
    <cellStyle name="Input 3 3 3 3 2 4 2" xfId="24671" xr:uid="{00000000-0005-0000-0000-00004D5C0000}"/>
    <cellStyle name="Input 3 3 3 3 2 4 3" xfId="24672" xr:uid="{00000000-0005-0000-0000-00004E5C0000}"/>
    <cellStyle name="Input 3 3 3 3 2 5" xfId="24673" xr:uid="{00000000-0005-0000-0000-00004F5C0000}"/>
    <cellStyle name="Input 3 3 3 3 2 5 2" xfId="24674" xr:uid="{00000000-0005-0000-0000-0000505C0000}"/>
    <cellStyle name="Input 3 3 3 3 2 5 3" xfId="24675" xr:uid="{00000000-0005-0000-0000-0000515C0000}"/>
    <cellStyle name="Input 3 3 3 3 2 6" xfId="24676" xr:uid="{00000000-0005-0000-0000-0000525C0000}"/>
    <cellStyle name="Input 3 3 3 3 2 6 2" xfId="24677" xr:uid="{00000000-0005-0000-0000-0000535C0000}"/>
    <cellStyle name="Input 3 3 3 3 2 6 3" xfId="24678" xr:uid="{00000000-0005-0000-0000-0000545C0000}"/>
    <cellStyle name="Input 3 3 3 3 2 7" xfId="24679" xr:uid="{00000000-0005-0000-0000-0000555C0000}"/>
    <cellStyle name="Input 3 3 3 3 2 7 2" xfId="24680" xr:uid="{00000000-0005-0000-0000-0000565C0000}"/>
    <cellStyle name="Input 3 3 3 3 2 7 3" xfId="24681" xr:uid="{00000000-0005-0000-0000-0000575C0000}"/>
    <cellStyle name="Input 3 3 3 3 2 8" xfId="24682" xr:uid="{00000000-0005-0000-0000-0000585C0000}"/>
    <cellStyle name="Input 3 3 3 3 2 9" xfId="24683" xr:uid="{00000000-0005-0000-0000-0000595C0000}"/>
    <cellStyle name="Input 3 3 3 3 3" xfId="24684" xr:uid="{00000000-0005-0000-0000-00005A5C0000}"/>
    <cellStyle name="Input 3 3 3 3 3 2" xfId="24685" xr:uid="{00000000-0005-0000-0000-00005B5C0000}"/>
    <cellStyle name="Input 3 3 3 3 3 3" xfId="24686" xr:uid="{00000000-0005-0000-0000-00005C5C0000}"/>
    <cellStyle name="Input 3 3 3 3 4" xfId="24687" xr:uid="{00000000-0005-0000-0000-00005D5C0000}"/>
    <cellStyle name="Input 3 3 3 3 4 2" xfId="24688" xr:uid="{00000000-0005-0000-0000-00005E5C0000}"/>
    <cellStyle name="Input 3 3 3 3 4 3" xfId="24689" xr:uid="{00000000-0005-0000-0000-00005F5C0000}"/>
    <cellStyle name="Input 3 3 3 3 5" xfId="24690" xr:uid="{00000000-0005-0000-0000-0000605C0000}"/>
    <cellStyle name="Input 3 3 3 3 5 2" xfId="24691" xr:uid="{00000000-0005-0000-0000-0000615C0000}"/>
    <cellStyle name="Input 3 3 3 3 5 3" xfId="24692" xr:uid="{00000000-0005-0000-0000-0000625C0000}"/>
    <cellStyle name="Input 3 3 3 3 6" xfId="24693" xr:uid="{00000000-0005-0000-0000-0000635C0000}"/>
    <cellStyle name="Input 3 3 3 3 6 2" xfId="24694" xr:uid="{00000000-0005-0000-0000-0000645C0000}"/>
    <cellStyle name="Input 3 3 3 3 6 3" xfId="24695" xr:uid="{00000000-0005-0000-0000-0000655C0000}"/>
    <cellStyle name="Input 3 3 3 3 7" xfId="24696" xr:uid="{00000000-0005-0000-0000-0000665C0000}"/>
    <cellStyle name="Input 3 3 3 3 7 2" xfId="24697" xr:uid="{00000000-0005-0000-0000-0000675C0000}"/>
    <cellStyle name="Input 3 3 3 3 7 3" xfId="24698" xr:uid="{00000000-0005-0000-0000-0000685C0000}"/>
    <cellStyle name="Input 3 3 3 3 8" xfId="24699" xr:uid="{00000000-0005-0000-0000-0000695C0000}"/>
    <cellStyle name="Input 3 3 3 3 8 2" xfId="24700" xr:uid="{00000000-0005-0000-0000-00006A5C0000}"/>
    <cellStyle name="Input 3 3 3 3 8 3" xfId="24701" xr:uid="{00000000-0005-0000-0000-00006B5C0000}"/>
    <cellStyle name="Input 3 3 3 3 9" xfId="24702" xr:uid="{00000000-0005-0000-0000-00006C5C0000}"/>
    <cellStyle name="Input 3 3 3 4" xfId="24703" xr:uid="{00000000-0005-0000-0000-00006D5C0000}"/>
    <cellStyle name="Input 3 3 3 4 10" xfId="24704" xr:uid="{00000000-0005-0000-0000-00006E5C0000}"/>
    <cellStyle name="Input 3 3 3 4 2" xfId="24705" xr:uid="{00000000-0005-0000-0000-00006F5C0000}"/>
    <cellStyle name="Input 3 3 3 4 2 2" xfId="24706" xr:uid="{00000000-0005-0000-0000-0000705C0000}"/>
    <cellStyle name="Input 3 3 3 4 2 2 2" xfId="24707" xr:uid="{00000000-0005-0000-0000-0000715C0000}"/>
    <cellStyle name="Input 3 3 3 4 2 2 3" xfId="24708" xr:uid="{00000000-0005-0000-0000-0000725C0000}"/>
    <cellStyle name="Input 3 3 3 4 2 3" xfId="24709" xr:uid="{00000000-0005-0000-0000-0000735C0000}"/>
    <cellStyle name="Input 3 3 3 4 2 3 2" xfId="24710" xr:uid="{00000000-0005-0000-0000-0000745C0000}"/>
    <cellStyle name="Input 3 3 3 4 2 3 3" xfId="24711" xr:uid="{00000000-0005-0000-0000-0000755C0000}"/>
    <cellStyle name="Input 3 3 3 4 2 4" xfId="24712" xr:uid="{00000000-0005-0000-0000-0000765C0000}"/>
    <cellStyle name="Input 3 3 3 4 2 4 2" xfId="24713" xr:uid="{00000000-0005-0000-0000-0000775C0000}"/>
    <cellStyle name="Input 3 3 3 4 2 4 3" xfId="24714" xr:uid="{00000000-0005-0000-0000-0000785C0000}"/>
    <cellStyle name="Input 3 3 3 4 2 5" xfId="24715" xr:uid="{00000000-0005-0000-0000-0000795C0000}"/>
    <cellStyle name="Input 3 3 3 4 2 5 2" xfId="24716" xr:uid="{00000000-0005-0000-0000-00007A5C0000}"/>
    <cellStyle name="Input 3 3 3 4 2 5 3" xfId="24717" xr:uid="{00000000-0005-0000-0000-00007B5C0000}"/>
    <cellStyle name="Input 3 3 3 4 2 6" xfId="24718" xr:uid="{00000000-0005-0000-0000-00007C5C0000}"/>
    <cellStyle name="Input 3 3 3 4 2 6 2" xfId="24719" xr:uid="{00000000-0005-0000-0000-00007D5C0000}"/>
    <cellStyle name="Input 3 3 3 4 2 6 3" xfId="24720" xr:uid="{00000000-0005-0000-0000-00007E5C0000}"/>
    <cellStyle name="Input 3 3 3 4 2 7" xfId="24721" xr:uid="{00000000-0005-0000-0000-00007F5C0000}"/>
    <cellStyle name="Input 3 3 3 4 2 7 2" xfId="24722" xr:uid="{00000000-0005-0000-0000-0000805C0000}"/>
    <cellStyle name="Input 3 3 3 4 2 7 3" xfId="24723" xr:uid="{00000000-0005-0000-0000-0000815C0000}"/>
    <cellStyle name="Input 3 3 3 4 2 8" xfId="24724" xr:uid="{00000000-0005-0000-0000-0000825C0000}"/>
    <cellStyle name="Input 3 3 3 4 2 9" xfId="24725" xr:uid="{00000000-0005-0000-0000-0000835C0000}"/>
    <cellStyle name="Input 3 3 3 4 3" xfId="24726" xr:uid="{00000000-0005-0000-0000-0000845C0000}"/>
    <cellStyle name="Input 3 3 3 4 3 2" xfId="24727" xr:uid="{00000000-0005-0000-0000-0000855C0000}"/>
    <cellStyle name="Input 3 3 3 4 3 3" xfId="24728" xr:uid="{00000000-0005-0000-0000-0000865C0000}"/>
    <cellStyle name="Input 3 3 3 4 4" xfId="24729" xr:uid="{00000000-0005-0000-0000-0000875C0000}"/>
    <cellStyle name="Input 3 3 3 4 4 2" xfId="24730" xr:uid="{00000000-0005-0000-0000-0000885C0000}"/>
    <cellStyle name="Input 3 3 3 4 4 3" xfId="24731" xr:uid="{00000000-0005-0000-0000-0000895C0000}"/>
    <cellStyle name="Input 3 3 3 4 5" xfId="24732" xr:uid="{00000000-0005-0000-0000-00008A5C0000}"/>
    <cellStyle name="Input 3 3 3 4 5 2" xfId="24733" xr:uid="{00000000-0005-0000-0000-00008B5C0000}"/>
    <cellStyle name="Input 3 3 3 4 5 3" xfId="24734" xr:uid="{00000000-0005-0000-0000-00008C5C0000}"/>
    <cellStyle name="Input 3 3 3 4 6" xfId="24735" xr:uid="{00000000-0005-0000-0000-00008D5C0000}"/>
    <cellStyle name="Input 3 3 3 4 6 2" xfId="24736" xr:uid="{00000000-0005-0000-0000-00008E5C0000}"/>
    <cellStyle name="Input 3 3 3 4 6 3" xfId="24737" xr:uid="{00000000-0005-0000-0000-00008F5C0000}"/>
    <cellStyle name="Input 3 3 3 4 7" xfId="24738" xr:uid="{00000000-0005-0000-0000-0000905C0000}"/>
    <cellStyle name="Input 3 3 3 4 7 2" xfId="24739" xr:uid="{00000000-0005-0000-0000-0000915C0000}"/>
    <cellStyle name="Input 3 3 3 4 7 3" xfId="24740" xr:uid="{00000000-0005-0000-0000-0000925C0000}"/>
    <cellStyle name="Input 3 3 3 4 8" xfId="24741" xr:uid="{00000000-0005-0000-0000-0000935C0000}"/>
    <cellStyle name="Input 3 3 3 4 8 2" xfId="24742" xr:uid="{00000000-0005-0000-0000-0000945C0000}"/>
    <cellStyle name="Input 3 3 3 4 8 3" xfId="24743" xr:uid="{00000000-0005-0000-0000-0000955C0000}"/>
    <cellStyle name="Input 3 3 3 4 9" xfId="24744" xr:uid="{00000000-0005-0000-0000-0000965C0000}"/>
    <cellStyle name="Input 3 3 3 5" xfId="24745" xr:uid="{00000000-0005-0000-0000-0000975C0000}"/>
    <cellStyle name="Input 3 3 3 5 2" xfId="24746" xr:uid="{00000000-0005-0000-0000-0000985C0000}"/>
    <cellStyle name="Input 3 3 3 5 2 2" xfId="24747" xr:uid="{00000000-0005-0000-0000-0000995C0000}"/>
    <cellStyle name="Input 3 3 3 5 2 3" xfId="24748" xr:uid="{00000000-0005-0000-0000-00009A5C0000}"/>
    <cellStyle name="Input 3 3 3 5 3" xfId="24749" xr:uid="{00000000-0005-0000-0000-00009B5C0000}"/>
    <cellStyle name="Input 3 3 3 5 3 2" xfId="24750" xr:uid="{00000000-0005-0000-0000-00009C5C0000}"/>
    <cellStyle name="Input 3 3 3 5 3 3" xfId="24751" xr:uid="{00000000-0005-0000-0000-00009D5C0000}"/>
    <cellStyle name="Input 3 3 3 5 4" xfId="24752" xr:uid="{00000000-0005-0000-0000-00009E5C0000}"/>
    <cellStyle name="Input 3 3 3 5 4 2" xfId="24753" xr:uid="{00000000-0005-0000-0000-00009F5C0000}"/>
    <cellStyle name="Input 3 3 3 5 4 3" xfId="24754" xr:uid="{00000000-0005-0000-0000-0000A05C0000}"/>
    <cellStyle name="Input 3 3 3 5 5" xfId="24755" xr:uid="{00000000-0005-0000-0000-0000A15C0000}"/>
    <cellStyle name="Input 3 3 3 5 5 2" xfId="24756" xr:uid="{00000000-0005-0000-0000-0000A25C0000}"/>
    <cellStyle name="Input 3 3 3 5 5 3" xfId="24757" xr:uid="{00000000-0005-0000-0000-0000A35C0000}"/>
    <cellStyle name="Input 3 3 3 5 6" xfId="24758" xr:uid="{00000000-0005-0000-0000-0000A45C0000}"/>
    <cellStyle name="Input 3 3 3 5 6 2" xfId="24759" xr:uid="{00000000-0005-0000-0000-0000A55C0000}"/>
    <cellStyle name="Input 3 3 3 5 6 3" xfId="24760" xr:uid="{00000000-0005-0000-0000-0000A65C0000}"/>
    <cellStyle name="Input 3 3 3 5 7" xfId="24761" xr:uid="{00000000-0005-0000-0000-0000A75C0000}"/>
    <cellStyle name="Input 3 3 3 5 7 2" xfId="24762" xr:uid="{00000000-0005-0000-0000-0000A85C0000}"/>
    <cellStyle name="Input 3 3 3 5 7 3" xfId="24763" xr:uid="{00000000-0005-0000-0000-0000A95C0000}"/>
    <cellStyle name="Input 3 3 3 5 8" xfId="24764" xr:uid="{00000000-0005-0000-0000-0000AA5C0000}"/>
    <cellStyle name="Input 3 3 3 5 9" xfId="24765" xr:uid="{00000000-0005-0000-0000-0000AB5C0000}"/>
    <cellStyle name="Input 3 3 3 6" xfId="24766" xr:uid="{00000000-0005-0000-0000-0000AC5C0000}"/>
    <cellStyle name="Input 3 3 3 6 2" xfId="24767" xr:uid="{00000000-0005-0000-0000-0000AD5C0000}"/>
    <cellStyle name="Input 3 3 3 6 3" xfId="24768" xr:uid="{00000000-0005-0000-0000-0000AE5C0000}"/>
    <cellStyle name="Input 3 3 3 7" xfId="24769" xr:uid="{00000000-0005-0000-0000-0000AF5C0000}"/>
    <cellStyle name="Input 3 3 3 7 2" xfId="24770" xr:uid="{00000000-0005-0000-0000-0000B05C0000}"/>
    <cellStyle name="Input 3 3 3 7 3" xfId="24771" xr:uid="{00000000-0005-0000-0000-0000B15C0000}"/>
    <cellStyle name="Input 3 3 3 8" xfId="24772" xr:uid="{00000000-0005-0000-0000-0000B25C0000}"/>
    <cellStyle name="Input 3 3 3 8 2" xfId="24773" xr:uid="{00000000-0005-0000-0000-0000B35C0000}"/>
    <cellStyle name="Input 3 3 3 8 3" xfId="24774" xr:uid="{00000000-0005-0000-0000-0000B45C0000}"/>
    <cellStyle name="Input 3 3 3 9" xfId="24775" xr:uid="{00000000-0005-0000-0000-0000B55C0000}"/>
    <cellStyle name="Input 3 3 3 9 2" xfId="24776" xr:uid="{00000000-0005-0000-0000-0000B65C0000}"/>
    <cellStyle name="Input 3 3 3 9 3" xfId="24777" xr:uid="{00000000-0005-0000-0000-0000B75C0000}"/>
    <cellStyle name="Input 3 3 4" xfId="24778" xr:uid="{00000000-0005-0000-0000-0000B85C0000}"/>
    <cellStyle name="Input 3 3 4 10" xfId="44087" xr:uid="{00000000-0005-0000-0000-0000B95C0000}"/>
    <cellStyle name="Input 3 3 4 2" xfId="24779" xr:uid="{00000000-0005-0000-0000-0000BA5C0000}"/>
    <cellStyle name="Input 3 3 4 2 10" xfId="24780" xr:uid="{00000000-0005-0000-0000-0000BB5C0000}"/>
    <cellStyle name="Input 3 3 4 2 2" xfId="24781" xr:uid="{00000000-0005-0000-0000-0000BC5C0000}"/>
    <cellStyle name="Input 3 3 4 2 2 2" xfId="24782" xr:uid="{00000000-0005-0000-0000-0000BD5C0000}"/>
    <cellStyle name="Input 3 3 4 2 2 2 2" xfId="24783" xr:uid="{00000000-0005-0000-0000-0000BE5C0000}"/>
    <cellStyle name="Input 3 3 4 2 2 2 3" xfId="24784" xr:uid="{00000000-0005-0000-0000-0000BF5C0000}"/>
    <cellStyle name="Input 3 3 4 2 2 3" xfId="24785" xr:uid="{00000000-0005-0000-0000-0000C05C0000}"/>
    <cellStyle name="Input 3 3 4 2 2 3 2" xfId="24786" xr:uid="{00000000-0005-0000-0000-0000C15C0000}"/>
    <cellStyle name="Input 3 3 4 2 2 3 3" xfId="24787" xr:uid="{00000000-0005-0000-0000-0000C25C0000}"/>
    <cellStyle name="Input 3 3 4 2 2 4" xfId="24788" xr:uid="{00000000-0005-0000-0000-0000C35C0000}"/>
    <cellStyle name="Input 3 3 4 2 2 4 2" xfId="24789" xr:uid="{00000000-0005-0000-0000-0000C45C0000}"/>
    <cellStyle name="Input 3 3 4 2 2 4 3" xfId="24790" xr:uid="{00000000-0005-0000-0000-0000C55C0000}"/>
    <cellStyle name="Input 3 3 4 2 2 5" xfId="24791" xr:uid="{00000000-0005-0000-0000-0000C65C0000}"/>
    <cellStyle name="Input 3 3 4 2 2 5 2" xfId="24792" xr:uid="{00000000-0005-0000-0000-0000C75C0000}"/>
    <cellStyle name="Input 3 3 4 2 2 5 3" xfId="24793" xr:uid="{00000000-0005-0000-0000-0000C85C0000}"/>
    <cellStyle name="Input 3 3 4 2 2 6" xfId="24794" xr:uid="{00000000-0005-0000-0000-0000C95C0000}"/>
    <cellStyle name="Input 3 3 4 2 2 6 2" xfId="24795" xr:uid="{00000000-0005-0000-0000-0000CA5C0000}"/>
    <cellStyle name="Input 3 3 4 2 2 6 3" xfId="24796" xr:uid="{00000000-0005-0000-0000-0000CB5C0000}"/>
    <cellStyle name="Input 3 3 4 2 2 7" xfId="24797" xr:uid="{00000000-0005-0000-0000-0000CC5C0000}"/>
    <cellStyle name="Input 3 3 4 2 2 7 2" xfId="24798" xr:uid="{00000000-0005-0000-0000-0000CD5C0000}"/>
    <cellStyle name="Input 3 3 4 2 2 7 3" xfId="24799" xr:uid="{00000000-0005-0000-0000-0000CE5C0000}"/>
    <cellStyle name="Input 3 3 4 2 2 8" xfId="24800" xr:uid="{00000000-0005-0000-0000-0000CF5C0000}"/>
    <cellStyle name="Input 3 3 4 2 2 9" xfId="24801" xr:uid="{00000000-0005-0000-0000-0000D05C0000}"/>
    <cellStyle name="Input 3 3 4 2 3" xfId="24802" xr:uid="{00000000-0005-0000-0000-0000D15C0000}"/>
    <cellStyle name="Input 3 3 4 2 3 2" xfId="24803" xr:uid="{00000000-0005-0000-0000-0000D25C0000}"/>
    <cellStyle name="Input 3 3 4 2 3 3" xfId="24804" xr:uid="{00000000-0005-0000-0000-0000D35C0000}"/>
    <cellStyle name="Input 3 3 4 2 4" xfId="24805" xr:uid="{00000000-0005-0000-0000-0000D45C0000}"/>
    <cellStyle name="Input 3 3 4 2 4 2" xfId="24806" xr:uid="{00000000-0005-0000-0000-0000D55C0000}"/>
    <cellStyle name="Input 3 3 4 2 4 3" xfId="24807" xr:uid="{00000000-0005-0000-0000-0000D65C0000}"/>
    <cellStyle name="Input 3 3 4 2 5" xfId="24808" xr:uid="{00000000-0005-0000-0000-0000D75C0000}"/>
    <cellStyle name="Input 3 3 4 2 5 2" xfId="24809" xr:uid="{00000000-0005-0000-0000-0000D85C0000}"/>
    <cellStyle name="Input 3 3 4 2 5 3" xfId="24810" xr:uid="{00000000-0005-0000-0000-0000D95C0000}"/>
    <cellStyle name="Input 3 3 4 2 6" xfId="24811" xr:uid="{00000000-0005-0000-0000-0000DA5C0000}"/>
    <cellStyle name="Input 3 3 4 2 6 2" xfId="24812" xr:uid="{00000000-0005-0000-0000-0000DB5C0000}"/>
    <cellStyle name="Input 3 3 4 2 6 3" xfId="24813" xr:uid="{00000000-0005-0000-0000-0000DC5C0000}"/>
    <cellStyle name="Input 3 3 4 2 7" xfId="24814" xr:uid="{00000000-0005-0000-0000-0000DD5C0000}"/>
    <cellStyle name="Input 3 3 4 2 7 2" xfId="24815" xr:uid="{00000000-0005-0000-0000-0000DE5C0000}"/>
    <cellStyle name="Input 3 3 4 2 7 3" xfId="24816" xr:uid="{00000000-0005-0000-0000-0000DF5C0000}"/>
    <cellStyle name="Input 3 3 4 2 8" xfId="24817" xr:uid="{00000000-0005-0000-0000-0000E05C0000}"/>
    <cellStyle name="Input 3 3 4 2 8 2" xfId="24818" xr:uid="{00000000-0005-0000-0000-0000E15C0000}"/>
    <cellStyle name="Input 3 3 4 2 8 3" xfId="24819" xr:uid="{00000000-0005-0000-0000-0000E25C0000}"/>
    <cellStyle name="Input 3 3 4 2 9" xfId="24820" xr:uid="{00000000-0005-0000-0000-0000E35C0000}"/>
    <cellStyle name="Input 3 3 4 3" xfId="24821" xr:uid="{00000000-0005-0000-0000-0000E45C0000}"/>
    <cellStyle name="Input 3 3 4 3 10" xfId="24822" xr:uid="{00000000-0005-0000-0000-0000E55C0000}"/>
    <cellStyle name="Input 3 3 4 3 2" xfId="24823" xr:uid="{00000000-0005-0000-0000-0000E65C0000}"/>
    <cellStyle name="Input 3 3 4 3 2 2" xfId="24824" xr:uid="{00000000-0005-0000-0000-0000E75C0000}"/>
    <cellStyle name="Input 3 3 4 3 2 2 2" xfId="24825" xr:uid="{00000000-0005-0000-0000-0000E85C0000}"/>
    <cellStyle name="Input 3 3 4 3 2 2 3" xfId="24826" xr:uid="{00000000-0005-0000-0000-0000E95C0000}"/>
    <cellStyle name="Input 3 3 4 3 2 3" xfId="24827" xr:uid="{00000000-0005-0000-0000-0000EA5C0000}"/>
    <cellStyle name="Input 3 3 4 3 2 3 2" xfId="24828" xr:uid="{00000000-0005-0000-0000-0000EB5C0000}"/>
    <cellStyle name="Input 3 3 4 3 2 3 3" xfId="24829" xr:uid="{00000000-0005-0000-0000-0000EC5C0000}"/>
    <cellStyle name="Input 3 3 4 3 2 4" xfId="24830" xr:uid="{00000000-0005-0000-0000-0000ED5C0000}"/>
    <cellStyle name="Input 3 3 4 3 2 4 2" xfId="24831" xr:uid="{00000000-0005-0000-0000-0000EE5C0000}"/>
    <cellStyle name="Input 3 3 4 3 2 4 3" xfId="24832" xr:uid="{00000000-0005-0000-0000-0000EF5C0000}"/>
    <cellStyle name="Input 3 3 4 3 2 5" xfId="24833" xr:uid="{00000000-0005-0000-0000-0000F05C0000}"/>
    <cellStyle name="Input 3 3 4 3 2 5 2" xfId="24834" xr:uid="{00000000-0005-0000-0000-0000F15C0000}"/>
    <cellStyle name="Input 3 3 4 3 2 5 3" xfId="24835" xr:uid="{00000000-0005-0000-0000-0000F25C0000}"/>
    <cellStyle name="Input 3 3 4 3 2 6" xfId="24836" xr:uid="{00000000-0005-0000-0000-0000F35C0000}"/>
    <cellStyle name="Input 3 3 4 3 2 6 2" xfId="24837" xr:uid="{00000000-0005-0000-0000-0000F45C0000}"/>
    <cellStyle name="Input 3 3 4 3 2 6 3" xfId="24838" xr:uid="{00000000-0005-0000-0000-0000F55C0000}"/>
    <cellStyle name="Input 3 3 4 3 2 7" xfId="24839" xr:uid="{00000000-0005-0000-0000-0000F65C0000}"/>
    <cellStyle name="Input 3 3 4 3 2 7 2" xfId="24840" xr:uid="{00000000-0005-0000-0000-0000F75C0000}"/>
    <cellStyle name="Input 3 3 4 3 2 7 3" xfId="24841" xr:uid="{00000000-0005-0000-0000-0000F85C0000}"/>
    <cellStyle name="Input 3 3 4 3 2 8" xfId="24842" xr:uid="{00000000-0005-0000-0000-0000F95C0000}"/>
    <cellStyle name="Input 3 3 4 3 2 9" xfId="24843" xr:uid="{00000000-0005-0000-0000-0000FA5C0000}"/>
    <cellStyle name="Input 3 3 4 3 3" xfId="24844" xr:uid="{00000000-0005-0000-0000-0000FB5C0000}"/>
    <cellStyle name="Input 3 3 4 3 3 2" xfId="24845" xr:uid="{00000000-0005-0000-0000-0000FC5C0000}"/>
    <cellStyle name="Input 3 3 4 3 3 3" xfId="24846" xr:uid="{00000000-0005-0000-0000-0000FD5C0000}"/>
    <cellStyle name="Input 3 3 4 3 4" xfId="24847" xr:uid="{00000000-0005-0000-0000-0000FE5C0000}"/>
    <cellStyle name="Input 3 3 4 3 4 2" xfId="24848" xr:uid="{00000000-0005-0000-0000-0000FF5C0000}"/>
    <cellStyle name="Input 3 3 4 3 4 3" xfId="24849" xr:uid="{00000000-0005-0000-0000-0000005D0000}"/>
    <cellStyle name="Input 3 3 4 3 5" xfId="24850" xr:uid="{00000000-0005-0000-0000-0000015D0000}"/>
    <cellStyle name="Input 3 3 4 3 5 2" xfId="24851" xr:uid="{00000000-0005-0000-0000-0000025D0000}"/>
    <cellStyle name="Input 3 3 4 3 5 3" xfId="24852" xr:uid="{00000000-0005-0000-0000-0000035D0000}"/>
    <cellStyle name="Input 3 3 4 3 6" xfId="24853" xr:uid="{00000000-0005-0000-0000-0000045D0000}"/>
    <cellStyle name="Input 3 3 4 3 6 2" xfId="24854" xr:uid="{00000000-0005-0000-0000-0000055D0000}"/>
    <cellStyle name="Input 3 3 4 3 6 3" xfId="24855" xr:uid="{00000000-0005-0000-0000-0000065D0000}"/>
    <cellStyle name="Input 3 3 4 3 7" xfId="24856" xr:uid="{00000000-0005-0000-0000-0000075D0000}"/>
    <cellStyle name="Input 3 3 4 3 7 2" xfId="24857" xr:uid="{00000000-0005-0000-0000-0000085D0000}"/>
    <cellStyle name="Input 3 3 4 3 7 3" xfId="24858" xr:uid="{00000000-0005-0000-0000-0000095D0000}"/>
    <cellStyle name="Input 3 3 4 3 8" xfId="24859" xr:uid="{00000000-0005-0000-0000-00000A5D0000}"/>
    <cellStyle name="Input 3 3 4 3 8 2" xfId="24860" xr:uid="{00000000-0005-0000-0000-00000B5D0000}"/>
    <cellStyle name="Input 3 3 4 3 8 3" xfId="24861" xr:uid="{00000000-0005-0000-0000-00000C5D0000}"/>
    <cellStyle name="Input 3 3 4 3 9" xfId="24862" xr:uid="{00000000-0005-0000-0000-00000D5D0000}"/>
    <cellStyle name="Input 3 3 4 4" xfId="24863" xr:uid="{00000000-0005-0000-0000-00000E5D0000}"/>
    <cellStyle name="Input 3 3 4 4 10" xfId="24864" xr:uid="{00000000-0005-0000-0000-00000F5D0000}"/>
    <cellStyle name="Input 3 3 4 4 2" xfId="24865" xr:uid="{00000000-0005-0000-0000-0000105D0000}"/>
    <cellStyle name="Input 3 3 4 4 2 2" xfId="24866" xr:uid="{00000000-0005-0000-0000-0000115D0000}"/>
    <cellStyle name="Input 3 3 4 4 2 2 2" xfId="24867" xr:uid="{00000000-0005-0000-0000-0000125D0000}"/>
    <cellStyle name="Input 3 3 4 4 2 2 3" xfId="24868" xr:uid="{00000000-0005-0000-0000-0000135D0000}"/>
    <cellStyle name="Input 3 3 4 4 2 3" xfId="24869" xr:uid="{00000000-0005-0000-0000-0000145D0000}"/>
    <cellStyle name="Input 3 3 4 4 2 3 2" xfId="24870" xr:uid="{00000000-0005-0000-0000-0000155D0000}"/>
    <cellStyle name="Input 3 3 4 4 2 3 3" xfId="24871" xr:uid="{00000000-0005-0000-0000-0000165D0000}"/>
    <cellStyle name="Input 3 3 4 4 2 4" xfId="24872" xr:uid="{00000000-0005-0000-0000-0000175D0000}"/>
    <cellStyle name="Input 3 3 4 4 2 4 2" xfId="24873" xr:uid="{00000000-0005-0000-0000-0000185D0000}"/>
    <cellStyle name="Input 3 3 4 4 2 4 3" xfId="24874" xr:uid="{00000000-0005-0000-0000-0000195D0000}"/>
    <cellStyle name="Input 3 3 4 4 2 5" xfId="24875" xr:uid="{00000000-0005-0000-0000-00001A5D0000}"/>
    <cellStyle name="Input 3 3 4 4 2 5 2" xfId="24876" xr:uid="{00000000-0005-0000-0000-00001B5D0000}"/>
    <cellStyle name="Input 3 3 4 4 2 5 3" xfId="24877" xr:uid="{00000000-0005-0000-0000-00001C5D0000}"/>
    <cellStyle name="Input 3 3 4 4 2 6" xfId="24878" xr:uid="{00000000-0005-0000-0000-00001D5D0000}"/>
    <cellStyle name="Input 3 3 4 4 2 6 2" xfId="24879" xr:uid="{00000000-0005-0000-0000-00001E5D0000}"/>
    <cellStyle name="Input 3 3 4 4 2 6 3" xfId="24880" xr:uid="{00000000-0005-0000-0000-00001F5D0000}"/>
    <cellStyle name="Input 3 3 4 4 2 7" xfId="24881" xr:uid="{00000000-0005-0000-0000-0000205D0000}"/>
    <cellStyle name="Input 3 3 4 4 2 7 2" xfId="24882" xr:uid="{00000000-0005-0000-0000-0000215D0000}"/>
    <cellStyle name="Input 3 3 4 4 2 7 3" xfId="24883" xr:uid="{00000000-0005-0000-0000-0000225D0000}"/>
    <cellStyle name="Input 3 3 4 4 2 8" xfId="24884" xr:uid="{00000000-0005-0000-0000-0000235D0000}"/>
    <cellStyle name="Input 3 3 4 4 2 9" xfId="24885" xr:uid="{00000000-0005-0000-0000-0000245D0000}"/>
    <cellStyle name="Input 3 3 4 4 3" xfId="24886" xr:uid="{00000000-0005-0000-0000-0000255D0000}"/>
    <cellStyle name="Input 3 3 4 4 3 2" xfId="24887" xr:uid="{00000000-0005-0000-0000-0000265D0000}"/>
    <cellStyle name="Input 3 3 4 4 3 3" xfId="24888" xr:uid="{00000000-0005-0000-0000-0000275D0000}"/>
    <cellStyle name="Input 3 3 4 4 4" xfId="24889" xr:uid="{00000000-0005-0000-0000-0000285D0000}"/>
    <cellStyle name="Input 3 3 4 4 4 2" xfId="24890" xr:uid="{00000000-0005-0000-0000-0000295D0000}"/>
    <cellStyle name="Input 3 3 4 4 4 3" xfId="24891" xr:uid="{00000000-0005-0000-0000-00002A5D0000}"/>
    <cellStyle name="Input 3 3 4 4 5" xfId="24892" xr:uid="{00000000-0005-0000-0000-00002B5D0000}"/>
    <cellStyle name="Input 3 3 4 4 5 2" xfId="24893" xr:uid="{00000000-0005-0000-0000-00002C5D0000}"/>
    <cellStyle name="Input 3 3 4 4 5 3" xfId="24894" xr:uid="{00000000-0005-0000-0000-00002D5D0000}"/>
    <cellStyle name="Input 3 3 4 4 6" xfId="24895" xr:uid="{00000000-0005-0000-0000-00002E5D0000}"/>
    <cellStyle name="Input 3 3 4 4 6 2" xfId="24896" xr:uid="{00000000-0005-0000-0000-00002F5D0000}"/>
    <cellStyle name="Input 3 3 4 4 6 3" xfId="24897" xr:uid="{00000000-0005-0000-0000-0000305D0000}"/>
    <cellStyle name="Input 3 3 4 4 7" xfId="24898" xr:uid="{00000000-0005-0000-0000-0000315D0000}"/>
    <cellStyle name="Input 3 3 4 4 7 2" xfId="24899" xr:uid="{00000000-0005-0000-0000-0000325D0000}"/>
    <cellStyle name="Input 3 3 4 4 7 3" xfId="24900" xr:uid="{00000000-0005-0000-0000-0000335D0000}"/>
    <cellStyle name="Input 3 3 4 4 8" xfId="24901" xr:uid="{00000000-0005-0000-0000-0000345D0000}"/>
    <cellStyle name="Input 3 3 4 4 8 2" xfId="24902" xr:uid="{00000000-0005-0000-0000-0000355D0000}"/>
    <cellStyle name="Input 3 3 4 4 8 3" xfId="24903" xr:uid="{00000000-0005-0000-0000-0000365D0000}"/>
    <cellStyle name="Input 3 3 4 4 9" xfId="24904" xr:uid="{00000000-0005-0000-0000-0000375D0000}"/>
    <cellStyle name="Input 3 3 4 5" xfId="24905" xr:uid="{00000000-0005-0000-0000-0000385D0000}"/>
    <cellStyle name="Input 3 3 4 5 2" xfId="24906" xr:uid="{00000000-0005-0000-0000-0000395D0000}"/>
    <cellStyle name="Input 3 3 4 5 2 2" xfId="24907" xr:uid="{00000000-0005-0000-0000-00003A5D0000}"/>
    <cellStyle name="Input 3 3 4 5 2 3" xfId="24908" xr:uid="{00000000-0005-0000-0000-00003B5D0000}"/>
    <cellStyle name="Input 3 3 4 5 3" xfId="24909" xr:uid="{00000000-0005-0000-0000-00003C5D0000}"/>
    <cellStyle name="Input 3 3 4 5 3 2" xfId="24910" xr:uid="{00000000-0005-0000-0000-00003D5D0000}"/>
    <cellStyle name="Input 3 3 4 5 3 3" xfId="24911" xr:uid="{00000000-0005-0000-0000-00003E5D0000}"/>
    <cellStyle name="Input 3 3 4 5 4" xfId="24912" xr:uid="{00000000-0005-0000-0000-00003F5D0000}"/>
    <cellStyle name="Input 3 3 4 5 4 2" xfId="24913" xr:uid="{00000000-0005-0000-0000-0000405D0000}"/>
    <cellStyle name="Input 3 3 4 5 4 3" xfId="24914" xr:uid="{00000000-0005-0000-0000-0000415D0000}"/>
    <cellStyle name="Input 3 3 4 5 5" xfId="24915" xr:uid="{00000000-0005-0000-0000-0000425D0000}"/>
    <cellStyle name="Input 3 3 4 5 5 2" xfId="24916" xr:uid="{00000000-0005-0000-0000-0000435D0000}"/>
    <cellStyle name="Input 3 3 4 5 5 3" xfId="24917" xr:uid="{00000000-0005-0000-0000-0000445D0000}"/>
    <cellStyle name="Input 3 3 4 5 6" xfId="24918" xr:uid="{00000000-0005-0000-0000-0000455D0000}"/>
    <cellStyle name="Input 3 3 4 5 6 2" xfId="24919" xr:uid="{00000000-0005-0000-0000-0000465D0000}"/>
    <cellStyle name="Input 3 3 4 5 6 3" xfId="24920" xr:uid="{00000000-0005-0000-0000-0000475D0000}"/>
    <cellStyle name="Input 3 3 4 5 7" xfId="24921" xr:uid="{00000000-0005-0000-0000-0000485D0000}"/>
    <cellStyle name="Input 3 3 4 5 7 2" xfId="24922" xr:uid="{00000000-0005-0000-0000-0000495D0000}"/>
    <cellStyle name="Input 3 3 4 5 7 3" xfId="24923" xr:uid="{00000000-0005-0000-0000-00004A5D0000}"/>
    <cellStyle name="Input 3 3 4 5 8" xfId="24924" xr:uid="{00000000-0005-0000-0000-00004B5D0000}"/>
    <cellStyle name="Input 3 3 4 5 9" xfId="24925" xr:uid="{00000000-0005-0000-0000-00004C5D0000}"/>
    <cellStyle name="Input 3 3 4 6" xfId="24926" xr:uid="{00000000-0005-0000-0000-00004D5D0000}"/>
    <cellStyle name="Input 3 3 4 6 2" xfId="24927" xr:uid="{00000000-0005-0000-0000-00004E5D0000}"/>
    <cellStyle name="Input 3 3 4 6 3" xfId="24928" xr:uid="{00000000-0005-0000-0000-00004F5D0000}"/>
    <cellStyle name="Input 3 3 4 7" xfId="24929" xr:uid="{00000000-0005-0000-0000-0000505D0000}"/>
    <cellStyle name="Input 3 3 4 7 2" xfId="24930" xr:uid="{00000000-0005-0000-0000-0000515D0000}"/>
    <cellStyle name="Input 3 3 4 7 3" xfId="24931" xr:uid="{00000000-0005-0000-0000-0000525D0000}"/>
    <cellStyle name="Input 3 3 4 8" xfId="24932" xr:uid="{00000000-0005-0000-0000-0000535D0000}"/>
    <cellStyle name="Input 3 3 4 8 2" xfId="24933" xr:uid="{00000000-0005-0000-0000-0000545D0000}"/>
    <cellStyle name="Input 3 3 4 8 3" xfId="24934" xr:uid="{00000000-0005-0000-0000-0000555D0000}"/>
    <cellStyle name="Input 3 3 4 9" xfId="24935" xr:uid="{00000000-0005-0000-0000-0000565D0000}"/>
    <cellStyle name="Input 3 3 4 9 2" xfId="24936" xr:uid="{00000000-0005-0000-0000-0000575D0000}"/>
    <cellStyle name="Input 3 3 4 9 3" xfId="24937" xr:uid="{00000000-0005-0000-0000-0000585D0000}"/>
    <cellStyle name="Input 3 3 5" xfId="24938" xr:uid="{00000000-0005-0000-0000-0000595D0000}"/>
    <cellStyle name="Input 3 3 5 10" xfId="44088" xr:uid="{00000000-0005-0000-0000-00005A5D0000}"/>
    <cellStyle name="Input 3 3 5 2" xfId="24939" xr:uid="{00000000-0005-0000-0000-00005B5D0000}"/>
    <cellStyle name="Input 3 3 5 2 10" xfId="24940" xr:uid="{00000000-0005-0000-0000-00005C5D0000}"/>
    <cellStyle name="Input 3 3 5 2 2" xfId="24941" xr:uid="{00000000-0005-0000-0000-00005D5D0000}"/>
    <cellStyle name="Input 3 3 5 2 2 2" xfId="24942" xr:uid="{00000000-0005-0000-0000-00005E5D0000}"/>
    <cellStyle name="Input 3 3 5 2 2 2 2" xfId="24943" xr:uid="{00000000-0005-0000-0000-00005F5D0000}"/>
    <cellStyle name="Input 3 3 5 2 2 2 3" xfId="24944" xr:uid="{00000000-0005-0000-0000-0000605D0000}"/>
    <cellStyle name="Input 3 3 5 2 2 3" xfId="24945" xr:uid="{00000000-0005-0000-0000-0000615D0000}"/>
    <cellStyle name="Input 3 3 5 2 2 3 2" xfId="24946" xr:uid="{00000000-0005-0000-0000-0000625D0000}"/>
    <cellStyle name="Input 3 3 5 2 2 3 3" xfId="24947" xr:uid="{00000000-0005-0000-0000-0000635D0000}"/>
    <cellStyle name="Input 3 3 5 2 2 4" xfId="24948" xr:uid="{00000000-0005-0000-0000-0000645D0000}"/>
    <cellStyle name="Input 3 3 5 2 2 4 2" xfId="24949" xr:uid="{00000000-0005-0000-0000-0000655D0000}"/>
    <cellStyle name="Input 3 3 5 2 2 4 3" xfId="24950" xr:uid="{00000000-0005-0000-0000-0000665D0000}"/>
    <cellStyle name="Input 3 3 5 2 2 5" xfId="24951" xr:uid="{00000000-0005-0000-0000-0000675D0000}"/>
    <cellStyle name="Input 3 3 5 2 2 5 2" xfId="24952" xr:uid="{00000000-0005-0000-0000-0000685D0000}"/>
    <cellStyle name="Input 3 3 5 2 2 5 3" xfId="24953" xr:uid="{00000000-0005-0000-0000-0000695D0000}"/>
    <cellStyle name="Input 3 3 5 2 2 6" xfId="24954" xr:uid="{00000000-0005-0000-0000-00006A5D0000}"/>
    <cellStyle name="Input 3 3 5 2 2 6 2" xfId="24955" xr:uid="{00000000-0005-0000-0000-00006B5D0000}"/>
    <cellStyle name="Input 3 3 5 2 2 6 3" xfId="24956" xr:uid="{00000000-0005-0000-0000-00006C5D0000}"/>
    <cellStyle name="Input 3 3 5 2 2 7" xfId="24957" xr:uid="{00000000-0005-0000-0000-00006D5D0000}"/>
    <cellStyle name="Input 3 3 5 2 2 7 2" xfId="24958" xr:uid="{00000000-0005-0000-0000-00006E5D0000}"/>
    <cellStyle name="Input 3 3 5 2 2 7 3" xfId="24959" xr:uid="{00000000-0005-0000-0000-00006F5D0000}"/>
    <cellStyle name="Input 3 3 5 2 2 8" xfId="24960" xr:uid="{00000000-0005-0000-0000-0000705D0000}"/>
    <cellStyle name="Input 3 3 5 2 2 9" xfId="24961" xr:uid="{00000000-0005-0000-0000-0000715D0000}"/>
    <cellStyle name="Input 3 3 5 2 3" xfId="24962" xr:uid="{00000000-0005-0000-0000-0000725D0000}"/>
    <cellStyle name="Input 3 3 5 2 3 2" xfId="24963" xr:uid="{00000000-0005-0000-0000-0000735D0000}"/>
    <cellStyle name="Input 3 3 5 2 3 3" xfId="24964" xr:uid="{00000000-0005-0000-0000-0000745D0000}"/>
    <cellStyle name="Input 3 3 5 2 4" xfId="24965" xr:uid="{00000000-0005-0000-0000-0000755D0000}"/>
    <cellStyle name="Input 3 3 5 2 4 2" xfId="24966" xr:uid="{00000000-0005-0000-0000-0000765D0000}"/>
    <cellStyle name="Input 3 3 5 2 4 3" xfId="24967" xr:uid="{00000000-0005-0000-0000-0000775D0000}"/>
    <cellStyle name="Input 3 3 5 2 5" xfId="24968" xr:uid="{00000000-0005-0000-0000-0000785D0000}"/>
    <cellStyle name="Input 3 3 5 2 5 2" xfId="24969" xr:uid="{00000000-0005-0000-0000-0000795D0000}"/>
    <cellStyle name="Input 3 3 5 2 5 3" xfId="24970" xr:uid="{00000000-0005-0000-0000-00007A5D0000}"/>
    <cellStyle name="Input 3 3 5 2 6" xfId="24971" xr:uid="{00000000-0005-0000-0000-00007B5D0000}"/>
    <cellStyle name="Input 3 3 5 2 6 2" xfId="24972" xr:uid="{00000000-0005-0000-0000-00007C5D0000}"/>
    <cellStyle name="Input 3 3 5 2 6 3" xfId="24973" xr:uid="{00000000-0005-0000-0000-00007D5D0000}"/>
    <cellStyle name="Input 3 3 5 2 7" xfId="24974" xr:uid="{00000000-0005-0000-0000-00007E5D0000}"/>
    <cellStyle name="Input 3 3 5 2 7 2" xfId="24975" xr:uid="{00000000-0005-0000-0000-00007F5D0000}"/>
    <cellStyle name="Input 3 3 5 2 7 3" xfId="24976" xr:uid="{00000000-0005-0000-0000-0000805D0000}"/>
    <cellStyle name="Input 3 3 5 2 8" xfId="24977" xr:uid="{00000000-0005-0000-0000-0000815D0000}"/>
    <cellStyle name="Input 3 3 5 2 8 2" xfId="24978" xr:uid="{00000000-0005-0000-0000-0000825D0000}"/>
    <cellStyle name="Input 3 3 5 2 8 3" xfId="24979" xr:uid="{00000000-0005-0000-0000-0000835D0000}"/>
    <cellStyle name="Input 3 3 5 2 9" xfId="24980" xr:uid="{00000000-0005-0000-0000-0000845D0000}"/>
    <cellStyle name="Input 3 3 5 3" xfId="24981" xr:uid="{00000000-0005-0000-0000-0000855D0000}"/>
    <cellStyle name="Input 3 3 5 3 10" xfId="24982" xr:uid="{00000000-0005-0000-0000-0000865D0000}"/>
    <cellStyle name="Input 3 3 5 3 2" xfId="24983" xr:uid="{00000000-0005-0000-0000-0000875D0000}"/>
    <cellStyle name="Input 3 3 5 3 2 2" xfId="24984" xr:uid="{00000000-0005-0000-0000-0000885D0000}"/>
    <cellStyle name="Input 3 3 5 3 2 2 2" xfId="24985" xr:uid="{00000000-0005-0000-0000-0000895D0000}"/>
    <cellStyle name="Input 3 3 5 3 2 2 3" xfId="24986" xr:uid="{00000000-0005-0000-0000-00008A5D0000}"/>
    <cellStyle name="Input 3 3 5 3 2 3" xfId="24987" xr:uid="{00000000-0005-0000-0000-00008B5D0000}"/>
    <cellStyle name="Input 3 3 5 3 2 3 2" xfId="24988" xr:uid="{00000000-0005-0000-0000-00008C5D0000}"/>
    <cellStyle name="Input 3 3 5 3 2 3 3" xfId="24989" xr:uid="{00000000-0005-0000-0000-00008D5D0000}"/>
    <cellStyle name="Input 3 3 5 3 2 4" xfId="24990" xr:uid="{00000000-0005-0000-0000-00008E5D0000}"/>
    <cellStyle name="Input 3 3 5 3 2 4 2" xfId="24991" xr:uid="{00000000-0005-0000-0000-00008F5D0000}"/>
    <cellStyle name="Input 3 3 5 3 2 4 3" xfId="24992" xr:uid="{00000000-0005-0000-0000-0000905D0000}"/>
    <cellStyle name="Input 3 3 5 3 2 5" xfId="24993" xr:uid="{00000000-0005-0000-0000-0000915D0000}"/>
    <cellStyle name="Input 3 3 5 3 2 5 2" xfId="24994" xr:uid="{00000000-0005-0000-0000-0000925D0000}"/>
    <cellStyle name="Input 3 3 5 3 2 5 3" xfId="24995" xr:uid="{00000000-0005-0000-0000-0000935D0000}"/>
    <cellStyle name="Input 3 3 5 3 2 6" xfId="24996" xr:uid="{00000000-0005-0000-0000-0000945D0000}"/>
    <cellStyle name="Input 3 3 5 3 2 6 2" xfId="24997" xr:uid="{00000000-0005-0000-0000-0000955D0000}"/>
    <cellStyle name="Input 3 3 5 3 2 6 3" xfId="24998" xr:uid="{00000000-0005-0000-0000-0000965D0000}"/>
    <cellStyle name="Input 3 3 5 3 2 7" xfId="24999" xr:uid="{00000000-0005-0000-0000-0000975D0000}"/>
    <cellStyle name="Input 3 3 5 3 2 7 2" xfId="25000" xr:uid="{00000000-0005-0000-0000-0000985D0000}"/>
    <cellStyle name="Input 3 3 5 3 2 7 3" xfId="25001" xr:uid="{00000000-0005-0000-0000-0000995D0000}"/>
    <cellStyle name="Input 3 3 5 3 2 8" xfId="25002" xr:uid="{00000000-0005-0000-0000-00009A5D0000}"/>
    <cellStyle name="Input 3 3 5 3 2 9" xfId="25003" xr:uid="{00000000-0005-0000-0000-00009B5D0000}"/>
    <cellStyle name="Input 3 3 5 3 3" xfId="25004" xr:uid="{00000000-0005-0000-0000-00009C5D0000}"/>
    <cellStyle name="Input 3 3 5 3 3 2" xfId="25005" xr:uid="{00000000-0005-0000-0000-00009D5D0000}"/>
    <cellStyle name="Input 3 3 5 3 3 3" xfId="25006" xr:uid="{00000000-0005-0000-0000-00009E5D0000}"/>
    <cellStyle name="Input 3 3 5 3 4" xfId="25007" xr:uid="{00000000-0005-0000-0000-00009F5D0000}"/>
    <cellStyle name="Input 3 3 5 3 4 2" xfId="25008" xr:uid="{00000000-0005-0000-0000-0000A05D0000}"/>
    <cellStyle name="Input 3 3 5 3 4 3" xfId="25009" xr:uid="{00000000-0005-0000-0000-0000A15D0000}"/>
    <cellStyle name="Input 3 3 5 3 5" xfId="25010" xr:uid="{00000000-0005-0000-0000-0000A25D0000}"/>
    <cellStyle name="Input 3 3 5 3 5 2" xfId="25011" xr:uid="{00000000-0005-0000-0000-0000A35D0000}"/>
    <cellStyle name="Input 3 3 5 3 5 3" xfId="25012" xr:uid="{00000000-0005-0000-0000-0000A45D0000}"/>
    <cellStyle name="Input 3 3 5 3 6" xfId="25013" xr:uid="{00000000-0005-0000-0000-0000A55D0000}"/>
    <cellStyle name="Input 3 3 5 3 6 2" xfId="25014" xr:uid="{00000000-0005-0000-0000-0000A65D0000}"/>
    <cellStyle name="Input 3 3 5 3 6 3" xfId="25015" xr:uid="{00000000-0005-0000-0000-0000A75D0000}"/>
    <cellStyle name="Input 3 3 5 3 7" xfId="25016" xr:uid="{00000000-0005-0000-0000-0000A85D0000}"/>
    <cellStyle name="Input 3 3 5 3 7 2" xfId="25017" xr:uid="{00000000-0005-0000-0000-0000A95D0000}"/>
    <cellStyle name="Input 3 3 5 3 7 3" xfId="25018" xr:uid="{00000000-0005-0000-0000-0000AA5D0000}"/>
    <cellStyle name="Input 3 3 5 3 8" xfId="25019" xr:uid="{00000000-0005-0000-0000-0000AB5D0000}"/>
    <cellStyle name="Input 3 3 5 3 8 2" xfId="25020" xr:uid="{00000000-0005-0000-0000-0000AC5D0000}"/>
    <cellStyle name="Input 3 3 5 3 8 3" xfId="25021" xr:uid="{00000000-0005-0000-0000-0000AD5D0000}"/>
    <cellStyle name="Input 3 3 5 3 9" xfId="25022" xr:uid="{00000000-0005-0000-0000-0000AE5D0000}"/>
    <cellStyle name="Input 3 3 5 4" xfId="25023" xr:uid="{00000000-0005-0000-0000-0000AF5D0000}"/>
    <cellStyle name="Input 3 3 5 4 10" xfId="25024" xr:uid="{00000000-0005-0000-0000-0000B05D0000}"/>
    <cellStyle name="Input 3 3 5 4 2" xfId="25025" xr:uid="{00000000-0005-0000-0000-0000B15D0000}"/>
    <cellStyle name="Input 3 3 5 4 2 2" xfId="25026" xr:uid="{00000000-0005-0000-0000-0000B25D0000}"/>
    <cellStyle name="Input 3 3 5 4 2 2 2" xfId="25027" xr:uid="{00000000-0005-0000-0000-0000B35D0000}"/>
    <cellStyle name="Input 3 3 5 4 2 2 3" xfId="25028" xr:uid="{00000000-0005-0000-0000-0000B45D0000}"/>
    <cellStyle name="Input 3 3 5 4 2 3" xfId="25029" xr:uid="{00000000-0005-0000-0000-0000B55D0000}"/>
    <cellStyle name="Input 3 3 5 4 2 3 2" xfId="25030" xr:uid="{00000000-0005-0000-0000-0000B65D0000}"/>
    <cellStyle name="Input 3 3 5 4 2 3 3" xfId="25031" xr:uid="{00000000-0005-0000-0000-0000B75D0000}"/>
    <cellStyle name="Input 3 3 5 4 2 4" xfId="25032" xr:uid="{00000000-0005-0000-0000-0000B85D0000}"/>
    <cellStyle name="Input 3 3 5 4 2 4 2" xfId="25033" xr:uid="{00000000-0005-0000-0000-0000B95D0000}"/>
    <cellStyle name="Input 3 3 5 4 2 4 3" xfId="25034" xr:uid="{00000000-0005-0000-0000-0000BA5D0000}"/>
    <cellStyle name="Input 3 3 5 4 2 5" xfId="25035" xr:uid="{00000000-0005-0000-0000-0000BB5D0000}"/>
    <cellStyle name="Input 3 3 5 4 2 5 2" xfId="25036" xr:uid="{00000000-0005-0000-0000-0000BC5D0000}"/>
    <cellStyle name="Input 3 3 5 4 2 5 3" xfId="25037" xr:uid="{00000000-0005-0000-0000-0000BD5D0000}"/>
    <cellStyle name="Input 3 3 5 4 2 6" xfId="25038" xr:uid="{00000000-0005-0000-0000-0000BE5D0000}"/>
    <cellStyle name="Input 3 3 5 4 2 6 2" xfId="25039" xr:uid="{00000000-0005-0000-0000-0000BF5D0000}"/>
    <cellStyle name="Input 3 3 5 4 2 6 3" xfId="25040" xr:uid="{00000000-0005-0000-0000-0000C05D0000}"/>
    <cellStyle name="Input 3 3 5 4 2 7" xfId="25041" xr:uid="{00000000-0005-0000-0000-0000C15D0000}"/>
    <cellStyle name="Input 3 3 5 4 2 7 2" xfId="25042" xr:uid="{00000000-0005-0000-0000-0000C25D0000}"/>
    <cellStyle name="Input 3 3 5 4 2 7 3" xfId="25043" xr:uid="{00000000-0005-0000-0000-0000C35D0000}"/>
    <cellStyle name="Input 3 3 5 4 2 8" xfId="25044" xr:uid="{00000000-0005-0000-0000-0000C45D0000}"/>
    <cellStyle name="Input 3 3 5 4 2 9" xfId="25045" xr:uid="{00000000-0005-0000-0000-0000C55D0000}"/>
    <cellStyle name="Input 3 3 5 4 3" xfId="25046" xr:uid="{00000000-0005-0000-0000-0000C65D0000}"/>
    <cellStyle name="Input 3 3 5 4 3 2" xfId="25047" xr:uid="{00000000-0005-0000-0000-0000C75D0000}"/>
    <cellStyle name="Input 3 3 5 4 3 3" xfId="25048" xr:uid="{00000000-0005-0000-0000-0000C85D0000}"/>
    <cellStyle name="Input 3 3 5 4 4" xfId="25049" xr:uid="{00000000-0005-0000-0000-0000C95D0000}"/>
    <cellStyle name="Input 3 3 5 4 4 2" xfId="25050" xr:uid="{00000000-0005-0000-0000-0000CA5D0000}"/>
    <cellStyle name="Input 3 3 5 4 4 3" xfId="25051" xr:uid="{00000000-0005-0000-0000-0000CB5D0000}"/>
    <cellStyle name="Input 3 3 5 4 5" xfId="25052" xr:uid="{00000000-0005-0000-0000-0000CC5D0000}"/>
    <cellStyle name="Input 3 3 5 4 5 2" xfId="25053" xr:uid="{00000000-0005-0000-0000-0000CD5D0000}"/>
    <cellStyle name="Input 3 3 5 4 5 3" xfId="25054" xr:uid="{00000000-0005-0000-0000-0000CE5D0000}"/>
    <cellStyle name="Input 3 3 5 4 6" xfId="25055" xr:uid="{00000000-0005-0000-0000-0000CF5D0000}"/>
    <cellStyle name="Input 3 3 5 4 6 2" xfId="25056" xr:uid="{00000000-0005-0000-0000-0000D05D0000}"/>
    <cellStyle name="Input 3 3 5 4 6 3" xfId="25057" xr:uid="{00000000-0005-0000-0000-0000D15D0000}"/>
    <cellStyle name="Input 3 3 5 4 7" xfId="25058" xr:uid="{00000000-0005-0000-0000-0000D25D0000}"/>
    <cellStyle name="Input 3 3 5 4 7 2" xfId="25059" xr:uid="{00000000-0005-0000-0000-0000D35D0000}"/>
    <cellStyle name="Input 3 3 5 4 7 3" xfId="25060" xr:uid="{00000000-0005-0000-0000-0000D45D0000}"/>
    <cellStyle name="Input 3 3 5 4 8" xfId="25061" xr:uid="{00000000-0005-0000-0000-0000D55D0000}"/>
    <cellStyle name="Input 3 3 5 4 8 2" xfId="25062" xr:uid="{00000000-0005-0000-0000-0000D65D0000}"/>
    <cellStyle name="Input 3 3 5 4 8 3" xfId="25063" xr:uid="{00000000-0005-0000-0000-0000D75D0000}"/>
    <cellStyle name="Input 3 3 5 4 9" xfId="25064" xr:uid="{00000000-0005-0000-0000-0000D85D0000}"/>
    <cellStyle name="Input 3 3 5 5" xfId="25065" xr:uid="{00000000-0005-0000-0000-0000D95D0000}"/>
    <cellStyle name="Input 3 3 5 5 2" xfId="25066" xr:uid="{00000000-0005-0000-0000-0000DA5D0000}"/>
    <cellStyle name="Input 3 3 5 5 2 2" xfId="25067" xr:uid="{00000000-0005-0000-0000-0000DB5D0000}"/>
    <cellStyle name="Input 3 3 5 5 2 3" xfId="25068" xr:uid="{00000000-0005-0000-0000-0000DC5D0000}"/>
    <cellStyle name="Input 3 3 5 5 3" xfId="25069" xr:uid="{00000000-0005-0000-0000-0000DD5D0000}"/>
    <cellStyle name="Input 3 3 5 5 3 2" xfId="25070" xr:uid="{00000000-0005-0000-0000-0000DE5D0000}"/>
    <cellStyle name="Input 3 3 5 5 3 3" xfId="25071" xr:uid="{00000000-0005-0000-0000-0000DF5D0000}"/>
    <cellStyle name="Input 3 3 5 5 4" xfId="25072" xr:uid="{00000000-0005-0000-0000-0000E05D0000}"/>
    <cellStyle name="Input 3 3 5 5 4 2" xfId="25073" xr:uid="{00000000-0005-0000-0000-0000E15D0000}"/>
    <cellStyle name="Input 3 3 5 5 4 3" xfId="25074" xr:uid="{00000000-0005-0000-0000-0000E25D0000}"/>
    <cellStyle name="Input 3 3 5 5 5" xfId="25075" xr:uid="{00000000-0005-0000-0000-0000E35D0000}"/>
    <cellStyle name="Input 3 3 5 5 5 2" xfId="25076" xr:uid="{00000000-0005-0000-0000-0000E45D0000}"/>
    <cellStyle name="Input 3 3 5 5 5 3" xfId="25077" xr:uid="{00000000-0005-0000-0000-0000E55D0000}"/>
    <cellStyle name="Input 3 3 5 5 6" xfId="25078" xr:uid="{00000000-0005-0000-0000-0000E65D0000}"/>
    <cellStyle name="Input 3 3 5 5 6 2" xfId="25079" xr:uid="{00000000-0005-0000-0000-0000E75D0000}"/>
    <cellStyle name="Input 3 3 5 5 6 3" xfId="25080" xr:uid="{00000000-0005-0000-0000-0000E85D0000}"/>
    <cellStyle name="Input 3 3 5 5 7" xfId="25081" xr:uid="{00000000-0005-0000-0000-0000E95D0000}"/>
    <cellStyle name="Input 3 3 5 5 7 2" xfId="25082" xr:uid="{00000000-0005-0000-0000-0000EA5D0000}"/>
    <cellStyle name="Input 3 3 5 5 7 3" xfId="25083" xr:uid="{00000000-0005-0000-0000-0000EB5D0000}"/>
    <cellStyle name="Input 3 3 5 5 8" xfId="25084" xr:uid="{00000000-0005-0000-0000-0000EC5D0000}"/>
    <cellStyle name="Input 3 3 5 5 9" xfId="25085" xr:uid="{00000000-0005-0000-0000-0000ED5D0000}"/>
    <cellStyle name="Input 3 3 5 6" xfId="25086" xr:uid="{00000000-0005-0000-0000-0000EE5D0000}"/>
    <cellStyle name="Input 3 3 5 6 2" xfId="25087" xr:uid="{00000000-0005-0000-0000-0000EF5D0000}"/>
    <cellStyle name="Input 3 3 5 6 3" xfId="25088" xr:uid="{00000000-0005-0000-0000-0000F05D0000}"/>
    <cellStyle name="Input 3 3 5 7" xfId="25089" xr:uid="{00000000-0005-0000-0000-0000F15D0000}"/>
    <cellStyle name="Input 3 3 5 7 2" xfId="25090" xr:uid="{00000000-0005-0000-0000-0000F25D0000}"/>
    <cellStyle name="Input 3 3 5 7 3" xfId="25091" xr:uid="{00000000-0005-0000-0000-0000F35D0000}"/>
    <cellStyle name="Input 3 3 5 8" xfId="25092" xr:uid="{00000000-0005-0000-0000-0000F45D0000}"/>
    <cellStyle name="Input 3 3 5 8 2" xfId="25093" xr:uid="{00000000-0005-0000-0000-0000F55D0000}"/>
    <cellStyle name="Input 3 3 5 8 3" xfId="25094" xr:uid="{00000000-0005-0000-0000-0000F65D0000}"/>
    <cellStyle name="Input 3 3 5 9" xfId="25095" xr:uid="{00000000-0005-0000-0000-0000F75D0000}"/>
    <cellStyle name="Input 3 3 5 9 2" xfId="25096" xr:uid="{00000000-0005-0000-0000-0000F85D0000}"/>
    <cellStyle name="Input 3 3 5 9 3" xfId="25097" xr:uid="{00000000-0005-0000-0000-0000F95D0000}"/>
    <cellStyle name="Input 3 3 6" xfId="25098" xr:uid="{00000000-0005-0000-0000-0000FA5D0000}"/>
    <cellStyle name="Input 3 3 6 10" xfId="25099" xr:uid="{00000000-0005-0000-0000-0000FB5D0000}"/>
    <cellStyle name="Input 3 3 6 2" xfId="25100" xr:uid="{00000000-0005-0000-0000-0000FC5D0000}"/>
    <cellStyle name="Input 3 3 6 2 2" xfId="25101" xr:uid="{00000000-0005-0000-0000-0000FD5D0000}"/>
    <cellStyle name="Input 3 3 6 2 2 2" xfId="25102" xr:uid="{00000000-0005-0000-0000-0000FE5D0000}"/>
    <cellStyle name="Input 3 3 6 2 2 3" xfId="25103" xr:uid="{00000000-0005-0000-0000-0000FF5D0000}"/>
    <cellStyle name="Input 3 3 6 2 3" xfId="25104" xr:uid="{00000000-0005-0000-0000-0000005E0000}"/>
    <cellStyle name="Input 3 3 6 2 3 2" xfId="25105" xr:uid="{00000000-0005-0000-0000-0000015E0000}"/>
    <cellStyle name="Input 3 3 6 2 3 3" xfId="25106" xr:uid="{00000000-0005-0000-0000-0000025E0000}"/>
    <cellStyle name="Input 3 3 6 2 4" xfId="25107" xr:uid="{00000000-0005-0000-0000-0000035E0000}"/>
    <cellStyle name="Input 3 3 6 2 4 2" xfId="25108" xr:uid="{00000000-0005-0000-0000-0000045E0000}"/>
    <cellStyle name="Input 3 3 6 2 4 3" xfId="25109" xr:uid="{00000000-0005-0000-0000-0000055E0000}"/>
    <cellStyle name="Input 3 3 6 2 5" xfId="25110" xr:uid="{00000000-0005-0000-0000-0000065E0000}"/>
    <cellStyle name="Input 3 3 6 2 5 2" xfId="25111" xr:uid="{00000000-0005-0000-0000-0000075E0000}"/>
    <cellStyle name="Input 3 3 6 2 5 3" xfId="25112" xr:uid="{00000000-0005-0000-0000-0000085E0000}"/>
    <cellStyle name="Input 3 3 6 2 6" xfId="25113" xr:uid="{00000000-0005-0000-0000-0000095E0000}"/>
    <cellStyle name="Input 3 3 6 2 6 2" xfId="25114" xr:uid="{00000000-0005-0000-0000-00000A5E0000}"/>
    <cellStyle name="Input 3 3 6 2 6 3" xfId="25115" xr:uid="{00000000-0005-0000-0000-00000B5E0000}"/>
    <cellStyle name="Input 3 3 6 2 7" xfId="25116" xr:uid="{00000000-0005-0000-0000-00000C5E0000}"/>
    <cellStyle name="Input 3 3 6 2 7 2" xfId="25117" xr:uid="{00000000-0005-0000-0000-00000D5E0000}"/>
    <cellStyle name="Input 3 3 6 2 7 3" xfId="25118" xr:uid="{00000000-0005-0000-0000-00000E5E0000}"/>
    <cellStyle name="Input 3 3 6 2 8" xfId="25119" xr:uid="{00000000-0005-0000-0000-00000F5E0000}"/>
    <cellStyle name="Input 3 3 6 2 9" xfId="25120" xr:uid="{00000000-0005-0000-0000-0000105E0000}"/>
    <cellStyle name="Input 3 3 6 3" xfId="25121" xr:uid="{00000000-0005-0000-0000-0000115E0000}"/>
    <cellStyle name="Input 3 3 6 3 2" xfId="25122" xr:uid="{00000000-0005-0000-0000-0000125E0000}"/>
    <cellStyle name="Input 3 3 6 3 3" xfId="25123" xr:uid="{00000000-0005-0000-0000-0000135E0000}"/>
    <cellStyle name="Input 3 3 6 4" xfId="25124" xr:uid="{00000000-0005-0000-0000-0000145E0000}"/>
    <cellStyle name="Input 3 3 6 4 2" xfId="25125" xr:uid="{00000000-0005-0000-0000-0000155E0000}"/>
    <cellStyle name="Input 3 3 6 4 3" xfId="25126" xr:uid="{00000000-0005-0000-0000-0000165E0000}"/>
    <cellStyle name="Input 3 3 6 5" xfId="25127" xr:uid="{00000000-0005-0000-0000-0000175E0000}"/>
    <cellStyle name="Input 3 3 6 5 2" xfId="25128" xr:uid="{00000000-0005-0000-0000-0000185E0000}"/>
    <cellStyle name="Input 3 3 6 5 3" xfId="25129" xr:uid="{00000000-0005-0000-0000-0000195E0000}"/>
    <cellStyle name="Input 3 3 6 6" xfId="25130" xr:uid="{00000000-0005-0000-0000-00001A5E0000}"/>
    <cellStyle name="Input 3 3 6 6 2" xfId="25131" xr:uid="{00000000-0005-0000-0000-00001B5E0000}"/>
    <cellStyle name="Input 3 3 6 6 3" xfId="25132" xr:uid="{00000000-0005-0000-0000-00001C5E0000}"/>
    <cellStyle name="Input 3 3 6 7" xfId="25133" xr:uid="{00000000-0005-0000-0000-00001D5E0000}"/>
    <cellStyle name="Input 3 3 6 7 2" xfId="25134" xr:uid="{00000000-0005-0000-0000-00001E5E0000}"/>
    <cellStyle name="Input 3 3 6 7 3" xfId="25135" xr:uid="{00000000-0005-0000-0000-00001F5E0000}"/>
    <cellStyle name="Input 3 3 6 8" xfId="25136" xr:uid="{00000000-0005-0000-0000-0000205E0000}"/>
    <cellStyle name="Input 3 3 6 8 2" xfId="25137" xr:uid="{00000000-0005-0000-0000-0000215E0000}"/>
    <cellStyle name="Input 3 3 6 8 3" xfId="25138" xr:uid="{00000000-0005-0000-0000-0000225E0000}"/>
    <cellStyle name="Input 3 3 6 9" xfId="25139" xr:uid="{00000000-0005-0000-0000-0000235E0000}"/>
    <cellStyle name="Input 3 3 7" xfId="25140" xr:uid="{00000000-0005-0000-0000-0000245E0000}"/>
    <cellStyle name="Input 3 3 7 10" xfId="25141" xr:uid="{00000000-0005-0000-0000-0000255E0000}"/>
    <cellStyle name="Input 3 3 7 2" xfId="25142" xr:uid="{00000000-0005-0000-0000-0000265E0000}"/>
    <cellStyle name="Input 3 3 7 2 2" xfId="25143" xr:uid="{00000000-0005-0000-0000-0000275E0000}"/>
    <cellStyle name="Input 3 3 7 2 2 2" xfId="25144" xr:uid="{00000000-0005-0000-0000-0000285E0000}"/>
    <cellStyle name="Input 3 3 7 2 2 3" xfId="25145" xr:uid="{00000000-0005-0000-0000-0000295E0000}"/>
    <cellStyle name="Input 3 3 7 2 3" xfId="25146" xr:uid="{00000000-0005-0000-0000-00002A5E0000}"/>
    <cellStyle name="Input 3 3 7 2 3 2" xfId="25147" xr:uid="{00000000-0005-0000-0000-00002B5E0000}"/>
    <cellStyle name="Input 3 3 7 2 3 3" xfId="25148" xr:uid="{00000000-0005-0000-0000-00002C5E0000}"/>
    <cellStyle name="Input 3 3 7 2 4" xfId="25149" xr:uid="{00000000-0005-0000-0000-00002D5E0000}"/>
    <cellStyle name="Input 3 3 7 2 4 2" xfId="25150" xr:uid="{00000000-0005-0000-0000-00002E5E0000}"/>
    <cellStyle name="Input 3 3 7 2 4 3" xfId="25151" xr:uid="{00000000-0005-0000-0000-00002F5E0000}"/>
    <cellStyle name="Input 3 3 7 2 5" xfId="25152" xr:uid="{00000000-0005-0000-0000-0000305E0000}"/>
    <cellStyle name="Input 3 3 7 2 5 2" xfId="25153" xr:uid="{00000000-0005-0000-0000-0000315E0000}"/>
    <cellStyle name="Input 3 3 7 2 5 3" xfId="25154" xr:uid="{00000000-0005-0000-0000-0000325E0000}"/>
    <cellStyle name="Input 3 3 7 2 6" xfId="25155" xr:uid="{00000000-0005-0000-0000-0000335E0000}"/>
    <cellStyle name="Input 3 3 7 2 6 2" xfId="25156" xr:uid="{00000000-0005-0000-0000-0000345E0000}"/>
    <cellStyle name="Input 3 3 7 2 6 3" xfId="25157" xr:uid="{00000000-0005-0000-0000-0000355E0000}"/>
    <cellStyle name="Input 3 3 7 2 7" xfId="25158" xr:uid="{00000000-0005-0000-0000-0000365E0000}"/>
    <cellStyle name="Input 3 3 7 2 7 2" xfId="25159" xr:uid="{00000000-0005-0000-0000-0000375E0000}"/>
    <cellStyle name="Input 3 3 7 2 7 3" xfId="25160" xr:uid="{00000000-0005-0000-0000-0000385E0000}"/>
    <cellStyle name="Input 3 3 7 2 8" xfId="25161" xr:uid="{00000000-0005-0000-0000-0000395E0000}"/>
    <cellStyle name="Input 3 3 7 2 9" xfId="25162" xr:uid="{00000000-0005-0000-0000-00003A5E0000}"/>
    <cellStyle name="Input 3 3 7 3" xfId="25163" xr:uid="{00000000-0005-0000-0000-00003B5E0000}"/>
    <cellStyle name="Input 3 3 7 3 2" xfId="25164" xr:uid="{00000000-0005-0000-0000-00003C5E0000}"/>
    <cellStyle name="Input 3 3 7 3 3" xfId="25165" xr:uid="{00000000-0005-0000-0000-00003D5E0000}"/>
    <cellStyle name="Input 3 3 7 4" xfId="25166" xr:uid="{00000000-0005-0000-0000-00003E5E0000}"/>
    <cellStyle name="Input 3 3 7 4 2" xfId="25167" xr:uid="{00000000-0005-0000-0000-00003F5E0000}"/>
    <cellStyle name="Input 3 3 7 4 3" xfId="25168" xr:uid="{00000000-0005-0000-0000-0000405E0000}"/>
    <cellStyle name="Input 3 3 7 5" xfId="25169" xr:uid="{00000000-0005-0000-0000-0000415E0000}"/>
    <cellStyle name="Input 3 3 7 5 2" xfId="25170" xr:uid="{00000000-0005-0000-0000-0000425E0000}"/>
    <cellStyle name="Input 3 3 7 5 3" xfId="25171" xr:uid="{00000000-0005-0000-0000-0000435E0000}"/>
    <cellStyle name="Input 3 3 7 6" xfId="25172" xr:uid="{00000000-0005-0000-0000-0000445E0000}"/>
    <cellStyle name="Input 3 3 7 6 2" xfId="25173" xr:uid="{00000000-0005-0000-0000-0000455E0000}"/>
    <cellStyle name="Input 3 3 7 6 3" xfId="25174" xr:uid="{00000000-0005-0000-0000-0000465E0000}"/>
    <cellStyle name="Input 3 3 7 7" xfId="25175" xr:uid="{00000000-0005-0000-0000-0000475E0000}"/>
    <cellStyle name="Input 3 3 7 7 2" xfId="25176" xr:uid="{00000000-0005-0000-0000-0000485E0000}"/>
    <cellStyle name="Input 3 3 7 7 3" xfId="25177" xr:uid="{00000000-0005-0000-0000-0000495E0000}"/>
    <cellStyle name="Input 3 3 7 8" xfId="25178" xr:uid="{00000000-0005-0000-0000-00004A5E0000}"/>
    <cellStyle name="Input 3 3 7 8 2" xfId="25179" xr:uid="{00000000-0005-0000-0000-00004B5E0000}"/>
    <cellStyle name="Input 3 3 7 8 3" xfId="25180" xr:uid="{00000000-0005-0000-0000-00004C5E0000}"/>
    <cellStyle name="Input 3 3 7 9" xfId="25181" xr:uid="{00000000-0005-0000-0000-00004D5E0000}"/>
    <cellStyle name="Input 3 3 8" xfId="25182" xr:uid="{00000000-0005-0000-0000-00004E5E0000}"/>
    <cellStyle name="Input 3 3 8 10" xfId="25183" xr:uid="{00000000-0005-0000-0000-00004F5E0000}"/>
    <cellStyle name="Input 3 3 8 2" xfId="25184" xr:uid="{00000000-0005-0000-0000-0000505E0000}"/>
    <cellStyle name="Input 3 3 8 2 2" xfId="25185" xr:uid="{00000000-0005-0000-0000-0000515E0000}"/>
    <cellStyle name="Input 3 3 8 2 2 2" xfId="25186" xr:uid="{00000000-0005-0000-0000-0000525E0000}"/>
    <cellStyle name="Input 3 3 8 2 2 3" xfId="25187" xr:uid="{00000000-0005-0000-0000-0000535E0000}"/>
    <cellStyle name="Input 3 3 8 2 3" xfId="25188" xr:uid="{00000000-0005-0000-0000-0000545E0000}"/>
    <cellStyle name="Input 3 3 8 2 3 2" xfId="25189" xr:uid="{00000000-0005-0000-0000-0000555E0000}"/>
    <cellStyle name="Input 3 3 8 2 3 3" xfId="25190" xr:uid="{00000000-0005-0000-0000-0000565E0000}"/>
    <cellStyle name="Input 3 3 8 2 4" xfId="25191" xr:uid="{00000000-0005-0000-0000-0000575E0000}"/>
    <cellStyle name="Input 3 3 8 2 4 2" xfId="25192" xr:uid="{00000000-0005-0000-0000-0000585E0000}"/>
    <cellStyle name="Input 3 3 8 2 4 3" xfId="25193" xr:uid="{00000000-0005-0000-0000-0000595E0000}"/>
    <cellStyle name="Input 3 3 8 2 5" xfId="25194" xr:uid="{00000000-0005-0000-0000-00005A5E0000}"/>
    <cellStyle name="Input 3 3 8 2 5 2" xfId="25195" xr:uid="{00000000-0005-0000-0000-00005B5E0000}"/>
    <cellStyle name="Input 3 3 8 2 5 3" xfId="25196" xr:uid="{00000000-0005-0000-0000-00005C5E0000}"/>
    <cellStyle name="Input 3 3 8 2 6" xfId="25197" xr:uid="{00000000-0005-0000-0000-00005D5E0000}"/>
    <cellStyle name="Input 3 3 8 2 6 2" xfId="25198" xr:uid="{00000000-0005-0000-0000-00005E5E0000}"/>
    <cellStyle name="Input 3 3 8 2 6 3" xfId="25199" xr:uid="{00000000-0005-0000-0000-00005F5E0000}"/>
    <cellStyle name="Input 3 3 8 2 7" xfId="25200" xr:uid="{00000000-0005-0000-0000-0000605E0000}"/>
    <cellStyle name="Input 3 3 8 2 7 2" xfId="25201" xr:uid="{00000000-0005-0000-0000-0000615E0000}"/>
    <cellStyle name="Input 3 3 8 2 7 3" xfId="25202" xr:uid="{00000000-0005-0000-0000-0000625E0000}"/>
    <cellStyle name="Input 3 3 8 2 8" xfId="25203" xr:uid="{00000000-0005-0000-0000-0000635E0000}"/>
    <cellStyle name="Input 3 3 8 2 9" xfId="25204" xr:uid="{00000000-0005-0000-0000-0000645E0000}"/>
    <cellStyle name="Input 3 3 8 3" xfId="25205" xr:uid="{00000000-0005-0000-0000-0000655E0000}"/>
    <cellStyle name="Input 3 3 8 3 2" xfId="25206" xr:uid="{00000000-0005-0000-0000-0000665E0000}"/>
    <cellStyle name="Input 3 3 8 3 3" xfId="25207" xr:uid="{00000000-0005-0000-0000-0000675E0000}"/>
    <cellStyle name="Input 3 3 8 4" xfId="25208" xr:uid="{00000000-0005-0000-0000-0000685E0000}"/>
    <cellStyle name="Input 3 3 8 4 2" xfId="25209" xr:uid="{00000000-0005-0000-0000-0000695E0000}"/>
    <cellStyle name="Input 3 3 8 4 3" xfId="25210" xr:uid="{00000000-0005-0000-0000-00006A5E0000}"/>
    <cellStyle name="Input 3 3 8 5" xfId="25211" xr:uid="{00000000-0005-0000-0000-00006B5E0000}"/>
    <cellStyle name="Input 3 3 8 5 2" xfId="25212" xr:uid="{00000000-0005-0000-0000-00006C5E0000}"/>
    <cellStyle name="Input 3 3 8 5 3" xfId="25213" xr:uid="{00000000-0005-0000-0000-00006D5E0000}"/>
    <cellStyle name="Input 3 3 8 6" xfId="25214" xr:uid="{00000000-0005-0000-0000-00006E5E0000}"/>
    <cellStyle name="Input 3 3 8 6 2" xfId="25215" xr:uid="{00000000-0005-0000-0000-00006F5E0000}"/>
    <cellStyle name="Input 3 3 8 6 3" xfId="25216" xr:uid="{00000000-0005-0000-0000-0000705E0000}"/>
    <cellStyle name="Input 3 3 8 7" xfId="25217" xr:uid="{00000000-0005-0000-0000-0000715E0000}"/>
    <cellStyle name="Input 3 3 8 7 2" xfId="25218" xr:uid="{00000000-0005-0000-0000-0000725E0000}"/>
    <cellStyle name="Input 3 3 8 7 3" xfId="25219" xr:uid="{00000000-0005-0000-0000-0000735E0000}"/>
    <cellStyle name="Input 3 3 8 8" xfId="25220" xr:uid="{00000000-0005-0000-0000-0000745E0000}"/>
    <cellStyle name="Input 3 3 8 8 2" xfId="25221" xr:uid="{00000000-0005-0000-0000-0000755E0000}"/>
    <cellStyle name="Input 3 3 8 8 3" xfId="25222" xr:uid="{00000000-0005-0000-0000-0000765E0000}"/>
    <cellStyle name="Input 3 3 8 9" xfId="25223" xr:uid="{00000000-0005-0000-0000-0000775E0000}"/>
    <cellStyle name="Input 3 3 9" xfId="25224" xr:uid="{00000000-0005-0000-0000-0000785E0000}"/>
    <cellStyle name="Input 3 3 9 2" xfId="25225" xr:uid="{00000000-0005-0000-0000-0000795E0000}"/>
    <cellStyle name="Input 3 3 9 2 2" xfId="25226" xr:uid="{00000000-0005-0000-0000-00007A5E0000}"/>
    <cellStyle name="Input 3 3 9 2 3" xfId="25227" xr:uid="{00000000-0005-0000-0000-00007B5E0000}"/>
    <cellStyle name="Input 3 3 9 3" xfId="25228" xr:uid="{00000000-0005-0000-0000-00007C5E0000}"/>
    <cellStyle name="Input 3 3 9 3 2" xfId="25229" xr:uid="{00000000-0005-0000-0000-00007D5E0000}"/>
    <cellStyle name="Input 3 3 9 3 3" xfId="25230" xr:uid="{00000000-0005-0000-0000-00007E5E0000}"/>
    <cellStyle name="Input 3 3 9 4" xfId="25231" xr:uid="{00000000-0005-0000-0000-00007F5E0000}"/>
    <cellStyle name="Input 3 3 9 4 2" xfId="25232" xr:uid="{00000000-0005-0000-0000-0000805E0000}"/>
    <cellStyle name="Input 3 3 9 4 3" xfId="25233" xr:uid="{00000000-0005-0000-0000-0000815E0000}"/>
    <cellStyle name="Input 3 3 9 5" xfId="25234" xr:uid="{00000000-0005-0000-0000-0000825E0000}"/>
    <cellStyle name="Input 3 3 9 5 2" xfId="25235" xr:uid="{00000000-0005-0000-0000-0000835E0000}"/>
    <cellStyle name="Input 3 3 9 5 3" xfId="25236" xr:uid="{00000000-0005-0000-0000-0000845E0000}"/>
    <cellStyle name="Input 3 3 9 6" xfId="25237" xr:uid="{00000000-0005-0000-0000-0000855E0000}"/>
    <cellStyle name="Input 3 3 9 6 2" xfId="25238" xr:uid="{00000000-0005-0000-0000-0000865E0000}"/>
    <cellStyle name="Input 3 3 9 6 3" xfId="25239" xr:uid="{00000000-0005-0000-0000-0000875E0000}"/>
    <cellStyle name="Input 3 3 9 7" xfId="25240" xr:uid="{00000000-0005-0000-0000-0000885E0000}"/>
    <cellStyle name="Input 3 3 9 7 2" xfId="25241" xr:uid="{00000000-0005-0000-0000-0000895E0000}"/>
    <cellStyle name="Input 3 3 9 7 3" xfId="25242" xr:uid="{00000000-0005-0000-0000-00008A5E0000}"/>
    <cellStyle name="Input 3 3 9 8" xfId="25243" xr:uid="{00000000-0005-0000-0000-00008B5E0000}"/>
    <cellStyle name="Input 3 3 9 9" xfId="25244" xr:uid="{00000000-0005-0000-0000-00008C5E0000}"/>
    <cellStyle name="Input 3 4" xfId="25245" xr:uid="{00000000-0005-0000-0000-00008D5E0000}"/>
    <cellStyle name="Input 3 4 10" xfId="25246" xr:uid="{00000000-0005-0000-0000-00008E5E0000}"/>
    <cellStyle name="Input 3 4 10 2" xfId="25247" xr:uid="{00000000-0005-0000-0000-00008F5E0000}"/>
    <cellStyle name="Input 3 4 10 3" xfId="25248" xr:uid="{00000000-0005-0000-0000-0000905E0000}"/>
    <cellStyle name="Input 3 4 11" xfId="25249" xr:uid="{00000000-0005-0000-0000-0000915E0000}"/>
    <cellStyle name="Input 3 4 11 2" xfId="25250" xr:uid="{00000000-0005-0000-0000-0000925E0000}"/>
    <cellStyle name="Input 3 4 11 3" xfId="25251" xr:uid="{00000000-0005-0000-0000-0000935E0000}"/>
    <cellStyle name="Input 3 4 12" xfId="25252" xr:uid="{00000000-0005-0000-0000-0000945E0000}"/>
    <cellStyle name="Input 3 4 12 2" xfId="25253" xr:uid="{00000000-0005-0000-0000-0000955E0000}"/>
    <cellStyle name="Input 3 4 12 3" xfId="25254" xr:uid="{00000000-0005-0000-0000-0000965E0000}"/>
    <cellStyle name="Input 3 4 13" xfId="25255" xr:uid="{00000000-0005-0000-0000-0000975E0000}"/>
    <cellStyle name="Input 3 4 13 2" xfId="25256" xr:uid="{00000000-0005-0000-0000-0000985E0000}"/>
    <cellStyle name="Input 3 4 13 3" xfId="25257" xr:uid="{00000000-0005-0000-0000-0000995E0000}"/>
    <cellStyle name="Input 3 4 14" xfId="44089" xr:uid="{00000000-0005-0000-0000-00009A5E0000}"/>
    <cellStyle name="Input 3 4 2" xfId="25258" xr:uid="{00000000-0005-0000-0000-00009B5E0000}"/>
    <cellStyle name="Input 3 4 2 10" xfId="44090" xr:uid="{00000000-0005-0000-0000-00009C5E0000}"/>
    <cellStyle name="Input 3 4 2 2" xfId="25259" xr:uid="{00000000-0005-0000-0000-00009D5E0000}"/>
    <cellStyle name="Input 3 4 2 2 10" xfId="25260" xr:uid="{00000000-0005-0000-0000-00009E5E0000}"/>
    <cellStyle name="Input 3 4 2 2 2" xfId="25261" xr:uid="{00000000-0005-0000-0000-00009F5E0000}"/>
    <cellStyle name="Input 3 4 2 2 2 2" xfId="25262" xr:uid="{00000000-0005-0000-0000-0000A05E0000}"/>
    <cellStyle name="Input 3 4 2 2 2 2 2" xfId="25263" xr:uid="{00000000-0005-0000-0000-0000A15E0000}"/>
    <cellStyle name="Input 3 4 2 2 2 2 3" xfId="25264" xr:uid="{00000000-0005-0000-0000-0000A25E0000}"/>
    <cellStyle name="Input 3 4 2 2 2 3" xfId="25265" xr:uid="{00000000-0005-0000-0000-0000A35E0000}"/>
    <cellStyle name="Input 3 4 2 2 2 3 2" xfId="25266" xr:uid="{00000000-0005-0000-0000-0000A45E0000}"/>
    <cellStyle name="Input 3 4 2 2 2 3 3" xfId="25267" xr:uid="{00000000-0005-0000-0000-0000A55E0000}"/>
    <cellStyle name="Input 3 4 2 2 2 4" xfId="25268" xr:uid="{00000000-0005-0000-0000-0000A65E0000}"/>
    <cellStyle name="Input 3 4 2 2 2 4 2" xfId="25269" xr:uid="{00000000-0005-0000-0000-0000A75E0000}"/>
    <cellStyle name="Input 3 4 2 2 2 4 3" xfId="25270" xr:uid="{00000000-0005-0000-0000-0000A85E0000}"/>
    <cellStyle name="Input 3 4 2 2 2 5" xfId="25271" xr:uid="{00000000-0005-0000-0000-0000A95E0000}"/>
    <cellStyle name="Input 3 4 2 2 2 5 2" xfId="25272" xr:uid="{00000000-0005-0000-0000-0000AA5E0000}"/>
    <cellStyle name="Input 3 4 2 2 2 5 3" xfId="25273" xr:uid="{00000000-0005-0000-0000-0000AB5E0000}"/>
    <cellStyle name="Input 3 4 2 2 2 6" xfId="25274" xr:uid="{00000000-0005-0000-0000-0000AC5E0000}"/>
    <cellStyle name="Input 3 4 2 2 2 6 2" xfId="25275" xr:uid="{00000000-0005-0000-0000-0000AD5E0000}"/>
    <cellStyle name="Input 3 4 2 2 2 6 3" xfId="25276" xr:uid="{00000000-0005-0000-0000-0000AE5E0000}"/>
    <cellStyle name="Input 3 4 2 2 2 7" xfId="25277" xr:uid="{00000000-0005-0000-0000-0000AF5E0000}"/>
    <cellStyle name="Input 3 4 2 2 2 7 2" xfId="25278" xr:uid="{00000000-0005-0000-0000-0000B05E0000}"/>
    <cellStyle name="Input 3 4 2 2 2 7 3" xfId="25279" xr:uid="{00000000-0005-0000-0000-0000B15E0000}"/>
    <cellStyle name="Input 3 4 2 2 2 8" xfId="25280" xr:uid="{00000000-0005-0000-0000-0000B25E0000}"/>
    <cellStyle name="Input 3 4 2 2 2 9" xfId="25281" xr:uid="{00000000-0005-0000-0000-0000B35E0000}"/>
    <cellStyle name="Input 3 4 2 2 3" xfId="25282" xr:uid="{00000000-0005-0000-0000-0000B45E0000}"/>
    <cellStyle name="Input 3 4 2 2 3 2" xfId="25283" xr:uid="{00000000-0005-0000-0000-0000B55E0000}"/>
    <cellStyle name="Input 3 4 2 2 3 3" xfId="25284" xr:uid="{00000000-0005-0000-0000-0000B65E0000}"/>
    <cellStyle name="Input 3 4 2 2 4" xfId="25285" xr:uid="{00000000-0005-0000-0000-0000B75E0000}"/>
    <cellStyle name="Input 3 4 2 2 4 2" xfId="25286" xr:uid="{00000000-0005-0000-0000-0000B85E0000}"/>
    <cellStyle name="Input 3 4 2 2 4 3" xfId="25287" xr:uid="{00000000-0005-0000-0000-0000B95E0000}"/>
    <cellStyle name="Input 3 4 2 2 5" xfId="25288" xr:uid="{00000000-0005-0000-0000-0000BA5E0000}"/>
    <cellStyle name="Input 3 4 2 2 5 2" xfId="25289" xr:uid="{00000000-0005-0000-0000-0000BB5E0000}"/>
    <cellStyle name="Input 3 4 2 2 5 3" xfId="25290" xr:uid="{00000000-0005-0000-0000-0000BC5E0000}"/>
    <cellStyle name="Input 3 4 2 2 6" xfId="25291" xr:uid="{00000000-0005-0000-0000-0000BD5E0000}"/>
    <cellStyle name="Input 3 4 2 2 6 2" xfId="25292" xr:uid="{00000000-0005-0000-0000-0000BE5E0000}"/>
    <cellStyle name="Input 3 4 2 2 6 3" xfId="25293" xr:uid="{00000000-0005-0000-0000-0000BF5E0000}"/>
    <cellStyle name="Input 3 4 2 2 7" xfId="25294" xr:uid="{00000000-0005-0000-0000-0000C05E0000}"/>
    <cellStyle name="Input 3 4 2 2 7 2" xfId="25295" xr:uid="{00000000-0005-0000-0000-0000C15E0000}"/>
    <cellStyle name="Input 3 4 2 2 7 3" xfId="25296" xr:uid="{00000000-0005-0000-0000-0000C25E0000}"/>
    <cellStyle name="Input 3 4 2 2 8" xfId="25297" xr:uid="{00000000-0005-0000-0000-0000C35E0000}"/>
    <cellStyle name="Input 3 4 2 2 8 2" xfId="25298" xr:uid="{00000000-0005-0000-0000-0000C45E0000}"/>
    <cellStyle name="Input 3 4 2 2 8 3" xfId="25299" xr:uid="{00000000-0005-0000-0000-0000C55E0000}"/>
    <cellStyle name="Input 3 4 2 2 9" xfId="25300" xr:uid="{00000000-0005-0000-0000-0000C65E0000}"/>
    <cellStyle name="Input 3 4 2 3" xfId="25301" xr:uid="{00000000-0005-0000-0000-0000C75E0000}"/>
    <cellStyle name="Input 3 4 2 3 10" xfId="25302" xr:uid="{00000000-0005-0000-0000-0000C85E0000}"/>
    <cellStyle name="Input 3 4 2 3 2" xfId="25303" xr:uid="{00000000-0005-0000-0000-0000C95E0000}"/>
    <cellStyle name="Input 3 4 2 3 2 2" xfId="25304" xr:uid="{00000000-0005-0000-0000-0000CA5E0000}"/>
    <cellStyle name="Input 3 4 2 3 2 2 2" xfId="25305" xr:uid="{00000000-0005-0000-0000-0000CB5E0000}"/>
    <cellStyle name="Input 3 4 2 3 2 2 3" xfId="25306" xr:uid="{00000000-0005-0000-0000-0000CC5E0000}"/>
    <cellStyle name="Input 3 4 2 3 2 3" xfId="25307" xr:uid="{00000000-0005-0000-0000-0000CD5E0000}"/>
    <cellStyle name="Input 3 4 2 3 2 3 2" xfId="25308" xr:uid="{00000000-0005-0000-0000-0000CE5E0000}"/>
    <cellStyle name="Input 3 4 2 3 2 3 3" xfId="25309" xr:uid="{00000000-0005-0000-0000-0000CF5E0000}"/>
    <cellStyle name="Input 3 4 2 3 2 4" xfId="25310" xr:uid="{00000000-0005-0000-0000-0000D05E0000}"/>
    <cellStyle name="Input 3 4 2 3 2 4 2" xfId="25311" xr:uid="{00000000-0005-0000-0000-0000D15E0000}"/>
    <cellStyle name="Input 3 4 2 3 2 4 3" xfId="25312" xr:uid="{00000000-0005-0000-0000-0000D25E0000}"/>
    <cellStyle name="Input 3 4 2 3 2 5" xfId="25313" xr:uid="{00000000-0005-0000-0000-0000D35E0000}"/>
    <cellStyle name="Input 3 4 2 3 2 5 2" xfId="25314" xr:uid="{00000000-0005-0000-0000-0000D45E0000}"/>
    <cellStyle name="Input 3 4 2 3 2 5 3" xfId="25315" xr:uid="{00000000-0005-0000-0000-0000D55E0000}"/>
    <cellStyle name="Input 3 4 2 3 2 6" xfId="25316" xr:uid="{00000000-0005-0000-0000-0000D65E0000}"/>
    <cellStyle name="Input 3 4 2 3 2 6 2" xfId="25317" xr:uid="{00000000-0005-0000-0000-0000D75E0000}"/>
    <cellStyle name="Input 3 4 2 3 2 6 3" xfId="25318" xr:uid="{00000000-0005-0000-0000-0000D85E0000}"/>
    <cellStyle name="Input 3 4 2 3 2 7" xfId="25319" xr:uid="{00000000-0005-0000-0000-0000D95E0000}"/>
    <cellStyle name="Input 3 4 2 3 2 7 2" xfId="25320" xr:uid="{00000000-0005-0000-0000-0000DA5E0000}"/>
    <cellStyle name="Input 3 4 2 3 2 7 3" xfId="25321" xr:uid="{00000000-0005-0000-0000-0000DB5E0000}"/>
    <cellStyle name="Input 3 4 2 3 2 8" xfId="25322" xr:uid="{00000000-0005-0000-0000-0000DC5E0000}"/>
    <cellStyle name="Input 3 4 2 3 2 9" xfId="25323" xr:uid="{00000000-0005-0000-0000-0000DD5E0000}"/>
    <cellStyle name="Input 3 4 2 3 3" xfId="25324" xr:uid="{00000000-0005-0000-0000-0000DE5E0000}"/>
    <cellStyle name="Input 3 4 2 3 3 2" xfId="25325" xr:uid="{00000000-0005-0000-0000-0000DF5E0000}"/>
    <cellStyle name="Input 3 4 2 3 3 3" xfId="25326" xr:uid="{00000000-0005-0000-0000-0000E05E0000}"/>
    <cellStyle name="Input 3 4 2 3 4" xfId="25327" xr:uid="{00000000-0005-0000-0000-0000E15E0000}"/>
    <cellStyle name="Input 3 4 2 3 4 2" xfId="25328" xr:uid="{00000000-0005-0000-0000-0000E25E0000}"/>
    <cellStyle name="Input 3 4 2 3 4 3" xfId="25329" xr:uid="{00000000-0005-0000-0000-0000E35E0000}"/>
    <cellStyle name="Input 3 4 2 3 5" xfId="25330" xr:uid="{00000000-0005-0000-0000-0000E45E0000}"/>
    <cellStyle name="Input 3 4 2 3 5 2" xfId="25331" xr:uid="{00000000-0005-0000-0000-0000E55E0000}"/>
    <cellStyle name="Input 3 4 2 3 5 3" xfId="25332" xr:uid="{00000000-0005-0000-0000-0000E65E0000}"/>
    <cellStyle name="Input 3 4 2 3 6" xfId="25333" xr:uid="{00000000-0005-0000-0000-0000E75E0000}"/>
    <cellStyle name="Input 3 4 2 3 6 2" xfId="25334" xr:uid="{00000000-0005-0000-0000-0000E85E0000}"/>
    <cellStyle name="Input 3 4 2 3 6 3" xfId="25335" xr:uid="{00000000-0005-0000-0000-0000E95E0000}"/>
    <cellStyle name="Input 3 4 2 3 7" xfId="25336" xr:uid="{00000000-0005-0000-0000-0000EA5E0000}"/>
    <cellStyle name="Input 3 4 2 3 7 2" xfId="25337" xr:uid="{00000000-0005-0000-0000-0000EB5E0000}"/>
    <cellStyle name="Input 3 4 2 3 7 3" xfId="25338" xr:uid="{00000000-0005-0000-0000-0000EC5E0000}"/>
    <cellStyle name="Input 3 4 2 3 8" xfId="25339" xr:uid="{00000000-0005-0000-0000-0000ED5E0000}"/>
    <cellStyle name="Input 3 4 2 3 8 2" xfId="25340" xr:uid="{00000000-0005-0000-0000-0000EE5E0000}"/>
    <cellStyle name="Input 3 4 2 3 8 3" xfId="25341" xr:uid="{00000000-0005-0000-0000-0000EF5E0000}"/>
    <cellStyle name="Input 3 4 2 3 9" xfId="25342" xr:uid="{00000000-0005-0000-0000-0000F05E0000}"/>
    <cellStyle name="Input 3 4 2 4" xfId="25343" xr:uid="{00000000-0005-0000-0000-0000F15E0000}"/>
    <cellStyle name="Input 3 4 2 4 10" xfId="25344" xr:uid="{00000000-0005-0000-0000-0000F25E0000}"/>
    <cellStyle name="Input 3 4 2 4 2" xfId="25345" xr:uid="{00000000-0005-0000-0000-0000F35E0000}"/>
    <cellStyle name="Input 3 4 2 4 2 2" xfId="25346" xr:uid="{00000000-0005-0000-0000-0000F45E0000}"/>
    <cellStyle name="Input 3 4 2 4 2 2 2" xfId="25347" xr:uid="{00000000-0005-0000-0000-0000F55E0000}"/>
    <cellStyle name="Input 3 4 2 4 2 2 3" xfId="25348" xr:uid="{00000000-0005-0000-0000-0000F65E0000}"/>
    <cellStyle name="Input 3 4 2 4 2 3" xfId="25349" xr:uid="{00000000-0005-0000-0000-0000F75E0000}"/>
    <cellStyle name="Input 3 4 2 4 2 3 2" xfId="25350" xr:uid="{00000000-0005-0000-0000-0000F85E0000}"/>
    <cellStyle name="Input 3 4 2 4 2 3 3" xfId="25351" xr:uid="{00000000-0005-0000-0000-0000F95E0000}"/>
    <cellStyle name="Input 3 4 2 4 2 4" xfId="25352" xr:uid="{00000000-0005-0000-0000-0000FA5E0000}"/>
    <cellStyle name="Input 3 4 2 4 2 4 2" xfId="25353" xr:uid="{00000000-0005-0000-0000-0000FB5E0000}"/>
    <cellStyle name="Input 3 4 2 4 2 4 3" xfId="25354" xr:uid="{00000000-0005-0000-0000-0000FC5E0000}"/>
    <cellStyle name="Input 3 4 2 4 2 5" xfId="25355" xr:uid="{00000000-0005-0000-0000-0000FD5E0000}"/>
    <cellStyle name="Input 3 4 2 4 2 5 2" xfId="25356" xr:uid="{00000000-0005-0000-0000-0000FE5E0000}"/>
    <cellStyle name="Input 3 4 2 4 2 5 3" xfId="25357" xr:uid="{00000000-0005-0000-0000-0000FF5E0000}"/>
    <cellStyle name="Input 3 4 2 4 2 6" xfId="25358" xr:uid="{00000000-0005-0000-0000-0000005F0000}"/>
    <cellStyle name="Input 3 4 2 4 2 6 2" xfId="25359" xr:uid="{00000000-0005-0000-0000-0000015F0000}"/>
    <cellStyle name="Input 3 4 2 4 2 6 3" xfId="25360" xr:uid="{00000000-0005-0000-0000-0000025F0000}"/>
    <cellStyle name="Input 3 4 2 4 2 7" xfId="25361" xr:uid="{00000000-0005-0000-0000-0000035F0000}"/>
    <cellStyle name="Input 3 4 2 4 2 7 2" xfId="25362" xr:uid="{00000000-0005-0000-0000-0000045F0000}"/>
    <cellStyle name="Input 3 4 2 4 2 7 3" xfId="25363" xr:uid="{00000000-0005-0000-0000-0000055F0000}"/>
    <cellStyle name="Input 3 4 2 4 2 8" xfId="25364" xr:uid="{00000000-0005-0000-0000-0000065F0000}"/>
    <cellStyle name="Input 3 4 2 4 2 9" xfId="25365" xr:uid="{00000000-0005-0000-0000-0000075F0000}"/>
    <cellStyle name="Input 3 4 2 4 3" xfId="25366" xr:uid="{00000000-0005-0000-0000-0000085F0000}"/>
    <cellStyle name="Input 3 4 2 4 3 2" xfId="25367" xr:uid="{00000000-0005-0000-0000-0000095F0000}"/>
    <cellStyle name="Input 3 4 2 4 3 3" xfId="25368" xr:uid="{00000000-0005-0000-0000-00000A5F0000}"/>
    <cellStyle name="Input 3 4 2 4 4" xfId="25369" xr:uid="{00000000-0005-0000-0000-00000B5F0000}"/>
    <cellStyle name="Input 3 4 2 4 4 2" xfId="25370" xr:uid="{00000000-0005-0000-0000-00000C5F0000}"/>
    <cellStyle name="Input 3 4 2 4 4 3" xfId="25371" xr:uid="{00000000-0005-0000-0000-00000D5F0000}"/>
    <cellStyle name="Input 3 4 2 4 5" xfId="25372" xr:uid="{00000000-0005-0000-0000-00000E5F0000}"/>
    <cellStyle name="Input 3 4 2 4 5 2" xfId="25373" xr:uid="{00000000-0005-0000-0000-00000F5F0000}"/>
    <cellStyle name="Input 3 4 2 4 5 3" xfId="25374" xr:uid="{00000000-0005-0000-0000-0000105F0000}"/>
    <cellStyle name="Input 3 4 2 4 6" xfId="25375" xr:uid="{00000000-0005-0000-0000-0000115F0000}"/>
    <cellStyle name="Input 3 4 2 4 6 2" xfId="25376" xr:uid="{00000000-0005-0000-0000-0000125F0000}"/>
    <cellStyle name="Input 3 4 2 4 6 3" xfId="25377" xr:uid="{00000000-0005-0000-0000-0000135F0000}"/>
    <cellStyle name="Input 3 4 2 4 7" xfId="25378" xr:uid="{00000000-0005-0000-0000-0000145F0000}"/>
    <cellStyle name="Input 3 4 2 4 7 2" xfId="25379" xr:uid="{00000000-0005-0000-0000-0000155F0000}"/>
    <cellStyle name="Input 3 4 2 4 7 3" xfId="25380" xr:uid="{00000000-0005-0000-0000-0000165F0000}"/>
    <cellStyle name="Input 3 4 2 4 8" xfId="25381" xr:uid="{00000000-0005-0000-0000-0000175F0000}"/>
    <cellStyle name="Input 3 4 2 4 8 2" xfId="25382" xr:uid="{00000000-0005-0000-0000-0000185F0000}"/>
    <cellStyle name="Input 3 4 2 4 8 3" xfId="25383" xr:uid="{00000000-0005-0000-0000-0000195F0000}"/>
    <cellStyle name="Input 3 4 2 4 9" xfId="25384" xr:uid="{00000000-0005-0000-0000-00001A5F0000}"/>
    <cellStyle name="Input 3 4 2 5" xfId="25385" xr:uid="{00000000-0005-0000-0000-00001B5F0000}"/>
    <cellStyle name="Input 3 4 2 5 2" xfId="25386" xr:uid="{00000000-0005-0000-0000-00001C5F0000}"/>
    <cellStyle name="Input 3 4 2 5 2 2" xfId="25387" xr:uid="{00000000-0005-0000-0000-00001D5F0000}"/>
    <cellStyle name="Input 3 4 2 5 2 3" xfId="25388" xr:uid="{00000000-0005-0000-0000-00001E5F0000}"/>
    <cellStyle name="Input 3 4 2 5 3" xfId="25389" xr:uid="{00000000-0005-0000-0000-00001F5F0000}"/>
    <cellStyle name="Input 3 4 2 5 3 2" xfId="25390" xr:uid="{00000000-0005-0000-0000-0000205F0000}"/>
    <cellStyle name="Input 3 4 2 5 3 3" xfId="25391" xr:uid="{00000000-0005-0000-0000-0000215F0000}"/>
    <cellStyle name="Input 3 4 2 5 4" xfId="25392" xr:uid="{00000000-0005-0000-0000-0000225F0000}"/>
    <cellStyle name="Input 3 4 2 5 4 2" xfId="25393" xr:uid="{00000000-0005-0000-0000-0000235F0000}"/>
    <cellStyle name="Input 3 4 2 5 4 3" xfId="25394" xr:uid="{00000000-0005-0000-0000-0000245F0000}"/>
    <cellStyle name="Input 3 4 2 5 5" xfId="25395" xr:uid="{00000000-0005-0000-0000-0000255F0000}"/>
    <cellStyle name="Input 3 4 2 5 5 2" xfId="25396" xr:uid="{00000000-0005-0000-0000-0000265F0000}"/>
    <cellStyle name="Input 3 4 2 5 5 3" xfId="25397" xr:uid="{00000000-0005-0000-0000-0000275F0000}"/>
    <cellStyle name="Input 3 4 2 5 6" xfId="25398" xr:uid="{00000000-0005-0000-0000-0000285F0000}"/>
    <cellStyle name="Input 3 4 2 5 6 2" xfId="25399" xr:uid="{00000000-0005-0000-0000-0000295F0000}"/>
    <cellStyle name="Input 3 4 2 5 6 3" xfId="25400" xr:uid="{00000000-0005-0000-0000-00002A5F0000}"/>
    <cellStyle name="Input 3 4 2 5 7" xfId="25401" xr:uid="{00000000-0005-0000-0000-00002B5F0000}"/>
    <cellStyle name="Input 3 4 2 5 7 2" xfId="25402" xr:uid="{00000000-0005-0000-0000-00002C5F0000}"/>
    <cellStyle name="Input 3 4 2 5 7 3" xfId="25403" xr:uid="{00000000-0005-0000-0000-00002D5F0000}"/>
    <cellStyle name="Input 3 4 2 5 8" xfId="25404" xr:uid="{00000000-0005-0000-0000-00002E5F0000}"/>
    <cellStyle name="Input 3 4 2 5 9" xfId="25405" xr:uid="{00000000-0005-0000-0000-00002F5F0000}"/>
    <cellStyle name="Input 3 4 2 6" xfId="25406" xr:uid="{00000000-0005-0000-0000-0000305F0000}"/>
    <cellStyle name="Input 3 4 2 6 2" xfId="25407" xr:uid="{00000000-0005-0000-0000-0000315F0000}"/>
    <cellStyle name="Input 3 4 2 6 3" xfId="25408" xr:uid="{00000000-0005-0000-0000-0000325F0000}"/>
    <cellStyle name="Input 3 4 2 7" xfId="25409" xr:uid="{00000000-0005-0000-0000-0000335F0000}"/>
    <cellStyle name="Input 3 4 2 7 2" xfId="25410" xr:uid="{00000000-0005-0000-0000-0000345F0000}"/>
    <cellStyle name="Input 3 4 2 7 3" xfId="25411" xr:uid="{00000000-0005-0000-0000-0000355F0000}"/>
    <cellStyle name="Input 3 4 2 8" xfId="25412" xr:uid="{00000000-0005-0000-0000-0000365F0000}"/>
    <cellStyle name="Input 3 4 2 8 2" xfId="25413" xr:uid="{00000000-0005-0000-0000-0000375F0000}"/>
    <cellStyle name="Input 3 4 2 8 3" xfId="25414" xr:uid="{00000000-0005-0000-0000-0000385F0000}"/>
    <cellStyle name="Input 3 4 2 9" xfId="25415" xr:uid="{00000000-0005-0000-0000-0000395F0000}"/>
    <cellStyle name="Input 3 4 2 9 2" xfId="25416" xr:uid="{00000000-0005-0000-0000-00003A5F0000}"/>
    <cellStyle name="Input 3 4 2 9 3" xfId="25417" xr:uid="{00000000-0005-0000-0000-00003B5F0000}"/>
    <cellStyle name="Input 3 4 3" xfId="25418" xr:uid="{00000000-0005-0000-0000-00003C5F0000}"/>
    <cellStyle name="Input 3 4 3 10" xfId="44091" xr:uid="{00000000-0005-0000-0000-00003D5F0000}"/>
    <cellStyle name="Input 3 4 3 2" xfId="25419" xr:uid="{00000000-0005-0000-0000-00003E5F0000}"/>
    <cellStyle name="Input 3 4 3 2 10" xfId="25420" xr:uid="{00000000-0005-0000-0000-00003F5F0000}"/>
    <cellStyle name="Input 3 4 3 2 2" xfId="25421" xr:uid="{00000000-0005-0000-0000-0000405F0000}"/>
    <cellStyle name="Input 3 4 3 2 2 2" xfId="25422" xr:uid="{00000000-0005-0000-0000-0000415F0000}"/>
    <cellStyle name="Input 3 4 3 2 2 2 2" xfId="25423" xr:uid="{00000000-0005-0000-0000-0000425F0000}"/>
    <cellStyle name="Input 3 4 3 2 2 2 3" xfId="25424" xr:uid="{00000000-0005-0000-0000-0000435F0000}"/>
    <cellStyle name="Input 3 4 3 2 2 3" xfId="25425" xr:uid="{00000000-0005-0000-0000-0000445F0000}"/>
    <cellStyle name="Input 3 4 3 2 2 3 2" xfId="25426" xr:uid="{00000000-0005-0000-0000-0000455F0000}"/>
    <cellStyle name="Input 3 4 3 2 2 3 3" xfId="25427" xr:uid="{00000000-0005-0000-0000-0000465F0000}"/>
    <cellStyle name="Input 3 4 3 2 2 4" xfId="25428" xr:uid="{00000000-0005-0000-0000-0000475F0000}"/>
    <cellStyle name="Input 3 4 3 2 2 4 2" xfId="25429" xr:uid="{00000000-0005-0000-0000-0000485F0000}"/>
    <cellStyle name="Input 3 4 3 2 2 4 3" xfId="25430" xr:uid="{00000000-0005-0000-0000-0000495F0000}"/>
    <cellStyle name="Input 3 4 3 2 2 5" xfId="25431" xr:uid="{00000000-0005-0000-0000-00004A5F0000}"/>
    <cellStyle name="Input 3 4 3 2 2 5 2" xfId="25432" xr:uid="{00000000-0005-0000-0000-00004B5F0000}"/>
    <cellStyle name="Input 3 4 3 2 2 5 3" xfId="25433" xr:uid="{00000000-0005-0000-0000-00004C5F0000}"/>
    <cellStyle name="Input 3 4 3 2 2 6" xfId="25434" xr:uid="{00000000-0005-0000-0000-00004D5F0000}"/>
    <cellStyle name="Input 3 4 3 2 2 6 2" xfId="25435" xr:uid="{00000000-0005-0000-0000-00004E5F0000}"/>
    <cellStyle name="Input 3 4 3 2 2 6 3" xfId="25436" xr:uid="{00000000-0005-0000-0000-00004F5F0000}"/>
    <cellStyle name="Input 3 4 3 2 2 7" xfId="25437" xr:uid="{00000000-0005-0000-0000-0000505F0000}"/>
    <cellStyle name="Input 3 4 3 2 2 7 2" xfId="25438" xr:uid="{00000000-0005-0000-0000-0000515F0000}"/>
    <cellStyle name="Input 3 4 3 2 2 7 3" xfId="25439" xr:uid="{00000000-0005-0000-0000-0000525F0000}"/>
    <cellStyle name="Input 3 4 3 2 2 8" xfId="25440" xr:uid="{00000000-0005-0000-0000-0000535F0000}"/>
    <cellStyle name="Input 3 4 3 2 2 9" xfId="25441" xr:uid="{00000000-0005-0000-0000-0000545F0000}"/>
    <cellStyle name="Input 3 4 3 2 3" xfId="25442" xr:uid="{00000000-0005-0000-0000-0000555F0000}"/>
    <cellStyle name="Input 3 4 3 2 3 2" xfId="25443" xr:uid="{00000000-0005-0000-0000-0000565F0000}"/>
    <cellStyle name="Input 3 4 3 2 3 3" xfId="25444" xr:uid="{00000000-0005-0000-0000-0000575F0000}"/>
    <cellStyle name="Input 3 4 3 2 4" xfId="25445" xr:uid="{00000000-0005-0000-0000-0000585F0000}"/>
    <cellStyle name="Input 3 4 3 2 4 2" xfId="25446" xr:uid="{00000000-0005-0000-0000-0000595F0000}"/>
    <cellStyle name="Input 3 4 3 2 4 3" xfId="25447" xr:uid="{00000000-0005-0000-0000-00005A5F0000}"/>
    <cellStyle name="Input 3 4 3 2 5" xfId="25448" xr:uid="{00000000-0005-0000-0000-00005B5F0000}"/>
    <cellStyle name="Input 3 4 3 2 5 2" xfId="25449" xr:uid="{00000000-0005-0000-0000-00005C5F0000}"/>
    <cellStyle name="Input 3 4 3 2 5 3" xfId="25450" xr:uid="{00000000-0005-0000-0000-00005D5F0000}"/>
    <cellStyle name="Input 3 4 3 2 6" xfId="25451" xr:uid="{00000000-0005-0000-0000-00005E5F0000}"/>
    <cellStyle name="Input 3 4 3 2 6 2" xfId="25452" xr:uid="{00000000-0005-0000-0000-00005F5F0000}"/>
    <cellStyle name="Input 3 4 3 2 6 3" xfId="25453" xr:uid="{00000000-0005-0000-0000-0000605F0000}"/>
    <cellStyle name="Input 3 4 3 2 7" xfId="25454" xr:uid="{00000000-0005-0000-0000-0000615F0000}"/>
    <cellStyle name="Input 3 4 3 2 7 2" xfId="25455" xr:uid="{00000000-0005-0000-0000-0000625F0000}"/>
    <cellStyle name="Input 3 4 3 2 7 3" xfId="25456" xr:uid="{00000000-0005-0000-0000-0000635F0000}"/>
    <cellStyle name="Input 3 4 3 2 8" xfId="25457" xr:uid="{00000000-0005-0000-0000-0000645F0000}"/>
    <cellStyle name="Input 3 4 3 2 8 2" xfId="25458" xr:uid="{00000000-0005-0000-0000-0000655F0000}"/>
    <cellStyle name="Input 3 4 3 2 8 3" xfId="25459" xr:uid="{00000000-0005-0000-0000-0000665F0000}"/>
    <cellStyle name="Input 3 4 3 2 9" xfId="25460" xr:uid="{00000000-0005-0000-0000-0000675F0000}"/>
    <cellStyle name="Input 3 4 3 3" xfId="25461" xr:uid="{00000000-0005-0000-0000-0000685F0000}"/>
    <cellStyle name="Input 3 4 3 3 10" xfId="25462" xr:uid="{00000000-0005-0000-0000-0000695F0000}"/>
    <cellStyle name="Input 3 4 3 3 2" xfId="25463" xr:uid="{00000000-0005-0000-0000-00006A5F0000}"/>
    <cellStyle name="Input 3 4 3 3 2 2" xfId="25464" xr:uid="{00000000-0005-0000-0000-00006B5F0000}"/>
    <cellStyle name="Input 3 4 3 3 2 2 2" xfId="25465" xr:uid="{00000000-0005-0000-0000-00006C5F0000}"/>
    <cellStyle name="Input 3 4 3 3 2 2 3" xfId="25466" xr:uid="{00000000-0005-0000-0000-00006D5F0000}"/>
    <cellStyle name="Input 3 4 3 3 2 3" xfId="25467" xr:uid="{00000000-0005-0000-0000-00006E5F0000}"/>
    <cellStyle name="Input 3 4 3 3 2 3 2" xfId="25468" xr:uid="{00000000-0005-0000-0000-00006F5F0000}"/>
    <cellStyle name="Input 3 4 3 3 2 3 3" xfId="25469" xr:uid="{00000000-0005-0000-0000-0000705F0000}"/>
    <cellStyle name="Input 3 4 3 3 2 4" xfId="25470" xr:uid="{00000000-0005-0000-0000-0000715F0000}"/>
    <cellStyle name="Input 3 4 3 3 2 4 2" xfId="25471" xr:uid="{00000000-0005-0000-0000-0000725F0000}"/>
    <cellStyle name="Input 3 4 3 3 2 4 3" xfId="25472" xr:uid="{00000000-0005-0000-0000-0000735F0000}"/>
    <cellStyle name="Input 3 4 3 3 2 5" xfId="25473" xr:uid="{00000000-0005-0000-0000-0000745F0000}"/>
    <cellStyle name="Input 3 4 3 3 2 5 2" xfId="25474" xr:uid="{00000000-0005-0000-0000-0000755F0000}"/>
    <cellStyle name="Input 3 4 3 3 2 5 3" xfId="25475" xr:uid="{00000000-0005-0000-0000-0000765F0000}"/>
    <cellStyle name="Input 3 4 3 3 2 6" xfId="25476" xr:uid="{00000000-0005-0000-0000-0000775F0000}"/>
    <cellStyle name="Input 3 4 3 3 2 6 2" xfId="25477" xr:uid="{00000000-0005-0000-0000-0000785F0000}"/>
    <cellStyle name="Input 3 4 3 3 2 6 3" xfId="25478" xr:uid="{00000000-0005-0000-0000-0000795F0000}"/>
    <cellStyle name="Input 3 4 3 3 2 7" xfId="25479" xr:uid="{00000000-0005-0000-0000-00007A5F0000}"/>
    <cellStyle name="Input 3 4 3 3 2 7 2" xfId="25480" xr:uid="{00000000-0005-0000-0000-00007B5F0000}"/>
    <cellStyle name="Input 3 4 3 3 2 7 3" xfId="25481" xr:uid="{00000000-0005-0000-0000-00007C5F0000}"/>
    <cellStyle name="Input 3 4 3 3 2 8" xfId="25482" xr:uid="{00000000-0005-0000-0000-00007D5F0000}"/>
    <cellStyle name="Input 3 4 3 3 2 9" xfId="25483" xr:uid="{00000000-0005-0000-0000-00007E5F0000}"/>
    <cellStyle name="Input 3 4 3 3 3" xfId="25484" xr:uid="{00000000-0005-0000-0000-00007F5F0000}"/>
    <cellStyle name="Input 3 4 3 3 3 2" xfId="25485" xr:uid="{00000000-0005-0000-0000-0000805F0000}"/>
    <cellStyle name="Input 3 4 3 3 3 3" xfId="25486" xr:uid="{00000000-0005-0000-0000-0000815F0000}"/>
    <cellStyle name="Input 3 4 3 3 4" xfId="25487" xr:uid="{00000000-0005-0000-0000-0000825F0000}"/>
    <cellStyle name="Input 3 4 3 3 4 2" xfId="25488" xr:uid="{00000000-0005-0000-0000-0000835F0000}"/>
    <cellStyle name="Input 3 4 3 3 4 3" xfId="25489" xr:uid="{00000000-0005-0000-0000-0000845F0000}"/>
    <cellStyle name="Input 3 4 3 3 5" xfId="25490" xr:uid="{00000000-0005-0000-0000-0000855F0000}"/>
    <cellStyle name="Input 3 4 3 3 5 2" xfId="25491" xr:uid="{00000000-0005-0000-0000-0000865F0000}"/>
    <cellStyle name="Input 3 4 3 3 5 3" xfId="25492" xr:uid="{00000000-0005-0000-0000-0000875F0000}"/>
    <cellStyle name="Input 3 4 3 3 6" xfId="25493" xr:uid="{00000000-0005-0000-0000-0000885F0000}"/>
    <cellStyle name="Input 3 4 3 3 6 2" xfId="25494" xr:uid="{00000000-0005-0000-0000-0000895F0000}"/>
    <cellStyle name="Input 3 4 3 3 6 3" xfId="25495" xr:uid="{00000000-0005-0000-0000-00008A5F0000}"/>
    <cellStyle name="Input 3 4 3 3 7" xfId="25496" xr:uid="{00000000-0005-0000-0000-00008B5F0000}"/>
    <cellStyle name="Input 3 4 3 3 7 2" xfId="25497" xr:uid="{00000000-0005-0000-0000-00008C5F0000}"/>
    <cellStyle name="Input 3 4 3 3 7 3" xfId="25498" xr:uid="{00000000-0005-0000-0000-00008D5F0000}"/>
    <cellStyle name="Input 3 4 3 3 8" xfId="25499" xr:uid="{00000000-0005-0000-0000-00008E5F0000}"/>
    <cellStyle name="Input 3 4 3 3 8 2" xfId="25500" xr:uid="{00000000-0005-0000-0000-00008F5F0000}"/>
    <cellStyle name="Input 3 4 3 3 8 3" xfId="25501" xr:uid="{00000000-0005-0000-0000-0000905F0000}"/>
    <cellStyle name="Input 3 4 3 3 9" xfId="25502" xr:uid="{00000000-0005-0000-0000-0000915F0000}"/>
    <cellStyle name="Input 3 4 3 4" xfId="25503" xr:uid="{00000000-0005-0000-0000-0000925F0000}"/>
    <cellStyle name="Input 3 4 3 4 10" xfId="25504" xr:uid="{00000000-0005-0000-0000-0000935F0000}"/>
    <cellStyle name="Input 3 4 3 4 2" xfId="25505" xr:uid="{00000000-0005-0000-0000-0000945F0000}"/>
    <cellStyle name="Input 3 4 3 4 2 2" xfId="25506" xr:uid="{00000000-0005-0000-0000-0000955F0000}"/>
    <cellStyle name="Input 3 4 3 4 2 2 2" xfId="25507" xr:uid="{00000000-0005-0000-0000-0000965F0000}"/>
    <cellStyle name="Input 3 4 3 4 2 2 3" xfId="25508" xr:uid="{00000000-0005-0000-0000-0000975F0000}"/>
    <cellStyle name="Input 3 4 3 4 2 3" xfId="25509" xr:uid="{00000000-0005-0000-0000-0000985F0000}"/>
    <cellStyle name="Input 3 4 3 4 2 3 2" xfId="25510" xr:uid="{00000000-0005-0000-0000-0000995F0000}"/>
    <cellStyle name="Input 3 4 3 4 2 3 3" xfId="25511" xr:uid="{00000000-0005-0000-0000-00009A5F0000}"/>
    <cellStyle name="Input 3 4 3 4 2 4" xfId="25512" xr:uid="{00000000-0005-0000-0000-00009B5F0000}"/>
    <cellStyle name="Input 3 4 3 4 2 4 2" xfId="25513" xr:uid="{00000000-0005-0000-0000-00009C5F0000}"/>
    <cellStyle name="Input 3 4 3 4 2 4 3" xfId="25514" xr:uid="{00000000-0005-0000-0000-00009D5F0000}"/>
    <cellStyle name="Input 3 4 3 4 2 5" xfId="25515" xr:uid="{00000000-0005-0000-0000-00009E5F0000}"/>
    <cellStyle name="Input 3 4 3 4 2 5 2" xfId="25516" xr:uid="{00000000-0005-0000-0000-00009F5F0000}"/>
    <cellStyle name="Input 3 4 3 4 2 5 3" xfId="25517" xr:uid="{00000000-0005-0000-0000-0000A05F0000}"/>
    <cellStyle name="Input 3 4 3 4 2 6" xfId="25518" xr:uid="{00000000-0005-0000-0000-0000A15F0000}"/>
    <cellStyle name="Input 3 4 3 4 2 6 2" xfId="25519" xr:uid="{00000000-0005-0000-0000-0000A25F0000}"/>
    <cellStyle name="Input 3 4 3 4 2 6 3" xfId="25520" xr:uid="{00000000-0005-0000-0000-0000A35F0000}"/>
    <cellStyle name="Input 3 4 3 4 2 7" xfId="25521" xr:uid="{00000000-0005-0000-0000-0000A45F0000}"/>
    <cellStyle name="Input 3 4 3 4 2 7 2" xfId="25522" xr:uid="{00000000-0005-0000-0000-0000A55F0000}"/>
    <cellStyle name="Input 3 4 3 4 2 7 3" xfId="25523" xr:uid="{00000000-0005-0000-0000-0000A65F0000}"/>
    <cellStyle name="Input 3 4 3 4 2 8" xfId="25524" xr:uid="{00000000-0005-0000-0000-0000A75F0000}"/>
    <cellStyle name="Input 3 4 3 4 2 9" xfId="25525" xr:uid="{00000000-0005-0000-0000-0000A85F0000}"/>
    <cellStyle name="Input 3 4 3 4 3" xfId="25526" xr:uid="{00000000-0005-0000-0000-0000A95F0000}"/>
    <cellStyle name="Input 3 4 3 4 3 2" xfId="25527" xr:uid="{00000000-0005-0000-0000-0000AA5F0000}"/>
    <cellStyle name="Input 3 4 3 4 3 3" xfId="25528" xr:uid="{00000000-0005-0000-0000-0000AB5F0000}"/>
    <cellStyle name="Input 3 4 3 4 4" xfId="25529" xr:uid="{00000000-0005-0000-0000-0000AC5F0000}"/>
    <cellStyle name="Input 3 4 3 4 4 2" xfId="25530" xr:uid="{00000000-0005-0000-0000-0000AD5F0000}"/>
    <cellStyle name="Input 3 4 3 4 4 3" xfId="25531" xr:uid="{00000000-0005-0000-0000-0000AE5F0000}"/>
    <cellStyle name="Input 3 4 3 4 5" xfId="25532" xr:uid="{00000000-0005-0000-0000-0000AF5F0000}"/>
    <cellStyle name="Input 3 4 3 4 5 2" xfId="25533" xr:uid="{00000000-0005-0000-0000-0000B05F0000}"/>
    <cellStyle name="Input 3 4 3 4 5 3" xfId="25534" xr:uid="{00000000-0005-0000-0000-0000B15F0000}"/>
    <cellStyle name="Input 3 4 3 4 6" xfId="25535" xr:uid="{00000000-0005-0000-0000-0000B25F0000}"/>
    <cellStyle name="Input 3 4 3 4 6 2" xfId="25536" xr:uid="{00000000-0005-0000-0000-0000B35F0000}"/>
    <cellStyle name="Input 3 4 3 4 6 3" xfId="25537" xr:uid="{00000000-0005-0000-0000-0000B45F0000}"/>
    <cellStyle name="Input 3 4 3 4 7" xfId="25538" xr:uid="{00000000-0005-0000-0000-0000B55F0000}"/>
    <cellStyle name="Input 3 4 3 4 7 2" xfId="25539" xr:uid="{00000000-0005-0000-0000-0000B65F0000}"/>
    <cellStyle name="Input 3 4 3 4 7 3" xfId="25540" xr:uid="{00000000-0005-0000-0000-0000B75F0000}"/>
    <cellStyle name="Input 3 4 3 4 8" xfId="25541" xr:uid="{00000000-0005-0000-0000-0000B85F0000}"/>
    <cellStyle name="Input 3 4 3 4 8 2" xfId="25542" xr:uid="{00000000-0005-0000-0000-0000B95F0000}"/>
    <cellStyle name="Input 3 4 3 4 8 3" xfId="25543" xr:uid="{00000000-0005-0000-0000-0000BA5F0000}"/>
    <cellStyle name="Input 3 4 3 4 9" xfId="25544" xr:uid="{00000000-0005-0000-0000-0000BB5F0000}"/>
    <cellStyle name="Input 3 4 3 5" xfId="25545" xr:uid="{00000000-0005-0000-0000-0000BC5F0000}"/>
    <cellStyle name="Input 3 4 3 5 2" xfId="25546" xr:uid="{00000000-0005-0000-0000-0000BD5F0000}"/>
    <cellStyle name="Input 3 4 3 5 2 2" xfId="25547" xr:uid="{00000000-0005-0000-0000-0000BE5F0000}"/>
    <cellStyle name="Input 3 4 3 5 2 3" xfId="25548" xr:uid="{00000000-0005-0000-0000-0000BF5F0000}"/>
    <cellStyle name="Input 3 4 3 5 3" xfId="25549" xr:uid="{00000000-0005-0000-0000-0000C05F0000}"/>
    <cellStyle name="Input 3 4 3 5 3 2" xfId="25550" xr:uid="{00000000-0005-0000-0000-0000C15F0000}"/>
    <cellStyle name="Input 3 4 3 5 3 3" xfId="25551" xr:uid="{00000000-0005-0000-0000-0000C25F0000}"/>
    <cellStyle name="Input 3 4 3 5 4" xfId="25552" xr:uid="{00000000-0005-0000-0000-0000C35F0000}"/>
    <cellStyle name="Input 3 4 3 5 4 2" xfId="25553" xr:uid="{00000000-0005-0000-0000-0000C45F0000}"/>
    <cellStyle name="Input 3 4 3 5 4 3" xfId="25554" xr:uid="{00000000-0005-0000-0000-0000C55F0000}"/>
    <cellStyle name="Input 3 4 3 5 5" xfId="25555" xr:uid="{00000000-0005-0000-0000-0000C65F0000}"/>
    <cellStyle name="Input 3 4 3 5 5 2" xfId="25556" xr:uid="{00000000-0005-0000-0000-0000C75F0000}"/>
    <cellStyle name="Input 3 4 3 5 5 3" xfId="25557" xr:uid="{00000000-0005-0000-0000-0000C85F0000}"/>
    <cellStyle name="Input 3 4 3 5 6" xfId="25558" xr:uid="{00000000-0005-0000-0000-0000C95F0000}"/>
    <cellStyle name="Input 3 4 3 5 6 2" xfId="25559" xr:uid="{00000000-0005-0000-0000-0000CA5F0000}"/>
    <cellStyle name="Input 3 4 3 5 6 3" xfId="25560" xr:uid="{00000000-0005-0000-0000-0000CB5F0000}"/>
    <cellStyle name="Input 3 4 3 5 7" xfId="25561" xr:uid="{00000000-0005-0000-0000-0000CC5F0000}"/>
    <cellStyle name="Input 3 4 3 5 7 2" xfId="25562" xr:uid="{00000000-0005-0000-0000-0000CD5F0000}"/>
    <cellStyle name="Input 3 4 3 5 7 3" xfId="25563" xr:uid="{00000000-0005-0000-0000-0000CE5F0000}"/>
    <cellStyle name="Input 3 4 3 5 8" xfId="25564" xr:uid="{00000000-0005-0000-0000-0000CF5F0000}"/>
    <cellStyle name="Input 3 4 3 5 9" xfId="25565" xr:uid="{00000000-0005-0000-0000-0000D05F0000}"/>
    <cellStyle name="Input 3 4 3 6" xfId="25566" xr:uid="{00000000-0005-0000-0000-0000D15F0000}"/>
    <cellStyle name="Input 3 4 3 6 2" xfId="25567" xr:uid="{00000000-0005-0000-0000-0000D25F0000}"/>
    <cellStyle name="Input 3 4 3 6 3" xfId="25568" xr:uid="{00000000-0005-0000-0000-0000D35F0000}"/>
    <cellStyle name="Input 3 4 3 7" xfId="25569" xr:uid="{00000000-0005-0000-0000-0000D45F0000}"/>
    <cellStyle name="Input 3 4 3 7 2" xfId="25570" xr:uid="{00000000-0005-0000-0000-0000D55F0000}"/>
    <cellStyle name="Input 3 4 3 7 3" xfId="25571" xr:uid="{00000000-0005-0000-0000-0000D65F0000}"/>
    <cellStyle name="Input 3 4 3 8" xfId="25572" xr:uid="{00000000-0005-0000-0000-0000D75F0000}"/>
    <cellStyle name="Input 3 4 3 8 2" xfId="25573" xr:uid="{00000000-0005-0000-0000-0000D85F0000}"/>
    <cellStyle name="Input 3 4 3 8 3" xfId="25574" xr:uid="{00000000-0005-0000-0000-0000D95F0000}"/>
    <cellStyle name="Input 3 4 3 9" xfId="25575" xr:uid="{00000000-0005-0000-0000-0000DA5F0000}"/>
    <cellStyle name="Input 3 4 3 9 2" xfId="25576" xr:uid="{00000000-0005-0000-0000-0000DB5F0000}"/>
    <cellStyle name="Input 3 4 3 9 3" xfId="25577" xr:uid="{00000000-0005-0000-0000-0000DC5F0000}"/>
    <cellStyle name="Input 3 4 4" xfId="25578" xr:uid="{00000000-0005-0000-0000-0000DD5F0000}"/>
    <cellStyle name="Input 3 4 4 10" xfId="44092" xr:uid="{00000000-0005-0000-0000-0000DE5F0000}"/>
    <cellStyle name="Input 3 4 4 2" xfId="25579" xr:uid="{00000000-0005-0000-0000-0000DF5F0000}"/>
    <cellStyle name="Input 3 4 4 2 10" xfId="25580" xr:uid="{00000000-0005-0000-0000-0000E05F0000}"/>
    <cellStyle name="Input 3 4 4 2 2" xfId="25581" xr:uid="{00000000-0005-0000-0000-0000E15F0000}"/>
    <cellStyle name="Input 3 4 4 2 2 2" xfId="25582" xr:uid="{00000000-0005-0000-0000-0000E25F0000}"/>
    <cellStyle name="Input 3 4 4 2 2 2 2" xfId="25583" xr:uid="{00000000-0005-0000-0000-0000E35F0000}"/>
    <cellStyle name="Input 3 4 4 2 2 2 3" xfId="25584" xr:uid="{00000000-0005-0000-0000-0000E45F0000}"/>
    <cellStyle name="Input 3 4 4 2 2 3" xfId="25585" xr:uid="{00000000-0005-0000-0000-0000E55F0000}"/>
    <cellStyle name="Input 3 4 4 2 2 3 2" xfId="25586" xr:uid="{00000000-0005-0000-0000-0000E65F0000}"/>
    <cellStyle name="Input 3 4 4 2 2 3 3" xfId="25587" xr:uid="{00000000-0005-0000-0000-0000E75F0000}"/>
    <cellStyle name="Input 3 4 4 2 2 4" xfId="25588" xr:uid="{00000000-0005-0000-0000-0000E85F0000}"/>
    <cellStyle name="Input 3 4 4 2 2 4 2" xfId="25589" xr:uid="{00000000-0005-0000-0000-0000E95F0000}"/>
    <cellStyle name="Input 3 4 4 2 2 4 3" xfId="25590" xr:uid="{00000000-0005-0000-0000-0000EA5F0000}"/>
    <cellStyle name="Input 3 4 4 2 2 5" xfId="25591" xr:uid="{00000000-0005-0000-0000-0000EB5F0000}"/>
    <cellStyle name="Input 3 4 4 2 2 5 2" xfId="25592" xr:uid="{00000000-0005-0000-0000-0000EC5F0000}"/>
    <cellStyle name="Input 3 4 4 2 2 5 3" xfId="25593" xr:uid="{00000000-0005-0000-0000-0000ED5F0000}"/>
    <cellStyle name="Input 3 4 4 2 2 6" xfId="25594" xr:uid="{00000000-0005-0000-0000-0000EE5F0000}"/>
    <cellStyle name="Input 3 4 4 2 2 6 2" xfId="25595" xr:uid="{00000000-0005-0000-0000-0000EF5F0000}"/>
    <cellStyle name="Input 3 4 4 2 2 6 3" xfId="25596" xr:uid="{00000000-0005-0000-0000-0000F05F0000}"/>
    <cellStyle name="Input 3 4 4 2 2 7" xfId="25597" xr:uid="{00000000-0005-0000-0000-0000F15F0000}"/>
    <cellStyle name="Input 3 4 4 2 2 7 2" xfId="25598" xr:uid="{00000000-0005-0000-0000-0000F25F0000}"/>
    <cellStyle name="Input 3 4 4 2 2 7 3" xfId="25599" xr:uid="{00000000-0005-0000-0000-0000F35F0000}"/>
    <cellStyle name="Input 3 4 4 2 2 8" xfId="25600" xr:uid="{00000000-0005-0000-0000-0000F45F0000}"/>
    <cellStyle name="Input 3 4 4 2 2 9" xfId="25601" xr:uid="{00000000-0005-0000-0000-0000F55F0000}"/>
    <cellStyle name="Input 3 4 4 2 3" xfId="25602" xr:uid="{00000000-0005-0000-0000-0000F65F0000}"/>
    <cellStyle name="Input 3 4 4 2 3 2" xfId="25603" xr:uid="{00000000-0005-0000-0000-0000F75F0000}"/>
    <cellStyle name="Input 3 4 4 2 3 3" xfId="25604" xr:uid="{00000000-0005-0000-0000-0000F85F0000}"/>
    <cellStyle name="Input 3 4 4 2 4" xfId="25605" xr:uid="{00000000-0005-0000-0000-0000F95F0000}"/>
    <cellStyle name="Input 3 4 4 2 4 2" xfId="25606" xr:uid="{00000000-0005-0000-0000-0000FA5F0000}"/>
    <cellStyle name="Input 3 4 4 2 4 3" xfId="25607" xr:uid="{00000000-0005-0000-0000-0000FB5F0000}"/>
    <cellStyle name="Input 3 4 4 2 5" xfId="25608" xr:uid="{00000000-0005-0000-0000-0000FC5F0000}"/>
    <cellStyle name="Input 3 4 4 2 5 2" xfId="25609" xr:uid="{00000000-0005-0000-0000-0000FD5F0000}"/>
    <cellStyle name="Input 3 4 4 2 5 3" xfId="25610" xr:uid="{00000000-0005-0000-0000-0000FE5F0000}"/>
    <cellStyle name="Input 3 4 4 2 6" xfId="25611" xr:uid="{00000000-0005-0000-0000-0000FF5F0000}"/>
    <cellStyle name="Input 3 4 4 2 6 2" xfId="25612" xr:uid="{00000000-0005-0000-0000-000000600000}"/>
    <cellStyle name="Input 3 4 4 2 6 3" xfId="25613" xr:uid="{00000000-0005-0000-0000-000001600000}"/>
    <cellStyle name="Input 3 4 4 2 7" xfId="25614" xr:uid="{00000000-0005-0000-0000-000002600000}"/>
    <cellStyle name="Input 3 4 4 2 7 2" xfId="25615" xr:uid="{00000000-0005-0000-0000-000003600000}"/>
    <cellStyle name="Input 3 4 4 2 7 3" xfId="25616" xr:uid="{00000000-0005-0000-0000-000004600000}"/>
    <cellStyle name="Input 3 4 4 2 8" xfId="25617" xr:uid="{00000000-0005-0000-0000-000005600000}"/>
    <cellStyle name="Input 3 4 4 2 8 2" xfId="25618" xr:uid="{00000000-0005-0000-0000-000006600000}"/>
    <cellStyle name="Input 3 4 4 2 8 3" xfId="25619" xr:uid="{00000000-0005-0000-0000-000007600000}"/>
    <cellStyle name="Input 3 4 4 2 9" xfId="25620" xr:uid="{00000000-0005-0000-0000-000008600000}"/>
    <cellStyle name="Input 3 4 4 3" xfId="25621" xr:uid="{00000000-0005-0000-0000-000009600000}"/>
    <cellStyle name="Input 3 4 4 3 10" xfId="25622" xr:uid="{00000000-0005-0000-0000-00000A600000}"/>
    <cellStyle name="Input 3 4 4 3 2" xfId="25623" xr:uid="{00000000-0005-0000-0000-00000B600000}"/>
    <cellStyle name="Input 3 4 4 3 2 2" xfId="25624" xr:uid="{00000000-0005-0000-0000-00000C600000}"/>
    <cellStyle name="Input 3 4 4 3 2 2 2" xfId="25625" xr:uid="{00000000-0005-0000-0000-00000D600000}"/>
    <cellStyle name="Input 3 4 4 3 2 2 3" xfId="25626" xr:uid="{00000000-0005-0000-0000-00000E600000}"/>
    <cellStyle name="Input 3 4 4 3 2 3" xfId="25627" xr:uid="{00000000-0005-0000-0000-00000F600000}"/>
    <cellStyle name="Input 3 4 4 3 2 3 2" xfId="25628" xr:uid="{00000000-0005-0000-0000-000010600000}"/>
    <cellStyle name="Input 3 4 4 3 2 3 3" xfId="25629" xr:uid="{00000000-0005-0000-0000-000011600000}"/>
    <cellStyle name="Input 3 4 4 3 2 4" xfId="25630" xr:uid="{00000000-0005-0000-0000-000012600000}"/>
    <cellStyle name="Input 3 4 4 3 2 4 2" xfId="25631" xr:uid="{00000000-0005-0000-0000-000013600000}"/>
    <cellStyle name="Input 3 4 4 3 2 4 3" xfId="25632" xr:uid="{00000000-0005-0000-0000-000014600000}"/>
    <cellStyle name="Input 3 4 4 3 2 5" xfId="25633" xr:uid="{00000000-0005-0000-0000-000015600000}"/>
    <cellStyle name="Input 3 4 4 3 2 5 2" xfId="25634" xr:uid="{00000000-0005-0000-0000-000016600000}"/>
    <cellStyle name="Input 3 4 4 3 2 5 3" xfId="25635" xr:uid="{00000000-0005-0000-0000-000017600000}"/>
    <cellStyle name="Input 3 4 4 3 2 6" xfId="25636" xr:uid="{00000000-0005-0000-0000-000018600000}"/>
    <cellStyle name="Input 3 4 4 3 2 6 2" xfId="25637" xr:uid="{00000000-0005-0000-0000-000019600000}"/>
    <cellStyle name="Input 3 4 4 3 2 6 3" xfId="25638" xr:uid="{00000000-0005-0000-0000-00001A600000}"/>
    <cellStyle name="Input 3 4 4 3 2 7" xfId="25639" xr:uid="{00000000-0005-0000-0000-00001B600000}"/>
    <cellStyle name="Input 3 4 4 3 2 7 2" xfId="25640" xr:uid="{00000000-0005-0000-0000-00001C600000}"/>
    <cellStyle name="Input 3 4 4 3 2 7 3" xfId="25641" xr:uid="{00000000-0005-0000-0000-00001D600000}"/>
    <cellStyle name="Input 3 4 4 3 2 8" xfId="25642" xr:uid="{00000000-0005-0000-0000-00001E600000}"/>
    <cellStyle name="Input 3 4 4 3 2 9" xfId="25643" xr:uid="{00000000-0005-0000-0000-00001F600000}"/>
    <cellStyle name="Input 3 4 4 3 3" xfId="25644" xr:uid="{00000000-0005-0000-0000-000020600000}"/>
    <cellStyle name="Input 3 4 4 3 3 2" xfId="25645" xr:uid="{00000000-0005-0000-0000-000021600000}"/>
    <cellStyle name="Input 3 4 4 3 3 3" xfId="25646" xr:uid="{00000000-0005-0000-0000-000022600000}"/>
    <cellStyle name="Input 3 4 4 3 4" xfId="25647" xr:uid="{00000000-0005-0000-0000-000023600000}"/>
    <cellStyle name="Input 3 4 4 3 4 2" xfId="25648" xr:uid="{00000000-0005-0000-0000-000024600000}"/>
    <cellStyle name="Input 3 4 4 3 4 3" xfId="25649" xr:uid="{00000000-0005-0000-0000-000025600000}"/>
    <cellStyle name="Input 3 4 4 3 5" xfId="25650" xr:uid="{00000000-0005-0000-0000-000026600000}"/>
    <cellStyle name="Input 3 4 4 3 5 2" xfId="25651" xr:uid="{00000000-0005-0000-0000-000027600000}"/>
    <cellStyle name="Input 3 4 4 3 5 3" xfId="25652" xr:uid="{00000000-0005-0000-0000-000028600000}"/>
    <cellStyle name="Input 3 4 4 3 6" xfId="25653" xr:uid="{00000000-0005-0000-0000-000029600000}"/>
    <cellStyle name="Input 3 4 4 3 6 2" xfId="25654" xr:uid="{00000000-0005-0000-0000-00002A600000}"/>
    <cellStyle name="Input 3 4 4 3 6 3" xfId="25655" xr:uid="{00000000-0005-0000-0000-00002B600000}"/>
    <cellStyle name="Input 3 4 4 3 7" xfId="25656" xr:uid="{00000000-0005-0000-0000-00002C600000}"/>
    <cellStyle name="Input 3 4 4 3 7 2" xfId="25657" xr:uid="{00000000-0005-0000-0000-00002D600000}"/>
    <cellStyle name="Input 3 4 4 3 7 3" xfId="25658" xr:uid="{00000000-0005-0000-0000-00002E600000}"/>
    <cellStyle name="Input 3 4 4 3 8" xfId="25659" xr:uid="{00000000-0005-0000-0000-00002F600000}"/>
    <cellStyle name="Input 3 4 4 3 8 2" xfId="25660" xr:uid="{00000000-0005-0000-0000-000030600000}"/>
    <cellStyle name="Input 3 4 4 3 8 3" xfId="25661" xr:uid="{00000000-0005-0000-0000-000031600000}"/>
    <cellStyle name="Input 3 4 4 3 9" xfId="25662" xr:uid="{00000000-0005-0000-0000-000032600000}"/>
    <cellStyle name="Input 3 4 4 4" xfId="25663" xr:uid="{00000000-0005-0000-0000-000033600000}"/>
    <cellStyle name="Input 3 4 4 4 10" xfId="25664" xr:uid="{00000000-0005-0000-0000-000034600000}"/>
    <cellStyle name="Input 3 4 4 4 2" xfId="25665" xr:uid="{00000000-0005-0000-0000-000035600000}"/>
    <cellStyle name="Input 3 4 4 4 2 2" xfId="25666" xr:uid="{00000000-0005-0000-0000-000036600000}"/>
    <cellStyle name="Input 3 4 4 4 2 2 2" xfId="25667" xr:uid="{00000000-0005-0000-0000-000037600000}"/>
    <cellStyle name="Input 3 4 4 4 2 2 3" xfId="25668" xr:uid="{00000000-0005-0000-0000-000038600000}"/>
    <cellStyle name="Input 3 4 4 4 2 3" xfId="25669" xr:uid="{00000000-0005-0000-0000-000039600000}"/>
    <cellStyle name="Input 3 4 4 4 2 3 2" xfId="25670" xr:uid="{00000000-0005-0000-0000-00003A600000}"/>
    <cellStyle name="Input 3 4 4 4 2 3 3" xfId="25671" xr:uid="{00000000-0005-0000-0000-00003B600000}"/>
    <cellStyle name="Input 3 4 4 4 2 4" xfId="25672" xr:uid="{00000000-0005-0000-0000-00003C600000}"/>
    <cellStyle name="Input 3 4 4 4 2 4 2" xfId="25673" xr:uid="{00000000-0005-0000-0000-00003D600000}"/>
    <cellStyle name="Input 3 4 4 4 2 4 3" xfId="25674" xr:uid="{00000000-0005-0000-0000-00003E600000}"/>
    <cellStyle name="Input 3 4 4 4 2 5" xfId="25675" xr:uid="{00000000-0005-0000-0000-00003F600000}"/>
    <cellStyle name="Input 3 4 4 4 2 5 2" xfId="25676" xr:uid="{00000000-0005-0000-0000-000040600000}"/>
    <cellStyle name="Input 3 4 4 4 2 5 3" xfId="25677" xr:uid="{00000000-0005-0000-0000-000041600000}"/>
    <cellStyle name="Input 3 4 4 4 2 6" xfId="25678" xr:uid="{00000000-0005-0000-0000-000042600000}"/>
    <cellStyle name="Input 3 4 4 4 2 6 2" xfId="25679" xr:uid="{00000000-0005-0000-0000-000043600000}"/>
    <cellStyle name="Input 3 4 4 4 2 6 3" xfId="25680" xr:uid="{00000000-0005-0000-0000-000044600000}"/>
    <cellStyle name="Input 3 4 4 4 2 7" xfId="25681" xr:uid="{00000000-0005-0000-0000-000045600000}"/>
    <cellStyle name="Input 3 4 4 4 2 7 2" xfId="25682" xr:uid="{00000000-0005-0000-0000-000046600000}"/>
    <cellStyle name="Input 3 4 4 4 2 7 3" xfId="25683" xr:uid="{00000000-0005-0000-0000-000047600000}"/>
    <cellStyle name="Input 3 4 4 4 2 8" xfId="25684" xr:uid="{00000000-0005-0000-0000-000048600000}"/>
    <cellStyle name="Input 3 4 4 4 2 9" xfId="25685" xr:uid="{00000000-0005-0000-0000-000049600000}"/>
    <cellStyle name="Input 3 4 4 4 3" xfId="25686" xr:uid="{00000000-0005-0000-0000-00004A600000}"/>
    <cellStyle name="Input 3 4 4 4 3 2" xfId="25687" xr:uid="{00000000-0005-0000-0000-00004B600000}"/>
    <cellStyle name="Input 3 4 4 4 3 3" xfId="25688" xr:uid="{00000000-0005-0000-0000-00004C600000}"/>
    <cellStyle name="Input 3 4 4 4 4" xfId="25689" xr:uid="{00000000-0005-0000-0000-00004D600000}"/>
    <cellStyle name="Input 3 4 4 4 4 2" xfId="25690" xr:uid="{00000000-0005-0000-0000-00004E600000}"/>
    <cellStyle name="Input 3 4 4 4 4 3" xfId="25691" xr:uid="{00000000-0005-0000-0000-00004F600000}"/>
    <cellStyle name="Input 3 4 4 4 5" xfId="25692" xr:uid="{00000000-0005-0000-0000-000050600000}"/>
    <cellStyle name="Input 3 4 4 4 5 2" xfId="25693" xr:uid="{00000000-0005-0000-0000-000051600000}"/>
    <cellStyle name="Input 3 4 4 4 5 3" xfId="25694" xr:uid="{00000000-0005-0000-0000-000052600000}"/>
    <cellStyle name="Input 3 4 4 4 6" xfId="25695" xr:uid="{00000000-0005-0000-0000-000053600000}"/>
    <cellStyle name="Input 3 4 4 4 6 2" xfId="25696" xr:uid="{00000000-0005-0000-0000-000054600000}"/>
    <cellStyle name="Input 3 4 4 4 6 3" xfId="25697" xr:uid="{00000000-0005-0000-0000-000055600000}"/>
    <cellStyle name="Input 3 4 4 4 7" xfId="25698" xr:uid="{00000000-0005-0000-0000-000056600000}"/>
    <cellStyle name="Input 3 4 4 4 7 2" xfId="25699" xr:uid="{00000000-0005-0000-0000-000057600000}"/>
    <cellStyle name="Input 3 4 4 4 7 3" xfId="25700" xr:uid="{00000000-0005-0000-0000-000058600000}"/>
    <cellStyle name="Input 3 4 4 4 8" xfId="25701" xr:uid="{00000000-0005-0000-0000-000059600000}"/>
    <cellStyle name="Input 3 4 4 4 8 2" xfId="25702" xr:uid="{00000000-0005-0000-0000-00005A600000}"/>
    <cellStyle name="Input 3 4 4 4 8 3" xfId="25703" xr:uid="{00000000-0005-0000-0000-00005B600000}"/>
    <cellStyle name="Input 3 4 4 4 9" xfId="25704" xr:uid="{00000000-0005-0000-0000-00005C600000}"/>
    <cellStyle name="Input 3 4 4 5" xfId="25705" xr:uid="{00000000-0005-0000-0000-00005D600000}"/>
    <cellStyle name="Input 3 4 4 5 2" xfId="25706" xr:uid="{00000000-0005-0000-0000-00005E600000}"/>
    <cellStyle name="Input 3 4 4 5 2 2" xfId="25707" xr:uid="{00000000-0005-0000-0000-00005F600000}"/>
    <cellStyle name="Input 3 4 4 5 2 3" xfId="25708" xr:uid="{00000000-0005-0000-0000-000060600000}"/>
    <cellStyle name="Input 3 4 4 5 3" xfId="25709" xr:uid="{00000000-0005-0000-0000-000061600000}"/>
    <cellStyle name="Input 3 4 4 5 3 2" xfId="25710" xr:uid="{00000000-0005-0000-0000-000062600000}"/>
    <cellStyle name="Input 3 4 4 5 3 3" xfId="25711" xr:uid="{00000000-0005-0000-0000-000063600000}"/>
    <cellStyle name="Input 3 4 4 5 4" xfId="25712" xr:uid="{00000000-0005-0000-0000-000064600000}"/>
    <cellStyle name="Input 3 4 4 5 4 2" xfId="25713" xr:uid="{00000000-0005-0000-0000-000065600000}"/>
    <cellStyle name="Input 3 4 4 5 4 3" xfId="25714" xr:uid="{00000000-0005-0000-0000-000066600000}"/>
    <cellStyle name="Input 3 4 4 5 5" xfId="25715" xr:uid="{00000000-0005-0000-0000-000067600000}"/>
    <cellStyle name="Input 3 4 4 5 5 2" xfId="25716" xr:uid="{00000000-0005-0000-0000-000068600000}"/>
    <cellStyle name="Input 3 4 4 5 5 3" xfId="25717" xr:uid="{00000000-0005-0000-0000-000069600000}"/>
    <cellStyle name="Input 3 4 4 5 6" xfId="25718" xr:uid="{00000000-0005-0000-0000-00006A600000}"/>
    <cellStyle name="Input 3 4 4 5 6 2" xfId="25719" xr:uid="{00000000-0005-0000-0000-00006B600000}"/>
    <cellStyle name="Input 3 4 4 5 6 3" xfId="25720" xr:uid="{00000000-0005-0000-0000-00006C600000}"/>
    <cellStyle name="Input 3 4 4 5 7" xfId="25721" xr:uid="{00000000-0005-0000-0000-00006D600000}"/>
    <cellStyle name="Input 3 4 4 5 7 2" xfId="25722" xr:uid="{00000000-0005-0000-0000-00006E600000}"/>
    <cellStyle name="Input 3 4 4 5 7 3" xfId="25723" xr:uid="{00000000-0005-0000-0000-00006F600000}"/>
    <cellStyle name="Input 3 4 4 5 8" xfId="25724" xr:uid="{00000000-0005-0000-0000-000070600000}"/>
    <cellStyle name="Input 3 4 4 5 9" xfId="25725" xr:uid="{00000000-0005-0000-0000-000071600000}"/>
    <cellStyle name="Input 3 4 4 6" xfId="25726" xr:uid="{00000000-0005-0000-0000-000072600000}"/>
    <cellStyle name="Input 3 4 4 6 2" xfId="25727" xr:uid="{00000000-0005-0000-0000-000073600000}"/>
    <cellStyle name="Input 3 4 4 6 3" xfId="25728" xr:uid="{00000000-0005-0000-0000-000074600000}"/>
    <cellStyle name="Input 3 4 4 7" xfId="25729" xr:uid="{00000000-0005-0000-0000-000075600000}"/>
    <cellStyle name="Input 3 4 4 7 2" xfId="25730" xr:uid="{00000000-0005-0000-0000-000076600000}"/>
    <cellStyle name="Input 3 4 4 7 3" xfId="25731" xr:uid="{00000000-0005-0000-0000-000077600000}"/>
    <cellStyle name="Input 3 4 4 8" xfId="25732" xr:uid="{00000000-0005-0000-0000-000078600000}"/>
    <cellStyle name="Input 3 4 4 8 2" xfId="25733" xr:uid="{00000000-0005-0000-0000-000079600000}"/>
    <cellStyle name="Input 3 4 4 8 3" xfId="25734" xr:uid="{00000000-0005-0000-0000-00007A600000}"/>
    <cellStyle name="Input 3 4 4 9" xfId="25735" xr:uid="{00000000-0005-0000-0000-00007B600000}"/>
    <cellStyle name="Input 3 4 4 9 2" xfId="25736" xr:uid="{00000000-0005-0000-0000-00007C600000}"/>
    <cellStyle name="Input 3 4 4 9 3" xfId="25737" xr:uid="{00000000-0005-0000-0000-00007D600000}"/>
    <cellStyle name="Input 3 4 5" xfId="25738" xr:uid="{00000000-0005-0000-0000-00007E600000}"/>
    <cellStyle name="Input 3 4 5 10" xfId="44093" xr:uid="{00000000-0005-0000-0000-00007F600000}"/>
    <cellStyle name="Input 3 4 5 2" xfId="25739" xr:uid="{00000000-0005-0000-0000-000080600000}"/>
    <cellStyle name="Input 3 4 5 2 10" xfId="25740" xr:uid="{00000000-0005-0000-0000-000081600000}"/>
    <cellStyle name="Input 3 4 5 2 2" xfId="25741" xr:uid="{00000000-0005-0000-0000-000082600000}"/>
    <cellStyle name="Input 3 4 5 2 2 2" xfId="25742" xr:uid="{00000000-0005-0000-0000-000083600000}"/>
    <cellStyle name="Input 3 4 5 2 2 2 2" xfId="25743" xr:uid="{00000000-0005-0000-0000-000084600000}"/>
    <cellStyle name="Input 3 4 5 2 2 2 3" xfId="25744" xr:uid="{00000000-0005-0000-0000-000085600000}"/>
    <cellStyle name="Input 3 4 5 2 2 3" xfId="25745" xr:uid="{00000000-0005-0000-0000-000086600000}"/>
    <cellStyle name="Input 3 4 5 2 2 3 2" xfId="25746" xr:uid="{00000000-0005-0000-0000-000087600000}"/>
    <cellStyle name="Input 3 4 5 2 2 3 3" xfId="25747" xr:uid="{00000000-0005-0000-0000-000088600000}"/>
    <cellStyle name="Input 3 4 5 2 2 4" xfId="25748" xr:uid="{00000000-0005-0000-0000-000089600000}"/>
    <cellStyle name="Input 3 4 5 2 2 4 2" xfId="25749" xr:uid="{00000000-0005-0000-0000-00008A600000}"/>
    <cellStyle name="Input 3 4 5 2 2 4 3" xfId="25750" xr:uid="{00000000-0005-0000-0000-00008B600000}"/>
    <cellStyle name="Input 3 4 5 2 2 5" xfId="25751" xr:uid="{00000000-0005-0000-0000-00008C600000}"/>
    <cellStyle name="Input 3 4 5 2 2 5 2" xfId="25752" xr:uid="{00000000-0005-0000-0000-00008D600000}"/>
    <cellStyle name="Input 3 4 5 2 2 5 3" xfId="25753" xr:uid="{00000000-0005-0000-0000-00008E600000}"/>
    <cellStyle name="Input 3 4 5 2 2 6" xfId="25754" xr:uid="{00000000-0005-0000-0000-00008F600000}"/>
    <cellStyle name="Input 3 4 5 2 2 6 2" xfId="25755" xr:uid="{00000000-0005-0000-0000-000090600000}"/>
    <cellStyle name="Input 3 4 5 2 2 6 3" xfId="25756" xr:uid="{00000000-0005-0000-0000-000091600000}"/>
    <cellStyle name="Input 3 4 5 2 2 7" xfId="25757" xr:uid="{00000000-0005-0000-0000-000092600000}"/>
    <cellStyle name="Input 3 4 5 2 2 7 2" xfId="25758" xr:uid="{00000000-0005-0000-0000-000093600000}"/>
    <cellStyle name="Input 3 4 5 2 2 7 3" xfId="25759" xr:uid="{00000000-0005-0000-0000-000094600000}"/>
    <cellStyle name="Input 3 4 5 2 2 8" xfId="25760" xr:uid="{00000000-0005-0000-0000-000095600000}"/>
    <cellStyle name="Input 3 4 5 2 2 9" xfId="25761" xr:uid="{00000000-0005-0000-0000-000096600000}"/>
    <cellStyle name="Input 3 4 5 2 3" xfId="25762" xr:uid="{00000000-0005-0000-0000-000097600000}"/>
    <cellStyle name="Input 3 4 5 2 3 2" xfId="25763" xr:uid="{00000000-0005-0000-0000-000098600000}"/>
    <cellStyle name="Input 3 4 5 2 3 3" xfId="25764" xr:uid="{00000000-0005-0000-0000-000099600000}"/>
    <cellStyle name="Input 3 4 5 2 4" xfId="25765" xr:uid="{00000000-0005-0000-0000-00009A600000}"/>
    <cellStyle name="Input 3 4 5 2 4 2" xfId="25766" xr:uid="{00000000-0005-0000-0000-00009B600000}"/>
    <cellStyle name="Input 3 4 5 2 4 3" xfId="25767" xr:uid="{00000000-0005-0000-0000-00009C600000}"/>
    <cellStyle name="Input 3 4 5 2 5" xfId="25768" xr:uid="{00000000-0005-0000-0000-00009D600000}"/>
    <cellStyle name="Input 3 4 5 2 5 2" xfId="25769" xr:uid="{00000000-0005-0000-0000-00009E600000}"/>
    <cellStyle name="Input 3 4 5 2 5 3" xfId="25770" xr:uid="{00000000-0005-0000-0000-00009F600000}"/>
    <cellStyle name="Input 3 4 5 2 6" xfId="25771" xr:uid="{00000000-0005-0000-0000-0000A0600000}"/>
    <cellStyle name="Input 3 4 5 2 6 2" xfId="25772" xr:uid="{00000000-0005-0000-0000-0000A1600000}"/>
    <cellStyle name="Input 3 4 5 2 6 3" xfId="25773" xr:uid="{00000000-0005-0000-0000-0000A2600000}"/>
    <cellStyle name="Input 3 4 5 2 7" xfId="25774" xr:uid="{00000000-0005-0000-0000-0000A3600000}"/>
    <cellStyle name="Input 3 4 5 2 7 2" xfId="25775" xr:uid="{00000000-0005-0000-0000-0000A4600000}"/>
    <cellStyle name="Input 3 4 5 2 7 3" xfId="25776" xr:uid="{00000000-0005-0000-0000-0000A5600000}"/>
    <cellStyle name="Input 3 4 5 2 8" xfId="25777" xr:uid="{00000000-0005-0000-0000-0000A6600000}"/>
    <cellStyle name="Input 3 4 5 2 8 2" xfId="25778" xr:uid="{00000000-0005-0000-0000-0000A7600000}"/>
    <cellStyle name="Input 3 4 5 2 8 3" xfId="25779" xr:uid="{00000000-0005-0000-0000-0000A8600000}"/>
    <cellStyle name="Input 3 4 5 2 9" xfId="25780" xr:uid="{00000000-0005-0000-0000-0000A9600000}"/>
    <cellStyle name="Input 3 4 5 3" xfId="25781" xr:uid="{00000000-0005-0000-0000-0000AA600000}"/>
    <cellStyle name="Input 3 4 5 3 10" xfId="25782" xr:uid="{00000000-0005-0000-0000-0000AB600000}"/>
    <cellStyle name="Input 3 4 5 3 2" xfId="25783" xr:uid="{00000000-0005-0000-0000-0000AC600000}"/>
    <cellStyle name="Input 3 4 5 3 2 2" xfId="25784" xr:uid="{00000000-0005-0000-0000-0000AD600000}"/>
    <cellStyle name="Input 3 4 5 3 2 2 2" xfId="25785" xr:uid="{00000000-0005-0000-0000-0000AE600000}"/>
    <cellStyle name="Input 3 4 5 3 2 2 3" xfId="25786" xr:uid="{00000000-0005-0000-0000-0000AF600000}"/>
    <cellStyle name="Input 3 4 5 3 2 3" xfId="25787" xr:uid="{00000000-0005-0000-0000-0000B0600000}"/>
    <cellStyle name="Input 3 4 5 3 2 3 2" xfId="25788" xr:uid="{00000000-0005-0000-0000-0000B1600000}"/>
    <cellStyle name="Input 3 4 5 3 2 3 3" xfId="25789" xr:uid="{00000000-0005-0000-0000-0000B2600000}"/>
    <cellStyle name="Input 3 4 5 3 2 4" xfId="25790" xr:uid="{00000000-0005-0000-0000-0000B3600000}"/>
    <cellStyle name="Input 3 4 5 3 2 4 2" xfId="25791" xr:uid="{00000000-0005-0000-0000-0000B4600000}"/>
    <cellStyle name="Input 3 4 5 3 2 4 3" xfId="25792" xr:uid="{00000000-0005-0000-0000-0000B5600000}"/>
    <cellStyle name="Input 3 4 5 3 2 5" xfId="25793" xr:uid="{00000000-0005-0000-0000-0000B6600000}"/>
    <cellStyle name="Input 3 4 5 3 2 5 2" xfId="25794" xr:uid="{00000000-0005-0000-0000-0000B7600000}"/>
    <cellStyle name="Input 3 4 5 3 2 5 3" xfId="25795" xr:uid="{00000000-0005-0000-0000-0000B8600000}"/>
    <cellStyle name="Input 3 4 5 3 2 6" xfId="25796" xr:uid="{00000000-0005-0000-0000-0000B9600000}"/>
    <cellStyle name="Input 3 4 5 3 2 6 2" xfId="25797" xr:uid="{00000000-0005-0000-0000-0000BA600000}"/>
    <cellStyle name="Input 3 4 5 3 2 6 3" xfId="25798" xr:uid="{00000000-0005-0000-0000-0000BB600000}"/>
    <cellStyle name="Input 3 4 5 3 2 7" xfId="25799" xr:uid="{00000000-0005-0000-0000-0000BC600000}"/>
    <cellStyle name="Input 3 4 5 3 2 7 2" xfId="25800" xr:uid="{00000000-0005-0000-0000-0000BD600000}"/>
    <cellStyle name="Input 3 4 5 3 2 7 3" xfId="25801" xr:uid="{00000000-0005-0000-0000-0000BE600000}"/>
    <cellStyle name="Input 3 4 5 3 2 8" xfId="25802" xr:uid="{00000000-0005-0000-0000-0000BF600000}"/>
    <cellStyle name="Input 3 4 5 3 2 9" xfId="25803" xr:uid="{00000000-0005-0000-0000-0000C0600000}"/>
    <cellStyle name="Input 3 4 5 3 3" xfId="25804" xr:uid="{00000000-0005-0000-0000-0000C1600000}"/>
    <cellStyle name="Input 3 4 5 3 3 2" xfId="25805" xr:uid="{00000000-0005-0000-0000-0000C2600000}"/>
    <cellStyle name="Input 3 4 5 3 3 3" xfId="25806" xr:uid="{00000000-0005-0000-0000-0000C3600000}"/>
    <cellStyle name="Input 3 4 5 3 4" xfId="25807" xr:uid="{00000000-0005-0000-0000-0000C4600000}"/>
    <cellStyle name="Input 3 4 5 3 4 2" xfId="25808" xr:uid="{00000000-0005-0000-0000-0000C5600000}"/>
    <cellStyle name="Input 3 4 5 3 4 3" xfId="25809" xr:uid="{00000000-0005-0000-0000-0000C6600000}"/>
    <cellStyle name="Input 3 4 5 3 5" xfId="25810" xr:uid="{00000000-0005-0000-0000-0000C7600000}"/>
    <cellStyle name="Input 3 4 5 3 5 2" xfId="25811" xr:uid="{00000000-0005-0000-0000-0000C8600000}"/>
    <cellStyle name="Input 3 4 5 3 5 3" xfId="25812" xr:uid="{00000000-0005-0000-0000-0000C9600000}"/>
    <cellStyle name="Input 3 4 5 3 6" xfId="25813" xr:uid="{00000000-0005-0000-0000-0000CA600000}"/>
    <cellStyle name="Input 3 4 5 3 6 2" xfId="25814" xr:uid="{00000000-0005-0000-0000-0000CB600000}"/>
    <cellStyle name="Input 3 4 5 3 6 3" xfId="25815" xr:uid="{00000000-0005-0000-0000-0000CC600000}"/>
    <cellStyle name="Input 3 4 5 3 7" xfId="25816" xr:uid="{00000000-0005-0000-0000-0000CD600000}"/>
    <cellStyle name="Input 3 4 5 3 7 2" xfId="25817" xr:uid="{00000000-0005-0000-0000-0000CE600000}"/>
    <cellStyle name="Input 3 4 5 3 7 3" xfId="25818" xr:uid="{00000000-0005-0000-0000-0000CF600000}"/>
    <cellStyle name="Input 3 4 5 3 8" xfId="25819" xr:uid="{00000000-0005-0000-0000-0000D0600000}"/>
    <cellStyle name="Input 3 4 5 3 8 2" xfId="25820" xr:uid="{00000000-0005-0000-0000-0000D1600000}"/>
    <cellStyle name="Input 3 4 5 3 8 3" xfId="25821" xr:uid="{00000000-0005-0000-0000-0000D2600000}"/>
    <cellStyle name="Input 3 4 5 3 9" xfId="25822" xr:uid="{00000000-0005-0000-0000-0000D3600000}"/>
    <cellStyle name="Input 3 4 5 4" xfId="25823" xr:uid="{00000000-0005-0000-0000-0000D4600000}"/>
    <cellStyle name="Input 3 4 5 4 10" xfId="25824" xr:uid="{00000000-0005-0000-0000-0000D5600000}"/>
    <cellStyle name="Input 3 4 5 4 2" xfId="25825" xr:uid="{00000000-0005-0000-0000-0000D6600000}"/>
    <cellStyle name="Input 3 4 5 4 2 2" xfId="25826" xr:uid="{00000000-0005-0000-0000-0000D7600000}"/>
    <cellStyle name="Input 3 4 5 4 2 2 2" xfId="25827" xr:uid="{00000000-0005-0000-0000-0000D8600000}"/>
    <cellStyle name="Input 3 4 5 4 2 2 3" xfId="25828" xr:uid="{00000000-0005-0000-0000-0000D9600000}"/>
    <cellStyle name="Input 3 4 5 4 2 3" xfId="25829" xr:uid="{00000000-0005-0000-0000-0000DA600000}"/>
    <cellStyle name="Input 3 4 5 4 2 3 2" xfId="25830" xr:uid="{00000000-0005-0000-0000-0000DB600000}"/>
    <cellStyle name="Input 3 4 5 4 2 3 3" xfId="25831" xr:uid="{00000000-0005-0000-0000-0000DC600000}"/>
    <cellStyle name="Input 3 4 5 4 2 4" xfId="25832" xr:uid="{00000000-0005-0000-0000-0000DD600000}"/>
    <cellStyle name="Input 3 4 5 4 2 4 2" xfId="25833" xr:uid="{00000000-0005-0000-0000-0000DE600000}"/>
    <cellStyle name="Input 3 4 5 4 2 4 3" xfId="25834" xr:uid="{00000000-0005-0000-0000-0000DF600000}"/>
    <cellStyle name="Input 3 4 5 4 2 5" xfId="25835" xr:uid="{00000000-0005-0000-0000-0000E0600000}"/>
    <cellStyle name="Input 3 4 5 4 2 5 2" xfId="25836" xr:uid="{00000000-0005-0000-0000-0000E1600000}"/>
    <cellStyle name="Input 3 4 5 4 2 5 3" xfId="25837" xr:uid="{00000000-0005-0000-0000-0000E2600000}"/>
    <cellStyle name="Input 3 4 5 4 2 6" xfId="25838" xr:uid="{00000000-0005-0000-0000-0000E3600000}"/>
    <cellStyle name="Input 3 4 5 4 2 6 2" xfId="25839" xr:uid="{00000000-0005-0000-0000-0000E4600000}"/>
    <cellStyle name="Input 3 4 5 4 2 6 3" xfId="25840" xr:uid="{00000000-0005-0000-0000-0000E5600000}"/>
    <cellStyle name="Input 3 4 5 4 2 7" xfId="25841" xr:uid="{00000000-0005-0000-0000-0000E6600000}"/>
    <cellStyle name="Input 3 4 5 4 2 7 2" xfId="25842" xr:uid="{00000000-0005-0000-0000-0000E7600000}"/>
    <cellStyle name="Input 3 4 5 4 2 7 3" xfId="25843" xr:uid="{00000000-0005-0000-0000-0000E8600000}"/>
    <cellStyle name="Input 3 4 5 4 2 8" xfId="25844" xr:uid="{00000000-0005-0000-0000-0000E9600000}"/>
    <cellStyle name="Input 3 4 5 4 2 9" xfId="25845" xr:uid="{00000000-0005-0000-0000-0000EA600000}"/>
    <cellStyle name="Input 3 4 5 4 3" xfId="25846" xr:uid="{00000000-0005-0000-0000-0000EB600000}"/>
    <cellStyle name="Input 3 4 5 4 3 2" xfId="25847" xr:uid="{00000000-0005-0000-0000-0000EC600000}"/>
    <cellStyle name="Input 3 4 5 4 3 3" xfId="25848" xr:uid="{00000000-0005-0000-0000-0000ED600000}"/>
    <cellStyle name="Input 3 4 5 4 4" xfId="25849" xr:uid="{00000000-0005-0000-0000-0000EE600000}"/>
    <cellStyle name="Input 3 4 5 4 4 2" xfId="25850" xr:uid="{00000000-0005-0000-0000-0000EF600000}"/>
    <cellStyle name="Input 3 4 5 4 4 3" xfId="25851" xr:uid="{00000000-0005-0000-0000-0000F0600000}"/>
    <cellStyle name="Input 3 4 5 4 5" xfId="25852" xr:uid="{00000000-0005-0000-0000-0000F1600000}"/>
    <cellStyle name="Input 3 4 5 4 5 2" xfId="25853" xr:uid="{00000000-0005-0000-0000-0000F2600000}"/>
    <cellStyle name="Input 3 4 5 4 5 3" xfId="25854" xr:uid="{00000000-0005-0000-0000-0000F3600000}"/>
    <cellStyle name="Input 3 4 5 4 6" xfId="25855" xr:uid="{00000000-0005-0000-0000-0000F4600000}"/>
    <cellStyle name="Input 3 4 5 4 6 2" xfId="25856" xr:uid="{00000000-0005-0000-0000-0000F5600000}"/>
    <cellStyle name="Input 3 4 5 4 6 3" xfId="25857" xr:uid="{00000000-0005-0000-0000-0000F6600000}"/>
    <cellStyle name="Input 3 4 5 4 7" xfId="25858" xr:uid="{00000000-0005-0000-0000-0000F7600000}"/>
    <cellStyle name="Input 3 4 5 4 7 2" xfId="25859" xr:uid="{00000000-0005-0000-0000-0000F8600000}"/>
    <cellStyle name="Input 3 4 5 4 7 3" xfId="25860" xr:uid="{00000000-0005-0000-0000-0000F9600000}"/>
    <cellStyle name="Input 3 4 5 4 8" xfId="25861" xr:uid="{00000000-0005-0000-0000-0000FA600000}"/>
    <cellStyle name="Input 3 4 5 4 8 2" xfId="25862" xr:uid="{00000000-0005-0000-0000-0000FB600000}"/>
    <cellStyle name="Input 3 4 5 4 8 3" xfId="25863" xr:uid="{00000000-0005-0000-0000-0000FC600000}"/>
    <cellStyle name="Input 3 4 5 4 9" xfId="25864" xr:uid="{00000000-0005-0000-0000-0000FD600000}"/>
    <cellStyle name="Input 3 4 5 5" xfId="25865" xr:uid="{00000000-0005-0000-0000-0000FE600000}"/>
    <cellStyle name="Input 3 4 5 5 2" xfId="25866" xr:uid="{00000000-0005-0000-0000-0000FF600000}"/>
    <cellStyle name="Input 3 4 5 5 2 2" xfId="25867" xr:uid="{00000000-0005-0000-0000-000000610000}"/>
    <cellStyle name="Input 3 4 5 5 2 3" xfId="25868" xr:uid="{00000000-0005-0000-0000-000001610000}"/>
    <cellStyle name="Input 3 4 5 5 3" xfId="25869" xr:uid="{00000000-0005-0000-0000-000002610000}"/>
    <cellStyle name="Input 3 4 5 5 3 2" xfId="25870" xr:uid="{00000000-0005-0000-0000-000003610000}"/>
    <cellStyle name="Input 3 4 5 5 3 3" xfId="25871" xr:uid="{00000000-0005-0000-0000-000004610000}"/>
    <cellStyle name="Input 3 4 5 5 4" xfId="25872" xr:uid="{00000000-0005-0000-0000-000005610000}"/>
    <cellStyle name="Input 3 4 5 5 4 2" xfId="25873" xr:uid="{00000000-0005-0000-0000-000006610000}"/>
    <cellStyle name="Input 3 4 5 5 4 3" xfId="25874" xr:uid="{00000000-0005-0000-0000-000007610000}"/>
    <cellStyle name="Input 3 4 5 5 5" xfId="25875" xr:uid="{00000000-0005-0000-0000-000008610000}"/>
    <cellStyle name="Input 3 4 5 5 5 2" xfId="25876" xr:uid="{00000000-0005-0000-0000-000009610000}"/>
    <cellStyle name="Input 3 4 5 5 5 3" xfId="25877" xr:uid="{00000000-0005-0000-0000-00000A610000}"/>
    <cellStyle name="Input 3 4 5 5 6" xfId="25878" xr:uid="{00000000-0005-0000-0000-00000B610000}"/>
    <cellStyle name="Input 3 4 5 5 6 2" xfId="25879" xr:uid="{00000000-0005-0000-0000-00000C610000}"/>
    <cellStyle name="Input 3 4 5 5 6 3" xfId="25880" xr:uid="{00000000-0005-0000-0000-00000D610000}"/>
    <cellStyle name="Input 3 4 5 5 7" xfId="25881" xr:uid="{00000000-0005-0000-0000-00000E610000}"/>
    <cellStyle name="Input 3 4 5 5 7 2" xfId="25882" xr:uid="{00000000-0005-0000-0000-00000F610000}"/>
    <cellStyle name="Input 3 4 5 5 7 3" xfId="25883" xr:uid="{00000000-0005-0000-0000-000010610000}"/>
    <cellStyle name="Input 3 4 5 5 8" xfId="25884" xr:uid="{00000000-0005-0000-0000-000011610000}"/>
    <cellStyle name="Input 3 4 5 5 9" xfId="25885" xr:uid="{00000000-0005-0000-0000-000012610000}"/>
    <cellStyle name="Input 3 4 5 6" xfId="25886" xr:uid="{00000000-0005-0000-0000-000013610000}"/>
    <cellStyle name="Input 3 4 5 6 2" xfId="25887" xr:uid="{00000000-0005-0000-0000-000014610000}"/>
    <cellStyle name="Input 3 4 5 6 3" xfId="25888" xr:uid="{00000000-0005-0000-0000-000015610000}"/>
    <cellStyle name="Input 3 4 5 7" xfId="25889" xr:uid="{00000000-0005-0000-0000-000016610000}"/>
    <cellStyle name="Input 3 4 5 7 2" xfId="25890" xr:uid="{00000000-0005-0000-0000-000017610000}"/>
    <cellStyle name="Input 3 4 5 7 3" xfId="25891" xr:uid="{00000000-0005-0000-0000-000018610000}"/>
    <cellStyle name="Input 3 4 5 8" xfId="25892" xr:uid="{00000000-0005-0000-0000-000019610000}"/>
    <cellStyle name="Input 3 4 5 8 2" xfId="25893" xr:uid="{00000000-0005-0000-0000-00001A610000}"/>
    <cellStyle name="Input 3 4 5 8 3" xfId="25894" xr:uid="{00000000-0005-0000-0000-00001B610000}"/>
    <cellStyle name="Input 3 4 5 9" xfId="25895" xr:uid="{00000000-0005-0000-0000-00001C610000}"/>
    <cellStyle name="Input 3 4 5 9 2" xfId="25896" xr:uid="{00000000-0005-0000-0000-00001D610000}"/>
    <cellStyle name="Input 3 4 5 9 3" xfId="25897" xr:uid="{00000000-0005-0000-0000-00001E610000}"/>
    <cellStyle name="Input 3 4 6" xfId="25898" xr:uid="{00000000-0005-0000-0000-00001F610000}"/>
    <cellStyle name="Input 3 4 6 10" xfId="25899" xr:uid="{00000000-0005-0000-0000-000020610000}"/>
    <cellStyle name="Input 3 4 6 2" xfId="25900" xr:uid="{00000000-0005-0000-0000-000021610000}"/>
    <cellStyle name="Input 3 4 6 2 2" xfId="25901" xr:uid="{00000000-0005-0000-0000-000022610000}"/>
    <cellStyle name="Input 3 4 6 2 2 2" xfId="25902" xr:uid="{00000000-0005-0000-0000-000023610000}"/>
    <cellStyle name="Input 3 4 6 2 2 3" xfId="25903" xr:uid="{00000000-0005-0000-0000-000024610000}"/>
    <cellStyle name="Input 3 4 6 2 3" xfId="25904" xr:uid="{00000000-0005-0000-0000-000025610000}"/>
    <cellStyle name="Input 3 4 6 2 3 2" xfId="25905" xr:uid="{00000000-0005-0000-0000-000026610000}"/>
    <cellStyle name="Input 3 4 6 2 3 3" xfId="25906" xr:uid="{00000000-0005-0000-0000-000027610000}"/>
    <cellStyle name="Input 3 4 6 2 4" xfId="25907" xr:uid="{00000000-0005-0000-0000-000028610000}"/>
    <cellStyle name="Input 3 4 6 2 4 2" xfId="25908" xr:uid="{00000000-0005-0000-0000-000029610000}"/>
    <cellStyle name="Input 3 4 6 2 4 3" xfId="25909" xr:uid="{00000000-0005-0000-0000-00002A610000}"/>
    <cellStyle name="Input 3 4 6 2 5" xfId="25910" xr:uid="{00000000-0005-0000-0000-00002B610000}"/>
    <cellStyle name="Input 3 4 6 2 5 2" xfId="25911" xr:uid="{00000000-0005-0000-0000-00002C610000}"/>
    <cellStyle name="Input 3 4 6 2 5 3" xfId="25912" xr:uid="{00000000-0005-0000-0000-00002D610000}"/>
    <cellStyle name="Input 3 4 6 2 6" xfId="25913" xr:uid="{00000000-0005-0000-0000-00002E610000}"/>
    <cellStyle name="Input 3 4 6 2 6 2" xfId="25914" xr:uid="{00000000-0005-0000-0000-00002F610000}"/>
    <cellStyle name="Input 3 4 6 2 6 3" xfId="25915" xr:uid="{00000000-0005-0000-0000-000030610000}"/>
    <cellStyle name="Input 3 4 6 2 7" xfId="25916" xr:uid="{00000000-0005-0000-0000-000031610000}"/>
    <cellStyle name="Input 3 4 6 2 7 2" xfId="25917" xr:uid="{00000000-0005-0000-0000-000032610000}"/>
    <cellStyle name="Input 3 4 6 2 7 3" xfId="25918" xr:uid="{00000000-0005-0000-0000-000033610000}"/>
    <cellStyle name="Input 3 4 6 2 8" xfId="25919" xr:uid="{00000000-0005-0000-0000-000034610000}"/>
    <cellStyle name="Input 3 4 6 2 9" xfId="25920" xr:uid="{00000000-0005-0000-0000-000035610000}"/>
    <cellStyle name="Input 3 4 6 3" xfId="25921" xr:uid="{00000000-0005-0000-0000-000036610000}"/>
    <cellStyle name="Input 3 4 6 3 2" xfId="25922" xr:uid="{00000000-0005-0000-0000-000037610000}"/>
    <cellStyle name="Input 3 4 6 3 3" xfId="25923" xr:uid="{00000000-0005-0000-0000-000038610000}"/>
    <cellStyle name="Input 3 4 6 4" xfId="25924" xr:uid="{00000000-0005-0000-0000-000039610000}"/>
    <cellStyle name="Input 3 4 6 4 2" xfId="25925" xr:uid="{00000000-0005-0000-0000-00003A610000}"/>
    <cellStyle name="Input 3 4 6 4 3" xfId="25926" xr:uid="{00000000-0005-0000-0000-00003B610000}"/>
    <cellStyle name="Input 3 4 6 5" xfId="25927" xr:uid="{00000000-0005-0000-0000-00003C610000}"/>
    <cellStyle name="Input 3 4 6 5 2" xfId="25928" xr:uid="{00000000-0005-0000-0000-00003D610000}"/>
    <cellStyle name="Input 3 4 6 5 3" xfId="25929" xr:uid="{00000000-0005-0000-0000-00003E610000}"/>
    <cellStyle name="Input 3 4 6 6" xfId="25930" xr:uid="{00000000-0005-0000-0000-00003F610000}"/>
    <cellStyle name="Input 3 4 6 6 2" xfId="25931" xr:uid="{00000000-0005-0000-0000-000040610000}"/>
    <cellStyle name="Input 3 4 6 6 3" xfId="25932" xr:uid="{00000000-0005-0000-0000-000041610000}"/>
    <cellStyle name="Input 3 4 6 7" xfId="25933" xr:uid="{00000000-0005-0000-0000-000042610000}"/>
    <cellStyle name="Input 3 4 6 7 2" xfId="25934" xr:uid="{00000000-0005-0000-0000-000043610000}"/>
    <cellStyle name="Input 3 4 6 7 3" xfId="25935" xr:uid="{00000000-0005-0000-0000-000044610000}"/>
    <cellStyle name="Input 3 4 6 8" xfId="25936" xr:uid="{00000000-0005-0000-0000-000045610000}"/>
    <cellStyle name="Input 3 4 6 8 2" xfId="25937" xr:uid="{00000000-0005-0000-0000-000046610000}"/>
    <cellStyle name="Input 3 4 6 8 3" xfId="25938" xr:uid="{00000000-0005-0000-0000-000047610000}"/>
    <cellStyle name="Input 3 4 6 9" xfId="25939" xr:uid="{00000000-0005-0000-0000-000048610000}"/>
    <cellStyle name="Input 3 4 7" xfId="25940" xr:uid="{00000000-0005-0000-0000-000049610000}"/>
    <cellStyle name="Input 3 4 7 10" xfId="25941" xr:uid="{00000000-0005-0000-0000-00004A610000}"/>
    <cellStyle name="Input 3 4 7 2" xfId="25942" xr:uid="{00000000-0005-0000-0000-00004B610000}"/>
    <cellStyle name="Input 3 4 7 2 2" xfId="25943" xr:uid="{00000000-0005-0000-0000-00004C610000}"/>
    <cellStyle name="Input 3 4 7 2 2 2" xfId="25944" xr:uid="{00000000-0005-0000-0000-00004D610000}"/>
    <cellStyle name="Input 3 4 7 2 2 3" xfId="25945" xr:uid="{00000000-0005-0000-0000-00004E610000}"/>
    <cellStyle name="Input 3 4 7 2 3" xfId="25946" xr:uid="{00000000-0005-0000-0000-00004F610000}"/>
    <cellStyle name="Input 3 4 7 2 3 2" xfId="25947" xr:uid="{00000000-0005-0000-0000-000050610000}"/>
    <cellStyle name="Input 3 4 7 2 3 3" xfId="25948" xr:uid="{00000000-0005-0000-0000-000051610000}"/>
    <cellStyle name="Input 3 4 7 2 4" xfId="25949" xr:uid="{00000000-0005-0000-0000-000052610000}"/>
    <cellStyle name="Input 3 4 7 2 4 2" xfId="25950" xr:uid="{00000000-0005-0000-0000-000053610000}"/>
    <cellStyle name="Input 3 4 7 2 4 3" xfId="25951" xr:uid="{00000000-0005-0000-0000-000054610000}"/>
    <cellStyle name="Input 3 4 7 2 5" xfId="25952" xr:uid="{00000000-0005-0000-0000-000055610000}"/>
    <cellStyle name="Input 3 4 7 2 5 2" xfId="25953" xr:uid="{00000000-0005-0000-0000-000056610000}"/>
    <cellStyle name="Input 3 4 7 2 5 3" xfId="25954" xr:uid="{00000000-0005-0000-0000-000057610000}"/>
    <cellStyle name="Input 3 4 7 2 6" xfId="25955" xr:uid="{00000000-0005-0000-0000-000058610000}"/>
    <cellStyle name="Input 3 4 7 2 6 2" xfId="25956" xr:uid="{00000000-0005-0000-0000-000059610000}"/>
    <cellStyle name="Input 3 4 7 2 6 3" xfId="25957" xr:uid="{00000000-0005-0000-0000-00005A610000}"/>
    <cellStyle name="Input 3 4 7 2 7" xfId="25958" xr:uid="{00000000-0005-0000-0000-00005B610000}"/>
    <cellStyle name="Input 3 4 7 2 7 2" xfId="25959" xr:uid="{00000000-0005-0000-0000-00005C610000}"/>
    <cellStyle name="Input 3 4 7 2 7 3" xfId="25960" xr:uid="{00000000-0005-0000-0000-00005D610000}"/>
    <cellStyle name="Input 3 4 7 2 8" xfId="25961" xr:uid="{00000000-0005-0000-0000-00005E610000}"/>
    <cellStyle name="Input 3 4 7 2 9" xfId="25962" xr:uid="{00000000-0005-0000-0000-00005F610000}"/>
    <cellStyle name="Input 3 4 7 3" xfId="25963" xr:uid="{00000000-0005-0000-0000-000060610000}"/>
    <cellStyle name="Input 3 4 7 3 2" xfId="25964" xr:uid="{00000000-0005-0000-0000-000061610000}"/>
    <cellStyle name="Input 3 4 7 3 3" xfId="25965" xr:uid="{00000000-0005-0000-0000-000062610000}"/>
    <cellStyle name="Input 3 4 7 4" xfId="25966" xr:uid="{00000000-0005-0000-0000-000063610000}"/>
    <cellStyle name="Input 3 4 7 4 2" xfId="25967" xr:uid="{00000000-0005-0000-0000-000064610000}"/>
    <cellStyle name="Input 3 4 7 4 3" xfId="25968" xr:uid="{00000000-0005-0000-0000-000065610000}"/>
    <cellStyle name="Input 3 4 7 5" xfId="25969" xr:uid="{00000000-0005-0000-0000-000066610000}"/>
    <cellStyle name="Input 3 4 7 5 2" xfId="25970" xr:uid="{00000000-0005-0000-0000-000067610000}"/>
    <cellStyle name="Input 3 4 7 5 3" xfId="25971" xr:uid="{00000000-0005-0000-0000-000068610000}"/>
    <cellStyle name="Input 3 4 7 6" xfId="25972" xr:uid="{00000000-0005-0000-0000-000069610000}"/>
    <cellStyle name="Input 3 4 7 6 2" xfId="25973" xr:uid="{00000000-0005-0000-0000-00006A610000}"/>
    <cellStyle name="Input 3 4 7 6 3" xfId="25974" xr:uid="{00000000-0005-0000-0000-00006B610000}"/>
    <cellStyle name="Input 3 4 7 7" xfId="25975" xr:uid="{00000000-0005-0000-0000-00006C610000}"/>
    <cellStyle name="Input 3 4 7 7 2" xfId="25976" xr:uid="{00000000-0005-0000-0000-00006D610000}"/>
    <cellStyle name="Input 3 4 7 7 3" xfId="25977" xr:uid="{00000000-0005-0000-0000-00006E610000}"/>
    <cellStyle name="Input 3 4 7 8" xfId="25978" xr:uid="{00000000-0005-0000-0000-00006F610000}"/>
    <cellStyle name="Input 3 4 7 8 2" xfId="25979" xr:uid="{00000000-0005-0000-0000-000070610000}"/>
    <cellStyle name="Input 3 4 7 8 3" xfId="25980" xr:uid="{00000000-0005-0000-0000-000071610000}"/>
    <cellStyle name="Input 3 4 7 9" xfId="25981" xr:uid="{00000000-0005-0000-0000-000072610000}"/>
    <cellStyle name="Input 3 4 8" xfId="25982" xr:uid="{00000000-0005-0000-0000-000073610000}"/>
    <cellStyle name="Input 3 4 8 10" xfId="25983" xr:uid="{00000000-0005-0000-0000-000074610000}"/>
    <cellStyle name="Input 3 4 8 2" xfId="25984" xr:uid="{00000000-0005-0000-0000-000075610000}"/>
    <cellStyle name="Input 3 4 8 2 2" xfId="25985" xr:uid="{00000000-0005-0000-0000-000076610000}"/>
    <cellStyle name="Input 3 4 8 2 2 2" xfId="25986" xr:uid="{00000000-0005-0000-0000-000077610000}"/>
    <cellStyle name="Input 3 4 8 2 2 3" xfId="25987" xr:uid="{00000000-0005-0000-0000-000078610000}"/>
    <cellStyle name="Input 3 4 8 2 3" xfId="25988" xr:uid="{00000000-0005-0000-0000-000079610000}"/>
    <cellStyle name="Input 3 4 8 2 3 2" xfId="25989" xr:uid="{00000000-0005-0000-0000-00007A610000}"/>
    <cellStyle name="Input 3 4 8 2 3 3" xfId="25990" xr:uid="{00000000-0005-0000-0000-00007B610000}"/>
    <cellStyle name="Input 3 4 8 2 4" xfId="25991" xr:uid="{00000000-0005-0000-0000-00007C610000}"/>
    <cellStyle name="Input 3 4 8 2 4 2" xfId="25992" xr:uid="{00000000-0005-0000-0000-00007D610000}"/>
    <cellStyle name="Input 3 4 8 2 4 3" xfId="25993" xr:uid="{00000000-0005-0000-0000-00007E610000}"/>
    <cellStyle name="Input 3 4 8 2 5" xfId="25994" xr:uid="{00000000-0005-0000-0000-00007F610000}"/>
    <cellStyle name="Input 3 4 8 2 5 2" xfId="25995" xr:uid="{00000000-0005-0000-0000-000080610000}"/>
    <cellStyle name="Input 3 4 8 2 5 3" xfId="25996" xr:uid="{00000000-0005-0000-0000-000081610000}"/>
    <cellStyle name="Input 3 4 8 2 6" xfId="25997" xr:uid="{00000000-0005-0000-0000-000082610000}"/>
    <cellStyle name="Input 3 4 8 2 6 2" xfId="25998" xr:uid="{00000000-0005-0000-0000-000083610000}"/>
    <cellStyle name="Input 3 4 8 2 6 3" xfId="25999" xr:uid="{00000000-0005-0000-0000-000084610000}"/>
    <cellStyle name="Input 3 4 8 2 7" xfId="26000" xr:uid="{00000000-0005-0000-0000-000085610000}"/>
    <cellStyle name="Input 3 4 8 2 7 2" xfId="26001" xr:uid="{00000000-0005-0000-0000-000086610000}"/>
    <cellStyle name="Input 3 4 8 2 7 3" xfId="26002" xr:uid="{00000000-0005-0000-0000-000087610000}"/>
    <cellStyle name="Input 3 4 8 2 8" xfId="26003" xr:uid="{00000000-0005-0000-0000-000088610000}"/>
    <cellStyle name="Input 3 4 8 2 9" xfId="26004" xr:uid="{00000000-0005-0000-0000-000089610000}"/>
    <cellStyle name="Input 3 4 8 3" xfId="26005" xr:uid="{00000000-0005-0000-0000-00008A610000}"/>
    <cellStyle name="Input 3 4 8 3 2" xfId="26006" xr:uid="{00000000-0005-0000-0000-00008B610000}"/>
    <cellStyle name="Input 3 4 8 3 3" xfId="26007" xr:uid="{00000000-0005-0000-0000-00008C610000}"/>
    <cellStyle name="Input 3 4 8 4" xfId="26008" xr:uid="{00000000-0005-0000-0000-00008D610000}"/>
    <cellStyle name="Input 3 4 8 4 2" xfId="26009" xr:uid="{00000000-0005-0000-0000-00008E610000}"/>
    <cellStyle name="Input 3 4 8 4 3" xfId="26010" xr:uid="{00000000-0005-0000-0000-00008F610000}"/>
    <cellStyle name="Input 3 4 8 5" xfId="26011" xr:uid="{00000000-0005-0000-0000-000090610000}"/>
    <cellStyle name="Input 3 4 8 5 2" xfId="26012" xr:uid="{00000000-0005-0000-0000-000091610000}"/>
    <cellStyle name="Input 3 4 8 5 3" xfId="26013" xr:uid="{00000000-0005-0000-0000-000092610000}"/>
    <cellStyle name="Input 3 4 8 6" xfId="26014" xr:uid="{00000000-0005-0000-0000-000093610000}"/>
    <cellStyle name="Input 3 4 8 6 2" xfId="26015" xr:uid="{00000000-0005-0000-0000-000094610000}"/>
    <cellStyle name="Input 3 4 8 6 3" xfId="26016" xr:uid="{00000000-0005-0000-0000-000095610000}"/>
    <cellStyle name="Input 3 4 8 7" xfId="26017" xr:uid="{00000000-0005-0000-0000-000096610000}"/>
    <cellStyle name="Input 3 4 8 7 2" xfId="26018" xr:uid="{00000000-0005-0000-0000-000097610000}"/>
    <cellStyle name="Input 3 4 8 7 3" xfId="26019" xr:uid="{00000000-0005-0000-0000-000098610000}"/>
    <cellStyle name="Input 3 4 8 8" xfId="26020" xr:uid="{00000000-0005-0000-0000-000099610000}"/>
    <cellStyle name="Input 3 4 8 8 2" xfId="26021" xr:uid="{00000000-0005-0000-0000-00009A610000}"/>
    <cellStyle name="Input 3 4 8 8 3" xfId="26022" xr:uid="{00000000-0005-0000-0000-00009B610000}"/>
    <cellStyle name="Input 3 4 8 9" xfId="26023" xr:uid="{00000000-0005-0000-0000-00009C610000}"/>
    <cellStyle name="Input 3 4 9" xfId="26024" xr:uid="{00000000-0005-0000-0000-00009D610000}"/>
    <cellStyle name="Input 3 4 9 2" xfId="26025" xr:uid="{00000000-0005-0000-0000-00009E610000}"/>
    <cellStyle name="Input 3 4 9 2 2" xfId="26026" xr:uid="{00000000-0005-0000-0000-00009F610000}"/>
    <cellStyle name="Input 3 4 9 2 3" xfId="26027" xr:uid="{00000000-0005-0000-0000-0000A0610000}"/>
    <cellStyle name="Input 3 4 9 3" xfId="26028" xr:uid="{00000000-0005-0000-0000-0000A1610000}"/>
    <cellStyle name="Input 3 4 9 3 2" xfId="26029" xr:uid="{00000000-0005-0000-0000-0000A2610000}"/>
    <cellStyle name="Input 3 4 9 3 3" xfId="26030" xr:uid="{00000000-0005-0000-0000-0000A3610000}"/>
    <cellStyle name="Input 3 4 9 4" xfId="26031" xr:uid="{00000000-0005-0000-0000-0000A4610000}"/>
    <cellStyle name="Input 3 4 9 4 2" xfId="26032" xr:uid="{00000000-0005-0000-0000-0000A5610000}"/>
    <cellStyle name="Input 3 4 9 4 3" xfId="26033" xr:uid="{00000000-0005-0000-0000-0000A6610000}"/>
    <cellStyle name="Input 3 4 9 5" xfId="26034" xr:uid="{00000000-0005-0000-0000-0000A7610000}"/>
    <cellStyle name="Input 3 4 9 5 2" xfId="26035" xr:uid="{00000000-0005-0000-0000-0000A8610000}"/>
    <cellStyle name="Input 3 4 9 5 3" xfId="26036" xr:uid="{00000000-0005-0000-0000-0000A9610000}"/>
    <cellStyle name="Input 3 4 9 6" xfId="26037" xr:uid="{00000000-0005-0000-0000-0000AA610000}"/>
    <cellStyle name="Input 3 4 9 6 2" xfId="26038" xr:uid="{00000000-0005-0000-0000-0000AB610000}"/>
    <cellStyle name="Input 3 4 9 6 3" xfId="26039" xr:uid="{00000000-0005-0000-0000-0000AC610000}"/>
    <cellStyle name="Input 3 4 9 7" xfId="26040" xr:uid="{00000000-0005-0000-0000-0000AD610000}"/>
    <cellStyle name="Input 3 4 9 7 2" xfId="26041" xr:uid="{00000000-0005-0000-0000-0000AE610000}"/>
    <cellStyle name="Input 3 4 9 7 3" xfId="26042" xr:uid="{00000000-0005-0000-0000-0000AF610000}"/>
    <cellStyle name="Input 3 4 9 8" xfId="26043" xr:uid="{00000000-0005-0000-0000-0000B0610000}"/>
    <cellStyle name="Input 3 4 9 9" xfId="26044" xr:uid="{00000000-0005-0000-0000-0000B1610000}"/>
    <cellStyle name="Input 3 5" xfId="26045" xr:uid="{00000000-0005-0000-0000-0000B2610000}"/>
    <cellStyle name="Input 3 5 2" xfId="26046" xr:uid="{00000000-0005-0000-0000-0000B3610000}"/>
    <cellStyle name="Input 3 5 2 2" xfId="26047" xr:uid="{00000000-0005-0000-0000-0000B4610000}"/>
    <cellStyle name="Input 3 5 2 2 2" xfId="26048" xr:uid="{00000000-0005-0000-0000-0000B5610000}"/>
    <cellStyle name="Input 3 5 2 2 3" xfId="26049" xr:uid="{00000000-0005-0000-0000-0000B6610000}"/>
    <cellStyle name="Input 3 5 2 3" xfId="26050" xr:uid="{00000000-0005-0000-0000-0000B7610000}"/>
    <cellStyle name="Input 3 5 2 3 2" xfId="26051" xr:uid="{00000000-0005-0000-0000-0000B8610000}"/>
    <cellStyle name="Input 3 5 2 3 3" xfId="26052" xr:uid="{00000000-0005-0000-0000-0000B9610000}"/>
    <cellStyle name="Input 3 5 2 4" xfId="26053" xr:uid="{00000000-0005-0000-0000-0000BA610000}"/>
    <cellStyle name="Input 3 5 2 4 2" xfId="26054" xr:uid="{00000000-0005-0000-0000-0000BB610000}"/>
    <cellStyle name="Input 3 5 2 4 3" xfId="26055" xr:uid="{00000000-0005-0000-0000-0000BC610000}"/>
    <cellStyle name="Input 3 5 2 5" xfId="26056" xr:uid="{00000000-0005-0000-0000-0000BD610000}"/>
    <cellStyle name="Input 3 5 2 5 2" xfId="26057" xr:uid="{00000000-0005-0000-0000-0000BE610000}"/>
    <cellStyle name="Input 3 5 2 5 3" xfId="26058" xr:uid="{00000000-0005-0000-0000-0000BF610000}"/>
    <cellStyle name="Input 3 5 2 6" xfId="26059" xr:uid="{00000000-0005-0000-0000-0000C0610000}"/>
    <cellStyle name="Input 3 5 2 6 2" xfId="26060" xr:uid="{00000000-0005-0000-0000-0000C1610000}"/>
    <cellStyle name="Input 3 5 2 6 3" xfId="26061" xr:uid="{00000000-0005-0000-0000-0000C2610000}"/>
    <cellStyle name="Input 3 5 2 7" xfId="26062" xr:uid="{00000000-0005-0000-0000-0000C3610000}"/>
    <cellStyle name="Input 3 5 2 7 2" xfId="26063" xr:uid="{00000000-0005-0000-0000-0000C4610000}"/>
    <cellStyle name="Input 3 5 2 7 3" xfId="26064" xr:uid="{00000000-0005-0000-0000-0000C5610000}"/>
    <cellStyle name="Input 3 5 2 8" xfId="26065" xr:uid="{00000000-0005-0000-0000-0000C6610000}"/>
    <cellStyle name="Input 3 5 2 9" xfId="26066" xr:uid="{00000000-0005-0000-0000-0000C7610000}"/>
    <cellStyle name="Input 3 5 3" xfId="26067" xr:uid="{00000000-0005-0000-0000-0000C8610000}"/>
    <cellStyle name="Input 3 5 3 2" xfId="26068" xr:uid="{00000000-0005-0000-0000-0000C9610000}"/>
    <cellStyle name="Input 3 5 3 3" xfId="26069" xr:uid="{00000000-0005-0000-0000-0000CA610000}"/>
    <cellStyle name="Input 3 5 4" xfId="26070" xr:uid="{00000000-0005-0000-0000-0000CB610000}"/>
    <cellStyle name="Input 3 5 4 2" xfId="26071" xr:uid="{00000000-0005-0000-0000-0000CC610000}"/>
    <cellStyle name="Input 3 5 4 3" xfId="26072" xr:uid="{00000000-0005-0000-0000-0000CD610000}"/>
    <cellStyle name="Input 3 5 5" xfId="26073" xr:uid="{00000000-0005-0000-0000-0000CE610000}"/>
    <cellStyle name="Input 3 5 5 2" xfId="26074" xr:uid="{00000000-0005-0000-0000-0000CF610000}"/>
    <cellStyle name="Input 3 5 5 3" xfId="26075" xr:uid="{00000000-0005-0000-0000-0000D0610000}"/>
    <cellStyle name="Input 3 5 6" xfId="26076" xr:uid="{00000000-0005-0000-0000-0000D1610000}"/>
    <cellStyle name="Input 3 5 6 2" xfId="26077" xr:uid="{00000000-0005-0000-0000-0000D2610000}"/>
    <cellStyle name="Input 3 5 6 3" xfId="26078" xr:uid="{00000000-0005-0000-0000-0000D3610000}"/>
    <cellStyle name="Input 3 5 7" xfId="26079" xr:uid="{00000000-0005-0000-0000-0000D4610000}"/>
    <cellStyle name="Input 3 5 7 2" xfId="26080" xr:uid="{00000000-0005-0000-0000-0000D5610000}"/>
    <cellStyle name="Input 3 5 7 3" xfId="26081" xr:uid="{00000000-0005-0000-0000-0000D6610000}"/>
    <cellStyle name="Input 3 5 8" xfId="26082" xr:uid="{00000000-0005-0000-0000-0000D7610000}"/>
    <cellStyle name="Input 3 5 8 2" xfId="26083" xr:uid="{00000000-0005-0000-0000-0000D8610000}"/>
    <cellStyle name="Input 3 5 8 3" xfId="26084" xr:uid="{00000000-0005-0000-0000-0000D9610000}"/>
    <cellStyle name="Input 3 5 9" xfId="44094" xr:uid="{00000000-0005-0000-0000-0000DA610000}"/>
    <cellStyle name="Input 3 6" xfId="26085" xr:uid="{00000000-0005-0000-0000-0000DB610000}"/>
    <cellStyle name="Input 3 6 10" xfId="26086" xr:uid="{00000000-0005-0000-0000-0000DC610000}"/>
    <cellStyle name="Input 3 6 2" xfId="26087" xr:uid="{00000000-0005-0000-0000-0000DD610000}"/>
    <cellStyle name="Input 3 6 2 2" xfId="26088" xr:uid="{00000000-0005-0000-0000-0000DE610000}"/>
    <cellStyle name="Input 3 6 2 2 2" xfId="26089" xr:uid="{00000000-0005-0000-0000-0000DF610000}"/>
    <cellStyle name="Input 3 6 2 2 3" xfId="26090" xr:uid="{00000000-0005-0000-0000-0000E0610000}"/>
    <cellStyle name="Input 3 6 2 3" xfId="26091" xr:uid="{00000000-0005-0000-0000-0000E1610000}"/>
    <cellStyle name="Input 3 6 2 3 2" xfId="26092" xr:uid="{00000000-0005-0000-0000-0000E2610000}"/>
    <cellStyle name="Input 3 6 2 3 3" xfId="26093" xr:uid="{00000000-0005-0000-0000-0000E3610000}"/>
    <cellStyle name="Input 3 6 2 4" xfId="26094" xr:uid="{00000000-0005-0000-0000-0000E4610000}"/>
    <cellStyle name="Input 3 6 2 4 2" xfId="26095" xr:uid="{00000000-0005-0000-0000-0000E5610000}"/>
    <cellStyle name="Input 3 6 2 4 3" xfId="26096" xr:uid="{00000000-0005-0000-0000-0000E6610000}"/>
    <cellStyle name="Input 3 6 2 5" xfId="26097" xr:uid="{00000000-0005-0000-0000-0000E7610000}"/>
    <cellStyle name="Input 3 6 2 5 2" xfId="26098" xr:uid="{00000000-0005-0000-0000-0000E8610000}"/>
    <cellStyle name="Input 3 6 2 5 3" xfId="26099" xr:uid="{00000000-0005-0000-0000-0000E9610000}"/>
    <cellStyle name="Input 3 6 2 6" xfId="26100" xr:uid="{00000000-0005-0000-0000-0000EA610000}"/>
    <cellStyle name="Input 3 6 2 6 2" xfId="26101" xr:uid="{00000000-0005-0000-0000-0000EB610000}"/>
    <cellStyle name="Input 3 6 2 6 3" xfId="26102" xr:uid="{00000000-0005-0000-0000-0000EC610000}"/>
    <cellStyle name="Input 3 6 2 7" xfId="26103" xr:uid="{00000000-0005-0000-0000-0000ED610000}"/>
    <cellStyle name="Input 3 6 2 7 2" xfId="26104" xr:uid="{00000000-0005-0000-0000-0000EE610000}"/>
    <cellStyle name="Input 3 6 2 7 3" xfId="26105" xr:uid="{00000000-0005-0000-0000-0000EF610000}"/>
    <cellStyle name="Input 3 6 2 8" xfId="26106" xr:uid="{00000000-0005-0000-0000-0000F0610000}"/>
    <cellStyle name="Input 3 6 2 9" xfId="26107" xr:uid="{00000000-0005-0000-0000-0000F1610000}"/>
    <cellStyle name="Input 3 6 3" xfId="26108" xr:uid="{00000000-0005-0000-0000-0000F2610000}"/>
    <cellStyle name="Input 3 6 3 2" xfId="26109" xr:uid="{00000000-0005-0000-0000-0000F3610000}"/>
    <cellStyle name="Input 3 6 3 3" xfId="26110" xr:uid="{00000000-0005-0000-0000-0000F4610000}"/>
    <cellStyle name="Input 3 6 4" xfId="26111" xr:uid="{00000000-0005-0000-0000-0000F5610000}"/>
    <cellStyle name="Input 3 6 4 2" xfId="26112" xr:uid="{00000000-0005-0000-0000-0000F6610000}"/>
    <cellStyle name="Input 3 6 4 3" xfId="26113" xr:uid="{00000000-0005-0000-0000-0000F7610000}"/>
    <cellStyle name="Input 3 6 5" xfId="26114" xr:uid="{00000000-0005-0000-0000-0000F8610000}"/>
    <cellStyle name="Input 3 6 5 2" xfId="26115" xr:uid="{00000000-0005-0000-0000-0000F9610000}"/>
    <cellStyle name="Input 3 6 5 3" xfId="26116" xr:uid="{00000000-0005-0000-0000-0000FA610000}"/>
    <cellStyle name="Input 3 6 6" xfId="26117" xr:uid="{00000000-0005-0000-0000-0000FB610000}"/>
    <cellStyle name="Input 3 6 6 2" xfId="26118" xr:uid="{00000000-0005-0000-0000-0000FC610000}"/>
    <cellStyle name="Input 3 6 6 3" xfId="26119" xr:uid="{00000000-0005-0000-0000-0000FD610000}"/>
    <cellStyle name="Input 3 6 7" xfId="26120" xr:uid="{00000000-0005-0000-0000-0000FE610000}"/>
    <cellStyle name="Input 3 6 7 2" xfId="26121" xr:uid="{00000000-0005-0000-0000-0000FF610000}"/>
    <cellStyle name="Input 3 6 7 3" xfId="26122" xr:uid="{00000000-0005-0000-0000-000000620000}"/>
    <cellStyle name="Input 3 6 8" xfId="26123" xr:uid="{00000000-0005-0000-0000-000001620000}"/>
    <cellStyle name="Input 3 6 8 2" xfId="26124" xr:uid="{00000000-0005-0000-0000-000002620000}"/>
    <cellStyle name="Input 3 6 8 3" xfId="26125" xr:uid="{00000000-0005-0000-0000-000003620000}"/>
    <cellStyle name="Input 3 6 9" xfId="26126" xr:uid="{00000000-0005-0000-0000-000004620000}"/>
    <cellStyle name="Input 3 7" xfId="26127" xr:uid="{00000000-0005-0000-0000-000005620000}"/>
    <cellStyle name="Input 3 7 10" xfId="26128" xr:uid="{00000000-0005-0000-0000-000006620000}"/>
    <cellStyle name="Input 3 7 2" xfId="26129" xr:uid="{00000000-0005-0000-0000-000007620000}"/>
    <cellStyle name="Input 3 7 2 2" xfId="26130" xr:uid="{00000000-0005-0000-0000-000008620000}"/>
    <cellStyle name="Input 3 7 2 2 2" xfId="26131" xr:uid="{00000000-0005-0000-0000-000009620000}"/>
    <cellStyle name="Input 3 7 2 2 3" xfId="26132" xr:uid="{00000000-0005-0000-0000-00000A620000}"/>
    <cellStyle name="Input 3 7 2 3" xfId="26133" xr:uid="{00000000-0005-0000-0000-00000B620000}"/>
    <cellStyle name="Input 3 7 2 3 2" xfId="26134" xr:uid="{00000000-0005-0000-0000-00000C620000}"/>
    <cellStyle name="Input 3 7 2 3 3" xfId="26135" xr:uid="{00000000-0005-0000-0000-00000D620000}"/>
    <cellStyle name="Input 3 7 2 4" xfId="26136" xr:uid="{00000000-0005-0000-0000-00000E620000}"/>
    <cellStyle name="Input 3 7 2 4 2" xfId="26137" xr:uid="{00000000-0005-0000-0000-00000F620000}"/>
    <cellStyle name="Input 3 7 2 4 3" xfId="26138" xr:uid="{00000000-0005-0000-0000-000010620000}"/>
    <cellStyle name="Input 3 7 2 5" xfId="26139" xr:uid="{00000000-0005-0000-0000-000011620000}"/>
    <cellStyle name="Input 3 7 2 5 2" xfId="26140" xr:uid="{00000000-0005-0000-0000-000012620000}"/>
    <cellStyle name="Input 3 7 2 5 3" xfId="26141" xr:uid="{00000000-0005-0000-0000-000013620000}"/>
    <cellStyle name="Input 3 7 2 6" xfId="26142" xr:uid="{00000000-0005-0000-0000-000014620000}"/>
    <cellStyle name="Input 3 7 2 6 2" xfId="26143" xr:uid="{00000000-0005-0000-0000-000015620000}"/>
    <cellStyle name="Input 3 7 2 6 3" xfId="26144" xr:uid="{00000000-0005-0000-0000-000016620000}"/>
    <cellStyle name="Input 3 7 2 7" xfId="26145" xr:uid="{00000000-0005-0000-0000-000017620000}"/>
    <cellStyle name="Input 3 7 2 7 2" xfId="26146" xr:uid="{00000000-0005-0000-0000-000018620000}"/>
    <cellStyle name="Input 3 7 2 7 3" xfId="26147" xr:uid="{00000000-0005-0000-0000-000019620000}"/>
    <cellStyle name="Input 3 7 2 8" xfId="26148" xr:uid="{00000000-0005-0000-0000-00001A620000}"/>
    <cellStyle name="Input 3 7 2 9" xfId="26149" xr:uid="{00000000-0005-0000-0000-00001B620000}"/>
    <cellStyle name="Input 3 7 3" xfId="26150" xr:uid="{00000000-0005-0000-0000-00001C620000}"/>
    <cellStyle name="Input 3 7 3 2" xfId="26151" xr:uid="{00000000-0005-0000-0000-00001D620000}"/>
    <cellStyle name="Input 3 7 3 3" xfId="26152" xr:uid="{00000000-0005-0000-0000-00001E620000}"/>
    <cellStyle name="Input 3 7 4" xfId="26153" xr:uid="{00000000-0005-0000-0000-00001F620000}"/>
    <cellStyle name="Input 3 7 4 2" xfId="26154" xr:uid="{00000000-0005-0000-0000-000020620000}"/>
    <cellStyle name="Input 3 7 4 3" xfId="26155" xr:uid="{00000000-0005-0000-0000-000021620000}"/>
    <cellStyle name="Input 3 7 5" xfId="26156" xr:uid="{00000000-0005-0000-0000-000022620000}"/>
    <cellStyle name="Input 3 7 5 2" xfId="26157" xr:uid="{00000000-0005-0000-0000-000023620000}"/>
    <cellStyle name="Input 3 7 5 3" xfId="26158" xr:uid="{00000000-0005-0000-0000-000024620000}"/>
    <cellStyle name="Input 3 7 6" xfId="26159" xr:uid="{00000000-0005-0000-0000-000025620000}"/>
    <cellStyle name="Input 3 7 6 2" xfId="26160" xr:uid="{00000000-0005-0000-0000-000026620000}"/>
    <cellStyle name="Input 3 7 6 3" xfId="26161" xr:uid="{00000000-0005-0000-0000-000027620000}"/>
    <cellStyle name="Input 3 7 7" xfId="26162" xr:uid="{00000000-0005-0000-0000-000028620000}"/>
    <cellStyle name="Input 3 7 7 2" xfId="26163" xr:uid="{00000000-0005-0000-0000-000029620000}"/>
    <cellStyle name="Input 3 7 7 3" xfId="26164" xr:uid="{00000000-0005-0000-0000-00002A620000}"/>
    <cellStyle name="Input 3 7 8" xfId="26165" xr:uid="{00000000-0005-0000-0000-00002B620000}"/>
    <cellStyle name="Input 3 7 8 2" xfId="26166" xr:uid="{00000000-0005-0000-0000-00002C620000}"/>
    <cellStyle name="Input 3 7 8 3" xfId="26167" xr:uid="{00000000-0005-0000-0000-00002D620000}"/>
    <cellStyle name="Input 3 7 9" xfId="26168" xr:uid="{00000000-0005-0000-0000-00002E620000}"/>
    <cellStyle name="Input 3 8" xfId="26169" xr:uid="{00000000-0005-0000-0000-00002F620000}"/>
    <cellStyle name="Input 3 8 2" xfId="26170" xr:uid="{00000000-0005-0000-0000-000030620000}"/>
    <cellStyle name="Input 3 8 2 2" xfId="26171" xr:uid="{00000000-0005-0000-0000-000031620000}"/>
    <cellStyle name="Input 3 8 2 3" xfId="26172" xr:uid="{00000000-0005-0000-0000-000032620000}"/>
    <cellStyle name="Input 3 8 3" xfId="26173" xr:uid="{00000000-0005-0000-0000-000033620000}"/>
    <cellStyle name="Input 3 8 3 2" xfId="26174" xr:uid="{00000000-0005-0000-0000-000034620000}"/>
    <cellStyle name="Input 3 8 3 3" xfId="26175" xr:uid="{00000000-0005-0000-0000-000035620000}"/>
    <cellStyle name="Input 3 8 4" xfId="26176" xr:uid="{00000000-0005-0000-0000-000036620000}"/>
    <cellStyle name="Input 3 8 4 2" xfId="26177" xr:uid="{00000000-0005-0000-0000-000037620000}"/>
    <cellStyle name="Input 3 8 4 3" xfId="26178" xr:uid="{00000000-0005-0000-0000-000038620000}"/>
    <cellStyle name="Input 3 8 5" xfId="26179" xr:uid="{00000000-0005-0000-0000-000039620000}"/>
    <cellStyle name="Input 3 8 5 2" xfId="26180" xr:uid="{00000000-0005-0000-0000-00003A620000}"/>
    <cellStyle name="Input 3 8 5 3" xfId="26181" xr:uid="{00000000-0005-0000-0000-00003B620000}"/>
    <cellStyle name="Input 3 8 6" xfId="26182" xr:uid="{00000000-0005-0000-0000-00003C620000}"/>
    <cellStyle name="Input 3 8 6 2" xfId="26183" xr:uid="{00000000-0005-0000-0000-00003D620000}"/>
    <cellStyle name="Input 3 8 6 3" xfId="26184" xr:uid="{00000000-0005-0000-0000-00003E620000}"/>
    <cellStyle name="Input 3 8 7" xfId="26185" xr:uid="{00000000-0005-0000-0000-00003F620000}"/>
    <cellStyle name="Input 3 8 7 2" xfId="26186" xr:uid="{00000000-0005-0000-0000-000040620000}"/>
    <cellStyle name="Input 3 8 7 3" xfId="26187" xr:uid="{00000000-0005-0000-0000-000041620000}"/>
    <cellStyle name="Input 3 8 8" xfId="26188" xr:uid="{00000000-0005-0000-0000-000042620000}"/>
    <cellStyle name="Input 3 8 9" xfId="26189" xr:uid="{00000000-0005-0000-0000-000043620000}"/>
    <cellStyle name="Input 3 9" xfId="26190" xr:uid="{00000000-0005-0000-0000-000044620000}"/>
    <cellStyle name="Input 3 9 2" xfId="26191" xr:uid="{00000000-0005-0000-0000-000045620000}"/>
    <cellStyle name="Input 3 9 2 2" xfId="26192" xr:uid="{00000000-0005-0000-0000-000046620000}"/>
    <cellStyle name="Input 3 9 2 3" xfId="26193" xr:uid="{00000000-0005-0000-0000-000047620000}"/>
    <cellStyle name="Input 3 9 3" xfId="26194" xr:uid="{00000000-0005-0000-0000-000048620000}"/>
    <cellStyle name="Input 3 9 3 2" xfId="26195" xr:uid="{00000000-0005-0000-0000-000049620000}"/>
    <cellStyle name="Input 3 9 3 3" xfId="26196" xr:uid="{00000000-0005-0000-0000-00004A620000}"/>
    <cellStyle name="Input 3 9 4" xfId="26197" xr:uid="{00000000-0005-0000-0000-00004B620000}"/>
    <cellStyle name="Input 3 9 4 2" xfId="26198" xr:uid="{00000000-0005-0000-0000-00004C620000}"/>
    <cellStyle name="Input 3 9 4 3" xfId="26199" xr:uid="{00000000-0005-0000-0000-00004D620000}"/>
    <cellStyle name="Input 3 9 5" xfId="26200" xr:uid="{00000000-0005-0000-0000-00004E620000}"/>
    <cellStyle name="Input 3 9 5 2" xfId="26201" xr:uid="{00000000-0005-0000-0000-00004F620000}"/>
    <cellStyle name="Input 3 9 5 3" xfId="26202" xr:uid="{00000000-0005-0000-0000-000050620000}"/>
    <cellStyle name="Input 3 9 6" xfId="26203" xr:uid="{00000000-0005-0000-0000-000051620000}"/>
    <cellStyle name="Input 3 9 6 2" xfId="26204" xr:uid="{00000000-0005-0000-0000-000052620000}"/>
    <cellStyle name="Input 3 9 6 3" xfId="26205" xr:uid="{00000000-0005-0000-0000-000053620000}"/>
    <cellStyle name="Input 3 9 7" xfId="26206" xr:uid="{00000000-0005-0000-0000-000054620000}"/>
    <cellStyle name="Input 3 9 7 2" xfId="26207" xr:uid="{00000000-0005-0000-0000-000055620000}"/>
    <cellStyle name="Input 3 9 7 3" xfId="26208" xr:uid="{00000000-0005-0000-0000-000056620000}"/>
    <cellStyle name="Input 3 9 8" xfId="26209" xr:uid="{00000000-0005-0000-0000-000057620000}"/>
    <cellStyle name="Input 3 9 9" xfId="26210" xr:uid="{00000000-0005-0000-0000-000058620000}"/>
    <cellStyle name="Input 4" xfId="677" xr:uid="{00000000-0005-0000-0000-000059620000}"/>
    <cellStyle name="Input 4 2" xfId="26211" xr:uid="{00000000-0005-0000-0000-00005A620000}"/>
    <cellStyle name="Input 4 3" xfId="45018" xr:uid="{00000000-0005-0000-0000-00005B620000}"/>
    <cellStyle name="Input 4 4" xfId="46188" xr:uid="{00000000-0005-0000-0000-00005C620000}"/>
    <cellStyle name="input 5" xfId="26212" xr:uid="{00000000-0005-0000-0000-00005D620000}"/>
    <cellStyle name="input 6" xfId="26213" xr:uid="{00000000-0005-0000-0000-00005E620000}"/>
    <cellStyle name="input 7" xfId="26214" xr:uid="{00000000-0005-0000-0000-00005F620000}"/>
    <cellStyle name="input 8" xfId="26215" xr:uid="{00000000-0005-0000-0000-000060620000}"/>
    <cellStyle name="input(0)" xfId="343" xr:uid="{00000000-0005-0000-0000-000061620000}"/>
    <cellStyle name="Input(2)" xfId="344" xr:uid="{00000000-0005-0000-0000-000062620000}"/>
    <cellStyle name="INT Paramter" xfId="26216" xr:uid="{00000000-0005-0000-0000-000063620000}"/>
    <cellStyle name="INT Paramter 2" xfId="46189" xr:uid="{00000000-0005-0000-0000-000064620000}"/>
    <cellStyle name="INT Paramter 2 2" xfId="46190" xr:uid="{00000000-0005-0000-0000-000065620000}"/>
    <cellStyle name="INT Paramter 2 2 2" xfId="46191" xr:uid="{00000000-0005-0000-0000-000066620000}"/>
    <cellStyle name="INT Paramter 2 2 2 2" xfId="46192" xr:uid="{00000000-0005-0000-0000-000067620000}"/>
    <cellStyle name="INT Paramter 2 2 3" xfId="46193" xr:uid="{00000000-0005-0000-0000-000068620000}"/>
    <cellStyle name="INT Paramter 2 2 4" xfId="46194" xr:uid="{00000000-0005-0000-0000-000069620000}"/>
    <cellStyle name="INT Paramter 2 3" xfId="46195" xr:uid="{00000000-0005-0000-0000-00006A620000}"/>
    <cellStyle name="INT Paramter 2 3 2" xfId="46196" xr:uid="{00000000-0005-0000-0000-00006B620000}"/>
    <cellStyle name="INT Paramter 2 3 3" xfId="46197" xr:uid="{00000000-0005-0000-0000-00006C620000}"/>
    <cellStyle name="INT Paramter 2 4" xfId="46198" xr:uid="{00000000-0005-0000-0000-00006D620000}"/>
    <cellStyle name="INT Paramter 2 4 2" xfId="46199" xr:uid="{00000000-0005-0000-0000-00006E620000}"/>
    <cellStyle name="INT Paramter 2 4 3" xfId="46200" xr:uid="{00000000-0005-0000-0000-00006F620000}"/>
    <cellStyle name="INT Paramter 2 5" xfId="46201" xr:uid="{00000000-0005-0000-0000-000070620000}"/>
    <cellStyle name="INT Paramter 2 5 2" xfId="46202" xr:uid="{00000000-0005-0000-0000-000071620000}"/>
    <cellStyle name="INT Paramter 2 6" xfId="46203" xr:uid="{00000000-0005-0000-0000-000072620000}"/>
    <cellStyle name="INT Paramter 2 7" xfId="46204" xr:uid="{00000000-0005-0000-0000-000073620000}"/>
    <cellStyle name="INT Paramter 3" xfId="46205" xr:uid="{00000000-0005-0000-0000-000074620000}"/>
    <cellStyle name="INT Paramter 3 2" xfId="46206" xr:uid="{00000000-0005-0000-0000-000075620000}"/>
    <cellStyle name="INT Paramter 3 2 2" xfId="46207" xr:uid="{00000000-0005-0000-0000-000076620000}"/>
    <cellStyle name="INT Paramter 3 3" xfId="46208" xr:uid="{00000000-0005-0000-0000-000077620000}"/>
    <cellStyle name="INT Paramter 3 4" xfId="46209" xr:uid="{00000000-0005-0000-0000-000078620000}"/>
    <cellStyle name="INT Paramter 4" xfId="46210" xr:uid="{00000000-0005-0000-0000-000079620000}"/>
    <cellStyle name="INT Paramter 4 2" xfId="46211" xr:uid="{00000000-0005-0000-0000-00007A620000}"/>
    <cellStyle name="INT Paramter 4 3" xfId="46212" xr:uid="{00000000-0005-0000-0000-00007B620000}"/>
    <cellStyle name="INT Paramter 5" xfId="46213" xr:uid="{00000000-0005-0000-0000-00007C620000}"/>
    <cellStyle name="INT Paramter 5 2" xfId="46214" xr:uid="{00000000-0005-0000-0000-00007D620000}"/>
    <cellStyle name="INT Paramter 5 3" xfId="46215" xr:uid="{00000000-0005-0000-0000-00007E620000}"/>
    <cellStyle name="INT Paramter 6" xfId="46216" xr:uid="{00000000-0005-0000-0000-00007F620000}"/>
    <cellStyle name="INT Paramter 6 2" xfId="46217" xr:uid="{00000000-0005-0000-0000-000080620000}"/>
    <cellStyle name="INT Paramter 7" xfId="46218" xr:uid="{00000000-0005-0000-0000-000081620000}"/>
    <cellStyle name="INT Paramter 8" xfId="46219" xr:uid="{00000000-0005-0000-0000-000082620000}"/>
    <cellStyle name="Labels" xfId="345" xr:uid="{00000000-0005-0000-0000-000083620000}"/>
    <cellStyle name="Labels - Style3" xfId="1089" xr:uid="{00000000-0005-0000-0000-000084620000}"/>
    <cellStyle name="Labels - Style3 10" xfId="26217" xr:uid="{00000000-0005-0000-0000-000085620000}"/>
    <cellStyle name="Labels - Style3 10 2" xfId="26218" xr:uid="{00000000-0005-0000-0000-000086620000}"/>
    <cellStyle name="Labels - Style3 10 2 2" xfId="26219" xr:uid="{00000000-0005-0000-0000-000087620000}"/>
    <cellStyle name="Labels - Style3 10 2 3" xfId="26220" xr:uid="{00000000-0005-0000-0000-000088620000}"/>
    <cellStyle name="Labels - Style3 10 3" xfId="26221" xr:uid="{00000000-0005-0000-0000-000089620000}"/>
    <cellStyle name="Labels - Style3 10 3 2" xfId="26222" xr:uid="{00000000-0005-0000-0000-00008A620000}"/>
    <cellStyle name="Labels - Style3 10 3 3" xfId="26223" xr:uid="{00000000-0005-0000-0000-00008B620000}"/>
    <cellStyle name="Labels - Style3 10 4" xfId="26224" xr:uid="{00000000-0005-0000-0000-00008C620000}"/>
    <cellStyle name="Labels - Style3 10 4 2" xfId="26225" xr:uid="{00000000-0005-0000-0000-00008D620000}"/>
    <cellStyle name="Labels - Style3 10 4 3" xfId="26226" xr:uid="{00000000-0005-0000-0000-00008E620000}"/>
    <cellStyle name="Labels - Style3 10 5" xfId="26227" xr:uid="{00000000-0005-0000-0000-00008F620000}"/>
    <cellStyle name="Labels - Style3 10 5 2" xfId="26228" xr:uid="{00000000-0005-0000-0000-000090620000}"/>
    <cellStyle name="Labels - Style3 10 5 3" xfId="26229" xr:uid="{00000000-0005-0000-0000-000091620000}"/>
    <cellStyle name="Labels - Style3 10 6" xfId="26230" xr:uid="{00000000-0005-0000-0000-000092620000}"/>
    <cellStyle name="Labels - Style3 10 6 2" xfId="26231" xr:uid="{00000000-0005-0000-0000-000093620000}"/>
    <cellStyle name="Labels - Style3 10 6 3" xfId="26232" xr:uid="{00000000-0005-0000-0000-000094620000}"/>
    <cellStyle name="Labels - Style3 10 7" xfId="26233" xr:uid="{00000000-0005-0000-0000-000095620000}"/>
    <cellStyle name="Labels - Style3 10 7 2" xfId="26234" xr:uid="{00000000-0005-0000-0000-000096620000}"/>
    <cellStyle name="Labels - Style3 10 7 3" xfId="26235" xr:uid="{00000000-0005-0000-0000-000097620000}"/>
    <cellStyle name="Labels - Style3 10 8" xfId="26236" xr:uid="{00000000-0005-0000-0000-000098620000}"/>
    <cellStyle name="Labels - Style3 10 9" xfId="26237" xr:uid="{00000000-0005-0000-0000-000099620000}"/>
    <cellStyle name="Labels - Style3 11" xfId="26238" xr:uid="{00000000-0005-0000-0000-00009A620000}"/>
    <cellStyle name="Labels - Style3 11 2" xfId="26239" xr:uid="{00000000-0005-0000-0000-00009B620000}"/>
    <cellStyle name="Labels - Style3 12" xfId="26240" xr:uid="{00000000-0005-0000-0000-00009C620000}"/>
    <cellStyle name="Labels - Style3 12 2" xfId="26241" xr:uid="{00000000-0005-0000-0000-00009D620000}"/>
    <cellStyle name="Labels - Style3 12 3" xfId="26242" xr:uid="{00000000-0005-0000-0000-00009E620000}"/>
    <cellStyle name="Labels - Style3 13" xfId="44095" xr:uid="{00000000-0005-0000-0000-00009F620000}"/>
    <cellStyle name="Labels - Style3 2" xfId="26243" xr:uid="{00000000-0005-0000-0000-0000A0620000}"/>
    <cellStyle name="Labels - Style3 2 2" xfId="26244" xr:uid="{00000000-0005-0000-0000-0000A1620000}"/>
    <cellStyle name="Labels - Style3 2 2 10" xfId="26245" xr:uid="{00000000-0005-0000-0000-0000A2620000}"/>
    <cellStyle name="Labels - Style3 2 2 2" xfId="26246" xr:uid="{00000000-0005-0000-0000-0000A3620000}"/>
    <cellStyle name="Labels - Style3 2 2 2 2" xfId="26247" xr:uid="{00000000-0005-0000-0000-0000A4620000}"/>
    <cellStyle name="Labels - Style3 2 2 2 2 2" xfId="26248" xr:uid="{00000000-0005-0000-0000-0000A5620000}"/>
    <cellStyle name="Labels - Style3 2 2 2 2 3" xfId="26249" xr:uid="{00000000-0005-0000-0000-0000A6620000}"/>
    <cellStyle name="Labels - Style3 2 2 2 3" xfId="26250" xr:uid="{00000000-0005-0000-0000-0000A7620000}"/>
    <cellStyle name="Labels - Style3 2 2 2 3 2" xfId="26251" xr:uid="{00000000-0005-0000-0000-0000A8620000}"/>
    <cellStyle name="Labels - Style3 2 2 2 3 3" xfId="26252" xr:uid="{00000000-0005-0000-0000-0000A9620000}"/>
    <cellStyle name="Labels - Style3 2 2 2 4" xfId="26253" xr:uid="{00000000-0005-0000-0000-0000AA620000}"/>
    <cellStyle name="Labels - Style3 2 2 2 4 2" xfId="26254" xr:uid="{00000000-0005-0000-0000-0000AB620000}"/>
    <cellStyle name="Labels - Style3 2 2 2 4 3" xfId="26255" xr:uid="{00000000-0005-0000-0000-0000AC620000}"/>
    <cellStyle name="Labels - Style3 2 2 2 5" xfId="26256" xr:uid="{00000000-0005-0000-0000-0000AD620000}"/>
    <cellStyle name="Labels - Style3 2 2 2 5 2" xfId="26257" xr:uid="{00000000-0005-0000-0000-0000AE620000}"/>
    <cellStyle name="Labels - Style3 2 2 2 5 3" xfId="26258" xr:uid="{00000000-0005-0000-0000-0000AF620000}"/>
    <cellStyle name="Labels - Style3 2 2 2 6" xfId="26259" xr:uid="{00000000-0005-0000-0000-0000B0620000}"/>
    <cellStyle name="Labels - Style3 2 2 2 6 2" xfId="26260" xr:uid="{00000000-0005-0000-0000-0000B1620000}"/>
    <cellStyle name="Labels - Style3 2 2 2 6 3" xfId="26261" xr:uid="{00000000-0005-0000-0000-0000B2620000}"/>
    <cellStyle name="Labels - Style3 2 2 2 7" xfId="26262" xr:uid="{00000000-0005-0000-0000-0000B3620000}"/>
    <cellStyle name="Labels - Style3 2 2 2 7 2" xfId="26263" xr:uid="{00000000-0005-0000-0000-0000B4620000}"/>
    <cellStyle name="Labels - Style3 2 2 2 7 3" xfId="26264" xr:uid="{00000000-0005-0000-0000-0000B5620000}"/>
    <cellStyle name="Labels - Style3 2 2 2 8" xfId="26265" xr:uid="{00000000-0005-0000-0000-0000B6620000}"/>
    <cellStyle name="Labels - Style3 2 2 2 9" xfId="26266" xr:uid="{00000000-0005-0000-0000-0000B7620000}"/>
    <cellStyle name="Labels - Style3 2 2 3" xfId="26267" xr:uid="{00000000-0005-0000-0000-0000B8620000}"/>
    <cellStyle name="Labels - Style3 2 2 3 2" xfId="26268" xr:uid="{00000000-0005-0000-0000-0000B9620000}"/>
    <cellStyle name="Labels - Style3 2 2 3 3" xfId="26269" xr:uid="{00000000-0005-0000-0000-0000BA620000}"/>
    <cellStyle name="Labels - Style3 2 2 4" xfId="26270" xr:uid="{00000000-0005-0000-0000-0000BB620000}"/>
    <cellStyle name="Labels - Style3 2 2 4 2" xfId="26271" xr:uid="{00000000-0005-0000-0000-0000BC620000}"/>
    <cellStyle name="Labels - Style3 2 2 4 3" xfId="26272" xr:uid="{00000000-0005-0000-0000-0000BD620000}"/>
    <cellStyle name="Labels - Style3 2 2 5" xfId="26273" xr:uid="{00000000-0005-0000-0000-0000BE620000}"/>
    <cellStyle name="Labels - Style3 2 2 5 2" xfId="26274" xr:uid="{00000000-0005-0000-0000-0000BF620000}"/>
    <cellStyle name="Labels - Style3 2 2 5 3" xfId="26275" xr:uid="{00000000-0005-0000-0000-0000C0620000}"/>
    <cellStyle name="Labels - Style3 2 2 6" xfId="26276" xr:uid="{00000000-0005-0000-0000-0000C1620000}"/>
    <cellStyle name="Labels - Style3 2 2 6 2" xfId="26277" xr:uid="{00000000-0005-0000-0000-0000C2620000}"/>
    <cellStyle name="Labels - Style3 2 2 6 3" xfId="26278" xr:uid="{00000000-0005-0000-0000-0000C3620000}"/>
    <cellStyle name="Labels - Style3 2 2 7" xfId="26279" xr:uid="{00000000-0005-0000-0000-0000C4620000}"/>
    <cellStyle name="Labels - Style3 2 2 7 2" xfId="26280" xr:uid="{00000000-0005-0000-0000-0000C5620000}"/>
    <cellStyle name="Labels - Style3 2 2 7 3" xfId="26281" xr:uid="{00000000-0005-0000-0000-0000C6620000}"/>
    <cellStyle name="Labels - Style3 2 2 8" xfId="26282" xr:uid="{00000000-0005-0000-0000-0000C7620000}"/>
    <cellStyle name="Labels - Style3 2 2 8 2" xfId="26283" xr:uid="{00000000-0005-0000-0000-0000C8620000}"/>
    <cellStyle name="Labels - Style3 2 2 8 3" xfId="26284" xr:uid="{00000000-0005-0000-0000-0000C9620000}"/>
    <cellStyle name="Labels - Style3 2 2 9" xfId="26285" xr:uid="{00000000-0005-0000-0000-0000CA620000}"/>
    <cellStyle name="Labels - Style3 2 3" xfId="26286" xr:uid="{00000000-0005-0000-0000-0000CB620000}"/>
    <cellStyle name="Labels - Style3 2 3 10" xfId="26287" xr:uid="{00000000-0005-0000-0000-0000CC620000}"/>
    <cellStyle name="Labels - Style3 2 3 2" xfId="26288" xr:uid="{00000000-0005-0000-0000-0000CD620000}"/>
    <cellStyle name="Labels - Style3 2 3 2 2" xfId="26289" xr:uid="{00000000-0005-0000-0000-0000CE620000}"/>
    <cellStyle name="Labels - Style3 2 3 2 2 2" xfId="26290" xr:uid="{00000000-0005-0000-0000-0000CF620000}"/>
    <cellStyle name="Labels - Style3 2 3 2 2 3" xfId="26291" xr:uid="{00000000-0005-0000-0000-0000D0620000}"/>
    <cellStyle name="Labels - Style3 2 3 2 3" xfId="26292" xr:uid="{00000000-0005-0000-0000-0000D1620000}"/>
    <cellStyle name="Labels - Style3 2 3 2 3 2" xfId="26293" xr:uid="{00000000-0005-0000-0000-0000D2620000}"/>
    <cellStyle name="Labels - Style3 2 3 2 3 3" xfId="26294" xr:uid="{00000000-0005-0000-0000-0000D3620000}"/>
    <cellStyle name="Labels - Style3 2 3 2 4" xfId="26295" xr:uid="{00000000-0005-0000-0000-0000D4620000}"/>
    <cellStyle name="Labels - Style3 2 3 2 4 2" xfId="26296" xr:uid="{00000000-0005-0000-0000-0000D5620000}"/>
    <cellStyle name="Labels - Style3 2 3 2 4 3" xfId="26297" xr:uid="{00000000-0005-0000-0000-0000D6620000}"/>
    <cellStyle name="Labels - Style3 2 3 2 5" xfId="26298" xr:uid="{00000000-0005-0000-0000-0000D7620000}"/>
    <cellStyle name="Labels - Style3 2 3 2 5 2" xfId="26299" xr:uid="{00000000-0005-0000-0000-0000D8620000}"/>
    <cellStyle name="Labels - Style3 2 3 2 5 3" xfId="26300" xr:uid="{00000000-0005-0000-0000-0000D9620000}"/>
    <cellStyle name="Labels - Style3 2 3 2 6" xfId="26301" xr:uid="{00000000-0005-0000-0000-0000DA620000}"/>
    <cellStyle name="Labels - Style3 2 3 2 6 2" xfId="26302" xr:uid="{00000000-0005-0000-0000-0000DB620000}"/>
    <cellStyle name="Labels - Style3 2 3 2 6 3" xfId="26303" xr:uid="{00000000-0005-0000-0000-0000DC620000}"/>
    <cellStyle name="Labels - Style3 2 3 2 7" xfId="26304" xr:uid="{00000000-0005-0000-0000-0000DD620000}"/>
    <cellStyle name="Labels - Style3 2 3 2 7 2" xfId="26305" xr:uid="{00000000-0005-0000-0000-0000DE620000}"/>
    <cellStyle name="Labels - Style3 2 3 2 7 3" xfId="26306" xr:uid="{00000000-0005-0000-0000-0000DF620000}"/>
    <cellStyle name="Labels - Style3 2 3 2 8" xfId="26307" xr:uid="{00000000-0005-0000-0000-0000E0620000}"/>
    <cellStyle name="Labels - Style3 2 3 2 9" xfId="26308" xr:uid="{00000000-0005-0000-0000-0000E1620000}"/>
    <cellStyle name="Labels - Style3 2 3 3" xfId="26309" xr:uid="{00000000-0005-0000-0000-0000E2620000}"/>
    <cellStyle name="Labels - Style3 2 3 3 2" xfId="26310" xr:uid="{00000000-0005-0000-0000-0000E3620000}"/>
    <cellStyle name="Labels - Style3 2 3 3 3" xfId="26311" xr:uid="{00000000-0005-0000-0000-0000E4620000}"/>
    <cellStyle name="Labels - Style3 2 3 4" xfId="26312" xr:uid="{00000000-0005-0000-0000-0000E5620000}"/>
    <cellStyle name="Labels - Style3 2 3 4 2" xfId="26313" xr:uid="{00000000-0005-0000-0000-0000E6620000}"/>
    <cellStyle name="Labels - Style3 2 3 4 3" xfId="26314" xr:uid="{00000000-0005-0000-0000-0000E7620000}"/>
    <cellStyle name="Labels - Style3 2 3 5" xfId="26315" xr:uid="{00000000-0005-0000-0000-0000E8620000}"/>
    <cellStyle name="Labels - Style3 2 3 5 2" xfId="26316" xr:uid="{00000000-0005-0000-0000-0000E9620000}"/>
    <cellStyle name="Labels - Style3 2 3 5 3" xfId="26317" xr:uid="{00000000-0005-0000-0000-0000EA620000}"/>
    <cellStyle name="Labels - Style3 2 3 6" xfId="26318" xr:uid="{00000000-0005-0000-0000-0000EB620000}"/>
    <cellStyle name="Labels - Style3 2 3 6 2" xfId="26319" xr:uid="{00000000-0005-0000-0000-0000EC620000}"/>
    <cellStyle name="Labels - Style3 2 3 6 3" xfId="26320" xr:uid="{00000000-0005-0000-0000-0000ED620000}"/>
    <cellStyle name="Labels - Style3 2 3 7" xfId="26321" xr:uid="{00000000-0005-0000-0000-0000EE620000}"/>
    <cellStyle name="Labels - Style3 2 3 7 2" xfId="26322" xr:uid="{00000000-0005-0000-0000-0000EF620000}"/>
    <cellStyle name="Labels - Style3 2 3 7 3" xfId="26323" xr:uid="{00000000-0005-0000-0000-0000F0620000}"/>
    <cellStyle name="Labels - Style3 2 3 8" xfId="26324" xr:uid="{00000000-0005-0000-0000-0000F1620000}"/>
    <cellStyle name="Labels - Style3 2 3 8 2" xfId="26325" xr:uid="{00000000-0005-0000-0000-0000F2620000}"/>
    <cellStyle name="Labels - Style3 2 3 8 3" xfId="26326" xr:uid="{00000000-0005-0000-0000-0000F3620000}"/>
    <cellStyle name="Labels - Style3 2 3 9" xfId="26327" xr:uid="{00000000-0005-0000-0000-0000F4620000}"/>
    <cellStyle name="Labels - Style3 2 4" xfId="26328" xr:uid="{00000000-0005-0000-0000-0000F5620000}"/>
    <cellStyle name="Labels - Style3 2 4 10" xfId="26329" xr:uid="{00000000-0005-0000-0000-0000F6620000}"/>
    <cellStyle name="Labels - Style3 2 4 2" xfId="26330" xr:uid="{00000000-0005-0000-0000-0000F7620000}"/>
    <cellStyle name="Labels - Style3 2 4 2 2" xfId="26331" xr:uid="{00000000-0005-0000-0000-0000F8620000}"/>
    <cellStyle name="Labels - Style3 2 4 2 2 2" xfId="26332" xr:uid="{00000000-0005-0000-0000-0000F9620000}"/>
    <cellStyle name="Labels - Style3 2 4 2 2 3" xfId="26333" xr:uid="{00000000-0005-0000-0000-0000FA620000}"/>
    <cellStyle name="Labels - Style3 2 4 2 3" xfId="26334" xr:uid="{00000000-0005-0000-0000-0000FB620000}"/>
    <cellStyle name="Labels - Style3 2 4 2 3 2" xfId="26335" xr:uid="{00000000-0005-0000-0000-0000FC620000}"/>
    <cellStyle name="Labels - Style3 2 4 2 3 3" xfId="26336" xr:uid="{00000000-0005-0000-0000-0000FD620000}"/>
    <cellStyle name="Labels - Style3 2 4 2 4" xfId="26337" xr:uid="{00000000-0005-0000-0000-0000FE620000}"/>
    <cellStyle name="Labels - Style3 2 4 2 4 2" xfId="26338" xr:uid="{00000000-0005-0000-0000-0000FF620000}"/>
    <cellStyle name="Labels - Style3 2 4 2 4 3" xfId="26339" xr:uid="{00000000-0005-0000-0000-000000630000}"/>
    <cellStyle name="Labels - Style3 2 4 2 5" xfId="26340" xr:uid="{00000000-0005-0000-0000-000001630000}"/>
    <cellStyle name="Labels - Style3 2 4 2 5 2" xfId="26341" xr:uid="{00000000-0005-0000-0000-000002630000}"/>
    <cellStyle name="Labels - Style3 2 4 2 5 3" xfId="26342" xr:uid="{00000000-0005-0000-0000-000003630000}"/>
    <cellStyle name="Labels - Style3 2 4 2 6" xfId="26343" xr:uid="{00000000-0005-0000-0000-000004630000}"/>
    <cellStyle name="Labels - Style3 2 4 2 6 2" xfId="26344" xr:uid="{00000000-0005-0000-0000-000005630000}"/>
    <cellStyle name="Labels - Style3 2 4 2 6 3" xfId="26345" xr:uid="{00000000-0005-0000-0000-000006630000}"/>
    <cellStyle name="Labels - Style3 2 4 2 7" xfId="26346" xr:uid="{00000000-0005-0000-0000-000007630000}"/>
    <cellStyle name="Labels - Style3 2 4 2 7 2" xfId="26347" xr:uid="{00000000-0005-0000-0000-000008630000}"/>
    <cellStyle name="Labels - Style3 2 4 2 7 3" xfId="26348" xr:uid="{00000000-0005-0000-0000-000009630000}"/>
    <cellStyle name="Labels - Style3 2 4 2 8" xfId="26349" xr:uid="{00000000-0005-0000-0000-00000A630000}"/>
    <cellStyle name="Labels - Style3 2 4 2 9" xfId="26350" xr:uid="{00000000-0005-0000-0000-00000B630000}"/>
    <cellStyle name="Labels - Style3 2 4 3" xfId="26351" xr:uid="{00000000-0005-0000-0000-00000C630000}"/>
    <cellStyle name="Labels - Style3 2 4 3 2" xfId="26352" xr:uid="{00000000-0005-0000-0000-00000D630000}"/>
    <cellStyle name="Labels - Style3 2 4 3 3" xfId="26353" xr:uid="{00000000-0005-0000-0000-00000E630000}"/>
    <cellStyle name="Labels - Style3 2 4 4" xfId="26354" xr:uid="{00000000-0005-0000-0000-00000F630000}"/>
    <cellStyle name="Labels - Style3 2 4 4 2" xfId="26355" xr:uid="{00000000-0005-0000-0000-000010630000}"/>
    <cellStyle name="Labels - Style3 2 4 4 3" xfId="26356" xr:uid="{00000000-0005-0000-0000-000011630000}"/>
    <cellStyle name="Labels - Style3 2 4 5" xfId="26357" xr:uid="{00000000-0005-0000-0000-000012630000}"/>
    <cellStyle name="Labels - Style3 2 4 5 2" xfId="26358" xr:uid="{00000000-0005-0000-0000-000013630000}"/>
    <cellStyle name="Labels - Style3 2 4 5 3" xfId="26359" xr:uid="{00000000-0005-0000-0000-000014630000}"/>
    <cellStyle name="Labels - Style3 2 4 6" xfId="26360" xr:uid="{00000000-0005-0000-0000-000015630000}"/>
    <cellStyle name="Labels - Style3 2 4 6 2" xfId="26361" xr:uid="{00000000-0005-0000-0000-000016630000}"/>
    <cellStyle name="Labels - Style3 2 4 6 3" xfId="26362" xr:uid="{00000000-0005-0000-0000-000017630000}"/>
    <cellStyle name="Labels - Style3 2 4 7" xfId="26363" xr:uid="{00000000-0005-0000-0000-000018630000}"/>
    <cellStyle name="Labels - Style3 2 4 7 2" xfId="26364" xr:uid="{00000000-0005-0000-0000-000019630000}"/>
    <cellStyle name="Labels - Style3 2 4 7 3" xfId="26365" xr:uid="{00000000-0005-0000-0000-00001A630000}"/>
    <cellStyle name="Labels - Style3 2 4 8" xfId="26366" xr:uid="{00000000-0005-0000-0000-00001B630000}"/>
    <cellStyle name="Labels - Style3 2 4 8 2" xfId="26367" xr:uid="{00000000-0005-0000-0000-00001C630000}"/>
    <cellStyle name="Labels - Style3 2 4 8 3" xfId="26368" xr:uid="{00000000-0005-0000-0000-00001D630000}"/>
    <cellStyle name="Labels - Style3 2 4 9" xfId="26369" xr:uid="{00000000-0005-0000-0000-00001E630000}"/>
    <cellStyle name="Labels - Style3 2 5" xfId="26370" xr:uid="{00000000-0005-0000-0000-00001F630000}"/>
    <cellStyle name="Labels - Style3 2 5 10" xfId="26371" xr:uid="{00000000-0005-0000-0000-000020630000}"/>
    <cellStyle name="Labels - Style3 2 5 2" xfId="26372" xr:uid="{00000000-0005-0000-0000-000021630000}"/>
    <cellStyle name="Labels - Style3 2 5 2 2" xfId="26373" xr:uid="{00000000-0005-0000-0000-000022630000}"/>
    <cellStyle name="Labels - Style3 2 5 2 2 2" xfId="26374" xr:uid="{00000000-0005-0000-0000-000023630000}"/>
    <cellStyle name="Labels - Style3 2 5 2 2 3" xfId="26375" xr:uid="{00000000-0005-0000-0000-000024630000}"/>
    <cellStyle name="Labels - Style3 2 5 2 3" xfId="26376" xr:uid="{00000000-0005-0000-0000-000025630000}"/>
    <cellStyle name="Labels - Style3 2 5 2 3 2" xfId="26377" xr:uid="{00000000-0005-0000-0000-000026630000}"/>
    <cellStyle name="Labels - Style3 2 5 2 3 3" xfId="26378" xr:uid="{00000000-0005-0000-0000-000027630000}"/>
    <cellStyle name="Labels - Style3 2 5 2 4" xfId="26379" xr:uid="{00000000-0005-0000-0000-000028630000}"/>
    <cellStyle name="Labels - Style3 2 5 2 4 2" xfId="26380" xr:uid="{00000000-0005-0000-0000-000029630000}"/>
    <cellStyle name="Labels - Style3 2 5 2 4 3" xfId="26381" xr:uid="{00000000-0005-0000-0000-00002A630000}"/>
    <cellStyle name="Labels - Style3 2 5 2 5" xfId="26382" xr:uid="{00000000-0005-0000-0000-00002B630000}"/>
    <cellStyle name="Labels - Style3 2 5 2 5 2" xfId="26383" xr:uid="{00000000-0005-0000-0000-00002C630000}"/>
    <cellStyle name="Labels - Style3 2 5 2 5 3" xfId="26384" xr:uid="{00000000-0005-0000-0000-00002D630000}"/>
    <cellStyle name="Labels - Style3 2 5 2 6" xfId="26385" xr:uid="{00000000-0005-0000-0000-00002E630000}"/>
    <cellStyle name="Labels - Style3 2 5 2 6 2" xfId="26386" xr:uid="{00000000-0005-0000-0000-00002F630000}"/>
    <cellStyle name="Labels - Style3 2 5 2 6 3" xfId="26387" xr:uid="{00000000-0005-0000-0000-000030630000}"/>
    <cellStyle name="Labels - Style3 2 5 2 7" xfId="26388" xr:uid="{00000000-0005-0000-0000-000031630000}"/>
    <cellStyle name="Labels - Style3 2 5 2 7 2" xfId="26389" xr:uid="{00000000-0005-0000-0000-000032630000}"/>
    <cellStyle name="Labels - Style3 2 5 2 7 3" xfId="26390" xr:uid="{00000000-0005-0000-0000-000033630000}"/>
    <cellStyle name="Labels - Style3 2 5 2 8" xfId="26391" xr:uid="{00000000-0005-0000-0000-000034630000}"/>
    <cellStyle name="Labels - Style3 2 5 2 9" xfId="26392" xr:uid="{00000000-0005-0000-0000-000035630000}"/>
    <cellStyle name="Labels - Style3 2 5 3" xfId="26393" xr:uid="{00000000-0005-0000-0000-000036630000}"/>
    <cellStyle name="Labels - Style3 2 5 3 2" xfId="26394" xr:uid="{00000000-0005-0000-0000-000037630000}"/>
    <cellStyle name="Labels - Style3 2 5 3 3" xfId="26395" xr:uid="{00000000-0005-0000-0000-000038630000}"/>
    <cellStyle name="Labels - Style3 2 5 4" xfId="26396" xr:uid="{00000000-0005-0000-0000-000039630000}"/>
    <cellStyle name="Labels - Style3 2 5 4 2" xfId="26397" xr:uid="{00000000-0005-0000-0000-00003A630000}"/>
    <cellStyle name="Labels - Style3 2 5 4 3" xfId="26398" xr:uid="{00000000-0005-0000-0000-00003B630000}"/>
    <cellStyle name="Labels - Style3 2 5 5" xfId="26399" xr:uid="{00000000-0005-0000-0000-00003C630000}"/>
    <cellStyle name="Labels - Style3 2 5 5 2" xfId="26400" xr:uid="{00000000-0005-0000-0000-00003D630000}"/>
    <cellStyle name="Labels - Style3 2 5 5 3" xfId="26401" xr:uid="{00000000-0005-0000-0000-00003E630000}"/>
    <cellStyle name="Labels - Style3 2 5 6" xfId="26402" xr:uid="{00000000-0005-0000-0000-00003F630000}"/>
    <cellStyle name="Labels - Style3 2 5 6 2" xfId="26403" xr:uid="{00000000-0005-0000-0000-000040630000}"/>
    <cellStyle name="Labels - Style3 2 5 6 3" xfId="26404" xr:uid="{00000000-0005-0000-0000-000041630000}"/>
    <cellStyle name="Labels - Style3 2 5 7" xfId="26405" xr:uid="{00000000-0005-0000-0000-000042630000}"/>
    <cellStyle name="Labels - Style3 2 5 7 2" xfId="26406" xr:uid="{00000000-0005-0000-0000-000043630000}"/>
    <cellStyle name="Labels - Style3 2 5 7 3" xfId="26407" xr:uid="{00000000-0005-0000-0000-000044630000}"/>
    <cellStyle name="Labels - Style3 2 5 8" xfId="26408" xr:uid="{00000000-0005-0000-0000-000045630000}"/>
    <cellStyle name="Labels - Style3 2 5 8 2" xfId="26409" xr:uid="{00000000-0005-0000-0000-000046630000}"/>
    <cellStyle name="Labels - Style3 2 5 8 3" xfId="26410" xr:uid="{00000000-0005-0000-0000-000047630000}"/>
    <cellStyle name="Labels - Style3 2 5 9" xfId="26411" xr:uid="{00000000-0005-0000-0000-000048630000}"/>
    <cellStyle name="Labels - Style3 2 6" xfId="26412" xr:uid="{00000000-0005-0000-0000-000049630000}"/>
    <cellStyle name="Labels - Style3 2 6 2" xfId="26413" xr:uid="{00000000-0005-0000-0000-00004A630000}"/>
    <cellStyle name="Labels - Style3 2 6 2 2" xfId="26414" xr:uid="{00000000-0005-0000-0000-00004B630000}"/>
    <cellStyle name="Labels - Style3 2 6 2 3" xfId="26415" xr:uid="{00000000-0005-0000-0000-00004C630000}"/>
    <cellStyle name="Labels - Style3 2 6 3" xfId="26416" xr:uid="{00000000-0005-0000-0000-00004D630000}"/>
    <cellStyle name="Labels - Style3 2 6 3 2" xfId="26417" xr:uid="{00000000-0005-0000-0000-00004E630000}"/>
    <cellStyle name="Labels - Style3 2 6 3 3" xfId="26418" xr:uid="{00000000-0005-0000-0000-00004F630000}"/>
    <cellStyle name="Labels - Style3 2 6 4" xfId="26419" xr:uid="{00000000-0005-0000-0000-000050630000}"/>
    <cellStyle name="Labels - Style3 2 6 4 2" xfId="26420" xr:uid="{00000000-0005-0000-0000-000051630000}"/>
    <cellStyle name="Labels - Style3 2 6 4 3" xfId="26421" xr:uid="{00000000-0005-0000-0000-000052630000}"/>
    <cellStyle name="Labels - Style3 2 6 5" xfId="26422" xr:uid="{00000000-0005-0000-0000-000053630000}"/>
    <cellStyle name="Labels - Style3 2 6 5 2" xfId="26423" xr:uid="{00000000-0005-0000-0000-000054630000}"/>
    <cellStyle name="Labels - Style3 2 6 5 3" xfId="26424" xr:uid="{00000000-0005-0000-0000-000055630000}"/>
    <cellStyle name="Labels - Style3 2 6 6" xfId="26425" xr:uid="{00000000-0005-0000-0000-000056630000}"/>
    <cellStyle name="Labels - Style3 2 6 6 2" xfId="26426" xr:uid="{00000000-0005-0000-0000-000057630000}"/>
    <cellStyle name="Labels - Style3 2 6 6 3" xfId="26427" xr:uid="{00000000-0005-0000-0000-000058630000}"/>
    <cellStyle name="Labels - Style3 2 6 7" xfId="26428" xr:uid="{00000000-0005-0000-0000-000059630000}"/>
    <cellStyle name="Labels - Style3 2 6 7 2" xfId="26429" xr:uid="{00000000-0005-0000-0000-00005A630000}"/>
    <cellStyle name="Labels - Style3 2 6 7 3" xfId="26430" xr:uid="{00000000-0005-0000-0000-00005B630000}"/>
    <cellStyle name="Labels - Style3 2 6 8" xfId="26431" xr:uid="{00000000-0005-0000-0000-00005C630000}"/>
    <cellStyle name="Labels - Style3 2 6 9" xfId="26432" xr:uid="{00000000-0005-0000-0000-00005D630000}"/>
    <cellStyle name="Labels - Style3 2 7" xfId="26433" xr:uid="{00000000-0005-0000-0000-00005E630000}"/>
    <cellStyle name="Labels - Style3 2 7 2" xfId="26434" xr:uid="{00000000-0005-0000-0000-00005F630000}"/>
    <cellStyle name="Labels - Style3 2 7 3" xfId="26435" xr:uid="{00000000-0005-0000-0000-000060630000}"/>
    <cellStyle name="Labels - Style3 2 8" xfId="26436" xr:uid="{00000000-0005-0000-0000-000061630000}"/>
    <cellStyle name="Labels - Style3 2 8 2" xfId="26437" xr:uid="{00000000-0005-0000-0000-000062630000}"/>
    <cellStyle name="Labels - Style3 2 8 3" xfId="26438" xr:uid="{00000000-0005-0000-0000-000063630000}"/>
    <cellStyle name="Labels - Style3 2 9" xfId="44096" xr:uid="{00000000-0005-0000-0000-000064630000}"/>
    <cellStyle name="Labels - Style3 3" xfId="26439" xr:uid="{00000000-0005-0000-0000-000065630000}"/>
    <cellStyle name="Labels - Style3 3 2" xfId="26440" xr:uid="{00000000-0005-0000-0000-000066630000}"/>
    <cellStyle name="Labels - Style3 3 2 10" xfId="26441" xr:uid="{00000000-0005-0000-0000-000067630000}"/>
    <cellStyle name="Labels - Style3 3 2 2" xfId="26442" xr:uid="{00000000-0005-0000-0000-000068630000}"/>
    <cellStyle name="Labels - Style3 3 2 2 2" xfId="26443" xr:uid="{00000000-0005-0000-0000-000069630000}"/>
    <cellStyle name="Labels - Style3 3 2 2 2 2" xfId="26444" xr:uid="{00000000-0005-0000-0000-00006A630000}"/>
    <cellStyle name="Labels - Style3 3 2 2 2 3" xfId="26445" xr:uid="{00000000-0005-0000-0000-00006B630000}"/>
    <cellStyle name="Labels - Style3 3 2 2 3" xfId="26446" xr:uid="{00000000-0005-0000-0000-00006C630000}"/>
    <cellStyle name="Labels - Style3 3 2 2 3 2" xfId="26447" xr:uid="{00000000-0005-0000-0000-00006D630000}"/>
    <cellStyle name="Labels - Style3 3 2 2 3 3" xfId="26448" xr:uid="{00000000-0005-0000-0000-00006E630000}"/>
    <cellStyle name="Labels - Style3 3 2 2 4" xfId="26449" xr:uid="{00000000-0005-0000-0000-00006F630000}"/>
    <cellStyle name="Labels - Style3 3 2 2 4 2" xfId="26450" xr:uid="{00000000-0005-0000-0000-000070630000}"/>
    <cellStyle name="Labels - Style3 3 2 2 4 3" xfId="26451" xr:uid="{00000000-0005-0000-0000-000071630000}"/>
    <cellStyle name="Labels - Style3 3 2 2 5" xfId="26452" xr:uid="{00000000-0005-0000-0000-000072630000}"/>
    <cellStyle name="Labels - Style3 3 2 2 5 2" xfId="26453" xr:uid="{00000000-0005-0000-0000-000073630000}"/>
    <cellStyle name="Labels - Style3 3 2 2 5 3" xfId="26454" xr:uid="{00000000-0005-0000-0000-000074630000}"/>
    <cellStyle name="Labels - Style3 3 2 2 6" xfId="26455" xr:uid="{00000000-0005-0000-0000-000075630000}"/>
    <cellStyle name="Labels - Style3 3 2 2 6 2" xfId="26456" xr:uid="{00000000-0005-0000-0000-000076630000}"/>
    <cellStyle name="Labels - Style3 3 2 2 6 3" xfId="26457" xr:uid="{00000000-0005-0000-0000-000077630000}"/>
    <cellStyle name="Labels - Style3 3 2 2 7" xfId="26458" xr:uid="{00000000-0005-0000-0000-000078630000}"/>
    <cellStyle name="Labels - Style3 3 2 2 7 2" xfId="26459" xr:uid="{00000000-0005-0000-0000-000079630000}"/>
    <cellStyle name="Labels - Style3 3 2 2 7 3" xfId="26460" xr:uid="{00000000-0005-0000-0000-00007A630000}"/>
    <cellStyle name="Labels - Style3 3 2 2 8" xfId="26461" xr:uid="{00000000-0005-0000-0000-00007B630000}"/>
    <cellStyle name="Labels - Style3 3 2 2 9" xfId="26462" xr:uid="{00000000-0005-0000-0000-00007C630000}"/>
    <cellStyle name="Labels - Style3 3 2 3" xfId="26463" xr:uid="{00000000-0005-0000-0000-00007D630000}"/>
    <cellStyle name="Labels - Style3 3 2 3 2" xfId="26464" xr:uid="{00000000-0005-0000-0000-00007E630000}"/>
    <cellStyle name="Labels - Style3 3 2 3 3" xfId="26465" xr:uid="{00000000-0005-0000-0000-00007F630000}"/>
    <cellStyle name="Labels - Style3 3 2 4" xfId="26466" xr:uid="{00000000-0005-0000-0000-000080630000}"/>
    <cellStyle name="Labels - Style3 3 2 4 2" xfId="26467" xr:uid="{00000000-0005-0000-0000-000081630000}"/>
    <cellStyle name="Labels - Style3 3 2 4 3" xfId="26468" xr:uid="{00000000-0005-0000-0000-000082630000}"/>
    <cellStyle name="Labels - Style3 3 2 5" xfId="26469" xr:uid="{00000000-0005-0000-0000-000083630000}"/>
    <cellStyle name="Labels - Style3 3 2 5 2" xfId="26470" xr:uid="{00000000-0005-0000-0000-000084630000}"/>
    <cellStyle name="Labels - Style3 3 2 5 3" xfId="26471" xr:uid="{00000000-0005-0000-0000-000085630000}"/>
    <cellStyle name="Labels - Style3 3 2 6" xfId="26472" xr:uid="{00000000-0005-0000-0000-000086630000}"/>
    <cellStyle name="Labels - Style3 3 2 6 2" xfId="26473" xr:uid="{00000000-0005-0000-0000-000087630000}"/>
    <cellStyle name="Labels - Style3 3 2 6 3" xfId="26474" xr:uid="{00000000-0005-0000-0000-000088630000}"/>
    <cellStyle name="Labels - Style3 3 2 7" xfId="26475" xr:uid="{00000000-0005-0000-0000-000089630000}"/>
    <cellStyle name="Labels - Style3 3 2 7 2" xfId="26476" xr:uid="{00000000-0005-0000-0000-00008A630000}"/>
    <cellStyle name="Labels - Style3 3 2 7 3" xfId="26477" xr:uid="{00000000-0005-0000-0000-00008B630000}"/>
    <cellStyle name="Labels - Style3 3 2 8" xfId="26478" xr:uid="{00000000-0005-0000-0000-00008C630000}"/>
    <cellStyle name="Labels - Style3 3 2 8 2" xfId="26479" xr:uid="{00000000-0005-0000-0000-00008D630000}"/>
    <cellStyle name="Labels - Style3 3 2 8 3" xfId="26480" xr:uid="{00000000-0005-0000-0000-00008E630000}"/>
    <cellStyle name="Labels - Style3 3 2 9" xfId="26481" xr:uid="{00000000-0005-0000-0000-00008F630000}"/>
    <cellStyle name="Labels - Style3 3 3" xfId="26482" xr:uid="{00000000-0005-0000-0000-000090630000}"/>
    <cellStyle name="Labels - Style3 3 3 10" xfId="26483" xr:uid="{00000000-0005-0000-0000-000091630000}"/>
    <cellStyle name="Labels - Style3 3 3 2" xfId="26484" xr:uid="{00000000-0005-0000-0000-000092630000}"/>
    <cellStyle name="Labels - Style3 3 3 2 2" xfId="26485" xr:uid="{00000000-0005-0000-0000-000093630000}"/>
    <cellStyle name="Labels - Style3 3 3 2 2 2" xfId="26486" xr:uid="{00000000-0005-0000-0000-000094630000}"/>
    <cellStyle name="Labels - Style3 3 3 2 2 3" xfId="26487" xr:uid="{00000000-0005-0000-0000-000095630000}"/>
    <cellStyle name="Labels - Style3 3 3 2 3" xfId="26488" xr:uid="{00000000-0005-0000-0000-000096630000}"/>
    <cellStyle name="Labels - Style3 3 3 2 3 2" xfId="26489" xr:uid="{00000000-0005-0000-0000-000097630000}"/>
    <cellStyle name="Labels - Style3 3 3 2 3 3" xfId="26490" xr:uid="{00000000-0005-0000-0000-000098630000}"/>
    <cellStyle name="Labels - Style3 3 3 2 4" xfId="26491" xr:uid="{00000000-0005-0000-0000-000099630000}"/>
    <cellStyle name="Labels - Style3 3 3 2 4 2" xfId="26492" xr:uid="{00000000-0005-0000-0000-00009A630000}"/>
    <cellStyle name="Labels - Style3 3 3 2 4 3" xfId="26493" xr:uid="{00000000-0005-0000-0000-00009B630000}"/>
    <cellStyle name="Labels - Style3 3 3 2 5" xfId="26494" xr:uid="{00000000-0005-0000-0000-00009C630000}"/>
    <cellStyle name="Labels - Style3 3 3 2 5 2" xfId="26495" xr:uid="{00000000-0005-0000-0000-00009D630000}"/>
    <cellStyle name="Labels - Style3 3 3 2 5 3" xfId="26496" xr:uid="{00000000-0005-0000-0000-00009E630000}"/>
    <cellStyle name="Labels - Style3 3 3 2 6" xfId="26497" xr:uid="{00000000-0005-0000-0000-00009F630000}"/>
    <cellStyle name="Labels - Style3 3 3 2 6 2" xfId="26498" xr:uid="{00000000-0005-0000-0000-0000A0630000}"/>
    <cellStyle name="Labels - Style3 3 3 2 6 3" xfId="26499" xr:uid="{00000000-0005-0000-0000-0000A1630000}"/>
    <cellStyle name="Labels - Style3 3 3 2 7" xfId="26500" xr:uid="{00000000-0005-0000-0000-0000A2630000}"/>
    <cellStyle name="Labels - Style3 3 3 2 7 2" xfId="26501" xr:uid="{00000000-0005-0000-0000-0000A3630000}"/>
    <cellStyle name="Labels - Style3 3 3 2 7 3" xfId="26502" xr:uid="{00000000-0005-0000-0000-0000A4630000}"/>
    <cellStyle name="Labels - Style3 3 3 2 8" xfId="26503" xr:uid="{00000000-0005-0000-0000-0000A5630000}"/>
    <cellStyle name="Labels - Style3 3 3 2 9" xfId="26504" xr:uid="{00000000-0005-0000-0000-0000A6630000}"/>
    <cellStyle name="Labels - Style3 3 3 3" xfId="26505" xr:uid="{00000000-0005-0000-0000-0000A7630000}"/>
    <cellStyle name="Labels - Style3 3 3 3 2" xfId="26506" xr:uid="{00000000-0005-0000-0000-0000A8630000}"/>
    <cellStyle name="Labels - Style3 3 3 3 3" xfId="26507" xr:uid="{00000000-0005-0000-0000-0000A9630000}"/>
    <cellStyle name="Labels - Style3 3 3 4" xfId="26508" xr:uid="{00000000-0005-0000-0000-0000AA630000}"/>
    <cellStyle name="Labels - Style3 3 3 4 2" xfId="26509" xr:uid="{00000000-0005-0000-0000-0000AB630000}"/>
    <cellStyle name="Labels - Style3 3 3 4 3" xfId="26510" xr:uid="{00000000-0005-0000-0000-0000AC630000}"/>
    <cellStyle name="Labels - Style3 3 3 5" xfId="26511" xr:uid="{00000000-0005-0000-0000-0000AD630000}"/>
    <cellStyle name="Labels - Style3 3 3 5 2" xfId="26512" xr:uid="{00000000-0005-0000-0000-0000AE630000}"/>
    <cellStyle name="Labels - Style3 3 3 5 3" xfId="26513" xr:uid="{00000000-0005-0000-0000-0000AF630000}"/>
    <cellStyle name="Labels - Style3 3 3 6" xfId="26514" xr:uid="{00000000-0005-0000-0000-0000B0630000}"/>
    <cellStyle name="Labels - Style3 3 3 6 2" xfId="26515" xr:uid="{00000000-0005-0000-0000-0000B1630000}"/>
    <cellStyle name="Labels - Style3 3 3 6 3" xfId="26516" xr:uid="{00000000-0005-0000-0000-0000B2630000}"/>
    <cellStyle name="Labels - Style3 3 3 7" xfId="26517" xr:uid="{00000000-0005-0000-0000-0000B3630000}"/>
    <cellStyle name="Labels - Style3 3 3 7 2" xfId="26518" xr:uid="{00000000-0005-0000-0000-0000B4630000}"/>
    <cellStyle name="Labels - Style3 3 3 7 3" xfId="26519" xr:uid="{00000000-0005-0000-0000-0000B5630000}"/>
    <cellStyle name="Labels - Style3 3 3 8" xfId="26520" xr:uid="{00000000-0005-0000-0000-0000B6630000}"/>
    <cellStyle name="Labels - Style3 3 3 8 2" xfId="26521" xr:uid="{00000000-0005-0000-0000-0000B7630000}"/>
    <cellStyle name="Labels - Style3 3 3 8 3" xfId="26522" xr:uid="{00000000-0005-0000-0000-0000B8630000}"/>
    <cellStyle name="Labels - Style3 3 3 9" xfId="26523" xr:uid="{00000000-0005-0000-0000-0000B9630000}"/>
    <cellStyle name="Labels - Style3 3 4" xfId="26524" xr:uid="{00000000-0005-0000-0000-0000BA630000}"/>
    <cellStyle name="Labels - Style3 3 4 10" xfId="26525" xr:uid="{00000000-0005-0000-0000-0000BB630000}"/>
    <cellStyle name="Labels - Style3 3 4 2" xfId="26526" xr:uid="{00000000-0005-0000-0000-0000BC630000}"/>
    <cellStyle name="Labels - Style3 3 4 2 2" xfId="26527" xr:uid="{00000000-0005-0000-0000-0000BD630000}"/>
    <cellStyle name="Labels - Style3 3 4 2 2 2" xfId="26528" xr:uid="{00000000-0005-0000-0000-0000BE630000}"/>
    <cellStyle name="Labels - Style3 3 4 2 2 3" xfId="26529" xr:uid="{00000000-0005-0000-0000-0000BF630000}"/>
    <cellStyle name="Labels - Style3 3 4 2 3" xfId="26530" xr:uid="{00000000-0005-0000-0000-0000C0630000}"/>
    <cellStyle name="Labels - Style3 3 4 2 3 2" xfId="26531" xr:uid="{00000000-0005-0000-0000-0000C1630000}"/>
    <cellStyle name="Labels - Style3 3 4 2 3 3" xfId="26532" xr:uid="{00000000-0005-0000-0000-0000C2630000}"/>
    <cellStyle name="Labels - Style3 3 4 2 4" xfId="26533" xr:uid="{00000000-0005-0000-0000-0000C3630000}"/>
    <cellStyle name="Labels - Style3 3 4 2 4 2" xfId="26534" xr:uid="{00000000-0005-0000-0000-0000C4630000}"/>
    <cellStyle name="Labels - Style3 3 4 2 4 3" xfId="26535" xr:uid="{00000000-0005-0000-0000-0000C5630000}"/>
    <cellStyle name="Labels - Style3 3 4 2 5" xfId="26536" xr:uid="{00000000-0005-0000-0000-0000C6630000}"/>
    <cellStyle name="Labels - Style3 3 4 2 5 2" xfId="26537" xr:uid="{00000000-0005-0000-0000-0000C7630000}"/>
    <cellStyle name="Labels - Style3 3 4 2 5 3" xfId="26538" xr:uid="{00000000-0005-0000-0000-0000C8630000}"/>
    <cellStyle name="Labels - Style3 3 4 2 6" xfId="26539" xr:uid="{00000000-0005-0000-0000-0000C9630000}"/>
    <cellStyle name="Labels - Style3 3 4 2 6 2" xfId="26540" xr:uid="{00000000-0005-0000-0000-0000CA630000}"/>
    <cellStyle name="Labels - Style3 3 4 2 6 3" xfId="26541" xr:uid="{00000000-0005-0000-0000-0000CB630000}"/>
    <cellStyle name="Labels - Style3 3 4 2 7" xfId="26542" xr:uid="{00000000-0005-0000-0000-0000CC630000}"/>
    <cellStyle name="Labels - Style3 3 4 2 7 2" xfId="26543" xr:uid="{00000000-0005-0000-0000-0000CD630000}"/>
    <cellStyle name="Labels - Style3 3 4 2 7 3" xfId="26544" xr:uid="{00000000-0005-0000-0000-0000CE630000}"/>
    <cellStyle name="Labels - Style3 3 4 2 8" xfId="26545" xr:uid="{00000000-0005-0000-0000-0000CF630000}"/>
    <cellStyle name="Labels - Style3 3 4 2 9" xfId="26546" xr:uid="{00000000-0005-0000-0000-0000D0630000}"/>
    <cellStyle name="Labels - Style3 3 4 3" xfId="26547" xr:uid="{00000000-0005-0000-0000-0000D1630000}"/>
    <cellStyle name="Labels - Style3 3 4 3 2" xfId="26548" xr:uid="{00000000-0005-0000-0000-0000D2630000}"/>
    <cellStyle name="Labels - Style3 3 4 3 3" xfId="26549" xr:uid="{00000000-0005-0000-0000-0000D3630000}"/>
    <cellStyle name="Labels - Style3 3 4 4" xfId="26550" xr:uid="{00000000-0005-0000-0000-0000D4630000}"/>
    <cellStyle name="Labels - Style3 3 4 4 2" xfId="26551" xr:uid="{00000000-0005-0000-0000-0000D5630000}"/>
    <cellStyle name="Labels - Style3 3 4 4 3" xfId="26552" xr:uid="{00000000-0005-0000-0000-0000D6630000}"/>
    <cellStyle name="Labels - Style3 3 4 5" xfId="26553" xr:uid="{00000000-0005-0000-0000-0000D7630000}"/>
    <cellStyle name="Labels - Style3 3 4 5 2" xfId="26554" xr:uid="{00000000-0005-0000-0000-0000D8630000}"/>
    <cellStyle name="Labels - Style3 3 4 5 3" xfId="26555" xr:uid="{00000000-0005-0000-0000-0000D9630000}"/>
    <cellStyle name="Labels - Style3 3 4 6" xfId="26556" xr:uid="{00000000-0005-0000-0000-0000DA630000}"/>
    <cellStyle name="Labels - Style3 3 4 6 2" xfId="26557" xr:uid="{00000000-0005-0000-0000-0000DB630000}"/>
    <cellStyle name="Labels - Style3 3 4 6 3" xfId="26558" xr:uid="{00000000-0005-0000-0000-0000DC630000}"/>
    <cellStyle name="Labels - Style3 3 4 7" xfId="26559" xr:uid="{00000000-0005-0000-0000-0000DD630000}"/>
    <cellStyle name="Labels - Style3 3 4 7 2" xfId="26560" xr:uid="{00000000-0005-0000-0000-0000DE630000}"/>
    <cellStyle name="Labels - Style3 3 4 7 3" xfId="26561" xr:uid="{00000000-0005-0000-0000-0000DF630000}"/>
    <cellStyle name="Labels - Style3 3 4 8" xfId="26562" xr:uid="{00000000-0005-0000-0000-0000E0630000}"/>
    <cellStyle name="Labels - Style3 3 4 8 2" xfId="26563" xr:uid="{00000000-0005-0000-0000-0000E1630000}"/>
    <cellStyle name="Labels - Style3 3 4 8 3" xfId="26564" xr:uid="{00000000-0005-0000-0000-0000E2630000}"/>
    <cellStyle name="Labels - Style3 3 4 9" xfId="26565" xr:uid="{00000000-0005-0000-0000-0000E3630000}"/>
    <cellStyle name="Labels - Style3 3 5" xfId="26566" xr:uid="{00000000-0005-0000-0000-0000E4630000}"/>
    <cellStyle name="Labels - Style3 3 5 10" xfId="26567" xr:uid="{00000000-0005-0000-0000-0000E5630000}"/>
    <cellStyle name="Labels - Style3 3 5 2" xfId="26568" xr:uid="{00000000-0005-0000-0000-0000E6630000}"/>
    <cellStyle name="Labels - Style3 3 5 2 2" xfId="26569" xr:uid="{00000000-0005-0000-0000-0000E7630000}"/>
    <cellStyle name="Labels - Style3 3 5 2 2 2" xfId="26570" xr:uid="{00000000-0005-0000-0000-0000E8630000}"/>
    <cellStyle name="Labels - Style3 3 5 2 2 3" xfId="26571" xr:uid="{00000000-0005-0000-0000-0000E9630000}"/>
    <cellStyle name="Labels - Style3 3 5 2 3" xfId="26572" xr:uid="{00000000-0005-0000-0000-0000EA630000}"/>
    <cellStyle name="Labels - Style3 3 5 2 3 2" xfId="26573" xr:uid="{00000000-0005-0000-0000-0000EB630000}"/>
    <cellStyle name="Labels - Style3 3 5 2 3 3" xfId="26574" xr:uid="{00000000-0005-0000-0000-0000EC630000}"/>
    <cellStyle name="Labels - Style3 3 5 2 4" xfId="26575" xr:uid="{00000000-0005-0000-0000-0000ED630000}"/>
    <cellStyle name="Labels - Style3 3 5 2 4 2" xfId="26576" xr:uid="{00000000-0005-0000-0000-0000EE630000}"/>
    <cellStyle name="Labels - Style3 3 5 2 4 3" xfId="26577" xr:uid="{00000000-0005-0000-0000-0000EF630000}"/>
    <cellStyle name="Labels - Style3 3 5 2 5" xfId="26578" xr:uid="{00000000-0005-0000-0000-0000F0630000}"/>
    <cellStyle name="Labels - Style3 3 5 2 5 2" xfId="26579" xr:uid="{00000000-0005-0000-0000-0000F1630000}"/>
    <cellStyle name="Labels - Style3 3 5 2 5 3" xfId="26580" xr:uid="{00000000-0005-0000-0000-0000F2630000}"/>
    <cellStyle name="Labels - Style3 3 5 2 6" xfId="26581" xr:uid="{00000000-0005-0000-0000-0000F3630000}"/>
    <cellStyle name="Labels - Style3 3 5 2 6 2" xfId="26582" xr:uid="{00000000-0005-0000-0000-0000F4630000}"/>
    <cellStyle name="Labels - Style3 3 5 2 6 3" xfId="26583" xr:uid="{00000000-0005-0000-0000-0000F5630000}"/>
    <cellStyle name="Labels - Style3 3 5 2 7" xfId="26584" xr:uid="{00000000-0005-0000-0000-0000F6630000}"/>
    <cellStyle name="Labels - Style3 3 5 2 7 2" xfId="26585" xr:uid="{00000000-0005-0000-0000-0000F7630000}"/>
    <cellStyle name="Labels - Style3 3 5 2 7 3" xfId="26586" xr:uid="{00000000-0005-0000-0000-0000F8630000}"/>
    <cellStyle name="Labels - Style3 3 5 2 8" xfId="26587" xr:uid="{00000000-0005-0000-0000-0000F9630000}"/>
    <cellStyle name="Labels - Style3 3 5 2 9" xfId="26588" xr:uid="{00000000-0005-0000-0000-0000FA630000}"/>
    <cellStyle name="Labels - Style3 3 5 3" xfId="26589" xr:uid="{00000000-0005-0000-0000-0000FB630000}"/>
    <cellStyle name="Labels - Style3 3 5 3 2" xfId="26590" xr:uid="{00000000-0005-0000-0000-0000FC630000}"/>
    <cellStyle name="Labels - Style3 3 5 3 3" xfId="26591" xr:uid="{00000000-0005-0000-0000-0000FD630000}"/>
    <cellStyle name="Labels - Style3 3 5 4" xfId="26592" xr:uid="{00000000-0005-0000-0000-0000FE630000}"/>
    <cellStyle name="Labels - Style3 3 5 4 2" xfId="26593" xr:uid="{00000000-0005-0000-0000-0000FF630000}"/>
    <cellStyle name="Labels - Style3 3 5 4 3" xfId="26594" xr:uid="{00000000-0005-0000-0000-000000640000}"/>
    <cellStyle name="Labels - Style3 3 5 5" xfId="26595" xr:uid="{00000000-0005-0000-0000-000001640000}"/>
    <cellStyle name="Labels - Style3 3 5 5 2" xfId="26596" xr:uid="{00000000-0005-0000-0000-000002640000}"/>
    <cellStyle name="Labels - Style3 3 5 5 3" xfId="26597" xr:uid="{00000000-0005-0000-0000-000003640000}"/>
    <cellStyle name="Labels - Style3 3 5 6" xfId="26598" xr:uid="{00000000-0005-0000-0000-000004640000}"/>
    <cellStyle name="Labels - Style3 3 5 6 2" xfId="26599" xr:uid="{00000000-0005-0000-0000-000005640000}"/>
    <cellStyle name="Labels - Style3 3 5 6 3" xfId="26600" xr:uid="{00000000-0005-0000-0000-000006640000}"/>
    <cellStyle name="Labels - Style3 3 5 7" xfId="26601" xr:uid="{00000000-0005-0000-0000-000007640000}"/>
    <cellStyle name="Labels - Style3 3 5 7 2" xfId="26602" xr:uid="{00000000-0005-0000-0000-000008640000}"/>
    <cellStyle name="Labels - Style3 3 5 7 3" xfId="26603" xr:uid="{00000000-0005-0000-0000-000009640000}"/>
    <cellStyle name="Labels - Style3 3 5 8" xfId="26604" xr:uid="{00000000-0005-0000-0000-00000A640000}"/>
    <cellStyle name="Labels - Style3 3 5 8 2" xfId="26605" xr:uid="{00000000-0005-0000-0000-00000B640000}"/>
    <cellStyle name="Labels - Style3 3 5 8 3" xfId="26606" xr:uid="{00000000-0005-0000-0000-00000C640000}"/>
    <cellStyle name="Labels - Style3 3 5 9" xfId="26607" xr:uid="{00000000-0005-0000-0000-00000D640000}"/>
    <cellStyle name="Labels - Style3 3 6" xfId="26608" xr:uid="{00000000-0005-0000-0000-00000E640000}"/>
    <cellStyle name="Labels - Style3 3 6 2" xfId="26609" xr:uid="{00000000-0005-0000-0000-00000F640000}"/>
    <cellStyle name="Labels - Style3 3 6 2 2" xfId="26610" xr:uid="{00000000-0005-0000-0000-000010640000}"/>
    <cellStyle name="Labels - Style3 3 6 2 3" xfId="26611" xr:uid="{00000000-0005-0000-0000-000011640000}"/>
    <cellStyle name="Labels - Style3 3 6 3" xfId="26612" xr:uid="{00000000-0005-0000-0000-000012640000}"/>
    <cellStyle name="Labels - Style3 3 6 3 2" xfId="26613" xr:uid="{00000000-0005-0000-0000-000013640000}"/>
    <cellStyle name="Labels - Style3 3 6 3 3" xfId="26614" xr:uid="{00000000-0005-0000-0000-000014640000}"/>
    <cellStyle name="Labels - Style3 3 6 4" xfId="26615" xr:uid="{00000000-0005-0000-0000-000015640000}"/>
    <cellStyle name="Labels - Style3 3 6 4 2" xfId="26616" xr:uid="{00000000-0005-0000-0000-000016640000}"/>
    <cellStyle name="Labels - Style3 3 6 4 3" xfId="26617" xr:uid="{00000000-0005-0000-0000-000017640000}"/>
    <cellStyle name="Labels - Style3 3 6 5" xfId="26618" xr:uid="{00000000-0005-0000-0000-000018640000}"/>
    <cellStyle name="Labels - Style3 3 6 5 2" xfId="26619" xr:uid="{00000000-0005-0000-0000-000019640000}"/>
    <cellStyle name="Labels - Style3 3 6 5 3" xfId="26620" xr:uid="{00000000-0005-0000-0000-00001A640000}"/>
    <cellStyle name="Labels - Style3 3 6 6" xfId="26621" xr:uid="{00000000-0005-0000-0000-00001B640000}"/>
    <cellStyle name="Labels - Style3 3 6 6 2" xfId="26622" xr:uid="{00000000-0005-0000-0000-00001C640000}"/>
    <cellStyle name="Labels - Style3 3 6 6 3" xfId="26623" xr:uid="{00000000-0005-0000-0000-00001D640000}"/>
    <cellStyle name="Labels - Style3 3 6 7" xfId="26624" xr:uid="{00000000-0005-0000-0000-00001E640000}"/>
    <cellStyle name="Labels - Style3 3 6 7 2" xfId="26625" xr:uid="{00000000-0005-0000-0000-00001F640000}"/>
    <cellStyle name="Labels - Style3 3 6 7 3" xfId="26626" xr:uid="{00000000-0005-0000-0000-000020640000}"/>
    <cellStyle name="Labels - Style3 3 6 8" xfId="26627" xr:uid="{00000000-0005-0000-0000-000021640000}"/>
    <cellStyle name="Labels - Style3 3 6 9" xfId="26628" xr:uid="{00000000-0005-0000-0000-000022640000}"/>
    <cellStyle name="Labels - Style3 3 7" xfId="26629" xr:uid="{00000000-0005-0000-0000-000023640000}"/>
    <cellStyle name="Labels - Style3 3 7 2" xfId="26630" xr:uid="{00000000-0005-0000-0000-000024640000}"/>
    <cellStyle name="Labels - Style3 3 7 3" xfId="26631" xr:uid="{00000000-0005-0000-0000-000025640000}"/>
    <cellStyle name="Labels - Style3 3 8" xfId="26632" xr:uid="{00000000-0005-0000-0000-000026640000}"/>
    <cellStyle name="Labels - Style3 3 8 2" xfId="26633" xr:uid="{00000000-0005-0000-0000-000027640000}"/>
    <cellStyle name="Labels - Style3 3 8 3" xfId="26634" xr:uid="{00000000-0005-0000-0000-000028640000}"/>
    <cellStyle name="Labels - Style3 3 9" xfId="44097" xr:uid="{00000000-0005-0000-0000-000029640000}"/>
    <cellStyle name="Labels - Style3 4" xfId="26635" xr:uid="{00000000-0005-0000-0000-00002A640000}"/>
    <cellStyle name="Labels - Style3 4 2" xfId="26636" xr:uid="{00000000-0005-0000-0000-00002B640000}"/>
    <cellStyle name="Labels - Style3 4 2 10" xfId="26637" xr:uid="{00000000-0005-0000-0000-00002C640000}"/>
    <cellStyle name="Labels - Style3 4 2 2" xfId="26638" xr:uid="{00000000-0005-0000-0000-00002D640000}"/>
    <cellStyle name="Labels - Style3 4 2 2 2" xfId="26639" xr:uid="{00000000-0005-0000-0000-00002E640000}"/>
    <cellStyle name="Labels - Style3 4 2 2 2 2" xfId="26640" xr:uid="{00000000-0005-0000-0000-00002F640000}"/>
    <cellStyle name="Labels - Style3 4 2 2 2 3" xfId="26641" xr:uid="{00000000-0005-0000-0000-000030640000}"/>
    <cellStyle name="Labels - Style3 4 2 2 3" xfId="26642" xr:uid="{00000000-0005-0000-0000-000031640000}"/>
    <cellStyle name="Labels - Style3 4 2 2 3 2" xfId="26643" xr:uid="{00000000-0005-0000-0000-000032640000}"/>
    <cellStyle name="Labels - Style3 4 2 2 3 3" xfId="26644" xr:uid="{00000000-0005-0000-0000-000033640000}"/>
    <cellStyle name="Labels - Style3 4 2 2 4" xfId="26645" xr:uid="{00000000-0005-0000-0000-000034640000}"/>
    <cellStyle name="Labels - Style3 4 2 2 4 2" xfId="26646" xr:uid="{00000000-0005-0000-0000-000035640000}"/>
    <cellStyle name="Labels - Style3 4 2 2 4 3" xfId="26647" xr:uid="{00000000-0005-0000-0000-000036640000}"/>
    <cellStyle name="Labels - Style3 4 2 2 5" xfId="26648" xr:uid="{00000000-0005-0000-0000-000037640000}"/>
    <cellStyle name="Labels - Style3 4 2 2 5 2" xfId="26649" xr:uid="{00000000-0005-0000-0000-000038640000}"/>
    <cellStyle name="Labels - Style3 4 2 2 5 3" xfId="26650" xr:uid="{00000000-0005-0000-0000-000039640000}"/>
    <cellStyle name="Labels - Style3 4 2 2 6" xfId="26651" xr:uid="{00000000-0005-0000-0000-00003A640000}"/>
    <cellStyle name="Labels - Style3 4 2 2 6 2" xfId="26652" xr:uid="{00000000-0005-0000-0000-00003B640000}"/>
    <cellStyle name="Labels - Style3 4 2 2 6 3" xfId="26653" xr:uid="{00000000-0005-0000-0000-00003C640000}"/>
    <cellStyle name="Labels - Style3 4 2 2 7" xfId="26654" xr:uid="{00000000-0005-0000-0000-00003D640000}"/>
    <cellStyle name="Labels - Style3 4 2 2 7 2" xfId="26655" xr:uid="{00000000-0005-0000-0000-00003E640000}"/>
    <cellStyle name="Labels - Style3 4 2 2 7 3" xfId="26656" xr:uid="{00000000-0005-0000-0000-00003F640000}"/>
    <cellStyle name="Labels - Style3 4 2 2 8" xfId="26657" xr:uid="{00000000-0005-0000-0000-000040640000}"/>
    <cellStyle name="Labels - Style3 4 2 2 9" xfId="26658" xr:uid="{00000000-0005-0000-0000-000041640000}"/>
    <cellStyle name="Labels - Style3 4 2 3" xfId="26659" xr:uid="{00000000-0005-0000-0000-000042640000}"/>
    <cellStyle name="Labels - Style3 4 2 3 2" xfId="26660" xr:uid="{00000000-0005-0000-0000-000043640000}"/>
    <cellStyle name="Labels - Style3 4 2 3 3" xfId="26661" xr:uid="{00000000-0005-0000-0000-000044640000}"/>
    <cellStyle name="Labels - Style3 4 2 4" xfId="26662" xr:uid="{00000000-0005-0000-0000-000045640000}"/>
    <cellStyle name="Labels - Style3 4 2 4 2" xfId="26663" xr:uid="{00000000-0005-0000-0000-000046640000}"/>
    <cellStyle name="Labels - Style3 4 2 4 3" xfId="26664" xr:uid="{00000000-0005-0000-0000-000047640000}"/>
    <cellStyle name="Labels - Style3 4 2 5" xfId="26665" xr:uid="{00000000-0005-0000-0000-000048640000}"/>
    <cellStyle name="Labels - Style3 4 2 5 2" xfId="26666" xr:uid="{00000000-0005-0000-0000-000049640000}"/>
    <cellStyle name="Labels - Style3 4 2 5 3" xfId="26667" xr:uid="{00000000-0005-0000-0000-00004A640000}"/>
    <cellStyle name="Labels - Style3 4 2 6" xfId="26668" xr:uid="{00000000-0005-0000-0000-00004B640000}"/>
    <cellStyle name="Labels - Style3 4 2 6 2" xfId="26669" xr:uid="{00000000-0005-0000-0000-00004C640000}"/>
    <cellStyle name="Labels - Style3 4 2 6 3" xfId="26670" xr:uid="{00000000-0005-0000-0000-00004D640000}"/>
    <cellStyle name="Labels - Style3 4 2 7" xfId="26671" xr:uid="{00000000-0005-0000-0000-00004E640000}"/>
    <cellStyle name="Labels - Style3 4 2 7 2" xfId="26672" xr:uid="{00000000-0005-0000-0000-00004F640000}"/>
    <cellStyle name="Labels - Style3 4 2 7 3" xfId="26673" xr:uid="{00000000-0005-0000-0000-000050640000}"/>
    <cellStyle name="Labels - Style3 4 2 8" xfId="26674" xr:uid="{00000000-0005-0000-0000-000051640000}"/>
    <cellStyle name="Labels - Style3 4 2 8 2" xfId="26675" xr:uid="{00000000-0005-0000-0000-000052640000}"/>
    <cellStyle name="Labels - Style3 4 2 8 3" xfId="26676" xr:uid="{00000000-0005-0000-0000-000053640000}"/>
    <cellStyle name="Labels - Style3 4 2 9" xfId="26677" xr:uid="{00000000-0005-0000-0000-000054640000}"/>
    <cellStyle name="Labels - Style3 4 3" xfId="26678" xr:uid="{00000000-0005-0000-0000-000055640000}"/>
    <cellStyle name="Labels - Style3 4 3 10" xfId="26679" xr:uid="{00000000-0005-0000-0000-000056640000}"/>
    <cellStyle name="Labels - Style3 4 3 2" xfId="26680" xr:uid="{00000000-0005-0000-0000-000057640000}"/>
    <cellStyle name="Labels - Style3 4 3 2 2" xfId="26681" xr:uid="{00000000-0005-0000-0000-000058640000}"/>
    <cellStyle name="Labels - Style3 4 3 2 2 2" xfId="26682" xr:uid="{00000000-0005-0000-0000-000059640000}"/>
    <cellStyle name="Labels - Style3 4 3 2 2 3" xfId="26683" xr:uid="{00000000-0005-0000-0000-00005A640000}"/>
    <cellStyle name="Labels - Style3 4 3 2 3" xfId="26684" xr:uid="{00000000-0005-0000-0000-00005B640000}"/>
    <cellStyle name="Labels - Style3 4 3 2 3 2" xfId="26685" xr:uid="{00000000-0005-0000-0000-00005C640000}"/>
    <cellStyle name="Labels - Style3 4 3 2 3 3" xfId="26686" xr:uid="{00000000-0005-0000-0000-00005D640000}"/>
    <cellStyle name="Labels - Style3 4 3 2 4" xfId="26687" xr:uid="{00000000-0005-0000-0000-00005E640000}"/>
    <cellStyle name="Labels - Style3 4 3 2 4 2" xfId="26688" xr:uid="{00000000-0005-0000-0000-00005F640000}"/>
    <cellStyle name="Labels - Style3 4 3 2 4 3" xfId="26689" xr:uid="{00000000-0005-0000-0000-000060640000}"/>
    <cellStyle name="Labels - Style3 4 3 2 5" xfId="26690" xr:uid="{00000000-0005-0000-0000-000061640000}"/>
    <cellStyle name="Labels - Style3 4 3 2 5 2" xfId="26691" xr:uid="{00000000-0005-0000-0000-000062640000}"/>
    <cellStyle name="Labels - Style3 4 3 2 5 3" xfId="26692" xr:uid="{00000000-0005-0000-0000-000063640000}"/>
    <cellStyle name="Labels - Style3 4 3 2 6" xfId="26693" xr:uid="{00000000-0005-0000-0000-000064640000}"/>
    <cellStyle name="Labels - Style3 4 3 2 6 2" xfId="26694" xr:uid="{00000000-0005-0000-0000-000065640000}"/>
    <cellStyle name="Labels - Style3 4 3 2 6 3" xfId="26695" xr:uid="{00000000-0005-0000-0000-000066640000}"/>
    <cellStyle name="Labels - Style3 4 3 2 7" xfId="26696" xr:uid="{00000000-0005-0000-0000-000067640000}"/>
    <cellStyle name="Labels - Style3 4 3 2 7 2" xfId="26697" xr:uid="{00000000-0005-0000-0000-000068640000}"/>
    <cellStyle name="Labels - Style3 4 3 2 7 3" xfId="26698" xr:uid="{00000000-0005-0000-0000-000069640000}"/>
    <cellStyle name="Labels - Style3 4 3 2 8" xfId="26699" xr:uid="{00000000-0005-0000-0000-00006A640000}"/>
    <cellStyle name="Labels - Style3 4 3 2 9" xfId="26700" xr:uid="{00000000-0005-0000-0000-00006B640000}"/>
    <cellStyle name="Labels - Style3 4 3 3" xfId="26701" xr:uid="{00000000-0005-0000-0000-00006C640000}"/>
    <cellStyle name="Labels - Style3 4 3 3 2" xfId="26702" xr:uid="{00000000-0005-0000-0000-00006D640000}"/>
    <cellStyle name="Labels - Style3 4 3 3 3" xfId="26703" xr:uid="{00000000-0005-0000-0000-00006E640000}"/>
    <cellStyle name="Labels - Style3 4 3 4" xfId="26704" xr:uid="{00000000-0005-0000-0000-00006F640000}"/>
    <cellStyle name="Labels - Style3 4 3 4 2" xfId="26705" xr:uid="{00000000-0005-0000-0000-000070640000}"/>
    <cellStyle name="Labels - Style3 4 3 4 3" xfId="26706" xr:uid="{00000000-0005-0000-0000-000071640000}"/>
    <cellStyle name="Labels - Style3 4 3 5" xfId="26707" xr:uid="{00000000-0005-0000-0000-000072640000}"/>
    <cellStyle name="Labels - Style3 4 3 5 2" xfId="26708" xr:uid="{00000000-0005-0000-0000-000073640000}"/>
    <cellStyle name="Labels - Style3 4 3 5 3" xfId="26709" xr:uid="{00000000-0005-0000-0000-000074640000}"/>
    <cellStyle name="Labels - Style3 4 3 6" xfId="26710" xr:uid="{00000000-0005-0000-0000-000075640000}"/>
    <cellStyle name="Labels - Style3 4 3 6 2" xfId="26711" xr:uid="{00000000-0005-0000-0000-000076640000}"/>
    <cellStyle name="Labels - Style3 4 3 6 3" xfId="26712" xr:uid="{00000000-0005-0000-0000-000077640000}"/>
    <cellStyle name="Labels - Style3 4 3 7" xfId="26713" xr:uid="{00000000-0005-0000-0000-000078640000}"/>
    <cellStyle name="Labels - Style3 4 3 7 2" xfId="26714" xr:uid="{00000000-0005-0000-0000-000079640000}"/>
    <cellStyle name="Labels - Style3 4 3 7 3" xfId="26715" xr:uid="{00000000-0005-0000-0000-00007A640000}"/>
    <cellStyle name="Labels - Style3 4 3 8" xfId="26716" xr:uid="{00000000-0005-0000-0000-00007B640000}"/>
    <cellStyle name="Labels - Style3 4 3 8 2" xfId="26717" xr:uid="{00000000-0005-0000-0000-00007C640000}"/>
    <cellStyle name="Labels - Style3 4 3 8 3" xfId="26718" xr:uid="{00000000-0005-0000-0000-00007D640000}"/>
    <cellStyle name="Labels - Style3 4 3 9" xfId="26719" xr:uid="{00000000-0005-0000-0000-00007E640000}"/>
    <cellStyle name="Labels - Style3 4 4" xfId="26720" xr:uid="{00000000-0005-0000-0000-00007F640000}"/>
    <cellStyle name="Labels - Style3 4 4 10" xfId="26721" xr:uid="{00000000-0005-0000-0000-000080640000}"/>
    <cellStyle name="Labels - Style3 4 4 2" xfId="26722" xr:uid="{00000000-0005-0000-0000-000081640000}"/>
    <cellStyle name="Labels - Style3 4 4 2 2" xfId="26723" xr:uid="{00000000-0005-0000-0000-000082640000}"/>
    <cellStyle name="Labels - Style3 4 4 2 2 2" xfId="26724" xr:uid="{00000000-0005-0000-0000-000083640000}"/>
    <cellStyle name="Labels - Style3 4 4 2 2 3" xfId="26725" xr:uid="{00000000-0005-0000-0000-000084640000}"/>
    <cellStyle name="Labels - Style3 4 4 2 3" xfId="26726" xr:uid="{00000000-0005-0000-0000-000085640000}"/>
    <cellStyle name="Labels - Style3 4 4 2 3 2" xfId="26727" xr:uid="{00000000-0005-0000-0000-000086640000}"/>
    <cellStyle name="Labels - Style3 4 4 2 3 3" xfId="26728" xr:uid="{00000000-0005-0000-0000-000087640000}"/>
    <cellStyle name="Labels - Style3 4 4 2 4" xfId="26729" xr:uid="{00000000-0005-0000-0000-000088640000}"/>
    <cellStyle name="Labels - Style3 4 4 2 4 2" xfId="26730" xr:uid="{00000000-0005-0000-0000-000089640000}"/>
    <cellStyle name="Labels - Style3 4 4 2 4 3" xfId="26731" xr:uid="{00000000-0005-0000-0000-00008A640000}"/>
    <cellStyle name="Labels - Style3 4 4 2 5" xfId="26732" xr:uid="{00000000-0005-0000-0000-00008B640000}"/>
    <cellStyle name="Labels - Style3 4 4 2 5 2" xfId="26733" xr:uid="{00000000-0005-0000-0000-00008C640000}"/>
    <cellStyle name="Labels - Style3 4 4 2 5 3" xfId="26734" xr:uid="{00000000-0005-0000-0000-00008D640000}"/>
    <cellStyle name="Labels - Style3 4 4 2 6" xfId="26735" xr:uid="{00000000-0005-0000-0000-00008E640000}"/>
    <cellStyle name="Labels - Style3 4 4 2 6 2" xfId="26736" xr:uid="{00000000-0005-0000-0000-00008F640000}"/>
    <cellStyle name="Labels - Style3 4 4 2 6 3" xfId="26737" xr:uid="{00000000-0005-0000-0000-000090640000}"/>
    <cellStyle name="Labels - Style3 4 4 2 7" xfId="26738" xr:uid="{00000000-0005-0000-0000-000091640000}"/>
    <cellStyle name="Labels - Style3 4 4 2 7 2" xfId="26739" xr:uid="{00000000-0005-0000-0000-000092640000}"/>
    <cellStyle name="Labels - Style3 4 4 2 7 3" xfId="26740" xr:uid="{00000000-0005-0000-0000-000093640000}"/>
    <cellStyle name="Labels - Style3 4 4 2 8" xfId="26741" xr:uid="{00000000-0005-0000-0000-000094640000}"/>
    <cellStyle name="Labels - Style3 4 4 2 9" xfId="26742" xr:uid="{00000000-0005-0000-0000-000095640000}"/>
    <cellStyle name="Labels - Style3 4 4 3" xfId="26743" xr:uid="{00000000-0005-0000-0000-000096640000}"/>
    <cellStyle name="Labels - Style3 4 4 3 2" xfId="26744" xr:uid="{00000000-0005-0000-0000-000097640000}"/>
    <cellStyle name="Labels - Style3 4 4 3 3" xfId="26745" xr:uid="{00000000-0005-0000-0000-000098640000}"/>
    <cellStyle name="Labels - Style3 4 4 4" xfId="26746" xr:uid="{00000000-0005-0000-0000-000099640000}"/>
    <cellStyle name="Labels - Style3 4 4 4 2" xfId="26747" xr:uid="{00000000-0005-0000-0000-00009A640000}"/>
    <cellStyle name="Labels - Style3 4 4 4 3" xfId="26748" xr:uid="{00000000-0005-0000-0000-00009B640000}"/>
    <cellStyle name="Labels - Style3 4 4 5" xfId="26749" xr:uid="{00000000-0005-0000-0000-00009C640000}"/>
    <cellStyle name="Labels - Style3 4 4 5 2" xfId="26750" xr:uid="{00000000-0005-0000-0000-00009D640000}"/>
    <cellStyle name="Labels - Style3 4 4 5 3" xfId="26751" xr:uid="{00000000-0005-0000-0000-00009E640000}"/>
    <cellStyle name="Labels - Style3 4 4 6" xfId="26752" xr:uid="{00000000-0005-0000-0000-00009F640000}"/>
    <cellStyle name="Labels - Style3 4 4 6 2" xfId="26753" xr:uid="{00000000-0005-0000-0000-0000A0640000}"/>
    <cellStyle name="Labels - Style3 4 4 6 3" xfId="26754" xr:uid="{00000000-0005-0000-0000-0000A1640000}"/>
    <cellStyle name="Labels - Style3 4 4 7" xfId="26755" xr:uid="{00000000-0005-0000-0000-0000A2640000}"/>
    <cellStyle name="Labels - Style3 4 4 7 2" xfId="26756" xr:uid="{00000000-0005-0000-0000-0000A3640000}"/>
    <cellStyle name="Labels - Style3 4 4 7 3" xfId="26757" xr:uid="{00000000-0005-0000-0000-0000A4640000}"/>
    <cellStyle name="Labels - Style3 4 4 8" xfId="26758" xr:uid="{00000000-0005-0000-0000-0000A5640000}"/>
    <cellStyle name="Labels - Style3 4 4 8 2" xfId="26759" xr:uid="{00000000-0005-0000-0000-0000A6640000}"/>
    <cellStyle name="Labels - Style3 4 4 8 3" xfId="26760" xr:uid="{00000000-0005-0000-0000-0000A7640000}"/>
    <cellStyle name="Labels - Style3 4 4 9" xfId="26761" xr:uid="{00000000-0005-0000-0000-0000A8640000}"/>
    <cellStyle name="Labels - Style3 4 5" xfId="26762" xr:uid="{00000000-0005-0000-0000-0000A9640000}"/>
    <cellStyle name="Labels - Style3 4 5 10" xfId="26763" xr:uid="{00000000-0005-0000-0000-0000AA640000}"/>
    <cellStyle name="Labels - Style3 4 5 2" xfId="26764" xr:uid="{00000000-0005-0000-0000-0000AB640000}"/>
    <cellStyle name="Labels - Style3 4 5 2 2" xfId="26765" xr:uid="{00000000-0005-0000-0000-0000AC640000}"/>
    <cellStyle name="Labels - Style3 4 5 2 2 2" xfId="26766" xr:uid="{00000000-0005-0000-0000-0000AD640000}"/>
    <cellStyle name="Labels - Style3 4 5 2 2 3" xfId="26767" xr:uid="{00000000-0005-0000-0000-0000AE640000}"/>
    <cellStyle name="Labels - Style3 4 5 2 3" xfId="26768" xr:uid="{00000000-0005-0000-0000-0000AF640000}"/>
    <cellStyle name="Labels - Style3 4 5 2 3 2" xfId="26769" xr:uid="{00000000-0005-0000-0000-0000B0640000}"/>
    <cellStyle name="Labels - Style3 4 5 2 3 3" xfId="26770" xr:uid="{00000000-0005-0000-0000-0000B1640000}"/>
    <cellStyle name="Labels - Style3 4 5 2 4" xfId="26771" xr:uid="{00000000-0005-0000-0000-0000B2640000}"/>
    <cellStyle name="Labels - Style3 4 5 2 4 2" xfId="26772" xr:uid="{00000000-0005-0000-0000-0000B3640000}"/>
    <cellStyle name="Labels - Style3 4 5 2 4 3" xfId="26773" xr:uid="{00000000-0005-0000-0000-0000B4640000}"/>
    <cellStyle name="Labels - Style3 4 5 2 5" xfId="26774" xr:uid="{00000000-0005-0000-0000-0000B5640000}"/>
    <cellStyle name="Labels - Style3 4 5 2 5 2" xfId="26775" xr:uid="{00000000-0005-0000-0000-0000B6640000}"/>
    <cellStyle name="Labels - Style3 4 5 2 5 3" xfId="26776" xr:uid="{00000000-0005-0000-0000-0000B7640000}"/>
    <cellStyle name="Labels - Style3 4 5 2 6" xfId="26777" xr:uid="{00000000-0005-0000-0000-0000B8640000}"/>
    <cellStyle name="Labels - Style3 4 5 2 6 2" xfId="26778" xr:uid="{00000000-0005-0000-0000-0000B9640000}"/>
    <cellStyle name="Labels - Style3 4 5 2 6 3" xfId="26779" xr:uid="{00000000-0005-0000-0000-0000BA640000}"/>
    <cellStyle name="Labels - Style3 4 5 2 7" xfId="26780" xr:uid="{00000000-0005-0000-0000-0000BB640000}"/>
    <cellStyle name="Labels - Style3 4 5 2 7 2" xfId="26781" xr:uid="{00000000-0005-0000-0000-0000BC640000}"/>
    <cellStyle name="Labels - Style3 4 5 2 7 3" xfId="26782" xr:uid="{00000000-0005-0000-0000-0000BD640000}"/>
    <cellStyle name="Labels - Style3 4 5 2 8" xfId="26783" xr:uid="{00000000-0005-0000-0000-0000BE640000}"/>
    <cellStyle name="Labels - Style3 4 5 2 9" xfId="26784" xr:uid="{00000000-0005-0000-0000-0000BF640000}"/>
    <cellStyle name="Labels - Style3 4 5 3" xfId="26785" xr:uid="{00000000-0005-0000-0000-0000C0640000}"/>
    <cellStyle name="Labels - Style3 4 5 3 2" xfId="26786" xr:uid="{00000000-0005-0000-0000-0000C1640000}"/>
    <cellStyle name="Labels - Style3 4 5 3 3" xfId="26787" xr:uid="{00000000-0005-0000-0000-0000C2640000}"/>
    <cellStyle name="Labels - Style3 4 5 4" xfId="26788" xr:uid="{00000000-0005-0000-0000-0000C3640000}"/>
    <cellStyle name="Labels - Style3 4 5 4 2" xfId="26789" xr:uid="{00000000-0005-0000-0000-0000C4640000}"/>
    <cellStyle name="Labels - Style3 4 5 4 3" xfId="26790" xr:uid="{00000000-0005-0000-0000-0000C5640000}"/>
    <cellStyle name="Labels - Style3 4 5 5" xfId="26791" xr:uid="{00000000-0005-0000-0000-0000C6640000}"/>
    <cellStyle name="Labels - Style3 4 5 5 2" xfId="26792" xr:uid="{00000000-0005-0000-0000-0000C7640000}"/>
    <cellStyle name="Labels - Style3 4 5 5 3" xfId="26793" xr:uid="{00000000-0005-0000-0000-0000C8640000}"/>
    <cellStyle name="Labels - Style3 4 5 6" xfId="26794" xr:uid="{00000000-0005-0000-0000-0000C9640000}"/>
    <cellStyle name="Labels - Style3 4 5 6 2" xfId="26795" xr:uid="{00000000-0005-0000-0000-0000CA640000}"/>
    <cellStyle name="Labels - Style3 4 5 6 3" xfId="26796" xr:uid="{00000000-0005-0000-0000-0000CB640000}"/>
    <cellStyle name="Labels - Style3 4 5 7" xfId="26797" xr:uid="{00000000-0005-0000-0000-0000CC640000}"/>
    <cellStyle name="Labels - Style3 4 5 7 2" xfId="26798" xr:uid="{00000000-0005-0000-0000-0000CD640000}"/>
    <cellStyle name="Labels - Style3 4 5 7 3" xfId="26799" xr:uid="{00000000-0005-0000-0000-0000CE640000}"/>
    <cellStyle name="Labels - Style3 4 5 8" xfId="26800" xr:uid="{00000000-0005-0000-0000-0000CF640000}"/>
    <cellStyle name="Labels - Style3 4 5 8 2" xfId="26801" xr:uid="{00000000-0005-0000-0000-0000D0640000}"/>
    <cellStyle name="Labels - Style3 4 5 8 3" xfId="26802" xr:uid="{00000000-0005-0000-0000-0000D1640000}"/>
    <cellStyle name="Labels - Style3 4 5 9" xfId="26803" xr:uid="{00000000-0005-0000-0000-0000D2640000}"/>
    <cellStyle name="Labels - Style3 4 6" xfId="26804" xr:uid="{00000000-0005-0000-0000-0000D3640000}"/>
    <cellStyle name="Labels - Style3 4 6 2" xfId="26805" xr:uid="{00000000-0005-0000-0000-0000D4640000}"/>
    <cellStyle name="Labels - Style3 4 6 2 2" xfId="26806" xr:uid="{00000000-0005-0000-0000-0000D5640000}"/>
    <cellStyle name="Labels - Style3 4 6 2 3" xfId="26807" xr:uid="{00000000-0005-0000-0000-0000D6640000}"/>
    <cellStyle name="Labels - Style3 4 6 3" xfId="26808" xr:uid="{00000000-0005-0000-0000-0000D7640000}"/>
    <cellStyle name="Labels - Style3 4 6 3 2" xfId="26809" xr:uid="{00000000-0005-0000-0000-0000D8640000}"/>
    <cellStyle name="Labels - Style3 4 6 3 3" xfId="26810" xr:uid="{00000000-0005-0000-0000-0000D9640000}"/>
    <cellStyle name="Labels - Style3 4 6 4" xfId="26811" xr:uid="{00000000-0005-0000-0000-0000DA640000}"/>
    <cellStyle name="Labels - Style3 4 6 4 2" xfId="26812" xr:uid="{00000000-0005-0000-0000-0000DB640000}"/>
    <cellStyle name="Labels - Style3 4 6 4 3" xfId="26813" xr:uid="{00000000-0005-0000-0000-0000DC640000}"/>
    <cellStyle name="Labels - Style3 4 6 5" xfId="26814" xr:uid="{00000000-0005-0000-0000-0000DD640000}"/>
    <cellStyle name="Labels - Style3 4 6 5 2" xfId="26815" xr:uid="{00000000-0005-0000-0000-0000DE640000}"/>
    <cellStyle name="Labels - Style3 4 6 5 3" xfId="26816" xr:uid="{00000000-0005-0000-0000-0000DF640000}"/>
    <cellStyle name="Labels - Style3 4 6 6" xfId="26817" xr:uid="{00000000-0005-0000-0000-0000E0640000}"/>
    <cellStyle name="Labels - Style3 4 6 6 2" xfId="26818" xr:uid="{00000000-0005-0000-0000-0000E1640000}"/>
    <cellStyle name="Labels - Style3 4 6 6 3" xfId="26819" xr:uid="{00000000-0005-0000-0000-0000E2640000}"/>
    <cellStyle name="Labels - Style3 4 6 7" xfId="26820" xr:uid="{00000000-0005-0000-0000-0000E3640000}"/>
    <cellStyle name="Labels - Style3 4 6 7 2" xfId="26821" xr:uid="{00000000-0005-0000-0000-0000E4640000}"/>
    <cellStyle name="Labels - Style3 4 6 7 3" xfId="26822" xr:uid="{00000000-0005-0000-0000-0000E5640000}"/>
    <cellStyle name="Labels - Style3 4 6 8" xfId="26823" xr:uid="{00000000-0005-0000-0000-0000E6640000}"/>
    <cellStyle name="Labels - Style3 4 6 9" xfId="26824" xr:uid="{00000000-0005-0000-0000-0000E7640000}"/>
    <cellStyle name="Labels - Style3 4 7" xfId="26825" xr:uid="{00000000-0005-0000-0000-0000E8640000}"/>
    <cellStyle name="Labels - Style3 4 7 2" xfId="26826" xr:uid="{00000000-0005-0000-0000-0000E9640000}"/>
    <cellStyle name="Labels - Style3 4 7 3" xfId="26827" xr:uid="{00000000-0005-0000-0000-0000EA640000}"/>
    <cellStyle name="Labels - Style3 4 8" xfId="26828" xr:uid="{00000000-0005-0000-0000-0000EB640000}"/>
    <cellStyle name="Labels - Style3 4 8 2" xfId="26829" xr:uid="{00000000-0005-0000-0000-0000EC640000}"/>
    <cellStyle name="Labels - Style3 4 8 3" xfId="26830" xr:uid="{00000000-0005-0000-0000-0000ED640000}"/>
    <cellStyle name="Labels - Style3 4 9" xfId="44098" xr:uid="{00000000-0005-0000-0000-0000EE640000}"/>
    <cellStyle name="Labels - Style3 5" xfId="26831" xr:uid="{00000000-0005-0000-0000-0000EF640000}"/>
    <cellStyle name="Labels - Style3 5 2" xfId="26832" xr:uid="{00000000-0005-0000-0000-0000F0640000}"/>
    <cellStyle name="Labels - Style3 5 2 10" xfId="26833" xr:uid="{00000000-0005-0000-0000-0000F1640000}"/>
    <cellStyle name="Labels - Style3 5 2 2" xfId="26834" xr:uid="{00000000-0005-0000-0000-0000F2640000}"/>
    <cellStyle name="Labels - Style3 5 2 2 2" xfId="26835" xr:uid="{00000000-0005-0000-0000-0000F3640000}"/>
    <cellStyle name="Labels - Style3 5 2 2 2 2" xfId="26836" xr:uid="{00000000-0005-0000-0000-0000F4640000}"/>
    <cellStyle name="Labels - Style3 5 2 2 2 3" xfId="26837" xr:uid="{00000000-0005-0000-0000-0000F5640000}"/>
    <cellStyle name="Labels - Style3 5 2 2 3" xfId="26838" xr:uid="{00000000-0005-0000-0000-0000F6640000}"/>
    <cellStyle name="Labels - Style3 5 2 2 3 2" xfId="26839" xr:uid="{00000000-0005-0000-0000-0000F7640000}"/>
    <cellStyle name="Labels - Style3 5 2 2 3 3" xfId="26840" xr:uid="{00000000-0005-0000-0000-0000F8640000}"/>
    <cellStyle name="Labels - Style3 5 2 2 4" xfId="26841" xr:uid="{00000000-0005-0000-0000-0000F9640000}"/>
    <cellStyle name="Labels - Style3 5 2 2 4 2" xfId="26842" xr:uid="{00000000-0005-0000-0000-0000FA640000}"/>
    <cellStyle name="Labels - Style3 5 2 2 4 3" xfId="26843" xr:uid="{00000000-0005-0000-0000-0000FB640000}"/>
    <cellStyle name="Labels - Style3 5 2 2 5" xfId="26844" xr:uid="{00000000-0005-0000-0000-0000FC640000}"/>
    <cellStyle name="Labels - Style3 5 2 2 5 2" xfId="26845" xr:uid="{00000000-0005-0000-0000-0000FD640000}"/>
    <cellStyle name="Labels - Style3 5 2 2 5 3" xfId="26846" xr:uid="{00000000-0005-0000-0000-0000FE640000}"/>
    <cellStyle name="Labels - Style3 5 2 2 6" xfId="26847" xr:uid="{00000000-0005-0000-0000-0000FF640000}"/>
    <cellStyle name="Labels - Style3 5 2 2 6 2" xfId="26848" xr:uid="{00000000-0005-0000-0000-000000650000}"/>
    <cellStyle name="Labels - Style3 5 2 2 6 3" xfId="26849" xr:uid="{00000000-0005-0000-0000-000001650000}"/>
    <cellStyle name="Labels - Style3 5 2 2 7" xfId="26850" xr:uid="{00000000-0005-0000-0000-000002650000}"/>
    <cellStyle name="Labels - Style3 5 2 2 7 2" xfId="26851" xr:uid="{00000000-0005-0000-0000-000003650000}"/>
    <cellStyle name="Labels - Style3 5 2 2 7 3" xfId="26852" xr:uid="{00000000-0005-0000-0000-000004650000}"/>
    <cellStyle name="Labels - Style3 5 2 2 8" xfId="26853" xr:uid="{00000000-0005-0000-0000-000005650000}"/>
    <cellStyle name="Labels - Style3 5 2 2 9" xfId="26854" xr:uid="{00000000-0005-0000-0000-000006650000}"/>
    <cellStyle name="Labels - Style3 5 2 3" xfId="26855" xr:uid="{00000000-0005-0000-0000-000007650000}"/>
    <cellStyle name="Labels - Style3 5 2 3 2" xfId="26856" xr:uid="{00000000-0005-0000-0000-000008650000}"/>
    <cellStyle name="Labels - Style3 5 2 3 3" xfId="26857" xr:uid="{00000000-0005-0000-0000-000009650000}"/>
    <cellStyle name="Labels - Style3 5 2 4" xfId="26858" xr:uid="{00000000-0005-0000-0000-00000A650000}"/>
    <cellStyle name="Labels - Style3 5 2 4 2" xfId="26859" xr:uid="{00000000-0005-0000-0000-00000B650000}"/>
    <cellStyle name="Labels - Style3 5 2 4 3" xfId="26860" xr:uid="{00000000-0005-0000-0000-00000C650000}"/>
    <cellStyle name="Labels - Style3 5 2 5" xfId="26861" xr:uid="{00000000-0005-0000-0000-00000D650000}"/>
    <cellStyle name="Labels - Style3 5 2 5 2" xfId="26862" xr:uid="{00000000-0005-0000-0000-00000E650000}"/>
    <cellStyle name="Labels - Style3 5 2 5 3" xfId="26863" xr:uid="{00000000-0005-0000-0000-00000F650000}"/>
    <cellStyle name="Labels - Style3 5 2 6" xfId="26864" xr:uid="{00000000-0005-0000-0000-000010650000}"/>
    <cellStyle name="Labels - Style3 5 2 6 2" xfId="26865" xr:uid="{00000000-0005-0000-0000-000011650000}"/>
    <cellStyle name="Labels - Style3 5 2 6 3" xfId="26866" xr:uid="{00000000-0005-0000-0000-000012650000}"/>
    <cellStyle name="Labels - Style3 5 2 7" xfId="26867" xr:uid="{00000000-0005-0000-0000-000013650000}"/>
    <cellStyle name="Labels - Style3 5 2 7 2" xfId="26868" xr:uid="{00000000-0005-0000-0000-000014650000}"/>
    <cellStyle name="Labels - Style3 5 2 7 3" xfId="26869" xr:uid="{00000000-0005-0000-0000-000015650000}"/>
    <cellStyle name="Labels - Style3 5 2 8" xfId="26870" xr:uid="{00000000-0005-0000-0000-000016650000}"/>
    <cellStyle name="Labels - Style3 5 2 8 2" xfId="26871" xr:uid="{00000000-0005-0000-0000-000017650000}"/>
    <cellStyle name="Labels - Style3 5 2 8 3" xfId="26872" xr:uid="{00000000-0005-0000-0000-000018650000}"/>
    <cellStyle name="Labels - Style3 5 2 9" xfId="26873" xr:uid="{00000000-0005-0000-0000-000019650000}"/>
    <cellStyle name="Labels - Style3 5 3" xfId="26874" xr:uid="{00000000-0005-0000-0000-00001A650000}"/>
    <cellStyle name="Labels - Style3 5 3 10" xfId="26875" xr:uid="{00000000-0005-0000-0000-00001B650000}"/>
    <cellStyle name="Labels - Style3 5 3 2" xfId="26876" xr:uid="{00000000-0005-0000-0000-00001C650000}"/>
    <cellStyle name="Labels - Style3 5 3 2 2" xfId="26877" xr:uid="{00000000-0005-0000-0000-00001D650000}"/>
    <cellStyle name="Labels - Style3 5 3 2 2 2" xfId="26878" xr:uid="{00000000-0005-0000-0000-00001E650000}"/>
    <cellStyle name="Labels - Style3 5 3 2 2 3" xfId="26879" xr:uid="{00000000-0005-0000-0000-00001F650000}"/>
    <cellStyle name="Labels - Style3 5 3 2 3" xfId="26880" xr:uid="{00000000-0005-0000-0000-000020650000}"/>
    <cellStyle name="Labels - Style3 5 3 2 3 2" xfId="26881" xr:uid="{00000000-0005-0000-0000-000021650000}"/>
    <cellStyle name="Labels - Style3 5 3 2 3 3" xfId="26882" xr:uid="{00000000-0005-0000-0000-000022650000}"/>
    <cellStyle name="Labels - Style3 5 3 2 4" xfId="26883" xr:uid="{00000000-0005-0000-0000-000023650000}"/>
    <cellStyle name="Labels - Style3 5 3 2 4 2" xfId="26884" xr:uid="{00000000-0005-0000-0000-000024650000}"/>
    <cellStyle name="Labels - Style3 5 3 2 4 3" xfId="26885" xr:uid="{00000000-0005-0000-0000-000025650000}"/>
    <cellStyle name="Labels - Style3 5 3 2 5" xfId="26886" xr:uid="{00000000-0005-0000-0000-000026650000}"/>
    <cellStyle name="Labels - Style3 5 3 2 5 2" xfId="26887" xr:uid="{00000000-0005-0000-0000-000027650000}"/>
    <cellStyle name="Labels - Style3 5 3 2 5 3" xfId="26888" xr:uid="{00000000-0005-0000-0000-000028650000}"/>
    <cellStyle name="Labels - Style3 5 3 2 6" xfId="26889" xr:uid="{00000000-0005-0000-0000-000029650000}"/>
    <cellStyle name="Labels - Style3 5 3 2 6 2" xfId="26890" xr:uid="{00000000-0005-0000-0000-00002A650000}"/>
    <cellStyle name="Labels - Style3 5 3 2 6 3" xfId="26891" xr:uid="{00000000-0005-0000-0000-00002B650000}"/>
    <cellStyle name="Labels - Style3 5 3 2 7" xfId="26892" xr:uid="{00000000-0005-0000-0000-00002C650000}"/>
    <cellStyle name="Labels - Style3 5 3 2 7 2" xfId="26893" xr:uid="{00000000-0005-0000-0000-00002D650000}"/>
    <cellStyle name="Labels - Style3 5 3 2 7 3" xfId="26894" xr:uid="{00000000-0005-0000-0000-00002E650000}"/>
    <cellStyle name="Labels - Style3 5 3 2 8" xfId="26895" xr:uid="{00000000-0005-0000-0000-00002F650000}"/>
    <cellStyle name="Labels - Style3 5 3 2 9" xfId="26896" xr:uid="{00000000-0005-0000-0000-000030650000}"/>
    <cellStyle name="Labels - Style3 5 3 3" xfId="26897" xr:uid="{00000000-0005-0000-0000-000031650000}"/>
    <cellStyle name="Labels - Style3 5 3 3 2" xfId="26898" xr:uid="{00000000-0005-0000-0000-000032650000}"/>
    <cellStyle name="Labels - Style3 5 3 3 3" xfId="26899" xr:uid="{00000000-0005-0000-0000-000033650000}"/>
    <cellStyle name="Labels - Style3 5 3 4" xfId="26900" xr:uid="{00000000-0005-0000-0000-000034650000}"/>
    <cellStyle name="Labels - Style3 5 3 4 2" xfId="26901" xr:uid="{00000000-0005-0000-0000-000035650000}"/>
    <cellStyle name="Labels - Style3 5 3 4 3" xfId="26902" xr:uid="{00000000-0005-0000-0000-000036650000}"/>
    <cellStyle name="Labels - Style3 5 3 5" xfId="26903" xr:uid="{00000000-0005-0000-0000-000037650000}"/>
    <cellStyle name="Labels - Style3 5 3 5 2" xfId="26904" xr:uid="{00000000-0005-0000-0000-000038650000}"/>
    <cellStyle name="Labels - Style3 5 3 5 3" xfId="26905" xr:uid="{00000000-0005-0000-0000-000039650000}"/>
    <cellStyle name="Labels - Style3 5 3 6" xfId="26906" xr:uid="{00000000-0005-0000-0000-00003A650000}"/>
    <cellStyle name="Labels - Style3 5 3 6 2" xfId="26907" xr:uid="{00000000-0005-0000-0000-00003B650000}"/>
    <cellStyle name="Labels - Style3 5 3 6 3" xfId="26908" xr:uid="{00000000-0005-0000-0000-00003C650000}"/>
    <cellStyle name="Labels - Style3 5 3 7" xfId="26909" xr:uid="{00000000-0005-0000-0000-00003D650000}"/>
    <cellStyle name="Labels - Style3 5 3 7 2" xfId="26910" xr:uid="{00000000-0005-0000-0000-00003E650000}"/>
    <cellStyle name="Labels - Style3 5 3 7 3" xfId="26911" xr:uid="{00000000-0005-0000-0000-00003F650000}"/>
    <cellStyle name="Labels - Style3 5 3 8" xfId="26912" xr:uid="{00000000-0005-0000-0000-000040650000}"/>
    <cellStyle name="Labels - Style3 5 3 8 2" xfId="26913" xr:uid="{00000000-0005-0000-0000-000041650000}"/>
    <cellStyle name="Labels - Style3 5 3 8 3" xfId="26914" xr:uid="{00000000-0005-0000-0000-000042650000}"/>
    <cellStyle name="Labels - Style3 5 3 9" xfId="26915" xr:uid="{00000000-0005-0000-0000-000043650000}"/>
    <cellStyle name="Labels - Style3 5 4" xfId="26916" xr:uid="{00000000-0005-0000-0000-000044650000}"/>
    <cellStyle name="Labels - Style3 5 4 10" xfId="26917" xr:uid="{00000000-0005-0000-0000-000045650000}"/>
    <cellStyle name="Labels - Style3 5 4 2" xfId="26918" xr:uid="{00000000-0005-0000-0000-000046650000}"/>
    <cellStyle name="Labels - Style3 5 4 2 2" xfId="26919" xr:uid="{00000000-0005-0000-0000-000047650000}"/>
    <cellStyle name="Labels - Style3 5 4 2 2 2" xfId="26920" xr:uid="{00000000-0005-0000-0000-000048650000}"/>
    <cellStyle name="Labels - Style3 5 4 2 2 3" xfId="26921" xr:uid="{00000000-0005-0000-0000-000049650000}"/>
    <cellStyle name="Labels - Style3 5 4 2 3" xfId="26922" xr:uid="{00000000-0005-0000-0000-00004A650000}"/>
    <cellStyle name="Labels - Style3 5 4 2 3 2" xfId="26923" xr:uid="{00000000-0005-0000-0000-00004B650000}"/>
    <cellStyle name="Labels - Style3 5 4 2 3 3" xfId="26924" xr:uid="{00000000-0005-0000-0000-00004C650000}"/>
    <cellStyle name="Labels - Style3 5 4 2 4" xfId="26925" xr:uid="{00000000-0005-0000-0000-00004D650000}"/>
    <cellStyle name="Labels - Style3 5 4 2 4 2" xfId="26926" xr:uid="{00000000-0005-0000-0000-00004E650000}"/>
    <cellStyle name="Labels - Style3 5 4 2 4 3" xfId="26927" xr:uid="{00000000-0005-0000-0000-00004F650000}"/>
    <cellStyle name="Labels - Style3 5 4 2 5" xfId="26928" xr:uid="{00000000-0005-0000-0000-000050650000}"/>
    <cellStyle name="Labels - Style3 5 4 2 5 2" xfId="26929" xr:uid="{00000000-0005-0000-0000-000051650000}"/>
    <cellStyle name="Labels - Style3 5 4 2 5 3" xfId="26930" xr:uid="{00000000-0005-0000-0000-000052650000}"/>
    <cellStyle name="Labels - Style3 5 4 2 6" xfId="26931" xr:uid="{00000000-0005-0000-0000-000053650000}"/>
    <cellStyle name="Labels - Style3 5 4 2 6 2" xfId="26932" xr:uid="{00000000-0005-0000-0000-000054650000}"/>
    <cellStyle name="Labels - Style3 5 4 2 6 3" xfId="26933" xr:uid="{00000000-0005-0000-0000-000055650000}"/>
    <cellStyle name="Labels - Style3 5 4 2 7" xfId="26934" xr:uid="{00000000-0005-0000-0000-000056650000}"/>
    <cellStyle name="Labels - Style3 5 4 2 7 2" xfId="26935" xr:uid="{00000000-0005-0000-0000-000057650000}"/>
    <cellStyle name="Labels - Style3 5 4 2 7 3" xfId="26936" xr:uid="{00000000-0005-0000-0000-000058650000}"/>
    <cellStyle name="Labels - Style3 5 4 2 8" xfId="26937" xr:uid="{00000000-0005-0000-0000-000059650000}"/>
    <cellStyle name="Labels - Style3 5 4 2 9" xfId="26938" xr:uid="{00000000-0005-0000-0000-00005A650000}"/>
    <cellStyle name="Labels - Style3 5 4 3" xfId="26939" xr:uid="{00000000-0005-0000-0000-00005B650000}"/>
    <cellStyle name="Labels - Style3 5 4 3 2" xfId="26940" xr:uid="{00000000-0005-0000-0000-00005C650000}"/>
    <cellStyle name="Labels - Style3 5 4 3 3" xfId="26941" xr:uid="{00000000-0005-0000-0000-00005D650000}"/>
    <cellStyle name="Labels - Style3 5 4 4" xfId="26942" xr:uid="{00000000-0005-0000-0000-00005E650000}"/>
    <cellStyle name="Labels - Style3 5 4 4 2" xfId="26943" xr:uid="{00000000-0005-0000-0000-00005F650000}"/>
    <cellStyle name="Labels - Style3 5 4 4 3" xfId="26944" xr:uid="{00000000-0005-0000-0000-000060650000}"/>
    <cellStyle name="Labels - Style3 5 4 5" xfId="26945" xr:uid="{00000000-0005-0000-0000-000061650000}"/>
    <cellStyle name="Labels - Style3 5 4 5 2" xfId="26946" xr:uid="{00000000-0005-0000-0000-000062650000}"/>
    <cellStyle name="Labels - Style3 5 4 5 3" xfId="26947" xr:uid="{00000000-0005-0000-0000-000063650000}"/>
    <cellStyle name="Labels - Style3 5 4 6" xfId="26948" xr:uid="{00000000-0005-0000-0000-000064650000}"/>
    <cellStyle name="Labels - Style3 5 4 6 2" xfId="26949" xr:uid="{00000000-0005-0000-0000-000065650000}"/>
    <cellStyle name="Labels - Style3 5 4 6 3" xfId="26950" xr:uid="{00000000-0005-0000-0000-000066650000}"/>
    <cellStyle name="Labels - Style3 5 4 7" xfId="26951" xr:uid="{00000000-0005-0000-0000-000067650000}"/>
    <cellStyle name="Labels - Style3 5 4 7 2" xfId="26952" xr:uid="{00000000-0005-0000-0000-000068650000}"/>
    <cellStyle name="Labels - Style3 5 4 7 3" xfId="26953" xr:uid="{00000000-0005-0000-0000-000069650000}"/>
    <cellStyle name="Labels - Style3 5 4 8" xfId="26954" xr:uid="{00000000-0005-0000-0000-00006A650000}"/>
    <cellStyle name="Labels - Style3 5 4 8 2" xfId="26955" xr:uid="{00000000-0005-0000-0000-00006B650000}"/>
    <cellStyle name="Labels - Style3 5 4 8 3" xfId="26956" xr:uid="{00000000-0005-0000-0000-00006C650000}"/>
    <cellStyle name="Labels - Style3 5 4 9" xfId="26957" xr:uid="{00000000-0005-0000-0000-00006D650000}"/>
    <cellStyle name="Labels - Style3 5 5" xfId="26958" xr:uid="{00000000-0005-0000-0000-00006E650000}"/>
    <cellStyle name="Labels - Style3 5 5 10" xfId="26959" xr:uid="{00000000-0005-0000-0000-00006F650000}"/>
    <cellStyle name="Labels - Style3 5 5 2" xfId="26960" xr:uid="{00000000-0005-0000-0000-000070650000}"/>
    <cellStyle name="Labels - Style3 5 5 2 2" xfId="26961" xr:uid="{00000000-0005-0000-0000-000071650000}"/>
    <cellStyle name="Labels - Style3 5 5 2 2 2" xfId="26962" xr:uid="{00000000-0005-0000-0000-000072650000}"/>
    <cellStyle name="Labels - Style3 5 5 2 2 3" xfId="26963" xr:uid="{00000000-0005-0000-0000-000073650000}"/>
    <cellStyle name="Labels - Style3 5 5 2 3" xfId="26964" xr:uid="{00000000-0005-0000-0000-000074650000}"/>
    <cellStyle name="Labels - Style3 5 5 2 3 2" xfId="26965" xr:uid="{00000000-0005-0000-0000-000075650000}"/>
    <cellStyle name="Labels - Style3 5 5 2 3 3" xfId="26966" xr:uid="{00000000-0005-0000-0000-000076650000}"/>
    <cellStyle name="Labels - Style3 5 5 2 4" xfId="26967" xr:uid="{00000000-0005-0000-0000-000077650000}"/>
    <cellStyle name="Labels - Style3 5 5 2 4 2" xfId="26968" xr:uid="{00000000-0005-0000-0000-000078650000}"/>
    <cellStyle name="Labels - Style3 5 5 2 4 3" xfId="26969" xr:uid="{00000000-0005-0000-0000-000079650000}"/>
    <cellStyle name="Labels - Style3 5 5 2 5" xfId="26970" xr:uid="{00000000-0005-0000-0000-00007A650000}"/>
    <cellStyle name="Labels - Style3 5 5 2 5 2" xfId="26971" xr:uid="{00000000-0005-0000-0000-00007B650000}"/>
    <cellStyle name="Labels - Style3 5 5 2 5 3" xfId="26972" xr:uid="{00000000-0005-0000-0000-00007C650000}"/>
    <cellStyle name="Labels - Style3 5 5 2 6" xfId="26973" xr:uid="{00000000-0005-0000-0000-00007D650000}"/>
    <cellStyle name="Labels - Style3 5 5 2 6 2" xfId="26974" xr:uid="{00000000-0005-0000-0000-00007E650000}"/>
    <cellStyle name="Labels - Style3 5 5 2 6 3" xfId="26975" xr:uid="{00000000-0005-0000-0000-00007F650000}"/>
    <cellStyle name="Labels - Style3 5 5 2 7" xfId="26976" xr:uid="{00000000-0005-0000-0000-000080650000}"/>
    <cellStyle name="Labels - Style3 5 5 2 7 2" xfId="26977" xr:uid="{00000000-0005-0000-0000-000081650000}"/>
    <cellStyle name="Labels - Style3 5 5 2 7 3" xfId="26978" xr:uid="{00000000-0005-0000-0000-000082650000}"/>
    <cellStyle name="Labels - Style3 5 5 2 8" xfId="26979" xr:uid="{00000000-0005-0000-0000-000083650000}"/>
    <cellStyle name="Labels - Style3 5 5 2 9" xfId="26980" xr:uid="{00000000-0005-0000-0000-000084650000}"/>
    <cellStyle name="Labels - Style3 5 5 3" xfId="26981" xr:uid="{00000000-0005-0000-0000-000085650000}"/>
    <cellStyle name="Labels - Style3 5 5 3 2" xfId="26982" xr:uid="{00000000-0005-0000-0000-000086650000}"/>
    <cellStyle name="Labels - Style3 5 5 3 3" xfId="26983" xr:uid="{00000000-0005-0000-0000-000087650000}"/>
    <cellStyle name="Labels - Style3 5 5 4" xfId="26984" xr:uid="{00000000-0005-0000-0000-000088650000}"/>
    <cellStyle name="Labels - Style3 5 5 4 2" xfId="26985" xr:uid="{00000000-0005-0000-0000-000089650000}"/>
    <cellStyle name="Labels - Style3 5 5 4 3" xfId="26986" xr:uid="{00000000-0005-0000-0000-00008A650000}"/>
    <cellStyle name="Labels - Style3 5 5 5" xfId="26987" xr:uid="{00000000-0005-0000-0000-00008B650000}"/>
    <cellStyle name="Labels - Style3 5 5 5 2" xfId="26988" xr:uid="{00000000-0005-0000-0000-00008C650000}"/>
    <cellStyle name="Labels - Style3 5 5 5 3" xfId="26989" xr:uid="{00000000-0005-0000-0000-00008D650000}"/>
    <cellStyle name="Labels - Style3 5 5 6" xfId="26990" xr:uid="{00000000-0005-0000-0000-00008E650000}"/>
    <cellStyle name="Labels - Style3 5 5 6 2" xfId="26991" xr:uid="{00000000-0005-0000-0000-00008F650000}"/>
    <cellStyle name="Labels - Style3 5 5 6 3" xfId="26992" xr:uid="{00000000-0005-0000-0000-000090650000}"/>
    <cellStyle name="Labels - Style3 5 5 7" xfId="26993" xr:uid="{00000000-0005-0000-0000-000091650000}"/>
    <cellStyle name="Labels - Style3 5 5 7 2" xfId="26994" xr:uid="{00000000-0005-0000-0000-000092650000}"/>
    <cellStyle name="Labels - Style3 5 5 7 3" xfId="26995" xr:uid="{00000000-0005-0000-0000-000093650000}"/>
    <cellStyle name="Labels - Style3 5 5 8" xfId="26996" xr:uid="{00000000-0005-0000-0000-000094650000}"/>
    <cellStyle name="Labels - Style3 5 5 8 2" xfId="26997" xr:uid="{00000000-0005-0000-0000-000095650000}"/>
    <cellStyle name="Labels - Style3 5 5 8 3" xfId="26998" xr:uid="{00000000-0005-0000-0000-000096650000}"/>
    <cellStyle name="Labels - Style3 5 5 9" xfId="26999" xr:uid="{00000000-0005-0000-0000-000097650000}"/>
    <cellStyle name="Labels - Style3 5 6" xfId="27000" xr:uid="{00000000-0005-0000-0000-000098650000}"/>
    <cellStyle name="Labels - Style3 5 6 2" xfId="27001" xr:uid="{00000000-0005-0000-0000-000099650000}"/>
    <cellStyle name="Labels - Style3 5 6 2 2" xfId="27002" xr:uid="{00000000-0005-0000-0000-00009A650000}"/>
    <cellStyle name="Labels - Style3 5 6 2 3" xfId="27003" xr:uid="{00000000-0005-0000-0000-00009B650000}"/>
    <cellStyle name="Labels - Style3 5 6 3" xfId="27004" xr:uid="{00000000-0005-0000-0000-00009C650000}"/>
    <cellStyle name="Labels - Style3 5 6 3 2" xfId="27005" xr:uid="{00000000-0005-0000-0000-00009D650000}"/>
    <cellStyle name="Labels - Style3 5 6 3 3" xfId="27006" xr:uid="{00000000-0005-0000-0000-00009E650000}"/>
    <cellStyle name="Labels - Style3 5 6 4" xfId="27007" xr:uid="{00000000-0005-0000-0000-00009F650000}"/>
    <cellStyle name="Labels - Style3 5 6 4 2" xfId="27008" xr:uid="{00000000-0005-0000-0000-0000A0650000}"/>
    <cellStyle name="Labels - Style3 5 6 4 3" xfId="27009" xr:uid="{00000000-0005-0000-0000-0000A1650000}"/>
    <cellStyle name="Labels - Style3 5 6 5" xfId="27010" xr:uid="{00000000-0005-0000-0000-0000A2650000}"/>
    <cellStyle name="Labels - Style3 5 6 5 2" xfId="27011" xr:uid="{00000000-0005-0000-0000-0000A3650000}"/>
    <cellStyle name="Labels - Style3 5 6 5 3" xfId="27012" xr:uid="{00000000-0005-0000-0000-0000A4650000}"/>
    <cellStyle name="Labels - Style3 5 6 6" xfId="27013" xr:uid="{00000000-0005-0000-0000-0000A5650000}"/>
    <cellStyle name="Labels - Style3 5 6 6 2" xfId="27014" xr:uid="{00000000-0005-0000-0000-0000A6650000}"/>
    <cellStyle name="Labels - Style3 5 6 6 3" xfId="27015" xr:uid="{00000000-0005-0000-0000-0000A7650000}"/>
    <cellStyle name="Labels - Style3 5 6 7" xfId="27016" xr:uid="{00000000-0005-0000-0000-0000A8650000}"/>
    <cellStyle name="Labels - Style3 5 6 7 2" xfId="27017" xr:uid="{00000000-0005-0000-0000-0000A9650000}"/>
    <cellStyle name="Labels - Style3 5 6 7 3" xfId="27018" xr:uid="{00000000-0005-0000-0000-0000AA650000}"/>
    <cellStyle name="Labels - Style3 5 6 8" xfId="27019" xr:uid="{00000000-0005-0000-0000-0000AB650000}"/>
    <cellStyle name="Labels - Style3 5 6 9" xfId="27020" xr:uid="{00000000-0005-0000-0000-0000AC650000}"/>
    <cellStyle name="Labels - Style3 5 7" xfId="27021" xr:uid="{00000000-0005-0000-0000-0000AD650000}"/>
    <cellStyle name="Labels - Style3 5 7 2" xfId="27022" xr:uid="{00000000-0005-0000-0000-0000AE650000}"/>
    <cellStyle name="Labels - Style3 5 7 3" xfId="27023" xr:uid="{00000000-0005-0000-0000-0000AF650000}"/>
    <cellStyle name="Labels - Style3 5 8" xfId="27024" xr:uid="{00000000-0005-0000-0000-0000B0650000}"/>
    <cellStyle name="Labels - Style3 5 8 2" xfId="27025" xr:uid="{00000000-0005-0000-0000-0000B1650000}"/>
    <cellStyle name="Labels - Style3 5 8 3" xfId="27026" xr:uid="{00000000-0005-0000-0000-0000B2650000}"/>
    <cellStyle name="Labels - Style3 5 9" xfId="44099" xr:uid="{00000000-0005-0000-0000-0000B3650000}"/>
    <cellStyle name="Labels - Style3 6" xfId="27027" xr:uid="{00000000-0005-0000-0000-0000B4650000}"/>
    <cellStyle name="Labels - Style3 6 10" xfId="27028" xr:uid="{00000000-0005-0000-0000-0000B5650000}"/>
    <cellStyle name="Labels - Style3 6 2" xfId="27029" xr:uid="{00000000-0005-0000-0000-0000B6650000}"/>
    <cellStyle name="Labels - Style3 6 2 2" xfId="27030" xr:uid="{00000000-0005-0000-0000-0000B7650000}"/>
    <cellStyle name="Labels - Style3 6 2 2 2" xfId="27031" xr:uid="{00000000-0005-0000-0000-0000B8650000}"/>
    <cellStyle name="Labels - Style3 6 2 2 3" xfId="27032" xr:uid="{00000000-0005-0000-0000-0000B9650000}"/>
    <cellStyle name="Labels - Style3 6 2 3" xfId="27033" xr:uid="{00000000-0005-0000-0000-0000BA650000}"/>
    <cellStyle name="Labels - Style3 6 2 3 2" xfId="27034" xr:uid="{00000000-0005-0000-0000-0000BB650000}"/>
    <cellStyle name="Labels - Style3 6 2 3 3" xfId="27035" xr:uid="{00000000-0005-0000-0000-0000BC650000}"/>
    <cellStyle name="Labels - Style3 6 2 4" xfId="27036" xr:uid="{00000000-0005-0000-0000-0000BD650000}"/>
    <cellStyle name="Labels - Style3 6 2 4 2" xfId="27037" xr:uid="{00000000-0005-0000-0000-0000BE650000}"/>
    <cellStyle name="Labels - Style3 6 2 4 3" xfId="27038" xr:uid="{00000000-0005-0000-0000-0000BF650000}"/>
    <cellStyle name="Labels - Style3 6 2 5" xfId="27039" xr:uid="{00000000-0005-0000-0000-0000C0650000}"/>
    <cellStyle name="Labels - Style3 6 2 5 2" xfId="27040" xr:uid="{00000000-0005-0000-0000-0000C1650000}"/>
    <cellStyle name="Labels - Style3 6 2 5 3" xfId="27041" xr:uid="{00000000-0005-0000-0000-0000C2650000}"/>
    <cellStyle name="Labels - Style3 6 2 6" xfId="27042" xr:uid="{00000000-0005-0000-0000-0000C3650000}"/>
    <cellStyle name="Labels - Style3 6 2 6 2" xfId="27043" xr:uid="{00000000-0005-0000-0000-0000C4650000}"/>
    <cellStyle name="Labels - Style3 6 2 6 3" xfId="27044" xr:uid="{00000000-0005-0000-0000-0000C5650000}"/>
    <cellStyle name="Labels - Style3 6 2 7" xfId="27045" xr:uid="{00000000-0005-0000-0000-0000C6650000}"/>
    <cellStyle name="Labels - Style3 6 2 7 2" xfId="27046" xr:uid="{00000000-0005-0000-0000-0000C7650000}"/>
    <cellStyle name="Labels - Style3 6 2 7 3" xfId="27047" xr:uid="{00000000-0005-0000-0000-0000C8650000}"/>
    <cellStyle name="Labels - Style3 6 2 8" xfId="27048" xr:uid="{00000000-0005-0000-0000-0000C9650000}"/>
    <cellStyle name="Labels - Style3 6 2 9" xfId="27049" xr:uid="{00000000-0005-0000-0000-0000CA650000}"/>
    <cellStyle name="Labels - Style3 6 3" xfId="27050" xr:uid="{00000000-0005-0000-0000-0000CB650000}"/>
    <cellStyle name="Labels - Style3 6 3 2" xfId="27051" xr:uid="{00000000-0005-0000-0000-0000CC650000}"/>
    <cellStyle name="Labels - Style3 6 3 3" xfId="27052" xr:uid="{00000000-0005-0000-0000-0000CD650000}"/>
    <cellStyle name="Labels - Style3 6 4" xfId="27053" xr:uid="{00000000-0005-0000-0000-0000CE650000}"/>
    <cellStyle name="Labels - Style3 6 4 2" xfId="27054" xr:uid="{00000000-0005-0000-0000-0000CF650000}"/>
    <cellStyle name="Labels - Style3 6 4 3" xfId="27055" xr:uid="{00000000-0005-0000-0000-0000D0650000}"/>
    <cellStyle name="Labels - Style3 6 5" xfId="27056" xr:uid="{00000000-0005-0000-0000-0000D1650000}"/>
    <cellStyle name="Labels - Style3 6 5 2" xfId="27057" xr:uid="{00000000-0005-0000-0000-0000D2650000}"/>
    <cellStyle name="Labels - Style3 6 5 3" xfId="27058" xr:uid="{00000000-0005-0000-0000-0000D3650000}"/>
    <cellStyle name="Labels - Style3 6 6" xfId="27059" xr:uid="{00000000-0005-0000-0000-0000D4650000}"/>
    <cellStyle name="Labels - Style3 6 6 2" xfId="27060" xr:uid="{00000000-0005-0000-0000-0000D5650000}"/>
    <cellStyle name="Labels - Style3 6 6 3" xfId="27061" xr:uid="{00000000-0005-0000-0000-0000D6650000}"/>
    <cellStyle name="Labels - Style3 6 7" xfId="27062" xr:uid="{00000000-0005-0000-0000-0000D7650000}"/>
    <cellStyle name="Labels - Style3 6 7 2" xfId="27063" xr:uid="{00000000-0005-0000-0000-0000D8650000}"/>
    <cellStyle name="Labels - Style3 6 7 3" xfId="27064" xr:uid="{00000000-0005-0000-0000-0000D9650000}"/>
    <cellStyle name="Labels - Style3 6 8" xfId="27065" xr:uid="{00000000-0005-0000-0000-0000DA650000}"/>
    <cellStyle name="Labels - Style3 6 8 2" xfId="27066" xr:uid="{00000000-0005-0000-0000-0000DB650000}"/>
    <cellStyle name="Labels - Style3 6 8 3" xfId="27067" xr:uid="{00000000-0005-0000-0000-0000DC650000}"/>
    <cellStyle name="Labels - Style3 6 9" xfId="27068" xr:uid="{00000000-0005-0000-0000-0000DD650000}"/>
    <cellStyle name="Labels - Style3 7" xfId="27069" xr:uid="{00000000-0005-0000-0000-0000DE650000}"/>
    <cellStyle name="Labels - Style3 7 10" xfId="27070" xr:uid="{00000000-0005-0000-0000-0000DF650000}"/>
    <cellStyle name="Labels - Style3 7 2" xfId="27071" xr:uid="{00000000-0005-0000-0000-0000E0650000}"/>
    <cellStyle name="Labels - Style3 7 2 2" xfId="27072" xr:uid="{00000000-0005-0000-0000-0000E1650000}"/>
    <cellStyle name="Labels - Style3 7 2 2 2" xfId="27073" xr:uid="{00000000-0005-0000-0000-0000E2650000}"/>
    <cellStyle name="Labels - Style3 7 2 2 3" xfId="27074" xr:uid="{00000000-0005-0000-0000-0000E3650000}"/>
    <cellStyle name="Labels - Style3 7 2 3" xfId="27075" xr:uid="{00000000-0005-0000-0000-0000E4650000}"/>
    <cellStyle name="Labels - Style3 7 2 3 2" xfId="27076" xr:uid="{00000000-0005-0000-0000-0000E5650000}"/>
    <cellStyle name="Labels - Style3 7 2 3 3" xfId="27077" xr:uid="{00000000-0005-0000-0000-0000E6650000}"/>
    <cellStyle name="Labels - Style3 7 2 4" xfId="27078" xr:uid="{00000000-0005-0000-0000-0000E7650000}"/>
    <cellStyle name="Labels - Style3 7 2 4 2" xfId="27079" xr:uid="{00000000-0005-0000-0000-0000E8650000}"/>
    <cellStyle name="Labels - Style3 7 2 4 3" xfId="27080" xr:uid="{00000000-0005-0000-0000-0000E9650000}"/>
    <cellStyle name="Labels - Style3 7 2 5" xfId="27081" xr:uid="{00000000-0005-0000-0000-0000EA650000}"/>
    <cellStyle name="Labels - Style3 7 2 5 2" xfId="27082" xr:uid="{00000000-0005-0000-0000-0000EB650000}"/>
    <cellStyle name="Labels - Style3 7 2 5 3" xfId="27083" xr:uid="{00000000-0005-0000-0000-0000EC650000}"/>
    <cellStyle name="Labels - Style3 7 2 6" xfId="27084" xr:uid="{00000000-0005-0000-0000-0000ED650000}"/>
    <cellStyle name="Labels - Style3 7 2 6 2" xfId="27085" xr:uid="{00000000-0005-0000-0000-0000EE650000}"/>
    <cellStyle name="Labels - Style3 7 2 6 3" xfId="27086" xr:uid="{00000000-0005-0000-0000-0000EF650000}"/>
    <cellStyle name="Labels - Style3 7 2 7" xfId="27087" xr:uid="{00000000-0005-0000-0000-0000F0650000}"/>
    <cellStyle name="Labels - Style3 7 2 7 2" xfId="27088" xr:uid="{00000000-0005-0000-0000-0000F1650000}"/>
    <cellStyle name="Labels - Style3 7 2 7 3" xfId="27089" xr:uid="{00000000-0005-0000-0000-0000F2650000}"/>
    <cellStyle name="Labels - Style3 7 2 8" xfId="27090" xr:uid="{00000000-0005-0000-0000-0000F3650000}"/>
    <cellStyle name="Labels - Style3 7 2 9" xfId="27091" xr:uid="{00000000-0005-0000-0000-0000F4650000}"/>
    <cellStyle name="Labels - Style3 7 3" xfId="27092" xr:uid="{00000000-0005-0000-0000-0000F5650000}"/>
    <cellStyle name="Labels - Style3 7 3 2" xfId="27093" xr:uid="{00000000-0005-0000-0000-0000F6650000}"/>
    <cellStyle name="Labels - Style3 7 3 3" xfId="27094" xr:uid="{00000000-0005-0000-0000-0000F7650000}"/>
    <cellStyle name="Labels - Style3 7 4" xfId="27095" xr:uid="{00000000-0005-0000-0000-0000F8650000}"/>
    <cellStyle name="Labels - Style3 7 4 2" xfId="27096" xr:uid="{00000000-0005-0000-0000-0000F9650000}"/>
    <cellStyle name="Labels - Style3 7 4 3" xfId="27097" xr:uid="{00000000-0005-0000-0000-0000FA650000}"/>
    <cellStyle name="Labels - Style3 7 5" xfId="27098" xr:uid="{00000000-0005-0000-0000-0000FB650000}"/>
    <cellStyle name="Labels - Style3 7 5 2" xfId="27099" xr:uid="{00000000-0005-0000-0000-0000FC650000}"/>
    <cellStyle name="Labels - Style3 7 5 3" xfId="27100" xr:uid="{00000000-0005-0000-0000-0000FD650000}"/>
    <cellStyle name="Labels - Style3 7 6" xfId="27101" xr:uid="{00000000-0005-0000-0000-0000FE650000}"/>
    <cellStyle name="Labels - Style3 7 6 2" xfId="27102" xr:uid="{00000000-0005-0000-0000-0000FF650000}"/>
    <cellStyle name="Labels - Style3 7 6 3" xfId="27103" xr:uid="{00000000-0005-0000-0000-000000660000}"/>
    <cellStyle name="Labels - Style3 7 7" xfId="27104" xr:uid="{00000000-0005-0000-0000-000001660000}"/>
    <cellStyle name="Labels - Style3 7 7 2" xfId="27105" xr:uid="{00000000-0005-0000-0000-000002660000}"/>
    <cellStyle name="Labels - Style3 7 7 3" xfId="27106" xr:uid="{00000000-0005-0000-0000-000003660000}"/>
    <cellStyle name="Labels - Style3 7 8" xfId="27107" xr:uid="{00000000-0005-0000-0000-000004660000}"/>
    <cellStyle name="Labels - Style3 7 8 2" xfId="27108" xr:uid="{00000000-0005-0000-0000-000005660000}"/>
    <cellStyle name="Labels - Style3 7 8 3" xfId="27109" xr:uid="{00000000-0005-0000-0000-000006660000}"/>
    <cellStyle name="Labels - Style3 7 9" xfId="27110" xr:uid="{00000000-0005-0000-0000-000007660000}"/>
    <cellStyle name="Labels - Style3 8" xfId="27111" xr:uid="{00000000-0005-0000-0000-000008660000}"/>
    <cellStyle name="Labels - Style3 8 10" xfId="27112" xr:uid="{00000000-0005-0000-0000-000009660000}"/>
    <cellStyle name="Labels - Style3 8 2" xfId="27113" xr:uid="{00000000-0005-0000-0000-00000A660000}"/>
    <cellStyle name="Labels - Style3 8 2 2" xfId="27114" xr:uid="{00000000-0005-0000-0000-00000B660000}"/>
    <cellStyle name="Labels - Style3 8 2 2 2" xfId="27115" xr:uid="{00000000-0005-0000-0000-00000C660000}"/>
    <cellStyle name="Labels - Style3 8 2 2 3" xfId="27116" xr:uid="{00000000-0005-0000-0000-00000D660000}"/>
    <cellStyle name="Labels - Style3 8 2 3" xfId="27117" xr:uid="{00000000-0005-0000-0000-00000E660000}"/>
    <cellStyle name="Labels - Style3 8 2 3 2" xfId="27118" xr:uid="{00000000-0005-0000-0000-00000F660000}"/>
    <cellStyle name="Labels - Style3 8 2 3 3" xfId="27119" xr:uid="{00000000-0005-0000-0000-000010660000}"/>
    <cellStyle name="Labels - Style3 8 2 4" xfId="27120" xr:uid="{00000000-0005-0000-0000-000011660000}"/>
    <cellStyle name="Labels - Style3 8 2 4 2" xfId="27121" xr:uid="{00000000-0005-0000-0000-000012660000}"/>
    <cellStyle name="Labels - Style3 8 2 4 3" xfId="27122" xr:uid="{00000000-0005-0000-0000-000013660000}"/>
    <cellStyle name="Labels - Style3 8 2 5" xfId="27123" xr:uid="{00000000-0005-0000-0000-000014660000}"/>
    <cellStyle name="Labels - Style3 8 2 5 2" xfId="27124" xr:uid="{00000000-0005-0000-0000-000015660000}"/>
    <cellStyle name="Labels - Style3 8 2 5 3" xfId="27125" xr:uid="{00000000-0005-0000-0000-000016660000}"/>
    <cellStyle name="Labels - Style3 8 2 6" xfId="27126" xr:uid="{00000000-0005-0000-0000-000017660000}"/>
    <cellStyle name="Labels - Style3 8 2 6 2" xfId="27127" xr:uid="{00000000-0005-0000-0000-000018660000}"/>
    <cellStyle name="Labels - Style3 8 2 6 3" xfId="27128" xr:uid="{00000000-0005-0000-0000-000019660000}"/>
    <cellStyle name="Labels - Style3 8 2 7" xfId="27129" xr:uid="{00000000-0005-0000-0000-00001A660000}"/>
    <cellStyle name="Labels - Style3 8 2 7 2" xfId="27130" xr:uid="{00000000-0005-0000-0000-00001B660000}"/>
    <cellStyle name="Labels - Style3 8 2 7 3" xfId="27131" xr:uid="{00000000-0005-0000-0000-00001C660000}"/>
    <cellStyle name="Labels - Style3 8 2 8" xfId="27132" xr:uid="{00000000-0005-0000-0000-00001D660000}"/>
    <cellStyle name="Labels - Style3 8 2 9" xfId="27133" xr:uid="{00000000-0005-0000-0000-00001E660000}"/>
    <cellStyle name="Labels - Style3 8 3" xfId="27134" xr:uid="{00000000-0005-0000-0000-00001F660000}"/>
    <cellStyle name="Labels - Style3 8 3 2" xfId="27135" xr:uid="{00000000-0005-0000-0000-000020660000}"/>
    <cellStyle name="Labels - Style3 8 3 3" xfId="27136" xr:uid="{00000000-0005-0000-0000-000021660000}"/>
    <cellStyle name="Labels - Style3 8 4" xfId="27137" xr:uid="{00000000-0005-0000-0000-000022660000}"/>
    <cellStyle name="Labels - Style3 8 4 2" xfId="27138" xr:uid="{00000000-0005-0000-0000-000023660000}"/>
    <cellStyle name="Labels - Style3 8 4 3" xfId="27139" xr:uid="{00000000-0005-0000-0000-000024660000}"/>
    <cellStyle name="Labels - Style3 8 5" xfId="27140" xr:uid="{00000000-0005-0000-0000-000025660000}"/>
    <cellStyle name="Labels - Style3 8 5 2" xfId="27141" xr:uid="{00000000-0005-0000-0000-000026660000}"/>
    <cellStyle name="Labels - Style3 8 5 3" xfId="27142" xr:uid="{00000000-0005-0000-0000-000027660000}"/>
    <cellStyle name="Labels - Style3 8 6" xfId="27143" xr:uid="{00000000-0005-0000-0000-000028660000}"/>
    <cellStyle name="Labels - Style3 8 6 2" xfId="27144" xr:uid="{00000000-0005-0000-0000-000029660000}"/>
    <cellStyle name="Labels - Style3 8 6 3" xfId="27145" xr:uid="{00000000-0005-0000-0000-00002A660000}"/>
    <cellStyle name="Labels - Style3 8 7" xfId="27146" xr:uid="{00000000-0005-0000-0000-00002B660000}"/>
    <cellStyle name="Labels - Style3 8 7 2" xfId="27147" xr:uid="{00000000-0005-0000-0000-00002C660000}"/>
    <cellStyle name="Labels - Style3 8 7 3" xfId="27148" xr:uid="{00000000-0005-0000-0000-00002D660000}"/>
    <cellStyle name="Labels - Style3 8 8" xfId="27149" xr:uid="{00000000-0005-0000-0000-00002E660000}"/>
    <cellStyle name="Labels - Style3 8 8 2" xfId="27150" xr:uid="{00000000-0005-0000-0000-00002F660000}"/>
    <cellStyle name="Labels - Style3 8 8 3" xfId="27151" xr:uid="{00000000-0005-0000-0000-000030660000}"/>
    <cellStyle name="Labels - Style3 8 9" xfId="27152" xr:uid="{00000000-0005-0000-0000-000031660000}"/>
    <cellStyle name="Labels - Style3 9" xfId="27153" xr:uid="{00000000-0005-0000-0000-000032660000}"/>
    <cellStyle name="Labels - Style3 9 10" xfId="27154" xr:uid="{00000000-0005-0000-0000-000033660000}"/>
    <cellStyle name="Labels - Style3 9 2" xfId="27155" xr:uid="{00000000-0005-0000-0000-000034660000}"/>
    <cellStyle name="Labels - Style3 9 2 2" xfId="27156" xr:uid="{00000000-0005-0000-0000-000035660000}"/>
    <cellStyle name="Labels - Style3 9 2 2 2" xfId="27157" xr:uid="{00000000-0005-0000-0000-000036660000}"/>
    <cellStyle name="Labels - Style3 9 2 2 3" xfId="27158" xr:uid="{00000000-0005-0000-0000-000037660000}"/>
    <cellStyle name="Labels - Style3 9 2 3" xfId="27159" xr:uid="{00000000-0005-0000-0000-000038660000}"/>
    <cellStyle name="Labels - Style3 9 2 3 2" xfId="27160" xr:uid="{00000000-0005-0000-0000-000039660000}"/>
    <cellStyle name="Labels - Style3 9 2 3 3" xfId="27161" xr:uid="{00000000-0005-0000-0000-00003A660000}"/>
    <cellStyle name="Labels - Style3 9 2 4" xfId="27162" xr:uid="{00000000-0005-0000-0000-00003B660000}"/>
    <cellStyle name="Labels - Style3 9 2 4 2" xfId="27163" xr:uid="{00000000-0005-0000-0000-00003C660000}"/>
    <cellStyle name="Labels - Style3 9 2 4 3" xfId="27164" xr:uid="{00000000-0005-0000-0000-00003D660000}"/>
    <cellStyle name="Labels - Style3 9 2 5" xfId="27165" xr:uid="{00000000-0005-0000-0000-00003E660000}"/>
    <cellStyle name="Labels - Style3 9 2 5 2" xfId="27166" xr:uid="{00000000-0005-0000-0000-00003F660000}"/>
    <cellStyle name="Labels - Style3 9 2 5 3" xfId="27167" xr:uid="{00000000-0005-0000-0000-000040660000}"/>
    <cellStyle name="Labels - Style3 9 2 6" xfId="27168" xr:uid="{00000000-0005-0000-0000-000041660000}"/>
    <cellStyle name="Labels - Style3 9 2 6 2" xfId="27169" xr:uid="{00000000-0005-0000-0000-000042660000}"/>
    <cellStyle name="Labels - Style3 9 2 6 3" xfId="27170" xr:uid="{00000000-0005-0000-0000-000043660000}"/>
    <cellStyle name="Labels - Style3 9 2 7" xfId="27171" xr:uid="{00000000-0005-0000-0000-000044660000}"/>
    <cellStyle name="Labels - Style3 9 2 7 2" xfId="27172" xr:uid="{00000000-0005-0000-0000-000045660000}"/>
    <cellStyle name="Labels - Style3 9 2 7 3" xfId="27173" xr:uid="{00000000-0005-0000-0000-000046660000}"/>
    <cellStyle name="Labels - Style3 9 2 8" xfId="27174" xr:uid="{00000000-0005-0000-0000-000047660000}"/>
    <cellStyle name="Labels - Style3 9 2 9" xfId="27175" xr:uid="{00000000-0005-0000-0000-000048660000}"/>
    <cellStyle name="Labels - Style3 9 3" xfId="27176" xr:uid="{00000000-0005-0000-0000-000049660000}"/>
    <cellStyle name="Labels - Style3 9 3 2" xfId="27177" xr:uid="{00000000-0005-0000-0000-00004A660000}"/>
    <cellStyle name="Labels - Style3 9 3 3" xfId="27178" xr:uid="{00000000-0005-0000-0000-00004B660000}"/>
    <cellStyle name="Labels - Style3 9 4" xfId="27179" xr:uid="{00000000-0005-0000-0000-00004C660000}"/>
    <cellStyle name="Labels - Style3 9 4 2" xfId="27180" xr:uid="{00000000-0005-0000-0000-00004D660000}"/>
    <cellStyle name="Labels - Style3 9 4 3" xfId="27181" xr:uid="{00000000-0005-0000-0000-00004E660000}"/>
    <cellStyle name="Labels - Style3 9 5" xfId="27182" xr:uid="{00000000-0005-0000-0000-00004F660000}"/>
    <cellStyle name="Labels - Style3 9 5 2" xfId="27183" xr:uid="{00000000-0005-0000-0000-000050660000}"/>
    <cellStyle name="Labels - Style3 9 5 3" xfId="27184" xr:uid="{00000000-0005-0000-0000-000051660000}"/>
    <cellStyle name="Labels - Style3 9 6" xfId="27185" xr:uid="{00000000-0005-0000-0000-000052660000}"/>
    <cellStyle name="Labels - Style3 9 6 2" xfId="27186" xr:uid="{00000000-0005-0000-0000-000053660000}"/>
    <cellStyle name="Labels - Style3 9 6 3" xfId="27187" xr:uid="{00000000-0005-0000-0000-000054660000}"/>
    <cellStyle name="Labels - Style3 9 7" xfId="27188" xr:uid="{00000000-0005-0000-0000-000055660000}"/>
    <cellStyle name="Labels - Style3 9 7 2" xfId="27189" xr:uid="{00000000-0005-0000-0000-000056660000}"/>
    <cellStyle name="Labels - Style3 9 7 3" xfId="27190" xr:uid="{00000000-0005-0000-0000-000057660000}"/>
    <cellStyle name="Labels - Style3 9 8" xfId="27191" xr:uid="{00000000-0005-0000-0000-000058660000}"/>
    <cellStyle name="Labels - Style3 9 8 2" xfId="27192" xr:uid="{00000000-0005-0000-0000-000059660000}"/>
    <cellStyle name="Labels - Style3 9 8 3" xfId="27193" xr:uid="{00000000-0005-0000-0000-00005A660000}"/>
    <cellStyle name="Labels - Style3 9 9" xfId="27194" xr:uid="{00000000-0005-0000-0000-00005B660000}"/>
    <cellStyle name="Labels 10" xfId="27195" xr:uid="{00000000-0005-0000-0000-00005C660000}"/>
    <cellStyle name="Labels 10 2" xfId="27196" xr:uid="{00000000-0005-0000-0000-00005D660000}"/>
    <cellStyle name="Labels 10 2 2" xfId="27197" xr:uid="{00000000-0005-0000-0000-00005E660000}"/>
    <cellStyle name="Labels 10 2 2 2" xfId="44100" xr:uid="{00000000-0005-0000-0000-00005F660000}"/>
    <cellStyle name="Labels 10 2 3" xfId="27198" xr:uid="{00000000-0005-0000-0000-000060660000}"/>
    <cellStyle name="Labels 10 2 3 2" xfId="44101" xr:uid="{00000000-0005-0000-0000-000061660000}"/>
    <cellStyle name="Labels 10 2 4" xfId="27199" xr:uid="{00000000-0005-0000-0000-000062660000}"/>
    <cellStyle name="Labels 10 2 4 2" xfId="44102" xr:uid="{00000000-0005-0000-0000-000063660000}"/>
    <cellStyle name="Labels 10 2 5" xfId="27200" xr:uid="{00000000-0005-0000-0000-000064660000}"/>
    <cellStyle name="Labels 10 2 5 2" xfId="44103" xr:uid="{00000000-0005-0000-0000-000065660000}"/>
    <cellStyle name="Labels 10 2 6" xfId="27201" xr:uid="{00000000-0005-0000-0000-000066660000}"/>
    <cellStyle name="Labels 10 2 6 2" xfId="44104" xr:uid="{00000000-0005-0000-0000-000067660000}"/>
    <cellStyle name="Labels 10 2 7" xfId="27202" xr:uid="{00000000-0005-0000-0000-000068660000}"/>
    <cellStyle name="Labels 10 2 7 2" xfId="44105" xr:uid="{00000000-0005-0000-0000-000069660000}"/>
    <cellStyle name="Labels 10 2 8" xfId="44106" xr:uid="{00000000-0005-0000-0000-00006A660000}"/>
    <cellStyle name="Labels 10 3" xfId="27203" xr:uid="{00000000-0005-0000-0000-00006B660000}"/>
    <cellStyle name="Labels 10 3 2" xfId="44107" xr:uid="{00000000-0005-0000-0000-00006C660000}"/>
    <cellStyle name="Labels 10 4" xfId="27204" xr:uid="{00000000-0005-0000-0000-00006D660000}"/>
    <cellStyle name="Labels 10 4 2" xfId="44108" xr:uid="{00000000-0005-0000-0000-00006E660000}"/>
    <cellStyle name="Labels 10 5" xfId="27205" xr:uid="{00000000-0005-0000-0000-00006F660000}"/>
    <cellStyle name="Labels 10 5 2" xfId="44109" xr:uid="{00000000-0005-0000-0000-000070660000}"/>
    <cellStyle name="Labels 10 6" xfId="27206" xr:uid="{00000000-0005-0000-0000-000071660000}"/>
    <cellStyle name="Labels 10 6 2" xfId="44110" xr:uid="{00000000-0005-0000-0000-000072660000}"/>
    <cellStyle name="Labels 10 7" xfId="27207" xr:uid="{00000000-0005-0000-0000-000073660000}"/>
    <cellStyle name="Labels 10 7 2" xfId="44111" xr:uid="{00000000-0005-0000-0000-000074660000}"/>
    <cellStyle name="Labels 10 8" xfId="27208" xr:uid="{00000000-0005-0000-0000-000075660000}"/>
    <cellStyle name="Labels 10 8 2" xfId="44112" xr:uid="{00000000-0005-0000-0000-000076660000}"/>
    <cellStyle name="Labels 10 9" xfId="44113" xr:uid="{00000000-0005-0000-0000-000077660000}"/>
    <cellStyle name="Labels 11" xfId="27209" xr:uid="{00000000-0005-0000-0000-000078660000}"/>
    <cellStyle name="Labels 11 2" xfId="27210" xr:uid="{00000000-0005-0000-0000-000079660000}"/>
    <cellStyle name="Labels 11 2 2" xfId="27211" xr:uid="{00000000-0005-0000-0000-00007A660000}"/>
    <cellStyle name="Labels 11 2 2 2" xfId="44114" xr:uid="{00000000-0005-0000-0000-00007B660000}"/>
    <cellStyle name="Labels 11 2 3" xfId="27212" xr:uid="{00000000-0005-0000-0000-00007C660000}"/>
    <cellStyle name="Labels 11 2 3 2" xfId="44115" xr:uid="{00000000-0005-0000-0000-00007D660000}"/>
    <cellStyle name="Labels 11 2 4" xfId="27213" xr:uid="{00000000-0005-0000-0000-00007E660000}"/>
    <cellStyle name="Labels 11 2 4 2" xfId="44116" xr:uid="{00000000-0005-0000-0000-00007F660000}"/>
    <cellStyle name="Labels 11 2 5" xfId="27214" xr:uid="{00000000-0005-0000-0000-000080660000}"/>
    <cellStyle name="Labels 11 2 5 2" xfId="44117" xr:uid="{00000000-0005-0000-0000-000081660000}"/>
    <cellStyle name="Labels 11 2 6" xfId="27215" xr:uid="{00000000-0005-0000-0000-000082660000}"/>
    <cellStyle name="Labels 11 2 6 2" xfId="44118" xr:uid="{00000000-0005-0000-0000-000083660000}"/>
    <cellStyle name="Labels 11 2 7" xfId="27216" xr:uid="{00000000-0005-0000-0000-000084660000}"/>
    <cellStyle name="Labels 11 2 7 2" xfId="44119" xr:uid="{00000000-0005-0000-0000-000085660000}"/>
    <cellStyle name="Labels 11 2 8" xfId="44120" xr:uid="{00000000-0005-0000-0000-000086660000}"/>
    <cellStyle name="Labels 11 3" xfId="27217" xr:uid="{00000000-0005-0000-0000-000087660000}"/>
    <cellStyle name="Labels 11 3 2" xfId="44121" xr:uid="{00000000-0005-0000-0000-000088660000}"/>
    <cellStyle name="Labels 11 4" xfId="27218" xr:uid="{00000000-0005-0000-0000-000089660000}"/>
    <cellStyle name="Labels 11 4 2" xfId="44122" xr:uid="{00000000-0005-0000-0000-00008A660000}"/>
    <cellStyle name="Labels 11 5" xfId="27219" xr:uid="{00000000-0005-0000-0000-00008B660000}"/>
    <cellStyle name="Labels 11 5 2" xfId="44123" xr:uid="{00000000-0005-0000-0000-00008C660000}"/>
    <cellStyle name="Labels 11 6" xfId="27220" xr:uid="{00000000-0005-0000-0000-00008D660000}"/>
    <cellStyle name="Labels 11 6 2" xfId="44124" xr:uid="{00000000-0005-0000-0000-00008E660000}"/>
    <cellStyle name="Labels 11 7" xfId="27221" xr:uid="{00000000-0005-0000-0000-00008F660000}"/>
    <cellStyle name="Labels 11 7 2" xfId="44125" xr:uid="{00000000-0005-0000-0000-000090660000}"/>
    <cellStyle name="Labels 11 8" xfId="27222" xr:uid="{00000000-0005-0000-0000-000091660000}"/>
    <cellStyle name="Labels 11 8 2" xfId="44126" xr:uid="{00000000-0005-0000-0000-000092660000}"/>
    <cellStyle name="Labels 11 9" xfId="44127" xr:uid="{00000000-0005-0000-0000-000093660000}"/>
    <cellStyle name="Labels 12" xfId="27223" xr:uid="{00000000-0005-0000-0000-000094660000}"/>
    <cellStyle name="Labels 12 2" xfId="27224" xr:uid="{00000000-0005-0000-0000-000095660000}"/>
    <cellStyle name="Labels 12 2 2" xfId="27225" xr:uid="{00000000-0005-0000-0000-000096660000}"/>
    <cellStyle name="Labels 12 2 2 2" xfId="44128" xr:uid="{00000000-0005-0000-0000-000097660000}"/>
    <cellStyle name="Labels 12 2 3" xfId="27226" xr:uid="{00000000-0005-0000-0000-000098660000}"/>
    <cellStyle name="Labels 12 2 3 2" xfId="44129" xr:uid="{00000000-0005-0000-0000-000099660000}"/>
    <cellStyle name="Labels 12 2 4" xfId="27227" xr:uid="{00000000-0005-0000-0000-00009A660000}"/>
    <cellStyle name="Labels 12 2 4 2" xfId="44130" xr:uid="{00000000-0005-0000-0000-00009B660000}"/>
    <cellStyle name="Labels 12 2 5" xfId="27228" xr:uid="{00000000-0005-0000-0000-00009C660000}"/>
    <cellStyle name="Labels 12 2 5 2" xfId="44131" xr:uid="{00000000-0005-0000-0000-00009D660000}"/>
    <cellStyle name="Labels 12 2 6" xfId="27229" xr:uid="{00000000-0005-0000-0000-00009E660000}"/>
    <cellStyle name="Labels 12 2 6 2" xfId="44132" xr:uid="{00000000-0005-0000-0000-00009F660000}"/>
    <cellStyle name="Labels 12 2 7" xfId="27230" xr:uid="{00000000-0005-0000-0000-0000A0660000}"/>
    <cellStyle name="Labels 12 2 7 2" xfId="44133" xr:uid="{00000000-0005-0000-0000-0000A1660000}"/>
    <cellStyle name="Labels 12 2 8" xfId="44134" xr:uid="{00000000-0005-0000-0000-0000A2660000}"/>
    <cellStyle name="Labels 12 3" xfId="27231" xr:uid="{00000000-0005-0000-0000-0000A3660000}"/>
    <cellStyle name="Labels 12 3 2" xfId="44135" xr:uid="{00000000-0005-0000-0000-0000A4660000}"/>
    <cellStyle name="Labels 12 4" xfId="27232" xr:uid="{00000000-0005-0000-0000-0000A5660000}"/>
    <cellStyle name="Labels 12 4 2" xfId="44136" xr:uid="{00000000-0005-0000-0000-0000A6660000}"/>
    <cellStyle name="Labels 12 5" xfId="27233" xr:uid="{00000000-0005-0000-0000-0000A7660000}"/>
    <cellStyle name="Labels 12 5 2" xfId="44137" xr:uid="{00000000-0005-0000-0000-0000A8660000}"/>
    <cellStyle name="Labels 12 6" xfId="27234" xr:uid="{00000000-0005-0000-0000-0000A9660000}"/>
    <cellStyle name="Labels 12 6 2" xfId="44138" xr:uid="{00000000-0005-0000-0000-0000AA660000}"/>
    <cellStyle name="Labels 12 7" xfId="27235" xr:uid="{00000000-0005-0000-0000-0000AB660000}"/>
    <cellStyle name="Labels 12 7 2" xfId="44139" xr:uid="{00000000-0005-0000-0000-0000AC660000}"/>
    <cellStyle name="Labels 12 8" xfId="27236" xr:uid="{00000000-0005-0000-0000-0000AD660000}"/>
    <cellStyle name="Labels 12 8 2" xfId="44140" xr:uid="{00000000-0005-0000-0000-0000AE660000}"/>
    <cellStyle name="Labels 12 9" xfId="44141" xr:uid="{00000000-0005-0000-0000-0000AF660000}"/>
    <cellStyle name="Labels 13" xfId="27237" xr:uid="{00000000-0005-0000-0000-0000B0660000}"/>
    <cellStyle name="Labels 13 2" xfId="27238" xr:uid="{00000000-0005-0000-0000-0000B1660000}"/>
    <cellStyle name="Labels 13 2 2" xfId="27239" xr:uid="{00000000-0005-0000-0000-0000B2660000}"/>
    <cellStyle name="Labels 13 2 2 2" xfId="44142" xr:uid="{00000000-0005-0000-0000-0000B3660000}"/>
    <cellStyle name="Labels 13 2 3" xfId="27240" xr:uid="{00000000-0005-0000-0000-0000B4660000}"/>
    <cellStyle name="Labels 13 2 3 2" xfId="44143" xr:uid="{00000000-0005-0000-0000-0000B5660000}"/>
    <cellStyle name="Labels 13 2 4" xfId="27241" xr:uid="{00000000-0005-0000-0000-0000B6660000}"/>
    <cellStyle name="Labels 13 2 4 2" xfId="44144" xr:uid="{00000000-0005-0000-0000-0000B7660000}"/>
    <cellStyle name="Labels 13 2 5" xfId="27242" xr:uid="{00000000-0005-0000-0000-0000B8660000}"/>
    <cellStyle name="Labels 13 2 5 2" xfId="44145" xr:uid="{00000000-0005-0000-0000-0000B9660000}"/>
    <cellStyle name="Labels 13 2 6" xfId="27243" xr:uid="{00000000-0005-0000-0000-0000BA660000}"/>
    <cellStyle name="Labels 13 2 6 2" xfId="44146" xr:uid="{00000000-0005-0000-0000-0000BB660000}"/>
    <cellStyle name="Labels 13 2 7" xfId="27244" xr:uid="{00000000-0005-0000-0000-0000BC660000}"/>
    <cellStyle name="Labels 13 2 7 2" xfId="44147" xr:uid="{00000000-0005-0000-0000-0000BD660000}"/>
    <cellStyle name="Labels 13 2 8" xfId="44148" xr:uid="{00000000-0005-0000-0000-0000BE660000}"/>
    <cellStyle name="Labels 13 3" xfId="27245" xr:uid="{00000000-0005-0000-0000-0000BF660000}"/>
    <cellStyle name="Labels 13 3 2" xfId="44149" xr:uid="{00000000-0005-0000-0000-0000C0660000}"/>
    <cellStyle name="Labels 13 4" xfId="27246" xr:uid="{00000000-0005-0000-0000-0000C1660000}"/>
    <cellStyle name="Labels 13 4 2" xfId="44150" xr:uid="{00000000-0005-0000-0000-0000C2660000}"/>
    <cellStyle name="Labels 13 5" xfId="27247" xr:uid="{00000000-0005-0000-0000-0000C3660000}"/>
    <cellStyle name="Labels 13 5 2" xfId="44151" xr:uid="{00000000-0005-0000-0000-0000C4660000}"/>
    <cellStyle name="Labels 13 6" xfId="27248" xr:uid="{00000000-0005-0000-0000-0000C5660000}"/>
    <cellStyle name="Labels 13 6 2" xfId="44152" xr:uid="{00000000-0005-0000-0000-0000C6660000}"/>
    <cellStyle name="Labels 13 7" xfId="27249" xr:uid="{00000000-0005-0000-0000-0000C7660000}"/>
    <cellStyle name="Labels 13 7 2" xfId="44153" xr:uid="{00000000-0005-0000-0000-0000C8660000}"/>
    <cellStyle name="Labels 13 8" xfId="27250" xr:uid="{00000000-0005-0000-0000-0000C9660000}"/>
    <cellStyle name="Labels 13 8 2" xfId="44154" xr:uid="{00000000-0005-0000-0000-0000CA660000}"/>
    <cellStyle name="Labels 13 9" xfId="44155" xr:uid="{00000000-0005-0000-0000-0000CB660000}"/>
    <cellStyle name="Labels 14" xfId="27251" xr:uid="{00000000-0005-0000-0000-0000CC660000}"/>
    <cellStyle name="Labels 14 2" xfId="27252" xr:uid="{00000000-0005-0000-0000-0000CD660000}"/>
    <cellStyle name="Labels 14 2 2" xfId="27253" xr:uid="{00000000-0005-0000-0000-0000CE660000}"/>
    <cellStyle name="Labels 14 2 2 2" xfId="44156" xr:uid="{00000000-0005-0000-0000-0000CF660000}"/>
    <cellStyle name="Labels 14 2 3" xfId="27254" xr:uid="{00000000-0005-0000-0000-0000D0660000}"/>
    <cellStyle name="Labels 14 2 3 2" xfId="44157" xr:uid="{00000000-0005-0000-0000-0000D1660000}"/>
    <cellStyle name="Labels 14 2 4" xfId="27255" xr:uid="{00000000-0005-0000-0000-0000D2660000}"/>
    <cellStyle name="Labels 14 2 4 2" xfId="44158" xr:uid="{00000000-0005-0000-0000-0000D3660000}"/>
    <cellStyle name="Labels 14 2 5" xfId="27256" xr:uid="{00000000-0005-0000-0000-0000D4660000}"/>
    <cellStyle name="Labels 14 2 5 2" xfId="44159" xr:uid="{00000000-0005-0000-0000-0000D5660000}"/>
    <cellStyle name="Labels 14 2 6" xfId="27257" xr:uid="{00000000-0005-0000-0000-0000D6660000}"/>
    <cellStyle name="Labels 14 2 6 2" xfId="44160" xr:uid="{00000000-0005-0000-0000-0000D7660000}"/>
    <cellStyle name="Labels 14 2 7" xfId="27258" xr:uid="{00000000-0005-0000-0000-0000D8660000}"/>
    <cellStyle name="Labels 14 2 7 2" xfId="44161" xr:uid="{00000000-0005-0000-0000-0000D9660000}"/>
    <cellStyle name="Labels 14 2 8" xfId="44162" xr:uid="{00000000-0005-0000-0000-0000DA660000}"/>
    <cellStyle name="Labels 14 3" xfId="27259" xr:uid="{00000000-0005-0000-0000-0000DB660000}"/>
    <cellStyle name="Labels 14 3 2" xfId="44163" xr:uid="{00000000-0005-0000-0000-0000DC660000}"/>
    <cellStyle name="Labels 14 4" xfId="27260" xr:uid="{00000000-0005-0000-0000-0000DD660000}"/>
    <cellStyle name="Labels 14 4 2" xfId="44164" xr:uid="{00000000-0005-0000-0000-0000DE660000}"/>
    <cellStyle name="Labels 14 5" xfId="27261" xr:uid="{00000000-0005-0000-0000-0000DF660000}"/>
    <cellStyle name="Labels 14 5 2" xfId="44165" xr:uid="{00000000-0005-0000-0000-0000E0660000}"/>
    <cellStyle name="Labels 14 6" xfId="27262" xr:uid="{00000000-0005-0000-0000-0000E1660000}"/>
    <cellStyle name="Labels 14 6 2" xfId="44166" xr:uid="{00000000-0005-0000-0000-0000E2660000}"/>
    <cellStyle name="Labels 14 7" xfId="27263" xr:uid="{00000000-0005-0000-0000-0000E3660000}"/>
    <cellStyle name="Labels 14 7 2" xfId="44167" xr:uid="{00000000-0005-0000-0000-0000E4660000}"/>
    <cellStyle name="Labels 14 8" xfId="27264" xr:uid="{00000000-0005-0000-0000-0000E5660000}"/>
    <cellStyle name="Labels 14 8 2" xfId="44168" xr:uid="{00000000-0005-0000-0000-0000E6660000}"/>
    <cellStyle name="Labels 14 9" xfId="44169" xr:uid="{00000000-0005-0000-0000-0000E7660000}"/>
    <cellStyle name="Labels 15" xfId="27265" xr:uid="{00000000-0005-0000-0000-0000E8660000}"/>
    <cellStyle name="Labels 15 2" xfId="27266" xr:uid="{00000000-0005-0000-0000-0000E9660000}"/>
    <cellStyle name="Labels 15 2 2" xfId="44170" xr:uid="{00000000-0005-0000-0000-0000EA660000}"/>
    <cellStyle name="Labels 15 3" xfId="27267" xr:uid="{00000000-0005-0000-0000-0000EB660000}"/>
    <cellStyle name="Labels 15 3 2" xfId="44171" xr:uid="{00000000-0005-0000-0000-0000EC660000}"/>
    <cellStyle name="Labels 15 4" xfId="27268" xr:uid="{00000000-0005-0000-0000-0000ED660000}"/>
    <cellStyle name="Labels 15 4 2" xfId="44172" xr:uid="{00000000-0005-0000-0000-0000EE660000}"/>
    <cellStyle name="Labels 15 5" xfId="27269" xr:uid="{00000000-0005-0000-0000-0000EF660000}"/>
    <cellStyle name="Labels 15 5 2" xfId="44173" xr:uid="{00000000-0005-0000-0000-0000F0660000}"/>
    <cellStyle name="Labels 15 6" xfId="27270" xr:uid="{00000000-0005-0000-0000-0000F1660000}"/>
    <cellStyle name="Labels 15 6 2" xfId="44174" xr:uid="{00000000-0005-0000-0000-0000F2660000}"/>
    <cellStyle name="Labels 15 7" xfId="27271" xr:uid="{00000000-0005-0000-0000-0000F3660000}"/>
    <cellStyle name="Labels 15 7 2" xfId="44175" xr:uid="{00000000-0005-0000-0000-0000F4660000}"/>
    <cellStyle name="Labels 15 8" xfId="44176" xr:uid="{00000000-0005-0000-0000-0000F5660000}"/>
    <cellStyle name="Labels 16" xfId="27272" xr:uid="{00000000-0005-0000-0000-0000F6660000}"/>
    <cellStyle name="Labels 16 2" xfId="27273" xr:uid="{00000000-0005-0000-0000-0000F7660000}"/>
    <cellStyle name="Labels 16 2 2" xfId="44177" xr:uid="{00000000-0005-0000-0000-0000F8660000}"/>
    <cellStyle name="Labels 16 3" xfId="27274" xr:uid="{00000000-0005-0000-0000-0000F9660000}"/>
    <cellStyle name="Labels 16 3 2" xfId="44178" xr:uid="{00000000-0005-0000-0000-0000FA660000}"/>
    <cellStyle name="Labels 16 4" xfId="27275" xr:uid="{00000000-0005-0000-0000-0000FB660000}"/>
    <cellStyle name="Labels 16 4 2" xfId="44179" xr:uid="{00000000-0005-0000-0000-0000FC660000}"/>
    <cellStyle name="Labels 16 5" xfId="27276" xr:uid="{00000000-0005-0000-0000-0000FD660000}"/>
    <cellStyle name="Labels 16 5 2" xfId="44180" xr:uid="{00000000-0005-0000-0000-0000FE660000}"/>
    <cellStyle name="Labels 16 6" xfId="27277" xr:uid="{00000000-0005-0000-0000-0000FF660000}"/>
    <cellStyle name="Labels 16 6 2" xfId="44181" xr:uid="{00000000-0005-0000-0000-000000670000}"/>
    <cellStyle name="Labels 16 7" xfId="27278" xr:uid="{00000000-0005-0000-0000-000001670000}"/>
    <cellStyle name="Labels 16 7 2" xfId="44182" xr:uid="{00000000-0005-0000-0000-000002670000}"/>
    <cellStyle name="Labels 16 8" xfId="44183" xr:uid="{00000000-0005-0000-0000-000003670000}"/>
    <cellStyle name="Labels 17" xfId="27279" xr:uid="{00000000-0005-0000-0000-000004670000}"/>
    <cellStyle name="Labels 17 2" xfId="27280" xr:uid="{00000000-0005-0000-0000-000005670000}"/>
    <cellStyle name="Labels 17 2 2" xfId="44184" xr:uid="{00000000-0005-0000-0000-000006670000}"/>
    <cellStyle name="Labels 17 3" xfId="27281" xr:uid="{00000000-0005-0000-0000-000007670000}"/>
    <cellStyle name="Labels 17 3 2" xfId="44185" xr:uid="{00000000-0005-0000-0000-000008670000}"/>
    <cellStyle name="Labels 17 4" xfId="27282" xr:uid="{00000000-0005-0000-0000-000009670000}"/>
    <cellStyle name="Labels 17 4 2" xfId="44186" xr:uid="{00000000-0005-0000-0000-00000A670000}"/>
    <cellStyle name="Labels 17 5" xfId="27283" xr:uid="{00000000-0005-0000-0000-00000B670000}"/>
    <cellStyle name="Labels 17 5 2" xfId="44187" xr:uid="{00000000-0005-0000-0000-00000C670000}"/>
    <cellStyle name="Labels 17 6" xfId="27284" xr:uid="{00000000-0005-0000-0000-00000D670000}"/>
    <cellStyle name="Labels 17 6 2" xfId="44188" xr:uid="{00000000-0005-0000-0000-00000E670000}"/>
    <cellStyle name="Labels 17 7" xfId="27285" xr:uid="{00000000-0005-0000-0000-00000F670000}"/>
    <cellStyle name="Labels 17 7 2" xfId="44189" xr:uid="{00000000-0005-0000-0000-000010670000}"/>
    <cellStyle name="Labels 17 8" xfId="44190" xr:uid="{00000000-0005-0000-0000-000011670000}"/>
    <cellStyle name="Labels 18" xfId="27286" xr:uid="{00000000-0005-0000-0000-000012670000}"/>
    <cellStyle name="Labels 18 2" xfId="27287" xr:uid="{00000000-0005-0000-0000-000013670000}"/>
    <cellStyle name="Labels 18 2 2" xfId="44191" xr:uid="{00000000-0005-0000-0000-000014670000}"/>
    <cellStyle name="Labels 18 3" xfId="27288" xr:uid="{00000000-0005-0000-0000-000015670000}"/>
    <cellStyle name="Labels 18 3 2" xfId="44192" xr:uid="{00000000-0005-0000-0000-000016670000}"/>
    <cellStyle name="Labels 18 4" xfId="27289" xr:uid="{00000000-0005-0000-0000-000017670000}"/>
    <cellStyle name="Labels 18 4 2" xfId="44193" xr:uid="{00000000-0005-0000-0000-000018670000}"/>
    <cellStyle name="Labels 18 5" xfId="27290" xr:uid="{00000000-0005-0000-0000-000019670000}"/>
    <cellStyle name="Labels 18 5 2" xfId="44194" xr:uid="{00000000-0005-0000-0000-00001A670000}"/>
    <cellStyle name="Labels 18 6" xfId="27291" xr:uid="{00000000-0005-0000-0000-00001B670000}"/>
    <cellStyle name="Labels 18 6 2" xfId="44195" xr:uid="{00000000-0005-0000-0000-00001C670000}"/>
    <cellStyle name="Labels 18 7" xfId="27292" xr:uid="{00000000-0005-0000-0000-00001D670000}"/>
    <cellStyle name="Labels 18 7 2" xfId="44196" xr:uid="{00000000-0005-0000-0000-00001E670000}"/>
    <cellStyle name="Labels 18 8" xfId="44197" xr:uid="{00000000-0005-0000-0000-00001F670000}"/>
    <cellStyle name="Labels 19" xfId="27293" xr:uid="{00000000-0005-0000-0000-000020670000}"/>
    <cellStyle name="Labels 19 2" xfId="27294" xr:uid="{00000000-0005-0000-0000-000021670000}"/>
    <cellStyle name="Labels 19 3" xfId="27295" xr:uid="{00000000-0005-0000-0000-000022670000}"/>
    <cellStyle name="Labels 2" xfId="27296" xr:uid="{00000000-0005-0000-0000-000023670000}"/>
    <cellStyle name="Labels 2 10" xfId="27297" xr:uid="{00000000-0005-0000-0000-000024670000}"/>
    <cellStyle name="Labels 2 10 2" xfId="44198" xr:uid="{00000000-0005-0000-0000-000025670000}"/>
    <cellStyle name="Labels 2 11" xfId="44199" xr:uid="{00000000-0005-0000-0000-000026670000}"/>
    <cellStyle name="Labels 2 2" xfId="27298" xr:uid="{00000000-0005-0000-0000-000027670000}"/>
    <cellStyle name="Labels 2 2 10" xfId="44200" xr:uid="{00000000-0005-0000-0000-000028670000}"/>
    <cellStyle name="Labels 2 2 2" xfId="27299" xr:uid="{00000000-0005-0000-0000-000029670000}"/>
    <cellStyle name="Labels 2 2 2 2" xfId="27300" xr:uid="{00000000-0005-0000-0000-00002A670000}"/>
    <cellStyle name="Labels 2 2 2 2 2" xfId="27301" xr:uid="{00000000-0005-0000-0000-00002B670000}"/>
    <cellStyle name="Labels 2 2 2 2 2 2" xfId="44201" xr:uid="{00000000-0005-0000-0000-00002C670000}"/>
    <cellStyle name="Labels 2 2 2 2 3" xfId="27302" xr:uid="{00000000-0005-0000-0000-00002D670000}"/>
    <cellStyle name="Labels 2 2 2 2 3 2" xfId="44202" xr:uid="{00000000-0005-0000-0000-00002E670000}"/>
    <cellStyle name="Labels 2 2 2 2 4" xfId="27303" xr:uid="{00000000-0005-0000-0000-00002F670000}"/>
    <cellStyle name="Labels 2 2 2 2 4 2" xfId="44203" xr:uid="{00000000-0005-0000-0000-000030670000}"/>
    <cellStyle name="Labels 2 2 2 2 5" xfId="27304" xr:uid="{00000000-0005-0000-0000-000031670000}"/>
    <cellStyle name="Labels 2 2 2 2 5 2" xfId="44204" xr:uid="{00000000-0005-0000-0000-000032670000}"/>
    <cellStyle name="Labels 2 2 2 2 6" xfId="27305" xr:uid="{00000000-0005-0000-0000-000033670000}"/>
    <cellStyle name="Labels 2 2 2 2 6 2" xfId="44205" xr:uid="{00000000-0005-0000-0000-000034670000}"/>
    <cellStyle name="Labels 2 2 2 2 7" xfId="27306" xr:uid="{00000000-0005-0000-0000-000035670000}"/>
    <cellStyle name="Labels 2 2 2 2 7 2" xfId="44206" xr:uid="{00000000-0005-0000-0000-000036670000}"/>
    <cellStyle name="Labels 2 2 2 2 8" xfId="44207" xr:uid="{00000000-0005-0000-0000-000037670000}"/>
    <cellStyle name="Labels 2 2 2 3" xfId="27307" xr:uid="{00000000-0005-0000-0000-000038670000}"/>
    <cellStyle name="Labels 2 2 2 3 2" xfId="44208" xr:uid="{00000000-0005-0000-0000-000039670000}"/>
    <cellStyle name="Labels 2 2 2 4" xfId="27308" xr:uid="{00000000-0005-0000-0000-00003A670000}"/>
    <cellStyle name="Labels 2 2 2 4 2" xfId="44209" xr:uid="{00000000-0005-0000-0000-00003B670000}"/>
    <cellStyle name="Labels 2 2 2 5" xfId="27309" xr:uid="{00000000-0005-0000-0000-00003C670000}"/>
    <cellStyle name="Labels 2 2 2 5 2" xfId="44210" xr:uid="{00000000-0005-0000-0000-00003D670000}"/>
    <cellStyle name="Labels 2 2 2 6" xfId="27310" xr:uid="{00000000-0005-0000-0000-00003E670000}"/>
    <cellStyle name="Labels 2 2 2 6 2" xfId="44211" xr:uid="{00000000-0005-0000-0000-00003F670000}"/>
    <cellStyle name="Labels 2 2 2 7" xfId="27311" xr:uid="{00000000-0005-0000-0000-000040670000}"/>
    <cellStyle name="Labels 2 2 2 7 2" xfId="44212" xr:uid="{00000000-0005-0000-0000-000041670000}"/>
    <cellStyle name="Labels 2 2 2 8" xfId="27312" xr:uid="{00000000-0005-0000-0000-000042670000}"/>
    <cellStyle name="Labels 2 2 2 8 2" xfId="44213" xr:uid="{00000000-0005-0000-0000-000043670000}"/>
    <cellStyle name="Labels 2 2 2 9" xfId="44214" xr:uid="{00000000-0005-0000-0000-000044670000}"/>
    <cellStyle name="Labels 2 2 3" xfId="27313" xr:uid="{00000000-0005-0000-0000-000045670000}"/>
    <cellStyle name="Labels 2 2 3 2" xfId="27314" xr:uid="{00000000-0005-0000-0000-000046670000}"/>
    <cellStyle name="Labels 2 2 3 2 2" xfId="27315" xr:uid="{00000000-0005-0000-0000-000047670000}"/>
    <cellStyle name="Labels 2 2 3 2 2 2" xfId="44215" xr:uid="{00000000-0005-0000-0000-000048670000}"/>
    <cellStyle name="Labels 2 2 3 2 3" xfId="27316" xr:uid="{00000000-0005-0000-0000-000049670000}"/>
    <cellStyle name="Labels 2 2 3 2 3 2" xfId="44216" xr:uid="{00000000-0005-0000-0000-00004A670000}"/>
    <cellStyle name="Labels 2 2 3 2 4" xfId="27317" xr:uid="{00000000-0005-0000-0000-00004B670000}"/>
    <cellStyle name="Labels 2 2 3 2 4 2" xfId="44217" xr:uid="{00000000-0005-0000-0000-00004C670000}"/>
    <cellStyle name="Labels 2 2 3 2 5" xfId="27318" xr:uid="{00000000-0005-0000-0000-00004D670000}"/>
    <cellStyle name="Labels 2 2 3 2 5 2" xfId="44218" xr:uid="{00000000-0005-0000-0000-00004E670000}"/>
    <cellStyle name="Labels 2 2 3 2 6" xfId="27319" xr:uid="{00000000-0005-0000-0000-00004F670000}"/>
    <cellStyle name="Labels 2 2 3 2 6 2" xfId="44219" xr:uid="{00000000-0005-0000-0000-000050670000}"/>
    <cellStyle name="Labels 2 2 3 2 7" xfId="27320" xr:uid="{00000000-0005-0000-0000-000051670000}"/>
    <cellStyle name="Labels 2 2 3 2 7 2" xfId="44220" xr:uid="{00000000-0005-0000-0000-000052670000}"/>
    <cellStyle name="Labels 2 2 3 2 8" xfId="44221" xr:uid="{00000000-0005-0000-0000-000053670000}"/>
    <cellStyle name="Labels 2 2 3 3" xfId="27321" xr:uid="{00000000-0005-0000-0000-000054670000}"/>
    <cellStyle name="Labels 2 2 3 3 2" xfId="44222" xr:uid="{00000000-0005-0000-0000-000055670000}"/>
    <cellStyle name="Labels 2 2 3 4" xfId="27322" xr:uid="{00000000-0005-0000-0000-000056670000}"/>
    <cellStyle name="Labels 2 2 3 4 2" xfId="44223" xr:uid="{00000000-0005-0000-0000-000057670000}"/>
    <cellStyle name="Labels 2 2 3 5" xfId="27323" xr:uid="{00000000-0005-0000-0000-000058670000}"/>
    <cellStyle name="Labels 2 2 3 5 2" xfId="44224" xr:uid="{00000000-0005-0000-0000-000059670000}"/>
    <cellStyle name="Labels 2 2 3 6" xfId="27324" xr:uid="{00000000-0005-0000-0000-00005A670000}"/>
    <cellStyle name="Labels 2 2 3 6 2" xfId="44225" xr:uid="{00000000-0005-0000-0000-00005B670000}"/>
    <cellStyle name="Labels 2 2 3 7" xfId="27325" xr:uid="{00000000-0005-0000-0000-00005C670000}"/>
    <cellStyle name="Labels 2 2 3 7 2" xfId="44226" xr:uid="{00000000-0005-0000-0000-00005D670000}"/>
    <cellStyle name="Labels 2 2 3 8" xfId="27326" xr:uid="{00000000-0005-0000-0000-00005E670000}"/>
    <cellStyle name="Labels 2 2 3 8 2" xfId="44227" xr:uid="{00000000-0005-0000-0000-00005F670000}"/>
    <cellStyle name="Labels 2 2 3 9" xfId="44228" xr:uid="{00000000-0005-0000-0000-000060670000}"/>
    <cellStyle name="Labels 2 2 4" xfId="27327" xr:uid="{00000000-0005-0000-0000-000061670000}"/>
    <cellStyle name="Labels 2 2 4 2" xfId="27328" xr:uid="{00000000-0005-0000-0000-000062670000}"/>
    <cellStyle name="Labels 2 2 4 2 2" xfId="44229" xr:uid="{00000000-0005-0000-0000-000063670000}"/>
    <cellStyle name="Labels 2 2 4 3" xfId="27329" xr:uid="{00000000-0005-0000-0000-000064670000}"/>
    <cellStyle name="Labels 2 2 4 3 2" xfId="44230" xr:uid="{00000000-0005-0000-0000-000065670000}"/>
    <cellStyle name="Labels 2 2 4 4" xfId="27330" xr:uid="{00000000-0005-0000-0000-000066670000}"/>
    <cellStyle name="Labels 2 2 4 4 2" xfId="44231" xr:uid="{00000000-0005-0000-0000-000067670000}"/>
    <cellStyle name="Labels 2 2 4 5" xfId="27331" xr:uid="{00000000-0005-0000-0000-000068670000}"/>
    <cellStyle name="Labels 2 2 4 5 2" xfId="44232" xr:uid="{00000000-0005-0000-0000-000069670000}"/>
    <cellStyle name="Labels 2 2 4 6" xfId="27332" xr:uid="{00000000-0005-0000-0000-00006A670000}"/>
    <cellStyle name="Labels 2 2 4 6 2" xfId="44233" xr:uid="{00000000-0005-0000-0000-00006B670000}"/>
    <cellStyle name="Labels 2 2 4 7" xfId="27333" xr:uid="{00000000-0005-0000-0000-00006C670000}"/>
    <cellStyle name="Labels 2 2 4 7 2" xfId="44234" xr:uid="{00000000-0005-0000-0000-00006D670000}"/>
    <cellStyle name="Labels 2 2 4 8" xfId="44235" xr:uid="{00000000-0005-0000-0000-00006E670000}"/>
    <cellStyle name="Labels 2 2 5" xfId="27334" xr:uid="{00000000-0005-0000-0000-00006F670000}"/>
    <cellStyle name="Labels 2 2 5 2" xfId="27335" xr:uid="{00000000-0005-0000-0000-000070670000}"/>
    <cellStyle name="Labels 2 2 5 2 2" xfId="44236" xr:uid="{00000000-0005-0000-0000-000071670000}"/>
    <cellStyle name="Labels 2 2 5 3" xfId="27336" xr:uid="{00000000-0005-0000-0000-000072670000}"/>
    <cellStyle name="Labels 2 2 5 3 2" xfId="44237" xr:uid="{00000000-0005-0000-0000-000073670000}"/>
    <cellStyle name="Labels 2 2 5 4" xfId="27337" xr:uid="{00000000-0005-0000-0000-000074670000}"/>
    <cellStyle name="Labels 2 2 5 4 2" xfId="44238" xr:uid="{00000000-0005-0000-0000-000075670000}"/>
    <cellStyle name="Labels 2 2 5 5" xfId="27338" xr:uid="{00000000-0005-0000-0000-000076670000}"/>
    <cellStyle name="Labels 2 2 5 5 2" xfId="44239" xr:uid="{00000000-0005-0000-0000-000077670000}"/>
    <cellStyle name="Labels 2 2 5 6" xfId="27339" xr:uid="{00000000-0005-0000-0000-000078670000}"/>
    <cellStyle name="Labels 2 2 5 6 2" xfId="44240" xr:uid="{00000000-0005-0000-0000-000079670000}"/>
    <cellStyle name="Labels 2 2 5 7" xfId="27340" xr:uid="{00000000-0005-0000-0000-00007A670000}"/>
    <cellStyle name="Labels 2 2 5 7 2" xfId="44241" xr:uid="{00000000-0005-0000-0000-00007B670000}"/>
    <cellStyle name="Labels 2 2 5 8" xfId="44242" xr:uid="{00000000-0005-0000-0000-00007C670000}"/>
    <cellStyle name="Labels 2 2 6" xfId="27341" xr:uid="{00000000-0005-0000-0000-00007D670000}"/>
    <cellStyle name="Labels 2 2 6 2" xfId="44243" xr:uid="{00000000-0005-0000-0000-00007E670000}"/>
    <cellStyle name="Labels 2 2 7" xfId="27342" xr:uid="{00000000-0005-0000-0000-00007F670000}"/>
    <cellStyle name="Labels 2 2 7 2" xfId="44244" xr:uid="{00000000-0005-0000-0000-000080670000}"/>
    <cellStyle name="Labels 2 2 8" xfId="27343" xr:uid="{00000000-0005-0000-0000-000081670000}"/>
    <cellStyle name="Labels 2 2 8 2" xfId="44245" xr:uid="{00000000-0005-0000-0000-000082670000}"/>
    <cellStyle name="Labels 2 2 9" xfId="27344" xr:uid="{00000000-0005-0000-0000-000083670000}"/>
    <cellStyle name="Labels 2 2 9 2" xfId="44246" xr:uid="{00000000-0005-0000-0000-000084670000}"/>
    <cellStyle name="Labels 2 3" xfId="27345" xr:uid="{00000000-0005-0000-0000-000085670000}"/>
    <cellStyle name="Labels 2 3 2" xfId="27346" xr:uid="{00000000-0005-0000-0000-000086670000}"/>
    <cellStyle name="Labels 2 3 2 2" xfId="27347" xr:uid="{00000000-0005-0000-0000-000087670000}"/>
    <cellStyle name="Labels 2 3 2 2 2" xfId="44247" xr:uid="{00000000-0005-0000-0000-000088670000}"/>
    <cellStyle name="Labels 2 3 2 3" xfId="27348" xr:uid="{00000000-0005-0000-0000-000089670000}"/>
    <cellStyle name="Labels 2 3 2 3 2" xfId="44248" xr:uid="{00000000-0005-0000-0000-00008A670000}"/>
    <cellStyle name="Labels 2 3 2 4" xfId="27349" xr:uid="{00000000-0005-0000-0000-00008B670000}"/>
    <cellStyle name="Labels 2 3 2 4 2" xfId="44249" xr:uid="{00000000-0005-0000-0000-00008C670000}"/>
    <cellStyle name="Labels 2 3 2 5" xfId="27350" xr:uid="{00000000-0005-0000-0000-00008D670000}"/>
    <cellStyle name="Labels 2 3 2 5 2" xfId="44250" xr:uid="{00000000-0005-0000-0000-00008E670000}"/>
    <cellStyle name="Labels 2 3 2 6" xfId="27351" xr:uid="{00000000-0005-0000-0000-00008F670000}"/>
    <cellStyle name="Labels 2 3 2 6 2" xfId="44251" xr:uid="{00000000-0005-0000-0000-000090670000}"/>
    <cellStyle name="Labels 2 3 2 7" xfId="27352" xr:uid="{00000000-0005-0000-0000-000091670000}"/>
    <cellStyle name="Labels 2 3 2 7 2" xfId="44252" xr:uid="{00000000-0005-0000-0000-000092670000}"/>
    <cellStyle name="Labels 2 3 2 8" xfId="44253" xr:uid="{00000000-0005-0000-0000-000093670000}"/>
    <cellStyle name="Labels 2 3 3" xfId="27353" xr:uid="{00000000-0005-0000-0000-000094670000}"/>
    <cellStyle name="Labels 2 3 3 2" xfId="44254" xr:uid="{00000000-0005-0000-0000-000095670000}"/>
    <cellStyle name="Labels 2 3 4" xfId="27354" xr:uid="{00000000-0005-0000-0000-000096670000}"/>
    <cellStyle name="Labels 2 3 4 2" xfId="44255" xr:uid="{00000000-0005-0000-0000-000097670000}"/>
    <cellStyle name="Labels 2 3 5" xfId="27355" xr:uid="{00000000-0005-0000-0000-000098670000}"/>
    <cellStyle name="Labels 2 3 5 2" xfId="44256" xr:uid="{00000000-0005-0000-0000-000099670000}"/>
    <cellStyle name="Labels 2 3 6" xfId="27356" xr:uid="{00000000-0005-0000-0000-00009A670000}"/>
    <cellStyle name="Labels 2 3 6 2" xfId="44257" xr:uid="{00000000-0005-0000-0000-00009B670000}"/>
    <cellStyle name="Labels 2 3 7" xfId="27357" xr:uid="{00000000-0005-0000-0000-00009C670000}"/>
    <cellStyle name="Labels 2 3 7 2" xfId="44258" xr:uid="{00000000-0005-0000-0000-00009D670000}"/>
    <cellStyle name="Labels 2 3 8" xfId="27358" xr:uid="{00000000-0005-0000-0000-00009E670000}"/>
    <cellStyle name="Labels 2 3 8 2" xfId="44259" xr:uid="{00000000-0005-0000-0000-00009F670000}"/>
    <cellStyle name="Labels 2 3 9" xfId="44260" xr:uid="{00000000-0005-0000-0000-0000A0670000}"/>
    <cellStyle name="Labels 2 4" xfId="27359" xr:uid="{00000000-0005-0000-0000-0000A1670000}"/>
    <cellStyle name="Labels 2 4 2" xfId="27360" xr:uid="{00000000-0005-0000-0000-0000A2670000}"/>
    <cellStyle name="Labels 2 4 2 2" xfId="27361" xr:uid="{00000000-0005-0000-0000-0000A3670000}"/>
    <cellStyle name="Labels 2 4 2 2 2" xfId="44261" xr:uid="{00000000-0005-0000-0000-0000A4670000}"/>
    <cellStyle name="Labels 2 4 2 3" xfId="27362" xr:uid="{00000000-0005-0000-0000-0000A5670000}"/>
    <cellStyle name="Labels 2 4 2 3 2" xfId="44262" xr:uid="{00000000-0005-0000-0000-0000A6670000}"/>
    <cellStyle name="Labels 2 4 2 4" xfId="27363" xr:uid="{00000000-0005-0000-0000-0000A7670000}"/>
    <cellStyle name="Labels 2 4 2 4 2" xfId="44263" xr:uid="{00000000-0005-0000-0000-0000A8670000}"/>
    <cellStyle name="Labels 2 4 2 5" xfId="27364" xr:uid="{00000000-0005-0000-0000-0000A9670000}"/>
    <cellStyle name="Labels 2 4 2 5 2" xfId="44264" xr:uid="{00000000-0005-0000-0000-0000AA670000}"/>
    <cellStyle name="Labels 2 4 2 6" xfId="27365" xr:uid="{00000000-0005-0000-0000-0000AB670000}"/>
    <cellStyle name="Labels 2 4 2 6 2" xfId="44265" xr:uid="{00000000-0005-0000-0000-0000AC670000}"/>
    <cellStyle name="Labels 2 4 2 7" xfId="27366" xr:uid="{00000000-0005-0000-0000-0000AD670000}"/>
    <cellStyle name="Labels 2 4 2 7 2" xfId="44266" xr:uid="{00000000-0005-0000-0000-0000AE670000}"/>
    <cellStyle name="Labels 2 4 2 8" xfId="44267" xr:uid="{00000000-0005-0000-0000-0000AF670000}"/>
    <cellStyle name="Labels 2 4 3" xfId="27367" xr:uid="{00000000-0005-0000-0000-0000B0670000}"/>
    <cellStyle name="Labels 2 4 3 2" xfId="44268" xr:uid="{00000000-0005-0000-0000-0000B1670000}"/>
    <cellStyle name="Labels 2 4 4" xfId="27368" xr:uid="{00000000-0005-0000-0000-0000B2670000}"/>
    <cellStyle name="Labels 2 4 4 2" xfId="44269" xr:uid="{00000000-0005-0000-0000-0000B3670000}"/>
    <cellStyle name="Labels 2 4 5" xfId="27369" xr:uid="{00000000-0005-0000-0000-0000B4670000}"/>
    <cellStyle name="Labels 2 4 5 2" xfId="44270" xr:uid="{00000000-0005-0000-0000-0000B5670000}"/>
    <cellStyle name="Labels 2 4 6" xfId="27370" xr:uid="{00000000-0005-0000-0000-0000B6670000}"/>
    <cellStyle name="Labels 2 4 6 2" xfId="44271" xr:uid="{00000000-0005-0000-0000-0000B7670000}"/>
    <cellStyle name="Labels 2 4 7" xfId="27371" xr:uid="{00000000-0005-0000-0000-0000B8670000}"/>
    <cellStyle name="Labels 2 4 7 2" xfId="44272" xr:uid="{00000000-0005-0000-0000-0000B9670000}"/>
    <cellStyle name="Labels 2 4 8" xfId="27372" xr:uid="{00000000-0005-0000-0000-0000BA670000}"/>
    <cellStyle name="Labels 2 4 8 2" xfId="44273" xr:uid="{00000000-0005-0000-0000-0000BB670000}"/>
    <cellStyle name="Labels 2 4 9" xfId="44274" xr:uid="{00000000-0005-0000-0000-0000BC670000}"/>
    <cellStyle name="Labels 2 5" xfId="27373" xr:uid="{00000000-0005-0000-0000-0000BD670000}"/>
    <cellStyle name="Labels 2 5 2" xfId="27374" xr:uid="{00000000-0005-0000-0000-0000BE670000}"/>
    <cellStyle name="Labels 2 5 2 2" xfId="44275" xr:uid="{00000000-0005-0000-0000-0000BF670000}"/>
    <cellStyle name="Labels 2 5 3" xfId="27375" xr:uid="{00000000-0005-0000-0000-0000C0670000}"/>
    <cellStyle name="Labels 2 5 3 2" xfId="44276" xr:uid="{00000000-0005-0000-0000-0000C1670000}"/>
    <cellStyle name="Labels 2 5 4" xfId="27376" xr:uid="{00000000-0005-0000-0000-0000C2670000}"/>
    <cellStyle name="Labels 2 5 4 2" xfId="44277" xr:uid="{00000000-0005-0000-0000-0000C3670000}"/>
    <cellStyle name="Labels 2 5 5" xfId="27377" xr:uid="{00000000-0005-0000-0000-0000C4670000}"/>
    <cellStyle name="Labels 2 5 5 2" xfId="44278" xr:uid="{00000000-0005-0000-0000-0000C5670000}"/>
    <cellStyle name="Labels 2 5 6" xfId="27378" xr:uid="{00000000-0005-0000-0000-0000C6670000}"/>
    <cellStyle name="Labels 2 5 6 2" xfId="44279" xr:uid="{00000000-0005-0000-0000-0000C7670000}"/>
    <cellStyle name="Labels 2 5 7" xfId="27379" xr:uid="{00000000-0005-0000-0000-0000C8670000}"/>
    <cellStyle name="Labels 2 5 7 2" xfId="44280" xr:uid="{00000000-0005-0000-0000-0000C9670000}"/>
    <cellStyle name="Labels 2 5 8" xfId="44281" xr:uid="{00000000-0005-0000-0000-0000CA670000}"/>
    <cellStyle name="Labels 2 6" xfId="27380" xr:uid="{00000000-0005-0000-0000-0000CB670000}"/>
    <cellStyle name="Labels 2 6 2" xfId="27381" xr:uid="{00000000-0005-0000-0000-0000CC670000}"/>
    <cellStyle name="Labels 2 6 2 2" xfId="44282" xr:uid="{00000000-0005-0000-0000-0000CD670000}"/>
    <cellStyle name="Labels 2 6 3" xfId="27382" xr:uid="{00000000-0005-0000-0000-0000CE670000}"/>
    <cellStyle name="Labels 2 6 3 2" xfId="44283" xr:uid="{00000000-0005-0000-0000-0000CF670000}"/>
    <cellStyle name="Labels 2 6 4" xfId="27383" xr:uid="{00000000-0005-0000-0000-0000D0670000}"/>
    <cellStyle name="Labels 2 6 4 2" xfId="44284" xr:uid="{00000000-0005-0000-0000-0000D1670000}"/>
    <cellStyle name="Labels 2 6 5" xfId="27384" xr:uid="{00000000-0005-0000-0000-0000D2670000}"/>
    <cellStyle name="Labels 2 6 5 2" xfId="44285" xr:uid="{00000000-0005-0000-0000-0000D3670000}"/>
    <cellStyle name="Labels 2 6 6" xfId="27385" xr:uid="{00000000-0005-0000-0000-0000D4670000}"/>
    <cellStyle name="Labels 2 6 6 2" xfId="44286" xr:uid="{00000000-0005-0000-0000-0000D5670000}"/>
    <cellStyle name="Labels 2 6 7" xfId="27386" xr:uid="{00000000-0005-0000-0000-0000D6670000}"/>
    <cellStyle name="Labels 2 6 7 2" xfId="44287" xr:uid="{00000000-0005-0000-0000-0000D7670000}"/>
    <cellStyle name="Labels 2 6 8" xfId="44288" xr:uid="{00000000-0005-0000-0000-0000D8670000}"/>
    <cellStyle name="Labels 2 7" xfId="27387" xr:uid="{00000000-0005-0000-0000-0000D9670000}"/>
    <cellStyle name="Labels 2 7 2" xfId="44289" xr:uid="{00000000-0005-0000-0000-0000DA670000}"/>
    <cellStyle name="Labels 2 8" xfId="27388" xr:uid="{00000000-0005-0000-0000-0000DB670000}"/>
    <cellStyle name="Labels 2 8 2" xfId="44290" xr:uid="{00000000-0005-0000-0000-0000DC670000}"/>
    <cellStyle name="Labels 2 9" xfId="27389" xr:uid="{00000000-0005-0000-0000-0000DD670000}"/>
    <cellStyle name="Labels 2 9 2" xfId="44291" xr:uid="{00000000-0005-0000-0000-0000DE670000}"/>
    <cellStyle name="Labels 20" xfId="27390" xr:uid="{00000000-0005-0000-0000-0000DF670000}"/>
    <cellStyle name="Labels 20 2" xfId="44292" xr:uid="{00000000-0005-0000-0000-0000E0670000}"/>
    <cellStyle name="Labels 21" xfId="27391" xr:uid="{00000000-0005-0000-0000-0000E1670000}"/>
    <cellStyle name="Labels 21 2" xfId="27392" xr:uid="{00000000-0005-0000-0000-0000E2670000}"/>
    <cellStyle name="Labels 21 3" xfId="27393" xr:uid="{00000000-0005-0000-0000-0000E3670000}"/>
    <cellStyle name="Labels 22" xfId="27394" xr:uid="{00000000-0005-0000-0000-0000E4670000}"/>
    <cellStyle name="Labels 22 2" xfId="44293" xr:uid="{00000000-0005-0000-0000-0000E5670000}"/>
    <cellStyle name="Labels 23" xfId="27395" xr:uid="{00000000-0005-0000-0000-0000E6670000}"/>
    <cellStyle name="Labels 23 2" xfId="44294" xr:uid="{00000000-0005-0000-0000-0000E7670000}"/>
    <cellStyle name="Labels 24" xfId="27396" xr:uid="{00000000-0005-0000-0000-0000E8670000}"/>
    <cellStyle name="Labels 24 2" xfId="44295" xr:uid="{00000000-0005-0000-0000-0000E9670000}"/>
    <cellStyle name="Labels 25" xfId="27397" xr:uid="{00000000-0005-0000-0000-0000EA670000}"/>
    <cellStyle name="Labels 25 2" xfId="27398" xr:uid="{00000000-0005-0000-0000-0000EB670000}"/>
    <cellStyle name="Labels 25 3" xfId="27399" xr:uid="{00000000-0005-0000-0000-0000EC670000}"/>
    <cellStyle name="Labels 26" xfId="27400" xr:uid="{00000000-0005-0000-0000-0000ED670000}"/>
    <cellStyle name="Labels 26 2" xfId="27401" xr:uid="{00000000-0005-0000-0000-0000EE670000}"/>
    <cellStyle name="Labels 26 3" xfId="27402" xr:uid="{00000000-0005-0000-0000-0000EF670000}"/>
    <cellStyle name="Labels 27" xfId="27403" xr:uid="{00000000-0005-0000-0000-0000F0670000}"/>
    <cellStyle name="Labels 28" xfId="27404" xr:uid="{00000000-0005-0000-0000-0000F1670000}"/>
    <cellStyle name="Labels 29" xfId="42507" xr:uid="{00000000-0005-0000-0000-0000F2670000}"/>
    <cellStyle name="Labels 3" xfId="27405" xr:uid="{00000000-0005-0000-0000-0000F3670000}"/>
    <cellStyle name="Labels 3 10" xfId="44296" xr:uid="{00000000-0005-0000-0000-0000F4670000}"/>
    <cellStyle name="Labels 3 2" xfId="27406" xr:uid="{00000000-0005-0000-0000-0000F5670000}"/>
    <cellStyle name="Labels 3 2 2" xfId="27407" xr:uid="{00000000-0005-0000-0000-0000F6670000}"/>
    <cellStyle name="Labels 3 2 2 2" xfId="27408" xr:uid="{00000000-0005-0000-0000-0000F7670000}"/>
    <cellStyle name="Labels 3 2 2 2 2" xfId="44297" xr:uid="{00000000-0005-0000-0000-0000F8670000}"/>
    <cellStyle name="Labels 3 2 2 3" xfId="27409" xr:uid="{00000000-0005-0000-0000-0000F9670000}"/>
    <cellStyle name="Labels 3 2 2 3 2" xfId="44298" xr:uid="{00000000-0005-0000-0000-0000FA670000}"/>
    <cellStyle name="Labels 3 2 2 4" xfId="27410" xr:uid="{00000000-0005-0000-0000-0000FB670000}"/>
    <cellStyle name="Labels 3 2 2 4 2" xfId="44299" xr:uid="{00000000-0005-0000-0000-0000FC670000}"/>
    <cellStyle name="Labels 3 2 2 5" xfId="27411" xr:uid="{00000000-0005-0000-0000-0000FD670000}"/>
    <cellStyle name="Labels 3 2 2 5 2" xfId="44300" xr:uid="{00000000-0005-0000-0000-0000FE670000}"/>
    <cellStyle name="Labels 3 2 2 6" xfId="27412" xr:uid="{00000000-0005-0000-0000-0000FF670000}"/>
    <cellStyle name="Labels 3 2 2 6 2" xfId="44301" xr:uid="{00000000-0005-0000-0000-000000680000}"/>
    <cellStyle name="Labels 3 2 2 7" xfId="27413" xr:uid="{00000000-0005-0000-0000-000001680000}"/>
    <cellStyle name="Labels 3 2 2 7 2" xfId="44302" xr:uid="{00000000-0005-0000-0000-000002680000}"/>
    <cellStyle name="Labels 3 2 2 8" xfId="44303" xr:uid="{00000000-0005-0000-0000-000003680000}"/>
    <cellStyle name="Labels 3 2 3" xfId="27414" xr:uid="{00000000-0005-0000-0000-000004680000}"/>
    <cellStyle name="Labels 3 2 3 2" xfId="44304" xr:uid="{00000000-0005-0000-0000-000005680000}"/>
    <cellStyle name="Labels 3 2 4" xfId="27415" xr:uid="{00000000-0005-0000-0000-000006680000}"/>
    <cellStyle name="Labels 3 2 4 2" xfId="44305" xr:uid="{00000000-0005-0000-0000-000007680000}"/>
    <cellStyle name="Labels 3 2 5" xfId="27416" xr:uid="{00000000-0005-0000-0000-000008680000}"/>
    <cellStyle name="Labels 3 2 5 2" xfId="44306" xr:uid="{00000000-0005-0000-0000-000009680000}"/>
    <cellStyle name="Labels 3 2 6" xfId="27417" xr:uid="{00000000-0005-0000-0000-00000A680000}"/>
    <cellStyle name="Labels 3 2 6 2" xfId="44307" xr:uid="{00000000-0005-0000-0000-00000B680000}"/>
    <cellStyle name="Labels 3 2 7" xfId="27418" xr:uid="{00000000-0005-0000-0000-00000C680000}"/>
    <cellStyle name="Labels 3 2 7 2" xfId="44308" xr:uid="{00000000-0005-0000-0000-00000D680000}"/>
    <cellStyle name="Labels 3 2 8" xfId="27419" xr:uid="{00000000-0005-0000-0000-00000E680000}"/>
    <cellStyle name="Labels 3 2 8 2" xfId="44309" xr:uid="{00000000-0005-0000-0000-00000F680000}"/>
    <cellStyle name="Labels 3 2 9" xfId="44310" xr:uid="{00000000-0005-0000-0000-000010680000}"/>
    <cellStyle name="Labels 3 3" xfId="27420" xr:uid="{00000000-0005-0000-0000-000011680000}"/>
    <cellStyle name="Labels 3 3 2" xfId="27421" xr:uid="{00000000-0005-0000-0000-000012680000}"/>
    <cellStyle name="Labels 3 3 2 2" xfId="27422" xr:uid="{00000000-0005-0000-0000-000013680000}"/>
    <cellStyle name="Labels 3 3 2 2 2" xfId="44311" xr:uid="{00000000-0005-0000-0000-000014680000}"/>
    <cellStyle name="Labels 3 3 2 3" xfId="27423" xr:uid="{00000000-0005-0000-0000-000015680000}"/>
    <cellStyle name="Labels 3 3 2 3 2" xfId="44312" xr:uid="{00000000-0005-0000-0000-000016680000}"/>
    <cellStyle name="Labels 3 3 2 4" xfId="27424" xr:uid="{00000000-0005-0000-0000-000017680000}"/>
    <cellStyle name="Labels 3 3 2 4 2" xfId="44313" xr:uid="{00000000-0005-0000-0000-000018680000}"/>
    <cellStyle name="Labels 3 3 2 5" xfId="27425" xr:uid="{00000000-0005-0000-0000-000019680000}"/>
    <cellStyle name="Labels 3 3 2 5 2" xfId="44314" xr:uid="{00000000-0005-0000-0000-00001A680000}"/>
    <cellStyle name="Labels 3 3 2 6" xfId="27426" xr:uid="{00000000-0005-0000-0000-00001B680000}"/>
    <cellStyle name="Labels 3 3 2 6 2" xfId="44315" xr:uid="{00000000-0005-0000-0000-00001C680000}"/>
    <cellStyle name="Labels 3 3 2 7" xfId="27427" xr:uid="{00000000-0005-0000-0000-00001D680000}"/>
    <cellStyle name="Labels 3 3 2 7 2" xfId="44316" xr:uid="{00000000-0005-0000-0000-00001E680000}"/>
    <cellStyle name="Labels 3 3 2 8" xfId="44317" xr:uid="{00000000-0005-0000-0000-00001F680000}"/>
    <cellStyle name="Labels 3 3 3" xfId="27428" xr:uid="{00000000-0005-0000-0000-000020680000}"/>
    <cellStyle name="Labels 3 3 3 2" xfId="44318" xr:uid="{00000000-0005-0000-0000-000021680000}"/>
    <cellStyle name="Labels 3 3 4" xfId="27429" xr:uid="{00000000-0005-0000-0000-000022680000}"/>
    <cellStyle name="Labels 3 3 4 2" xfId="44319" xr:uid="{00000000-0005-0000-0000-000023680000}"/>
    <cellStyle name="Labels 3 3 5" xfId="27430" xr:uid="{00000000-0005-0000-0000-000024680000}"/>
    <cellStyle name="Labels 3 3 5 2" xfId="44320" xr:uid="{00000000-0005-0000-0000-000025680000}"/>
    <cellStyle name="Labels 3 3 6" xfId="27431" xr:uid="{00000000-0005-0000-0000-000026680000}"/>
    <cellStyle name="Labels 3 3 6 2" xfId="44321" xr:uid="{00000000-0005-0000-0000-000027680000}"/>
    <cellStyle name="Labels 3 3 7" xfId="27432" xr:uid="{00000000-0005-0000-0000-000028680000}"/>
    <cellStyle name="Labels 3 3 7 2" xfId="44322" xr:uid="{00000000-0005-0000-0000-000029680000}"/>
    <cellStyle name="Labels 3 3 8" xfId="27433" xr:uid="{00000000-0005-0000-0000-00002A680000}"/>
    <cellStyle name="Labels 3 3 8 2" xfId="44323" xr:uid="{00000000-0005-0000-0000-00002B680000}"/>
    <cellStyle name="Labels 3 3 9" xfId="44324" xr:uid="{00000000-0005-0000-0000-00002C680000}"/>
    <cellStyle name="Labels 3 4" xfId="27434" xr:uid="{00000000-0005-0000-0000-00002D680000}"/>
    <cellStyle name="Labels 3 4 2" xfId="27435" xr:uid="{00000000-0005-0000-0000-00002E680000}"/>
    <cellStyle name="Labels 3 4 2 2" xfId="44325" xr:uid="{00000000-0005-0000-0000-00002F680000}"/>
    <cellStyle name="Labels 3 4 3" xfId="27436" xr:uid="{00000000-0005-0000-0000-000030680000}"/>
    <cellStyle name="Labels 3 4 3 2" xfId="44326" xr:uid="{00000000-0005-0000-0000-000031680000}"/>
    <cellStyle name="Labels 3 4 4" xfId="27437" xr:uid="{00000000-0005-0000-0000-000032680000}"/>
    <cellStyle name="Labels 3 4 4 2" xfId="44327" xr:uid="{00000000-0005-0000-0000-000033680000}"/>
    <cellStyle name="Labels 3 4 5" xfId="27438" xr:uid="{00000000-0005-0000-0000-000034680000}"/>
    <cellStyle name="Labels 3 4 5 2" xfId="44328" xr:uid="{00000000-0005-0000-0000-000035680000}"/>
    <cellStyle name="Labels 3 4 6" xfId="27439" xr:uid="{00000000-0005-0000-0000-000036680000}"/>
    <cellStyle name="Labels 3 4 6 2" xfId="44329" xr:uid="{00000000-0005-0000-0000-000037680000}"/>
    <cellStyle name="Labels 3 4 7" xfId="27440" xr:uid="{00000000-0005-0000-0000-000038680000}"/>
    <cellStyle name="Labels 3 4 7 2" xfId="44330" xr:uid="{00000000-0005-0000-0000-000039680000}"/>
    <cellStyle name="Labels 3 4 8" xfId="44331" xr:uid="{00000000-0005-0000-0000-00003A680000}"/>
    <cellStyle name="Labels 3 5" xfId="27441" xr:uid="{00000000-0005-0000-0000-00003B680000}"/>
    <cellStyle name="Labels 3 5 2" xfId="27442" xr:uid="{00000000-0005-0000-0000-00003C680000}"/>
    <cellStyle name="Labels 3 5 2 2" xfId="44332" xr:uid="{00000000-0005-0000-0000-00003D680000}"/>
    <cellStyle name="Labels 3 5 3" xfId="27443" xr:uid="{00000000-0005-0000-0000-00003E680000}"/>
    <cellStyle name="Labels 3 5 3 2" xfId="44333" xr:uid="{00000000-0005-0000-0000-00003F680000}"/>
    <cellStyle name="Labels 3 5 4" xfId="27444" xr:uid="{00000000-0005-0000-0000-000040680000}"/>
    <cellStyle name="Labels 3 5 4 2" xfId="44334" xr:uid="{00000000-0005-0000-0000-000041680000}"/>
    <cellStyle name="Labels 3 5 5" xfId="27445" xr:uid="{00000000-0005-0000-0000-000042680000}"/>
    <cellStyle name="Labels 3 5 5 2" xfId="44335" xr:uid="{00000000-0005-0000-0000-000043680000}"/>
    <cellStyle name="Labels 3 5 6" xfId="27446" xr:uid="{00000000-0005-0000-0000-000044680000}"/>
    <cellStyle name="Labels 3 5 6 2" xfId="44336" xr:uid="{00000000-0005-0000-0000-000045680000}"/>
    <cellStyle name="Labels 3 5 7" xfId="27447" xr:uid="{00000000-0005-0000-0000-000046680000}"/>
    <cellStyle name="Labels 3 5 7 2" xfId="44337" xr:uid="{00000000-0005-0000-0000-000047680000}"/>
    <cellStyle name="Labels 3 5 8" xfId="44338" xr:uid="{00000000-0005-0000-0000-000048680000}"/>
    <cellStyle name="Labels 3 6" xfId="27448" xr:uid="{00000000-0005-0000-0000-000049680000}"/>
    <cellStyle name="Labels 3 6 2" xfId="44339" xr:uid="{00000000-0005-0000-0000-00004A680000}"/>
    <cellStyle name="Labels 3 7" xfId="27449" xr:uid="{00000000-0005-0000-0000-00004B680000}"/>
    <cellStyle name="Labels 3 7 2" xfId="44340" xr:uid="{00000000-0005-0000-0000-00004C680000}"/>
    <cellStyle name="Labels 3 8" xfId="27450" xr:uid="{00000000-0005-0000-0000-00004D680000}"/>
    <cellStyle name="Labels 3 8 2" xfId="44341" xr:uid="{00000000-0005-0000-0000-00004E680000}"/>
    <cellStyle name="Labels 3 9" xfId="27451" xr:uid="{00000000-0005-0000-0000-00004F680000}"/>
    <cellStyle name="Labels 3 9 2" xfId="44342" xr:uid="{00000000-0005-0000-0000-000050680000}"/>
    <cellStyle name="Labels 30" xfId="45019" xr:uid="{00000000-0005-0000-0000-000051680000}"/>
    <cellStyle name="Labels 4" xfId="27452" xr:uid="{00000000-0005-0000-0000-000052680000}"/>
    <cellStyle name="Labels 4 10" xfId="44343" xr:uid="{00000000-0005-0000-0000-000053680000}"/>
    <cellStyle name="Labels 4 2" xfId="27453" xr:uid="{00000000-0005-0000-0000-000054680000}"/>
    <cellStyle name="Labels 4 2 2" xfId="27454" xr:uid="{00000000-0005-0000-0000-000055680000}"/>
    <cellStyle name="Labels 4 2 2 2" xfId="27455" xr:uid="{00000000-0005-0000-0000-000056680000}"/>
    <cellStyle name="Labels 4 2 2 2 2" xfId="44344" xr:uid="{00000000-0005-0000-0000-000057680000}"/>
    <cellStyle name="Labels 4 2 2 3" xfId="27456" xr:uid="{00000000-0005-0000-0000-000058680000}"/>
    <cellStyle name="Labels 4 2 2 3 2" xfId="44345" xr:uid="{00000000-0005-0000-0000-000059680000}"/>
    <cellStyle name="Labels 4 2 2 4" xfId="27457" xr:uid="{00000000-0005-0000-0000-00005A680000}"/>
    <cellStyle name="Labels 4 2 2 4 2" xfId="44346" xr:uid="{00000000-0005-0000-0000-00005B680000}"/>
    <cellStyle name="Labels 4 2 2 5" xfId="27458" xr:uid="{00000000-0005-0000-0000-00005C680000}"/>
    <cellStyle name="Labels 4 2 2 5 2" xfId="44347" xr:uid="{00000000-0005-0000-0000-00005D680000}"/>
    <cellStyle name="Labels 4 2 2 6" xfId="27459" xr:uid="{00000000-0005-0000-0000-00005E680000}"/>
    <cellStyle name="Labels 4 2 2 6 2" xfId="44348" xr:uid="{00000000-0005-0000-0000-00005F680000}"/>
    <cellStyle name="Labels 4 2 2 7" xfId="27460" xr:uid="{00000000-0005-0000-0000-000060680000}"/>
    <cellStyle name="Labels 4 2 2 7 2" xfId="44349" xr:uid="{00000000-0005-0000-0000-000061680000}"/>
    <cellStyle name="Labels 4 2 2 8" xfId="44350" xr:uid="{00000000-0005-0000-0000-000062680000}"/>
    <cellStyle name="Labels 4 2 3" xfId="27461" xr:uid="{00000000-0005-0000-0000-000063680000}"/>
    <cellStyle name="Labels 4 2 3 2" xfId="44351" xr:uid="{00000000-0005-0000-0000-000064680000}"/>
    <cellStyle name="Labels 4 2 4" xfId="27462" xr:uid="{00000000-0005-0000-0000-000065680000}"/>
    <cellStyle name="Labels 4 2 4 2" xfId="44352" xr:uid="{00000000-0005-0000-0000-000066680000}"/>
    <cellStyle name="Labels 4 2 5" xfId="27463" xr:uid="{00000000-0005-0000-0000-000067680000}"/>
    <cellStyle name="Labels 4 2 5 2" xfId="44353" xr:uid="{00000000-0005-0000-0000-000068680000}"/>
    <cellStyle name="Labels 4 2 6" xfId="27464" xr:uid="{00000000-0005-0000-0000-000069680000}"/>
    <cellStyle name="Labels 4 2 6 2" xfId="44354" xr:uid="{00000000-0005-0000-0000-00006A680000}"/>
    <cellStyle name="Labels 4 2 7" xfId="27465" xr:uid="{00000000-0005-0000-0000-00006B680000}"/>
    <cellStyle name="Labels 4 2 7 2" xfId="44355" xr:uid="{00000000-0005-0000-0000-00006C680000}"/>
    <cellStyle name="Labels 4 2 8" xfId="27466" xr:uid="{00000000-0005-0000-0000-00006D680000}"/>
    <cellStyle name="Labels 4 2 8 2" xfId="44356" xr:uid="{00000000-0005-0000-0000-00006E680000}"/>
    <cellStyle name="Labels 4 2 9" xfId="44357" xr:uid="{00000000-0005-0000-0000-00006F680000}"/>
    <cellStyle name="Labels 4 3" xfId="27467" xr:uid="{00000000-0005-0000-0000-000070680000}"/>
    <cellStyle name="Labels 4 3 2" xfId="27468" xr:uid="{00000000-0005-0000-0000-000071680000}"/>
    <cellStyle name="Labels 4 3 2 2" xfId="27469" xr:uid="{00000000-0005-0000-0000-000072680000}"/>
    <cellStyle name="Labels 4 3 2 2 2" xfId="44358" xr:uid="{00000000-0005-0000-0000-000073680000}"/>
    <cellStyle name="Labels 4 3 2 3" xfId="27470" xr:uid="{00000000-0005-0000-0000-000074680000}"/>
    <cellStyle name="Labels 4 3 2 3 2" xfId="44359" xr:uid="{00000000-0005-0000-0000-000075680000}"/>
    <cellStyle name="Labels 4 3 2 4" xfId="27471" xr:uid="{00000000-0005-0000-0000-000076680000}"/>
    <cellStyle name="Labels 4 3 2 4 2" xfId="44360" xr:uid="{00000000-0005-0000-0000-000077680000}"/>
    <cellStyle name="Labels 4 3 2 5" xfId="27472" xr:uid="{00000000-0005-0000-0000-000078680000}"/>
    <cellStyle name="Labels 4 3 2 5 2" xfId="44361" xr:uid="{00000000-0005-0000-0000-000079680000}"/>
    <cellStyle name="Labels 4 3 2 6" xfId="27473" xr:uid="{00000000-0005-0000-0000-00007A680000}"/>
    <cellStyle name="Labels 4 3 2 6 2" xfId="44362" xr:uid="{00000000-0005-0000-0000-00007B680000}"/>
    <cellStyle name="Labels 4 3 2 7" xfId="27474" xr:uid="{00000000-0005-0000-0000-00007C680000}"/>
    <cellStyle name="Labels 4 3 2 7 2" xfId="44363" xr:uid="{00000000-0005-0000-0000-00007D680000}"/>
    <cellStyle name="Labels 4 3 2 8" xfId="44364" xr:uid="{00000000-0005-0000-0000-00007E680000}"/>
    <cellStyle name="Labels 4 3 3" xfId="27475" xr:uid="{00000000-0005-0000-0000-00007F680000}"/>
    <cellStyle name="Labels 4 3 3 2" xfId="44365" xr:uid="{00000000-0005-0000-0000-000080680000}"/>
    <cellStyle name="Labels 4 3 4" xfId="27476" xr:uid="{00000000-0005-0000-0000-000081680000}"/>
    <cellStyle name="Labels 4 3 4 2" xfId="44366" xr:uid="{00000000-0005-0000-0000-000082680000}"/>
    <cellStyle name="Labels 4 3 5" xfId="27477" xr:uid="{00000000-0005-0000-0000-000083680000}"/>
    <cellStyle name="Labels 4 3 5 2" xfId="44367" xr:uid="{00000000-0005-0000-0000-000084680000}"/>
    <cellStyle name="Labels 4 3 6" xfId="27478" xr:uid="{00000000-0005-0000-0000-000085680000}"/>
    <cellStyle name="Labels 4 3 6 2" xfId="44368" xr:uid="{00000000-0005-0000-0000-000086680000}"/>
    <cellStyle name="Labels 4 3 7" xfId="27479" xr:uid="{00000000-0005-0000-0000-000087680000}"/>
    <cellStyle name="Labels 4 3 7 2" xfId="44369" xr:uid="{00000000-0005-0000-0000-000088680000}"/>
    <cellStyle name="Labels 4 3 8" xfId="27480" xr:uid="{00000000-0005-0000-0000-000089680000}"/>
    <cellStyle name="Labels 4 3 8 2" xfId="44370" xr:uid="{00000000-0005-0000-0000-00008A680000}"/>
    <cellStyle name="Labels 4 3 9" xfId="44371" xr:uid="{00000000-0005-0000-0000-00008B680000}"/>
    <cellStyle name="Labels 4 4" xfId="27481" xr:uid="{00000000-0005-0000-0000-00008C680000}"/>
    <cellStyle name="Labels 4 4 2" xfId="27482" xr:uid="{00000000-0005-0000-0000-00008D680000}"/>
    <cellStyle name="Labels 4 4 2 2" xfId="44372" xr:uid="{00000000-0005-0000-0000-00008E680000}"/>
    <cellStyle name="Labels 4 4 3" xfId="27483" xr:uid="{00000000-0005-0000-0000-00008F680000}"/>
    <cellStyle name="Labels 4 4 3 2" xfId="44373" xr:uid="{00000000-0005-0000-0000-000090680000}"/>
    <cellStyle name="Labels 4 4 4" xfId="27484" xr:uid="{00000000-0005-0000-0000-000091680000}"/>
    <cellStyle name="Labels 4 4 4 2" xfId="44374" xr:uid="{00000000-0005-0000-0000-000092680000}"/>
    <cellStyle name="Labels 4 4 5" xfId="27485" xr:uid="{00000000-0005-0000-0000-000093680000}"/>
    <cellStyle name="Labels 4 4 5 2" xfId="44375" xr:uid="{00000000-0005-0000-0000-000094680000}"/>
    <cellStyle name="Labels 4 4 6" xfId="27486" xr:uid="{00000000-0005-0000-0000-000095680000}"/>
    <cellStyle name="Labels 4 4 6 2" xfId="44376" xr:uid="{00000000-0005-0000-0000-000096680000}"/>
    <cellStyle name="Labels 4 4 7" xfId="27487" xr:uid="{00000000-0005-0000-0000-000097680000}"/>
    <cellStyle name="Labels 4 4 7 2" xfId="44377" xr:uid="{00000000-0005-0000-0000-000098680000}"/>
    <cellStyle name="Labels 4 4 8" xfId="44378" xr:uid="{00000000-0005-0000-0000-000099680000}"/>
    <cellStyle name="Labels 4 5" xfId="27488" xr:uid="{00000000-0005-0000-0000-00009A680000}"/>
    <cellStyle name="Labels 4 5 2" xfId="27489" xr:uid="{00000000-0005-0000-0000-00009B680000}"/>
    <cellStyle name="Labels 4 5 2 2" xfId="44379" xr:uid="{00000000-0005-0000-0000-00009C680000}"/>
    <cellStyle name="Labels 4 5 3" xfId="27490" xr:uid="{00000000-0005-0000-0000-00009D680000}"/>
    <cellStyle name="Labels 4 5 3 2" xfId="44380" xr:uid="{00000000-0005-0000-0000-00009E680000}"/>
    <cellStyle name="Labels 4 5 4" xfId="27491" xr:uid="{00000000-0005-0000-0000-00009F680000}"/>
    <cellStyle name="Labels 4 5 4 2" xfId="44381" xr:uid="{00000000-0005-0000-0000-0000A0680000}"/>
    <cellStyle name="Labels 4 5 5" xfId="27492" xr:uid="{00000000-0005-0000-0000-0000A1680000}"/>
    <cellStyle name="Labels 4 5 5 2" xfId="44382" xr:uid="{00000000-0005-0000-0000-0000A2680000}"/>
    <cellStyle name="Labels 4 5 6" xfId="27493" xr:uid="{00000000-0005-0000-0000-0000A3680000}"/>
    <cellStyle name="Labels 4 5 6 2" xfId="44383" xr:uid="{00000000-0005-0000-0000-0000A4680000}"/>
    <cellStyle name="Labels 4 5 7" xfId="27494" xr:uid="{00000000-0005-0000-0000-0000A5680000}"/>
    <cellStyle name="Labels 4 5 7 2" xfId="44384" xr:uid="{00000000-0005-0000-0000-0000A6680000}"/>
    <cellStyle name="Labels 4 5 8" xfId="44385" xr:uid="{00000000-0005-0000-0000-0000A7680000}"/>
    <cellStyle name="Labels 4 6" xfId="27495" xr:uid="{00000000-0005-0000-0000-0000A8680000}"/>
    <cellStyle name="Labels 4 6 2" xfId="44386" xr:uid="{00000000-0005-0000-0000-0000A9680000}"/>
    <cellStyle name="Labels 4 7" xfId="27496" xr:uid="{00000000-0005-0000-0000-0000AA680000}"/>
    <cellStyle name="Labels 4 7 2" xfId="44387" xr:uid="{00000000-0005-0000-0000-0000AB680000}"/>
    <cellStyle name="Labels 4 8" xfId="27497" xr:uid="{00000000-0005-0000-0000-0000AC680000}"/>
    <cellStyle name="Labels 4 8 2" xfId="44388" xr:uid="{00000000-0005-0000-0000-0000AD680000}"/>
    <cellStyle name="Labels 4 9" xfId="27498" xr:uid="{00000000-0005-0000-0000-0000AE680000}"/>
    <cellStyle name="Labels 4 9 2" xfId="44389" xr:uid="{00000000-0005-0000-0000-0000AF680000}"/>
    <cellStyle name="Labels 5" xfId="27499" xr:uid="{00000000-0005-0000-0000-0000B0680000}"/>
    <cellStyle name="Labels 5 10" xfId="27500" xr:uid="{00000000-0005-0000-0000-0000B1680000}"/>
    <cellStyle name="Labels 5 11" xfId="27501" xr:uid="{00000000-0005-0000-0000-0000B2680000}"/>
    <cellStyle name="Labels 5 2" xfId="27502" xr:uid="{00000000-0005-0000-0000-0000B3680000}"/>
    <cellStyle name="Labels 5 2 2" xfId="27503" xr:uid="{00000000-0005-0000-0000-0000B4680000}"/>
    <cellStyle name="Labels 5 2 2 2" xfId="27504" xr:uid="{00000000-0005-0000-0000-0000B5680000}"/>
    <cellStyle name="Labels 5 2 2 2 2" xfId="44390" xr:uid="{00000000-0005-0000-0000-0000B6680000}"/>
    <cellStyle name="Labels 5 2 2 3" xfId="27505" xr:uid="{00000000-0005-0000-0000-0000B7680000}"/>
    <cellStyle name="Labels 5 2 2 3 2" xfId="44391" xr:uid="{00000000-0005-0000-0000-0000B8680000}"/>
    <cellStyle name="Labels 5 2 2 4" xfId="27506" xr:uid="{00000000-0005-0000-0000-0000B9680000}"/>
    <cellStyle name="Labels 5 2 2 4 2" xfId="44392" xr:uid="{00000000-0005-0000-0000-0000BA680000}"/>
    <cellStyle name="Labels 5 2 2 5" xfId="27507" xr:uid="{00000000-0005-0000-0000-0000BB680000}"/>
    <cellStyle name="Labels 5 2 2 5 2" xfId="44393" xr:uid="{00000000-0005-0000-0000-0000BC680000}"/>
    <cellStyle name="Labels 5 2 2 6" xfId="27508" xr:uid="{00000000-0005-0000-0000-0000BD680000}"/>
    <cellStyle name="Labels 5 2 2 6 2" xfId="44394" xr:uid="{00000000-0005-0000-0000-0000BE680000}"/>
    <cellStyle name="Labels 5 2 2 7" xfId="27509" xr:uid="{00000000-0005-0000-0000-0000BF680000}"/>
    <cellStyle name="Labels 5 2 2 7 2" xfId="44395" xr:uid="{00000000-0005-0000-0000-0000C0680000}"/>
    <cellStyle name="Labels 5 2 2 8" xfId="44396" xr:uid="{00000000-0005-0000-0000-0000C1680000}"/>
    <cellStyle name="Labels 5 2 3" xfId="27510" xr:uid="{00000000-0005-0000-0000-0000C2680000}"/>
    <cellStyle name="Labels 5 2 3 2" xfId="44397" xr:uid="{00000000-0005-0000-0000-0000C3680000}"/>
    <cellStyle name="Labels 5 2 4" xfId="27511" xr:uid="{00000000-0005-0000-0000-0000C4680000}"/>
    <cellStyle name="Labels 5 2 4 2" xfId="44398" xr:uid="{00000000-0005-0000-0000-0000C5680000}"/>
    <cellStyle name="Labels 5 2 5" xfId="27512" xr:uid="{00000000-0005-0000-0000-0000C6680000}"/>
    <cellStyle name="Labels 5 2 5 2" xfId="44399" xr:uid="{00000000-0005-0000-0000-0000C7680000}"/>
    <cellStyle name="Labels 5 2 6" xfId="27513" xr:uid="{00000000-0005-0000-0000-0000C8680000}"/>
    <cellStyle name="Labels 5 2 6 2" xfId="44400" xr:uid="{00000000-0005-0000-0000-0000C9680000}"/>
    <cellStyle name="Labels 5 2 7" xfId="27514" xr:uid="{00000000-0005-0000-0000-0000CA680000}"/>
    <cellStyle name="Labels 5 2 7 2" xfId="44401" xr:uid="{00000000-0005-0000-0000-0000CB680000}"/>
    <cellStyle name="Labels 5 2 8" xfId="27515" xr:uid="{00000000-0005-0000-0000-0000CC680000}"/>
    <cellStyle name="Labels 5 2 8 2" xfId="44402" xr:uid="{00000000-0005-0000-0000-0000CD680000}"/>
    <cellStyle name="Labels 5 2 9" xfId="44403" xr:uid="{00000000-0005-0000-0000-0000CE680000}"/>
    <cellStyle name="Labels 5 3" xfId="27516" xr:uid="{00000000-0005-0000-0000-0000CF680000}"/>
    <cellStyle name="Labels 5 3 2" xfId="27517" xr:uid="{00000000-0005-0000-0000-0000D0680000}"/>
    <cellStyle name="Labels 5 3 2 2" xfId="27518" xr:uid="{00000000-0005-0000-0000-0000D1680000}"/>
    <cellStyle name="Labels 5 3 2 2 2" xfId="44404" xr:uid="{00000000-0005-0000-0000-0000D2680000}"/>
    <cellStyle name="Labels 5 3 2 3" xfId="27519" xr:uid="{00000000-0005-0000-0000-0000D3680000}"/>
    <cellStyle name="Labels 5 3 2 3 2" xfId="44405" xr:uid="{00000000-0005-0000-0000-0000D4680000}"/>
    <cellStyle name="Labels 5 3 2 4" xfId="27520" xr:uid="{00000000-0005-0000-0000-0000D5680000}"/>
    <cellStyle name="Labels 5 3 2 4 2" xfId="44406" xr:uid="{00000000-0005-0000-0000-0000D6680000}"/>
    <cellStyle name="Labels 5 3 2 5" xfId="27521" xr:uid="{00000000-0005-0000-0000-0000D7680000}"/>
    <cellStyle name="Labels 5 3 2 5 2" xfId="44407" xr:uid="{00000000-0005-0000-0000-0000D8680000}"/>
    <cellStyle name="Labels 5 3 2 6" xfId="27522" xr:uid="{00000000-0005-0000-0000-0000D9680000}"/>
    <cellStyle name="Labels 5 3 2 6 2" xfId="44408" xr:uid="{00000000-0005-0000-0000-0000DA680000}"/>
    <cellStyle name="Labels 5 3 2 7" xfId="27523" xr:uid="{00000000-0005-0000-0000-0000DB680000}"/>
    <cellStyle name="Labels 5 3 2 7 2" xfId="44409" xr:uid="{00000000-0005-0000-0000-0000DC680000}"/>
    <cellStyle name="Labels 5 3 2 8" xfId="44410" xr:uid="{00000000-0005-0000-0000-0000DD680000}"/>
    <cellStyle name="Labels 5 3 3" xfId="27524" xr:uid="{00000000-0005-0000-0000-0000DE680000}"/>
    <cellStyle name="Labels 5 3 3 2" xfId="44411" xr:uid="{00000000-0005-0000-0000-0000DF680000}"/>
    <cellStyle name="Labels 5 3 4" xfId="27525" xr:uid="{00000000-0005-0000-0000-0000E0680000}"/>
    <cellStyle name="Labels 5 3 4 2" xfId="44412" xr:uid="{00000000-0005-0000-0000-0000E1680000}"/>
    <cellStyle name="Labels 5 3 5" xfId="27526" xr:uid="{00000000-0005-0000-0000-0000E2680000}"/>
    <cellStyle name="Labels 5 3 5 2" xfId="44413" xr:uid="{00000000-0005-0000-0000-0000E3680000}"/>
    <cellStyle name="Labels 5 3 6" xfId="27527" xr:uid="{00000000-0005-0000-0000-0000E4680000}"/>
    <cellStyle name="Labels 5 3 6 2" xfId="44414" xr:uid="{00000000-0005-0000-0000-0000E5680000}"/>
    <cellStyle name="Labels 5 3 7" xfId="27528" xr:uid="{00000000-0005-0000-0000-0000E6680000}"/>
    <cellStyle name="Labels 5 3 7 2" xfId="44415" xr:uid="{00000000-0005-0000-0000-0000E7680000}"/>
    <cellStyle name="Labels 5 3 8" xfId="27529" xr:uid="{00000000-0005-0000-0000-0000E8680000}"/>
    <cellStyle name="Labels 5 3 8 2" xfId="44416" xr:uid="{00000000-0005-0000-0000-0000E9680000}"/>
    <cellStyle name="Labels 5 3 9" xfId="44417" xr:uid="{00000000-0005-0000-0000-0000EA680000}"/>
    <cellStyle name="Labels 5 4" xfId="27530" xr:uid="{00000000-0005-0000-0000-0000EB680000}"/>
    <cellStyle name="Labels 5 4 2" xfId="27531" xr:uid="{00000000-0005-0000-0000-0000EC680000}"/>
    <cellStyle name="Labels 5 4 2 2" xfId="44418" xr:uid="{00000000-0005-0000-0000-0000ED680000}"/>
    <cellStyle name="Labels 5 4 3" xfId="27532" xr:uid="{00000000-0005-0000-0000-0000EE680000}"/>
    <cellStyle name="Labels 5 4 3 2" xfId="44419" xr:uid="{00000000-0005-0000-0000-0000EF680000}"/>
    <cellStyle name="Labels 5 4 4" xfId="27533" xr:uid="{00000000-0005-0000-0000-0000F0680000}"/>
    <cellStyle name="Labels 5 4 4 2" xfId="44420" xr:uid="{00000000-0005-0000-0000-0000F1680000}"/>
    <cellStyle name="Labels 5 4 5" xfId="27534" xr:uid="{00000000-0005-0000-0000-0000F2680000}"/>
    <cellStyle name="Labels 5 4 5 2" xfId="44421" xr:uid="{00000000-0005-0000-0000-0000F3680000}"/>
    <cellStyle name="Labels 5 4 6" xfId="27535" xr:uid="{00000000-0005-0000-0000-0000F4680000}"/>
    <cellStyle name="Labels 5 4 6 2" xfId="44422" xr:uid="{00000000-0005-0000-0000-0000F5680000}"/>
    <cellStyle name="Labels 5 4 7" xfId="27536" xr:uid="{00000000-0005-0000-0000-0000F6680000}"/>
    <cellStyle name="Labels 5 4 7 2" xfId="44423" xr:uid="{00000000-0005-0000-0000-0000F7680000}"/>
    <cellStyle name="Labels 5 4 8" xfId="44424" xr:uid="{00000000-0005-0000-0000-0000F8680000}"/>
    <cellStyle name="Labels 5 5" xfId="27537" xr:uid="{00000000-0005-0000-0000-0000F9680000}"/>
    <cellStyle name="Labels 5 5 2" xfId="27538" xr:uid="{00000000-0005-0000-0000-0000FA680000}"/>
    <cellStyle name="Labels 5 5 2 2" xfId="44425" xr:uid="{00000000-0005-0000-0000-0000FB680000}"/>
    <cellStyle name="Labels 5 5 3" xfId="27539" xr:uid="{00000000-0005-0000-0000-0000FC680000}"/>
    <cellStyle name="Labels 5 5 3 2" xfId="44426" xr:uid="{00000000-0005-0000-0000-0000FD680000}"/>
    <cellStyle name="Labels 5 5 4" xfId="27540" xr:uid="{00000000-0005-0000-0000-0000FE680000}"/>
    <cellStyle name="Labels 5 5 4 2" xfId="44427" xr:uid="{00000000-0005-0000-0000-0000FF680000}"/>
    <cellStyle name="Labels 5 5 5" xfId="27541" xr:uid="{00000000-0005-0000-0000-000000690000}"/>
    <cellStyle name="Labels 5 5 5 2" xfId="44428" xr:uid="{00000000-0005-0000-0000-000001690000}"/>
    <cellStyle name="Labels 5 5 6" xfId="27542" xr:uid="{00000000-0005-0000-0000-000002690000}"/>
    <cellStyle name="Labels 5 5 6 2" xfId="44429" xr:uid="{00000000-0005-0000-0000-000003690000}"/>
    <cellStyle name="Labels 5 5 7" xfId="27543" xr:uid="{00000000-0005-0000-0000-000004690000}"/>
    <cellStyle name="Labels 5 5 7 2" xfId="44430" xr:uid="{00000000-0005-0000-0000-000005690000}"/>
    <cellStyle name="Labels 5 5 8" xfId="44431" xr:uid="{00000000-0005-0000-0000-000006690000}"/>
    <cellStyle name="Labels 5 6" xfId="27544" xr:uid="{00000000-0005-0000-0000-000007690000}"/>
    <cellStyle name="Labels 5 6 2" xfId="44432" xr:uid="{00000000-0005-0000-0000-000008690000}"/>
    <cellStyle name="Labels 5 7" xfId="27545" xr:uid="{00000000-0005-0000-0000-000009690000}"/>
    <cellStyle name="Labels 5 7 2" xfId="44433" xr:uid="{00000000-0005-0000-0000-00000A690000}"/>
    <cellStyle name="Labels 5 8" xfId="27546" xr:uid="{00000000-0005-0000-0000-00000B690000}"/>
    <cellStyle name="Labels 5 8 2" xfId="44434" xr:uid="{00000000-0005-0000-0000-00000C690000}"/>
    <cellStyle name="Labels 5 9" xfId="27547" xr:uid="{00000000-0005-0000-0000-00000D690000}"/>
    <cellStyle name="Labels 5 9 2" xfId="44435" xr:uid="{00000000-0005-0000-0000-00000E690000}"/>
    <cellStyle name="Labels 6" xfId="27548" xr:uid="{00000000-0005-0000-0000-00000F690000}"/>
    <cellStyle name="Labels 6 10" xfId="44436" xr:uid="{00000000-0005-0000-0000-000010690000}"/>
    <cellStyle name="Labels 6 2" xfId="27549" xr:uid="{00000000-0005-0000-0000-000011690000}"/>
    <cellStyle name="Labels 6 2 2" xfId="27550" xr:uid="{00000000-0005-0000-0000-000012690000}"/>
    <cellStyle name="Labels 6 2 2 2" xfId="27551" xr:uid="{00000000-0005-0000-0000-000013690000}"/>
    <cellStyle name="Labels 6 2 2 2 2" xfId="44437" xr:uid="{00000000-0005-0000-0000-000014690000}"/>
    <cellStyle name="Labels 6 2 2 3" xfId="27552" xr:uid="{00000000-0005-0000-0000-000015690000}"/>
    <cellStyle name="Labels 6 2 2 3 2" xfId="44438" xr:uid="{00000000-0005-0000-0000-000016690000}"/>
    <cellStyle name="Labels 6 2 2 4" xfId="27553" xr:uid="{00000000-0005-0000-0000-000017690000}"/>
    <cellStyle name="Labels 6 2 2 4 2" xfId="44439" xr:uid="{00000000-0005-0000-0000-000018690000}"/>
    <cellStyle name="Labels 6 2 2 5" xfId="27554" xr:uid="{00000000-0005-0000-0000-000019690000}"/>
    <cellStyle name="Labels 6 2 2 5 2" xfId="44440" xr:uid="{00000000-0005-0000-0000-00001A690000}"/>
    <cellStyle name="Labels 6 2 2 6" xfId="27555" xr:uid="{00000000-0005-0000-0000-00001B690000}"/>
    <cellStyle name="Labels 6 2 2 6 2" xfId="44441" xr:uid="{00000000-0005-0000-0000-00001C690000}"/>
    <cellStyle name="Labels 6 2 2 7" xfId="27556" xr:uid="{00000000-0005-0000-0000-00001D690000}"/>
    <cellStyle name="Labels 6 2 2 7 2" xfId="44442" xr:uid="{00000000-0005-0000-0000-00001E690000}"/>
    <cellStyle name="Labels 6 2 2 8" xfId="44443" xr:uid="{00000000-0005-0000-0000-00001F690000}"/>
    <cellStyle name="Labels 6 2 3" xfId="27557" xr:uid="{00000000-0005-0000-0000-000020690000}"/>
    <cellStyle name="Labels 6 2 3 2" xfId="44444" xr:uid="{00000000-0005-0000-0000-000021690000}"/>
    <cellStyle name="Labels 6 2 4" xfId="27558" xr:uid="{00000000-0005-0000-0000-000022690000}"/>
    <cellStyle name="Labels 6 2 4 2" xfId="44445" xr:uid="{00000000-0005-0000-0000-000023690000}"/>
    <cellStyle name="Labels 6 2 5" xfId="27559" xr:uid="{00000000-0005-0000-0000-000024690000}"/>
    <cellStyle name="Labels 6 2 5 2" xfId="44446" xr:uid="{00000000-0005-0000-0000-000025690000}"/>
    <cellStyle name="Labels 6 2 6" xfId="27560" xr:uid="{00000000-0005-0000-0000-000026690000}"/>
    <cellStyle name="Labels 6 2 6 2" xfId="44447" xr:uid="{00000000-0005-0000-0000-000027690000}"/>
    <cellStyle name="Labels 6 2 7" xfId="27561" xr:uid="{00000000-0005-0000-0000-000028690000}"/>
    <cellStyle name="Labels 6 2 7 2" xfId="44448" xr:uid="{00000000-0005-0000-0000-000029690000}"/>
    <cellStyle name="Labels 6 2 8" xfId="27562" xr:uid="{00000000-0005-0000-0000-00002A690000}"/>
    <cellStyle name="Labels 6 2 8 2" xfId="44449" xr:uid="{00000000-0005-0000-0000-00002B690000}"/>
    <cellStyle name="Labels 6 2 9" xfId="44450" xr:uid="{00000000-0005-0000-0000-00002C690000}"/>
    <cellStyle name="Labels 6 3" xfId="27563" xr:uid="{00000000-0005-0000-0000-00002D690000}"/>
    <cellStyle name="Labels 6 3 2" xfId="27564" xr:uid="{00000000-0005-0000-0000-00002E690000}"/>
    <cellStyle name="Labels 6 3 2 2" xfId="27565" xr:uid="{00000000-0005-0000-0000-00002F690000}"/>
    <cellStyle name="Labels 6 3 2 2 2" xfId="44451" xr:uid="{00000000-0005-0000-0000-000030690000}"/>
    <cellStyle name="Labels 6 3 2 3" xfId="27566" xr:uid="{00000000-0005-0000-0000-000031690000}"/>
    <cellStyle name="Labels 6 3 2 3 2" xfId="44452" xr:uid="{00000000-0005-0000-0000-000032690000}"/>
    <cellStyle name="Labels 6 3 2 4" xfId="27567" xr:uid="{00000000-0005-0000-0000-000033690000}"/>
    <cellStyle name="Labels 6 3 2 4 2" xfId="44453" xr:uid="{00000000-0005-0000-0000-000034690000}"/>
    <cellStyle name="Labels 6 3 2 5" xfId="27568" xr:uid="{00000000-0005-0000-0000-000035690000}"/>
    <cellStyle name="Labels 6 3 2 5 2" xfId="44454" xr:uid="{00000000-0005-0000-0000-000036690000}"/>
    <cellStyle name="Labels 6 3 2 6" xfId="27569" xr:uid="{00000000-0005-0000-0000-000037690000}"/>
    <cellStyle name="Labels 6 3 2 6 2" xfId="44455" xr:uid="{00000000-0005-0000-0000-000038690000}"/>
    <cellStyle name="Labels 6 3 2 7" xfId="27570" xr:uid="{00000000-0005-0000-0000-000039690000}"/>
    <cellStyle name="Labels 6 3 2 7 2" xfId="44456" xr:uid="{00000000-0005-0000-0000-00003A690000}"/>
    <cellStyle name="Labels 6 3 2 8" xfId="44457" xr:uid="{00000000-0005-0000-0000-00003B690000}"/>
    <cellStyle name="Labels 6 3 3" xfId="27571" xr:uid="{00000000-0005-0000-0000-00003C690000}"/>
    <cellStyle name="Labels 6 3 3 2" xfId="44458" xr:uid="{00000000-0005-0000-0000-00003D690000}"/>
    <cellStyle name="Labels 6 3 4" xfId="27572" xr:uid="{00000000-0005-0000-0000-00003E690000}"/>
    <cellStyle name="Labels 6 3 4 2" xfId="44459" xr:uid="{00000000-0005-0000-0000-00003F690000}"/>
    <cellStyle name="Labels 6 3 5" xfId="27573" xr:uid="{00000000-0005-0000-0000-000040690000}"/>
    <cellStyle name="Labels 6 3 5 2" xfId="44460" xr:uid="{00000000-0005-0000-0000-000041690000}"/>
    <cellStyle name="Labels 6 3 6" xfId="27574" xr:uid="{00000000-0005-0000-0000-000042690000}"/>
    <cellStyle name="Labels 6 3 6 2" xfId="44461" xr:uid="{00000000-0005-0000-0000-000043690000}"/>
    <cellStyle name="Labels 6 3 7" xfId="27575" xr:uid="{00000000-0005-0000-0000-000044690000}"/>
    <cellStyle name="Labels 6 3 7 2" xfId="44462" xr:uid="{00000000-0005-0000-0000-000045690000}"/>
    <cellStyle name="Labels 6 3 8" xfId="27576" xr:uid="{00000000-0005-0000-0000-000046690000}"/>
    <cellStyle name="Labels 6 3 8 2" xfId="44463" xr:uid="{00000000-0005-0000-0000-000047690000}"/>
    <cellStyle name="Labels 6 3 9" xfId="44464" xr:uid="{00000000-0005-0000-0000-000048690000}"/>
    <cellStyle name="Labels 6 4" xfId="27577" xr:uid="{00000000-0005-0000-0000-000049690000}"/>
    <cellStyle name="Labels 6 4 2" xfId="27578" xr:uid="{00000000-0005-0000-0000-00004A690000}"/>
    <cellStyle name="Labels 6 4 2 2" xfId="44465" xr:uid="{00000000-0005-0000-0000-00004B690000}"/>
    <cellStyle name="Labels 6 4 3" xfId="27579" xr:uid="{00000000-0005-0000-0000-00004C690000}"/>
    <cellStyle name="Labels 6 4 3 2" xfId="44466" xr:uid="{00000000-0005-0000-0000-00004D690000}"/>
    <cellStyle name="Labels 6 4 4" xfId="27580" xr:uid="{00000000-0005-0000-0000-00004E690000}"/>
    <cellStyle name="Labels 6 4 4 2" xfId="44467" xr:uid="{00000000-0005-0000-0000-00004F690000}"/>
    <cellStyle name="Labels 6 4 5" xfId="27581" xr:uid="{00000000-0005-0000-0000-000050690000}"/>
    <cellStyle name="Labels 6 4 5 2" xfId="44468" xr:uid="{00000000-0005-0000-0000-000051690000}"/>
    <cellStyle name="Labels 6 4 6" xfId="27582" xr:uid="{00000000-0005-0000-0000-000052690000}"/>
    <cellStyle name="Labels 6 4 6 2" xfId="44469" xr:uid="{00000000-0005-0000-0000-000053690000}"/>
    <cellStyle name="Labels 6 4 7" xfId="27583" xr:uid="{00000000-0005-0000-0000-000054690000}"/>
    <cellStyle name="Labels 6 4 7 2" xfId="44470" xr:uid="{00000000-0005-0000-0000-000055690000}"/>
    <cellStyle name="Labels 6 4 8" xfId="44471" xr:uid="{00000000-0005-0000-0000-000056690000}"/>
    <cellStyle name="Labels 6 5" xfId="27584" xr:uid="{00000000-0005-0000-0000-000057690000}"/>
    <cellStyle name="Labels 6 5 2" xfId="27585" xr:uid="{00000000-0005-0000-0000-000058690000}"/>
    <cellStyle name="Labels 6 5 2 2" xfId="44472" xr:uid="{00000000-0005-0000-0000-000059690000}"/>
    <cellStyle name="Labels 6 5 3" xfId="27586" xr:uid="{00000000-0005-0000-0000-00005A690000}"/>
    <cellStyle name="Labels 6 5 3 2" xfId="44473" xr:uid="{00000000-0005-0000-0000-00005B690000}"/>
    <cellStyle name="Labels 6 5 4" xfId="27587" xr:uid="{00000000-0005-0000-0000-00005C690000}"/>
    <cellStyle name="Labels 6 5 4 2" xfId="44474" xr:uid="{00000000-0005-0000-0000-00005D690000}"/>
    <cellStyle name="Labels 6 5 5" xfId="27588" xr:uid="{00000000-0005-0000-0000-00005E690000}"/>
    <cellStyle name="Labels 6 5 5 2" xfId="44475" xr:uid="{00000000-0005-0000-0000-00005F690000}"/>
    <cellStyle name="Labels 6 5 6" xfId="27589" xr:uid="{00000000-0005-0000-0000-000060690000}"/>
    <cellStyle name="Labels 6 5 6 2" xfId="44476" xr:uid="{00000000-0005-0000-0000-000061690000}"/>
    <cellStyle name="Labels 6 5 7" xfId="27590" xr:uid="{00000000-0005-0000-0000-000062690000}"/>
    <cellStyle name="Labels 6 5 7 2" xfId="44477" xr:uid="{00000000-0005-0000-0000-000063690000}"/>
    <cellStyle name="Labels 6 5 8" xfId="44478" xr:uid="{00000000-0005-0000-0000-000064690000}"/>
    <cellStyle name="Labels 6 6" xfId="27591" xr:uid="{00000000-0005-0000-0000-000065690000}"/>
    <cellStyle name="Labels 6 6 2" xfId="44479" xr:uid="{00000000-0005-0000-0000-000066690000}"/>
    <cellStyle name="Labels 6 7" xfId="27592" xr:uid="{00000000-0005-0000-0000-000067690000}"/>
    <cellStyle name="Labels 6 7 2" xfId="44480" xr:uid="{00000000-0005-0000-0000-000068690000}"/>
    <cellStyle name="Labels 6 8" xfId="27593" xr:uid="{00000000-0005-0000-0000-000069690000}"/>
    <cellStyle name="Labels 6 8 2" xfId="44481" xr:uid="{00000000-0005-0000-0000-00006A690000}"/>
    <cellStyle name="Labels 6 9" xfId="27594" xr:uid="{00000000-0005-0000-0000-00006B690000}"/>
    <cellStyle name="Labels 6 9 2" xfId="44482" xr:uid="{00000000-0005-0000-0000-00006C690000}"/>
    <cellStyle name="Labels 7" xfId="27595" xr:uid="{00000000-0005-0000-0000-00006D690000}"/>
    <cellStyle name="Labels 7 10" xfId="27596" xr:uid="{00000000-0005-0000-0000-00006E690000}"/>
    <cellStyle name="Labels 7 11" xfId="27597" xr:uid="{00000000-0005-0000-0000-00006F690000}"/>
    <cellStyle name="Labels 7 2" xfId="27598" xr:uid="{00000000-0005-0000-0000-000070690000}"/>
    <cellStyle name="Labels 7 2 2" xfId="27599" xr:uid="{00000000-0005-0000-0000-000071690000}"/>
    <cellStyle name="Labels 7 2 2 2" xfId="27600" xr:uid="{00000000-0005-0000-0000-000072690000}"/>
    <cellStyle name="Labels 7 2 2 2 2" xfId="44483" xr:uid="{00000000-0005-0000-0000-000073690000}"/>
    <cellStyle name="Labels 7 2 2 3" xfId="27601" xr:uid="{00000000-0005-0000-0000-000074690000}"/>
    <cellStyle name="Labels 7 2 2 3 2" xfId="44484" xr:uid="{00000000-0005-0000-0000-000075690000}"/>
    <cellStyle name="Labels 7 2 2 4" xfId="27602" xr:uid="{00000000-0005-0000-0000-000076690000}"/>
    <cellStyle name="Labels 7 2 2 4 2" xfId="44485" xr:uid="{00000000-0005-0000-0000-000077690000}"/>
    <cellStyle name="Labels 7 2 2 5" xfId="27603" xr:uid="{00000000-0005-0000-0000-000078690000}"/>
    <cellStyle name="Labels 7 2 2 5 2" xfId="44486" xr:uid="{00000000-0005-0000-0000-000079690000}"/>
    <cellStyle name="Labels 7 2 2 6" xfId="27604" xr:uid="{00000000-0005-0000-0000-00007A690000}"/>
    <cellStyle name="Labels 7 2 2 6 2" xfId="44487" xr:uid="{00000000-0005-0000-0000-00007B690000}"/>
    <cellStyle name="Labels 7 2 2 7" xfId="27605" xr:uid="{00000000-0005-0000-0000-00007C690000}"/>
    <cellStyle name="Labels 7 2 2 7 2" xfId="44488" xr:uid="{00000000-0005-0000-0000-00007D690000}"/>
    <cellStyle name="Labels 7 2 2 8" xfId="44489" xr:uid="{00000000-0005-0000-0000-00007E690000}"/>
    <cellStyle name="Labels 7 2 3" xfId="27606" xr:uid="{00000000-0005-0000-0000-00007F690000}"/>
    <cellStyle name="Labels 7 2 3 2" xfId="44490" xr:uid="{00000000-0005-0000-0000-000080690000}"/>
    <cellStyle name="Labels 7 2 4" xfId="27607" xr:uid="{00000000-0005-0000-0000-000081690000}"/>
    <cellStyle name="Labels 7 2 4 2" xfId="44491" xr:uid="{00000000-0005-0000-0000-000082690000}"/>
    <cellStyle name="Labels 7 2 5" xfId="27608" xr:uid="{00000000-0005-0000-0000-000083690000}"/>
    <cellStyle name="Labels 7 2 5 2" xfId="44492" xr:uid="{00000000-0005-0000-0000-000084690000}"/>
    <cellStyle name="Labels 7 2 6" xfId="27609" xr:uid="{00000000-0005-0000-0000-000085690000}"/>
    <cellStyle name="Labels 7 2 6 2" xfId="44493" xr:uid="{00000000-0005-0000-0000-000086690000}"/>
    <cellStyle name="Labels 7 2 7" xfId="27610" xr:uid="{00000000-0005-0000-0000-000087690000}"/>
    <cellStyle name="Labels 7 2 7 2" xfId="44494" xr:uid="{00000000-0005-0000-0000-000088690000}"/>
    <cellStyle name="Labels 7 2 8" xfId="27611" xr:uid="{00000000-0005-0000-0000-000089690000}"/>
    <cellStyle name="Labels 7 2 8 2" xfId="44495" xr:uid="{00000000-0005-0000-0000-00008A690000}"/>
    <cellStyle name="Labels 7 2 9" xfId="44496" xr:uid="{00000000-0005-0000-0000-00008B690000}"/>
    <cellStyle name="Labels 7 3" xfId="27612" xr:uid="{00000000-0005-0000-0000-00008C690000}"/>
    <cellStyle name="Labels 7 3 2" xfId="27613" xr:uid="{00000000-0005-0000-0000-00008D690000}"/>
    <cellStyle name="Labels 7 3 2 2" xfId="27614" xr:uid="{00000000-0005-0000-0000-00008E690000}"/>
    <cellStyle name="Labels 7 3 2 2 2" xfId="44497" xr:uid="{00000000-0005-0000-0000-00008F690000}"/>
    <cellStyle name="Labels 7 3 2 3" xfId="27615" xr:uid="{00000000-0005-0000-0000-000090690000}"/>
    <cellStyle name="Labels 7 3 2 3 2" xfId="44498" xr:uid="{00000000-0005-0000-0000-000091690000}"/>
    <cellStyle name="Labels 7 3 2 4" xfId="27616" xr:uid="{00000000-0005-0000-0000-000092690000}"/>
    <cellStyle name="Labels 7 3 2 4 2" xfId="44499" xr:uid="{00000000-0005-0000-0000-000093690000}"/>
    <cellStyle name="Labels 7 3 2 5" xfId="27617" xr:uid="{00000000-0005-0000-0000-000094690000}"/>
    <cellStyle name="Labels 7 3 2 5 2" xfId="44500" xr:uid="{00000000-0005-0000-0000-000095690000}"/>
    <cellStyle name="Labels 7 3 2 6" xfId="27618" xr:uid="{00000000-0005-0000-0000-000096690000}"/>
    <cellStyle name="Labels 7 3 2 6 2" xfId="44501" xr:uid="{00000000-0005-0000-0000-000097690000}"/>
    <cellStyle name="Labels 7 3 2 7" xfId="27619" xr:uid="{00000000-0005-0000-0000-000098690000}"/>
    <cellStyle name="Labels 7 3 2 7 2" xfId="44502" xr:uid="{00000000-0005-0000-0000-000099690000}"/>
    <cellStyle name="Labels 7 3 2 8" xfId="44503" xr:uid="{00000000-0005-0000-0000-00009A690000}"/>
    <cellStyle name="Labels 7 3 3" xfId="27620" xr:uid="{00000000-0005-0000-0000-00009B690000}"/>
    <cellStyle name="Labels 7 3 3 2" xfId="44504" xr:uid="{00000000-0005-0000-0000-00009C690000}"/>
    <cellStyle name="Labels 7 3 4" xfId="27621" xr:uid="{00000000-0005-0000-0000-00009D690000}"/>
    <cellStyle name="Labels 7 3 4 2" xfId="44505" xr:uid="{00000000-0005-0000-0000-00009E690000}"/>
    <cellStyle name="Labels 7 3 5" xfId="27622" xr:uid="{00000000-0005-0000-0000-00009F690000}"/>
    <cellStyle name="Labels 7 3 5 2" xfId="44506" xr:uid="{00000000-0005-0000-0000-0000A0690000}"/>
    <cellStyle name="Labels 7 3 6" xfId="27623" xr:uid="{00000000-0005-0000-0000-0000A1690000}"/>
    <cellStyle name="Labels 7 3 6 2" xfId="44507" xr:uid="{00000000-0005-0000-0000-0000A2690000}"/>
    <cellStyle name="Labels 7 3 7" xfId="27624" xr:uid="{00000000-0005-0000-0000-0000A3690000}"/>
    <cellStyle name="Labels 7 3 7 2" xfId="44508" xr:uid="{00000000-0005-0000-0000-0000A4690000}"/>
    <cellStyle name="Labels 7 3 8" xfId="27625" xr:uid="{00000000-0005-0000-0000-0000A5690000}"/>
    <cellStyle name="Labels 7 3 8 2" xfId="44509" xr:uid="{00000000-0005-0000-0000-0000A6690000}"/>
    <cellStyle name="Labels 7 3 9" xfId="44510" xr:uid="{00000000-0005-0000-0000-0000A7690000}"/>
    <cellStyle name="Labels 7 4" xfId="27626" xr:uid="{00000000-0005-0000-0000-0000A8690000}"/>
    <cellStyle name="Labels 7 4 2" xfId="27627" xr:uid="{00000000-0005-0000-0000-0000A9690000}"/>
    <cellStyle name="Labels 7 4 2 2" xfId="44511" xr:uid="{00000000-0005-0000-0000-0000AA690000}"/>
    <cellStyle name="Labels 7 4 3" xfId="27628" xr:uid="{00000000-0005-0000-0000-0000AB690000}"/>
    <cellStyle name="Labels 7 4 3 2" xfId="44512" xr:uid="{00000000-0005-0000-0000-0000AC690000}"/>
    <cellStyle name="Labels 7 4 4" xfId="27629" xr:uid="{00000000-0005-0000-0000-0000AD690000}"/>
    <cellStyle name="Labels 7 4 4 2" xfId="44513" xr:uid="{00000000-0005-0000-0000-0000AE690000}"/>
    <cellStyle name="Labels 7 4 5" xfId="27630" xr:uid="{00000000-0005-0000-0000-0000AF690000}"/>
    <cellStyle name="Labels 7 4 5 2" xfId="44514" xr:uid="{00000000-0005-0000-0000-0000B0690000}"/>
    <cellStyle name="Labels 7 4 6" xfId="27631" xr:uid="{00000000-0005-0000-0000-0000B1690000}"/>
    <cellStyle name="Labels 7 4 6 2" xfId="44515" xr:uid="{00000000-0005-0000-0000-0000B2690000}"/>
    <cellStyle name="Labels 7 4 7" xfId="27632" xr:uid="{00000000-0005-0000-0000-0000B3690000}"/>
    <cellStyle name="Labels 7 4 7 2" xfId="44516" xr:uid="{00000000-0005-0000-0000-0000B4690000}"/>
    <cellStyle name="Labels 7 4 8" xfId="44517" xr:uid="{00000000-0005-0000-0000-0000B5690000}"/>
    <cellStyle name="Labels 7 5" xfId="27633" xr:uid="{00000000-0005-0000-0000-0000B6690000}"/>
    <cellStyle name="Labels 7 5 2" xfId="27634" xr:uid="{00000000-0005-0000-0000-0000B7690000}"/>
    <cellStyle name="Labels 7 5 2 2" xfId="44518" xr:uid="{00000000-0005-0000-0000-0000B8690000}"/>
    <cellStyle name="Labels 7 5 3" xfId="27635" xr:uid="{00000000-0005-0000-0000-0000B9690000}"/>
    <cellStyle name="Labels 7 5 3 2" xfId="44519" xr:uid="{00000000-0005-0000-0000-0000BA690000}"/>
    <cellStyle name="Labels 7 5 4" xfId="27636" xr:uid="{00000000-0005-0000-0000-0000BB690000}"/>
    <cellStyle name="Labels 7 5 4 2" xfId="44520" xr:uid="{00000000-0005-0000-0000-0000BC690000}"/>
    <cellStyle name="Labels 7 5 5" xfId="27637" xr:uid="{00000000-0005-0000-0000-0000BD690000}"/>
    <cellStyle name="Labels 7 5 5 2" xfId="44521" xr:uid="{00000000-0005-0000-0000-0000BE690000}"/>
    <cellStyle name="Labels 7 5 6" xfId="27638" xr:uid="{00000000-0005-0000-0000-0000BF690000}"/>
    <cellStyle name="Labels 7 5 6 2" xfId="44522" xr:uid="{00000000-0005-0000-0000-0000C0690000}"/>
    <cellStyle name="Labels 7 5 7" xfId="27639" xr:uid="{00000000-0005-0000-0000-0000C1690000}"/>
    <cellStyle name="Labels 7 5 7 2" xfId="44523" xr:uid="{00000000-0005-0000-0000-0000C2690000}"/>
    <cellStyle name="Labels 7 5 8" xfId="44524" xr:uid="{00000000-0005-0000-0000-0000C3690000}"/>
    <cellStyle name="Labels 7 6" xfId="27640" xr:uid="{00000000-0005-0000-0000-0000C4690000}"/>
    <cellStyle name="Labels 7 6 2" xfId="44525" xr:uid="{00000000-0005-0000-0000-0000C5690000}"/>
    <cellStyle name="Labels 7 7" xfId="27641" xr:uid="{00000000-0005-0000-0000-0000C6690000}"/>
    <cellStyle name="Labels 7 7 2" xfId="44526" xr:uid="{00000000-0005-0000-0000-0000C7690000}"/>
    <cellStyle name="Labels 7 8" xfId="27642" xr:uid="{00000000-0005-0000-0000-0000C8690000}"/>
    <cellStyle name="Labels 7 8 2" xfId="44527" xr:uid="{00000000-0005-0000-0000-0000C9690000}"/>
    <cellStyle name="Labels 7 9" xfId="27643" xr:uid="{00000000-0005-0000-0000-0000CA690000}"/>
    <cellStyle name="Labels 7 9 2" xfId="44528" xr:uid="{00000000-0005-0000-0000-0000CB690000}"/>
    <cellStyle name="Labels 8" xfId="27644" xr:uid="{00000000-0005-0000-0000-0000CC690000}"/>
    <cellStyle name="Labels 8 2" xfId="27645" xr:uid="{00000000-0005-0000-0000-0000CD690000}"/>
    <cellStyle name="Labels 8 2 2" xfId="27646" xr:uid="{00000000-0005-0000-0000-0000CE690000}"/>
    <cellStyle name="Labels 8 2 2 2" xfId="44529" xr:uid="{00000000-0005-0000-0000-0000CF690000}"/>
    <cellStyle name="Labels 8 2 3" xfId="27647" xr:uid="{00000000-0005-0000-0000-0000D0690000}"/>
    <cellStyle name="Labels 8 2 3 2" xfId="44530" xr:uid="{00000000-0005-0000-0000-0000D1690000}"/>
    <cellStyle name="Labels 8 2 4" xfId="27648" xr:uid="{00000000-0005-0000-0000-0000D2690000}"/>
    <cellStyle name="Labels 8 2 4 2" xfId="44531" xr:uid="{00000000-0005-0000-0000-0000D3690000}"/>
    <cellStyle name="Labels 8 2 5" xfId="27649" xr:uid="{00000000-0005-0000-0000-0000D4690000}"/>
    <cellStyle name="Labels 8 2 5 2" xfId="44532" xr:uid="{00000000-0005-0000-0000-0000D5690000}"/>
    <cellStyle name="Labels 8 2 6" xfId="27650" xr:uid="{00000000-0005-0000-0000-0000D6690000}"/>
    <cellStyle name="Labels 8 2 6 2" xfId="44533" xr:uid="{00000000-0005-0000-0000-0000D7690000}"/>
    <cellStyle name="Labels 8 2 7" xfId="27651" xr:uid="{00000000-0005-0000-0000-0000D8690000}"/>
    <cellStyle name="Labels 8 2 7 2" xfId="44534" xr:uid="{00000000-0005-0000-0000-0000D9690000}"/>
    <cellStyle name="Labels 8 2 8" xfId="44535" xr:uid="{00000000-0005-0000-0000-0000DA690000}"/>
    <cellStyle name="Labels 8 3" xfId="27652" xr:uid="{00000000-0005-0000-0000-0000DB690000}"/>
    <cellStyle name="Labels 8 3 2" xfId="44536" xr:uid="{00000000-0005-0000-0000-0000DC690000}"/>
    <cellStyle name="Labels 8 4" xfId="27653" xr:uid="{00000000-0005-0000-0000-0000DD690000}"/>
    <cellStyle name="Labels 8 4 2" xfId="44537" xr:uid="{00000000-0005-0000-0000-0000DE690000}"/>
    <cellStyle name="Labels 8 5" xfId="27654" xr:uid="{00000000-0005-0000-0000-0000DF690000}"/>
    <cellStyle name="Labels 8 5 2" xfId="44538" xr:uid="{00000000-0005-0000-0000-0000E0690000}"/>
    <cellStyle name="Labels 8 6" xfId="27655" xr:uid="{00000000-0005-0000-0000-0000E1690000}"/>
    <cellStyle name="Labels 8 6 2" xfId="44539" xr:uid="{00000000-0005-0000-0000-0000E2690000}"/>
    <cellStyle name="Labels 8 7" xfId="27656" xr:uid="{00000000-0005-0000-0000-0000E3690000}"/>
    <cellStyle name="Labels 8 7 2" xfId="44540" xr:uid="{00000000-0005-0000-0000-0000E4690000}"/>
    <cellStyle name="Labels 8 8" xfId="27657" xr:uid="{00000000-0005-0000-0000-0000E5690000}"/>
    <cellStyle name="Labels 8 8 2" xfId="44541" xr:uid="{00000000-0005-0000-0000-0000E6690000}"/>
    <cellStyle name="Labels 8 9" xfId="44542" xr:uid="{00000000-0005-0000-0000-0000E7690000}"/>
    <cellStyle name="Labels 9" xfId="27658" xr:uid="{00000000-0005-0000-0000-0000E8690000}"/>
    <cellStyle name="Labels 9 2" xfId="27659" xr:uid="{00000000-0005-0000-0000-0000E9690000}"/>
    <cellStyle name="Labels 9 2 2" xfId="27660" xr:uid="{00000000-0005-0000-0000-0000EA690000}"/>
    <cellStyle name="Labels 9 2 2 2" xfId="44543" xr:uid="{00000000-0005-0000-0000-0000EB690000}"/>
    <cellStyle name="Labels 9 2 3" xfId="27661" xr:uid="{00000000-0005-0000-0000-0000EC690000}"/>
    <cellStyle name="Labels 9 2 3 2" xfId="44544" xr:uid="{00000000-0005-0000-0000-0000ED690000}"/>
    <cellStyle name="Labels 9 2 4" xfId="27662" xr:uid="{00000000-0005-0000-0000-0000EE690000}"/>
    <cellStyle name="Labels 9 2 4 2" xfId="44545" xr:uid="{00000000-0005-0000-0000-0000EF690000}"/>
    <cellStyle name="Labels 9 2 5" xfId="27663" xr:uid="{00000000-0005-0000-0000-0000F0690000}"/>
    <cellStyle name="Labels 9 2 5 2" xfId="44546" xr:uid="{00000000-0005-0000-0000-0000F1690000}"/>
    <cellStyle name="Labels 9 2 6" xfId="27664" xr:uid="{00000000-0005-0000-0000-0000F2690000}"/>
    <cellStyle name="Labels 9 2 6 2" xfId="44547" xr:uid="{00000000-0005-0000-0000-0000F3690000}"/>
    <cellStyle name="Labels 9 2 7" xfId="27665" xr:uid="{00000000-0005-0000-0000-0000F4690000}"/>
    <cellStyle name="Labels 9 2 7 2" xfId="44548" xr:uid="{00000000-0005-0000-0000-0000F5690000}"/>
    <cellStyle name="Labels 9 2 8" xfId="44549" xr:uid="{00000000-0005-0000-0000-0000F6690000}"/>
    <cellStyle name="Labels 9 3" xfId="27666" xr:uid="{00000000-0005-0000-0000-0000F7690000}"/>
    <cellStyle name="Labels 9 3 2" xfId="44550" xr:uid="{00000000-0005-0000-0000-0000F8690000}"/>
    <cellStyle name="Labels 9 4" xfId="27667" xr:uid="{00000000-0005-0000-0000-0000F9690000}"/>
    <cellStyle name="Labels 9 4 2" xfId="44551" xr:uid="{00000000-0005-0000-0000-0000FA690000}"/>
    <cellStyle name="Labels 9 5" xfId="27668" xr:uid="{00000000-0005-0000-0000-0000FB690000}"/>
    <cellStyle name="Labels 9 5 2" xfId="44552" xr:uid="{00000000-0005-0000-0000-0000FC690000}"/>
    <cellStyle name="Labels 9 6" xfId="27669" xr:uid="{00000000-0005-0000-0000-0000FD690000}"/>
    <cellStyle name="Labels 9 6 2" xfId="44553" xr:uid="{00000000-0005-0000-0000-0000FE690000}"/>
    <cellStyle name="Labels 9 7" xfId="27670" xr:uid="{00000000-0005-0000-0000-0000FF690000}"/>
    <cellStyle name="Labels 9 7 2" xfId="44554" xr:uid="{00000000-0005-0000-0000-0000006A0000}"/>
    <cellStyle name="Labels 9 8" xfId="27671" xr:uid="{00000000-0005-0000-0000-0000016A0000}"/>
    <cellStyle name="Labels 9 8 2" xfId="44555" xr:uid="{00000000-0005-0000-0000-0000026A0000}"/>
    <cellStyle name="Labels 9 9" xfId="44556" xr:uid="{00000000-0005-0000-0000-0000036A0000}"/>
    <cellStyle name="Linked Cell 2" xfId="346" xr:uid="{00000000-0005-0000-0000-0000046A0000}"/>
    <cellStyle name="Linked Cell 2 2" xfId="347" xr:uid="{00000000-0005-0000-0000-0000056A0000}"/>
    <cellStyle name="Linked Cell 2 2 2" xfId="27672" xr:uid="{00000000-0005-0000-0000-0000066A0000}"/>
    <cellStyle name="Linked Cell 2 3" xfId="348" xr:uid="{00000000-0005-0000-0000-0000076A0000}"/>
    <cellStyle name="Linked Cell 2 4" xfId="1090" xr:uid="{00000000-0005-0000-0000-0000086A0000}"/>
    <cellStyle name="Linked Cell 2 4 2" xfId="38937" xr:uid="{00000000-0005-0000-0000-0000096A0000}"/>
    <cellStyle name="Linked Cell 3" xfId="349" xr:uid="{00000000-0005-0000-0000-00000A6A0000}"/>
    <cellStyle name="Linked Cell 3 2" xfId="350" xr:uid="{00000000-0005-0000-0000-00000B6A0000}"/>
    <cellStyle name="Linked Cell 3 2 2" xfId="27673" xr:uid="{00000000-0005-0000-0000-00000C6A0000}"/>
    <cellStyle name="Linked Cell 3 3" xfId="27674" xr:uid="{00000000-0005-0000-0000-00000D6A0000}"/>
    <cellStyle name="Linked Cell 4" xfId="678" xr:uid="{00000000-0005-0000-0000-00000E6A0000}"/>
    <cellStyle name="Linked Cell 4 2" xfId="42508" xr:uid="{00000000-0005-0000-0000-00000F6A0000}"/>
    <cellStyle name="Linked Cell 4 3" xfId="45020" xr:uid="{00000000-0005-0000-0000-0000106A0000}"/>
    <cellStyle name="Linked Cell 4 4" xfId="46220" xr:uid="{00000000-0005-0000-0000-0000116A0000}"/>
    <cellStyle name="Neutral 2" xfId="351" xr:uid="{00000000-0005-0000-0000-0000126A0000}"/>
    <cellStyle name="Neutral 2 2" xfId="352" xr:uid="{00000000-0005-0000-0000-0000136A0000}"/>
    <cellStyle name="Neutral 2 2 2" xfId="1091" xr:uid="{00000000-0005-0000-0000-0000146A0000}"/>
    <cellStyle name="Neutral 2 2 3" xfId="27675" xr:uid="{00000000-0005-0000-0000-0000156A0000}"/>
    <cellStyle name="Neutral 2 3" xfId="353" xr:uid="{00000000-0005-0000-0000-0000166A0000}"/>
    <cellStyle name="Neutral 2 3 2" xfId="27676" xr:uid="{00000000-0005-0000-0000-0000176A0000}"/>
    <cellStyle name="Neutral 2 4" xfId="1092" xr:uid="{00000000-0005-0000-0000-0000186A0000}"/>
    <cellStyle name="Neutral 2 4 2" xfId="27677" xr:uid="{00000000-0005-0000-0000-0000196A0000}"/>
    <cellStyle name="Neutral 3" xfId="354" xr:uid="{00000000-0005-0000-0000-00001A6A0000}"/>
    <cellStyle name="Neutral 3 2" xfId="355" xr:uid="{00000000-0005-0000-0000-00001B6A0000}"/>
    <cellStyle name="Neutral 3 2 2" xfId="27678" xr:uid="{00000000-0005-0000-0000-00001C6A0000}"/>
    <cellStyle name="Neutral 3 3" xfId="27679" xr:uid="{00000000-0005-0000-0000-00001D6A0000}"/>
    <cellStyle name="Neutral 4" xfId="679" xr:uid="{00000000-0005-0000-0000-00001E6A0000}"/>
    <cellStyle name="Neutral 4 2" xfId="27680" xr:uid="{00000000-0005-0000-0000-00001F6A0000}"/>
    <cellStyle name="Neutral 4 3" xfId="45021" xr:uid="{00000000-0005-0000-0000-0000206A0000}"/>
    <cellStyle name="Neutral 4 4" xfId="46221" xr:uid="{00000000-0005-0000-0000-0000216A0000}"/>
    <cellStyle name="New_normal" xfId="356" xr:uid="{00000000-0005-0000-0000-0000226A0000}"/>
    <cellStyle name="Normal" xfId="0" builtinId="0"/>
    <cellStyle name="Normal - Style1" xfId="31" xr:uid="{00000000-0005-0000-0000-0000246A0000}"/>
    <cellStyle name="Normal - Style2" xfId="32" xr:uid="{00000000-0005-0000-0000-0000256A0000}"/>
    <cellStyle name="Normal - Style3" xfId="33" xr:uid="{00000000-0005-0000-0000-0000266A0000}"/>
    <cellStyle name="Normal - Style4" xfId="34" xr:uid="{00000000-0005-0000-0000-0000276A0000}"/>
    <cellStyle name="Normal - Style5" xfId="35" xr:uid="{00000000-0005-0000-0000-0000286A0000}"/>
    <cellStyle name="Normal - Style6" xfId="1093" xr:uid="{00000000-0005-0000-0000-0000296A0000}"/>
    <cellStyle name="Normal - Style7" xfId="1094" xr:uid="{00000000-0005-0000-0000-00002A6A0000}"/>
    <cellStyle name="Normal - Style8" xfId="1095" xr:uid="{00000000-0005-0000-0000-00002B6A0000}"/>
    <cellStyle name="Normal 10" xfId="36" xr:uid="{00000000-0005-0000-0000-00002C6A0000}"/>
    <cellStyle name="Normal 10 10" xfId="27681" xr:uid="{00000000-0005-0000-0000-00002D6A0000}"/>
    <cellStyle name="Normal 10 10 2" xfId="38938" xr:uid="{00000000-0005-0000-0000-00002E6A0000}"/>
    <cellStyle name="Normal 10 11" xfId="27682" xr:uid="{00000000-0005-0000-0000-00002F6A0000}"/>
    <cellStyle name="Normal 10 11 2" xfId="42566" xr:uid="{00000000-0005-0000-0000-0000306A0000}"/>
    <cellStyle name="Normal 10 12" xfId="42567" xr:uid="{00000000-0005-0000-0000-0000316A0000}"/>
    <cellStyle name="Normal 10 13" xfId="46290" xr:uid="{00000000-0005-0000-0000-0000326A0000}"/>
    <cellStyle name="Normal 10 2" xfId="65" xr:uid="{00000000-0005-0000-0000-0000336A0000}"/>
    <cellStyle name="Normal 10 2 2" xfId="357" xr:uid="{00000000-0005-0000-0000-0000346A0000}"/>
    <cellStyle name="Normal 10 2 2 2" xfId="1096" xr:uid="{00000000-0005-0000-0000-0000356A0000}"/>
    <cellStyle name="Normal 10 2 2 2 2" xfId="1097" xr:uid="{00000000-0005-0000-0000-0000366A0000}"/>
    <cellStyle name="Normal 10 2 2 2 2 2" xfId="27683" xr:uid="{00000000-0005-0000-0000-0000376A0000}"/>
    <cellStyle name="Normal 10 2 2 2 2 2 2" xfId="27684" xr:uid="{00000000-0005-0000-0000-0000386A0000}"/>
    <cellStyle name="Normal 10 2 2 2 2 2 2 2" xfId="27685" xr:uid="{00000000-0005-0000-0000-0000396A0000}"/>
    <cellStyle name="Normal 10 2 2 2 2 2 2 2 2" xfId="38939" xr:uid="{00000000-0005-0000-0000-00003A6A0000}"/>
    <cellStyle name="Normal 10 2 2 2 2 2 2 3" xfId="27686" xr:uid="{00000000-0005-0000-0000-00003B6A0000}"/>
    <cellStyle name="Normal 10 2 2 2 2 2 3" xfId="27687" xr:uid="{00000000-0005-0000-0000-00003C6A0000}"/>
    <cellStyle name="Normal 10 2 2 2 2 2 3 2" xfId="27688" xr:uid="{00000000-0005-0000-0000-00003D6A0000}"/>
    <cellStyle name="Normal 10 2 2 2 2 2 3 2 2" xfId="38940" xr:uid="{00000000-0005-0000-0000-00003E6A0000}"/>
    <cellStyle name="Normal 10 2 2 2 2 2 3 3" xfId="27689" xr:uid="{00000000-0005-0000-0000-00003F6A0000}"/>
    <cellStyle name="Normal 10 2 2 2 2 2 4" xfId="27690" xr:uid="{00000000-0005-0000-0000-0000406A0000}"/>
    <cellStyle name="Normal 10 2 2 2 2 2 4 2" xfId="38941" xr:uid="{00000000-0005-0000-0000-0000416A0000}"/>
    <cellStyle name="Normal 10 2 2 2 2 2 5" xfId="27691" xr:uid="{00000000-0005-0000-0000-0000426A0000}"/>
    <cellStyle name="Normal 10 2 2 2 2 3" xfId="27692" xr:uid="{00000000-0005-0000-0000-0000436A0000}"/>
    <cellStyle name="Normal 10 2 2 2 2 3 2" xfId="27693" xr:uid="{00000000-0005-0000-0000-0000446A0000}"/>
    <cellStyle name="Normal 10 2 2 2 2 3 2 2" xfId="38942" xr:uid="{00000000-0005-0000-0000-0000456A0000}"/>
    <cellStyle name="Normal 10 2 2 2 2 3 3" xfId="27694" xr:uid="{00000000-0005-0000-0000-0000466A0000}"/>
    <cellStyle name="Normal 10 2 2 2 2 4" xfId="27695" xr:uid="{00000000-0005-0000-0000-0000476A0000}"/>
    <cellStyle name="Normal 10 2 2 2 2 4 2" xfId="27696" xr:uid="{00000000-0005-0000-0000-0000486A0000}"/>
    <cellStyle name="Normal 10 2 2 2 2 4 2 2" xfId="38943" xr:uid="{00000000-0005-0000-0000-0000496A0000}"/>
    <cellStyle name="Normal 10 2 2 2 2 4 3" xfId="27697" xr:uid="{00000000-0005-0000-0000-00004A6A0000}"/>
    <cellStyle name="Normal 10 2 2 2 2 5" xfId="27698" xr:uid="{00000000-0005-0000-0000-00004B6A0000}"/>
    <cellStyle name="Normal 10 2 2 2 2 5 2" xfId="38944" xr:uid="{00000000-0005-0000-0000-00004C6A0000}"/>
    <cellStyle name="Normal 10 2 2 2 2 6" xfId="27699" xr:uid="{00000000-0005-0000-0000-00004D6A0000}"/>
    <cellStyle name="Normal 10 2 2 2 2 7" xfId="45022" xr:uid="{00000000-0005-0000-0000-00004E6A0000}"/>
    <cellStyle name="Normal 10 2 2 2 3" xfId="27700" xr:uid="{00000000-0005-0000-0000-00004F6A0000}"/>
    <cellStyle name="Normal 10 2 2 2 3 2" xfId="27701" xr:uid="{00000000-0005-0000-0000-0000506A0000}"/>
    <cellStyle name="Normal 10 2 2 2 3 2 2" xfId="27702" xr:uid="{00000000-0005-0000-0000-0000516A0000}"/>
    <cellStyle name="Normal 10 2 2 2 3 2 2 2" xfId="38945" xr:uid="{00000000-0005-0000-0000-0000526A0000}"/>
    <cellStyle name="Normal 10 2 2 2 3 2 3" xfId="27703" xr:uid="{00000000-0005-0000-0000-0000536A0000}"/>
    <cellStyle name="Normal 10 2 2 2 3 3" xfId="27704" xr:uid="{00000000-0005-0000-0000-0000546A0000}"/>
    <cellStyle name="Normal 10 2 2 2 3 3 2" xfId="27705" xr:uid="{00000000-0005-0000-0000-0000556A0000}"/>
    <cellStyle name="Normal 10 2 2 2 3 3 2 2" xfId="38946" xr:uid="{00000000-0005-0000-0000-0000566A0000}"/>
    <cellStyle name="Normal 10 2 2 2 3 3 3" xfId="27706" xr:uid="{00000000-0005-0000-0000-0000576A0000}"/>
    <cellStyle name="Normal 10 2 2 2 3 4" xfId="27707" xr:uid="{00000000-0005-0000-0000-0000586A0000}"/>
    <cellStyle name="Normal 10 2 2 2 3 4 2" xfId="38947" xr:uid="{00000000-0005-0000-0000-0000596A0000}"/>
    <cellStyle name="Normal 10 2 2 2 3 5" xfId="27708" xr:uid="{00000000-0005-0000-0000-00005A6A0000}"/>
    <cellStyle name="Normal 10 2 2 2 4" xfId="27709" xr:uid="{00000000-0005-0000-0000-00005B6A0000}"/>
    <cellStyle name="Normal 10 2 2 2 4 2" xfId="27710" xr:uid="{00000000-0005-0000-0000-00005C6A0000}"/>
    <cellStyle name="Normal 10 2 2 2 4 2 2" xfId="38948" xr:uid="{00000000-0005-0000-0000-00005D6A0000}"/>
    <cellStyle name="Normal 10 2 2 2 4 3" xfId="27711" xr:uid="{00000000-0005-0000-0000-00005E6A0000}"/>
    <cellStyle name="Normal 10 2 2 2 5" xfId="27712" xr:uid="{00000000-0005-0000-0000-00005F6A0000}"/>
    <cellStyle name="Normal 10 2 2 2 5 2" xfId="27713" xr:uid="{00000000-0005-0000-0000-0000606A0000}"/>
    <cellStyle name="Normal 10 2 2 2 5 2 2" xfId="38949" xr:uid="{00000000-0005-0000-0000-0000616A0000}"/>
    <cellStyle name="Normal 10 2 2 2 5 3" xfId="27714" xr:uid="{00000000-0005-0000-0000-0000626A0000}"/>
    <cellStyle name="Normal 10 2 2 2 6" xfId="27715" xr:uid="{00000000-0005-0000-0000-0000636A0000}"/>
    <cellStyle name="Normal 10 2 2 2 6 2" xfId="38950" xr:uid="{00000000-0005-0000-0000-0000646A0000}"/>
    <cellStyle name="Normal 10 2 2 2 7" xfId="27716" xr:uid="{00000000-0005-0000-0000-0000656A0000}"/>
    <cellStyle name="Normal 10 2 2 2 8" xfId="45023" xr:uid="{00000000-0005-0000-0000-0000666A0000}"/>
    <cellStyle name="Normal 10 2 2 3" xfId="1098" xr:uid="{00000000-0005-0000-0000-0000676A0000}"/>
    <cellStyle name="Normal 10 2 2 3 2" xfId="27717" xr:uid="{00000000-0005-0000-0000-0000686A0000}"/>
    <cellStyle name="Normal 10 2 2 3 2 2" xfId="27718" xr:uid="{00000000-0005-0000-0000-0000696A0000}"/>
    <cellStyle name="Normal 10 2 2 3 2 2 2" xfId="27719" xr:uid="{00000000-0005-0000-0000-00006A6A0000}"/>
    <cellStyle name="Normal 10 2 2 3 2 2 2 2" xfId="38951" xr:uid="{00000000-0005-0000-0000-00006B6A0000}"/>
    <cellStyle name="Normal 10 2 2 3 2 2 3" xfId="27720" xr:uid="{00000000-0005-0000-0000-00006C6A0000}"/>
    <cellStyle name="Normal 10 2 2 3 2 3" xfId="27721" xr:uid="{00000000-0005-0000-0000-00006D6A0000}"/>
    <cellStyle name="Normal 10 2 2 3 2 3 2" xfId="27722" xr:uid="{00000000-0005-0000-0000-00006E6A0000}"/>
    <cellStyle name="Normal 10 2 2 3 2 3 2 2" xfId="38952" xr:uid="{00000000-0005-0000-0000-00006F6A0000}"/>
    <cellStyle name="Normal 10 2 2 3 2 3 3" xfId="27723" xr:uid="{00000000-0005-0000-0000-0000706A0000}"/>
    <cellStyle name="Normal 10 2 2 3 2 4" xfId="27724" xr:uid="{00000000-0005-0000-0000-0000716A0000}"/>
    <cellStyle name="Normal 10 2 2 3 2 4 2" xfId="38953" xr:uid="{00000000-0005-0000-0000-0000726A0000}"/>
    <cellStyle name="Normal 10 2 2 3 2 5" xfId="27725" xr:uid="{00000000-0005-0000-0000-0000736A0000}"/>
    <cellStyle name="Normal 10 2 2 3 3" xfId="27726" xr:uid="{00000000-0005-0000-0000-0000746A0000}"/>
    <cellStyle name="Normal 10 2 2 3 3 2" xfId="27727" xr:uid="{00000000-0005-0000-0000-0000756A0000}"/>
    <cellStyle name="Normal 10 2 2 3 3 2 2" xfId="38954" xr:uid="{00000000-0005-0000-0000-0000766A0000}"/>
    <cellStyle name="Normal 10 2 2 3 3 3" xfId="27728" xr:uid="{00000000-0005-0000-0000-0000776A0000}"/>
    <cellStyle name="Normal 10 2 2 3 4" xfId="27729" xr:uid="{00000000-0005-0000-0000-0000786A0000}"/>
    <cellStyle name="Normal 10 2 2 3 4 2" xfId="27730" xr:uid="{00000000-0005-0000-0000-0000796A0000}"/>
    <cellStyle name="Normal 10 2 2 3 4 2 2" xfId="38955" xr:uid="{00000000-0005-0000-0000-00007A6A0000}"/>
    <cellStyle name="Normal 10 2 2 3 4 3" xfId="27731" xr:uid="{00000000-0005-0000-0000-00007B6A0000}"/>
    <cellStyle name="Normal 10 2 2 3 5" xfId="27732" xr:uid="{00000000-0005-0000-0000-00007C6A0000}"/>
    <cellStyle name="Normal 10 2 2 3 5 2" xfId="38956" xr:uid="{00000000-0005-0000-0000-00007D6A0000}"/>
    <cellStyle name="Normal 10 2 2 3 6" xfId="27733" xr:uid="{00000000-0005-0000-0000-00007E6A0000}"/>
    <cellStyle name="Normal 10 2 2 3 7" xfId="45024" xr:uid="{00000000-0005-0000-0000-00007F6A0000}"/>
    <cellStyle name="Normal 10 2 2 4" xfId="27734" xr:uid="{00000000-0005-0000-0000-0000806A0000}"/>
    <cellStyle name="Normal 10 2 2 4 2" xfId="27735" xr:uid="{00000000-0005-0000-0000-0000816A0000}"/>
    <cellStyle name="Normal 10 2 2 4 2 2" xfId="27736" xr:uid="{00000000-0005-0000-0000-0000826A0000}"/>
    <cellStyle name="Normal 10 2 2 4 2 2 2" xfId="38957" xr:uid="{00000000-0005-0000-0000-0000836A0000}"/>
    <cellStyle name="Normal 10 2 2 4 2 3" xfId="27737" xr:uid="{00000000-0005-0000-0000-0000846A0000}"/>
    <cellStyle name="Normal 10 2 2 4 3" xfId="27738" xr:uid="{00000000-0005-0000-0000-0000856A0000}"/>
    <cellStyle name="Normal 10 2 2 4 3 2" xfId="27739" xr:uid="{00000000-0005-0000-0000-0000866A0000}"/>
    <cellStyle name="Normal 10 2 2 4 3 2 2" xfId="38958" xr:uid="{00000000-0005-0000-0000-0000876A0000}"/>
    <cellStyle name="Normal 10 2 2 4 3 3" xfId="27740" xr:uid="{00000000-0005-0000-0000-0000886A0000}"/>
    <cellStyle name="Normal 10 2 2 4 4" xfId="27741" xr:uid="{00000000-0005-0000-0000-0000896A0000}"/>
    <cellStyle name="Normal 10 2 2 4 4 2" xfId="38959" xr:uid="{00000000-0005-0000-0000-00008A6A0000}"/>
    <cellStyle name="Normal 10 2 2 4 5" xfId="27742" xr:uid="{00000000-0005-0000-0000-00008B6A0000}"/>
    <cellStyle name="Normal 10 2 2 5" xfId="27743" xr:uid="{00000000-0005-0000-0000-00008C6A0000}"/>
    <cellStyle name="Normal 10 2 2 5 2" xfId="27744" xr:uid="{00000000-0005-0000-0000-00008D6A0000}"/>
    <cellStyle name="Normal 10 2 2 5 2 2" xfId="38960" xr:uid="{00000000-0005-0000-0000-00008E6A0000}"/>
    <cellStyle name="Normal 10 2 2 5 3" xfId="27745" xr:uid="{00000000-0005-0000-0000-00008F6A0000}"/>
    <cellStyle name="Normal 10 2 2 6" xfId="27746" xr:uid="{00000000-0005-0000-0000-0000906A0000}"/>
    <cellStyle name="Normal 10 2 2 6 2" xfId="27747" xr:uid="{00000000-0005-0000-0000-0000916A0000}"/>
    <cellStyle name="Normal 10 2 2 6 2 2" xfId="38961" xr:uid="{00000000-0005-0000-0000-0000926A0000}"/>
    <cellStyle name="Normal 10 2 2 6 3" xfId="27748" xr:uid="{00000000-0005-0000-0000-0000936A0000}"/>
    <cellStyle name="Normal 10 2 2 7" xfId="27749" xr:uid="{00000000-0005-0000-0000-0000946A0000}"/>
    <cellStyle name="Normal 10 2 2 7 2" xfId="38962" xr:uid="{00000000-0005-0000-0000-0000956A0000}"/>
    <cellStyle name="Normal 10 2 2 8" xfId="27750" xr:uid="{00000000-0005-0000-0000-0000966A0000}"/>
    <cellStyle name="Normal 10 2 2 9" xfId="45025" xr:uid="{00000000-0005-0000-0000-0000976A0000}"/>
    <cellStyle name="Normal 10 2 3" xfId="358" xr:uid="{00000000-0005-0000-0000-0000986A0000}"/>
    <cellStyle name="Normal 10 2 3 2" xfId="1099" xr:uid="{00000000-0005-0000-0000-0000996A0000}"/>
    <cellStyle name="Normal 10 2 3 2 2" xfId="27751" xr:uid="{00000000-0005-0000-0000-00009A6A0000}"/>
    <cellStyle name="Normal 10 2 3 2 2 2" xfId="27752" xr:uid="{00000000-0005-0000-0000-00009B6A0000}"/>
    <cellStyle name="Normal 10 2 3 2 2 2 2" xfId="27753" xr:uid="{00000000-0005-0000-0000-00009C6A0000}"/>
    <cellStyle name="Normal 10 2 3 2 2 2 2 2" xfId="38963" xr:uid="{00000000-0005-0000-0000-00009D6A0000}"/>
    <cellStyle name="Normal 10 2 3 2 2 2 3" xfId="27754" xr:uid="{00000000-0005-0000-0000-00009E6A0000}"/>
    <cellStyle name="Normal 10 2 3 2 2 3" xfId="27755" xr:uid="{00000000-0005-0000-0000-00009F6A0000}"/>
    <cellStyle name="Normal 10 2 3 2 2 3 2" xfId="27756" xr:uid="{00000000-0005-0000-0000-0000A06A0000}"/>
    <cellStyle name="Normal 10 2 3 2 2 3 2 2" xfId="38964" xr:uid="{00000000-0005-0000-0000-0000A16A0000}"/>
    <cellStyle name="Normal 10 2 3 2 2 3 3" xfId="27757" xr:uid="{00000000-0005-0000-0000-0000A26A0000}"/>
    <cellStyle name="Normal 10 2 3 2 2 4" xfId="27758" xr:uid="{00000000-0005-0000-0000-0000A36A0000}"/>
    <cellStyle name="Normal 10 2 3 2 2 4 2" xfId="38965" xr:uid="{00000000-0005-0000-0000-0000A46A0000}"/>
    <cellStyle name="Normal 10 2 3 2 2 5" xfId="27759" xr:uid="{00000000-0005-0000-0000-0000A56A0000}"/>
    <cellStyle name="Normal 10 2 3 2 3" xfId="27760" xr:uid="{00000000-0005-0000-0000-0000A66A0000}"/>
    <cellStyle name="Normal 10 2 3 2 3 2" xfId="27761" xr:uid="{00000000-0005-0000-0000-0000A76A0000}"/>
    <cellStyle name="Normal 10 2 3 2 3 2 2" xfId="38966" xr:uid="{00000000-0005-0000-0000-0000A86A0000}"/>
    <cellStyle name="Normal 10 2 3 2 3 3" xfId="27762" xr:uid="{00000000-0005-0000-0000-0000A96A0000}"/>
    <cellStyle name="Normal 10 2 3 2 4" xfId="27763" xr:uid="{00000000-0005-0000-0000-0000AA6A0000}"/>
    <cellStyle name="Normal 10 2 3 2 4 2" xfId="27764" xr:uid="{00000000-0005-0000-0000-0000AB6A0000}"/>
    <cellStyle name="Normal 10 2 3 2 4 2 2" xfId="38967" xr:uid="{00000000-0005-0000-0000-0000AC6A0000}"/>
    <cellStyle name="Normal 10 2 3 2 4 3" xfId="27765" xr:uid="{00000000-0005-0000-0000-0000AD6A0000}"/>
    <cellStyle name="Normal 10 2 3 2 5" xfId="27766" xr:uid="{00000000-0005-0000-0000-0000AE6A0000}"/>
    <cellStyle name="Normal 10 2 3 2 5 2" xfId="38968" xr:uid="{00000000-0005-0000-0000-0000AF6A0000}"/>
    <cellStyle name="Normal 10 2 3 2 6" xfId="27767" xr:uid="{00000000-0005-0000-0000-0000B06A0000}"/>
    <cellStyle name="Normal 10 2 3 2 7" xfId="45026" xr:uid="{00000000-0005-0000-0000-0000B16A0000}"/>
    <cellStyle name="Normal 10 2 3 3" xfId="1100" xr:uid="{00000000-0005-0000-0000-0000B26A0000}"/>
    <cellStyle name="Normal 10 2 3 3 2" xfId="27768" xr:uid="{00000000-0005-0000-0000-0000B36A0000}"/>
    <cellStyle name="Normal 10 2 3 3 2 2" xfId="27769" xr:uid="{00000000-0005-0000-0000-0000B46A0000}"/>
    <cellStyle name="Normal 10 2 3 3 2 2 2" xfId="38969" xr:uid="{00000000-0005-0000-0000-0000B56A0000}"/>
    <cellStyle name="Normal 10 2 3 3 2 3" xfId="27770" xr:uid="{00000000-0005-0000-0000-0000B66A0000}"/>
    <cellStyle name="Normal 10 2 3 3 3" xfId="27771" xr:uid="{00000000-0005-0000-0000-0000B76A0000}"/>
    <cellStyle name="Normal 10 2 3 3 3 2" xfId="27772" xr:uid="{00000000-0005-0000-0000-0000B86A0000}"/>
    <cellStyle name="Normal 10 2 3 3 3 2 2" xfId="38970" xr:uid="{00000000-0005-0000-0000-0000B96A0000}"/>
    <cellStyle name="Normal 10 2 3 3 3 3" xfId="27773" xr:uid="{00000000-0005-0000-0000-0000BA6A0000}"/>
    <cellStyle name="Normal 10 2 3 3 4" xfId="27774" xr:uid="{00000000-0005-0000-0000-0000BB6A0000}"/>
    <cellStyle name="Normal 10 2 3 3 4 2" xfId="38971" xr:uid="{00000000-0005-0000-0000-0000BC6A0000}"/>
    <cellStyle name="Normal 10 2 3 3 5" xfId="27775" xr:uid="{00000000-0005-0000-0000-0000BD6A0000}"/>
    <cellStyle name="Normal 10 2 3 3 6" xfId="45027" xr:uid="{00000000-0005-0000-0000-0000BE6A0000}"/>
    <cellStyle name="Normal 10 2 3 4" xfId="1101" xr:uid="{00000000-0005-0000-0000-0000BF6A0000}"/>
    <cellStyle name="Normal 10 2 3 4 2" xfId="27776" xr:uid="{00000000-0005-0000-0000-0000C06A0000}"/>
    <cellStyle name="Normal 10 2 3 4 2 2" xfId="38972" xr:uid="{00000000-0005-0000-0000-0000C16A0000}"/>
    <cellStyle name="Normal 10 2 3 4 3" xfId="27777" xr:uid="{00000000-0005-0000-0000-0000C26A0000}"/>
    <cellStyle name="Normal 10 2 3 5" xfId="27778" xr:uid="{00000000-0005-0000-0000-0000C36A0000}"/>
    <cellStyle name="Normal 10 2 3 5 2" xfId="27779" xr:uid="{00000000-0005-0000-0000-0000C46A0000}"/>
    <cellStyle name="Normal 10 2 3 5 2 2" xfId="38973" xr:uid="{00000000-0005-0000-0000-0000C56A0000}"/>
    <cellStyle name="Normal 10 2 3 5 3" xfId="27780" xr:uid="{00000000-0005-0000-0000-0000C66A0000}"/>
    <cellStyle name="Normal 10 2 3 5 4" xfId="27781" xr:uid="{00000000-0005-0000-0000-0000C76A0000}"/>
    <cellStyle name="Normal 10 2 3 5 5" xfId="44557" xr:uid="{00000000-0005-0000-0000-0000C86A0000}"/>
    <cellStyle name="Normal 10 2 3 5 6" xfId="45028" xr:uid="{00000000-0005-0000-0000-0000C96A0000}"/>
    <cellStyle name="Normal 10 2 3 6" xfId="27782" xr:uid="{00000000-0005-0000-0000-0000CA6A0000}"/>
    <cellStyle name="Normal 10 2 3 6 2" xfId="38974" xr:uid="{00000000-0005-0000-0000-0000CB6A0000}"/>
    <cellStyle name="Normal 10 2 3 7" xfId="27783" xr:uid="{00000000-0005-0000-0000-0000CC6A0000}"/>
    <cellStyle name="Normal 10 2 4" xfId="359" xr:uid="{00000000-0005-0000-0000-0000CD6A0000}"/>
    <cellStyle name="Normal 10 2 4 2" xfId="1102" xr:uid="{00000000-0005-0000-0000-0000CE6A0000}"/>
    <cellStyle name="Normal 10 2 4 2 2" xfId="27784" xr:uid="{00000000-0005-0000-0000-0000CF6A0000}"/>
    <cellStyle name="Normal 10 2 4 2 2 2" xfId="27785" xr:uid="{00000000-0005-0000-0000-0000D06A0000}"/>
    <cellStyle name="Normal 10 2 4 2 2 2 2" xfId="38975" xr:uid="{00000000-0005-0000-0000-0000D16A0000}"/>
    <cellStyle name="Normal 10 2 4 2 2 3" xfId="27786" xr:uid="{00000000-0005-0000-0000-0000D26A0000}"/>
    <cellStyle name="Normal 10 2 4 2 2 4" xfId="27787" xr:uid="{00000000-0005-0000-0000-0000D36A0000}"/>
    <cellStyle name="Normal 10 2 4 2 2 5" xfId="44558" xr:uid="{00000000-0005-0000-0000-0000D46A0000}"/>
    <cellStyle name="Normal 10 2 4 2 3" xfId="27788" xr:uid="{00000000-0005-0000-0000-0000D56A0000}"/>
    <cellStyle name="Normal 10 2 4 2 3 2" xfId="27789" xr:uid="{00000000-0005-0000-0000-0000D66A0000}"/>
    <cellStyle name="Normal 10 2 4 2 3 2 2" xfId="38976" xr:uid="{00000000-0005-0000-0000-0000D76A0000}"/>
    <cellStyle name="Normal 10 2 4 2 3 3" xfId="27790" xr:uid="{00000000-0005-0000-0000-0000D86A0000}"/>
    <cellStyle name="Normal 10 2 4 2 4" xfId="27791" xr:uid="{00000000-0005-0000-0000-0000D96A0000}"/>
    <cellStyle name="Normal 10 2 4 2 4 2" xfId="38977" xr:uid="{00000000-0005-0000-0000-0000DA6A0000}"/>
    <cellStyle name="Normal 10 2 4 2 5" xfId="27792" xr:uid="{00000000-0005-0000-0000-0000DB6A0000}"/>
    <cellStyle name="Normal 10 2 4 3" xfId="27793" xr:uid="{00000000-0005-0000-0000-0000DC6A0000}"/>
    <cellStyle name="Normal 10 2 4 3 2" xfId="27794" xr:uid="{00000000-0005-0000-0000-0000DD6A0000}"/>
    <cellStyle name="Normal 10 2 4 3 2 2" xfId="38978" xr:uid="{00000000-0005-0000-0000-0000DE6A0000}"/>
    <cellStyle name="Normal 10 2 4 3 3" xfId="27795" xr:uid="{00000000-0005-0000-0000-0000DF6A0000}"/>
    <cellStyle name="Normal 10 2 4 4" xfId="27796" xr:uid="{00000000-0005-0000-0000-0000E06A0000}"/>
    <cellStyle name="Normal 10 2 4 4 2" xfId="27797" xr:uid="{00000000-0005-0000-0000-0000E16A0000}"/>
    <cellStyle name="Normal 10 2 4 4 2 2" xfId="38979" xr:uid="{00000000-0005-0000-0000-0000E26A0000}"/>
    <cellStyle name="Normal 10 2 4 4 3" xfId="27798" xr:uid="{00000000-0005-0000-0000-0000E36A0000}"/>
    <cellStyle name="Normal 10 2 4 5" xfId="27799" xr:uid="{00000000-0005-0000-0000-0000E46A0000}"/>
    <cellStyle name="Normal 10 2 4 5 2" xfId="38980" xr:uid="{00000000-0005-0000-0000-0000E56A0000}"/>
    <cellStyle name="Normal 10 2 4 6" xfId="27800" xr:uid="{00000000-0005-0000-0000-0000E66A0000}"/>
    <cellStyle name="Normal 10 2 5" xfId="360" xr:uid="{00000000-0005-0000-0000-0000E76A0000}"/>
    <cellStyle name="Normal 10 2 5 2" xfId="27801" xr:uid="{00000000-0005-0000-0000-0000E86A0000}"/>
    <cellStyle name="Normal 10 2 5 2 2" xfId="27802" xr:uid="{00000000-0005-0000-0000-0000E96A0000}"/>
    <cellStyle name="Normal 10 2 5 2 2 2" xfId="38981" xr:uid="{00000000-0005-0000-0000-0000EA6A0000}"/>
    <cellStyle name="Normal 10 2 5 2 3" xfId="27803" xr:uid="{00000000-0005-0000-0000-0000EB6A0000}"/>
    <cellStyle name="Normal 10 2 5 3" xfId="27804" xr:uid="{00000000-0005-0000-0000-0000EC6A0000}"/>
    <cellStyle name="Normal 10 2 5 3 2" xfId="27805" xr:uid="{00000000-0005-0000-0000-0000ED6A0000}"/>
    <cellStyle name="Normal 10 2 5 3 2 2" xfId="38982" xr:uid="{00000000-0005-0000-0000-0000EE6A0000}"/>
    <cellStyle name="Normal 10 2 5 3 3" xfId="27806" xr:uid="{00000000-0005-0000-0000-0000EF6A0000}"/>
    <cellStyle name="Normal 10 2 5 4" xfId="27807" xr:uid="{00000000-0005-0000-0000-0000F06A0000}"/>
    <cellStyle name="Normal 10 2 5 4 2" xfId="38983" xr:uid="{00000000-0005-0000-0000-0000F16A0000}"/>
    <cellStyle name="Normal 10 2 5 5" xfId="27808" xr:uid="{00000000-0005-0000-0000-0000F26A0000}"/>
    <cellStyle name="Normal 10 2 6" xfId="1103" xr:uid="{00000000-0005-0000-0000-0000F36A0000}"/>
    <cellStyle name="Normal 10 2 6 2" xfId="27809" xr:uid="{00000000-0005-0000-0000-0000F46A0000}"/>
    <cellStyle name="Normal 10 2 6 2 2" xfId="38984" xr:uid="{00000000-0005-0000-0000-0000F56A0000}"/>
    <cellStyle name="Normal 10 2 6 3" xfId="27810" xr:uid="{00000000-0005-0000-0000-0000F66A0000}"/>
    <cellStyle name="Normal 10 2 7" xfId="27811" xr:uid="{00000000-0005-0000-0000-0000F76A0000}"/>
    <cellStyle name="Normal 10 2 7 2" xfId="27812" xr:uid="{00000000-0005-0000-0000-0000F86A0000}"/>
    <cellStyle name="Normal 10 2 7 2 2" xfId="38985" xr:uid="{00000000-0005-0000-0000-0000F96A0000}"/>
    <cellStyle name="Normal 10 2 7 3" xfId="27813" xr:uid="{00000000-0005-0000-0000-0000FA6A0000}"/>
    <cellStyle name="Normal 10 2 8" xfId="27814" xr:uid="{00000000-0005-0000-0000-0000FB6A0000}"/>
    <cellStyle name="Normal 10 2 8 2" xfId="38986" xr:uid="{00000000-0005-0000-0000-0000FC6A0000}"/>
    <cellStyle name="Normal 10 2 9" xfId="27815" xr:uid="{00000000-0005-0000-0000-0000FD6A0000}"/>
    <cellStyle name="Normal 10 3" xfId="361" xr:uid="{00000000-0005-0000-0000-0000FE6A0000}"/>
    <cellStyle name="Normal 10 3 2" xfId="1104" xr:uid="{00000000-0005-0000-0000-0000FF6A0000}"/>
    <cellStyle name="Normal 10 3 2 2" xfId="1105" xr:uid="{00000000-0005-0000-0000-0000006B0000}"/>
    <cellStyle name="Normal 10 3 2 2 2" xfId="27816" xr:uid="{00000000-0005-0000-0000-0000016B0000}"/>
    <cellStyle name="Normal 10 3 2 2 2 2" xfId="27817" xr:uid="{00000000-0005-0000-0000-0000026B0000}"/>
    <cellStyle name="Normal 10 3 2 2 2 2 2" xfId="27818" xr:uid="{00000000-0005-0000-0000-0000036B0000}"/>
    <cellStyle name="Normal 10 3 2 2 2 2 2 2" xfId="38987" xr:uid="{00000000-0005-0000-0000-0000046B0000}"/>
    <cellStyle name="Normal 10 3 2 2 2 2 3" xfId="27819" xr:uid="{00000000-0005-0000-0000-0000056B0000}"/>
    <cellStyle name="Normal 10 3 2 2 2 3" xfId="27820" xr:uid="{00000000-0005-0000-0000-0000066B0000}"/>
    <cellStyle name="Normal 10 3 2 2 2 3 2" xfId="27821" xr:uid="{00000000-0005-0000-0000-0000076B0000}"/>
    <cellStyle name="Normal 10 3 2 2 2 3 2 2" xfId="38988" xr:uid="{00000000-0005-0000-0000-0000086B0000}"/>
    <cellStyle name="Normal 10 3 2 2 2 3 3" xfId="27822" xr:uid="{00000000-0005-0000-0000-0000096B0000}"/>
    <cellStyle name="Normal 10 3 2 2 2 4" xfId="27823" xr:uid="{00000000-0005-0000-0000-00000A6B0000}"/>
    <cellStyle name="Normal 10 3 2 2 2 4 2" xfId="38989" xr:uid="{00000000-0005-0000-0000-00000B6B0000}"/>
    <cellStyle name="Normal 10 3 2 2 2 5" xfId="27824" xr:uid="{00000000-0005-0000-0000-00000C6B0000}"/>
    <cellStyle name="Normal 10 3 2 2 3" xfId="27825" xr:uid="{00000000-0005-0000-0000-00000D6B0000}"/>
    <cellStyle name="Normal 10 3 2 2 3 2" xfId="27826" xr:uid="{00000000-0005-0000-0000-00000E6B0000}"/>
    <cellStyle name="Normal 10 3 2 2 3 2 2" xfId="38990" xr:uid="{00000000-0005-0000-0000-00000F6B0000}"/>
    <cellStyle name="Normal 10 3 2 2 3 3" xfId="27827" xr:uid="{00000000-0005-0000-0000-0000106B0000}"/>
    <cellStyle name="Normal 10 3 2 2 4" xfId="27828" xr:uid="{00000000-0005-0000-0000-0000116B0000}"/>
    <cellStyle name="Normal 10 3 2 2 4 2" xfId="27829" xr:uid="{00000000-0005-0000-0000-0000126B0000}"/>
    <cellStyle name="Normal 10 3 2 2 4 2 2" xfId="38991" xr:uid="{00000000-0005-0000-0000-0000136B0000}"/>
    <cellStyle name="Normal 10 3 2 2 4 3" xfId="27830" xr:uid="{00000000-0005-0000-0000-0000146B0000}"/>
    <cellStyle name="Normal 10 3 2 2 5" xfId="27831" xr:uid="{00000000-0005-0000-0000-0000156B0000}"/>
    <cellStyle name="Normal 10 3 2 2 5 2" xfId="38992" xr:uid="{00000000-0005-0000-0000-0000166B0000}"/>
    <cellStyle name="Normal 10 3 2 2 6" xfId="27832" xr:uid="{00000000-0005-0000-0000-0000176B0000}"/>
    <cellStyle name="Normal 10 3 2 2 7" xfId="45029" xr:uid="{00000000-0005-0000-0000-0000186B0000}"/>
    <cellStyle name="Normal 10 3 2 3" xfId="27833" xr:uid="{00000000-0005-0000-0000-0000196B0000}"/>
    <cellStyle name="Normal 10 3 2 3 2" xfId="27834" xr:uid="{00000000-0005-0000-0000-00001A6B0000}"/>
    <cellStyle name="Normal 10 3 2 3 2 2" xfId="27835" xr:uid="{00000000-0005-0000-0000-00001B6B0000}"/>
    <cellStyle name="Normal 10 3 2 3 2 2 2" xfId="38993" xr:uid="{00000000-0005-0000-0000-00001C6B0000}"/>
    <cellStyle name="Normal 10 3 2 3 2 3" xfId="27836" xr:uid="{00000000-0005-0000-0000-00001D6B0000}"/>
    <cellStyle name="Normal 10 3 2 3 3" xfId="27837" xr:uid="{00000000-0005-0000-0000-00001E6B0000}"/>
    <cellStyle name="Normal 10 3 2 3 3 2" xfId="27838" xr:uid="{00000000-0005-0000-0000-00001F6B0000}"/>
    <cellStyle name="Normal 10 3 2 3 3 2 2" xfId="38994" xr:uid="{00000000-0005-0000-0000-0000206B0000}"/>
    <cellStyle name="Normal 10 3 2 3 3 3" xfId="27839" xr:uid="{00000000-0005-0000-0000-0000216B0000}"/>
    <cellStyle name="Normal 10 3 2 3 4" xfId="27840" xr:uid="{00000000-0005-0000-0000-0000226B0000}"/>
    <cellStyle name="Normal 10 3 2 3 4 2" xfId="38995" xr:uid="{00000000-0005-0000-0000-0000236B0000}"/>
    <cellStyle name="Normal 10 3 2 3 5" xfId="27841" xr:uid="{00000000-0005-0000-0000-0000246B0000}"/>
    <cellStyle name="Normal 10 3 2 4" xfId="27842" xr:uid="{00000000-0005-0000-0000-0000256B0000}"/>
    <cellStyle name="Normal 10 3 2 4 2" xfId="27843" xr:uid="{00000000-0005-0000-0000-0000266B0000}"/>
    <cellStyle name="Normal 10 3 2 4 2 2" xfId="38996" xr:uid="{00000000-0005-0000-0000-0000276B0000}"/>
    <cellStyle name="Normal 10 3 2 4 3" xfId="27844" xr:uid="{00000000-0005-0000-0000-0000286B0000}"/>
    <cellStyle name="Normal 10 3 2 5" xfId="27845" xr:uid="{00000000-0005-0000-0000-0000296B0000}"/>
    <cellStyle name="Normal 10 3 2 5 2" xfId="27846" xr:uid="{00000000-0005-0000-0000-00002A6B0000}"/>
    <cellStyle name="Normal 10 3 2 5 2 2" xfId="38997" xr:uid="{00000000-0005-0000-0000-00002B6B0000}"/>
    <cellStyle name="Normal 10 3 2 5 3" xfId="27847" xr:uid="{00000000-0005-0000-0000-00002C6B0000}"/>
    <cellStyle name="Normal 10 3 2 6" xfId="27848" xr:uid="{00000000-0005-0000-0000-00002D6B0000}"/>
    <cellStyle name="Normal 10 3 2 6 2" xfId="38998" xr:uid="{00000000-0005-0000-0000-00002E6B0000}"/>
    <cellStyle name="Normal 10 3 2 7" xfId="27849" xr:uid="{00000000-0005-0000-0000-00002F6B0000}"/>
    <cellStyle name="Normal 10 3 2 8" xfId="38999" xr:uid="{00000000-0005-0000-0000-0000306B0000}"/>
    <cellStyle name="Normal 10 3 2 9" xfId="45030" xr:uid="{00000000-0005-0000-0000-0000316B0000}"/>
    <cellStyle name="Normal 10 3 3" xfId="1106" xr:uid="{00000000-0005-0000-0000-0000326B0000}"/>
    <cellStyle name="Normal 10 3 3 2" xfId="27850" xr:uid="{00000000-0005-0000-0000-0000336B0000}"/>
    <cellStyle name="Normal 10 3 3 2 2" xfId="27851" xr:uid="{00000000-0005-0000-0000-0000346B0000}"/>
    <cellStyle name="Normal 10 3 3 2 2 2" xfId="27852" xr:uid="{00000000-0005-0000-0000-0000356B0000}"/>
    <cellStyle name="Normal 10 3 3 2 2 2 2" xfId="39000" xr:uid="{00000000-0005-0000-0000-0000366B0000}"/>
    <cellStyle name="Normal 10 3 3 2 2 3" xfId="27853" xr:uid="{00000000-0005-0000-0000-0000376B0000}"/>
    <cellStyle name="Normal 10 3 3 2 3" xfId="27854" xr:uid="{00000000-0005-0000-0000-0000386B0000}"/>
    <cellStyle name="Normal 10 3 3 2 3 2" xfId="27855" xr:uid="{00000000-0005-0000-0000-0000396B0000}"/>
    <cellStyle name="Normal 10 3 3 2 3 2 2" xfId="39001" xr:uid="{00000000-0005-0000-0000-00003A6B0000}"/>
    <cellStyle name="Normal 10 3 3 2 3 3" xfId="27856" xr:uid="{00000000-0005-0000-0000-00003B6B0000}"/>
    <cellStyle name="Normal 10 3 3 2 4" xfId="27857" xr:uid="{00000000-0005-0000-0000-00003C6B0000}"/>
    <cellStyle name="Normal 10 3 3 2 4 2" xfId="39002" xr:uid="{00000000-0005-0000-0000-00003D6B0000}"/>
    <cellStyle name="Normal 10 3 3 2 5" xfId="27858" xr:uid="{00000000-0005-0000-0000-00003E6B0000}"/>
    <cellStyle name="Normal 10 3 3 3" xfId="27859" xr:uid="{00000000-0005-0000-0000-00003F6B0000}"/>
    <cellStyle name="Normal 10 3 3 3 2" xfId="27860" xr:uid="{00000000-0005-0000-0000-0000406B0000}"/>
    <cellStyle name="Normal 10 3 3 3 2 2" xfId="39003" xr:uid="{00000000-0005-0000-0000-0000416B0000}"/>
    <cellStyle name="Normal 10 3 3 3 3" xfId="27861" xr:uid="{00000000-0005-0000-0000-0000426B0000}"/>
    <cellStyle name="Normal 10 3 3 4" xfId="27862" xr:uid="{00000000-0005-0000-0000-0000436B0000}"/>
    <cellStyle name="Normal 10 3 3 4 2" xfId="27863" xr:uid="{00000000-0005-0000-0000-0000446B0000}"/>
    <cellStyle name="Normal 10 3 3 4 2 2" xfId="39004" xr:uid="{00000000-0005-0000-0000-0000456B0000}"/>
    <cellStyle name="Normal 10 3 3 4 3" xfId="27864" xr:uid="{00000000-0005-0000-0000-0000466B0000}"/>
    <cellStyle name="Normal 10 3 3 5" xfId="27865" xr:uid="{00000000-0005-0000-0000-0000476B0000}"/>
    <cellStyle name="Normal 10 3 3 5 2" xfId="39005" xr:uid="{00000000-0005-0000-0000-0000486B0000}"/>
    <cellStyle name="Normal 10 3 3 6" xfId="27866" xr:uid="{00000000-0005-0000-0000-0000496B0000}"/>
    <cellStyle name="Normal 10 3 3 7" xfId="45031" xr:uid="{00000000-0005-0000-0000-00004A6B0000}"/>
    <cellStyle name="Normal 10 3 4" xfId="1107" xr:uid="{00000000-0005-0000-0000-00004B6B0000}"/>
    <cellStyle name="Normal 10 3 4 2" xfId="27867" xr:uid="{00000000-0005-0000-0000-00004C6B0000}"/>
    <cellStyle name="Normal 10 3 4 2 2" xfId="27868" xr:uid="{00000000-0005-0000-0000-00004D6B0000}"/>
    <cellStyle name="Normal 10 3 4 2 2 2" xfId="39006" xr:uid="{00000000-0005-0000-0000-00004E6B0000}"/>
    <cellStyle name="Normal 10 3 4 2 3" xfId="27869" xr:uid="{00000000-0005-0000-0000-00004F6B0000}"/>
    <cellStyle name="Normal 10 3 4 3" xfId="27870" xr:uid="{00000000-0005-0000-0000-0000506B0000}"/>
    <cellStyle name="Normal 10 3 4 3 2" xfId="27871" xr:uid="{00000000-0005-0000-0000-0000516B0000}"/>
    <cellStyle name="Normal 10 3 4 3 2 2" xfId="39007" xr:uid="{00000000-0005-0000-0000-0000526B0000}"/>
    <cellStyle name="Normal 10 3 4 3 3" xfId="27872" xr:uid="{00000000-0005-0000-0000-0000536B0000}"/>
    <cellStyle name="Normal 10 3 4 4" xfId="27873" xr:uid="{00000000-0005-0000-0000-0000546B0000}"/>
    <cellStyle name="Normal 10 3 4 4 2" xfId="39008" xr:uid="{00000000-0005-0000-0000-0000556B0000}"/>
    <cellStyle name="Normal 10 3 4 5" xfId="27874" xr:uid="{00000000-0005-0000-0000-0000566B0000}"/>
    <cellStyle name="Normal 10 3 4 6" xfId="45032" xr:uid="{00000000-0005-0000-0000-0000576B0000}"/>
    <cellStyle name="Normal 10 3 5" xfId="1108" xr:uid="{00000000-0005-0000-0000-0000586B0000}"/>
    <cellStyle name="Normal 10 3 5 2" xfId="27875" xr:uid="{00000000-0005-0000-0000-0000596B0000}"/>
    <cellStyle name="Normal 10 3 5 2 2" xfId="39009" xr:uid="{00000000-0005-0000-0000-00005A6B0000}"/>
    <cellStyle name="Normal 10 3 5 3" xfId="27876" xr:uid="{00000000-0005-0000-0000-00005B6B0000}"/>
    <cellStyle name="Normal 10 3 5 4" xfId="45033" xr:uid="{00000000-0005-0000-0000-00005C6B0000}"/>
    <cellStyle name="Normal 10 3 6" xfId="1109" xr:uid="{00000000-0005-0000-0000-00005D6B0000}"/>
    <cellStyle name="Normal 10 3 6 2" xfId="27877" xr:uid="{00000000-0005-0000-0000-00005E6B0000}"/>
    <cellStyle name="Normal 10 3 6 2 2" xfId="39010" xr:uid="{00000000-0005-0000-0000-00005F6B0000}"/>
    <cellStyle name="Normal 10 3 6 3" xfId="27878" xr:uid="{00000000-0005-0000-0000-0000606B0000}"/>
    <cellStyle name="Normal 10 3 7" xfId="27879" xr:uid="{00000000-0005-0000-0000-0000616B0000}"/>
    <cellStyle name="Normal 10 3 7 2" xfId="39011" xr:uid="{00000000-0005-0000-0000-0000626B0000}"/>
    <cellStyle name="Normal 10 3 8" xfId="27880" xr:uid="{00000000-0005-0000-0000-0000636B0000}"/>
    <cellStyle name="Normal 10 4" xfId="1110" xr:uid="{00000000-0005-0000-0000-0000646B0000}"/>
    <cellStyle name="Normal 10 4 2" xfId="1111" xr:uid="{00000000-0005-0000-0000-0000656B0000}"/>
    <cellStyle name="Normal 10 4 2 2" xfId="27881" xr:uid="{00000000-0005-0000-0000-0000666B0000}"/>
    <cellStyle name="Normal 10 4 2 2 2" xfId="27882" xr:uid="{00000000-0005-0000-0000-0000676B0000}"/>
    <cellStyle name="Normal 10 4 2 2 2 2" xfId="27883" xr:uid="{00000000-0005-0000-0000-0000686B0000}"/>
    <cellStyle name="Normal 10 4 2 2 2 2 2" xfId="27884" xr:uid="{00000000-0005-0000-0000-0000696B0000}"/>
    <cellStyle name="Normal 10 4 2 2 2 2 2 2" xfId="39012" xr:uid="{00000000-0005-0000-0000-00006A6B0000}"/>
    <cellStyle name="Normal 10 4 2 2 2 2 3" xfId="27885" xr:uid="{00000000-0005-0000-0000-00006B6B0000}"/>
    <cellStyle name="Normal 10 4 2 2 2 3" xfId="27886" xr:uid="{00000000-0005-0000-0000-00006C6B0000}"/>
    <cellStyle name="Normal 10 4 2 2 2 3 2" xfId="27887" xr:uid="{00000000-0005-0000-0000-00006D6B0000}"/>
    <cellStyle name="Normal 10 4 2 2 2 3 2 2" xfId="39013" xr:uid="{00000000-0005-0000-0000-00006E6B0000}"/>
    <cellStyle name="Normal 10 4 2 2 2 3 3" xfId="27888" xr:uid="{00000000-0005-0000-0000-00006F6B0000}"/>
    <cellStyle name="Normal 10 4 2 2 2 4" xfId="27889" xr:uid="{00000000-0005-0000-0000-0000706B0000}"/>
    <cellStyle name="Normal 10 4 2 2 2 4 2" xfId="39014" xr:uid="{00000000-0005-0000-0000-0000716B0000}"/>
    <cellStyle name="Normal 10 4 2 2 2 5" xfId="27890" xr:uid="{00000000-0005-0000-0000-0000726B0000}"/>
    <cellStyle name="Normal 10 4 2 2 3" xfId="27891" xr:uid="{00000000-0005-0000-0000-0000736B0000}"/>
    <cellStyle name="Normal 10 4 2 2 3 2" xfId="27892" xr:uid="{00000000-0005-0000-0000-0000746B0000}"/>
    <cellStyle name="Normal 10 4 2 2 3 2 2" xfId="39015" xr:uid="{00000000-0005-0000-0000-0000756B0000}"/>
    <cellStyle name="Normal 10 4 2 2 3 3" xfId="27893" xr:uid="{00000000-0005-0000-0000-0000766B0000}"/>
    <cellStyle name="Normal 10 4 2 2 4" xfId="27894" xr:uid="{00000000-0005-0000-0000-0000776B0000}"/>
    <cellStyle name="Normal 10 4 2 2 4 2" xfId="27895" xr:uid="{00000000-0005-0000-0000-0000786B0000}"/>
    <cellStyle name="Normal 10 4 2 2 4 2 2" xfId="39016" xr:uid="{00000000-0005-0000-0000-0000796B0000}"/>
    <cellStyle name="Normal 10 4 2 2 4 3" xfId="27896" xr:uid="{00000000-0005-0000-0000-00007A6B0000}"/>
    <cellStyle name="Normal 10 4 2 2 5" xfId="27897" xr:uid="{00000000-0005-0000-0000-00007B6B0000}"/>
    <cellStyle name="Normal 10 4 2 2 5 2" xfId="39017" xr:uid="{00000000-0005-0000-0000-00007C6B0000}"/>
    <cellStyle name="Normal 10 4 2 2 6" xfId="27898" xr:uid="{00000000-0005-0000-0000-00007D6B0000}"/>
    <cellStyle name="Normal 10 4 2 3" xfId="27899" xr:uid="{00000000-0005-0000-0000-00007E6B0000}"/>
    <cellStyle name="Normal 10 4 2 3 2" xfId="27900" xr:uid="{00000000-0005-0000-0000-00007F6B0000}"/>
    <cellStyle name="Normal 10 4 2 3 2 2" xfId="27901" xr:uid="{00000000-0005-0000-0000-0000806B0000}"/>
    <cellStyle name="Normal 10 4 2 3 2 2 2" xfId="39018" xr:uid="{00000000-0005-0000-0000-0000816B0000}"/>
    <cellStyle name="Normal 10 4 2 3 2 3" xfId="27902" xr:uid="{00000000-0005-0000-0000-0000826B0000}"/>
    <cellStyle name="Normal 10 4 2 3 3" xfId="27903" xr:uid="{00000000-0005-0000-0000-0000836B0000}"/>
    <cellStyle name="Normal 10 4 2 3 3 2" xfId="27904" xr:uid="{00000000-0005-0000-0000-0000846B0000}"/>
    <cellStyle name="Normal 10 4 2 3 3 2 2" xfId="39019" xr:uid="{00000000-0005-0000-0000-0000856B0000}"/>
    <cellStyle name="Normal 10 4 2 3 3 3" xfId="27905" xr:uid="{00000000-0005-0000-0000-0000866B0000}"/>
    <cellStyle name="Normal 10 4 2 3 4" xfId="27906" xr:uid="{00000000-0005-0000-0000-0000876B0000}"/>
    <cellStyle name="Normal 10 4 2 3 4 2" xfId="39020" xr:uid="{00000000-0005-0000-0000-0000886B0000}"/>
    <cellStyle name="Normal 10 4 2 3 5" xfId="27907" xr:uid="{00000000-0005-0000-0000-0000896B0000}"/>
    <cellStyle name="Normal 10 4 2 4" xfId="27908" xr:uid="{00000000-0005-0000-0000-00008A6B0000}"/>
    <cellStyle name="Normal 10 4 2 4 2" xfId="27909" xr:uid="{00000000-0005-0000-0000-00008B6B0000}"/>
    <cellStyle name="Normal 10 4 2 4 2 2" xfId="39021" xr:uid="{00000000-0005-0000-0000-00008C6B0000}"/>
    <cellStyle name="Normal 10 4 2 4 3" xfId="27910" xr:uid="{00000000-0005-0000-0000-00008D6B0000}"/>
    <cellStyle name="Normal 10 4 2 5" xfId="27911" xr:uid="{00000000-0005-0000-0000-00008E6B0000}"/>
    <cellStyle name="Normal 10 4 2 5 2" xfId="27912" xr:uid="{00000000-0005-0000-0000-00008F6B0000}"/>
    <cellStyle name="Normal 10 4 2 5 2 2" xfId="39022" xr:uid="{00000000-0005-0000-0000-0000906B0000}"/>
    <cellStyle name="Normal 10 4 2 5 3" xfId="27913" xr:uid="{00000000-0005-0000-0000-0000916B0000}"/>
    <cellStyle name="Normal 10 4 2 6" xfId="27914" xr:uid="{00000000-0005-0000-0000-0000926B0000}"/>
    <cellStyle name="Normal 10 4 2 6 2" xfId="39023" xr:uid="{00000000-0005-0000-0000-0000936B0000}"/>
    <cellStyle name="Normal 10 4 2 7" xfId="27915" xr:uid="{00000000-0005-0000-0000-0000946B0000}"/>
    <cellStyle name="Normal 10 4 2 8" xfId="45034" xr:uid="{00000000-0005-0000-0000-0000956B0000}"/>
    <cellStyle name="Normal 10 4 3" xfId="1112" xr:uid="{00000000-0005-0000-0000-0000966B0000}"/>
    <cellStyle name="Normal 10 4 3 2" xfId="27916" xr:uid="{00000000-0005-0000-0000-0000976B0000}"/>
    <cellStyle name="Normal 10 4 3 2 2" xfId="27917" xr:uid="{00000000-0005-0000-0000-0000986B0000}"/>
    <cellStyle name="Normal 10 4 3 2 2 2" xfId="27918" xr:uid="{00000000-0005-0000-0000-0000996B0000}"/>
    <cellStyle name="Normal 10 4 3 2 2 2 2" xfId="39024" xr:uid="{00000000-0005-0000-0000-00009A6B0000}"/>
    <cellStyle name="Normal 10 4 3 2 2 3" xfId="27919" xr:uid="{00000000-0005-0000-0000-00009B6B0000}"/>
    <cellStyle name="Normal 10 4 3 2 3" xfId="27920" xr:uid="{00000000-0005-0000-0000-00009C6B0000}"/>
    <cellStyle name="Normal 10 4 3 2 3 2" xfId="27921" xr:uid="{00000000-0005-0000-0000-00009D6B0000}"/>
    <cellStyle name="Normal 10 4 3 2 3 2 2" xfId="39025" xr:uid="{00000000-0005-0000-0000-00009E6B0000}"/>
    <cellStyle name="Normal 10 4 3 2 3 3" xfId="27922" xr:uid="{00000000-0005-0000-0000-00009F6B0000}"/>
    <cellStyle name="Normal 10 4 3 2 4" xfId="27923" xr:uid="{00000000-0005-0000-0000-0000A06B0000}"/>
    <cellStyle name="Normal 10 4 3 2 4 2" xfId="39026" xr:uid="{00000000-0005-0000-0000-0000A16B0000}"/>
    <cellStyle name="Normal 10 4 3 2 5" xfId="27924" xr:uid="{00000000-0005-0000-0000-0000A26B0000}"/>
    <cellStyle name="Normal 10 4 3 3" xfId="27925" xr:uid="{00000000-0005-0000-0000-0000A36B0000}"/>
    <cellStyle name="Normal 10 4 3 3 2" xfId="27926" xr:uid="{00000000-0005-0000-0000-0000A46B0000}"/>
    <cellStyle name="Normal 10 4 3 3 2 2" xfId="39027" xr:uid="{00000000-0005-0000-0000-0000A56B0000}"/>
    <cellStyle name="Normal 10 4 3 3 3" xfId="27927" xr:uid="{00000000-0005-0000-0000-0000A66B0000}"/>
    <cellStyle name="Normal 10 4 3 4" xfId="27928" xr:uid="{00000000-0005-0000-0000-0000A76B0000}"/>
    <cellStyle name="Normal 10 4 3 4 2" xfId="27929" xr:uid="{00000000-0005-0000-0000-0000A86B0000}"/>
    <cellStyle name="Normal 10 4 3 4 2 2" xfId="39028" xr:uid="{00000000-0005-0000-0000-0000A96B0000}"/>
    <cellStyle name="Normal 10 4 3 4 3" xfId="27930" xr:uid="{00000000-0005-0000-0000-0000AA6B0000}"/>
    <cellStyle name="Normal 10 4 3 5" xfId="27931" xr:uid="{00000000-0005-0000-0000-0000AB6B0000}"/>
    <cellStyle name="Normal 10 4 3 5 2" xfId="39029" xr:uid="{00000000-0005-0000-0000-0000AC6B0000}"/>
    <cellStyle name="Normal 10 4 3 6" xfId="27932" xr:uid="{00000000-0005-0000-0000-0000AD6B0000}"/>
    <cellStyle name="Normal 10 4 3 7" xfId="45035" xr:uid="{00000000-0005-0000-0000-0000AE6B0000}"/>
    <cellStyle name="Normal 10 4 4" xfId="27933" xr:uid="{00000000-0005-0000-0000-0000AF6B0000}"/>
    <cellStyle name="Normal 10 4 4 2" xfId="27934" xr:uid="{00000000-0005-0000-0000-0000B06B0000}"/>
    <cellStyle name="Normal 10 4 4 2 2" xfId="27935" xr:uid="{00000000-0005-0000-0000-0000B16B0000}"/>
    <cellStyle name="Normal 10 4 4 2 2 2" xfId="39030" xr:uid="{00000000-0005-0000-0000-0000B26B0000}"/>
    <cellStyle name="Normal 10 4 4 2 3" xfId="27936" xr:uid="{00000000-0005-0000-0000-0000B36B0000}"/>
    <cellStyle name="Normal 10 4 4 3" xfId="27937" xr:uid="{00000000-0005-0000-0000-0000B46B0000}"/>
    <cellStyle name="Normal 10 4 4 3 2" xfId="27938" xr:uid="{00000000-0005-0000-0000-0000B56B0000}"/>
    <cellStyle name="Normal 10 4 4 3 2 2" xfId="39031" xr:uid="{00000000-0005-0000-0000-0000B66B0000}"/>
    <cellStyle name="Normal 10 4 4 3 3" xfId="27939" xr:uid="{00000000-0005-0000-0000-0000B76B0000}"/>
    <cellStyle name="Normal 10 4 4 4" xfId="27940" xr:uid="{00000000-0005-0000-0000-0000B86B0000}"/>
    <cellStyle name="Normal 10 4 4 4 2" xfId="39032" xr:uid="{00000000-0005-0000-0000-0000B96B0000}"/>
    <cellStyle name="Normal 10 4 4 5" xfId="27941" xr:uid="{00000000-0005-0000-0000-0000BA6B0000}"/>
    <cellStyle name="Normal 10 4 5" xfId="27942" xr:uid="{00000000-0005-0000-0000-0000BB6B0000}"/>
    <cellStyle name="Normal 10 4 5 2" xfId="27943" xr:uid="{00000000-0005-0000-0000-0000BC6B0000}"/>
    <cellStyle name="Normal 10 4 5 2 2" xfId="39033" xr:uid="{00000000-0005-0000-0000-0000BD6B0000}"/>
    <cellStyle name="Normal 10 4 5 3" xfId="27944" xr:uid="{00000000-0005-0000-0000-0000BE6B0000}"/>
    <cellStyle name="Normal 10 4 6" xfId="27945" xr:uid="{00000000-0005-0000-0000-0000BF6B0000}"/>
    <cellStyle name="Normal 10 4 6 2" xfId="27946" xr:uid="{00000000-0005-0000-0000-0000C06B0000}"/>
    <cellStyle name="Normal 10 4 6 2 2" xfId="39034" xr:uid="{00000000-0005-0000-0000-0000C16B0000}"/>
    <cellStyle name="Normal 10 4 6 3" xfId="27947" xr:uid="{00000000-0005-0000-0000-0000C26B0000}"/>
    <cellStyle name="Normal 10 4 7" xfId="27948" xr:uid="{00000000-0005-0000-0000-0000C36B0000}"/>
    <cellStyle name="Normal 10 4 7 2" xfId="39035" xr:uid="{00000000-0005-0000-0000-0000C46B0000}"/>
    <cellStyle name="Normal 10 4 8" xfId="27949" xr:uid="{00000000-0005-0000-0000-0000C56B0000}"/>
    <cellStyle name="Normal 10 4 9" xfId="45036" xr:uid="{00000000-0005-0000-0000-0000C66B0000}"/>
    <cellStyle name="Normal 10 5" xfId="1113" xr:uid="{00000000-0005-0000-0000-0000C76B0000}"/>
    <cellStyle name="Normal 10 5 2" xfId="1114" xr:uid="{00000000-0005-0000-0000-0000C86B0000}"/>
    <cellStyle name="Normal 10 5 2 2" xfId="27950" xr:uid="{00000000-0005-0000-0000-0000C96B0000}"/>
    <cellStyle name="Normal 10 5 2 2 2" xfId="27951" xr:uid="{00000000-0005-0000-0000-0000CA6B0000}"/>
    <cellStyle name="Normal 10 5 2 2 2 2" xfId="27952" xr:uid="{00000000-0005-0000-0000-0000CB6B0000}"/>
    <cellStyle name="Normal 10 5 2 2 2 2 2" xfId="39036" xr:uid="{00000000-0005-0000-0000-0000CC6B0000}"/>
    <cellStyle name="Normal 10 5 2 2 2 3" xfId="27953" xr:uid="{00000000-0005-0000-0000-0000CD6B0000}"/>
    <cellStyle name="Normal 10 5 2 2 3" xfId="27954" xr:uid="{00000000-0005-0000-0000-0000CE6B0000}"/>
    <cellStyle name="Normal 10 5 2 2 3 2" xfId="27955" xr:uid="{00000000-0005-0000-0000-0000CF6B0000}"/>
    <cellStyle name="Normal 10 5 2 2 3 2 2" xfId="39037" xr:uid="{00000000-0005-0000-0000-0000D06B0000}"/>
    <cellStyle name="Normal 10 5 2 2 3 3" xfId="27956" xr:uid="{00000000-0005-0000-0000-0000D16B0000}"/>
    <cellStyle name="Normal 10 5 2 2 4" xfId="27957" xr:uid="{00000000-0005-0000-0000-0000D26B0000}"/>
    <cellStyle name="Normal 10 5 2 2 4 2" xfId="39038" xr:uid="{00000000-0005-0000-0000-0000D36B0000}"/>
    <cellStyle name="Normal 10 5 2 2 5" xfId="27958" xr:uid="{00000000-0005-0000-0000-0000D46B0000}"/>
    <cellStyle name="Normal 10 5 2 3" xfId="27959" xr:uid="{00000000-0005-0000-0000-0000D56B0000}"/>
    <cellStyle name="Normal 10 5 2 3 2" xfId="27960" xr:uid="{00000000-0005-0000-0000-0000D66B0000}"/>
    <cellStyle name="Normal 10 5 2 3 2 2" xfId="39039" xr:uid="{00000000-0005-0000-0000-0000D76B0000}"/>
    <cellStyle name="Normal 10 5 2 3 3" xfId="27961" xr:uid="{00000000-0005-0000-0000-0000D86B0000}"/>
    <cellStyle name="Normal 10 5 2 4" xfId="27962" xr:uid="{00000000-0005-0000-0000-0000D96B0000}"/>
    <cellStyle name="Normal 10 5 2 4 2" xfId="27963" xr:uid="{00000000-0005-0000-0000-0000DA6B0000}"/>
    <cellStyle name="Normal 10 5 2 4 2 2" xfId="39040" xr:uid="{00000000-0005-0000-0000-0000DB6B0000}"/>
    <cellStyle name="Normal 10 5 2 4 3" xfId="27964" xr:uid="{00000000-0005-0000-0000-0000DC6B0000}"/>
    <cellStyle name="Normal 10 5 2 5" xfId="27965" xr:uid="{00000000-0005-0000-0000-0000DD6B0000}"/>
    <cellStyle name="Normal 10 5 2 5 2" xfId="39041" xr:uid="{00000000-0005-0000-0000-0000DE6B0000}"/>
    <cellStyle name="Normal 10 5 2 6" xfId="27966" xr:uid="{00000000-0005-0000-0000-0000DF6B0000}"/>
    <cellStyle name="Normal 10 5 2 7" xfId="45037" xr:uid="{00000000-0005-0000-0000-0000E06B0000}"/>
    <cellStyle name="Normal 10 5 3" xfId="1115" xr:uid="{00000000-0005-0000-0000-0000E16B0000}"/>
    <cellStyle name="Normal 10 5 3 2" xfId="27967" xr:uid="{00000000-0005-0000-0000-0000E26B0000}"/>
    <cellStyle name="Normal 10 5 3 2 2" xfId="27968" xr:uid="{00000000-0005-0000-0000-0000E36B0000}"/>
    <cellStyle name="Normal 10 5 3 2 2 2" xfId="39042" xr:uid="{00000000-0005-0000-0000-0000E46B0000}"/>
    <cellStyle name="Normal 10 5 3 2 3" xfId="27969" xr:uid="{00000000-0005-0000-0000-0000E56B0000}"/>
    <cellStyle name="Normal 10 5 3 3" xfId="27970" xr:uid="{00000000-0005-0000-0000-0000E66B0000}"/>
    <cellStyle name="Normal 10 5 3 3 2" xfId="27971" xr:uid="{00000000-0005-0000-0000-0000E76B0000}"/>
    <cellStyle name="Normal 10 5 3 3 2 2" xfId="39043" xr:uid="{00000000-0005-0000-0000-0000E86B0000}"/>
    <cellStyle name="Normal 10 5 3 3 3" xfId="27972" xr:uid="{00000000-0005-0000-0000-0000E96B0000}"/>
    <cellStyle name="Normal 10 5 3 4" xfId="27973" xr:uid="{00000000-0005-0000-0000-0000EA6B0000}"/>
    <cellStyle name="Normal 10 5 3 4 2" xfId="39044" xr:uid="{00000000-0005-0000-0000-0000EB6B0000}"/>
    <cellStyle name="Normal 10 5 3 5" xfId="27974" xr:uid="{00000000-0005-0000-0000-0000EC6B0000}"/>
    <cellStyle name="Normal 10 5 3 6" xfId="45038" xr:uid="{00000000-0005-0000-0000-0000ED6B0000}"/>
    <cellStyle name="Normal 10 5 4" xfId="27975" xr:uid="{00000000-0005-0000-0000-0000EE6B0000}"/>
    <cellStyle name="Normal 10 5 4 2" xfId="27976" xr:uid="{00000000-0005-0000-0000-0000EF6B0000}"/>
    <cellStyle name="Normal 10 5 4 2 2" xfId="39045" xr:uid="{00000000-0005-0000-0000-0000F06B0000}"/>
    <cellStyle name="Normal 10 5 4 3" xfId="27977" xr:uid="{00000000-0005-0000-0000-0000F16B0000}"/>
    <cellStyle name="Normal 10 5 5" xfId="27978" xr:uid="{00000000-0005-0000-0000-0000F26B0000}"/>
    <cellStyle name="Normal 10 5 5 2" xfId="27979" xr:uid="{00000000-0005-0000-0000-0000F36B0000}"/>
    <cellStyle name="Normal 10 5 5 2 2" xfId="39046" xr:uid="{00000000-0005-0000-0000-0000F46B0000}"/>
    <cellStyle name="Normal 10 5 5 3" xfId="27980" xr:uid="{00000000-0005-0000-0000-0000F56B0000}"/>
    <cellStyle name="Normal 10 5 6" xfId="27981" xr:uid="{00000000-0005-0000-0000-0000F66B0000}"/>
    <cellStyle name="Normal 10 5 6 2" xfId="39047" xr:uid="{00000000-0005-0000-0000-0000F76B0000}"/>
    <cellStyle name="Normal 10 5 7" xfId="27982" xr:uid="{00000000-0005-0000-0000-0000F86B0000}"/>
    <cellStyle name="Normal 10 5 8" xfId="45039" xr:uid="{00000000-0005-0000-0000-0000F96B0000}"/>
    <cellStyle name="Normal 10 6" xfId="1116" xr:uid="{00000000-0005-0000-0000-0000FA6B0000}"/>
    <cellStyle name="Normal 10 6 2" xfId="27983" xr:uid="{00000000-0005-0000-0000-0000FB6B0000}"/>
    <cellStyle name="Normal 10 6 2 2" xfId="27984" xr:uid="{00000000-0005-0000-0000-0000FC6B0000}"/>
    <cellStyle name="Normal 10 6 2 2 2" xfId="27985" xr:uid="{00000000-0005-0000-0000-0000FD6B0000}"/>
    <cellStyle name="Normal 10 6 2 2 2 2" xfId="39048" xr:uid="{00000000-0005-0000-0000-0000FE6B0000}"/>
    <cellStyle name="Normal 10 6 2 2 3" xfId="27986" xr:uid="{00000000-0005-0000-0000-0000FF6B0000}"/>
    <cellStyle name="Normal 10 6 2 3" xfId="27987" xr:uid="{00000000-0005-0000-0000-0000006C0000}"/>
    <cellStyle name="Normal 10 6 2 3 2" xfId="27988" xr:uid="{00000000-0005-0000-0000-0000016C0000}"/>
    <cellStyle name="Normal 10 6 2 3 2 2" xfId="39049" xr:uid="{00000000-0005-0000-0000-0000026C0000}"/>
    <cellStyle name="Normal 10 6 2 3 3" xfId="27989" xr:uid="{00000000-0005-0000-0000-0000036C0000}"/>
    <cellStyle name="Normal 10 6 2 4" xfId="27990" xr:uid="{00000000-0005-0000-0000-0000046C0000}"/>
    <cellStyle name="Normal 10 6 2 4 2" xfId="39050" xr:uid="{00000000-0005-0000-0000-0000056C0000}"/>
    <cellStyle name="Normal 10 6 2 5" xfId="27991" xr:uid="{00000000-0005-0000-0000-0000066C0000}"/>
    <cellStyle name="Normal 10 6 3" xfId="27992" xr:uid="{00000000-0005-0000-0000-0000076C0000}"/>
    <cellStyle name="Normal 10 6 3 2" xfId="27993" xr:uid="{00000000-0005-0000-0000-0000086C0000}"/>
    <cellStyle name="Normal 10 6 3 2 2" xfId="39051" xr:uid="{00000000-0005-0000-0000-0000096C0000}"/>
    <cellStyle name="Normal 10 6 3 3" xfId="27994" xr:uid="{00000000-0005-0000-0000-00000A6C0000}"/>
    <cellStyle name="Normal 10 6 4" xfId="27995" xr:uid="{00000000-0005-0000-0000-00000B6C0000}"/>
    <cellStyle name="Normal 10 6 4 2" xfId="27996" xr:uid="{00000000-0005-0000-0000-00000C6C0000}"/>
    <cellStyle name="Normal 10 6 4 2 2" xfId="39052" xr:uid="{00000000-0005-0000-0000-00000D6C0000}"/>
    <cellStyle name="Normal 10 6 4 3" xfId="27997" xr:uid="{00000000-0005-0000-0000-00000E6C0000}"/>
    <cellStyle name="Normal 10 6 5" xfId="27998" xr:uid="{00000000-0005-0000-0000-00000F6C0000}"/>
    <cellStyle name="Normal 10 6 5 2" xfId="39053" xr:uid="{00000000-0005-0000-0000-0000106C0000}"/>
    <cellStyle name="Normal 10 6 6" xfId="27999" xr:uid="{00000000-0005-0000-0000-0000116C0000}"/>
    <cellStyle name="Normal 10 6 7" xfId="45040" xr:uid="{00000000-0005-0000-0000-0000126C0000}"/>
    <cellStyle name="Normal 10 7" xfId="1117" xr:uid="{00000000-0005-0000-0000-0000136C0000}"/>
    <cellStyle name="Normal 10 7 2" xfId="28000" xr:uid="{00000000-0005-0000-0000-0000146C0000}"/>
    <cellStyle name="Normal 10 7 2 2" xfId="28001" xr:uid="{00000000-0005-0000-0000-0000156C0000}"/>
    <cellStyle name="Normal 10 7 2 2 2" xfId="39054" xr:uid="{00000000-0005-0000-0000-0000166C0000}"/>
    <cellStyle name="Normal 10 7 2 3" xfId="28002" xr:uid="{00000000-0005-0000-0000-0000176C0000}"/>
    <cellStyle name="Normal 10 7 3" xfId="28003" xr:uid="{00000000-0005-0000-0000-0000186C0000}"/>
    <cellStyle name="Normal 10 7 3 2" xfId="28004" xr:uid="{00000000-0005-0000-0000-0000196C0000}"/>
    <cellStyle name="Normal 10 7 3 2 2" xfId="39055" xr:uid="{00000000-0005-0000-0000-00001A6C0000}"/>
    <cellStyle name="Normal 10 7 3 3" xfId="28005" xr:uid="{00000000-0005-0000-0000-00001B6C0000}"/>
    <cellStyle name="Normal 10 7 4" xfId="28006" xr:uid="{00000000-0005-0000-0000-00001C6C0000}"/>
    <cellStyle name="Normal 10 7 4 2" xfId="39056" xr:uid="{00000000-0005-0000-0000-00001D6C0000}"/>
    <cellStyle name="Normal 10 7 5" xfId="28007" xr:uid="{00000000-0005-0000-0000-00001E6C0000}"/>
    <cellStyle name="Normal 10 7 6" xfId="45041" xr:uid="{00000000-0005-0000-0000-00001F6C0000}"/>
    <cellStyle name="Normal 10 8" xfId="1118" xr:uid="{00000000-0005-0000-0000-0000206C0000}"/>
    <cellStyle name="Normal 10 8 2" xfId="28008" xr:uid="{00000000-0005-0000-0000-0000216C0000}"/>
    <cellStyle name="Normal 10 8 2 2" xfId="39057" xr:uid="{00000000-0005-0000-0000-0000226C0000}"/>
    <cellStyle name="Normal 10 8 3" xfId="28009" xr:uid="{00000000-0005-0000-0000-0000236C0000}"/>
    <cellStyle name="Normal 10 8 3 2" xfId="42568" xr:uid="{00000000-0005-0000-0000-0000246C0000}"/>
    <cellStyle name="Normal 10 8 4" xfId="42569" xr:uid="{00000000-0005-0000-0000-0000256C0000}"/>
    <cellStyle name="Normal 10 8 4 2" xfId="42570" xr:uid="{00000000-0005-0000-0000-0000266C0000}"/>
    <cellStyle name="Normal 10 8 5" xfId="42571" xr:uid="{00000000-0005-0000-0000-0000276C0000}"/>
    <cellStyle name="Normal 10 9" xfId="1119" xr:uid="{00000000-0005-0000-0000-0000286C0000}"/>
    <cellStyle name="Normal 10 9 2" xfId="28010" xr:uid="{00000000-0005-0000-0000-0000296C0000}"/>
    <cellStyle name="Normal 10 9 2 2" xfId="39058" xr:uid="{00000000-0005-0000-0000-00002A6C0000}"/>
    <cellStyle name="Normal 10 9 3" xfId="28011" xr:uid="{00000000-0005-0000-0000-00002B6C0000}"/>
    <cellStyle name="Normal 10_2112 DF Schedule" xfId="362" xr:uid="{00000000-0005-0000-0000-00002C6C0000}"/>
    <cellStyle name="Normal 100" xfId="363" xr:uid="{00000000-0005-0000-0000-00002D6C0000}"/>
    <cellStyle name="Normal 100 2" xfId="1120" xr:uid="{00000000-0005-0000-0000-00002E6C0000}"/>
    <cellStyle name="Normal 100 2 2" xfId="39059" xr:uid="{00000000-0005-0000-0000-00002F6C0000}"/>
    <cellStyle name="Normal 100 2 3" xfId="45042" xr:uid="{00000000-0005-0000-0000-0000306C0000}"/>
    <cellStyle name="Normal 100 3" xfId="1121" xr:uid="{00000000-0005-0000-0000-0000316C0000}"/>
    <cellStyle name="Normal 101" xfId="364" xr:uid="{00000000-0005-0000-0000-0000326C0000}"/>
    <cellStyle name="Normal 101 2" xfId="1122" xr:uid="{00000000-0005-0000-0000-0000336C0000}"/>
    <cellStyle name="Normal 101 2 2" xfId="39060" xr:uid="{00000000-0005-0000-0000-0000346C0000}"/>
    <cellStyle name="Normal 101 2 3" xfId="45043" xr:uid="{00000000-0005-0000-0000-0000356C0000}"/>
    <cellStyle name="Normal 102" xfId="365" xr:uid="{00000000-0005-0000-0000-0000366C0000}"/>
    <cellStyle name="Normal 102 2" xfId="1123" xr:uid="{00000000-0005-0000-0000-0000376C0000}"/>
    <cellStyle name="Normal 102 2 2" xfId="39061" xr:uid="{00000000-0005-0000-0000-0000386C0000}"/>
    <cellStyle name="Normal 102 2 3" xfId="45044" xr:uid="{00000000-0005-0000-0000-0000396C0000}"/>
    <cellStyle name="Normal 103" xfId="366" xr:uid="{00000000-0005-0000-0000-00003A6C0000}"/>
    <cellStyle name="Normal 103 2" xfId="1124" xr:uid="{00000000-0005-0000-0000-00003B6C0000}"/>
    <cellStyle name="Normal 103 2 2" xfId="39062" xr:uid="{00000000-0005-0000-0000-00003C6C0000}"/>
    <cellStyle name="Normal 103 2 3" xfId="45045" xr:uid="{00000000-0005-0000-0000-00003D6C0000}"/>
    <cellStyle name="Normal 104" xfId="367" xr:uid="{00000000-0005-0000-0000-00003E6C0000}"/>
    <cellStyle name="Normal 104 2" xfId="1125" xr:uid="{00000000-0005-0000-0000-00003F6C0000}"/>
    <cellStyle name="Normal 104 2 2" xfId="39063" xr:uid="{00000000-0005-0000-0000-0000406C0000}"/>
    <cellStyle name="Normal 104 2 3" xfId="45046" xr:uid="{00000000-0005-0000-0000-0000416C0000}"/>
    <cellStyle name="Normal 105" xfId="368" xr:uid="{00000000-0005-0000-0000-0000426C0000}"/>
    <cellStyle name="Normal 105 2" xfId="1126" xr:uid="{00000000-0005-0000-0000-0000436C0000}"/>
    <cellStyle name="Normal 105 2 2" xfId="39064" xr:uid="{00000000-0005-0000-0000-0000446C0000}"/>
    <cellStyle name="Normal 105 2 3" xfId="45047" xr:uid="{00000000-0005-0000-0000-0000456C0000}"/>
    <cellStyle name="Normal 106" xfId="369" xr:uid="{00000000-0005-0000-0000-0000466C0000}"/>
    <cellStyle name="Normal 107" xfId="370" xr:uid="{00000000-0005-0000-0000-0000476C0000}"/>
    <cellStyle name="Normal 107 2" xfId="1127" xr:uid="{00000000-0005-0000-0000-0000486C0000}"/>
    <cellStyle name="Normal 107 2 2" xfId="39065" xr:uid="{00000000-0005-0000-0000-0000496C0000}"/>
    <cellStyle name="Normal 107 2 3" xfId="45048" xr:uid="{00000000-0005-0000-0000-00004A6C0000}"/>
    <cellStyle name="Normal 108" xfId="371" xr:uid="{00000000-0005-0000-0000-00004B6C0000}"/>
    <cellStyle name="Normal 108 2" xfId="1128" xr:uid="{00000000-0005-0000-0000-00004C6C0000}"/>
    <cellStyle name="Normal 108 2 2" xfId="39066" xr:uid="{00000000-0005-0000-0000-00004D6C0000}"/>
    <cellStyle name="Normal 108 2 3" xfId="45049" xr:uid="{00000000-0005-0000-0000-00004E6C0000}"/>
    <cellStyle name="Normal 109" xfId="372" xr:uid="{00000000-0005-0000-0000-00004F6C0000}"/>
    <cellStyle name="Normal 109 2" xfId="373" xr:uid="{00000000-0005-0000-0000-0000506C0000}"/>
    <cellStyle name="Normal 109 2 2" xfId="28012" xr:uid="{00000000-0005-0000-0000-0000516C0000}"/>
    <cellStyle name="Normal 109 2 3" xfId="45050" xr:uid="{00000000-0005-0000-0000-0000526C0000}"/>
    <cellStyle name="Normal 109 3" xfId="642" xr:uid="{00000000-0005-0000-0000-0000536C0000}"/>
    <cellStyle name="Normal 109 3 2" xfId="39067" xr:uid="{00000000-0005-0000-0000-0000546C0000}"/>
    <cellStyle name="Normal 109 3 3" xfId="45051" xr:uid="{00000000-0005-0000-0000-0000556C0000}"/>
    <cellStyle name="Normal 109 3 4" xfId="46222" xr:uid="{00000000-0005-0000-0000-0000566C0000}"/>
    <cellStyle name="Normal 109 4" xfId="28013" xr:uid="{00000000-0005-0000-0000-0000576C0000}"/>
    <cellStyle name="Normal 109 5" xfId="45052" xr:uid="{00000000-0005-0000-0000-0000586C0000}"/>
    <cellStyle name="Normal 11" xfId="37" xr:uid="{00000000-0005-0000-0000-0000596C0000}"/>
    <cellStyle name="Normal 11 10" xfId="1129" xr:uid="{00000000-0005-0000-0000-00005A6C0000}"/>
    <cellStyle name="Normal 11 10 2" xfId="39068" xr:uid="{00000000-0005-0000-0000-00005B6C0000}"/>
    <cellStyle name="Normal 11 10 3" xfId="45053" xr:uid="{00000000-0005-0000-0000-00005C6C0000}"/>
    <cellStyle name="Normal 11 11" xfId="1130" xr:uid="{00000000-0005-0000-0000-00005D6C0000}"/>
    <cellStyle name="Normal 11 11 2" xfId="39069" xr:uid="{00000000-0005-0000-0000-00005E6C0000}"/>
    <cellStyle name="Normal 11 11 3" xfId="45054" xr:uid="{00000000-0005-0000-0000-00005F6C0000}"/>
    <cellStyle name="Normal 11 12" xfId="1131" xr:uid="{00000000-0005-0000-0000-0000606C0000}"/>
    <cellStyle name="Normal 11 12 2" xfId="42572" xr:uid="{00000000-0005-0000-0000-0000616C0000}"/>
    <cellStyle name="Normal 11 13" xfId="42573" xr:uid="{00000000-0005-0000-0000-0000626C0000}"/>
    <cellStyle name="Normal 11 14" xfId="46291" xr:uid="{00000000-0005-0000-0000-0000636C0000}"/>
    <cellStyle name="Normal 11 2" xfId="374" xr:uid="{00000000-0005-0000-0000-0000646C0000}"/>
    <cellStyle name="Normal 11 2 2" xfId="375" xr:uid="{00000000-0005-0000-0000-0000656C0000}"/>
    <cellStyle name="Normal 11 2 2 2" xfId="1132" xr:uid="{00000000-0005-0000-0000-0000666C0000}"/>
    <cellStyle name="Normal 11 2 2 2 10" xfId="46223" xr:uid="{00000000-0005-0000-0000-0000676C0000}"/>
    <cellStyle name="Normal 11 2 2 2 2" xfId="1133" xr:uid="{00000000-0005-0000-0000-0000686C0000}"/>
    <cellStyle name="Normal 11 2 2 2 2 2" xfId="28014" xr:uid="{00000000-0005-0000-0000-0000696C0000}"/>
    <cellStyle name="Normal 11 2 2 2 2 2 2" xfId="28015" xr:uid="{00000000-0005-0000-0000-00006A6C0000}"/>
    <cellStyle name="Normal 11 2 2 2 2 2 2 2" xfId="28016" xr:uid="{00000000-0005-0000-0000-00006B6C0000}"/>
    <cellStyle name="Normal 11 2 2 2 2 2 2 2 2" xfId="39070" xr:uid="{00000000-0005-0000-0000-00006C6C0000}"/>
    <cellStyle name="Normal 11 2 2 2 2 2 2 3" xfId="28017" xr:uid="{00000000-0005-0000-0000-00006D6C0000}"/>
    <cellStyle name="Normal 11 2 2 2 2 2 3" xfId="28018" xr:uid="{00000000-0005-0000-0000-00006E6C0000}"/>
    <cellStyle name="Normal 11 2 2 2 2 2 3 2" xfId="28019" xr:uid="{00000000-0005-0000-0000-00006F6C0000}"/>
    <cellStyle name="Normal 11 2 2 2 2 2 3 2 2" xfId="39071" xr:uid="{00000000-0005-0000-0000-0000706C0000}"/>
    <cellStyle name="Normal 11 2 2 2 2 2 3 3" xfId="28020" xr:uid="{00000000-0005-0000-0000-0000716C0000}"/>
    <cellStyle name="Normal 11 2 2 2 2 2 4" xfId="28021" xr:uid="{00000000-0005-0000-0000-0000726C0000}"/>
    <cellStyle name="Normal 11 2 2 2 2 2 4 2" xfId="39072" xr:uid="{00000000-0005-0000-0000-0000736C0000}"/>
    <cellStyle name="Normal 11 2 2 2 2 2 5" xfId="28022" xr:uid="{00000000-0005-0000-0000-0000746C0000}"/>
    <cellStyle name="Normal 11 2 2 2 2 3" xfId="28023" xr:uid="{00000000-0005-0000-0000-0000756C0000}"/>
    <cellStyle name="Normal 11 2 2 2 2 3 2" xfId="28024" xr:uid="{00000000-0005-0000-0000-0000766C0000}"/>
    <cellStyle name="Normal 11 2 2 2 2 3 2 2" xfId="39073" xr:uid="{00000000-0005-0000-0000-0000776C0000}"/>
    <cellStyle name="Normal 11 2 2 2 2 3 3" xfId="28025" xr:uid="{00000000-0005-0000-0000-0000786C0000}"/>
    <cellStyle name="Normal 11 2 2 2 2 4" xfId="28026" xr:uid="{00000000-0005-0000-0000-0000796C0000}"/>
    <cellStyle name="Normal 11 2 2 2 2 4 2" xfId="28027" xr:uid="{00000000-0005-0000-0000-00007A6C0000}"/>
    <cellStyle name="Normal 11 2 2 2 2 4 2 2" xfId="39074" xr:uid="{00000000-0005-0000-0000-00007B6C0000}"/>
    <cellStyle name="Normal 11 2 2 2 2 4 3" xfId="28028" xr:uid="{00000000-0005-0000-0000-00007C6C0000}"/>
    <cellStyle name="Normal 11 2 2 2 2 5" xfId="28029" xr:uid="{00000000-0005-0000-0000-00007D6C0000}"/>
    <cellStyle name="Normal 11 2 2 2 2 5 2" xfId="39075" xr:uid="{00000000-0005-0000-0000-00007E6C0000}"/>
    <cellStyle name="Normal 11 2 2 2 2 6" xfId="28030" xr:uid="{00000000-0005-0000-0000-00007F6C0000}"/>
    <cellStyle name="Normal 11 2 2 2 2 7" xfId="45055" xr:uid="{00000000-0005-0000-0000-0000806C0000}"/>
    <cellStyle name="Normal 11 2 2 2 3" xfId="28031" xr:uid="{00000000-0005-0000-0000-0000816C0000}"/>
    <cellStyle name="Normal 11 2 2 2 3 2" xfId="28032" xr:uid="{00000000-0005-0000-0000-0000826C0000}"/>
    <cellStyle name="Normal 11 2 2 2 3 2 2" xfId="28033" xr:uid="{00000000-0005-0000-0000-0000836C0000}"/>
    <cellStyle name="Normal 11 2 2 2 3 2 2 2" xfId="39076" xr:uid="{00000000-0005-0000-0000-0000846C0000}"/>
    <cellStyle name="Normal 11 2 2 2 3 2 3" xfId="28034" xr:uid="{00000000-0005-0000-0000-0000856C0000}"/>
    <cellStyle name="Normal 11 2 2 2 3 3" xfId="28035" xr:uid="{00000000-0005-0000-0000-0000866C0000}"/>
    <cellStyle name="Normal 11 2 2 2 3 3 2" xfId="28036" xr:uid="{00000000-0005-0000-0000-0000876C0000}"/>
    <cellStyle name="Normal 11 2 2 2 3 3 2 2" xfId="39077" xr:uid="{00000000-0005-0000-0000-0000886C0000}"/>
    <cellStyle name="Normal 11 2 2 2 3 3 3" xfId="28037" xr:uid="{00000000-0005-0000-0000-0000896C0000}"/>
    <cellStyle name="Normal 11 2 2 2 3 4" xfId="28038" xr:uid="{00000000-0005-0000-0000-00008A6C0000}"/>
    <cellStyle name="Normal 11 2 2 2 3 4 2" xfId="39078" xr:uid="{00000000-0005-0000-0000-00008B6C0000}"/>
    <cellStyle name="Normal 11 2 2 2 3 5" xfId="28039" xr:uid="{00000000-0005-0000-0000-00008C6C0000}"/>
    <cellStyle name="Normal 11 2 2 2 4" xfId="28040" xr:uid="{00000000-0005-0000-0000-00008D6C0000}"/>
    <cellStyle name="Normal 11 2 2 2 4 2" xfId="28041" xr:uid="{00000000-0005-0000-0000-00008E6C0000}"/>
    <cellStyle name="Normal 11 2 2 2 4 2 2" xfId="39079" xr:uid="{00000000-0005-0000-0000-00008F6C0000}"/>
    <cellStyle name="Normal 11 2 2 2 4 3" xfId="28042" xr:uid="{00000000-0005-0000-0000-0000906C0000}"/>
    <cellStyle name="Normal 11 2 2 2 5" xfId="28043" xr:uid="{00000000-0005-0000-0000-0000916C0000}"/>
    <cellStyle name="Normal 11 2 2 2 5 2" xfId="28044" xr:uid="{00000000-0005-0000-0000-0000926C0000}"/>
    <cellStyle name="Normal 11 2 2 2 5 2 2" xfId="39080" xr:uid="{00000000-0005-0000-0000-0000936C0000}"/>
    <cellStyle name="Normal 11 2 2 2 5 3" xfId="28045" xr:uid="{00000000-0005-0000-0000-0000946C0000}"/>
    <cellStyle name="Normal 11 2 2 2 6" xfId="28046" xr:uid="{00000000-0005-0000-0000-0000956C0000}"/>
    <cellStyle name="Normal 11 2 2 2 6 2" xfId="39081" xr:uid="{00000000-0005-0000-0000-0000966C0000}"/>
    <cellStyle name="Normal 11 2 2 2 7" xfId="28047" xr:uid="{00000000-0005-0000-0000-0000976C0000}"/>
    <cellStyle name="Normal 11 2 2 2 8" xfId="28048" xr:uid="{00000000-0005-0000-0000-0000986C0000}"/>
    <cellStyle name="Normal 11 2 2 2 9" xfId="45056" xr:uid="{00000000-0005-0000-0000-0000996C0000}"/>
    <cellStyle name="Normal 11 2 2 3" xfId="1134" xr:uid="{00000000-0005-0000-0000-00009A6C0000}"/>
    <cellStyle name="Normal 11 2 2 3 2" xfId="28049" xr:uid="{00000000-0005-0000-0000-00009B6C0000}"/>
    <cellStyle name="Normal 11 2 2 3 2 2" xfId="28050" xr:uid="{00000000-0005-0000-0000-00009C6C0000}"/>
    <cellStyle name="Normal 11 2 2 3 2 2 2" xfId="28051" xr:uid="{00000000-0005-0000-0000-00009D6C0000}"/>
    <cellStyle name="Normal 11 2 2 3 2 2 2 2" xfId="39082" xr:uid="{00000000-0005-0000-0000-00009E6C0000}"/>
    <cellStyle name="Normal 11 2 2 3 2 2 3" xfId="28052" xr:uid="{00000000-0005-0000-0000-00009F6C0000}"/>
    <cellStyle name="Normal 11 2 2 3 2 3" xfId="28053" xr:uid="{00000000-0005-0000-0000-0000A06C0000}"/>
    <cellStyle name="Normal 11 2 2 3 2 3 2" xfId="28054" xr:uid="{00000000-0005-0000-0000-0000A16C0000}"/>
    <cellStyle name="Normal 11 2 2 3 2 3 2 2" xfId="39083" xr:uid="{00000000-0005-0000-0000-0000A26C0000}"/>
    <cellStyle name="Normal 11 2 2 3 2 3 3" xfId="28055" xr:uid="{00000000-0005-0000-0000-0000A36C0000}"/>
    <cellStyle name="Normal 11 2 2 3 2 4" xfId="28056" xr:uid="{00000000-0005-0000-0000-0000A46C0000}"/>
    <cellStyle name="Normal 11 2 2 3 2 4 2" xfId="39084" xr:uid="{00000000-0005-0000-0000-0000A56C0000}"/>
    <cellStyle name="Normal 11 2 2 3 2 5" xfId="28057" xr:uid="{00000000-0005-0000-0000-0000A66C0000}"/>
    <cellStyle name="Normal 11 2 2 3 3" xfId="28058" xr:uid="{00000000-0005-0000-0000-0000A76C0000}"/>
    <cellStyle name="Normal 11 2 2 3 3 2" xfId="28059" xr:uid="{00000000-0005-0000-0000-0000A86C0000}"/>
    <cellStyle name="Normal 11 2 2 3 3 2 2" xfId="39085" xr:uid="{00000000-0005-0000-0000-0000A96C0000}"/>
    <cellStyle name="Normal 11 2 2 3 3 3" xfId="28060" xr:uid="{00000000-0005-0000-0000-0000AA6C0000}"/>
    <cellStyle name="Normal 11 2 2 3 4" xfId="28061" xr:uid="{00000000-0005-0000-0000-0000AB6C0000}"/>
    <cellStyle name="Normal 11 2 2 3 4 2" xfId="28062" xr:uid="{00000000-0005-0000-0000-0000AC6C0000}"/>
    <cellStyle name="Normal 11 2 2 3 4 2 2" xfId="39086" xr:uid="{00000000-0005-0000-0000-0000AD6C0000}"/>
    <cellStyle name="Normal 11 2 2 3 4 3" xfId="28063" xr:uid="{00000000-0005-0000-0000-0000AE6C0000}"/>
    <cellStyle name="Normal 11 2 2 3 5" xfId="28064" xr:uid="{00000000-0005-0000-0000-0000AF6C0000}"/>
    <cellStyle name="Normal 11 2 2 3 5 2" xfId="39087" xr:uid="{00000000-0005-0000-0000-0000B06C0000}"/>
    <cellStyle name="Normal 11 2 2 3 6" xfId="28065" xr:uid="{00000000-0005-0000-0000-0000B16C0000}"/>
    <cellStyle name="Normal 11 2 2 3 7" xfId="45057" xr:uid="{00000000-0005-0000-0000-0000B26C0000}"/>
    <cellStyle name="Normal 11 2 2 4" xfId="1135" xr:uid="{00000000-0005-0000-0000-0000B36C0000}"/>
    <cellStyle name="Normal 11 2 2 4 2" xfId="28066" xr:uid="{00000000-0005-0000-0000-0000B46C0000}"/>
    <cellStyle name="Normal 11 2 2 4 2 2" xfId="28067" xr:uid="{00000000-0005-0000-0000-0000B56C0000}"/>
    <cellStyle name="Normal 11 2 2 4 2 2 2" xfId="39088" xr:uid="{00000000-0005-0000-0000-0000B66C0000}"/>
    <cellStyle name="Normal 11 2 2 4 2 3" xfId="28068" xr:uid="{00000000-0005-0000-0000-0000B76C0000}"/>
    <cellStyle name="Normal 11 2 2 4 3" xfId="28069" xr:uid="{00000000-0005-0000-0000-0000B86C0000}"/>
    <cellStyle name="Normal 11 2 2 4 3 2" xfId="28070" xr:uid="{00000000-0005-0000-0000-0000B96C0000}"/>
    <cellStyle name="Normal 11 2 2 4 3 2 2" xfId="39089" xr:uid="{00000000-0005-0000-0000-0000BA6C0000}"/>
    <cellStyle name="Normal 11 2 2 4 3 3" xfId="28071" xr:uid="{00000000-0005-0000-0000-0000BB6C0000}"/>
    <cellStyle name="Normal 11 2 2 4 4" xfId="28072" xr:uid="{00000000-0005-0000-0000-0000BC6C0000}"/>
    <cellStyle name="Normal 11 2 2 4 4 2" xfId="39090" xr:uid="{00000000-0005-0000-0000-0000BD6C0000}"/>
    <cellStyle name="Normal 11 2 2 4 5" xfId="28073" xr:uid="{00000000-0005-0000-0000-0000BE6C0000}"/>
    <cellStyle name="Normal 11 2 2 4 6" xfId="45058" xr:uid="{00000000-0005-0000-0000-0000BF6C0000}"/>
    <cellStyle name="Normal 11 2 2 5" xfId="1136" xr:uid="{00000000-0005-0000-0000-0000C06C0000}"/>
    <cellStyle name="Normal 11 2 2 5 2" xfId="28074" xr:uid="{00000000-0005-0000-0000-0000C16C0000}"/>
    <cellStyle name="Normal 11 2 2 5 2 2" xfId="39091" xr:uid="{00000000-0005-0000-0000-0000C26C0000}"/>
    <cellStyle name="Normal 11 2 2 5 3" xfId="28075" xr:uid="{00000000-0005-0000-0000-0000C36C0000}"/>
    <cellStyle name="Normal 11 2 2 5 4" xfId="45059" xr:uid="{00000000-0005-0000-0000-0000C46C0000}"/>
    <cellStyle name="Normal 11 2 2 6" xfId="28076" xr:uid="{00000000-0005-0000-0000-0000C56C0000}"/>
    <cellStyle name="Normal 11 2 2 6 2" xfId="28077" xr:uid="{00000000-0005-0000-0000-0000C66C0000}"/>
    <cellStyle name="Normal 11 2 2 6 2 2" xfId="39092" xr:uid="{00000000-0005-0000-0000-0000C76C0000}"/>
    <cellStyle name="Normal 11 2 2 6 3" xfId="28078" xr:uid="{00000000-0005-0000-0000-0000C86C0000}"/>
    <cellStyle name="Normal 11 2 2 7" xfId="28079" xr:uid="{00000000-0005-0000-0000-0000C96C0000}"/>
    <cellStyle name="Normal 11 2 2 7 2" xfId="39093" xr:uid="{00000000-0005-0000-0000-0000CA6C0000}"/>
    <cellStyle name="Normal 11 2 2 8" xfId="28080" xr:uid="{00000000-0005-0000-0000-0000CB6C0000}"/>
    <cellStyle name="Normal 11 2 3" xfId="376" xr:uid="{00000000-0005-0000-0000-0000CC6C0000}"/>
    <cellStyle name="Normal 11 2 3 2" xfId="1137" xr:uid="{00000000-0005-0000-0000-0000CD6C0000}"/>
    <cellStyle name="Normal 11 2 3 2 2" xfId="28081" xr:uid="{00000000-0005-0000-0000-0000CE6C0000}"/>
    <cellStyle name="Normal 11 2 3 2 2 2" xfId="28082" xr:uid="{00000000-0005-0000-0000-0000CF6C0000}"/>
    <cellStyle name="Normal 11 2 3 2 2 2 2" xfId="28083" xr:uid="{00000000-0005-0000-0000-0000D06C0000}"/>
    <cellStyle name="Normal 11 2 3 2 2 2 2 2" xfId="39094" xr:uid="{00000000-0005-0000-0000-0000D16C0000}"/>
    <cellStyle name="Normal 11 2 3 2 2 2 3" xfId="28084" xr:uid="{00000000-0005-0000-0000-0000D26C0000}"/>
    <cellStyle name="Normal 11 2 3 2 2 3" xfId="28085" xr:uid="{00000000-0005-0000-0000-0000D36C0000}"/>
    <cellStyle name="Normal 11 2 3 2 2 3 2" xfId="28086" xr:uid="{00000000-0005-0000-0000-0000D46C0000}"/>
    <cellStyle name="Normal 11 2 3 2 2 3 2 2" xfId="39095" xr:uid="{00000000-0005-0000-0000-0000D56C0000}"/>
    <cellStyle name="Normal 11 2 3 2 2 3 3" xfId="28087" xr:uid="{00000000-0005-0000-0000-0000D66C0000}"/>
    <cellStyle name="Normal 11 2 3 2 2 4" xfId="28088" xr:uid="{00000000-0005-0000-0000-0000D76C0000}"/>
    <cellStyle name="Normal 11 2 3 2 2 4 2" xfId="39096" xr:uid="{00000000-0005-0000-0000-0000D86C0000}"/>
    <cellStyle name="Normal 11 2 3 2 2 5" xfId="28089" xr:uid="{00000000-0005-0000-0000-0000D96C0000}"/>
    <cellStyle name="Normal 11 2 3 2 3" xfId="28090" xr:uid="{00000000-0005-0000-0000-0000DA6C0000}"/>
    <cellStyle name="Normal 11 2 3 2 3 2" xfId="28091" xr:uid="{00000000-0005-0000-0000-0000DB6C0000}"/>
    <cellStyle name="Normal 11 2 3 2 3 2 2" xfId="39097" xr:uid="{00000000-0005-0000-0000-0000DC6C0000}"/>
    <cellStyle name="Normal 11 2 3 2 3 3" xfId="28092" xr:uid="{00000000-0005-0000-0000-0000DD6C0000}"/>
    <cellStyle name="Normal 11 2 3 2 4" xfId="28093" xr:uid="{00000000-0005-0000-0000-0000DE6C0000}"/>
    <cellStyle name="Normal 11 2 3 2 4 2" xfId="28094" xr:uid="{00000000-0005-0000-0000-0000DF6C0000}"/>
    <cellStyle name="Normal 11 2 3 2 4 2 2" xfId="39098" xr:uid="{00000000-0005-0000-0000-0000E06C0000}"/>
    <cellStyle name="Normal 11 2 3 2 4 3" xfId="28095" xr:uid="{00000000-0005-0000-0000-0000E16C0000}"/>
    <cellStyle name="Normal 11 2 3 2 5" xfId="28096" xr:uid="{00000000-0005-0000-0000-0000E26C0000}"/>
    <cellStyle name="Normal 11 2 3 2 5 2" xfId="39099" xr:uid="{00000000-0005-0000-0000-0000E36C0000}"/>
    <cellStyle name="Normal 11 2 3 2 6" xfId="28097" xr:uid="{00000000-0005-0000-0000-0000E46C0000}"/>
    <cellStyle name="Normal 11 2 3 2 7" xfId="45060" xr:uid="{00000000-0005-0000-0000-0000E56C0000}"/>
    <cellStyle name="Normal 11 2 3 3" xfId="1138" xr:uid="{00000000-0005-0000-0000-0000E66C0000}"/>
    <cellStyle name="Normal 11 2 3 3 2" xfId="28098" xr:uid="{00000000-0005-0000-0000-0000E76C0000}"/>
    <cellStyle name="Normal 11 2 3 3 2 2" xfId="28099" xr:uid="{00000000-0005-0000-0000-0000E86C0000}"/>
    <cellStyle name="Normal 11 2 3 3 2 2 2" xfId="39100" xr:uid="{00000000-0005-0000-0000-0000E96C0000}"/>
    <cellStyle name="Normal 11 2 3 3 2 3" xfId="28100" xr:uid="{00000000-0005-0000-0000-0000EA6C0000}"/>
    <cellStyle name="Normal 11 2 3 3 3" xfId="28101" xr:uid="{00000000-0005-0000-0000-0000EB6C0000}"/>
    <cellStyle name="Normal 11 2 3 3 3 2" xfId="28102" xr:uid="{00000000-0005-0000-0000-0000EC6C0000}"/>
    <cellStyle name="Normal 11 2 3 3 3 2 2" xfId="39101" xr:uid="{00000000-0005-0000-0000-0000ED6C0000}"/>
    <cellStyle name="Normal 11 2 3 3 3 3" xfId="28103" xr:uid="{00000000-0005-0000-0000-0000EE6C0000}"/>
    <cellStyle name="Normal 11 2 3 3 4" xfId="28104" xr:uid="{00000000-0005-0000-0000-0000EF6C0000}"/>
    <cellStyle name="Normal 11 2 3 3 4 2" xfId="39102" xr:uid="{00000000-0005-0000-0000-0000F06C0000}"/>
    <cellStyle name="Normal 11 2 3 3 5" xfId="28105" xr:uid="{00000000-0005-0000-0000-0000F16C0000}"/>
    <cellStyle name="Normal 11 2 3 3 6" xfId="45061" xr:uid="{00000000-0005-0000-0000-0000F26C0000}"/>
    <cellStyle name="Normal 11 2 3 4" xfId="28106" xr:uid="{00000000-0005-0000-0000-0000F36C0000}"/>
    <cellStyle name="Normal 11 2 3 4 2" xfId="28107" xr:uid="{00000000-0005-0000-0000-0000F46C0000}"/>
    <cellStyle name="Normal 11 2 3 4 2 2" xfId="39103" xr:uid="{00000000-0005-0000-0000-0000F56C0000}"/>
    <cellStyle name="Normal 11 2 3 4 3" xfId="28108" xr:uid="{00000000-0005-0000-0000-0000F66C0000}"/>
    <cellStyle name="Normal 11 2 3 5" xfId="28109" xr:uid="{00000000-0005-0000-0000-0000F76C0000}"/>
    <cellStyle name="Normal 11 2 3 5 2" xfId="28110" xr:uid="{00000000-0005-0000-0000-0000F86C0000}"/>
    <cellStyle name="Normal 11 2 3 5 2 2" xfId="39104" xr:uid="{00000000-0005-0000-0000-0000F96C0000}"/>
    <cellStyle name="Normal 11 2 3 5 3" xfId="28111" xr:uid="{00000000-0005-0000-0000-0000FA6C0000}"/>
    <cellStyle name="Normal 11 2 3 6" xfId="28112" xr:uid="{00000000-0005-0000-0000-0000FB6C0000}"/>
    <cellStyle name="Normal 11 2 3 6 2" xfId="39105" xr:uid="{00000000-0005-0000-0000-0000FC6C0000}"/>
    <cellStyle name="Normal 11 2 3 7" xfId="28113" xr:uid="{00000000-0005-0000-0000-0000FD6C0000}"/>
    <cellStyle name="Normal 11 2 4" xfId="1139" xr:uid="{00000000-0005-0000-0000-0000FE6C0000}"/>
    <cellStyle name="Normal 11 2 4 2" xfId="1140" xr:uid="{00000000-0005-0000-0000-0000FF6C0000}"/>
    <cellStyle name="Normal 11 2 4 2 2" xfId="28114" xr:uid="{00000000-0005-0000-0000-0000006D0000}"/>
    <cellStyle name="Normal 11 2 4 2 2 2" xfId="28115" xr:uid="{00000000-0005-0000-0000-0000016D0000}"/>
    <cellStyle name="Normal 11 2 4 2 2 2 2" xfId="39106" xr:uid="{00000000-0005-0000-0000-0000026D0000}"/>
    <cellStyle name="Normal 11 2 4 2 2 3" xfId="28116" xr:uid="{00000000-0005-0000-0000-0000036D0000}"/>
    <cellStyle name="Normal 11 2 4 2 3" xfId="28117" xr:uid="{00000000-0005-0000-0000-0000046D0000}"/>
    <cellStyle name="Normal 11 2 4 2 3 2" xfId="28118" xr:uid="{00000000-0005-0000-0000-0000056D0000}"/>
    <cellStyle name="Normal 11 2 4 2 3 2 2" xfId="39107" xr:uid="{00000000-0005-0000-0000-0000066D0000}"/>
    <cellStyle name="Normal 11 2 4 2 3 3" xfId="28119" xr:uid="{00000000-0005-0000-0000-0000076D0000}"/>
    <cellStyle name="Normal 11 2 4 2 4" xfId="28120" xr:uid="{00000000-0005-0000-0000-0000086D0000}"/>
    <cellStyle name="Normal 11 2 4 2 4 2" xfId="39108" xr:uid="{00000000-0005-0000-0000-0000096D0000}"/>
    <cellStyle name="Normal 11 2 4 2 5" xfId="28121" xr:uid="{00000000-0005-0000-0000-00000A6D0000}"/>
    <cellStyle name="Normal 11 2 4 2 6" xfId="45062" xr:uid="{00000000-0005-0000-0000-00000B6D0000}"/>
    <cellStyle name="Normal 11 2 4 3" xfId="1141" xr:uid="{00000000-0005-0000-0000-00000C6D0000}"/>
    <cellStyle name="Normal 11 2 4 3 2" xfId="28122" xr:uid="{00000000-0005-0000-0000-00000D6D0000}"/>
    <cellStyle name="Normal 11 2 4 3 2 2" xfId="39109" xr:uid="{00000000-0005-0000-0000-00000E6D0000}"/>
    <cellStyle name="Normal 11 2 4 3 3" xfId="28123" xr:uid="{00000000-0005-0000-0000-00000F6D0000}"/>
    <cellStyle name="Normal 11 2 4 3 4" xfId="45063" xr:uid="{00000000-0005-0000-0000-0000106D0000}"/>
    <cellStyle name="Normal 11 2 4 4" xfId="28124" xr:uid="{00000000-0005-0000-0000-0000116D0000}"/>
    <cellStyle name="Normal 11 2 4 4 2" xfId="28125" xr:uid="{00000000-0005-0000-0000-0000126D0000}"/>
    <cellStyle name="Normal 11 2 4 4 2 2" xfId="39110" xr:uid="{00000000-0005-0000-0000-0000136D0000}"/>
    <cellStyle name="Normal 11 2 4 4 3" xfId="28126" xr:uid="{00000000-0005-0000-0000-0000146D0000}"/>
    <cellStyle name="Normal 11 2 4 5" xfId="28127" xr:uid="{00000000-0005-0000-0000-0000156D0000}"/>
    <cellStyle name="Normal 11 2 4 5 2" xfId="39111" xr:uid="{00000000-0005-0000-0000-0000166D0000}"/>
    <cellStyle name="Normal 11 2 4 6" xfId="28128" xr:uid="{00000000-0005-0000-0000-0000176D0000}"/>
    <cellStyle name="Normal 11 2 4 7" xfId="45064" xr:uid="{00000000-0005-0000-0000-0000186D0000}"/>
    <cellStyle name="Normal 11 2 5" xfId="1142" xr:uid="{00000000-0005-0000-0000-0000196D0000}"/>
    <cellStyle name="Normal 11 2 5 2" xfId="28129" xr:uid="{00000000-0005-0000-0000-00001A6D0000}"/>
    <cellStyle name="Normal 11 2 5 2 2" xfId="28130" xr:uid="{00000000-0005-0000-0000-00001B6D0000}"/>
    <cellStyle name="Normal 11 2 5 2 2 2" xfId="39112" xr:uid="{00000000-0005-0000-0000-00001C6D0000}"/>
    <cellStyle name="Normal 11 2 5 2 3" xfId="28131" xr:uid="{00000000-0005-0000-0000-00001D6D0000}"/>
    <cellStyle name="Normal 11 2 5 3" xfId="28132" xr:uid="{00000000-0005-0000-0000-00001E6D0000}"/>
    <cellStyle name="Normal 11 2 5 3 2" xfId="28133" xr:uid="{00000000-0005-0000-0000-00001F6D0000}"/>
    <cellStyle name="Normal 11 2 5 3 2 2" xfId="39113" xr:uid="{00000000-0005-0000-0000-0000206D0000}"/>
    <cellStyle name="Normal 11 2 5 3 3" xfId="28134" xr:uid="{00000000-0005-0000-0000-0000216D0000}"/>
    <cellStyle name="Normal 11 2 5 4" xfId="28135" xr:uid="{00000000-0005-0000-0000-0000226D0000}"/>
    <cellStyle name="Normal 11 2 5 4 2" xfId="39114" xr:uid="{00000000-0005-0000-0000-0000236D0000}"/>
    <cellStyle name="Normal 11 2 5 5" xfId="28136" xr:uid="{00000000-0005-0000-0000-0000246D0000}"/>
    <cellStyle name="Normal 11 2 5 6" xfId="45065" xr:uid="{00000000-0005-0000-0000-0000256D0000}"/>
    <cellStyle name="Normal 11 2 6" xfId="1143" xr:uid="{00000000-0005-0000-0000-0000266D0000}"/>
    <cellStyle name="Normal 11 2 6 2" xfId="28137" xr:uid="{00000000-0005-0000-0000-0000276D0000}"/>
    <cellStyle name="Normal 11 2 6 2 2" xfId="39115" xr:uid="{00000000-0005-0000-0000-0000286D0000}"/>
    <cellStyle name="Normal 11 2 6 3" xfId="28138" xr:uid="{00000000-0005-0000-0000-0000296D0000}"/>
    <cellStyle name="Normal 11 2 6 4" xfId="45066" xr:uid="{00000000-0005-0000-0000-00002A6D0000}"/>
    <cellStyle name="Normal 11 2 7" xfId="1144" xr:uid="{00000000-0005-0000-0000-00002B6D0000}"/>
    <cellStyle name="Normal 11 2 7 2" xfId="28139" xr:uid="{00000000-0005-0000-0000-00002C6D0000}"/>
    <cellStyle name="Normal 11 2 7 2 2" xfId="39116" xr:uid="{00000000-0005-0000-0000-00002D6D0000}"/>
    <cellStyle name="Normal 11 2 7 3" xfId="28140" xr:uid="{00000000-0005-0000-0000-00002E6D0000}"/>
    <cellStyle name="Normal 11 2 8" xfId="28141" xr:uid="{00000000-0005-0000-0000-00002F6D0000}"/>
    <cellStyle name="Normal 11 2 8 2" xfId="39117" xr:uid="{00000000-0005-0000-0000-0000306D0000}"/>
    <cellStyle name="Normal 11 2 9" xfId="28142" xr:uid="{00000000-0005-0000-0000-0000316D0000}"/>
    <cellStyle name="Normal 11 3" xfId="377" xr:uid="{00000000-0005-0000-0000-0000326D0000}"/>
    <cellStyle name="Normal 11 3 10" xfId="45067" xr:uid="{00000000-0005-0000-0000-0000336D0000}"/>
    <cellStyle name="Normal 11 3 2" xfId="1145" xr:uid="{00000000-0005-0000-0000-0000346D0000}"/>
    <cellStyle name="Normal 11 3 2 2" xfId="1146" xr:uid="{00000000-0005-0000-0000-0000356D0000}"/>
    <cellStyle name="Normal 11 3 2 2 2" xfId="28143" xr:uid="{00000000-0005-0000-0000-0000366D0000}"/>
    <cellStyle name="Normal 11 3 2 2 2 2" xfId="28144" xr:uid="{00000000-0005-0000-0000-0000376D0000}"/>
    <cellStyle name="Normal 11 3 2 2 2 2 2" xfId="28145" xr:uid="{00000000-0005-0000-0000-0000386D0000}"/>
    <cellStyle name="Normal 11 3 2 2 2 2 2 2" xfId="39118" xr:uid="{00000000-0005-0000-0000-0000396D0000}"/>
    <cellStyle name="Normal 11 3 2 2 2 2 3" xfId="28146" xr:uid="{00000000-0005-0000-0000-00003A6D0000}"/>
    <cellStyle name="Normal 11 3 2 2 2 3" xfId="28147" xr:uid="{00000000-0005-0000-0000-00003B6D0000}"/>
    <cellStyle name="Normal 11 3 2 2 2 3 2" xfId="28148" xr:uid="{00000000-0005-0000-0000-00003C6D0000}"/>
    <cellStyle name="Normal 11 3 2 2 2 3 2 2" xfId="39119" xr:uid="{00000000-0005-0000-0000-00003D6D0000}"/>
    <cellStyle name="Normal 11 3 2 2 2 3 3" xfId="28149" xr:uid="{00000000-0005-0000-0000-00003E6D0000}"/>
    <cellStyle name="Normal 11 3 2 2 2 4" xfId="28150" xr:uid="{00000000-0005-0000-0000-00003F6D0000}"/>
    <cellStyle name="Normal 11 3 2 2 2 4 2" xfId="39120" xr:uid="{00000000-0005-0000-0000-0000406D0000}"/>
    <cellStyle name="Normal 11 3 2 2 2 5" xfId="28151" xr:uid="{00000000-0005-0000-0000-0000416D0000}"/>
    <cellStyle name="Normal 11 3 2 2 3" xfId="28152" xr:uid="{00000000-0005-0000-0000-0000426D0000}"/>
    <cellStyle name="Normal 11 3 2 2 3 2" xfId="28153" xr:uid="{00000000-0005-0000-0000-0000436D0000}"/>
    <cellStyle name="Normal 11 3 2 2 3 2 2" xfId="39121" xr:uid="{00000000-0005-0000-0000-0000446D0000}"/>
    <cellStyle name="Normal 11 3 2 2 3 3" xfId="28154" xr:uid="{00000000-0005-0000-0000-0000456D0000}"/>
    <cellStyle name="Normal 11 3 2 2 4" xfId="28155" xr:uid="{00000000-0005-0000-0000-0000466D0000}"/>
    <cellStyle name="Normal 11 3 2 2 4 2" xfId="28156" xr:uid="{00000000-0005-0000-0000-0000476D0000}"/>
    <cellStyle name="Normal 11 3 2 2 4 2 2" xfId="39122" xr:uid="{00000000-0005-0000-0000-0000486D0000}"/>
    <cellStyle name="Normal 11 3 2 2 4 3" xfId="28157" xr:uid="{00000000-0005-0000-0000-0000496D0000}"/>
    <cellStyle name="Normal 11 3 2 2 5" xfId="28158" xr:uid="{00000000-0005-0000-0000-00004A6D0000}"/>
    <cellStyle name="Normal 11 3 2 2 5 2" xfId="39123" xr:uid="{00000000-0005-0000-0000-00004B6D0000}"/>
    <cellStyle name="Normal 11 3 2 2 6" xfId="28159" xr:uid="{00000000-0005-0000-0000-00004C6D0000}"/>
    <cellStyle name="Normal 11 3 2 2 7" xfId="45068" xr:uid="{00000000-0005-0000-0000-00004D6D0000}"/>
    <cellStyle name="Normal 11 3 2 3" xfId="1147" xr:uid="{00000000-0005-0000-0000-00004E6D0000}"/>
    <cellStyle name="Normal 11 3 2 3 2" xfId="28160" xr:uid="{00000000-0005-0000-0000-00004F6D0000}"/>
    <cellStyle name="Normal 11 3 2 3 2 2" xfId="28161" xr:uid="{00000000-0005-0000-0000-0000506D0000}"/>
    <cellStyle name="Normal 11 3 2 3 2 2 2" xfId="39124" xr:uid="{00000000-0005-0000-0000-0000516D0000}"/>
    <cellStyle name="Normal 11 3 2 3 2 3" xfId="28162" xr:uid="{00000000-0005-0000-0000-0000526D0000}"/>
    <cellStyle name="Normal 11 3 2 3 3" xfId="28163" xr:uid="{00000000-0005-0000-0000-0000536D0000}"/>
    <cellStyle name="Normal 11 3 2 3 3 2" xfId="28164" xr:uid="{00000000-0005-0000-0000-0000546D0000}"/>
    <cellStyle name="Normal 11 3 2 3 3 2 2" xfId="39125" xr:uid="{00000000-0005-0000-0000-0000556D0000}"/>
    <cellStyle name="Normal 11 3 2 3 3 3" xfId="28165" xr:uid="{00000000-0005-0000-0000-0000566D0000}"/>
    <cellStyle name="Normal 11 3 2 3 4" xfId="28166" xr:uid="{00000000-0005-0000-0000-0000576D0000}"/>
    <cellStyle name="Normal 11 3 2 3 4 2" xfId="39126" xr:uid="{00000000-0005-0000-0000-0000586D0000}"/>
    <cellStyle name="Normal 11 3 2 3 5" xfId="28167" xr:uid="{00000000-0005-0000-0000-0000596D0000}"/>
    <cellStyle name="Normal 11 3 2 3 6" xfId="45069" xr:uid="{00000000-0005-0000-0000-00005A6D0000}"/>
    <cellStyle name="Normal 11 3 2 4" xfId="1148" xr:uid="{00000000-0005-0000-0000-00005B6D0000}"/>
    <cellStyle name="Normal 11 3 2 4 2" xfId="28168" xr:uid="{00000000-0005-0000-0000-00005C6D0000}"/>
    <cellStyle name="Normal 11 3 2 4 2 2" xfId="39127" xr:uid="{00000000-0005-0000-0000-00005D6D0000}"/>
    <cellStyle name="Normal 11 3 2 4 3" xfId="28169" xr:uid="{00000000-0005-0000-0000-00005E6D0000}"/>
    <cellStyle name="Normal 11 3 2 4 4" xfId="45070" xr:uid="{00000000-0005-0000-0000-00005F6D0000}"/>
    <cellStyle name="Normal 11 3 2 5" xfId="1149" xr:uid="{00000000-0005-0000-0000-0000606D0000}"/>
    <cellStyle name="Normal 11 3 2 5 2" xfId="28170" xr:uid="{00000000-0005-0000-0000-0000616D0000}"/>
    <cellStyle name="Normal 11 3 2 5 2 2" xfId="39128" xr:uid="{00000000-0005-0000-0000-0000626D0000}"/>
    <cellStyle name="Normal 11 3 2 5 3" xfId="28171" xr:uid="{00000000-0005-0000-0000-0000636D0000}"/>
    <cellStyle name="Normal 11 3 2 5 4" xfId="45071" xr:uid="{00000000-0005-0000-0000-0000646D0000}"/>
    <cellStyle name="Normal 11 3 2 6" xfId="28172" xr:uid="{00000000-0005-0000-0000-0000656D0000}"/>
    <cellStyle name="Normal 11 3 2 6 2" xfId="39129" xr:uid="{00000000-0005-0000-0000-0000666D0000}"/>
    <cellStyle name="Normal 11 3 2 7" xfId="28173" xr:uid="{00000000-0005-0000-0000-0000676D0000}"/>
    <cellStyle name="Normal 11 3 2 8" xfId="45072" xr:uid="{00000000-0005-0000-0000-0000686D0000}"/>
    <cellStyle name="Normal 11 3 3" xfId="1150" xr:uid="{00000000-0005-0000-0000-0000696D0000}"/>
    <cellStyle name="Normal 11 3 3 2" xfId="1151" xr:uid="{00000000-0005-0000-0000-00006A6D0000}"/>
    <cellStyle name="Normal 11 3 3 2 2" xfId="28174" xr:uid="{00000000-0005-0000-0000-00006B6D0000}"/>
    <cellStyle name="Normal 11 3 3 2 2 2" xfId="28175" xr:uid="{00000000-0005-0000-0000-00006C6D0000}"/>
    <cellStyle name="Normal 11 3 3 2 2 2 2" xfId="39130" xr:uid="{00000000-0005-0000-0000-00006D6D0000}"/>
    <cellStyle name="Normal 11 3 3 2 2 3" xfId="28176" xr:uid="{00000000-0005-0000-0000-00006E6D0000}"/>
    <cellStyle name="Normal 11 3 3 2 3" xfId="28177" xr:uid="{00000000-0005-0000-0000-00006F6D0000}"/>
    <cellStyle name="Normal 11 3 3 2 3 2" xfId="28178" xr:uid="{00000000-0005-0000-0000-0000706D0000}"/>
    <cellStyle name="Normal 11 3 3 2 3 2 2" xfId="39131" xr:uid="{00000000-0005-0000-0000-0000716D0000}"/>
    <cellStyle name="Normal 11 3 3 2 3 3" xfId="28179" xr:uid="{00000000-0005-0000-0000-0000726D0000}"/>
    <cellStyle name="Normal 11 3 3 2 4" xfId="28180" xr:uid="{00000000-0005-0000-0000-0000736D0000}"/>
    <cellStyle name="Normal 11 3 3 2 4 2" xfId="39132" xr:uid="{00000000-0005-0000-0000-0000746D0000}"/>
    <cellStyle name="Normal 11 3 3 2 5" xfId="28181" xr:uid="{00000000-0005-0000-0000-0000756D0000}"/>
    <cellStyle name="Normal 11 3 3 2 6" xfId="45073" xr:uid="{00000000-0005-0000-0000-0000766D0000}"/>
    <cellStyle name="Normal 11 3 3 3" xfId="1152" xr:uid="{00000000-0005-0000-0000-0000776D0000}"/>
    <cellStyle name="Normal 11 3 3 3 2" xfId="28182" xr:uid="{00000000-0005-0000-0000-0000786D0000}"/>
    <cellStyle name="Normal 11 3 3 3 2 2" xfId="39133" xr:uid="{00000000-0005-0000-0000-0000796D0000}"/>
    <cellStyle name="Normal 11 3 3 3 3" xfId="28183" xr:uid="{00000000-0005-0000-0000-00007A6D0000}"/>
    <cellStyle name="Normal 11 3 3 3 4" xfId="45074" xr:uid="{00000000-0005-0000-0000-00007B6D0000}"/>
    <cellStyle name="Normal 11 3 3 4" xfId="28184" xr:uid="{00000000-0005-0000-0000-00007C6D0000}"/>
    <cellStyle name="Normal 11 3 3 4 2" xfId="28185" xr:uid="{00000000-0005-0000-0000-00007D6D0000}"/>
    <cellStyle name="Normal 11 3 3 4 2 2" xfId="39134" xr:uid="{00000000-0005-0000-0000-00007E6D0000}"/>
    <cellStyle name="Normal 11 3 3 4 3" xfId="28186" xr:uid="{00000000-0005-0000-0000-00007F6D0000}"/>
    <cellStyle name="Normal 11 3 3 5" xfId="28187" xr:uid="{00000000-0005-0000-0000-0000806D0000}"/>
    <cellStyle name="Normal 11 3 3 5 2" xfId="39135" xr:uid="{00000000-0005-0000-0000-0000816D0000}"/>
    <cellStyle name="Normal 11 3 3 6" xfId="28188" xr:uid="{00000000-0005-0000-0000-0000826D0000}"/>
    <cellStyle name="Normal 11 3 3 7" xfId="45075" xr:uid="{00000000-0005-0000-0000-0000836D0000}"/>
    <cellStyle name="Normal 11 3 4" xfId="1153" xr:uid="{00000000-0005-0000-0000-0000846D0000}"/>
    <cellStyle name="Normal 11 3 4 2" xfId="1154" xr:uid="{00000000-0005-0000-0000-0000856D0000}"/>
    <cellStyle name="Normal 11 3 4 2 2" xfId="28189" xr:uid="{00000000-0005-0000-0000-0000866D0000}"/>
    <cellStyle name="Normal 11 3 4 2 2 2" xfId="39136" xr:uid="{00000000-0005-0000-0000-0000876D0000}"/>
    <cellStyle name="Normal 11 3 4 2 3" xfId="28190" xr:uid="{00000000-0005-0000-0000-0000886D0000}"/>
    <cellStyle name="Normal 11 3 4 2 4" xfId="45076" xr:uid="{00000000-0005-0000-0000-0000896D0000}"/>
    <cellStyle name="Normal 11 3 4 3" xfId="1155" xr:uid="{00000000-0005-0000-0000-00008A6D0000}"/>
    <cellStyle name="Normal 11 3 4 3 2" xfId="28191" xr:uid="{00000000-0005-0000-0000-00008B6D0000}"/>
    <cellStyle name="Normal 11 3 4 3 2 2" xfId="39137" xr:uid="{00000000-0005-0000-0000-00008C6D0000}"/>
    <cellStyle name="Normal 11 3 4 3 3" xfId="28192" xr:uid="{00000000-0005-0000-0000-00008D6D0000}"/>
    <cellStyle name="Normal 11 3 4 3 4" xfId="45077" xr:uid="{00000000-0005-0000-0000-00008E6D0000}"/>
    <cellStyle name="Normal 11 3 4 4" xfId="28193" xr:uid="{00000000-0005-0000-0000-00008F6D0000}"/>
    <cellStyle name="Normal 11 3 4 4 2" xfId="39138" xr:uid="{00000000-0005-0000-0000-0000906D0000}"/>
    <cellStyle name="Normal 11 3 4 5" xfId="28194" xr:uid="{00000000-0005-0000-0000-0000916D0000}"/>
    <cellStyle name="Normal 11 3 5" xfId="1156" xr:uid="{00000000-0005-0000-0000-0000926D0000}"/>
    <cellStyle name="Normal 11 3 5 2" xfId="28195" xr:uid="{00000000-0005-0000-0000-0000936D0000}"/>
    <cellStyle name="Normal 11 3 5 2 2" xfId="39139" xr:uid="{00000000-0005-0000-0000-0000946D0000}"/>
    <cellStyle name="Normal 11 3 5 3" xfId="28196" xr:uid="{00000000-0005-0000-0000-0000956D0000}"/>
    <cellStyle name="Normal 11 3 5 4" xfId="45078" xr:uid="{00000000-0005-0000-0000-0000966D0000}"/>
    <cellStyle name="Normal 11 3 6" xfId="1157" xr:uid="{00000000-0005-0000-0000-0000976D0000}"/>
    <cellStyle name="Normal 11 3 6 2" xfId="28197" xr:uid="{00000000-0005-0000-0000-0000986D0000}"/>
    <cellStyle name="Normal 11 3 6 2 2" xfId="39140" xr:uid="{00000000-0005-0000-0000-0000996D0000}"/>
    <cellStyle name="Normal 11 3 6 3" xfId="28198" xr:uid="{00000000-0005-0000-0000-00009A6D0000}"/>
    <cellStyle name="Normal 11 3 6 4" xfId="45079" xr:uid="{00000000-0005-0000-0000-00009B6D0000}"/>
    <cellStyle name="Normal 11 3 7" xfId="28199" xr:uid="{00000000-0005-0000-0000-00009C6D0000}"/>
    <cellStyle name="Normal 11 3 7 2" xfId="39141" xr:uid="{00000000-0005-0000-0000-00009D6D0000}"/>
    <cellStyle name="Normal 11 3 8" xfId="28200" xr:uid="{00000000-0005-0000-0000-00009E6D0000}"/>
    <cellStyle name="Normal 11 3 9" xfId="39142" xr:uid="{00000000-0005-0000-0000-00009F6D0000}"/>
    <cellStyle name="Normal 11 4" xfId="1158" xr:uid="{00000000-0005-0000-0000-0000A06D0000}"/>
    <cellStyle name="Normal 11 4 2" xfId="1159" xr:uid="{00000000-0005-0000-0000-0000A16D0000}"/>
    <cellStyle name="Normal 11 4 2 2" xfId="1160" xr:uid="{00000000-0005-0000-0000-0000A26D0000}"/>
    <cellStyle name="Normal 11 4 2 2 2" xfId="28201" xr:uid="{00000000-0005-0000-0000-0000A36D0000}"/>
    <cellStyle name="Normal 11 4 2 2 2 2" xfId="28202" xr:uid="{00000000-0005-0000-0000-0000A46D0000}"/>
    <cellStyle name="Normal 11 4 2 2 2 2 2" xfId="28203" xr:uid="{00000000-0005-0000-0000-0000A56D0000}"/>
    <cellStyle name="Normal 11 4 2 2 2 2 2 2" xfId="39143" xr:uid="{00000000-0005-0000-0000-0000A66D0000}"/>
    <cellStyle name="Normal 11 4 2 2 2 2 3" xfId="28204" xr:uid="{00000000-0005-0000-0000-0000A76D0000}"/>
    <cellStyle name="Normal 11 4 2 2 2 3" xfId="28205" xr:uid="{00000000-0005-0000-0000-0000A86D0000}"/>
    <cellStyle name="Normal 11 4 2 2 2 3 2" xfId="28206" xr:uid="{00000000-0005-0000-0000-0000A96D0000}"/>
    <cellStyle name="Normal 11 4 2 2 2 3 2 2" xfId="39144" xr:uid="{00000000-0005-0000-0000-0000AA6D0000}"/>
    <cellStyle name="Normal 11 4 2 2 2 3 3" xfId="28207" xr:uid="{00000000-0005-0000-0000-0000AB6D0000}"/>
    <cellStyle name="Normal 11 4 2 2 2 4" xfId="28208" xr:uid="{00000000-0005-0000-0000-0000AC6D0000}"/>
    <cellStyle name="Normal 11 4 2 2 2 4 2" xfId="39145" xr:uid="{00000000-0005-0000-0000-0000AD6D0000}"/>
    <cellStyle name="Normal 11 4 2 2 2 5" xfId="28209" xr:uid="{00000000-0005-0000-0000-0000AE6D0000}"/>
    <cellStyle name="Normal 11 4 2 2 3" xfId="28210" xr:uid="{00000000-0005-0000-0000-0000AF6D0000}"/>
    <cellStyle name="Normal 11 4 2 2 3 2" xfId="28211" xr:uid="{00000000-0005-0000-0000-0000B06D0000}"/>
    <cellStyle name="Normal 11 4 2 2 3 2 2" xfId="39146" xr:uid="{00000000-0005-0000-0000-0000B16D0000}"/>
    <cellStyle name="Normal 11 4 2 2 3 3" xfId="28212" xr:uid="{00000000-0005-0000-0000-0000B26D0000}"/>
    <cellStyle name="Normal 11 4 2 2 4" xfId="28213" xr:uid="{00000000-0005-0000-0000-0000B36D0000}"/>
    <cellStyle name="Normal 11 4 2 2 4 2" xfId="28214" xr:uid="{00000000-0005-0000-0000-0000B46D0000}"/>
    <cellStyle name="Normal 11 4 2 2 4 2 2" xfId="39147" xr:uid="{00000000-0005-0000-0000-0000B56D0000}"/>
    <cellStyle name="Normal 11 4 2 2 4 3" xfId="28215" xr:uid="{00000000-0005-0000-0000-0000B66D0000}"/>
    <cellStyle name="Normal 11 4 2 2 5" xfId="28216" xr:uid="{00000000-0005-0000-0000-0000B76D0000}"/>
    <cellStyle name="Normal 11 4 2 2 5 2" xfId="39148" xr:uid="{00000000-0005-0000-0000-0000B86D0000}"/>
    <cellStyle name="Normal 11 4 2 2 6" xfId="28217" xr:uid="{00000000-0005-0000-0000-0000B96D0000}"/>
    <cellStyle name="Normal 11 4 2 2 7" xfId="45080" xr:uid="{00000000-0005-0000-0000-0000BA6D0000}"/>
    <cellStyle name="Normal 11 4 2 3" xfId="1161" xr:uid="{00000000-0005-0000-0000-0000BB6D0000}"/>
    <cellStyle name="Normal 11 4 2 3 2" xfId="28218" xr:uid="{00000000-0005-0000-0000-0000BC6D0000}"/>
    <cellStyle name="Normal 11 4 2 3 2 2" xfId="28219" xr:uid="{00000000-0005-0000-0000-0000BD6D0000}"/>
    <cellStyle name="Normal 11 4 2 3 2 2 2" xfId="39149" xr:uid="{00000000-0005-0000-0000-0000BE6D0000}"/>
    <cellStyle name="Normal 11 4 2 3 2 3" xfId="28220" xr:uid="{00000000-0005-0000-0000-0000BF6D0000}"/>
    <cellStyle name="Normal 11 4 2 3 3" xfId="28221" xr:uid="{00000000-0005-0000-0000-0000C06D0000}"/>
    <cellStyle name="Normal 11 4 2 3 3 2" xfId="28222" xr:uid="{00000000-0005-0000-0000-0000C16D0000}"/>
    <cellStyle name="Normal 11 4 2 3 3 2 2" xfId="39150" xr:uid="{00000000-0005-0000-0000-0000C26D0000}"/>
    <cellStyle name="Normal 11 4 2 3 3 3" xfId="28223" xr:uid="{00000000-0005-0000-0000-0000C36D0000}"/>
    <cellStyle name="Normal 11 4 2 3 4" xfId="28224" xr:uid="{00000000-0005-0000-0000-0000C46D0000}"/>
    <cellStyle name="Normal 11 4 2 3 4 2" xfId="39151" xr:uid="{00000000-0005-0000-0000-0000C56D0000}"/>
    <cellStyle name="Normal 11 4 2 3 5" xfId="28225" xr:uid="{00000000-0005-0000-0000-0000C66D0000}"/>
    <cellStyle name="Normal 11 4 2 3 6" xfId="45081" xr:uid="{00000000-0005-0000-0000-0000C76D0000}"/>
    <cellStyle name="Normal 11 4 2 4" xfId="1162" xr:uid="{00000000-0005-0000-0000-0000C86D0000}"/>
    <cellStyle name="Normal 11 4 2 4 2" xfId="28226" xr:uid="{00000000-0005-0000-0000-0000C96D0000}"/>
    <cellStyle name="Normal 11 4 2 4 2 2" xfId="39152" xr:uid="{00000000-0005-0000-0000-0000CA6D0000}"/>
    <cellStyle name="Normal 11 4 2 4 3" xfId="28227" xr:uid="{00000000-0005-0000-0000-0000CB6D0000}"/>
    <cellStyle name="Normal 11 4 2 4 4" xfId="45082" xr:uid="{00000000-0005-0000-0000-0000CC6D0000}"/>
    <cellStyle name="Normal 11 4 2 5" xfId="1163" xr:uid="{00000000-0005-0000-0000-0000CD6D0000}"/>
    <cellStyle name="Normal 11 4 2 5 2" xfId="28228" xr:uid="{00000000-0005-0000-0000-0000CE6D0000}"/>
    <cellStyle name="Normal 11 4 2 5 2 2" xfId="39153" xr:uid="{00000000-0005-0000-0000-0000CF6D0000}"/>
    <cellStyle name="Normal 11 4 2 5 3" xfId="28229" xr:uid="{00000000-0005-0000-0000-0000D06D0000}"/>
    <cellStyle name="Normal 11 4 2 5 4" xfId="45083" xr:uid="{00000000-0005-0000-0000-0000D16D0000}"/>
    <cellStyle name="Normal 11 4 2 6" xfId="28230" xr:uid="{00000000-0005-0000-0000-0000D26D0000}"/>
    <cellStyle name="Normal 11 4 2 6 2" xfId="39154" xr:uid="{00000000-0005-0000-0000-0000D36D0000}"/>
    <cellStyle name="Normal 11 4 2 7" xfId="28231" xr:uid="{00000000-0005-0000-0000-0000D46D0000}"/>
    <cellStyle name="Normal 11 4 2 8" xfId="45084" xr:uid="{00000000-0005-0000-0000-0000D56D0000}"/>
    <cellStyle name="Normal 11 4 3" xfId="1164" xr:uid="{00000000-0005-0000-0000-0000D66D0000}"/>
    <cellStyle name="Normal 11 4 3 2" xfId="1165" xr:uid="{00000000-0005-0000-0000-0000D76D0000}"/>
    <cellStyle name="Normal 11 4 3 2 2" xfId="28232" xr:uid="{00000000-0005-0000-0000-0000D86D0000}"/>
    <cellStyle name="Normal 11 4 3 2 2 2" xfId="28233" xr:uid="{00000000-0005-0000-0000-0000D96D0000}"/>
    <cellStyle name="Normal 11 4 3 2 2 2 2" xfId="39155" xr:uid="{00000000-0005-0000-0000-0000DA6D0000}"/>
    <cellStyle name="Normal 11 4 3 2 2 3" xfId="28234" xr:uid="{00000000-0005-0000-0000-0000DB6D0000}"/>
    <cellStyle name="Normal 11 4 3 2 3" xfId="28235" xr:uid="{00000000-0005-0000-0000-0000DC6D0000}"/>
    <cellStyle name="Normal 11 4 3 2 3 2" xfId="28236" xr:uid="{00000000-0005-0000-0000-0000DD6D0000}"/>
    <cellStyle name="Normal 11 4 3 2 3 2 2" xfId="39156" xr:uid="{00000000-0005-0000-0000-0000DE6D0000}"/>
    <cellStyle name="Normal 11 4 3 2 3 3" xfId="28237" xr:uid="{00000000-0005-0000-0000-0000DF6D0000}"/>
    <cellStyle name="Normal 11 4 3 2 4" xfId="28238" xr:uid="{00000000-0005-0000-0000-0000E06D0000}"/>
    <cellStyle name="Normal 11 4 3 2 4 2" xfId="39157" xr:uid="{00000000-0005-0000-0000-0000E16D0000}"/>
    <cellStyle name="Normal 11 4 3 2 5" xfId="28239" xr:uid="{00000000-0005-0000-0000-0000E26D0000}"/>
    <cellStyle name="Normal 11 4 3 2 6" xfId="45085" xr:uid="{00000000-0005-0000-0000-0000E36D0000}"/>
    <cellStyle name="Normal 11 4 3 3" xfId="1166" xr:uid="{00000000-0005-0000-0000-0000E46D0000}"/>
    <cellStyle name="Normal 11 4 3 3 2" xfId="28240" xr:uid="{00000000-0005-0000-0000-0000E56D0000}"/>
    <cellStyle name="Normal 11 4 3 3 2 2" xfId="39158" xr:uid="{00000000-0005-0000-0000-0000E66D0000}"/>
    <cellStyle name="Normal 11 4 3 3 3" xfId="28241" xr:uid="{00000000-0005-0000-0000-0000E76D0000}"/>
    <cellStyle name="Normal 11 4 3 3 4" xfId="45086" xr:uid="{00000000-0005-0000-0000-0000E86D0000}"/>
    <cellStyle name="Normal 11 4 3 4" xfId="28242" xr:uid="{00000000-0005-0000-0000-0000E96D0000}"/>
    <cellStyle name="Normal 11 4 3 4 2" xfId="28243" xr:uid="{00000000-0005-0000-0000-0000EA6D0000}"/>
    <cellStyle name="Normal 11 4 3 4 2 2" xfId="39159" xr:uid="{00000000-0005-0000-0000-0000EB6D0000}"/>
    <cellStyle name="Normal 11 4 3 4 3" xfId="28244" xr:uid="{00000000-0005-0000-0000-0000EC6D0000}"/>
    <cellStyle name="Normal 11 4 3 5" xfId="28245" xr:uid="{00000000-0005-0000-0000-0000ED6D0000}"/>
    <cellStyle name="Normal 11 4 3 5 2" xfId="39160" xr:uid="{00000000-0005-0000-0000-0000EE6D0000}"/>
    <cellStyle name="Normal 11 4 3 6" xfId="28246" xr:uid="{00000000-0005-0000-0000-0000EF6D0000}"/>
    <cellStyle name="Normal 11 4 3 7" xfId="45087" xr:uid="{00000000-0005-0000-0000-0000F06D0000}"/>
    <cellStyle name="Normal 11 4 4" xfId="1167" xr:uid="{00000000-0005-0000-0000-0000F16D0000}"/>
    <cellStyle name="Normal 11 4 4 2" xfId="1168" xr:uid="{00000000-0005-0000-0000-0000F26D0000}"/>
    <cellStyle name="Normal 11 4 4 2 2" xfId="28247" xr:uid="{00000000-0005-0000-0000-0000F36D0000}"/>
    <cellStyle name="Normal 11 4 4 2 2 2" xfId="39161" xr:uid="{00000000-0005-0000-0000-0000F46D0000}"/>
    <cellStyle name="Normal 11 4 4 2 3" xfId="28248" xr:uid="{00000000-0005-0000-0000-0000F56D0000}"/>
    <cellStyle name="Normal 11 4 4 2 4" xfId="45088" xr:uid="{00000000-0005-0000-0000-0000F66D0000}"/>
    <cellStyle name="Normal 11 4 4 3" xfId="1169" xr:uid="{00000000-0005-0000-0000-0000F76D0000}"/>
    <cellStyle name="Normal 11 4 4 3 2" xfId="28249" xr:uid="{00000000-0005-0000-0000-0000F86D0000}"/>
    <cellStyle name="Normal 11 4 4 3 2 2" xfId="39162" xr:uid="{00000000-0005-0000-0000-0000F96D0000}"/>
    <cellStyle name="Normal 11 4 4 3 3" xfId="28250" xr:uid="{00000000-0005-0000-0000-0000FA6D0000}"/>
    <cellStyle name="Normal 11 4 4 3 4" xfId="45089" xr:uid="{00000000-0005-0000-0000-0000FB6D0000}"/>
    <cellStyle name="Normal 11 4 4 4" xfId="28251" xr:uid="{00000000-0005-0000-0000-0000FC6D0000}"/>
    <cellStyle name="Normal 11 4 4 4 2" xfId="39163" xr:uid="{00000000-0005-0000-0000-0000FD6D0000}"/>
    <cellStyle name="Normal 11 4 4 5" xfId="28252" xr:uid="{00000000-0005-0000-0000-0000FE6D0000}"/>
    <cellStyle name="Normal 11 4 4 6" xfId="45090" xr:uid="{00000000-0005-0000-0000-0000FF6D0000}"/>
    <cellStyle name="Normal 11 4 5" xfId="1170" xr:uid="{00000000-0005-0000-0000-0000006E0000}"/>
    <cellStyle name="Normal 11 4 5 2" xfId="28253" xr:uid="{00000000-0005-0000-0000-0000016E0000}"/>
    <cellStyle name="Normal 11 4 5 2 2" xfId="39164" xr:uid="{00000000-0005-0000-0000-0000026E0000}"/>
    <cellStyle name="Normal 11 4 5 3" xfId="28254" xr:uid="{00000000-0005-0000-0000-0000036E0000}"/>
    <cellStyle name="Normal 11 4 5 4" xfId="45091" xr:uid="{00000000-0005-0000-0000-0000046E0000}"/>
    <cellStyle name="Normal 11 4 6" xfId="1171" xr:uid="{00000000-0005-0000-0000-0000056E0000}"/>
    <cellStyle name="Normal 11 4 6 2" xfId="28255" xr:uid="{00000000-0005-0000-0000-0000066E0000}"/>
    <cellStyle name="Normal 11 4 6 2 2" xfId="39165" xr:uid="{00000000-0005-0000-0000-0000076E0000}"/>
    <cellStyle name="Normal 11 4 6 3" xfId="28256" xr:uid="{00000000-0005-0000-0000-0000086E0000}"/>
    <cellStyle name="Normal 11 4 6 4" xfId="45092" xr:uid="{00000000-0005-0000-0000-0000096E0000}"/>
    <cellStyle name="Normal 11 4 7" xfId="28257" xr:uid="{00000000-0005-0000-0000-00000A6E0000}"/>
    <cellStyle name="Normal 11 4 7 2" xfId="39166" xr:uid="{00000000-0005-0000-0000-00000B6E0000}"/>
    <cellStyle name="Normal 11 4 8" xfId="28258" xr:uid="{00000000-0005-0000-0000-00000C6E0000}"/>
    <cellStyle name="Normal 11 4 9" xfId="45093" xr:uid="{00000000-0005-0000-0000-00000D6E0000}"/>
    <cellStyle name="Normal 11 5" xfId="1172" xr:uid="{00000000-0005-0000-0000-00000E6E0000}"/>
    <cellStyle name="Normal 11 5 10" xfId="1173" xr:uid="{00000000-0005-0000-0000-00000F6E0000}"/>
    <cellStyle name="Normal 11 5 10 2" xfId="1174" xr:uid="{00000000-0005-0000-0000-0000106E0000}"/>
    <cellStyle name="Normal 11 5 10 2 2" xfId="39167" xr:uid="{00000000-0005-0000-0000-0000116E0000}"/>
    <cellStyle name="Normal 11 5 10 2 3" xfId="45094" xr:uid="{00000000-0005-0000-0000-0000126E0000}"/>
    <cellStyle name="Normal 11 5 10 3" xfId="1175" xr:uid="{00000000-0005-0000-0000-0000136E0000}"/>
    <cellStyle name="Normal 11 5 10 3 2" xfId="39168" xr:uid="{00000000-0005-0000-0000-0000146E0000}"/>
    <cellStyle name="Normal 11 5 10 3 3" xfId="45095" xr:uid="{00000000-0005-0000-0000-0000156E0000}"/>
    <cellStyle name="Normal 11 5 10 4" xfId="39169" xr:uid="{00000000-0005-0000-0000-0000166E0000}"/>
    <cellStyle name="Normal 11 5 10 5" xfId="45096" xr:uid="{00000000-0005-0000-0000-0000176E0000}"/>
    <cellStyle name="Normal 11 5 11" xfId="1176" xr:uid="{00000000-0005-0000-0000-0000186E0000}"/>
    <cellStyle name="Normal 11 5 11 2" xfId="1177" xr:uid="{00000000-0005-0000-0000-0000196E0000}"/>
    <cellStyle name="Normal 11 5 11 2 2" xfId="39170" xr:uid="{00000000-0005-0000-0000-00001A6E0000}"/>
    <cellStyle name="Normal 11 5 11 2 3" xfId="45097" xr:uid="{00000000-0005-0000-0000-00001B6E0000}"/>
    <cellStyle name="Normal 11 5 11 3" xfId="39171" xr:uid="{00000000-0005-0000-0000-00001C6E0000}"/>
    <cellStyle name="Normal 11 5 11 4" xfId="45098" xr:uid="{00000000-0005-0000-0000-00001D6E0000}"/>
    <cellStyle name="Normal 11 5 12" xfId="1178" xr:uid="{00000000-0005-0000-0000-00001E6E0000}"/>
    <cellStyle name="Normal 11 5 12 2" xfId="1179" xr:uid="{00000000-0005-0000-0000-00001F6E0000}"/>
    <cellStyle name="Normal 11 5 12 2 2" xfId="39172" xr:uid="{00000000-0005-0000-0000-0000206E0000}"/>
    <cellStyle name="Normal 11 5 12 2 3" xfId="45099" xr:uid="{00000000-0005-0000-0000-0000216E0000}"/>
    <cellStyle name="Normal 11 5 12 3" xfId="39173" xr:uid="{00000000-0005-0000-0000-0000226E0000}"/>
    <cellStyle name="Normal 11 5 12 4" xfId="45100" xr:uid="{00000000-0005-0000-0000-0000236E0000}"/>
    <cellStyle name="Normal 11 5 13" xfId="1180" xr:uid="{00000000-0005-0000-0000-0000246E0000}"/>
    <cellStyle name="Normal 11 5 13 2" xfId="39174" xr:uid="{00000000-0005-0000-0000-0000256E0000}"/>
    <cellStyle name="Normal 11 5 13 3" xfId="45101" xr:uid="{00000000-0005-0000-0000-0000266E0000}"/>
    <cellStyle name="Normal 11 5 14" xfId="1181" xr:uid="{00000000-0005-0000-0000-0000276E0000}"/>
    <cellStyle name="Normal 11 5 14 2" xfId="39175" xr:uid="{00000000-0005-0000-0000-0000286E0000}"/>
    <cellStyle name="Normal 11 5 14 3" xfId="45102" xr:uid="{00000000-0005-0000-0000-0000296E0000}"/>
    <cellStyle name="Normal 11 5 15" xfId="1182" xr:uid="{00000000-0005-0000-0000-00002A6E0000}"/>
    <cellStyle name="Normal 11 5 15 2" xfId="39176" xr:uid="{00000000-0005-0000-0000-00002B6E0000}"/>
    <cellStyle name="Normal 11 5 15 3" xfId="45103" xr:uid="{00000000-0005-0000-0000-00002C6E0000}"/>
    <cellStyle name="Normal 11 5 16" xfId="1183" xr:uid="{00000000-0005-0000-0000-00002D6E0000}"/>
    <cellStyle name="Normal 11 5 16 2" xfId="39177" xr:uid="{00000000-0005-0000-0000-00002E6E0000}"/>
    <cellStyle name="Normal 11 5 16 3" xfId="45104" xr:uid="{00000000-0005-0000-0000-00002F6E0000}"/>
    <cellStyle name="Normal 11 5 17" xfId="1184" xr:uid="{00000000-0005-0000-0000-0000306E0000}"/>
    <cellStyle name="Normal 11 5 17 2" xfId="39178" xr:uid="{00000000-0005-0000-0000-0000316E0000}"/>
    <cellStyle name="Normal 11 5 17 3" xfId="45105" xr:uid="{00000000-0005-0000-0000-0000326E0000}"/>
    <cellStyle name="Normal 11 5 18" xfId="1185" xr:uid="{00000000-0005-0000-0000-0000336E0000}"/>
    <cellStyle name="Normal 11 5 18 2" xfId="39179" xr:uid="{00000000-0005-0000-0000-0000346E0000}"/>
    <cellStyle name="Normal 11 5 18 3" xfId="45106" xr:uid="{00000000-0005-0000-0000-0000356E0000}"/>
    <cellStyle name="Normal 11 5 19" xfId="1186" xr:uid="{00000000-0005-0000-0000-0000366E0000}"/>
    <cellStyle name="Normal 11 5 19 2" xfId="1187" xr:uid="{00000000-0005-0000-0000-0000376E0000}"/>
    <cellStyle name="Normal 11 5 19 2 2" xfId="39180" xr:uid="{00000000-0005-0000-0000-0000386E0000}"/>
    <cellStyle name="Normal 11 5 19 2 3" xfId="45107" xr:uid="{00000000-0005-0000-0000-0000396E0000}"/>
    <cellStyle name="Normal 11 5 19 3" xfId="1188" xr:uid="{00000000-0005-0000-0000-00003A6E0000}"/>
    <cellStyle name="Normal 11 5 19 3 2" xfId="39181" xr:uid="{00000000-0005-0000-0000-00003B6E0000}"/>
    <cellStyle name="Normal 11 5 19 3 3" xfId="45108" xr:uid="{00000000-0005-0000-0000-00003C6E0000}"/>
    <cellStyle name="Normal 11 5 19 4" xfId="1189" xr:uid="{00000000-0005-0000-0000-00003D6E0000}"/>
    <cellStyle name="Normal 11 5 19 4 2" xfId="39182" xr:uid="{00000000-0005-0000-0000-00003E6E0000}"/>
    <cellStyle name="Normal 11 5 19 4 3" xfId="45109" xr:uid="{00000000-0005-0000-0000-00003F6E0000}"/>
    <cellStyle name="Normal 11 5 19 5" xfId="1190" xr:uid="{00000000-0005-0000-0000-0000406E0000}"/>
    <cellStyle name="Normal 11 5 19 5 2" xfId="39183" xr:uid="{00000000-0005-0000-0000-0000416E0000}"/>
    <cellStyle name="Normal 11 5 19 5 3" xfId="45110" xr:uid="{00000000-0005-0000-0000-0000426E0000}"/>
    <cellStyle name="Normal 11 5 19 6" xfId="1191" xr:uid="{00000000-0005-0000-0000-0000436E0000}"/>
    <cellStyle name="Normal 11 5 19 6 2" xfId="39184" xr:uid="{00000000-0005-0000-0000-0000446E0000}"/>
    <cellStyle name="Normal 11 5 19 6 3" xfId="45111" xr:uid="{00000000-0005-0000-0000-0000456E0000}"/>
    <cellStyle name="Normal 11 5 19 7" xfId="39185" xr:uid="{00000000-0005-0000-0000-0000466E0000}"/>
    <cellStyle name="Normal 11 5 19 8" xfId="45112" xr:uid="{00000000-0005-0000-0000-0000476E0000}"/>
    <cellStyle name="Normal 11 5 2" xfId="1192" xr:uid="{00000000-0005-0000-0000-0000486E0000}"/>
    <cellStyle name="Normal 11 5 2 2" xfId="1193" xr:uid="{00000000-0005-0000-0000-0000496E0000}"/>
    <cellStyle name="Normal 11 5 2 2 2" xfId="1194" xr:uid="{00000000-0005-0000-0000-00004A6E0000}"/>
    <cellStyle name="Normal 11 5 2 2 2 2" xfId="28259" xr:uid="{00000000-0005-0000-0000-00004B6E0000}"/>
    <cellStyle name="Normal 11 5 2 2 2 2 2" xfId="39186" xr:uid="{00000000-0005-0000-0000-00004C6E0000}"/>
    <cellStyle name="Normal 11 5 2 2 2 3" xfId="28260" xr:uid="{00000000-0005-0000-0000-00004D6E0000}"/>
    <cellStyle name="Normal 11 5 2 2 2 4" xfId="45113" xr:uid="{00000000-0005-0000-0000-00004E6E0000}"/>
    <cellStyle name="Normal 11 5 2 2 3" xfId="1195" xr:uid="{00000000-0005-0000-0000-00004F6E0000}"/>
    <cellStyle name="Normal 11 5 2 2 3 2" xfId="28261" xr:uid="{00000000-0005-0000-0000-0000506E0000}"/>
    <cellStyle name="Normal 11 5 2 2 3 2 2" xfId="39187" xr:uid="{00000000-0005-0000-0000-0000516E0000}"/>
    <cellStyle name="Normal 11 5 2 2 3 3" xfId="28262" xr:uid="{00000000-0005-0000-0000-0000526E0000}"/>
    <cellStyle name="Normal 11 5 2 2 3 4" xfId="45114" xr:uid="{00000000-0005-0000-0000-0000536E0000}"/>
    <cellStyle name="Normal 11 5 2 2 4" xfId="1196" xr:uid="{00000000-0005-0000-0000-0000546E0000}"/>
    <cellStyle name="Normal 11 5 2 2 4 2" xfId="39188" xr:uid="{00000000-0005-0000-0000-0000556E0000}"/>
    <cellStyle name="Normal 11 5 2 2 4 3" xfId="45115" xr:uid="{00000000-0005-0000-0000-0000566E0000}"/>
    <cellStyle name="Normal 11 5 2 2 5" xfId="1197" xr:uid="{00000000-0005-0000-0000-0000576E0000}"/>
    <cellStyle name="Normal 11 5 2 2 5 2" xfId="39189" xr:uid="{00000000-0005-0000-0000-0000586E0000}"/>
    <cellStyle name="Normal 11 5 2 2 5 3" xfId="45116" xr:uid="{00000000-0005-0000-0000-0000596E0000}"/>
    <cellStyle name="Normal 11 5 2 2 6" xfId="39190" xr:uid="{00000000-0005-0000-0000-00005A6E0000}"/>
    <cellStyle name="Normal 11 5 2 2 7" xfId="45117" xr:uid="{00000000-0005-0000-0000-00005B6E0000}"/>
    <cellStyle name="Normal 11 5 2 3" xfId="1198" xr:uid="{00000000-0005-0000-0000-00005C6E0000}"/>
    <cellStyle name="Normal 11 5 2 3 2" xfId="1199" xr:uid="{00000000-0005-0000-0000-00005D6E0000}"/>
    <cellStyle name="Normal 11 5 2 3 2 2" xfId="39191" xr:uid="{00000000-0005-0000-0000-00005E6E0000}"/>
    <cellStyle name="Normal 11 5 2 3 2 3" xfId="45118" xr:uid="{00000000-0005-0000-0000-00005F6E0000}"/>
    <cellStyle name="Normal 11 5 2 3 3" xfId="1200" xr:uid="{00000000-0005-0000-0000-0000606E0000}"/>
    <cellStyle name="Normal 11 5 2 3 3 2" xfId="39192" xr:uid="{00000000-0005-0000-0000-0000616E0000}"/>
    <cellStyle name="Normal 11 5 2 3 3 3" xfId="45119" xr:uid="{00000000-0005-0000-0000-0000626E0000}"/>
    <cellStyle name="Normal 11 5 2 3 4" xfId="39193" xr:uid="{00000000-0005-0000-0000-0000636E0000}"/>
    <cellStyle name="Normal 11 5 2 3 5" xfId="45120" xr:uid="{00000000-0005-0000-0000-0000646E0000}"/>
    <cellStyle name="Normal 11 5 2 4" xfId="1201" xr:uid="{00000000-0005-0000-0000-0000656E0000}"/>
    <cellStyle name="Normal 11 5 2 4 2" xfId="1202" xr:uid="{00000000-0005-0000-0000-0000666E0000}"/>
    <cellStyle name="Normal 11 5 2 4 2 2" xfId="39194" xr:uid="{00000000-0005-0000-0000-0000676E0000}"/>
    <cellStyle name="Normal 11 5 2 4 2 3" xfId="45121" xr:uid="{00000000-0005-0000-0000-0000686E0000}"/>
    <cellStyle name="Normal 11 5 2 4 3" xfId="1203" xr:uid="{00000000-0005-0000-0000-0000696E0000}"/>
    <cellStyle name="Normal 11 5 2 4 3 2" xfId="39195" xr:uid="{00000000-0005-0000-0000-00006A6E0000}"/>
    <cellStyle name="Normal 11 5 2 4 3 3" xfId="45122" xr:uid="{00000000-0005-0000-0000-00006B6E0000}"/>
    <cellStyle name="Normal 11 5 2 4 4" xfId="39196" xr:uid="{00000000-0005-0000-0000-00006C6E0000}"/>
    <cellStyle name="Normal 11 5 2 4 5" xfId="45123" xr:uid="{00000000-0005-0000-0000-00006D6E0000}"/>
    <cellStyle name="Normal 11 5 2 5" xfId="1204" xr:uid="{00000000-0005-0000-0000-00006E6E0000}"/>
    <cellStyle name="Normal 11 5 2 5 2" xfId="39197" xr:uid="{00000000-0005-0000-0000-00006F6E0000}"/>
    <cellStyle name="Normal 11 5 2 5 3" xfId="45124" xr:uid="{00000000-0005-0000-0000-0000706E0000}"/>
    <cellStyle name="Normal 11 5 2 6" xfId="1205" xr:uid="{00000000-0005-0000-0000-0000716E0000}"/>
    <cellStyle name="Normal 11 5 2 6 2" xfId="39198" xr:uid="{00000000-0005-0000-0000-0000726E0000}"/>
    <cellStyle name="Normal 11 5 2 6 3" xfId="45125" xr:uid="{00000000-0005-0000-0000-0000736E0000}"/>
    <cellStyle name="Normal 11 5 2 7" xfId="39199" xr:uid="{00000000-0005-0000-0000-0000746E0000}"/>
    <cellStyle name="Normal 11 5 2 8" xfId="45126" xr:uid="{00000000-0005-0000-0000-0000756E0000}"/>
    <cellStyle name="Normal 11 5 20" xfId="1206" xr:uid="{00000000-0005-0000-0000-0000766E0000}"/>
    <cellStyle name="Normal 11 5 20 2" xfId="39200" xr:uid="{00000000-0005-0000-0000-0000776E0000}"/>
    <cellStyle name="Normal 11 5 20 3" xfId="45127" xr:uid="{00000000-0005-0000-0000-0000786E0000}"/>
    <cellStyle name="Normal 11 5 21" xfId="1207" xr:uid="{00000000-0005-0000-0000-0000796E0000}"/>
    <cellStyle name="Normal 11 5 21 2" xfId="39201" xr:uid="{00000000-0005-0000-0000-00007A6E0000}"/>
    <cellStyle name="Normal 11 5 21 3" xfId="45128" xr:uid="{00000000-0005-0000-0000-00007B6E0000}"/>
    <cellStyle name="Normal 11 5 22" xfId="1208" xr:uid="{00000000-0005-0000-0000-00007C6E0000}"/>
    <cellStyle name="Normal 11 5 22 2" xfId="39202" xr:uid="{00000000-0005-0000-0000-00007D6E0000}"/>
    <cellStyle name="Normal 11 5 22 3" xfId="45129" xr:uid="{00000000-0005-0000-0000-00007E6E0000}"/>
    <cellStyle name="Normal 11 5 23" xfId="1209" xr:uid="{00000000-0005-0000-0000-00007F6E0000}"/>
    <cellStyle name="Normal 11 5 23 2" xfId="39203" xr:uid="{00000000-0005-0000-0000-0000806E0000}"/>
    <cellStyle name="Normal 11 5 23 3" xfId="45130" xr:uid="{00000000-0005-0000-0000-0000816E0000}"/>
    <cellStyle name="Normal 11 5 24" xfId="1210" xr:uid="{00000000-0005-0000-0000-0000826E0000}"/>
    <cellStyle name="Normal 11 5 24 2" xfId="39204" xr:uid="{00000000-0005-0000-0000-0000836E0000}"/>
    <cellStyle name="Normal 11 5 24 3" xfId="45131" xr:uid="{00000000-0005-0000-0000-0000846E0000}"/>
    <cellStyle name="Normal 11 5 25" xfId="1211" xr:uid="{00000000-0005-0000-0000-0000856E0000}"/>
    <cellStyle name="Normal 11 5 25 2" xfId="39205" xr:uid="{00000000-0005-0000-0000-0000866E0000}"/>
    <cellStyle name="Normal 11 5 25 3" xfId="45132" xr:uid="{00000000-0005-0000-0000-0000876E0000}"/>
    <cellStyle name="Normal 11 5 26" xfId="1212" xr:uid="{00000000-0005-0000-0000-0000886E0000}"/>
    <cellStyle name="Normal 11 5 26 2" xfId="39206" xr:uid="{00000000-0005-0000-0000-0000896E0000}"/>
    <cellStyle name="Normal 11 5 26 3" xfId="45133" xr:uid="{00000000-0005-0000-0000-00008A6E0000}"/>
    <cellStyle name="Normal 11 5 27" xfId="1213" xr:uid="{00000000-0005-0000-0000-00008B6E0000}"/>
    <cellStyle name="Normal 11 5 27 2" xfId="39207" xr:uid="{00000000-0005-0000-0000-00008C6E0000}"/>
    <cellStyle name="Normal 11 5 27 3" xfId="45134" xr:uid="{00000000-0005-0000-0000-00008D6E0000}"/>
    <cellStyle name="Normal 11 5 28" xfId="1214" xr:uid="{00000000-0005-0000-0000-00008E6E0000}"/>
    <cellStyle name="Normal 11 5 28 2" xfId="39208" xr:uid="{00000000-0005-0000-0000-00008F6E0000}"/>
    <cellStyle name="Normal 11 5 28 3" xfId="45135" xr:uid="{00000000-0005-0000-0000-0000906E0000}"/>
    <cellStyle name="Normal 11 5 29" xfId="39209" xr:uid="{00000000-0005-0000-0000-0000916E0000}"/>
    <cellStyle name="Normal 11 5 3" xfId="1215" xr:uid="{00000000-0005-0000-0000-0000926E0000}"/>
    <cellStyle name="Normal 11 5 3 2" xfId="1216" xr:uid="{00000000-0005-0000-0000-0000936E0000}"/>
    <cellStyle name="Normal 11 5 3 2 2" xfId="1217" xr:uid="{00000000-0005-0000-0000-0000946E0000}"/>
    <cellStyle name="Normal 11 5 3 2 2 2" xfId="1218" xr:uid="{00000000-0005-0000-0000-0000956E0000}"/>
    <cellStyle name="Normal 11 5 3 2 2 2 2" xfId="39210" xr:uid="{00000000-0005-0000-0000-0000966E0000}"/>
    <cellStyle name="Normal 11 5 3 2 2 2 3" xfId="45136" xr:uid="{00000000-0005-0000-0000-0000976E0000}"/>
    <cellStyle name="Normal 11 5 3 2 2 3" xfId="1219" xr:uid="{00000000-0005-0000-0000-0000986E0000}"/>
    <cellStyle name="Normal 11 5 3 2 2 3 2" xfId="39211" xr:uid="{00000000-0005-0000-0000-0000996E0000}"/>
    <cellStyle name="Normal 11 5 3 2 2 3 3" xfId="45137" xr:uid="{00000000-0005-0000-0000-00009A6E0000}"/>
    <cellStyle name="Normal 11 5 3 2 2 4" xfId="39212" xr:uid="{00000000-0005-0000-0000-00009B6E0000}"/>
    <cellStyle name="Normal 11 5 3 2 2 5" xfId="45138" xr:uid="{00000000-0005-0000-0000-00009C6E0000}"/>
    <cellStyle name="Normal 11 5 3 2 3" xfId="1220" xr:uid="{00000000-0005-0000-0000-00009D6E0000}"/>
    <cellStyle name="Normal 11 5 3 2 3 2" xfId="1221" xr:uid="{00000000-0005-0000-0000-00009E6E0000}"/>
    <cellStyle name="Normal 11 5 3 2 3 2 2" xfId="39213" xr:uid="{00000000-0005-0000-0000-00009F6E0000}"/>
    <cellStyle name="Normal 11 5 3 2 3 2 3" xfId="45139" xr:uid="{00000000-0005-0000-0000-0000A06E0000}"/>
    <cellStyle name="Normal 11 5 3 2 3 3" xfId="1222" xr:uid="{00000000-0005-0000-0000-0000A16E0000}"/>
    <cellStyle name="Normal 11 5 3 2 3 3 2" xfId="39214" xr:uid="{00000000-0005-0000-0000-0000A26E0000}"/>
    <cellStyle name="Normal 11 5 3 2 3 3 3" xfId="45140" xr:uid="{00000000-0005-0000-0000-0000A36E0000}"/>
    <cellStyle name="Normal 11 5 3 2 3 4" xfId="39215" xr:uid="{00000000-0005-0000-0000-0000A46E0000}"/>
    <cellStyle name="Normal 11 5 3 2 3 5" xfId="45141" xr:uid="{00000000-0005-0000-0000-0000A56E0000}"/>
    <cellStyle name="Normal 11 5 3 2 4" xfId="1223" xr:uid="{00000000-0005-0000-0000-0000A66E0000}"/>
    <cellStyle name="Normal 11 5 3 2 4 2" xfId="39216" xr:uid="{00000000-0005-0000-0000-0000A76E0000}"/>
    <cellStyle name="Normal 11 5 3 2 4 3" xfId="45142" xr:uid="{00000000-0005-0000-0000-0000A86E0000}"/>
    <cellStyle name="Normal 11 5 3 2 5" xfId="1224" xr:uid="{00000000-0005-0000-0000-0000A96E0000}"/>
    <cellStyle name="Normal 11 5 3 2 5 2" xfId="39217" xr:uid="{00000000-0005-0000-0000-0000AA6E0000}"/>
    <cellStyle name="Normal 11 5 3 2 5 3" xfId="45143" xr:uid="{00000000-0005-0000-0000-0000AB6E0000}"/>
    <cellStyle name="Normal 11 5 3 2 6" xfId="39218" xr:uid="{00000000-0005-0000-0000-0000AC6E0000}"/>
    <cellStyle name="Normal 11 5 3 2 7" xfId="45144" xr:uid="{00000000-0005-0000-0000-0000AD6E0000}"/>
    <cellStyle name="Normal 11 5 3 3" xfId="1225" xr:uid="{00000000-0005-0000-0000-0000AE6E0000}"/>
    <cellStyle name="Normal 11 5 3 3 2" xfId="1226" xr:uid="{00000000-0005-0000-0000-0000AF6E0000}"/>
    <cellStyle name="Normal 11 5 3 3 2 2" xfId="39219" xr:uid="{00000000-0005-0000-0000-0000B06E0000}"/>
    <cellStyle name="Normal 11 5 3 3 2 3" xfId="45145" xr:uid="{00000000-0005-0000-0000-0000B16E0000}"/>
    <cellStyle name="Normal 11 5 3 3 3" xfId="1227" xr:uid="{00000000-0005-0000-0000-0000B26E0000}"/>
    <cellStyle name="Normal 11 5 3 3 3 2" xfId="39220" xr:uid="{00000000-0005-0000-0000-0000B36E0000}"/>
    <cellStyle name="Normal 11 5 3 3 3 3" xfId="45146" xr:uid="{00000000-0005-0000-0000-0000B46E0000}"/>
    <cellStyle name="Normal 11 5 3 3 4" xfId="1228" xr:uid="{00000000-0005-0000-0000-0000B56E0000}"/>
    <cellStyle name="Normal 11 5 3 3 4 2" xfId="39221" xr:uid="{00000000-0005-0000-0000-0000B66E0000}"/>
    <cellStyle name="Normal 11 5 3 3 4 3" xfId="45147" xr:uid="{00000000-0005-0000-0000-0000B76E0000}"/>
    <cellStyle name="Normal 11 5 3 3 5" xfId="1229" xr:uid="{00000000-0005-0000-0000-0000B86E0000}"/>
    <cellStyle name="Normal 11 5 3 3 5 2" xfId="39222" xr:uid="{00000000-0005-0000-0000-0000B96E0000}"/>
    <cellStyle name="Normal 11 5 3 3 5 3" xfId="45148" xr:uid="{00000000-0005-0000-0000-0000BA6E0000}"/>
    <cellStyle name="Normal 11 5 3 3 6" xfId="39223" xr:uid="{00000000-0005-0000-0000-0000BB6E0000}"/>
    <cellStyle name="Normal 11 5 3 3 7" xfId="45149" xr:uid="{00000000-0005-0000-0000-0000BC6E0000}"/>
    <cellStyle name="Normal 11 5 3 4" xfId="1230" xr:uid="{00000000-0005-0000-0000-0000BD6E0000}"/>
    <cellStyle name="Normal 11 5 3 4 2" xfId="1231" xr:uid="{00000000-0005-0000-0000-0000BE6E0000}"/>
    <cellStyle name="Normal 11 5 3 4 2 2" xfId="39224" xr:uid="{00000000-0005-0000-0000-0000BF6E0000}"/>
    <cellStyle name="Normal 11 5 3 4 2 3" xfId="45150" xr:uid="{00000000-0005-0000-0000-0000C06E0000}"/>
    <cellStyle name="Normal 11 5 3 4 3" xfId="1232" xr:uid="{00000000-0005-0000-0000-0000C16E0000}"/>
    <cellStyle name="Normal 11 5 3 4 3 2" xfId="39225" xr:uid="{00000000-0005-0000-0000-0000C26E0000}"/>
    <cellStyle name="Normal 11 5 3 4 3 3" xfId="45151" xr:uid="{00000000-0005-0000-0000-0000C36E0000}"/>
    <cellStyle name="Normal 11 5 3 4 4" xfId="39226" xr:uid="{00000000-0005-0000-0000-0000C46E0000}"/>
    <cellStyle name="Normal 11 5 3 4 5" xfId="45152" xr:uid="{00000000-0005-0000-0000-0000C56E0000}"/>
    <cellStyle name="Normal 11 5 3 5" xfId="1233" xr:uid="{00000000-0005-0000-0000-0000C66E0000}"/>
    <cellStyle name="Normal 11 5 3 5 2" xfId="1234" xr:uid="{00000000-0005-0000-0000-0000C76E0000}"/>
    <cellStyle name="Normal 11 5 3 5 2 2" xfId="39227" xr:uid="{00000000-0005-0000-0000-0000C86E0000}"/>
    <cellStyle name="Normal 11 5 3 5 2 3" xfId="45153" xr:uid="{00000000-0005-0000-0000-0000C96E0000}"/>
    <cellStyle name="Normal 11 5 3 5 3" xfId="1235" xr:uid="{00000000-0005-0000-0000-0000CA6E0000}"/>
    <cellStyle name="Normal 11 5 3 5 3 2" xfId="39228" xr:uid="{00000000-0005-0000-0000-0000CB6E0000}"/>
    <cellStyle name="Normal 11 5 3 5 3 3" xfId="45154" xr:uid="{00000000-0005-0000-0000-0000CC6E0000}"/>
    <cellStyle name="Normal 11 5 3 5 4" xfId="39229" xr:uid="{00000000-0005-0000-0000-0000CD6E0000}"/>
    <cellStyle name="Normal 11 5 3 5 5" xfId="45155" xr:uid="{00000000-0005-0000-0000-0000CE6E0000}"/>
    <cellStyle name="Normal 11 5 3 6" xfId="1236" xr:uid="{00000000-0005-0000-0000-0000CF6E0000}"/>
    <cellStyle name="Normal 11 5 3 6 2" xfId="39230" xr:uid="{00000000-0005-0000-0000-0000D06E0000}"/>
    <cellStyle name="Normal 11 5 3 6 3" xfId="45156" xr:uid="{00000000-0005-0000-0000-0000D16E0000}"/>
    <cellStyle name="Normal 11 5 3 7" xfId="1237" xr:uid="{00000000-0005-0000-0000-0000D26E0000}"/>
    <cellStyle name="Normal 11 5 3 7 2" xfId="39231" xr:uid="{00000000-0005-0000-0000-0000D36E0000}"/>
    <cellStyle name="Normal 11 5 3 7 3" xfId="45157" xr:uid="{00000000-0005-0000-0000-0000D46E0000}"/>
    <cellStyle name="Normal 11 5 3 8" xfId="39232" xr:uid="{00000000-0005-0000-0000-0000D56E0000}"/>
    <cellStyle name="Normal 11 5 3 9" xfId="45158" xr:uid="{00000000-0005-0000-0000-0000D66E0000}"/>
    <cellStyle name="Normal 11 5 30" xfId="45159" xr:uid="{00000000-0005-0000-0000-0000D76E0000}"/>
    <cellStyle name="Normal 11 5 4" xfId="1238" xr:uid="{00000000-0005-0000-0000-0000D86E0000}"/>
    <cellStyle name="Normal 11 5 4 2" xfId="1239" xr:uid="{00000000-0005-0000-0000-0000D96E0000}"/>
    <cellStyle name="Normal 11 5 4 2 2" xfId="1240" xr:uid="{00000000-0005-0000-0000-0000DA6E0000}"/>
    <cellStyle name="Normal 11 5 4 2 2 2" xfId="39233" xr:uid="{00000000-0005-0000-0000-0000DB6E0000}"/>
    <cellStyle name="Normal 11 5 4 2 2 3" xfId="45160" xr:uid="{00000000-0005-0000-0000-0000DC6E0000}"/>
    <cellStyle name="Normal 11 5 4 2 3" xfId="1241" xr:uid="{00000000-0005-0000-0000-0000DD6E0000}"/>
    <cellStyle name="Normal 11 5 4 2 3 2" xfId="39234" xr:uid="{00000000-0005-0000-0000-0000DE6E0000}"/>
    <cellStyle name="Normal 11 5 4 2 3 3" xfId="45161" xr:uid="{00000000-0005-0000-0000-0000DF6E0000}"/>
    <cellStyle name="Normal 11 5 4 2 4" xfId="1242" xr:uid="{00000000-0005-0000-0000-0000E06E0000}"/>
    <cellStyle name="Normal 11 5 4 2 4 2" xfId="39235" xr:uid="{00000000-0005-0000-0000-0000E16E0000}"/>
    <cellStyle name="Normal 11 5 4 2 4 3" xfId="45162" xr:uid="{00000000-0005-0000-0000-0000E26E0000}"/>
    <cellStyle name="Normal 11 5 4 2 5" xfId="1243" xr:uid="{00000000-0005-0000-0000-0000E36E0000}"/>
    <cellStyle name="Normal 11 5 4 2 5 2" xfId="39236" xr:uid="{00000000-0005-0000-0000-0000E46E0000}"/>
    <cellStyle name="Normal 11 5 4 2 5 3" xfId="45163" xr:uid="{00000000-0005-0000-0000-0000E56E0000}"/>
    <cellStyle name="Normal 11 5 4 2 6" xfId="39237" xr:uid="{00000000-0005-0000-0000-0000E66E0000}"/>
    <cellStyle name="Normal 11 5 4 2 7" xfId="45164" xr:uid="{00000000-0005-0000-0000-0000E76E0000}"/>
    <cellStyle name="Normal 11 5 4 3" xfId="1244" xr:uid="{00000000-0005-0000-0000-0000E86E0000}"/>
    <cellStyle name="Normal 11 5 4 3 2" xfId="1245" xr:uid="{00000000-0005-0000-0000-0000E96E0000}"/>
    <cellStyle name="Normal 11 5 4 3 2 2" xfId="39238" xr:uid="{00000000-0005-0000-0000-0000EA6E0000}"/>
    <cellStyle name="Normal 11 5 4 3 2 3" xfId="45165" xr:uid="{00000000-0005-0000-0000-0000EB6E0000}"/>
    <cellStyle name="Normal 11 5 4 3 3" xfId="1246" xr:uid="{00000000-0005-0000-0000-0000EC6E0000}"/>
    <cellStyle name="Normal 11 5 4 3 3 2" xfId="39239" xr:uid="{00000000-0005-0000-0000-0000ED6E0000}"/>
    <cellStyle name="Normal 11 5 4 3 3 3" xfId="45166" xr:uid="{00000000-0005-0000-0000-0000EE6E0000}"/>
    <cellStyle name="Normal 11 5 4 3 4" xfId="39240" xr:uid="{00000000-0005-0000-0000-0000EF6E0000}"/>
    <cellStyle name="Normal 11 5 4 3 5" xfId="45167" xr:uid="{00000000-0005-0000-0000-0000F06E0000}"/>
    <cellStyle name="Normal 11 5 4 4" xfId="1247" xr:uid="{00000000-0005-0000-0000-0000F16E0000}"/>
    <cellStyle name="Normal 11 5 4 4 2" xfId="1248" xr:uid="{00000000-0005-0000-0000-0000F26E0000}"/>
    <cellStyle name="Normal 11 5 4 4 2 2" xfId="39241" xr:uid="{00000000-0005-0000-0000-0000F36E0000}"/>
    <cellStyle name="Normal 11 5 4 4 2 3" xfId="45168" xr:uid="{00000000-0005-0000-0000-0000F46E0000}"/>
    <cellStyle name="Normal 11 5 4 4 3" xfId="1249" xr:uid="{00000000-0005-0000-0000-0000F56E0000}"/>
    <cellStyle name="Normal 11 5 4 4 3 2" xfId="39242" xr:uid="{00000000-0005-0000-0000-0000F66E0000}"/>
    <cellStyle name="Normal 11 5 4 4 3 3" xfId="45169" xr:uid="{00000000-0005-0000-0000-0000F76E0000}"/>
    <cellStyle name="Normal 11 5 4 4 4" xfId="39243" xr:uid="{00000000-0005-0000-0000-0000F86E0000}"/>
    <cellStyle name="Normal 11 5 4 4 5" xfId="45170" xr:uid="{00000000-0005-0000-0000-0000F96E0000}"/>
    <cellStyle name="Normal 11 5 4 5" xfId="1250" xr:uid="{00000000-0005-0000-0000-0000FA6E0000}"/>
    <cellStyle name="Normal 11 5 4 5 2" xfId="39244" xr:uid="{00000000-0005-0000-0000-0000FB6E0000}"/>
    <cellStyle name="Normal 11 5 4 5 3" xfId="45171" xr:uid="{00000000-0005-0000-0000-0000FC6E0000}"/>
    <cellStyle name="Normal 11 5 4 6" xfId="1251" xr:uid="{00000000-0005-0000-0000-0000FD6E0000}"/>
    <cellStyle name="Normal 11 5 4 6 2" xfId="39245" xr:uid="{00000000-0005-0000-0000-0000FE6E0000}"/>
    <cellStyle name="Normal 11 5 4 6 3" xfId="45172" xr:uid="{00000000-0005-0000-0000-0000FF6E0000}"/>
    <cellStyle name="Normal 11 5 4 7" xfId="39246" xr:uid="{00000000-0005-0000-0000-0000006F0000}"/>
    <cellStyle name="Normal 11 5 4 8" xfId="45173" xr:uid="{00000000-0005-0000-0000-0000016F0000}"/>
    <cellStyle name="Normal 11 5 5" xfId="1252" xr:uid="{00000000-0005-0000-0000-0000026F0000}"/>
    <cellStyle name="Normal 11 5 5 2" xfId="1253" xr:uid="{00000000-0005-0000-0000-0000036F0000}"/>
    <cellStyle name="Normal 11 5 5 2 2" xfId="1254" xr:uid="{00000000-0005-0000-0000-0000046F0000}"/>
    <cellStyle name="Normal 11 5 5 2 2 2" xfId="39247" xr:uid="{00000000-0005-0000-0000-0000056F0000}"/>
    <cellStyle name="Normal 11 5 5 2 2 3" xfId="45174" xr:uid="{00000000-0005-0000-0000-0000066F0000}"/>
    <cellStyle name="Normal 11 5 5 2 3" xfId="1255" xr:uid="{00000000-0005-0000-0000-0000076F0000}"/>
    <cellStyle name="Normal 11 5 5 2 3 2" xfId="39248" xr:uid="{00000000-0005-0000-0000-0000086F0000}"/>
    <cellStyle name="Normal 11 5 5 2 3 3" xfId="45175" xr:uid="{00000000-0005-0000-0000-0000096F0000}"/>
    <cellStyle name="Normal 11 5 5 2 4" xfId="1256" xr:uid="{00000000-0005-0000-0000-00000A6F0000}"/>
    <cellStyle name="Normal 11 5 5 2 4 2" xfId="39249" xr:uid="{00000000-0005-0000-0000-00000B6F0000}"/>
    <cellStyle name="Normal 11 5 5 2 4 3" xfId="45176" xr:uid="{00000000-0005-0000-0000-00000C6F0000}"/>
    <cellStyle name="Normal 11 5 5 2 5" xfId="1257" xr:uid="{00000000-0005-0000-0000-00000D6F0000}"/>
    <cellStyle name="Normal 11 5 5 2 5 2" xfId="39250" xr:uid="{00000000-0005-0000-0000-00000E6F0000}"/>
    <cellStyle name="Normal 11 5 5 2 5 3" xfId="45177" xr:uid="{00000000-0005-0000-0000-00000F6F0000}"/>
    <cellStyle name="Normal 11 5 5 2 6" xfId="39251" xr:uid="{00000000-0005-0000-0000-0000106F0000}"/>
    <cellStyle name="Normal 11 5 5 2 7" xfId="45178" xr:uid="{00000000-0005-0000-0000-0000116F0000}"/>
    <cellStyle name="Normal 11 5 5 3" xfId="1258" xr:uid="{00000000-0005-0000-0000-0000126F0000}"/>
    <cellStyle name="Normal 11 5 5 3 2" xfId="1259" xr:uid="{00000000-0005-0000-0000-0000136F0000}"/>
    <cellStyle name="Normal 11 5 5 3 2 2" xfId="39252" xr:uid="{00000000-0005-0000-0000-0000146F0000}"/>
    <cellStyle name="Normal 11 5 5 3 2 3" xfId="45179" xr:uid="{00000000-0005-0000-0000-0000156F0000}"/>
    <cellStyle name="Normal 11 5 5 3 3" xfId="1260" xr:uid="{00000000-0005-0000-0000-0000166F0000}"/>
    <cellStyle name="Normal 11 5 5 3 3 2" xfId="39253" xr:uid="{00000000-0005-0000-0000-0000176F0000}"/>
    <cellStyle name="Normal 11 5 5 3 3 3" xfId="45180" xr:uid="{00000000-0005-0000-0000-0000186F0000}"/>
    <cellStyle name="Normal 11 5 5 3 4" xfId="39254" xr:uid="{00000000-0005-0000-0000-0000196F0000}"/>
    <cellStyle name="Normal 11 5 5 3 5" xfId="45181" xr:uid="{00000000-0005-0000-0000-00001A6F0000}"/>
    <cellStyle name="Normal 11 5 5 4" xfId="1261" xr:uid="{00000000-0005-0000-0000-00001B6F0000}"/>
    <cellStyle name="Normal 11 5 5 4 2" xfId="1262" xr:uid="{00000000-0005-0000-0000-00001C6F0000}"/>
    <cellStyle name="Normal 11 5 5 4 2 2" xfId="39255" xr:uid="{00000000-0005-0000-0000-00001D6F0000}"/>
    <cellStyle name="Normal 11 5 5 4 2 3" xfId="45182" xr:uid="{00000000-0005-0000-0000-00001E6F0000}"/>
    <cellStyle name="Normal 11 5 5 4 3" xfId="1263" xr:uid="{00000000-0005-0000-0000-00001F6F0000}"/>
    <cellStyle name="Normal 11 5 5 4 3 2" xfId="39256" xr:uid="{00000000-0005-0000-0000-0000206F0000}"/>
    <cellStyle name="Normal 11 5 5 4 3 3" xfId="45183" xr:uid="{00000000-0005-0000-0000-0000216F0000}"/>
    <cellStyle name="Normal 11 5 5 4 4" xfId="39257" xr:uid="{00000000-0005-0000-0000-0000226F0000}"/>
    <cellStyle name="Normal 11 5 5 4 5" xfId="45184" xr:uid="{00000000-0005-0000-0000-0000236F0000}"/>
    <cellStyle name="Normal 11 5 5 5" xfId="1264" xr:uid="{00000000-0005-0000-0000-0000246F0000}"/>
    <cellStyle name="Normal 11 5 5 5 2" xfId="39258" xr:uid="{00000000-0005-0000-0000-0000256F0000}"/>
    <cellStyle name="Normal 11 5 5 5 3" xfId="45185" xr:uid="{00000000-0005-0000-0000-0000266F0000}"/>
    <cellStyle name="Normal 11 5 5 6" xfId="1265" xr:uid="{00000000-0005-0000-0000-0000276F0000}"/>
    <cellStyle name="Normal 11 5 5 6 2" xfId="39259" xr:uid="{00000000-0005-0000-0000-0000286F0000}"/>
    <cellStyle name="Normal 11 5 5 6 3" xfId="45186" xr:uid="{00000000-0005-0000-0000-0000296F0000}"/>
    <cellStyle name="Normal 11 5 5 7" xfId="39260" xr:uid="{00000000-0005-0000-0000-00002A6F0000}"/>
    <cellStyle name="Normal 11 5 5 8" xfId="45187" xr:uid="{00000000-0005-0000-0000-00002B6F0000}"/>
    <cellStyle name="Normal 11 5 6" xfId="1266" xr:uid="{00000000-0005-0000-0000-00002C6F0000}"/>
    <cellStyle name="Normal 11 5 6 2" xfId="1267" xr:uid="{00000000-0005-0000-0000-00002D6F0000}"/>
    <cellStyle name="Normal 11 5 6 2 2" xfId="1268" xr:uid="{00000000-0005-0000-0000-00002E6F0000}"/>
    <cellStyle name="Normal 11 5 6 2 2 2" xfId="39261" xr:uid="{00000000-0005-0000-0000-00002F6F0000}"/>
    <cellStyle name="Normal 11 5 6 2 2 3" xfId="45188" xr:uid="{00000000-0005-0000-0000-0000306F0000}"/>
    <cellStyle name="Normal 11 5 6 2 3" xfId="1269" xr:uid="{00000000-0005-0000-0000-0000316F0000}"/>
    <cellStyle name="Normal 11 5 6 2 3 2" xfId="39262" xr:uid="{00000000-0005-0000-0000-0000326F0000}"/>
    <cellStyle name="Normal 11 5 6 2 3 3" xfId="45189" xr:uid="{00000000-0005-0000-0000-0000336F0000}"/>
    <cellStyle name="Normal 11 5 6 2 4" xfId="1270" xr:uid="{00000000-0005-0000-0000-0000346F0000}"/>
    <cellStyle name="Normal 11 5 6 2 4 2" xfId="39263" xr:uid="{00000000-0005-0000-0000-0000356F0000}"/>
    <cellStyle name="Normal 11 5 6 2 4 3" xfId="45190" xr:uid="{00000000-0005-0000-0000-0000366F0000}"/>
    <cellStyle name="Normal 11 5 6 2 5" xfId="1271" xr:uid="{00000000-0005-0000-0000-0000376F0000}"/>
    <cellStyle name="Normal 11 5 6 2 5 2" xfId="39264" xr:uid="{00000000-0005-0000-0000-0000386F0000}"/>
    <cellStyle name="Normal 11 5 6 2 5 3" xfId="45191" xr:uid="{00000000-0005-0000-0000-0000396F0000}"/>
    <cellStyle name="Normal 11 5 6 2 6" xfId="39265" xr:uid="{00000000-0005-0000-0000-00003A6F0000}"/>
    <cellStyle name="Normal 11 5 6 2 7" xfId="45192" xr:uid="{00000000-0005-0000-0000-00003B6F0000}"/>
    <cellStyle name="Normal 11 5 6 3" xfId="1272" xr:uid="{00000000-0005-0000-0000-00003C6F0000}"/>
    <cellStyle name="Normal 11 5 6 3 2" xfId="1273" xr:uid="{00000000-0005-0000-0000-00003D6F0000}"/>
    <cellStyle name="Normal 11 5 6 3 2 2" xfId="39266" xr:uid="{00000000-0005-0000-0000-00003E6F0000}"/>
    <cellStyle name="Normal 11 5 6 3 2 3" xfId="45193" xr:uid="{00000000-0005-0000-0000-00003F6F0000}"/>
    <cellStyle name="Normal 11 5 6 3 3" xfId="1274" xr:uid="{00000000-0005-0000-0000-0000406F0000}"/>
    <cellStyle name="Normal 11 5 6 3 3 2" xfId="39267" xr:uid="{00000000-0005-0000-0000-0000416F0000}"/>
    <cellStyle name="Normal 11 5 6 3 3 3" xfId="45194" xr:uid="{00000000-0005-0000-0000-0000426F0000}"/>
    <cellStyle name="Normal 11 5 6 3 4" xfId="39268" xr:uid="{00000000-0005-0000-0000-0000436F0000}"/>
    <cellStyle name="Normal 11 5 6 3 5" xfId="45195" xr:uid="{00000000-0005-0000-0000-0000446F0000}"/>
    <cellStyle name="Normal 11 5 6 4" xfId="1275" xr:uid="{00000000-0005-0000-0000-0000456F0000}"/>
    <cellStyle name="Normal 11 5 6 4 2" xfId="1276" xr:uid="{00000000-0005-0000-0000-0000466F0000}"/>
    <cellStyle name="Normal 11 5 6 4 2 2" xfId="39269" xr:uid="{00000000-0005-0000-0000-0000476F0000}"/>
    <cellStyle name="Normal 11 5 6 4 2 3" xfId="45196" xr:uid="{00000000-0005-0000-0000-0000486F0000}"/>
    <cellStyle name="Normal 11 5 6 4 3" xfId="1277" xr:uid="{00000000-0005-0000-0000-0000496F0000}"/>
    <cellStyle name="Normal 11 5 6 4 3 2" xfId="39270" xr:uid="{00000000-0005-0000-0000-00004A6F0000}"/>
    <cellStyle name="Normal 11 5 6 4 3 3" xfId="45197" xr:uid="{00000000-0005-0000-0000-00004B6F0000}"/>
    <cellStyle name="Normal 11 5 6 4 4" xfId="39271" xr:uid="{00000000-0005-0000-0000-00004C6F0000}"/>
    <cellStyle name="Normal 11 5 6 4 5" xfId="45198" xr:uid="{00000000-0005-0000-0000-00004D6F0000}"/>
    <cellStyle name="Normal 11 5 6 5" xfId="1278" xr:uid="{00000000-0005-0000-0000-00004E6F0000}"/>
    <cellStyle name="Normal 11 5 6 5 2" xfId="1279" xr:uid="{00000000-0005-0000-0000-00004F6F0000}"/>
    <cellStyle name="Normal 11 5 6 5 2 2" xfId="39272" xr:uid="{00000000-0005-0000-0000-0000506F0000}"/>
    <cellStyle name="Normal 11 5 6 5 2 3" xfId="45199" xr:uid="{00000000-0005-0000-0000-0000516F0000}"/>
    <cellStyle name="Normal 11 5 6 5 3" xfId="39273" xr:uid="{00000000-0005-0000-0000-0000526F0000}"/>
    <cellStyle name="Normal 11 5 6 5 4" xfId="45200" xr:uid="{00000000-0005-0000-0000-0000536F0000}"/>
    <cellStyle name="Normal 11 5 6 6" xfId="1280" xr:uid="{00000000-0005-0000-0000-0000546F0000}"/>
    <cellStyle name="Normal 11 5 6 6 2" xfId="39274" xr:uid="{00000000-0005-0000-0000-0000556F0000}"/>
    <cellStyle name="Normal 11 5 6 6 3" xfId="45201" xr:uid="{00000000-0005-0000-0000-0000566F0000}"/>
    <cellStyle name="Normal 11 5 6 7" xfId="1281" xr:uid="{00000000-0005-0000-0000-0000576F0000}"/>
    <cellStyle name="Normal 11 5 6 7 2" xfId="39275" xr:uid="{00000000-0005-0000-0000-0000586F0000}"/>
    <cellStyle name="Normal 11 5 6 7 3" xfId="45202" xr:uid="{00000000-0005-0000-0000-0000596F0000}"/>
    <cellStyle name="Normal 11 5 6 8" xfId="39276" xr:uid="{00000000-0005-0000-0000-00005A6F0000}"/>
    <cellStyle name="Normal 11 5 6 9" xfId="45203" xr:uid="{00000000-0005-0000-0000-00005B6F0000}"/>
    <cellStyle name="Normal 11 5 7" xfId="1282" xr:uid="{00000000-0005-0000-0000-00005C6F0000}"/>
    <cellStyle name="Normal 11 5 7 2" xfId="1283" xr:uid="{00000000-0005-0000-0000-00005D6F0000}"/>
    <cellStyle name="Normal 11 5 7 2 2" xfId="1284" xr:uid="{00000000-0005-0000-0000-00005E6F0000}"/>
    <cellStyle name="Normal 11 5 7 2 2 2" xfId="39277" xr:uid="{00000000-0005-0000-0000-00005F6F0000}"/>
    <cellStyle name="Normal 11 5 7 2 2 3" xfId="45204" xr:uid="{00000000-0005-0000-0000-0000606F0000}"/>
    <cellStyle name="Normal 11 5 7 2 3" xfId="1285" xr:uid="{00000000-0005-0000-0000-0000616F0000}"/>
    <cellStyle name="Normal 11 5 7 2 3 2" xfId="39278" xr:uid="{00000000-0005-0000-0000-0000626F0000}"/>
    <cellStyle name="Normal 11 5 7 2 3 3" xfId="45205" xr:uid="{00000000-0005-0000-0000-0000636F0000}"/>
    <cellStyle name="Normal 11 5 7 2 4" xfId="39279" xr:uid="{00000000-0005-0000-0000-0000646F0000}"/>
    <cellStyle name="Normal 11 5 7 2 5" xfId="45206" xr:uid="{00000000-0005-0000-0000-0000656F0000}"/>
    <cellStyle name="Normal 11 5 7 3" xfId="1286" xr:uid="{00000000-0005-0000-0000-0000666F0000}"/>
    <cellStyle name="Normal 11 5 7 3 2" xfId="1287" xr:uid="{00000000-0005-0000-0000-0000676F0000}"/>
    <cellStyle name="Normal 11 5 7 3 2 2" xfId="39280" xr:uid="{00000000-0005-0000-0000-0000686F0000}"/>
    <cellStyle name="Normal 11 5 7 3 2 3" xfId="45207" xr:uid="{00000000-0005-0000-0000-0000696F0000}"/>
    <cellStyle name="Normal 11 5 7 3 3" xfId="1288" xr:uid="{00000000-0005-0000-0000-00006A6F0000}"/>
    <cellStyle name="Normal 11 5 7 3 3 2" xfId="39281" xr:uid="{00000000-0005-0000-0000-00006B6F0000}"/>
    <cellStyle name="Normal 11 5 7 3 3 3" xfId="45208" xr:uid="{00000000-0005-0000-0000-00006C6F0000}"/>
    <cellStyle name="Normal 11 5 7 3 4" xfId="39282" xr:uid="{00000000-0005-0000-0000-00006D6F0000}"/>
    <cellStyle name="Normal 11 5 7 3 5" xfId="45209" xr:uid="{00000000-0005-0000-0000-00006E6F0000}"/>
    <cellStyle name="Normal 11 5 7 4" xfId="1289" xr:uid="{00000000-0005-0000-0000-00006F6F0000}"/>
    <cellStyle name="Normal 11 5 7 4 2" xfId="1290" xr:uid="{00000000-0005-0000-0000-0000706F0000}"/>
    <cellStyle name="Normal 11 5 7 4 2 2" xfId="39283" xr:uid="{00000000-0005-0000-0000-0000716F0000}"/>
    <cellStyle name="Normal 11 5 7 4 2 3" xfId="45210" xr:uid="{00000000-0005-0000-0000-0000726F0000}"/>
    <cellStyle name="Normal 11 5 7 4 3" xfId="39284" xr:uid="{00000000-0005-0000-0000-0000736F0000}"/>
    <cellStyle name="Normal 11 5 7 4 4" xfId="45211" xr:uid="{00000000-0005-0000-0000-0000746F0000}"/>
    <cellStyle name="Normal 11 5 7 5" xfId="1291" xr:uid="{00000000-0005-0000-0000-0000756F0000}"/>
    <cellStyle name="Normal 11 5 7 5 2" xfId="39285" xr:uid="{00000000-0005-0000-0000-0000766F0000}"/>
    <cellStyle name="Normal 11 5 7 5 3" xfId="45212" xr:uid="{00000000-0005-0000-0000-0000776F0000}"/>
    <cellStyle name="Normal 11 5 7 6" xfId="1292" xr:uid="{00000000-0005-0000-0000-0000786F0000}"/>
    <cellStyle name="Normal 11 5 7 6 2" xfId="39286" xr:uid="{00000000-0005-0000-0000-0000796F0000}"/>
    <cellStyle name="Normal 11 5 7 6 3" xfId="45213" xr:uid="{00000000-0005-0000-0000-00007A6F0000}"/>
    <cellStyle name="Normal 11 5 7 7" xfId="39287" xr:uid="{00000000-0005-0000-0000-00007B6F0000}"/>
    <cellStyle name="Normal 11 5 7 8" xfId="45214" xr:uid="{00000000-0005-0000-0000-00007C6F0000}"/>
    <cellStyle name="Normal 11 5 8" xfId="1293" xr:uid="{00000000-0005-0000-0000-00007D6F0000}"/>
    <cellStyle name="Normal 11 5 8 2" xfId="1294" xr:uid="{00000000-0005-0000-0000-00007E6F0000}"/>
    <cellStyle name="Normal 11 5 8 2 2" xfId="39288" xr:uid="{00000000-0005-0000-0000-00007F6F0000}"/>
    <cellStyle name="Normal 11 5 8 2 3" xfId="45215" xr:uid="{00000000-0005-0000-0000-0000806F0000}"/>
    <cellStyle name="Normal 11 5 8 3" xfId="1295" xr:uid="{00000000-0005-0000-0000-0000816F0000}"/>
    <cellStyle name="Normal 11 5 8 3 2" xfId="39289" xr:uid="{00000000-0005-0000-0000-0000826F0000}"/>
    <cellStyle name="Normal 11 5 8 3 3" xfId="45216" xr:uid="{00000000-0005-0000-0000-0000836F0000}"/>
    <cellStyle name="Normal 11 5 8 4" xfId="1296" xr:uid="{00000000-0005-0000-0000-0000846F0000}"/>
    <cellStyle name="Normal 11 5 8 4 2" xfId="39290" xr:uid="{00000000-0005-0000-0000-0000856F0000}"/>
    <cellStyle name="Normal 11 5 8 4 3" xfId="45217" xr:uid="{00000000-0005-0000-0000-0000866F0000}"/>
    <cellStyle name="Normal 11 5 8 5" xfId="1297" xr:uid="{00000000-0005-0000-0000-0000876F0000}"/>
    <cellStyle name="Normal 11 5 8 5 2" xfId="39291" xr:uid="{00000000-0005-0000-0000-0000886F0000}"/>
    <cellStyle name="Normal 11 5 8 5 3" xfId="45218" xr:uid="{00000000-0005-0000-0000-0000896F0000}"/>
    <cellStyle name="Normal 11 5 8 6" xfId="39292" xr:uid="{00000000-0005-0000-0000-00008A6F0000}"/>
    <cellStyle name="Normal 11 5 8 7" xfId="45219" xr:uid="{00000000-0005-0000-0000-00008B6F0000}"/>
    <cellStyle name="Normal 11 5 9" xfId="1298" xr:uid="{00000000-0005-0000-0000-00008C6F0000}"/>
    <cellStyle name="Normal 11 5 9 2" xfId="1299" xr:uid="{00000000-0005-0000-0000-00008D6F0000}"/>
    <cellStyle name="Normal 11 5 9 2 2" xfId="39293" xr:uid="{00000000-0005-0000-0000-00008E6F0000}"/>
    <cellStyle name="Normal 11 5 9 2 3" xfId="45220" xr:uid="{00000000-0005-0000-0000-00008F6F0000}"/>
    <cellStyle name="Normal 11 5 9 3" xfId="1300" xr:uid="{00000000-0005-0000-0000-0000906F0000}"/>
    <cellStyle name="Normal 11 5 9 3 2" xfId="39294" xr:uid="{00000000-0005-0000-0000-0000916F0000}"/>
    <cellStyle name="Normal 11 5 9 3 3" xfId="45221" xr:uid="{00000000-0005-0000-0000-0000926F0000}"/>
    <cellStyle name="Normal 11 5 9 4" xfId="39295" xr:uid="{00000000-0005-0000-0000-0000936F0000}"/>
    <cellStyle name="Normal 11 5 9 5" xfId="45222" xr:uid="{00000000-0005-0000-0000-0000946F0000}"/>
    <cellStyle name="Normal 11 5_10070" xfId="1301" xr:uid="{00000000-0005-0000-0000-0000956F0000}"/>
    <cellStyle name="Normal 11 6" xfId="1302" xr:uid="{00000000-0005-0000-0000-0000966F0000}"/>
    <cellStyle name="Normal 11 6 2" xfId="1303" xr:uid="{00000000-0005-0000-0000-0000976F0000}"/>
    <cellStyle name="Normal 11 6 2 2" xfId="1304" xr:uid="{00000000-0005-0000-0000-0000986F0000}"/>
    <cellStyle name="Normal 11 6 2 2 2" xfId="28263" xr:uid="{00000000-0005-0000-0000-0000996F0000}"/>
    <cellStyle name="Normal 11 6 2 2 2 2" xfId="39296" xr:uid="{00000000-0005-0000-0000-00009A6F0000}"/>
    <cellStyle name="Normal 11 6 2 2 3" xfId="28264" xr:uid="{00000000-0005-0000-0000-00009B6F0000}"/>
    <cellStyle name="Normal 11 6 2 2 4" xfId="45223" xr:uid="{00000000-0005-0000-0000-00009C6F0000}"/>
    <cellStyle name="Normal 11 6 2 3" xfId="1305" xr:uid="{00000000-0005-0000-0000-00009D6F0000}"/>
    <cellStyle name="Normal 11 6 2 3 2" xfId="28265" xr:uid="{00000000-0005-0000-0000-00009E6F0000}"/>
    <cellStyle name="Normal 11 6 2 3 2 2" xfId="39297" xr:uid="{00000000-0005-0000-0000-00009F6F0000}"/>
    <cellStyle name="Normal 11 6 2 3 3" xfId="28266" xr:uid="{00000000-0005-0000-0000-0000A06F0000}"/>
    <cellStyle name="Normal 11 6 2 3 4" xfId="45224" xr:uid="{00000000-0005-0000-0000-0000A16F0000}"/>
    <cellStyle name="Normal 11 6 2 4" xfId="28267" xr:uid="{00000000-0005-0000-0000-0000A26F0000}"/>
    <cellStyle name="Normal 11 6 2 4 2" xfId="39298" xr:uid="{00000000-0005-0000-0000-0000A36F0000}"/>
    <cellStyle name="Normal 11 6 2 5" xfId="28268" xr:uid="{00000000-0005-0000-0000-0000A46F0000}"/>
    <cellStyle name="Normal 11 6 2 6" xfId="45225" xr:uid="{00000000-0005-0000-0000-0000A56F0000}"/>
    <cellStyle name="Normal 11 6 3" xfId="1306" xr:uid="{00000000-0005-0000-0000-0000A66F0000}"/>
    <cellStyle name="Normal 11 6 3 2" xfId="1307" xr:uid="{00000000-0005-0000-0000-0000A76F0000}"/>
    <cellStyle name="Normal 11 6 3 2 2" xfId="39299" xr:uid="{00000000-0005-0000-0000-0000A86F0000}"/>
    <cellStyle name="Normal 11 6 3 2 3" xfId="45226" xr:uid="{00000000-0005-0000-0000-0000A96F0000}"/>
    <cellStyle name="Normal 11 6 3 3" xfId="1308" xr:uid="{00000000-0005-0000-0000-0000AA6F0000}"/>
    <cellStyle name="Normal 11 6 3 3 2" xfId="39300" xr:uid="{00000000-0005-0000-0000-0000AB6F0000}"/>
    <cellStyle name="Normal 11 6 3 3 3" xfId="45227" xr:uid="{00000000-0005-0000-0000-0000AC6F0000}"/>
    <cellStyle name="Normal 11 6 3 4" xfId="39301" xr:uid="{00000000-0005-0000-0000-0000AD6F0000}"/>
    <cellStyle name="Normal 11 6 3 5" xfId="45228" xr:uid="{00000000-0005-0000-0000-0000AE6F0000}"/>
    <cellStyle name="Normal 11 6 4" xfId="1309" xr:uid="{00000000-0005-0000-0000-0000AF6F0000}"/>
    <cellStyle name="Normal 11 6 4 2" xfId="28269" xr:uid="{00000000-0005-0000-0000-0000B06F0000}"/>
    <cellStyle name="Normal 11 6 4 2 2" xfId="39302" xr:uid="{00000000-0005-0000-0000-0000B16F0000}"/>
    <cellStyle name="Normal 11 6 4 3" xfId="28270" xr:uid="{00000000-0005-0000-0000-0000B26F0000}"/>
    <cellStyle name="Normal 11 6 4 4" xfId="45229" xr:uid="{00000000-0005-0000-0000-0000B36F0000}"/>
    <cellStyle name="Normal 11 6 5" xfId="1310" xr:uid="{00000000-0005-0000-0000-0000B46F0000}"/>
    <cellStyle name="Normal 11 6 5 2" xfId="39303" xr:uid="{00000000-0005-0000-0000-0000B56F0000}"/>
    <cellStyle name="Normal 11 6 5 3" xfId="45230" xr:uid="{00000000-0005-0000-0000-0000B66F0000}"/>
    <cellStyle name="Normal 11 6 6" xfId="28271" xr:uid="{00000000-0005-0000-0000-0000B76F0000}"/>
    <cellStyle name="Normal 11 6 7" xfId="45231" xr:uid="{00000000-0005-0000-0000-0000B86F0000}"/>
    <cellStyle name="Normal 11 7" xfId="1311" xr:uid="{00000000-0005-0000-0000-0000B96F0000}"/>
    <cellStyle name="Normal 11 7 2" xfId="1312" xr:uid="{00000000-0005-0000-0000-0000BA6F0000}"/>
    <cellStyle name="Normal 11 7 2 2" xfId="28272" xr:uid="{00000000-0005-0000-0000-0000BB6F0000}"/>
    <cellStyle name="Normal 11 7 2 2 2" xfId="39304" xr:uid="{00000000-0005-0000-0000-0000BC6F0000}"/>
    <cellStyle name="Normal 11 7 2 3" xfId="28273" xr:uid="{00000000-0005-0000-0000-0000BD6F0000}"/>
    <cellStyle name="Normal 11 7 2 4" xfId="45232" xr:uid="{00000000-0005-0000-0000-0000BE6F0000}"/>
    <cellStyle name="Normal 11 7 3" xfId="1313" xr:uid="{00000000-0005-0000-0000-0000BF6F0000}"/>
    <cellStyle name="Normal 11 7 3 2" xfId="28274" xr:uid="{00000000-0005-0000-0000-0000C06F0000}"/>
    <cellStyle name="Normal 11 7 3 2 2" xfId="39305" xr:uid="{00000000-0005-0000-0000-0000C16F0000}"/>
    <cellStyle name="Normal 11 7 3 3" xfId="28275" xr:uid="{00000000-0005-0000-0000-0000C26F0000}"/>
    <cellStyle name="Normal 11 7 3 4" xfId="45233" xr:uid="{00000000-0005-0000-0000-0000C36F0000}"/>
    <cellStyle name="Normal 11 7 4" xfId="1314" xr:uid="{00000000-0005-0000-0000-0000C46F0000}"/>
    <cellStyle name="Normal 11 7 4 2" xfId="39306" xr:uid="{00000000-0005-0000-0000-0000C56F0000}"/>
    <cellStyle name="Normal 11 7 4 3" xfId="45234" xr:uid="{00000000-0005-0000-0000-0000C66F0000}"/>
    <cellStyle name="Normal 11 7 5" xfId="1315" xr:uid="{00000000-0005-0000-0000-0000C76F0000}"/>
    <cellStyle name="Normal 11 7 5 2" xfId="39307" xr:uid="{00000000-0005-0000-0000-0000C86F0000}"/>
    <cellStyle name="Normal 11 7 5 3" xfId="45235" xr:uid="{00000000-0005-0000-0000-0000C96F0000}"/>
    <cellStyle name="Normal 11 7 6" xfId="39308" xr:uid="{00000000-0005-0000-0000-0000CA6F0000}"/>
    <cellStyle name="Normal 11 7 7" xfId="45236" xr:uid="{00000000-0005-0000-0000-0000CB6F0000}"/>
    <cellStyle name="Normal 11 8" xfId="1316" xr:uid="{00000000-0005-0000-0000-0000CC6F0000}"/>
    <cellStyle name="Normal 11 8 2" xfId="1317" xr:uid="{00000000-0005-0000-0000-0000CD6F0000}"/>
    <cellStyle name="Normal 11 8 2 2" xfId="39309" xr:uid="{00000000-0005-0000-0000-0000CE6F0000}"/>
    <cellStyle name="Normal 11 8 2 3" xfId="45237" xr:uid="{00000000-0005-0000-0000-0000CF6F0000}"/>
    <cellStyle name="Normal 11 8 3" xfId="1318" xr:uid="{00000000-0005-0000-0000-0000D06F0000}"/>
    <cellStyle name="Normal 11 8 3 2" xfId="39310" xr:uid="{00000000-0005-0000-0000-0000D16F0000}"/>
    <cellStyle name="Normal 11 8 3 3" xfId="45238" xr:uid="{00000000-0005-0000-0000-0000D26F0000}"/>
    <cellStyle name="Normal 11 8 4" xfId="39311" xr:uid="{00000000-0005-0000-0000-0000D36F0000}"/>
    <cellStyle name="Normal 11 8 4 2" xfId="42574" xr:uid="{00000000-0005-0000-0000-0000D46F0000}"/>
    <cellStyle name="Normal 11 8 5" xfId="42575" xr:uid="{00000000-0005-0000-0000-0000D56F0000}"/>
    <cellStyle name="Normal 11 8 6" xfId="45239" xr:uid="{00000000-0005-0000-0000-0000D66F0000}"/>
    <cellStyle name="Normal 11 9" xfId="1319" xr:uid="{00000000-0005-0000-0000-0000D76F0000}"/>
    <cellStyle name="Normal 11 9 2" xfId="28276" xr:uid="{00000000-0005-0000-0000-0000D86F0000}"/>
    <cellStyle name="Normal 11 9 2 2" xfId="39312" xr:uid="{00000000-0005-0000-0000-0000D96F0000}"/>
    <cellStyle name="Normal 11 9 3" xfId="28277" xr:uid="{00000000-0005-0000-0000-0000DA6F0000}"/>
    <cellStyle name="Normal 11 9 3 2" xfId="42576" xr:uid="{00000000-0005-0000-0000-0000DB6F0000}"/>
    <cellStyle name="Normal 11 9 4" xfId="42577" xr:uid="{00000000-0005-0000-0000-0000DC6F0000}"/>
    <cellStyle name="Normal 11 9 4 2" xfId="42578" xr:uid="{00000000-0005-0000-0000-0000DD6F0000}"/>
    <cellStyle name="Normal 11 9 5" xfId="42579" xr:uid="{00000000-0005-0000-0000-0000DE6F0000}"/>
    <cellStyle name="Normal 11 9 6" xfId="45240" xr:uid="{00000000-0005-0000-0000-0000DF6F0000}"/>
    <cellStyle name="Normal 11_2112 2148 Reg Labor" xfId="28278" xr:uid="{00000000-0005-0000-0000-0000E06F0000}"/>
    <cellStyle name="Normal 110" xfId="378" xr:uid="{00000000-0005-0000-0000-0000E16F0000}"/>
    <cellStyle name="Normal 110 2" xfId="1320" xr:uid="{00000000-0005-0000-0000-0000E26F0000}"/>
    <cellStyle name="Normal 110 2 2" xfId="39313" xr:uid="{00000000-0005-0000-0000-0000E36F0000}"/>
    <cellStyle name="Normal 110 2 3" xfId="45241" xr:uid="{00000000-0005-0000-0000-0000E46F0000}"/>
    <cellStyle name="Normal 111" xfId="379" xr:uid="{00000000-0005-0000-0000-0000E56F0000}"/>
    <cellStyle name="Normal 111 2" xfId="1321" xr:uid="{00000000-0005-0000-0000-0000E66F0000}"/>
    <cellStyle name="Normal 111 2 2" xfId="39314" xr:uid="{00000000-0005-0000-0000-0000E76F0000}"/>
    <cellStyle name="Normal 111 2 3" xfId="45242" xr:uid="{00000000-0005-0000-0000-0000E86F0000}"/>
    <cellStyle name="Normal 111 3" xfId="1322" xr:uid="{00000000-0005-0000-0000-0000E96F0000}"/>
    <cellStyle name="Normal 111 4" xfId="39315" xr:uid="{00000000-0005-0000-0000-0000EA6F0000}"/>
    <cellStyle name="Normal 112" xfId="380" xr:uid="{00000000-0005-0000-0000-0000EB6F0000}"/>
    <cellStyle name="Normal 112 2" xfId="1323" xr:uid="{00000000-0005-0000-0000-0000EC6F0000}"/>
    <cellStyle name="Normal 112 2 2" xfId="39316" xr:uid="{00000000-0005-0000-0000-0000ED6F0000}"/>
    <cellStyle name="Normal 112 2 3" xfId="45243" xr:uid="{00000000-0005-0000-0000-0000EE6F0000}"/>
    <cellStyle name="Normal 112 3" xfId="1324" xr:uid="{00000000-0005-0000-0000-0000EF6F0000}"/>
    <cellStyle name="Normal 112 4" xfId="28279" xr:uid="{00000000-0005-0000-0000-0000F06F0000}"/>
    <cellStyle name="Normal 113" xfId="1325" xr:uid="{00000000-0005-0000-0000-0000F16F0000}"/>
    <cellStyle name="Normal 113 2" xfId="1326" xr:uid="{00000000-0005-0000-0000-0000F26F0000}"/>
    <cellStyle name="Normal 113 3" xfId="1327" xr:uid="{00000000-0005-0000-0000-0000F36F0000}"/>
    <cellStyle name="Normal 113 3 2" xfId="39317" xr:uid="{00000000-0005-0000-0000-0000F46F0000}"/>
    <cellStyle name="Normal 113 3 3" xfId="45244" xr:uid="{00000000-0005-0000-0000-0000F56F0000}"/>
    <cellStyle name="Normal 113 4" xfId="28280" xr:uid="{00000000-0005-0000-0000-0000F66F0000}"/>
    <cellStyle name="Normal 113 5" xfId="39318" xr:uid="{00000000-0005-0000-0000-0000F76F0000}"/>
    <cellStyle name="Normal 114" xfId="1328" xr:uid="{00000000-0005-0000-0000-0000F86F0000}"/>
    <cellStyle name="Normal 114 2" xfId="28281" xr:uid="{00000000-0005-0000-0000-0000F96F0000}"/>
    <cellStyle name="Normal 114 2 2" xfId="39319" xr:uid="{00000000-0005-0000-0000-0000FA6F0000}"/>
    <cellStyle name="Normal 114 3" xfId="39320" xr:uid="{00000000-0005-0000-0000-0000FB6F0000}"/>
    <cellStyle name="Normal 114 4" xfId="45245" xr:uid="{00000000-0005-0000-0000-0000FC6F0000}"/>
    <cellStyle name="Normal 115" xfId="1329" xr:uid="{00000000-0005-0000-0000-0000FD6F0000}"/>
    <cellStyle name="Normal 115 2" xfId="39321" xr:uid="{00000000-0005-0000-0000-0000FE6F0000}"/>
    <cellStyle name="Normal 115 3" xfId="45246" xr:uid="{00000000-0005-0000-0000-0000FF6F0000}"/>
    <cellStyle name="Normal 116" xfId="1330" xr:uid="{00000000-0005-0000-0000-000000700000}"/>
    <cellStyle name="Normal 116 2" xfId="28282" xr:uid="{00000000-0005-0000-0000-000001700000}"/>
    <cellStyle name="Normal 117" xfId="1331" xr:uid="{00000000-0005-0000-0000-000002700000}"/>
    <cellStyle name="Normal 117 2" xfId="1332" xr:uid="{00000000-0005-0000-0000-000003700000}"/>
    <cellStyle name="Normal 117 3" xfId="39322" xr:uid="{00000000-0005-0000-0000-000004700000}"/>
    <cellStyle name="Normal 117 4" xfId="45247" xr:uid="{00000000-0005-0000-0000-000005700000}"/>
    <cellStyle name="Normal 118" xfId="1333" xr:uid="{00000000-0005-0000-0000-000006700000}"/>
    <cellStyle name="Normal 118 2" xfId="1334" xr:uid="{00000000-0005-0000-0000-000007700000}"/>
    <cellStyle name="Normal 118 3" xfId="28283" xr:uid="{00000000-0005-0000-0000-000008700000}"/>
    <cellStyle name="Normal 119" xfId="1335" xr:uid="{00000000-0005-0000-0000-000009700000}"/>
    <cellStyle name="Normal 119 2" xfId="39323" xr:uid="{00000000-0005-0000-0000-00000A700000}"/>
    <cellStyle name="Normal 119 3" xfId="45248" xr:uid="{00000000-0005-0000-0000-00000B700000}"/>
    <cellStyle name="Normal 12" xfId="38" xr:uid="{00000000-0005-0000-0000-00000C700000}"/>
    <cellStyle name="Normal 12 10" xfId="28284" xr:uid="{00000000-0005-0000-0000-00000D700000}"/>
    <cellStyle name="Normal 12 10 2" xfId="39324" xr:uid="{00000000-0005-0000-0000-00000E700000}"/>
    <cellStyle name="Normal 12 11" xfId="28285" xr:uid="{00000000-0005-0000-0000-00000F700000}"/>
    <cellStyle name="Normal 12 12" xfId="46224" xr:uid="{00000000-0005-0000-0000-000010700000}"/>
    <cellStyle name="Normal 12 2" xfId="381" xr:uid="{00000000-0005-0000-0000-000011700000}"/>
    <cellStyle name="Normal 12 2 2" xfId="382" xr:uid="{00000000-0005-0000-0000-000012700000}"/>
    <cellStyle name="Normal 12 2 2 2" xfId="1336" xr:uid="{00000000-0005-0000-0000-000013700000}"/>
    <cellStyle name="Normal 12 2 2 2 10" xfId="46225" xr:uid="{00000000-0005-0000-0000-000014700000}"/>
    <cellStyle name="Normal 12 2 2 2 2" xfId="1337" xr:uid="{00000000-0005-0000-0000-000015700000}"/>
    <cellStyle name="Normal 12 2 2 2 2 2" xfId="28286" xr:uid="{00000000-0005-0000-0000-000016700000}"/>
    <cellStyle name="Normal 12 2 2 2 2 2 2" xfId="28287" xr:uid="{00000000-0005-0000-0000-000017700000}"/>
    <cellStyle name="Normal 12 2 2 2 2 2 2 2" xfId="28288" xr:uid="{00000000-0005-0000-0000-000018700000}"/>
    <cellStyle name="Normal 12 2 2 2 2 2 2 2 2" xfId="39325" xr:uid="{00000000-0005-0000-0000-000019700000}"/>
    <cellStyle name="Normal 12 2 2 2 2 2 2 3" xfId="28289" xr:uid="{00000000-0005-0000-0000-00001A700000}"/>
    <cellStyle name="Normal 12 2 2 2 2 2 3" xfId="28290" xr:uid="{00000000-0005-0000-0000-00001B700000}"/>
    <cellStyle name="Normal 12 2 2 2 2 2 3 2" xfId="28291" xr:uid="{00000000-0005-0000-0000-00001C700000}"/>
    <cellStyle name="Normal 12 2 2 2 2 2 3 2 2" xfId="39326" xr:uid="{00000000-0005-0000-0000-00001D700000}"/>
    <cellStyle name="Normal 12 2 2 2 2 2 3 3" xfId="28292" xr:uid="{00000000-0005-0000-0000-00001E700000}"/>
    <cellStyle name="Normal 12 2 2 2 2 2 4" xfId="28293" xr:uid="{00000000-0005-0000-0000-00001F700000}"/>
    <cellStyle name="Normal 12 2 2 2 2 2 4 2" xfId="39327" xr:uid="{00000000-0005-0000-0000-000020700000}"/>
    <cellStyle name="Normal 12 2 2 2 2 2 5" xfId="28294" xr:uid="{00000000-0005-0000-0000-000021700000}"/>
    <cellStyle name="Normal 12 2 2 2 2 3" xfId="28295" xr:uid="{00000000-0005-0000-0000-000022700000}"/>
    <cellStyle name="Normal 12 2 2 2 2 3 2" xfId="28296" xr:uid="{00000000-0005-0000-0000-000023700000}"/>
    <cellStyle name="Normal 12 2 2 2 2 3 2 2" xfId="39328" xr:uid="{00000000-0005-0000-0000-000024700000}"/>
    <cellStyle name="Normal 12 2 2 2 2 3 3" xfId="28297" xr:uid="{00000000-0005-0000-0000-000025700000}"/>
    <cellStyle name="Normal 12 2 2 2 2 4" xfId="28298" xr:uid="{00000000-0005-0000-0000-000026700000}"/>
    <cellStyle name="Normal 12 2 2 2 2 4 2" xfId="28299" xr:uid="{00000000-0005-0000-0000-000027700000}"/>
    <cellStyle name="Normal 12 2 2 2 2 4 2 2" xfId="39329" xr:uid="{00000000-0005-0000-0000-000028700000}"/>
    <cellStyle name="Normal 12 2 2 2 2 4 3" xfId="28300" xr:uid="{00000000-0005-0000-0000-000029700000}"/>
    <cellStyle name="Normal 12 2 2 2 2 5" xfId="28301" xr:uid="{00000000-0005-0000-0000-00002A700000}"/>
    <cellStyle name="Normal 12 2 2 2 2 5 2" xfId="39330" xr:uid="{00000000-0005-0000-0000-00002B700000}"/>
    <cellStyle name="Normal 12 2 2 2 2 6" xfId="28302" xr:uid="{00000000-0005-0000-0000-00002C700000}"/>
    <cellStyle name="Normal 12 2 2 2 2 7" xfId="45249" xr:uid="{00000000-0005-0000-0000-00002D700000}"/>
    <cellStyle name="Normal 12 2 2 2 3" xfId="28303" xr:uid="{00000000-0005-0000-0000-00002E700000}"/>
    <cellStyle name="Normal 12 2 2 2 3 2" xfId="28304" xr:uid="{00000000-0005-0000-0000-00002F700000}"/>
    <cellStyle name="Normal 12 2 2 2 3 2 2" xfId="28305" xr:uid="{00000000-0005-0000-0000-000030700000}"/>
    <cellStyle name="Normal 12 2 2 2 3 2 2 2" xfId="39331" xr:uid="{00000000-0005-0000-0000-000031700000}"/>
    <cellStyle name="Normal 12 2 2 2 3 2 3" xfId="28306" xr:uid="{00000000-0005-0000-0000-000032700000}"/>
    <cellStyle name="Normal 12 2 2 2 3 3" xfId="28307" xr:uid="{00000000-0005-0000-0000-000033700000}"/>
    <cellStyle name="Normal 12 2 2 2 3 3 2" xfId="28308" xr:uid="{00000000-0005-0000-0000-000034700000}"/>
    <cellStyle name="Normal 12 2 2 2 3 3 2 2" xfId="39332" xr:uid="{00000000-0005-0000-0000-000035700000}"/>
    <cellStyle name="Normal 12 2 2 2 3 3 3" xfId="28309" xr:uid="{00000000-0005-0000-0000-000036700000}"/>
    <cellStyle name="Normal 12 2 2 2 3 4" xfId="28310" xr:uid="{00000000-0005-0000-0000-000037700000}"/>
    <cellStyle name="Normal 12 2 2 2 3 4 2" xfId="39333" xr:uid="{00000000-0005-0000-0000-000038700000}"/>
    <cellStyle name="Normal 12 2 2 2 3 5" xfId="28311" xr:uid="{00000000-0005-0000-0000-000039700000}"/>
    <cellStyle name="Normal 12 2 2 2 4" xfId="28312" xr:uid="{00000000-0005-0000-0000-00003A700000}"/>
    <cellStyle name="Normal 12 2 2 2 4 2" xfId="28313" xr:uid="{00000000-0005-0000-0000-00003B700000}"/>
    <cellStyle name="Normal 12 2 2 2 4 2 2" xfId="39334" xr:uid="{00000000-0005-0000-0000-00003C700000}"/>
    <cellStyle name="Normal 12 2 2 2 4 3" xfId="28314" xr:uid="{00000000-0005-0000-0000-00003D700000}"/>
    <cellStyle name="Normal 12 2 2 2 5" xfId="28315" xr:uid="{00000000-0005-0000-0000-00003E700000}"/>
    <cellStyle name="Normal 12 2 2 2 5 2" xfId="28316" xr:uid="{00000000-0005-0000-0000-00003F700000}"/>
    <cellStyle name="Normal 12 2 2 2 5 2 2" xfId="39335" xr:uid="{00000000-0005-0000-0000-000040700000}"/>
    <cellStyle name="Normal 12 2 2 2 5 3" xfId="28317" xr:uid="{00000000-0005-0000-0000-000041700000}"/>
    <cellStyle name="Normal 12 2 2 2 6" xfId="28318" xr:uid="{00000000-0005-0000-0000-000042700000}"/>
    <cellStyle name="Normal 12 2 2 2 6 2" xfId="39336" xr:uid="{00000000-0005-0000-0000-000043700000}"/>
    <cellStyle name="Normal 12 2 2 2 7" xfId="28319" xr:uid="{00000000-0005-0000-0000-000044700000}"/>
    <cellStyle name="Normal 12 2 2 2 8" xfId="28320" xr:uid="{00000000-0005-0000-0000-000045700000}"/>
    <cellStyle name="Normal 12 2 2 2 9" xfId="45250" xr:uid="{00000000-0005-0000-0000-000046700000}"/>
    <cellStyle name="Normal 12 2 2 3" xfId="1338" xr:uid="{00000000-0005-0000-0000-000047700000}"/>
    <cellStyle name="Normal 12 2 2 3 2" xfId="28321" xr:uid="{00000000-0005-0000-0000-000048700000}"/>
    <cellStyle name="Normal 12 2 2 3 2 2" xfId="28322" xr:uid="{00000000-0005-0000-0000-000049700000}"/>
    <cellStyle name="Normal 12 2 2 3 2 2 2" xfId="28323" xr:uid="{00000000-0005-0000-0000-00004A700000}"/>
    <cellStyle name="Normal 12 2 2 3 2 2 2 2" xfId="39337" xr:uid="{00000000-0005-0000-0000-00004B700000}"/>
    <cellStyle name="Normal 12 2 2 3 2 2 3" xfId="28324" xr:uid="{00000000-0005-0000-0000-00004C700000}"/>
    <cellStyle name="Normal 12 2 2 3 2 3" xfId="28325" xr:uid="{00000000-0005-0000-0000-00004D700000}"/>
    <cellStyle name="Normal 12 2 2 3 2 3 2" xfId="28326" xr:uid="{00000000-0005-0000-0000-00004E700000}"/>
    <cellStyle name="Normal 12 2 2 3 2 3 2 2" xfId="39338" xr:uid="{00000000-0005-0000-0000-00004F700000}"/>
    <cellStyle name="Normal 12 2 2 3 2 3 3" xfId="28327" xr:uid="{00000000-0005-0000-0000-000050700000}"/>
    <cellStyle name="Normal 12 2 2 3 2 4" xfId="28328" xr:uid="{00000000-0005-0000-0000-000051700000}"/>
    <cellStyle name="Normal 12 2 2 3 2 4 2" xfId="39339" xr:uid="{00000000-0005-0000-0000-000052700000}"/>
    <cellStyle name="Normal 12 2 2 3 2 5" xfId="28329" xr:uid="{00000000-0005-0000-0000-000053700000}"/>
    <cellStyle name="Normal 12 2 2 3 3" xfId="28330" xr:uid="{00000000-0005-0000-0000-000054700000}"/>
    <cellStyle name="Normal 12 2 2 3 3 2" xfId="28331" xr:uid="{00000000-0005-0000-0000-000055700000}"/>
    <cellStyle name="Normal 12 2 2 3 3 2 2" xfId="39340" xr:uid="{00000000-0005-0000-0000-000056700000}"/>
    <cellStyle name="Normal 12 2 2 3 3 3" xfId="28332" xr:uid="{00000000-0005-0000-0000-000057700000}"/>
    <cellStyle name="Normal 12 2 2 3 4" xfId="28333" xr:uid="{00000000-0005-0000-0000-000058700000}"/>
    <cellStyle name="Normal 12 2 2 3 4 2" xfId="28334" xr:uid="{00000000-0005-0000-0000-000059700000}"/>
    <cellStyle name="Normal 12 2 2 3 4 2 2" xfId="39341" xr:uid="{00000000-0005-0000-0000-00005A700000}"/>
    <cellStyle name="Normal 12 2 2 3 4 3" xfId="28335" xr:uid="{00000000-0005-0000-0000-00005B700000}"/>
    <cellStyle name="Normal 12 2 2 3 5" xfId="28336" xr:uid="{00000000-0005-0000-0000-00005C700000}"/>
    <cellStyle name="Normal 12 2 2 3 5 2" xfId="39342" xr:uid="{00000000-0005-0000-0000-00005D700000}"/>
    <cellStyle name="Normal 12 2 2 3 6" xfId="28337" xr:uid="{00000000-0005-0000-0000-00005E700000}"/>
    <cellStyle name="Normal 12 2 2 3 7" xfId="45251" xr:uid="{00000000-0005-0000-0000-00005F700000}"/>
    <cellStyle name="Normal 12 2 2 4" xfId="28338" xr:uid="{00000000-0005-0000-0000-000060700000}"/>
    <cellStyle name="Normal 12 2 2 4 2" xfId="28339" xr:uid="{00000000-0005-0000-0000-000061700000}"/>
    <cellStyle name="Normal 12 2 2 4 2 2" xfId="28340" xr:uid="{00000000-0005-0000-0000-000062700000}"/>
    <cellStyle name="Normal 12 2 2 4 2 2 2" xfId="39343" xr:uid="{00000000-0005-0000-0000-000063700000}"/>
    <cellStyle name="Normal 12 2 2 4 2 3" xfId="28341" xr:uid="{00000000-0005-0000-0000-000064700000}"/>
    <cellStyle name="Normal 12 2 2 4 3" xfId="28342" xr:uid="{00000000-0005-0000-0000-000065700000}"/>
    <cellStyle name="Normal 12 2 2 4 3 2" xfId="28343" xr:uid="{00000000-0005-0000-0000-000066700000}"/>
    <cellStyle name="Normal 12 2 2 4 3 2 2" xfId="39344" xr:uid="{00000000-0005-0000-0000-000067700000}"/>
    <cellStyle name="Normal 12 2 2 4 3 3" xfId="28344" xr:uid="{00000000-0005-0000-0000-000068700000}"/>
    <cellStyle name="Normal 12 2 2 4 4" xfId="28345" xr:uid="{00000000-0005-0000-0000-000069700000}"/>
    <cellStyle name="Normal 12 2 2 4 4 2" xfId="39345" xr:uid="{00000000-0005-0000-0000-00006A700000}"/>
    <cellStyle name="Normal 12 2 2 4 5" xfId="28346" xr:uid="{00000000-0005-0000-0000-00006B700000}"/>
    <cellStyle name="Normal 12 2 2 5" xfId="28347" xr:uid="{00000000-0005-0000-0000-00006C700000}"/>
    <cellStyle name="Normal 12 2 2 5 2" xfId="28348" xr:uid="{00000000-0005-0000-0000-00006D700000}"/>
    <cellStyle name="Normal 12 2 2 5 2 2" xfId="39346" xr:uid="{00000000-0005-0000-0000-00006E700000}"/>
    <cellStyle name="Normal 12 2 2 5 3" xfId="28349" xr:uid="{00000000-0005-0000-0000-00006F700000}"/>
    <cellStyle name="Normal 12 2 2 6" xfId="28350" xr:uid="{00000000-0005-0000-0000-000070700000}"/>
    <cellStyle name="Normal 12 2 2 6 2" xfId="28351" xr:uid="{00000000-0005-0000-0000-000071700000}"/>
    <cellStyle name="Normal 12 2 2 6 2 2" xfId="39347" xr:uid="{00000000-0005-0000-0000-000072700000}"/>
    <cellStyle name="Normal 12 2 2 6 3" xfId="28352" xr:uid="{00000000-0005-0000-0000-000073700000}"/>
    <cellStyle name="Normal 12 2 2 7" xfId="28353" xr:uid="{00000000-0005-0000-0000-000074700000}"/>
    <cellStyle name="Normal 12 2 2 7 2" xfId="39348" xr:uid="{00000000-0005-0000-0000-000075700000}"/>
    <cellStyle name="Normal 12 2 2 8" xfId="28354" xr:uid="{00000000-0005-0000-0000-000076700000}"/>
    <cellStyle name="Normal 12 2 2 9" xfId="45252" xr:uid="{00000000-0005-0000-0000-000077700000}"/>
    <cellStyle name="Normal 12 2 3" xfId="1339" xr:uid="{00000000-0005-0000-0000-000078700000}"/>
    <cellStyle name="Normal 12 2 3 2" xfId="1340" xr:uid="{00000000-0005-0000-0000-000079700000}"/>
    <cellStyle name="Normal 12 2 3 2 2" xfId="28355" xr:uid="{00000000-0005-0000-0000-00007A700000}"/>
    <cellStyle name="Normal 12 2 3 2 2 2" xfId="28356" xr:uid="{00000000-0005-0000-0000-00007B700000}"/>
    <cellStyle name="Normal 12 2 3 2 2 2 2" xfId="28357" xr:uid="{00000000-0005-0000-0000-00007C700000}"/>
    <cellStyle name="Normal 12 2 3 2 2 2 2 2" xfId="39349" xr:uid="{00000000-0005-0000-0000-00007D700000}"/>
    <cellStyle name="Normal 12 2 3 2 2 2 3" xfId="28358" xr:uid="{00000000-0005-0000-0000-00007E700000}"/>
    <cellStyle name="Normal 12 2 3 2 2 3" xfId="28359" xr:uid="{00000000-0005-0000-0000-00007F700000}"/>
    <cellStyle name="Normal 12 2 3 2 2 3 2" xfId="28360" xr:uid="{00000000-0005-0000-0000-000080700000}"/>
    <cellStyle name="Normal 12 2 3 2 2 3 2 2" xfId="39350" xr:uid="{00000000-0005-0000-0000-000081700000}"/>
    <cellStyle name="Normal 12 2 3 2 2 3 3" xfId="28361" xr:uid="{00000000-0005-0000-0000-000082700000}"/>
    <cellStyle name="Normal 12 2 3 2 2 4" xfId="28362" xr:uid="{00000000-0005-0000-0000-000083700000}"/>
    <cellStyle name="Normal 12 2 3 2 2 4 2" xfId="39351" xr:uid="{00000000-0005-0000-0000-000084700000}"/>
    <cellStyle name="Normal 12 2 3 2 2 5" xfId="28363" xr:uid="{00000000-0005-0000-0000-000085700000}"/>
    <cellStyle name="Normal 12 2 3 2 3" xfId="28364" xr:uid="{00000000-0005-0000-0000-000086700000}"/>
    <cellStyle name="Normal 12 2 3 2 3 2" xfId="28365" xr:uid="{00000000-0005-0000-0000-000087700000}"/>
    <cellStyle name="Normal 12 2 3 2 3 2 2" xfId="39352" xr:uid="{00000000-0005-0000-0000-000088700000}"/>
    <cellStyle name="Normal 12 2 3 2 3 3" xfId="28366" xr:uid="{00000000-0005-0000-0000-000089700000}"/>
    <cellStyle name="Normal 12 2 3 2 4" xfId="28367" xr:uid="{00000000-0005-0000-0000-00008A700000}"/>
    <cellStyle name="Normal 12 2 3 2 4 2" xfId="28368" xr:uid="{00000000-0005-0000-0000-00008B700000}"/>
    <cellStyle name="Normal 12 2 3 2 4 2 2" xfId="39353" xr:uid="{00000000-0005-0000-0000-00008C700000}"/>
    <cellStyle name="Normal 12 2 3 2 4 3" xfId="28369" xr:uid="{00000000-0005-0000-0000-00008D700000}"/>
    <cellStyle name="Normal 12 2 3 2 5" xfId="28370" xr:uid="{00000000-0005-0000-0000-00008E700000}"/>
    <cellStyle name="Normal 12 2 3 2 5 2" xfId="39354" xr:uid="{00000000-0005-0000-0000-00008F700000}"/>
    <cellStyle name="Normal 12 2 3 2 6" xfId="28371" xr:uid="{00000000-0005-0000-0000-000090700000}"/>
    <cellStyle name="Normal 12 2 3 2 7" xfId="45253" xr:uid="{00000000-0005-0000-0000-000091700000}"/>
    <cellStyle name="Normal 12 2 3 3" xfId="28372" xr:uid="{00000000-0005-0000-0000-000092700000}"/>
    <cellStyle name="Normal 12 2 3 3 2" xfId="28373" xr:uid="{00000000-0005-0000-0000-000093700000}"/>
    <cellStyle name="Normal 12 2 3 3 2 2" xfId="28374" xr:uid="{00000000-0005-0000-0000-000094700000}"/>
    <cellStyle name="Normal 12 2 3 3 2 2 2" xfId="39355" xr:uid="{00000000-0005-0000-0000-000095700000}"/>
    <cellStyle name="Normal 12 2 3 3 2 3" xfId="28375" xr:uid="{00000000-0005-0000-0000-000096700000}"/>
    <cellStyle name="Normal 12 2 3 3 3" xfId="28376" xr:uid="{00000000-0005-0000-0000-000097700000}"/>
    <cellStyle name="Normal 12 2 3 3 3 2" xfId="28377" xr:uid="{00000000-0005-0000-0000-000098700000}"/>
    <cellStyle name="Normal 12 2 3 3 3 2 2" xfId="39356" xr:uid="{00000000-0005-0000-0000-000099700000}"/>
    <cellStyle name="Normal 12 2 3 3 3 3" xfId="28378" xr:uid="{00000000-0005-0000-0000-00009A700000}"/>
    <cellStyle name="Normal 12 2 3 3 4" xfId="28379" xr:uid="{00000000-0005-0000-0000-00009B700000}"/>
    <cellStyle name="Normal 12 2 3 3 4 2" xfId="39357" xr:uid="{00000000-0005-0000-0000-00009C700000}"/>
    <cellStyle name="Normal 12 2 3 3 5" xfId="28380" xr:uid="{00000000-0005-0000-0000-00009D700000}"/>
    <cellStyle name="Normal 12 2 3 4" xfId="28381" xr:uid="{00000000-0005-0000-0000-00009E700000}"/>
    <cellStyle name="Normal 12 2 3 4 2" xfId="28382" xr:uid="{00000000-0005-0000-0000-00009F700000}"/>
    <cellStyle name="Normal 12 2 3 4 2 2" xfId="39358" xr:uid="{00000000-0005-0000-0000-0000A0700000}"/>
    <cellStyle name="Normal 12 2 3 4 3" xfId="28383" xr:uid="{00000000-0005-0000-0000-0000A1700000}"/>
    <cellStyle name="Normal 12 2 3 5" xfId="28384" xr:uid="{00000000-0005-0000-0000-0000A2700000}"/>
    <cellStyle name="Normal 12 2 3 5 2" xfId="28385" xr:uid="{00000000-0005-0000-0000-0000A3700000}"/>
    <cellStyle name="Normal 12 2 3 5 2 2" xfId="39359" xr:uid="{00000000-0005-0000-0000-0000A4700000}"/>
    <cellStyle name="Normal 12 2 3 5 3" xfId="28386" xr:uid="{00000000-0005-0000-0000-0000A5700000}"/>
    <cellStyle name="Normal 12 2 3 6" xfId="28387" xr:uid="{00000000-0005-0000-0000-0000A6700000}"/>
    <cellStyle name="Normal 12 2 3 6 2" xfId="39360" xr:uid="{00000000-0005-0000-0000-0000A7700000}"/>
    <cellStyle name="Normal 12 2 3 7" xfId="28388" xr:uid="{00000000-0005-0000-0000-0000A8700000}"/>
    <cellStyle name="Normal 12 2 3 8" xfId="45254" xr:uid="{00000000-0005-0000-0000-0000A9700000}"/>
    <cellStyle name="Normal 12 2 4" xfId="1341" xr:uid="{00000000-0005-0000-0000-0000AA700000}"/>
    <cellStyle name="Normal 12 2 4 2" xfId="28389" xr:uid="{00000000-0005-0000-0000-0000AB700000}"/>
    <cellStyle name="Normal 12 2 4 2 2" xfId="28390" xr:uid="{00000000-0005-0000-0000-0000AC700000}"/>
    <cellStyle name="Normal 12 2 4 2 2 2" xfId="28391" xr:uid="{00000000-0005-0000-0000-0000AD700000}"/>
    <cellStyle name="Normal 12 2 4 2 2 2 2" xfId="39361" xr:uid="{00000000-0005-0000-0000-0000AE700000}"/>
    <cellStyle name="Normal 12 2 4 2 2 3" xfId="28392" xr:uid="{00000000-0005-0000-0000-0000AF700000}"/>
    <cellStyle name="Normal 12 2 4 2 3" xfId="28393" xr:uid="{00000000-0005-0000-0000-0000B0700000}"/>
    <cellStyle name="Normal 12 2 4 2 3 2" xfId="28394" xr:uid="{00000000-0005-0000-0000-0000B1700000}"/>
    <cellStyle name="Normal 12 2 4 2 3 2 2" xfId="39362" xr:uid="{00000000-0005-0000-0000-0000B2700000}"/>
    <cellStyle name="Normal 12 2 4 2 3 3" xfId="28395" xr:uid="{00000000-0005-0000-0000-0000B3700000}"/>
    <cellStyle name="Normal 12 2 4 2 4" xfId="28396" xr:uid="{00000000-0005-0000-0000-0000B4700000}"/>
    <cellStyle name="Normal 12 2 4 2 4 2" xfId="39363" xr:uid="{00000000-0005-0000-0000-0000B5700000}"/>
    <cellStyle name="Normal 12 2 4 2 5" xfId="28397" xr:uid="{00000000-0005-0000-0000-0000B6700000}"/>
    <cellStyle name="Normal 12 2 4 3" xfId="28398" xr:uid="{00000000-0005-0000-0000-0000B7700000}"/>
    <cellStyle name="Normal 12 2 4 3 2" xfId="28399" xr:uid="{00000000-0005-0000-0000-0000B8700000}"/>
    <cellStyle name="Normal 12 2 4 3 2 2" xfId="39364" xr:uid="{00000000-0005-0000-0000-0000B9700000}"/>
    <cellStyle name="Normal 12 2 4 3 3" xfId="28400" xr:uid="{00000000-0005-0000-0000-0000BA700000}"/>
    <cellStyle name="Normal 12 2 4 4" xfId="28401" xr:uid="{00000000-0005-0000-0000-0000BB700000}"/>
    <cellStyle name="Normal 12 2 4 4 2" xfId="28402" xr:uid="{00000000-0005-0000-0000-0000BC700000}"/>
    <cellStyle name="Normal 12 2 4 4 2 2" xfId="39365" xr:uid="{00000000-0005-0000-0000-0000BD700000}"/>
    <cellStyle name="Normal 12 2 4 4 3" xfId="28403" xr:uid="{00000000-0005-0000-0000-0000BE700000}"/>
    <cellStyle name="Normal 12 2 4 5" xfId="28404" xr:uid="{00000000-0005-0000-0000-0000BF700000}"/>
    <cellStyle name="Normal 12 2 4 5 2" xfId="39366" xr:uid="{00000000-0005-0000-0000-0000C0700000}"/>
    <cellStyle name="Normal 12 2 4 6" xfId="28405" xr:uid="{00000000-0005-0000-0000-0000C1700000}"/>
    <cellStyle name="Normal 12 2 4 7" xfId="45255" xr:uid="{00000000-0005-0000-0000-0000C2700000}"/>
    <cellStyle name="Normal 12 2 5" xfId="28406" xr:uid="{00000000-0005-0000-0000-0000C3700000}"/>
    <cellStyle name="Normal 12 2 5 2" xfId="28407" xr:uid="{00000000-0005-0000-0000-0000C4700000}"/>
    <cellStyle name="Normal 12 2 5 2 2" xfId="28408" xr:uid="{00000000-0005-0000-0000-0000C5700000}"/>
    <cellStyle name="Normal 12 2 5 2 2 2" xfId="39367" xr:uid="{00000000-0005-0000-0000-0000C6700000}"/>
    <cellStyle name="Normal 12 2 5 2 3" xfId="28409" xr:uid="{00000000-0005-0000-0000-0000C7700000}"/>
    <cellStyle name="Normal 12 2 5 3" xfId="28410" xr:uid="{00000000-0005-0000-0000-0000C8700000}"/>
    <cellStyle name="Normal 12 2 5 3 2" xfId="28411" xr:uid="{00000000-0005-0000-0000-0000C9700000}"/>
    <cellStyle name="Normal 12 2 5 3 2 2" xfId="39368" xr:uid="{00000000-0005-0000-0000-0000CA700000}"/>
    <cellStyle name="Normal 12 2 5 3 3" xfId="28412" xr:uid="{00000000-0005-0000-0000-0000CB700000}"/>
    <cellStyle name="Normal 12 2 5 4" xfId="28413" xr:uid="{00000000-0005-0000-0000-0000CC700000}"/>
    <cellStyle name="Normal 12 2 5 4 2" xfId="39369" xr:uid="{00000000-0005-0000-0000-0000CD700000}"/>
    <cellStyle name="Normal 12 2 5 5" xfId="28414" xr:uid="{00000000-0005-0000-0000-0000CE700000}"/>
    <cellStyle name="Normal 12 2 5 6" xfId="28415" xr:uid="{00000000-0005-0000-0000-0000CF700000}"/>
    <cellStyle name="Normal 12 2 5 7" xfId="44559" xr:uid="{00000000-0005-0000-0000-0000D0700000}"/>
    <cellStyle name="Normal 12 2 6" xfId="28416" xr:uid="{00000000-0005-0000-0000-0000D1700000}"/>
    <cellStyle name="Normal 12 2 6 2" xfId="28417" xr:uid="{00000000-0005-0000-0000-0000D2700000}"/>
    <cellStyle name="Normal 12 2 6 2 2" xfId="39370" xr:uid="{00000000-0005-0000-0000-0000D3700000}"/>
    <cellStyle name="Normal 12 2 6 3" xfId="28418" xr:uid="{00000000-0005-0000-0000-0000D4700000}"/>
    <cellStyle name="Normal 12 2 7" xfId="28419" xr:uid="{00000000-0005-0000-0000-0000D5700000}"/>
    <cellStyle name="Normal 12 2 7 2" xfId="28420" xr:uid="{00000000-0005-0000-0000-0000D6700000}"/>
    <cellStyle name="Normal 12 2 7 2 2" xfId="39371" xr:uid="{00000000-0005-0000-0000-0000D7700000}"/>
    <cellStyle name="Normal 12 2 7 3" xfId="28421" xr:uid="{00000000-0005-0000-0000-0000D8700000}"/>
    <cellStyle name="Normal 12 2 8" xfId="28422" xr:uid="{00000000-0005-0000-0000-0000D9700000}"/>
    <cellStyle name="Normal 12 2 8 2" xfId="39372" xr:uid="{00000000-0005-0000-0000-0000DA700000}"/>
    <cellStyle name="Normal 12 2 9" xfId="28423" xr:uid="{00000000-0005-0000-0000-0000DB700000}"/>
    <cellStyle name="Normal 12 3" xfId="383" xr:uid="{00000000-0005-0000-0000-0000DC700000}"/>
    <cellStyle name="Normal 12 3 2" xfId="1342" xr:uid="{00000000-0005-0000-0000-0000DD700000}"/>
    <cellStyle name="Normal 12 3 2 2" xfId="1343" xr:uid="{00000000-0005-0000-0000-0000DE700000}"/>
    <cellStyle name="Normal 12 3 2 2 2" xfId="28424" xr:uid="{00000000-0005-0000-0000-0000DF700000}"/>
    <cellStyle name="Normal 12 3 2 2 2 2" xfId="28425" xr:uid="{00000000-0005-0000-0000-0000E0700000}"/>
    <cellStyle name="Normal 12 3 2 2 2 2 2" xfId="28426" xr:uid="{00000000-0005-0000-0000-0000E1700000}"/>
    <cellStyle name="Normal 12 3 2 2 2 2 2 2" xfId="39373" xr:uid="{00000000-0005-0000-0000-0000E2700000}"/>
    <cellStyle name="Normal 12 3 2 2 2 2 3" xfId="28427" xr:uid="{00000000-0005-0000-0000-0000E3700000}"/>
    <cellStyle name="Normal 12 3 2 2 2 3" xfId="28428" xr:uid="{00000000-0005-0000-0000-0000E4700000}"/>
    <cellStyle name="Normal 12 3 2 2 2 3 2" xfId="28429" xr:uid="{00000000-0005-0000-0000-0000E5700000}"/>
    <cellStyle name="Normal 12 3 2 2 2 3 2 2" xfId="39374" xr:uid="{00000000-0005-0000-0000-0000E6700000}"/>
    <cellStyle name="Normal 12 3 2 2 2 3 3" xfId="28430" xr:uid="{00000000-0005-0000-0000-0000E7700000}"/>
    <cellStyle name="Normal 12 3 2 2 2 4" xfId="28431" xr:uid="{00000000-0005-0000-0000-0000E8700000}"/>
    <cellStyle name="Normal 12 3 2 2 2 4 2" xfId="39375" xr:uid="{00000000-0005-0000-0000-0000E9700000}"/>
    <cellStyle name="Normal 12 3 2 2 2 5" xfId="28432" xr:uid="{00000000-0005-0000-0000-0000EA700000}"/>
    <cellStyle name="Normal 12 3 2 2 3" xfId="28433" xr:uid="{00000000-0005-0000-0000-0000EB700000}"/>
    <cellStyle name="Normal 12 3 2 2 3 2" xfId="28434" xr:uid="{00000000-0005-0000-0000-0000EC700000}"/>
    <cellStyle name="Normal 12 3 2 2 3 2 2" xfId="39376" xr:uid="{00000000-0005-0000-0000-0000ED700000}"/>
    <cellStyle name="Normal 12 3 2 2 3 3" xfId="28435" xr:uid="{00000000-0005-0000-0000-0000EE700000}"/>
    <cellStyle name="Normal 12 3 2 2 4" xfId="28436" xr:uid="{00000000-0005-0000-0000-0000EF700000}"/>
    <cellStyle name="Normal 12 3 2 2 4 2" xfId="28437" xr:uid="{00000000-0005-0000-0000-0000F0700000}"/>
    <cellStyle name="Normal 12 3 2 2 4 2 2" xfId="39377" xr:uid="{00000000-0005-0000-0000-0000F1700000}"/>
    <cellStyle name="Normal 12 3 2 2 4 3" xfId="28438" xr:uid="{00000000-0005-0000-0000-0000F2700000}"/>
    <cellStyle name="Normal 12 3 2 2 5" xfId="28439" xr:uid="{00000000-0005-0000-0000-0000F3700000}"/>
    <cellStyle name="Normal 12 3 2 2 5 2" xfId="39378" xr:uid="{00000000-0005-0000-0000-0000F4700000}"/>
    <cellStyle name="Normal 12 3 2 2 6" xfId="28440" xr:uid="{00000000-0005-0000-0000-0000F5700000}"/>
    <cellStyle name="Normal 12 3 2 3" xfId="28441" xr:uid="{00000000-0005-0000-0000-0000F6700000}"/>
    <cellStyle name="Normal 12 3 2 3 2" xfId="28442" xr:uid="{00000000-0005-0000-0000-0000F7700000}"/>
    <cellStyle name="Normal 12 3 2 3 2 2" xfId="28443" xr:uid="{00000000-0005-0000-0000-0000F8700000}"/>
    <cellStyle name="Normal 12 3 2 3 2 2 2" xfId="39379" xr:uid="{00000000-0005-0000-0000-0000F9700000}"/>
    <cellStyle name="Normal 12 3 2 3 2 3" xfId="28444" xr:uid="{00000000-0005-0000-0000-0000FA700000}"/>
    <cellStyle name="Normal 12 3 2 3 3" xfId="28445" xr:uid="{00000000-0005-0000-0000-0000FB700000}"/>
    <cellStyle name="Normal 12 3 2 3 3 2" xfId="28446" xr:uid="{00000000-0005-0000-0000-0000FC700000}"/>
    <cellStyle name="Normal 12 3 2 3 3 2 2" xfId="39380" xr:uid="{00000000-0005-0000-0000-0000FD700000}"/>
    <cellStyle name="Normal 12 3 2 3 3 3" xfId="28447" xr:uid="{00000000-0005-0000-0000-0000FE700000}"/>
    <cellStyle name="Normal 12 3 2 3 4" xfId="28448" xr:uid="{00000000-0005-0000-0000-0000FF700000}"/>
    <cellStyle name="Normal 12 3 2 3 4 2" xfId="39381" xr:uid="{00000000-0005-0000-0000-000000710000}"/>
    <cellStyle name="Normal 12 3 2 3 5" xfId="28449" xr:uid="{00000000-0005-0000-0000-000001710000}"/>
    <cellStyle name="Normal 12 3 2 4" xfId="28450" xr:uid="{00000000-0005-0000-0000-000002710000}"/>
    <cellStyle name="Normal 12 3 2 4 2" xfId="28451" xr:uid="{00000000-0005-0000-0000-000003710000}"/>
    <cellStyle name="Normal 12 3 2 4 2 2" xfId="39382" xr:uid="{00000000-0005-0000-0000-000004710000}"/>
    <cellStyle name="Normal 12 3 2 4 3" xfId="28452" xr:uid="{00000000-0005-0000-0000-000005710000}"/>
    <cellStyle name="Normal 12 3 2 5" xfId="28453" xr:uid="{00000000-0005-0000-0000-000006710000}"/>
    <cellStyle name="Normal 12 3 2 5 2" xfId="28454" xr:uid="{00000000-0005-0000-0000-000007710000}"/>
    <cellStyle name="Normal 12 3 2 5 2 2" xfId="39383" xr:uid="{00000000-0005-0000-0000-000008710000}"/>
    <cellStyle name="Normal 12 3 2 5 3" xfId="28455" xr:uid="{00000000-0005-0000-0000-000009710000}"/>
    <cellStyle name="Normal 12 3 2 6" xfId="28456" xr:uid="{00000000-0005-0000-0000-00000A710000}"/>
    <cellStyle name="Normal 12 3 2 6 2" xfId="39384" xr:uid="{00000000-0005-0000-0000-00000B710000}"/>
    <cellStyle name="Normal 12 3 2 7" xfId="28457" xr:uid="{00000000-0005-0000-0000-00000C710000}"/>
    <cellStyle name="Normal 12 3 2 8" xfId="46226" xr:uid="{00000000-0005-0000-0000-00000D710000}"/>
    <cellStyle name="Normal 12 3 3" xfId="1344" xr:uid="{00000000-0005-0000-0000-00000E710000}"/>
    <cellStyle name="Normal 12 3 3 2" xfId="28458" xr:uid="{00000000-0005-0000-0000-00000F710000}"/>
    <cellStyle name="Normal 12 3 3 2 2" xfId="28459" xr:uid="{00000000-0005-0000-0000-000010710000}"/>
    <cellStyle name="Normal 12 3 3 2 2 2" xfId="28460" xr:uid="{00000000-0005-0000-0000-000011710000}"/>
    <cellStyle name="Normal 12 3 3 2 2 2 2" xfId="39385" xr:uid="{00000000-0005-0000-0000-000012710000}"/>
    <cellStyle name="Normal 12 3 3 2 2 3" xfId="28461" xr:uid="{00000000-0005-0000-0000-000013710000}"/>
    <cellStyle name="Normal 12 3 3 2 3" xfId="28462" xr:uid="{00000000-0005-0000-0000-000014710000}"/>
    <cellStyle name="Normal 12 3 3 2 3 2" xfId="28463" xr:uid="{00000000-0005-0000-0000-000015710000}"/>
    <cellStyle name="Normal 12 3 3 2 3 2 2" xfId="39386" xr:uid="{00000000-0005-0000-0000-000016710000}"/>
    <cellStyle name="Normal 12 3 3 2 3 3" xfId="28464" xr:uid="{00000000-0005-0000-0000-000017710000}"/>
    <cellStyle name="Normal 12 3 3 2 4" xfId="28465" xr:uid="{00000000-0005-0000-0000-000018710000}"/>
    <cellStyle name="Normal 12 3 3 2 4 2" xfId="39387" xr:uid="{00000000-0005-0000-0000-000019710000}"/>
    <cellStyle name="Normal 12 3 3 2 5" xfId="28466" xr:uid="{00000000-0005-0000-0000-00001A710000}"/>
    <cellStyle name="Normal 12 3 3 3" xfId="28467" xr:uid="{00000000-0005-0000-0000-00001B710000}"/>
    <cellStyle name="Normal 12 3 3 3 2" xfId="28468" xr:uid="{00000000-0005-0000-0000-00001C710000}"/>
    <cellStyle name="Normal 12 3 3 3 2 2" xfId="39388" xr:uid="{00000000-0005-0000-0000-00001D710000}"/>
    <cellStyle name="Normal 12 3 3 3 3" xfId="28469" xr:uid="{00000000-0005-0000-0000-00001E710000}"/>
    <cellStyle name="Normal 12 3 3 4" xfId="28470" xr:uid="{00000000-0005-0000-0000-00001F710000}"/>
    <cellStyle name="Normal 12 3 3 4 2" xfId="28471" xr:uid="{00000000-0005-0000-0000-000020710000}"/>
    <cellStyle name="Normal 12 3 3 4 2 2" xfId="39389" xr:uid="{00000000-0005-0000-0000-000021710000}"/>
    <cellStyle name="Normal 12 3 3 4 3" xfId="28472" xr:uid="{00000000-0005-0000-0000-000022710000}"/>
    <cellStyle name="Normal 12 3 3 5" xfId="28473" xr:uid="{00000000-0005-0000-0000-000023710000}"/>
    <cellStyle name="Normal 12 3 3 5 2" xfId="39390" xr:uid="{00000000-0005-0000-0000-000024710000}"/>
    <cellStyle name="Normal 12 3 3 6" xfId="28474" xr:uid="{00000000-0005-0000-0000-000025710000}"/>
    <cellStyle name="Normal 12 3 3 7" xfId="45256" xr:uid="{00000000-0005-0000-0000-000026710000}"/>
    <cellStyle name="Normal 12 3 4" xfId="28475" xr:uid="{00000000-0005-0000-0000-000027710000}"/>
    <cellStyle name="Normal 12 3 4 2" xfId="28476" xr:uid="{00000000-0005-0000-0000-000028710000}"/>
    <cellStyle name="Normal 12 3 4 2 2" xfId="28477" xr:uid="{00000000-0005-0000-0000-000029710000}"/>
    <cellStyle name="Normal 12 3 4 2 2 2" xfId="39391" xr:uid="{00000000-0005-0000-0000-00002A710000}"/>
    <cellStyle name="Normal 12 3 4 2 3" xfId="28478" xr:uid="{00000000-0005-0000-0000-00002B710000}"/>
    <cellStyle name="Normal 12 3 4 3" xfId="28479" xr:uid="{00000000-0005-0000-0000-00002C710000}"/>
    <cellStyle name="Normal 12 3 4 3 2" xfId="28480" xr:uid="{00000000-0005-0000-0000-00002D710000}"/>
    <cellStyle name="Normal 12 3 4 3 2 2" xfId="39392" xr:uid="{00000000-0005-0000-0000-00002E710000}"/>
    <cellStyle name="Normal 12 3 4 3 3" xfId="28481" xr:uid="{00000000-0005-0000-0000-00002F710000}"/>
    <cellStyle name="Normal 12 3 4 4" xfId="28482" xr:uid="{00000000-0005-0000-0000-000030710000}"/>
    <cellStyle name="Normal 12 3 4 4 2" xfId="39393" xr:uid="{00000000-0005-0000-0000-000031710000}"/>
    <cellStyle name="Normal 12 3 4 5" xfId="28483" xr:uid="{00000000-0005-0000-0000-000032710000}"/>
    <cellStyle name="Normal 12 3 4 6" xfId="28484" xr:uid="{00000000-0005-0000-0000-000033710000}"/>
    <cellStyle name="Normal 12 3 4 7" xfId="44560" xr:uid="{00000000-0005-0000-0000-000034710000}"/>
    <cellStyle name="Normal 12 3 5" xfId="28485" xr:uid="{00000000-0005-0000-0000-000035710000}"/>
    <cellStyle name="Normal 12 3 5 2" xfId="28486" xr:uid="{00000000-0005-0000-0000-000036710000}"/>
    <cellStyle name="Normal 12 3 5 2 2" xfId="39394" xr:uid="{00000000-0005-0000-0000-000037710000}"/>
    <cellStyle name="Normal 12 3 5 3" xfId="28487" xr:uid="{00000000-0005-0000-0000-000038710000}"/>
    <cellStyle name="Normal 12 3 6" xfId="28488" xr:uid="{00000000-0005-0000-0000-000039710000}"/>
    <cellStyle name="Normal 12 3 6 2" xfId="28489" xr:uid="{00000000-0005-0000-0000-00003A710000}"/>
    <cellStyle name="Normal 12 3 6 2 2" xfId="39395" xr:uid="{00000000-0005-0000-0000-00003B710000}"/>
    <cellStyle name="Normal 12 3 6 3" xfId="28490" xr:uid="{00000000-0005-0000-0000-00003C710000}"/>
    <cellStyle name="Normal 12 3 7" xfId="28491" xr:uid="{00000000-0005-0000-0000-00003D710000}"/>
    <cellStyle name="Normal 12 3 7 2" xfId="39396" xr:uid="{00000000-0005-0000-0000-00003E710000}"/>
    <cellStyle name="Normal 12 3 8" xfId="28492" xr:uid="{00000000-0005-0000-0000-00003F710000}"/>
    <cellStyle name="Normal 12 3 9" xfId="39397" xr:uid="{00000000-0005-0000-0000-000040710000}"/>
    <cellStyle name="Normal 12 4" xfId="384" xr:uid="{00000000-0005-0000-0000-000041710000}"/>
    <cellStyle name="Normal 12 4 2" xfId="1345" xr:uid="{00000000-0005-0000-0000-000042710000}"/>
    <cellStyle name="Normal 12 4 2 2" xfId="28493" xr:uid="{00000000-0005-0000-0000-000043710000}"/>
    <cellStyle name="Normal 12 4 2 2 2" xfId="28494" xr:uid="{00000000-0005-0000-0000-000044710000}"/>
    <cellStyle name="Normal 12 4 2 2 2 2" xfId="28495" xr:uid="{00000000-0005-0000-0000-000045710000}"/>
    <cellStyle name="Normal 12 4 2 2 2 2 2" xfId="28496" xr:uid="{00000000-0005-0000-0000-000046710000}"/>
    <cellStyle name="Normal 12 4 2 2 2 2 2 2" xfId="39398" xr:uid="{00000000-0005-0000-0000-000047710000}"/>
    <cellStyle name="Normal 12 4 2 2 2 2 3" xfId="28497" xr:uid="{00000000-0005-0000-0000-000048710000}"/>
    <cellStyle name="Normal 12 4 2 2 2 3" xfId="28498" xr:uid="{00000000-0005-0000-0000-000049710000}"/>
    <cellStyle name="Normal 12 4 2 2 2 3 2" xfId="28499" xr:uid="{00000000-0005-0000-0000-00004A710000}"/>
    <cellStyle name="Normal 12 4 2 2 2 3 2 2" xfId="39399" xr:uid="{00000000-0005-0000-0000-00004B710000}"/>
    <cellStyle name="Normal 12 4 2 2 2 3 3" xfId="28500" xr:uid="{00000000-0005-0000-0000-00004C710000}"/>
    <cellStyle name="Normal 12 4 2 2 2 4" xfId="28501" xr:uid="{00000000-0005-0000-0000-00004D710000}"/>
    <cellStyle name="Normal 12 4 2 2 2 4 2" xfId="39400" xr:uid="{00000000-0005-0000-0000-00004E710000}"/>
    <cellStyle name="Normal 12 4 2 2 2 5" xfId="28502" xr:uid="{00000000-0005-0000-0000-00004F710000}"/>
    <cellStyle name="Normal 12 4 2 2 3" xfId="28503" xr:uid="{00000000-0005-0000-0000-000050710000}"/>
    <cellStyle name="Normal 12 4 2 2 3 2" xfId="28504" xr:uid="{00000000-0005-0000-0000-000051710000}"/>
    <cellStyle name="Normal 12 4 2 2 3 2 2" xfId="39401" xr:uid="{00000000-0005-0000-0000-000052710000}"/>
    <cellStyle name="Normal 12 4 2 2 3 3" xfId="28505" xr:uid="{00000000-0005-0000-0000-000053710000}"/>
    <cellStyle name="Normal 12 4 2 2 4" xfId="28506" xr:uid="{00000000-0005-0000-0000-000054710000}"/>
    <cellStyle name="Normal 12 4 2 2 4 2" xfId="28507" xr:uid="{00000000-0005-0000-0000-000055710000}"/>
    <cellStyle name="Normal 12 4 2 2 4 2 2" xfId="39402" xr:uid="{00000000-0005-0000-0000-000056710000}"/>
    <cellStyle name="Normal 12 4 2 2 4 3" xfId="28508" xr:uid="{00000000-0005-0000-0000-000057710000}"/>
    <cellStyle name="Normal 12 4 2 2 5" xfId="28509" xr:uid="{00000000-0005-0000-0000-000058710000}"/>
    <cellStyle name="Normal 12 4 2 2 5 2" xfId="39403" xr:uid="{00000000-0005-0000-0000-000059710000}"/>
    <cellStyle name="Normal 12 4 2 2 6" xfId="28510" xr:uid="{00000000-0005-0000-0000-00005A710000}"/>
    <cellStyle name="Normal 12 4 2 3" xfId="28511" xr:uid="{00000000-0005-0000-0000-00005B710000}"/>
    <cellStyle name="Normal 12 4 2 3 2" xfId="28512" xr:uid="{00000000-0005-0000-0000-00005C710000}"/>
    <cellStyle name="Normal 12 4 2 3 2 2" xfId="28513" xr:uid="{00000000-0005-0000-0000-00005D710000}"/>
    <cellStyle name="Normal 12 4 2 3 2 2 2" xfId="39404" xr:uid="{00000000-0005-0000-0000-00005E710000}"/>
    <cellStyle name="Normal 12 4 2 3 2 3" xfId="28514" xr:uid="{00000000-0005-0000-0000-00005F710000}"/>
    <cellStyle name="Normal 12 4 2 3 3" xfId="28515" xr:uid="{00000000-0005-0000-0000-000060710000}"/>
    <cellStyle name="Normal 12 4 2 3 3 2" xfId="28516" xr:uid="{00000000-0005-0000-0000-000061710000}"/>
    <cellStyle name="Normal 12 4 2 3 3 2 2" xfId="39405" xr:uid="{00000000-0005-0000-0000-000062710000}"/>
    <cellStyle name="Normal 12 4 2 3 3 3" xfId="28517" xr:uid="{00000000-0005-0000-0000-000063710000}"/>
    <cellStyle name="Normal 12 4 2 3 4" xfId="28518" xr:uid="{00000000-0005-0000-0000-000064710000}"/>
    <cellStyle name="Normal 12 4 2 3 4 2" xfId="39406" xr:uid="{00000000-0005-0000-0000-000065710000}"/>
    <cellStyle name="Normal 12 4 2 3 5" xfId="28519" xr:uid="{00000000-0005-0000-0000-000066710000}"/>
    <cellStyle name="Normal 12 4 2 4" xfId="28520" xr:uid="{00000000-0005-0000-0000-000067710000}"/>
    <cellStyle name="Normal 12 4 2 4 2" xfId="28521" xr:uid="{00000000-0005-0000-0000-000068710000}"/>
    <cellStyle name="Normal 12 4 2 4 2 2" xfId="39407" xr:uid="{00000000-0005-0000-0000-000069710000}"/>
    <cellStyle name="Normal 12 4 2 4 3" xfId="28522" xr:uid="{00000000-0005-0000-0000-00006A710000}"/>
    <cellStyle name="Normal 12 4 2 5" xfId="28523" xr:uid="{00000000-0005-0000-0000-00006B710000}"/>
    <cellStyle name="Normal 12 4 2 5 2" xfId="28524" xr:uid="{00000000-0005-0000-0000-00006C710000}"/>
    <cellStyle name="Normal 12 4 2 5 2 2" xfId="39408" xr:uid="{00000000-0005-0000-0000-00006D710000}"/>
    <cellStyle name="Normal 12 4 2 5 3" xfId="28525" xr:uid="{00000000-0005-0000-0000-00006E710000}"/>
    <cellStyle name="Normal 12 4 2 6" xfId="28526" xr:uid="{00000000-0005-0000-0000-00006F710000}"/>
    <cellStyle name="Normal 12 4 2 6 2" xfId="39409" xr:uid="{00000000-0005-0000-0000-000070710000}"/>
    <cellStyle name="Normal 12 4 2 7" xfId="28527" xr:uid="{00000000-0005-0000-0000-000071710000}"/>
    <cellStyle name="Normal 12 4 2 8" xfId="45257" xr:uid="{00000000-0005-0000-0000-000072710000}"/>
    <cellStyle name="Normal 12 4 3" xfId="28528" xr:uid="{00000000-0005-0000-0000-000073710000}"/>
    <cellStyle name="Normal 12 4 3 2" xfId="28529" xr:uid="{00000000-0005-0000-0000-000074710000}"/>
    <cellStyle name="Normal 12 4 3 2 2" xfId="28530" xr:uid="{00000000-0005-0000-0000-000075710000}"/>
    <cellStyle name="Normal 12 4 3 2 2 2" xfId="28531" xr:uid="{00000000-0005-0000-0000-000076710000}"/>
    <cellStyle name="Normal 12 4 3 2 2 2 2" xfId="39410" xr:uid="{00000000-0005-0000-0000-000077710000}"/>
    <cellStyle name="Normal 12 4 3 2 2 3" xfId="28532" xr:uid="{00000000-0005-0000-0000-000078710000}"/>
    <cellStyle name="Normal 12 4 3 2 3" xfId="28533" xr:uid="{00000000-0005-0000-0000-000079710000}"/>
    <cellStyle name="Normal 12 4 3 2 3 2" xfId="28534" xr:uid="{00000000-0005-0000-0000-00007A710000}"/>
    <cellStyle name="Normal 12 4 3 2 3 2 2" xfId="39411" xr:uid="{00000000-0005-0000-0000-00007B710000}"/>
    <cellStyle name="Normal 12 4 3 2 3 3" xfId="28535" xr:uid="{00000000-0005-0000-0000-00007C710000}"/>
    <cellStyle name="Normal 12 4 3 2 4" xfId="28536" xr:uid="{00000000-0005-0000-0000-00007D710000}"/>
    <cellStyle name="Normal 12 4 3 2 4 2" xfId="39412" xr:uid="{00000000-0005-0000-0000-00007E710000}"/>
    <cellStyle name="Normal 12 4 3 2 5" xfId="28537" xr:uid="{00000000-0005-0000-0000-00007F710000}"/>
    <cellStyle name="Normal 12 4 3 3" xfId="28538" xr:uid="{00000000-0005-0000-0000-000080710000}"/>
    <cellStyle name="Normal 12 4 3 3 2" xfId="28539" xr:uid="{00000000-0005-0000-0000-000081710000}"/>
    <cellStyle name="Normal 12 4 3 3 2 2" xfId="39413" xr:uid="{00000000-0005-0000-0000-000082710000}"/>
    <cellStyle name="Normal 12 4 3 3 3" xfId="28540" xr:uid="{00000000-0005-0000-0000-000083710000}"/>
    <cellStyle name="Normal 12 4 3 4" xfId="28541" xr:uid="{00000000-0005-0000-0000-000084710000}"/>
    <cellStyle name="Normal 12 4 3 4 2" xfId="28542" xr:uid="{00000000-0005-0000-0000-000085710000}"/>
    <cellStyle name="Normal 12 4 3 4 2 2" xfId="39414" xr:uid="{00000000-0005-0000-0000-000086710000}"/>
    <cellStyle name="Normal 12 4 3 4 3" xfId="28543" xr:uid="{00000000-0005-0000-0000-000087710000}"/>
    <cellStyle name="Normal 12 4 3 5" xfId="28544" xr:uid="{00000000-0005-0000-0000-000088710000}"/>
    <cellStyle name="Normal 12 4 3 5 2" xfId="39415" xr:uid="{00000000-0005-0000-0000-000089710000}"/>
    <cellStyle name="Normal 12 4 3 6" xfId="28545" xr:uid="{00000000-0005-0000-0000-00008A710000}"/>
    <cellStyle name="Normal 12 4 3 7" xfId="28546" xr:uid="{00000000-0005-0000-0000-00008B710000}"/>
    <cellStyle name="Normal 12 4 3 8" xfId="44561" xr:uid="{00000000-0005-0000-0000-00008C710000}"/>
    <cellStyle name="Normal 12 4 4" xfId="28547" xr:uid="{00000000-0005-0000-0000-00008D710000}"/>
    <cellStyle name="Normal 12 4 4 2" xfId="28548" xr:uid="{00000000-0005-0000-0000-00008E710000}"/>
    <cellStyle name="Normal 12 4 4 2 2" xfId="28549" xr:uid="{00000000-0005-0000-0000-00008F710000}"/>
    <cellStyle name="Normal 12 4 4 2 2 2" xfId="39416" xr:uid="{00000000-0005-0000-0000-000090710000}"/>
    <cellStyle name="Normal 12 4 4 2 3" xfId="28550" xr:uid="{00000000-0005-0000-0000-000091710000}"/>
    <cellStyle name="Normal 12 4 4 3" xfId="28551" xr:uid="{00000000-0005-0000-0000-000092710000}"/>
    <cellStyle name="Normal 12 4 4 3 2" xfId="28552" xr:uid="{00000000-0005-0000-0000-000093710000}"/>
    <cellStyle name="Normal 12 4 4 3 2 2" xfId="39417" xr:uid="{00000000-0005-0000-0000-000094710000}"/>
    <cellStyle name="Normal 12 4 4 3 3" xfId="28553" xr:uid="{00000000-0005-0000-0000-000095710000}"/>
    <cellStyle name="Normal 12 4 4 4" xfId="28554" xr:uid="{00000000-0005-0000-0000-000096710000}"/>
    <cellStyle name="Normal 12 4 4 4 2" xfId="39418" xr:uid="{00000000-0005-0000-0000-000097710000}"/>
    <cellStyle name="Normal 12 4 4 5" xfId="28555" xr:uid="{00000000-0005-0000-0000-000098710000}"/>
    <cellStyle name="Normal 12 4 5" xfId="28556" xr:uid="{00000000-0005-0000-0000-000099710000}"/>
    <cellStyle name="Normal 12 4 5 2" xfId="28557" xr:uid="{00000000-0005-0000-0000-00009A710000}"/>
    <cellStyle name="Normal 12 4 5 2 2" xfId="39419" xr:uid="{00000000-0005-0000-0000-00009B710000}"/>
    <cellStyle name="Normal 12 4 5 3" xfId="28558" xr:uid="{00000000-0005-0000-0000-00009C710000}"/>
    <cellStyle name="Normal 12 4 6" xfId="28559" xr:uid="{00000000-0005-0000-0000-00009D710000}"/>
    <cellStyle name="Normal 12 4 6 2" xfId="28560" xr:uid="{00000000-0005-0000-0000-00009E710000}"/>
    <cellStyle name="Normal 12 4 6 2 2" xfId="39420" xr:uid="{00000000-0005-0000-0000-00009F710000}"/>
    <cellStyle name="Normal 12 4 6 3" xfId="28561" xr:uid="{00000000-0005-0000-0000-0000A0710000}"/>
    <cellStyle name="Normal 12 4 7" xfId="28562" xr:uid="{00000000-0005-0000-0000-0000A1710000}"/>
    <cellStyle name="Normal 12 4 7 2" xfId="39421" xr:uid="{00000000-0005-0000-0000-0000A2710000}"/>
    <cellStyle name="Normal 12 4 8" xfId="28563" xr:uid="{00000000-0005-0000-0000-0000A3710000}"/>
    <cellStyle name="Normal 12 5" xfId="385" xr:uid="{00000000-0005-0000-0000-0000A4710000}"/>
    <cellStyle name="Normal 12 5 2" xfId="28564" xr:uid="{00000000-0005-0000-0000-0000A5710000}"/>
    <cellStyle name="Normal 12 5 2 2" xfId="28565" xr:uid="{00000000-0005-0000-0000-0000A6710000}"/>
    <cellStyle name="Normal 12 5 2 2 2" xfId="28566" xr:uid="{00000000-0005-0000-0000-0000A7710000}"/>
    <cellStyle name="Normal 12 5 2 2 2 2" xfId="28567" xr:uid="{00000000-0005-0000-0000-0000A8710000}"/>
    <cellStyle name="Normal 12 5 2 2 2 2 2" xfId="39422" xr:uid="{00000000-0005-0000-0000-0000A9710000}"/>
    <cellStyle name="Normal 12 5 2 2 2 3" xfId="28568" xr:uid="{00000000-0005-0000-0000-0000AA710000}"/>
    <cellStyle name="Normal 12 5 2 2 3" xfId="28569" xr:uid="{00000000-0005-0000-0000-0000AB710000}"/>
    <cellStyle name="Normal 12 5 2 2 3 2" xfId="28570" xr:uid="{00000000-0005-0000-0000-0000AC710000}"/>
    <cellStyle name="Normal 12 5 2 2 3 2 2" xfId="39423" xr:uid="{00000000-0005-0000-0000-0000AD710000}"/>
    <cellStyle name="Normal 12 5 2 2 3 3" xfId="28571" xr:uid="{00000000-0005-0000-0000-0000AE710000}"/>
    <cellStyle name="Normal 12 5 2 2 4" xfId="28572" xr:uid="{00000000-0005-0000-0000-0000AF710000}"/>
    <cellStyle name="Normal 12 5 2 2 4 2" xfId="39424" xr:uid="{00000000-0005-0000-0000-0000B0710000}"/>
    <cellStyle name="Normal 12 5 2 2 5" xfId="28573" xr:uid="{00000000-0005-0000-0000-0000B1710000}"/>
    <cellStyle name="Normal 12 5 2 3" xfId="28574" xr:uid="{00000000-0005-0000-0000-0000B2710000}"/>
    <cellStyle name="Normal 12 5 2 3 2" xfId="28575" xr:uid="{00000000-0005-0000-0000-0000B3710000}"/>
    <cellStyle name="Normal 12 5 2 3 2 2" xfId="39425" xr:uid="{00000000-0005-0000-0000-0000B4710000}"/>
    <cellStyle name="Normal 12 5 2 3 3" xfId="28576" xr:uid="{00000000-0005-0000-0000-0000B5710000}"/>
    <cellStyle name="Normal 12 5 2 4" xfId="28577" xr:uid="{00000000-0005-0000-0000-0000B6710000}"/>
    <cellStyle name="Normal 12 5 2 4 2" xfId="28578" xr:uid="{00000000-0005-0000-0000-0000B7710000}"/>
    <cellStyle name="Normal 12 5 2 4 2 2" xfId="39426" xr:uid="{00000000-0005-0000-0000-0000B8710000}"/>
    <cellStyle name="Normal 12 5 2 4 3" xfId="28579" xr:uid="{00000000-0005-0000-0000-0000B9710000}"/>
    <cellStyle name="Normal 12 5 2 5" xfId="28580" xr:uid="{00000000-0005-0000-0000-0000BA710000}"/>
    <cellStyle name="Normal 12 5 2 5 2" xfId="39427" xr:uid="{00000000-0005-0000-0000-0000BB710000}"/>
    <cellStyle name="Normal 12 5 2 6" xfId="28581" xr:uid="{00000000-0005-0000-0000-0000BC710000}"/>
    <cellStyle name="Normal 12 5 3" xfId="28582" xr:uid="{00000000-0005-0000-0000-0000BD710000}"/>
    <cellStyle name="Normal 12 5 3 2" xfId="28583" xr:uid="{00000000-0005-0000-0000-0000BE710000}"/>
    <cellStyle name="Normal 12 5 3 2 2" xfId="28584" xr:uid="{00000000-0005-0000-0000-0000BF710000}"/>
    <cellStyle name="Normal 12 5 3 2 2 2" xfId="39428" xr:uid="{00000000-0005-0000-0000-0000C0710000}"/>
    <cellStyle name="Normal 12 5 3 2 3" xfId="28585" xr:uid="{00000000-0005-0000-0000-0000C1710000}"/>
    <cellStyle name="Normal 12 5 3 3" xfId="28586" xr:uid="{00000000-0005-0000-0000-0000C2710000}"/>
    <cellStyle name="Normal 12 5 3 3 2" xfId="28587" xr:uid="{00000000-0005-0000-0000-0000C3710000}"/>
    <cellStyle name="Normal 12 5 3 3 2 2" xfId="39429" xr:uid="{00000000-0005-0000-0000-0000C4710000}"/>
    <cellStyle name="Normal 12 5 3 3 3" xfId="28588" xr:uid="{00000000-0005-0000-0000-0000C5710000}"/>
    <cellStyle name="Normal 12 5 3 4" xfId="28589" xr:uid="{00000000-0005-0000-0000-0000C6710000}"/>
    <cellStyle name="Normal 12 5 3 4 2" xfId="39430" xr:uid="{00000000-0005-0000-0000-0000C7710000}"/>
    <cellStyle name="Normal 12 5 3 5" xfId="28590" xr:uid="{00000000-0005-0000-0000-0000C8710000}"/>
    <cellStyle name="Normal 12 5 4" xfId="28591" xr:uid="{00000000-0005-0000-0000-0000C9710000}"/>
    <cellStyle name="Normal 12 5 4 2" xfId="28592" xr:uid="{00000000-0005-0000-0000-0000CA710000}"/>
    <cellStyle name="Normal 12 5 4 2 2" xfId="39431" xr:uid="{00000000-0005-0000-0000-0000CB710000}"/>
    <cellStyle name="Normal 12 5 4 3" xfId="28593" xr:uid="{00000000-0005-0000-0000-0000CC710000}"/>
    <cellStyle name="Normal 12 5 5" xfId="28594" xr:uid="{00000000-0005-0000-0000-0000CD710000}"/>
    <cellStyle name="Normal 12 5 5 2" xfId="28595" xr:uid="{00000000-0005-0000-0000-0000CE710000}"/>
    <cellStyle name="Normal 12 5 5 2 2" xfId="39432" xr:uid="{00000000-0005-0000-0000-0000CF710000}"/>
    <cellStyle name="Normal 12 5 5 3" xfId="28596" xr:uid="{00000000-0005-0000-0000-0000D0710000}"/>
    <cellStyle name="Normal 12 5 6" xfId="28597" xr:uid="{00000000-0005-0000-0000-0000D1710000}"/>
    <cellStyle name="Normal 12 5 6 2" xfId="39433" xr:uid="{00000000-0005-0000-0000-0000D2710000}"/>
    <cellStyle name="Normal 12 5 7" xfId="28598" xr:uid="{00000000-0005-0000-0000-0000D3710000}"/>
    <cellStyle name="Normal 12 5 8" xfId="45258" xr:uid="{00000000-0005-0000-0000-0000D4710000}"/>
    <cellStyle name="Normal 12 6" xfId="1346" xr:uid="{00000000-0005-0000-0000-0000D5710000}"/>
    <cellStyle name="Normal 12 6 2" xfId="28599" xr:uid="{00000000-0005-0000-0000-0000D6710000}"/>
    <cellStyle name="Normal 12 6 2 2" xfId="28600" xr:uid="{00000000-0005-0000-0000-0000D7710000}"/>
    <cellStyle name="Normal 12 6 2 2 2" xfId="28601" xr:uid="{00000000-0005-0000-0000-0000D8710000}"/>
    <cellStyle name="Normal 12 6 2 2 2 2" xfId="39434" xr:uid="{00000000-0005-0000-0000-0000D9710000}"/>
    <cellStyle name="Normal 12 6 2 2 3" xfId="28602" xr:uid="{00000000-0005-0000-0000-0000DA710000}"/>
    <cellStyle name="Normal 12 6 2 3" xfId="28603" xr:uid="{00000000-0005-0000-0000-0000DB710000}"/>
    <cellStyle name="Normal 12 6 2 3 2" xfId="28604" xr:uid="{00000000-0005-0000-0000-0000DC710000}"/>
    <cellStyle name="Normal 12 6 2 3 2 2" xfId="39435" xr:uid="{00000000-0005-0000-0000-0000DD710000}"/>
    <cellStyle name="Normal 12 6 2 3 3" xfId="28605" xr:uid="{00000000-0005-0000-0000-0000DE710000}"/>
    <cellStyle name="Normal 12 6 2 4" xfId="28606" xr:uid="{00000000-0005-0000-0000-0000DF710000}"/>
    <cellStyle name="Normal 12 6 2 4 2" xfId="39436" xr:uid="{00000000-0005-0000-0000-0000E0710000}"/>
    <cellStyle name="Normal 12 6 2 5" xfId="28607" xr:uid="{00000000-0005-0000-0000-0000E1710000}"/>
    <cellStyle name="Normal 12 6 3" xfId="28608" xr:uid="{00000000-0005-0000-0000-0000E2710000}"/>
    <cellStyle name="Normal 12 6 3 2" xfId="28609" xr:uid="{00000000-0005-0000-0000-0000E3710000}"/>
    <cellStyle name="Normal 12 6 3 2 2" xfId="39437" xr:uid="{00000000-0005-0000-0000-0000E4710000}"/>
    <cellStyle name="Normal 12 6 3 3" xfId="28610" xr:uid="{00000000-0005-0000-0000-0000E5710000}"/>
    <cellStyle name="Normal 12 6 4" xfId="28611" xr:uid="{00000000-0005-0000-0000-0000E6710000}"/>
    <cellStyle name="Normal 12 6 4 2" xfId="28612" xr:uid="{00000000-0005-0000-0000-0000E7710000}"/>
    <cellStyle name="Normal 12 6 4 2 2" xfId="39438" xr:uid="{00000000-0005-0000-0000-0000E8710000}"/>
    <cellStyle name="Normal 12 6 4 3" xfId="28613" xr:uid="{00000000-0005-0000-0000-0000E9710000}"/>
    <cellStyle name="Normal 12 6 5" xfId="28614" xr:uid="{00000000-0005-0000-0000-0000EA710000}"/>
    <cellStyle name="Normal 12 6 5 2" xfId="39439" xr:uid="{00000000-0005-0000-0000-0000EB710000}"/>
    <cellStyle name="Normal 12 6 6" xfId="28615" xr:uid="{00000000-0005-0000-0000-0000EC710000}"/>
    <cellStyle name="Normal 12 6 7" xfId="39440" xr:uid="{00000000-0005-0000-0000-0000ED710000}"/>
    <cellStyle name="Normal 12 6 8" xfId="45259" xr:uid="{00000000-0005-0000-0000-0000EE710000}"/>
    <cellStyle name="Normal 12 7" xfId="1347" xr:uid="{00000000-0005-0000-0000-0000EF710000}"/>
    <cellStyle name="Normal 12 7 2" xfId="28616" xr:uid="{00000000-0005-0000-0000-0000F0710000}"/>
    <cellStyle name="Normal 12 7 2 2" xfId="28617" xr:uid="{00000000-0005-0000-0000-0000F1710000}"/>
    <cellStyle name="Normal 12 7 2 2 2" xfId="39441" xr:uid="{00000000-0005-0000-0000-0000F2710000}"/>
    <cellStyle name="Normal 12 7 2 3" xfId="28618" xr:uid="{00000000-0005-0000-0000-0000F3710000}"/>
    <cellStyle name="Normal 12 7 2 4" xfId="28619" xr:uid="{00000000-0005-0000-0000-0000F4710000}"/>
    <cellStyle name="Normal 12 7 2 5" xfId="44562" xr:uid="{00000000-0005-0000-0000-0000F5710000}"/>
    <cellStyle name="Normal 12 7 3" xfId="28620" xr:uid="{00000000-0005-0000-0000-0000F6710000}"/>
    <cellStyle name="Normal 12 7 3 2" xfId="28621" xr:uid="{00000000-0005-0000-0000-0000F7710000}"/>
    <cellStyle name="Normal 12 7 3 2 2" xfId="39442" xr:uid="{00000000-0005-0000-0000-0000F8710000}"/>
    <cellStyle name="Normal 12 7 3 3" xfId="28622" xr:uid="{00000000-0005-0000-0000-0000F9710000}"/>
    <cellStyle name="Normal 12 7 4" xfId="28623" xr:uid="{00000000-0005-0000-0000-0000FA710000}"/>
    <cellStyle name="Normal 12 7 4 2" xfId="39443" xr:uid="{00000000-0005-0000-0000-0000FB710000}"/>
    <cellStyle name="Normal 12 7 5" xfId="28624" xr:uid="{00000000-0005-0000-0000-0000FC710000}"/>
    <cellStyle name="Normal 12 8" xfId="28625" xr:uid="{00000000-0005-0000-0000-0000FD710000}"/>
    <cellStyle name="Normal 12 8 2" xfId="28626" xr:uid="{00000000-0005-0000-0000-0000FE710000}"/>
    <cellStyle name="Normal 12 8 2 2" xfId="39444" xr:uid="{00000000-0005-0000-0000-0000FF710000}"/>
    <cellStyle name="Normal 12 8 3" xfId="28627" xr:uid="{00000000-0005-0000-0000-000000720000}"/>
    <cellStyle name="Normal 12 8 4" xfId="45260" xr:uid="{00000000-0005-0000-0000-000001720000}"/>
    <cellStyle name="Normal 12 9" xfId="28628" xr:uid="{00000000-0005-0000-0000-000002720000}"/>
    <cellStyle name="Normal 12 9 2" xfId="28629" xr:uid="{00000000-0005-0000-0000-000003720000}"/>
    <cellStyle name="Normal 12 9 2 2" xfId="39445" xr:uid="{00000000-0005-0000-0000-000004720000}"/>
    <cellStyle name="Normal 12 9 3" xfId="28630" xr:uid="{00000000-0005-0000-0000-000005720000}"/>
    <cellStyle name="Normal 12_2112 2148 Reg Labor" xfId="28631" xr:uid="{00000000-0005-0000-0000-000006720000}"/>
    <cellStyle name="Normal 120" xfId="1348" xr:uid="{00000000-0005-0000-0000-000007720000}"/>
    <cellStyle name="Normal 120 2" xfId="28632" xr:uid="{00000000-0005-0000-0000-000008720000}"/>
    <cellStyle name="Normal 120 2 2" xfId="42554" xr:uid="{00000000-0005-0000-0000-000009720000}"/>
    <cellStyle name="Normal 120 2 3" xfId="45261" xr:uid="{00000000-0005-0000-0000-00000A720000}"/>
    <cellStyle name="Normal 120 3" xfId="45262" xr:uid="{00000000-0005-0000-0000-00000B720000}"/>
    <cellStyle name="Normal 121" xfId="1349" xr:uid="{00000000-0005-0000-0000-00000C720000}"/>
    <cellStyle name="Normal 121 2" xfId="39446" xr:uid="{00000000-0005-0000-0000-00000D720000}"/>
    <cellStyle name="Normal 121 3" xfId="45263" xr:uid="{00000000-0005-0000-0000-00000E720000}"/>
    <cellStyle name="Normal 122" xfId="1350" xr:uid="{00000000-0005-0000-0000-00000F720000}"/>
    <cellStyle name="Normal 122 2" xfId="39447" xr:uid="{00000000-0005-0000-0000-000010720000}"/>
    <cellStyle name="Normal 122 3" xfId="45264" xr:uid="{00000000-0005-0000-0000-000011720000}"/>
    <cellStyle name="Normal 123" xfId="1351" xr:uid="{00000000-0005-0000-0000-000012720000}"/>
    <cellStyle name="Normal 123 2" xfId="39448" xr:uid="{00000000-0005-0000-0000-000013720000}"/>
    <cellStyle name="Normal 123 3" xfId="45265" xr:uid="{00000000-0005-0000-0000-000014720000}"/>
    <cellStyle name="Normal 124" xfId="1352" xr:uid="{00000000-0005-0000-0000-000015720000}"/>
    <cellStyle name="Normal 124 2" xfId="39449" xr:uid="{00000000-0005-0000-0000-000016720000}"/>
    <cellStyle name="Normal 124 3" xfId="45266" xr:uid="{00000000-0005-0000-0000-000017720000}"/>
    <cellStyle name="Normal 125" xfId="686" xr:uid="{00000000-0005-0000-0000-000018720000}"/>
    <cellStyle name="Normal 125 2" xfId="39450" xr:uid="{00000000-0005-0000-0000-000019720000}"/>
    <cellStyle name="Normal 125 3" xfId="45267" xr:uid="{00000000-0005-0000-0000-00001A720000}"/>
    <cellStyle name="Normal 126" xfId="690" xr:uid="{00000000-0005-0000-0000-00001B720000}"/>
    <cellStyle name="Normal 126 2" xfId="39451" xr:uid="{00000000-0005-0000-0000-00001C720000}"/>
    <cellStyle name="Normal 126 3" xfId="45268" xr:uid="{00000000-0005-0000-0000-00001D720000}"/>
    <cellStyle name="Normal 127" xfId="688" xr:uid="{00000000-0005-0000-0000-00001E720000}"/>
    <cellStyle name="Normal 127 2" xfId="39452" xr:uid="{00000000-0005-0000-0000-00001F720000}"/>
    <cellStyle name="Normal 127 3" xfId="45269" xr:uid="{00000000-0005-0000-0000-000020720000}"/>
    <cellStyle name="Normal 128" xfId="1353" xr:uid="{00000000-0005-0000-0000-000021720000}"/>
    <cellStyle name="Normal 128 2" xfId="28633" xr:uid="{00000000-0005-0000-0000-000022720000}"/>
    <cellStyle name="Normal 128 3" xfId="39453" xr:uid="{00000000-0005-0000-0000-000023720000}"/>
    <cellStyle name="Normal 129" xfId="2348" xr:uid="{00000000-0005-0000-0000-000024720000}"/>
    <cellStyle name="Normal 129 2" xfId="3891" xr:uid="{00000000-0005-0000-0000-000025720000}"/>
    <cellStyle name="Normal 129 3" xfId="42565" xr:uid="{00000000-0005-0000-0000-000026720000}"/>
    <cellStyle name="Normal 129 4" xfId="45270" xr:uid="{00000000-0005-0000-0000-000027720000}"/>
    <cellStyle name="Normal 13" xfId="63" xr:uid="{00000000-0005-0000-0000-000028720000}"/>
    <cellStyle name="Normal 13 10" xfId="28634" xr:uid="{00000000-0005-0000-0000-000029720000}"/>
    <cellStyle name="Normal 13 10 2" xfId="39454" xr:uid="{00000000-0005-0000-0000-00002A720000}"/>
    <cellStyle name="Normal 13 11" xfId="28635" xr:uid="{00000000-0005-0000-0000-00002B720000}"/>
    <cellStyle name="Normal 13 12" xfId="39455" xr:uid="{00000000-0005-0000-0000-00002C720000}"/>
    <cellStyle name="Normal 13 13" xfId="46227" xr:uid="{00000000-0005-0000-0000-00002D720000}"/>
    <cellStyle name="Normal 13 2" xfId="386" xr:uid="{00000000-0005-0000-0000-00002E720000}"/>
    <cellStyle name="Normal 13 2 2" xfId="387" xr:uid="{00000000-0005-0000-0000-00002F720000}"/>
    <cellStyle name="Normal 13 2 2 10" xfId="45271" xr:uid="{00000000-0005-0000-0000-000030720000}"/>
    <cellStyle name="Normal 13 2 2 2" xfId="1354" xr:uid="{00000000-0005-0000-0000-000031720000}"/>
    <cellStyle name="Normal 13 2 2 2 10" xfId="46228" xr:uid="{00000000-0005-0000-0000-000032720000}"/>
    <cellStyle name="Normal 13 2 2 2 2" xfId="1355" xr:uid="{00000000-0005-0000-0000-000033720000}"/>
    <cellStyle name="Normal 13 2 2 2 2 2" xfId="28636" xr:uid="{00000000-0005-0000-0000-000034720000}"/>
    <cellStyle name="Normal 13 2 2 2 2 2 2" xfId="28637" xr:uid="{00000000-0005-0000-0000-000035720000}"/>
    <cellStyle name="Normal 13 2 2 2 2 2 2 2" xfId="28638" xr:uid="{00000000-0005-0000-0000-000036720000}"/>
    <cellStyle name="Normal 13 2 2 2 2 2 2 2 2" xfId="39456" xr:uid="{00000000-0005-0000-0000-000037720000}"/>
    <cellStyle name="Normal 13 2 2 2 2 2 2 3" xfId="28639" xr:uid="{00000000-0005-0000-0000-000038720000}"/>
    <cellStyle name="Normal 13 2 2 2 2 2 3" xfId="28640" xr:uid="{00000000-0005-0000-0000-000039720000}"/>
    <cellStyle name="Normal 13 2 2 2 2 2 3 2" xfId="28641" xr:uid="{00000000-0005-0000-0000-00003A720000}"/>
    <cellStyle name="Normal 13 2 2 2 2 2 3 2 2" xfId="39457" xr:uid="{00000000-0005-0000-0000-00003B720000}"/>
    <cellStyle name="Normal 13 2 2 2 2 2 3 3" xfId="28642" xr:uid="{00000000-0005-0000-0000-00003C720000}"/>
    <cellStyle name="Normal 13 2 2 2 2 2 4" xfId="28643" xr:uid="{00000000-0005-0000-0000-00003D720000}"/>
    <cellStyle name="Normal 13 2 2 2 2 2 4 2" xfId="39458" xr:uid="{00000000-0005-0000-0000-00003E720000}"/>
    <cellStyle name="Normal 13 2 2 2 2 2 5" xfId="28644" xr:uid="{00000000-0005-0000-0000-00003F720000}"/>
    <cellStyle name="Normal 13 2 2 2 2 3" xfId="28645" xr:uid="{00000000-0005-0000-0000-000040720000}"/>
    <cellStyle name="Normal 13 2 2 2 2 3 2" xfId="28646" xr:uid="{00000000-0005-0000-0000-000041720000}"/>
    <cellStyle name="Normal 13 2 2 2 2 3 2 2" xfId="39459" xr:uid="{00000000-0005-0000-0000-000042720000}"/>
    <cellStyle name="Normal 13 2 2 2 2 3 3" xfId="28647" xr:uid="{00000000-0005-0000-0000-000043720000}"/>
    <cellStyle name="Normal 13 2 2 2 2 4" xfId="28648" xr:uid="{00000000-0005-0000-0000-000044720000}"/>
    <cellStyle name="Normal 13 2 2 2 2 4 2" xfId="28649" xr:uid="{00000000-0005-0000-0000-000045720000}"/>
    <cellStyle name="Normal 13 2 2 2 2 4 2 2" xfId="39460" xr:uid="{00000000-0005-0000-0000-000046720000}"/>
    <cellStyle name="Normal 13 2 2 2 2 4 3" xfId="28650" xr:uid="{00000000-0005-0000-0000-000047720000}"/>
    <cellStyle name="Normal 13 2 2 2 2 5" xfId="28651" xr:uid="{00000000-0005-0000-0000-000048720000}"/>
    <cellStyle name="Normal 13 2 2 2 2 5 2" xfId="39461" xr:uid="{00000000-0005-0000-0000-000049720000}"/>
    <cellStyle name="Normal 13 2 2 2 2 6" xfId="28652" xr:uid="{00000000-0005-0000-0000-00004A720000}"/>
    <cellStyle name="Normal 13 2 2 2 2 7" xfId="45272" xr:uid="{00000000-0005-0000-0000-00004B720000}"/>
    <cellStyle name="Normal 13 2 2 2 3" xfId="28653" xr:uid="{00000000-0005-0000-0000-00004C720000}"/>
    <cellStyle name="Normal 13 2 2 2 3 2" xfId="28654" xr:uid="{00000000-0005-0000-0000-00004D720000}"/>
    <cellStyle name="Normal 13 2 2 2 3 2 2" xfId="28655" xr:uid="{00000000-0005-0000-0000-00004E720000}"/>
    <cellStyle name="Normal 13 2 2 2 3 2 2 2" xfId="39462" xr:uid="{00000000-0005-0000-0000-00004F720000}"/>
    <cellStyle name="Normal 13 2 2 2 3 2 3" xfId="28656" xr:uid="{00000000-0005-0000-0000-000050720000}"/>
    <cellStyle name="Normal 13 2 2 2 3 3" xfId="28657" xr:uid="{00000000-0005-0000-0000-000051720000}"/>
    <cellStyle name="Normal 13 2 2 2 3 3 2" xfId="28658" xr:uid="{00000000-0005-0000-0000-000052720000}"/>
    <cellStyle name="Normal 13 2 2 2 3 3 2 2" xfId="39463" xr:uid="{00000000-0005-0000-0000-000053720000}"/>
    <cellStyle name="Normal 13 2 2 2 3 3 3" xfId="28659" xr:uid="{00000000-0005-0000-0000-000054720000}"/>
    <cellStyle name="Normal 13 2 2 2 3 4" xfId="28660" xr:uid="{00000000-0005-0000-0000-000055720000}"/>
    <cellStyle name="Normal 13 2 2 2 3 4 2" xfId="39464" xr:uid="{00000000-0005-0000-0000-000056720000}"/>
    <cellStyle name="Normal 13 2 2 2 3 5" xfId="28661" xr:uid="{00000000-0005-0000-0000-000057720000}"/>
    <cellStyle name="Normal 13 2 2 2 4" xfId="28662" xr:uid="{00000000-0005-0000-0000-000058720000}"/>
    <cellStyle name="Normal 13 2 2 2 4 2" xfId="28663" xr:uid="{00000000-0005-0000-0000-000059720000}"/>
    <cellStyle name="Normal 13 2 2 2 4 2 2" xfId="39465" xr:uid="{00000000-0005-0000-0000-00005A720000}"/>
    <cellStyle name="Normal 13 2 2 2 4 3" xfId="28664" xr:uid="{00000000-0005-0000-0000-00005B720000}"/>
    <cellStyle name="Normal 13 2 2 2 5" xfId="28665" xr:uid="{00000000-0005-0000-0000-00005C720000}"/>
    <cellStyle name="Normal 13 2 2 2 5 2" xfId="28666" xr:uid="{00000000-0005-0000-0000-00005D720000}"/>
    <cellStyle name="Normal 13 2 2 2 5 2 2" xfId="39466" xr:uid="{00000000-0005-0000-0000-00005E720000}"/>
    <cellStyle name="Normal 13 2 2 2 5 3" xfId="28667" xr:uid="{00000000-0005-0000-0000-00005F720000}"/>
    <cellStyle name="Normal 13 2 2 2 6" xfId="28668" xr:uid="{00000000-0005-0000-0000-000060720000}"/>
    <cellStyle name="Normal 13 2 2 2 6 2" xfId="39467" xr:uid="{00000000-0005-0000-0000-000061720000}"/>
    <cellStyle name="Normal 13 2 2 2 7" xfId="28669" xr:uid="{00000000-0005-0000-0000-000062720000}"/>
    <cellStyle name="Normal 13 2 2 2 8" xfId="28670" xr:uid="{00000000-0005-0000-0000-000063720000}"/>
    <cellStyle name="Normal 13 2 2 2 9" xfId="45273" xr:uid="{00000000-0005-0000-0000-000064720000}"/>
    <cellStyle name="Normal 13 2 2 3" xfId="1356" xr:uid="{00000000-0005-0000-0000-000065720000}"/>
    <cellStyle name="Normal 13 2 2 3 2" xfId="28671" xr:uid="{00000000-0005-0000-0000-000066720000}"/>
    <cellStyle name="Normal 13 2 2 3 2 2" xfId="28672" xr:uid="{00000000-0005-0000-0000-000067720000}"/>
    <cellStyle name="Normal 13 2 2 3 2 2 2" xfId="28673" xr:uid="{00000000-0005-0000-0000-000068720000}"/>
    <cellStyle name="Normal 13 2 2 3 2 2 2 2" xfId="39468" xr:uid="{00000000-0005-0000-0000-000069720000}"/>
    <cellStyle name="Normal 13 2 2 3 2 2 3" xfId="28674" xr:uid="{00000000-0005-0000-0000-00006A720000}"/>
    <cellStyle name="Normal 13 2 2 3 2 3" xfId="28675" xr:uid="{00000000-0005-0000-0000-00006B720000}"/>
    <cellStyle name="Normal 13 2 2 3 2 3 2" xfId="28676" xr:uid="{00000000-0005-0000-0000-00006C720000}"/>
    <cellStyle name="Normal 13 2 2 3 2 3 2 2" xfId="39469" xr:uid="{00000000-0005-0000-0000-00006D720000}"/>
    <cellStyle name="Normal 13 2 2 3 2 3 3" xfId="28677" xr:uid="{00000000-0005-0000-0000-00006E720000}"/>
    <cellStyle name="Normal 13 2 2 3 2 4" xfId="28678" xr:uid="{00000000-0005-0000-0000-00006F720000}"/>
    <cellStyle name="Normal 13 2 2 3 2 4 2" xfId="39470" xr:uid="{00000000-0005-0000-0000-000070720000}"/>
    <cellStyle name="Normal 13 2 2 3 2 5" xfId="28679" xr:uid="{00000000-0005-0000-0000-000071720000}"/>
    <cellStyle name="Normal 13 2 2 3 2 6" xfId="28680" xr:uid="{00000000-0005-0000-0000-000072720000}"/>
    <cellStyle name="Normal 13 2 2 3 2 7" xfId="44563" xr:uid="{00000000-0005-0000-0000-000073720000}"/>
    <cellStyle name="Normal 13 2 2 3 3" xfId="28681" xr:uid="{00000000-0005-0000-0000-000074720000}"/>
    <cellStyle name="Normal 13 2 2 3 3 2" xfId="28682" xr:uid="{00000000-0005-0000-0000-000075720000}"/>
    <cellStyle name="Normal 13 2 2 3 3 2 2" xfId="39471" xr:uid="{00000000-0005-0000-0000-000076720000}"/>
    <cellStyle name="Normal 13 2 2 3 3 3" xfId="28683" xr:uid="{00000000-0005-0000-0000-000077720000}"/>
    <cellStyle name="Normal 13 2 2 3 4" xfId="28684" xr:uid="{00000000-0005-0000-0000-000078720000}"/>
    <cellStyle name="Normal 13 2 2 3 4 2" xfId="28685" xr:uid="{00000000-0005-0000-0000-000079720000}"/>
    <cellStyle name="Normal 13 2 2 3 4 2 2" xfId="39472" xr:uid="{00000000-0005-0000-0000-00007A720000}"/>
    <cellStyle name="Normal 13 2 2 3 4 3" xfId="28686" xr:uid="{00000000-0005-0000-0000-00007B720000}"/>
    <cellStyle name="Normal 13 2 2 3 5" xfId="28687" xr:uid="{00000000-0005-0000-0000-00007C720000}"/>
    <cellStyle name="Normal 13 2 2 3 5 2" xfId="39473" xr:uid="{00000000-0005-0000-0000-00007D720000}"/>
    <cellStyle name="Normal 13 2 2 3 6" xfId="28688" xr:uid="{00000000-0005-0000-0000-00007E720000}"/>
    <cellStyle name="Normal 13 2 2 4" xfId="28689" xr:uid="{00000000-0005-0000-0000-00007F720000}"/>
    <cellStyle name="Normal 13 2 2 4 2" xfId="28690" xr:uid="{00000000-0005-0000-0000-000080720000}"/>
    <cellStyle name="Normal 13 2 2 4 2 2" xfId="28691" xr:uid="{00000000-0005-0000-0000-000081720000}"/>
    <cellStyle name="Normal 13 2 2 4 2 2 2" xfId="39474" xr:uid="{00000000-0005-0000-0000-000082720000}"/>
    <cellStyle name="Normal 13 2 2 4 2 3" xfId="28692" xr:uid="{00000000-0005-0000-0000-000083720000}"/>
    <cellStyle name="Normal 13 2 2 4 3" xfId="28693" xr:uid="{00000000-0005-0000-0000-000084720000}"/>
    <cellStyle name="Normal 13 2 2 4 3 2" xfId="28694" xr:uid="{00000000-0005-0000-0000-000085720000}"/>
    <cellStyle name="Normal 13 2 2 4 3 2 2" xfId="39475" xr:uid="{00000000-0005-0000-0000-000086720000}"/>
    <cellStyle name="Normal 13 2 2 4 3 3" xfId="28695" xr:uid="{00000000-0005-0000-0000-000087720000}"/>
    <cellStyle name="Normal 13 2 2 4 4" xfId="28696" xr:uid="{00000000-0005-0000-0000-000088720000}"/>
    <cellStyle name="Normal 13 2 2 4 4 2" xfId="39476" xr:uid="{00000000-0005-0000-0000-000089720000}"/>
    <cellStyle name="Normal 13 2 2 4 5" xfId="28697" xr:uid="{00000000-0005-0000-0000-00008A720000}"/>
    <cellStyle name="Normal 13 2 2 5" xfId="28698" xr:uid="{00000000-0005-0000-0000-00008B720000}"/>
    <cellStyle name="Normal 13 2 2 5 2" xfId="28699" xr:uid="{00000000-0005-0000-0000-00008C720000}"/>
    <cellStyle name="Normal 13 2 2 5 2 2" xfId="39477" xr:uid="{00000000-0005-0000-0000-00008D720000}"/>
    <cellStyle name="Normal 13 2 2 5 3" xfId="28700" xr:uid="{00000000-0005-0000-0000-00008E720000}"/>
    <cellStyle name="Normal 13 2 2 6" xfId="28701" xr:uid="{00000000-0005-0000-0000-00008F720000}"/>
    <cellStyle name="Normal 13 2 2 6 2" xfId="28702" xr:uid="{00000000-0005-0000-0000-000090720000}"/>
    <cellStyle name="Normal 13 2 2 6 2 2" xfId="39478" xr:uid="{00000000-0005-0000-0000-000091720000}"/>
    <cellStyle name="Normal 13 2 2 6 3" xfId="28703" xr:uid="{00000000-0005-0000-0000-000092720000}"/>
    <cellStyle name="Normal 13 2 2 7" xfId="28704" xr:uid="{00000000-0005-0000-0000-000093720000}"/>
    <cellStyle name="Normal 13 2 2 7 2" xfId="39479" xr:uid="{00000000-0005-0000-0000-000094720000}"/>
    <cellStyle name="Normal 13 2 2 8" xfId="28705" xr:uid="{00000000-0005-0000-0000-000095720000}"/>
    <cellStyle name="Normal 13 2 2 9" xfId="39480" xr:uid="{00000000-0005-0000-0000-000096720000}"/>
    <cellStyle name="Normal 13 2 3" xfId="1357" xr:uid="{00000000-0005-0000-0000-000097720000}"/>
    <cellStyle name="Normal 13 2 3 2" xfId="1358" xr:uid="{00000000-0005-0000-0000-000098720000}"/>
    <cellStyle name="Normal 13 2 3 2 2" xfId="28706" xr:uid="{00000000-0005-0000-0000-000099720000}"/>
    <cellStyle name="Normal 13 2 3 2 2 2" xfId="28707" xr:uid="{00000000-0005-0000-0000-00009A720000}"/>
    <cellStyle name="Normal 13 2 3 2 2 2 2" xfId="28708" xr:uid="{00000000-0005-0000-0000-00009B720000}"/>
    <cellStyle name="Normal 13 2 3 2 2 2 2 2" xfId="39481" xr:uid="{00000000-0005-0000-0000-00009C720000}"/>
    <cellStyle name="Normal 13 2 3 2 2 2 3" xfId="28709" xr:uid="{00000000-0005-0000-0000-00009D720000}"/>
    <cellStyle name="Normal 13 2 3 2 2 3" xfId="28710" xr:uid="{00000000-0005-0000-0000-00009E720000}"/>
    <cellStyle name="Normal 13 2 3 2 2 3 2" xfId="28711" xr:uid="{00000000-0005-0000-0000-00009F720000}"/>
    <cellStyle name="Normal 13 2 3 2 2 3 2 2" xfId="39482" xr:uid="{00000000-0005-0000-0000-0000A0720000}"/>
    <cellStyle name="Normal 13 2 3 2 2 3 3" xfId="28712" xr:uid="{00000000-0005-0000-0000-0000A1720000}"/>
    <cellStyle name="Normal 13 2 3 2 2 4" xfId="28713" xr:uid="{00000000-0005-0000-0000-0000A2720000}"/>
    <cellStyle name="Normal 13 2 3 2 2 4 2" xfId="39483" xr:uid="{00000000-0005-0000-0000-0000A3720000}"/>
    <cellStyle name="Normal 13 2 3 2 2 5" xfId="28714" xr:uid="{00000000-0005-0000-0000-0000A4720000}"/>
    <cellStyle name="Normal 13 2 3 2 3" xfId="28715" xr:uid="{00000000-0005-0000-0000-0000A5720000}"/>
    <cellStyle name="Normal 13 2 3 2 3 2" xfId="28716" xr:uid="{00000000-0005-0000-0000-0000A6720000}"/>
    <cellStyle name="Normal 13 2 3 2 3 2 2" xfId="39484" xr:uid="{00000000-0005-0000-0000-0000A7720000}"/>
    <cellStyle name="Normal 13 2 3 2 3 3" xfId="28717" xr:uid="{00000000-0005-0000-0000-0000A8720000}"/>
    <cellStyle name="Normal 13 2 3 2 4" xfId="28718" xr:uid="{00000000-0005-0000-0000-0000A9720000}"/>
    <cellStyle name="Normal 13 2 3 2 4 2" xfId="28719" xr:uid="{00000000-0005-0000-0000-0000AA720000}"/>
    <cellStyle name="Normal 13 2 3 2 4 2 2" xfId="39485" xr:uid="{00000000-0005-0000-0000-0000AB720000}"/>
    <cellStyle name="Normal 13 2 3 2 4 3" xfId="28720" xr:uid="{00000000-0005-0000-0000-0000AC720000}"/>
    <cellStyle name="Normal 13 2 3 2 5" xfId="28721" xr:uid="{00000000-0005-0000-0000-0000AD720000}"/>
    <cellStyle name="Normal 13 2 3 2 5 2" xfId="39486" xr:uid="{00000000-0005-0000-0000-0000AE720000}"/>
    <cellStyle name="Normal 13 2 3 2 6" xfId="28722" xr:uid="{00000000-0005-0000-0000-0000AF720000}"/>
    <cellStyle name="Normal 13 2 3 2 7" xfId="45274" xr:uid="{00000000-0005-0000-0000-0000B0720000}"/>
    <cellStyle name="Normal 13 2 3 3" xfId="28723" xr:uid="{00000000-0005-0000-0000-0000B1720000}"/>
    <cellStyle name="Normal 13 2 3 3 2" xfId="28724" xr:uid="{00000000-0005-0000-0000-0000B2720000}"/>
    <cellStyle name="Normal 13 2 3 3 2 2" xfId="28725" xr:uid="{00000000-0005-0000-0000-0000B3720000}"/>
    <cellStyle name="Normal 13 2 3 3 2 2 2" xfId="39487" xr:uid="{00000000-0005-0000-0000-0000B4720000}"/>
    <cellStyle name="Normal 13 2 3 3 2 3" xfId="28726" xr:uid="{00000000-0005-0000-0000-0000B5720000}"/>
    <cellStyle name="Normal 13 2 3 3 3" xfId="28727" xr:uid="{00000000-0005-0000-0000-0000B6720000}"/>
    <cellStyle name="Normal 13 2 3 3 3 2" xfId="28728" xr:uid="{00000000-0005-0000-0000-0000B7720000}"/>
    <cellStyle name="Normal 13 2 3 3 3 2 2" xfId="39488" xr:uid="{00000000-0005-0000-0000-0000B8720000}"/>
    <cellStyle name="Normal 13 2 3 3 3 3" xfId="28729" xr:uid="{00000000-0005-0000-0000-0000B9720000}"/>
    <cellStyle name="Normal 13 2 3 3 4" xfId="28730" xr:uid="{00000000-0005-0000-0000-0000BA720000}"/>
    <cellStyle name="Normal 13 2 3 3 4 2" xfId="39489" xr:uid="{00000000-0005-0000-0000-0000BB720000}"/>
    <cellStyle name="Normal 13 2 3 3 5" xfId="28731" xr:uid="{00000000-0005-0000-0000-0000BC720000}"/>
    <cellStyle name="Normal 13 2 3 4" xfId="28732" xr:uid="{00000000-0005-0000-0000-0000BD720000}"/>
    <cellStyle name="Normal 13 2 3 4 2" xfId="28733" xr:uid="{00000000-0005-0000-0000-0000BE720000}"/>
    <cellStyle name="Normal 13 2 3 4 2 2" xfId="39490" xr:uid="{00000000-0005-0000-0000-0000BF720000}"/>
    <cellStyle name="Normal 13 2 3 4 3" xfId="28734" xr:uid="{00000000-0005-0000-0000-0000C0720000}"/>
    <cellStyle name="Normal 13 2 3 5" xfId="28735" xr:uid="{00000000-0005-0000-0000-0000C1720000}"/>
    <cellStyle name="Normal 13 2 3 5 2" xfId="28736" xr:uid="{00000000-0005-0000-0000-0000C2720000}"/>
    <cellStyle name="Normal 13 2 3 5 2 2" xfId="39491" xr:uid="{00000000-0005-0000-0000-0000C3720000}"/>
    <cellStyle name="Normal 13 2 3 5 3" xfId="28737" xr:uid="{00000000-0005-0000-0000-0000C4720000}"/>
    <cellStyle name="Normal 13 2 3 6" xfId="28738" xr:uid="{00000000-0005-0000-0000-0000C5720000}"/>
    <cellStyle name="Normal 13 2 3 6 2" xfId="39492" xr:uid="{00000000-0005-0000-0000-0000C6720000}"/>
    <cellStyle name="Normal 13 2 3 7" xfId="28739" xr:uid="{00000000-0005-0000-0000-0000C7720000}"/>
    <cellStyle name="Normal 13 2 3 8" xfId="39493" xr:uid="{00000000-0005-0000-0000-0000C8720000}"/>
    <cellStyle name="Normal 13 2 3 9" xfId="45275" xr:uid="{00000000-0005-0000-0000-0000C9720000}"/>
    <cellStyle name="Normal 13 2 4" xfId="1359" xr:uid="{00000000-0005-0000-0000-0000CA720000}"/>
    <cellStyle name="Normal 13 2 4 2" xfId="28740" xr:uid="{00000000-0005-0000-0000-0000CB720000}"/>
    <cellStyle name="Normal 13 2 4 2 2" xfId="28741" xr:uid="{00000000-0005-0000-0000-0000CC720000}"/>
    <cellStyle name="Normal 13 2 4 2 2 2" xfId="28742" xr:uid="{00000000-0005-0000-0000-0000CD720000}"/>
    <cellStyle name="Normal 13 2 4 2 2 2 2" xfId="39494" xr:uid="{00000000-0005-0000-0000-0000CE720000}"/>
    <cellStyle name="Normal 13 2 4 2 2 3" xfId="28743" xr:uid="{00000000-0005-0000-0000-0000CF720000}"/>
    <cellStyle name="Normal 13 2 4 2 3" xfId="28744" xr:uid="{00000000-0005-0000-0000-0000D0720000}"/>
    <cellStyle name="Normal 13 2 4 2 3 2" xfId="28745" xr:uid="{00000000-0005-0000-0000-0000D1720000}"/>
    <cellStyle name="Normal 13 2 4 2 3 2 2" xfId="39495" xr:uid="{00000000-0005-0000-0000-0000D2720000}"/>
    <cellStyle name="Normal 13 2 4 2 3 3" xfId="28746" xr:uid="{00000000-0005-0000-0000-0000D3720000}"/>
    <cellStyle name="Normal 13 2 4 2 4" xfId="28747" xr:uid="{00000000-0005-0000-0000-0000D4720000}"/>
    <cellStyle name="Normal 13 2 4 2 4 2" xfId="39496" xr:uid="{00000000-0005-0000-0000-0000D5720000}"/>
    <cellStyle name="Normal 13 2 4 2 5" xfId="28748" xr:uid="{00000000-0005-0000-0000-0000D6720000}"/>
    <cellStyle name="Normal 13 2 4 3" xfId="28749" xr:uid="{00000000-0005-0000-0000-0000D7720000}"/>
    <cellStyle name="Normal 13 2 4 3 2" xfId="28750" xr:uid="{00000000-0005-0000-0000-0000D8720000}"/>
    <cellStyle name="Normal 13 2 4 3 2 2" xfId="39497" xr:uid="{00000000-0005-0000-0000-0000D9720000}"/>
    <cellStyle name="Normal 13 2 4 3 3" xfId="28751" xr:uid="{00000000-0005-0000-0000-0000DA720000}"/>
    <cellStyle name="Normal 13 2 4 4" xfId="28752" xr:uid="{00000000-0005-0000-0000-0000DB720000}"/>
    <cellStyle name="Normal 13 2 4 4 2" xfId="28753" xr:uid="{00000000-0005-0000-0000-0000DC720000}"/>
    <cellStyle name="Normal 13 2 4 4 2 2" xfId="39498" xr:uid="{00000000-0005-0000-0000-0000DD720000}"/>
    <cellStyle name="Normal 13 2 4 4 3" xfId="28754" xr:uid="{00000000-0005-0000-0000-0000DE720000}"/>
    <cellStyle name="Normal 13 2 4 5" xfId="28755" xr:uid="{00000000-0005-0000-0000-0000DF720000}"/>
    <cellStyle name="Normal 13 2 4 5 2" xfId="39499" xr:uid="{00000000-0005-0000-0000-0000E0720000}"/>
    <cellStyle name="Normal 13 2 4 6" xfId="28756" xr:uid="{00000000-0005-0000-0000-0000E1720000}"/>
    <cellStyle name="Normal 13 2 4 7" xfId="45276" xr:uid="{00000000-0005-0000-0000-0000E2720000}"/>
    <cellStyle name="Normal 13 2 5" xfId="28757" xr:uid="{00000000-0005-0000-0000-0000E3720000}"/>
    <cellStyle name="Normal 13 2 5 2" xfId="28758" xr:uid="{00000000-0005-0000-0000-0000E4720000}"/>
    <cellStyle name="Normal 13 2 5 2 2" xfId="28759" xr:uid="{00000000-0005-0000-0000-0000E5720000}"/>
    <cellStyle name="Normal 13 2 5 2 2 2" xfId="39500" xr:uid="{00000000-0005-0000-0000-0000E6720000}"/>
    <cellStyle name="Normal 13 2 5 2 3" xfId="28760" xr:uid="{00000000-0005-0000-0000-0000E7720000}"/>
    <cellStyle name="Normal 13 2 5 3" xfId="28761" xr:uid="{00000000-0005-0000-0000-0000E8720000}"/>
    <cellStyle name="Normal 13 2 5 3 2" xfId="28762" xr:uid="{00000000-0005-0000-0000-0000E9720000}"/>
    <cellStyle name="Normal 13 2 5 3 2 2" xfId="39501" xr:uid="{00000000-0005-0000-0000-0000EA720000}"/>
    <cellStyle name="Normal 13 2 5 3 3" xfId="28763" xr:uid="{00000000-0005-0000-0000-0000EB720000}"/>
    <cellStyle name="Normal 13 2 5 4" xfId="28764" xr:uid="{00000000-0005-0000-0000-0000EC720000}"/>
    <cellStyle name="Normal 13 2 5 4 2" xfId="39502" xr:uid="{00000000-0005-0000-0000-0000ED720000}"/>
    <cellStyle name="Normal 13 2 5 5" xfId="28765" xr:uid="{00000000-0005-0000-0000-0000EE720000}"/>
    <cellStyle name="Normal 13 2 5 6" xfId="28766" xr:uid="{00000000-0005-0000-0000-0000EF720000}"/>
    <cellStyle name="Normal 13 2 5 7" xfId="44564" xr:uid="{00000000-0005-0000-0000-0000F0720000}"/>
    <cellStyle name="Normal 13 2 6" xfId="28767" xr:uid="{00000000-0005-0000-0000-0000F1720000}"/>
    <cellStyle name="Normal 13 2 6 2" xfId="28768" xr:uid="{00000000-0005-0000-0000-0000F2720000}"/>
    <cellStyle name="Normal 13 2 6 2 2" xfId="39503" xr:uid="{00000000-0005-0000-0000-0000F3720000}"/>
    <cellStyle name="Normal 13 2 6 3" xfId="28769" xr:uid="{00000000-0005-0000-0000-0000F4720000}"/>
    <cellStyle name="Normal 13 2 7" xfId="28770" xr:uid="{00000000-0005-0000-0000-0000F5720000}"/>
    <cellStyle name="Normal 13 2 7 2" xfId="28771" xr:uid="{00000000-0005-0000-0000-0000F6720000}"/>
    <cellStyle name="Normal 13 2 7 2 2" xfId="39504" xr:uid="{00000000-0005-0000-0000-0000F7720000}"/>
    <cellStyle name="Normal 13 2 7 3" xfId="28772" xr:uid="{00000000-0005-0000-0000-0000F8720000}"/>
    <cellStyle name="Normal 13 2 8" xfId="28773" xr:uid="{00000000-0005-0000-0000-0000F9720000}"/>
    <cellStyle name="Normal 13 2 8 2" xfId="39505" xr:uid="{00000000-0005-0000-0000-0000FA720000}"/>
    <cellStyle name="Normal 13 2 9" xfId="28774" xr:uid="{00000000-0005-0000-0000-0000FB720000}"/>
    <cellStyle name="Normal 13 3" xfId="388" xr:uid="{00000000-0005-0000-0000-0000FC720000}"/>
    <cellStyle name="Normal 13 3 10" xfId="44565" xr:uid="{00000000-0005-0000-0000-0000FD720000}"/>
    <cellStyle name="Normal 13 3 2" xfId="1360" xr:uid="{00000000-0005-0000-0000-0000FE720000}"/>
    <cellStyle name="Normal 13 3 2 2" xfId="1361" xr:uid="{00000000-0005-0000-0000-0000FF720000}"/>
    <cellStyle name="Normal 13 3 2 2 2" xfId="28775" xr:uid="{00000000-0005-0000-0000-000000730000}"/>
    <cellStyle name="Normal 13 3 2 2 2 2" xfId="28776" xr:uid="{00000000-0005-0000-0000-000001730000}"/>
    <cellStyle name="Normal 13 3 2 2 2 2 2" xfId="28777" xr:uid="{00000000-0005-0000-0000-000002730000}"/>
    <cellStyle name="Normal 13 3 2 2 2 2 2 2" xfId="39506" xr:uid="{00000000-0005-0000-0000-000003730000}"/>
    <cellStyle name="Normal 13 3 2 2 2 2 3" xfId="28778" xr:uid="{00000000-0005-0000-0000-000004730000}"/>
    <cellStyle name="Normal 13 3 2 2 2 3" xfId="28779" xr:uid="{00000000-0005-0000-0000-000005730000}"/>
    <cellStyle name="Normal 13 3 2 2 2 3 2" xfId="28780" xr:uid="{00000000-0005-0000-0000-000006730000}"/>
    <cellStyle name="Normal 13 3 2 2 2 3 2 2" xfId="39507" xr:uid="{00000000-0005-0000-0000-000007730000}"/>
    <cellStyle name="Normal 13 3 2 2 2 3 3" xfId="28781" xr:uid="{00000000-0005-0000-0000-000008730000}"/>
    <cellStyle name="Normal 13 3 2 2 2 4" xfId="28782" xr:uid="{00000000-0005-0000-0000-000009730000}"/>
    <cellStyle name="Normal 13 3 2 2 2 4 2" xfId="39508" xr:uid="{00000000-0005-0000-0000-00000A730000}"/>
    <cellStyle name="Normal 13 3 2 2 2 5" xfId="28783" xr:uid="{00000000-0005-0000-0000-00000B730000}"/>
    <cellStyle name="Normal 13 3 2 2 3" xfId="28784" xr:uid="{00000000-0005-0000-0000-00000C730000}"/>
    <cellStyle name="Normal 13 3 2 2 3 2" xfId="28785" xr:uid="{00000000-0005-0000-0000-00000D730000}"/>
    <cellStyle name="Normal 13 3 2 2 3 2 2" xfId="39509" xr:uid="{00000000-0005-0000-0000-00000E730000}"/>
    <cellStyle name="Normal 13 3 2 2 3 3" xfId="28786" xr:uid="{00000000-0005-0000-0000-00000F730000}"/>
    <cellStyle name="Normal 13 3 2 2 4" xfId="28787" xr:uid="{00000000-0005-0000-0000-000010730000}"/>
    <cellStyle name="Normal 13 3 2 2 4 2" xfId="28788" xr:uid="{00000000-0005-0000-0000-000011730000}"/>
    <cellStyle name="Normal 13 3 2 2 4 2 2" xfId="39510" xr:uid="{00000000-0005-0000-0000-000012730000}"/>
    <cellStyle name="Normal 13 3 2 2 4 3" xfId="28789" xr:uid="{00000000-0005-0000-0000-000013730000}"/>
    <cellStyle name="Normal 13 3 2 2 5" xfId="28790" xr:uid="{00000000-0005-0000-0000-000014730000}"/>
    <cellStyle name="Normal 13 3 2 2 5 2" xfId="39511" xr:uid="{00000000-0005-0000-0000-000015730000}"/>
    <cellStyle name="Normal 13 3 2 2 6" xfId="28791" xr:uid="{00000000-0005-0000-0000-000016730000}"/>
    <cellStyle name="Normal 13 3 2 2 7" xfId="45277" xr:uid="{00000000-0005-0000-0000-000017730000}"/>
    <cellStyle name="Normal 13 3 2 3" xfId="28792" xr:uid="{00000000-0005-0000-0000-000018730000}"/>
    <cellStyle name="Normal 13 3 2 3 2" xfId="28793" xr:uid="{00000000-0005-0000-0000-000019730000}"/>
    <cellStyle name="Normal 13 3 2 3 2 2" xfId="28794" xr:uid="{00000000-0005-0000-0000-00001A730000}"/>
    <cellStyle name="Normal 13 3 2 3 2 2 2" xfId="39512" xr:uid="{00000000-0005-0000-0000-00001B730000}"/>
    <cellStyle name="Normal 13 3 2 3 2 3" xfId="28795" xr:uid="{00000000-0005-0000-0000-00001C730000}"/>
    <cellStyle name="Normal 13 3 2 3 3" xfId="28796" xr:uid="{00000000-0005-0000-0000-00001D730000}"/>
    <cellStyle name="Normal 13 3 2 3 3 2" xfId="28797" xr:uid="{00000000-0005-0000-0000-00001E730000}"/>
    <cellStyle name="Normal 13 3 2 3 3 2 2" xfId="39513" xr:uid="{00000000-0005-0000-0000-00001F730000}"/>
    <cellStyle name="Normal 13 3 2 3 3 3" xfId="28798" xr:uid="{00000000-0005-0000-0000-000020730000}"/>
    <cellStyle name="Normal 13 3 2 3 4" xfId="28799" xr:uid="{00000000-0005-0000-0000-000021730000}"/>
    <cellStyle name="Normal 13 3 2 3 4 2" xfId="39514" xr:uid="{00000000-0005-0000-0000-000022730000}"/>
    <cellStyle name="Normal 13 3 2 3 5" xfId="28800" xr:uid="{00000000-0005-0000-0000-000023730000}"/>
    <cellStyle name="Normal 13 3 2 4" xfId="28801" xr:uid="{00000000-0005-0000-0000-000024730000}"/>
    <cellStyle name="Normal 13 3 2 4 2" xfId="28802" xr:uid="{00000000-0005-0000-0000-000025730000}"/>
    <cellStyle name="Normal 13 3 2 4 2 2" xfId="39515" xr:uid="{00000000-0005-0000-0000-000026730000}"/>
    <cellStyle name="Normal 13 3 2 4 3" xfId="28803" xr:uid="{00000000-0005-0000-0000-000027730000}"/>
    <cellStyle name="Normal 13 3 2 5" xfId="28804" xr:uid="{00000000-0005-0000-0000-000028730000}"/>
    <cellStyle name="Normal 13 3 2 5 2" xfId="28805" xr:uid="{00000000-0005-0000-0000-000029730000}"/>
    <cellStyle name="Normal 13 3 2 5 2 2" xfId="39516" xr:uid="{00000000-0005-0000-0000-00002A730000}"/>
    <cellStyle name="Normal 13 3 2 5 3" xfId="28806" xr:uid="{00000000-0005-0000-0000-00002B730000}"/>
    <cellStyle name="Normal 13 3 2 6" xfId="28807" xr:uid="{00000000-0005-0000-0000-00002C730000}"/>
    <cellStyle name="Normal 13 3 2 6 2" xfId="39517" xr:uid="{00000000-0005-0000-0000-00002D730000}"/>
    <cellStyle name="Normal 13 3 2 7" xfId="28808" xr:uid="{00000000-0005-0000-0000-00002E730000}"/>
    <cellStyle name="Normal 13 3 2 8" xfId="45278" xr:uid="{00000000-0005-0000-0000-00002F730000}"/>
    <cellStyle name="Normal 13 3 3" xfId="1362" xr:uid="{00000000-0005-0000-0000-000030730000}"/>
    <cellStyle name="Normal 13 3 3 2" xfId="28809" xr:uid="{00000000-0005-0000-0000-000031730000}"/>
    <cellStyle name="Normal 13 3 3 2 2" xfId="28810" xr:uid="{00000000-0005-0000-0000-000032730000}"/>
    <cellStyle name="Normal 13 3 3 2 2 2" xfId="28811" xr:uid="{00000000-0005-0000-0000-000033730000}"/>
    <cellStyle name="Normal 13 3 3 2 2 2 2" xfId="39518" xr:uid="{00000000-0005-0000-0000-000034730000}"/>
    <cellStyle name="Normal 13 3 3 2 2 3" xfId="28812" xr:uid="{00000000-0005-0000-0000-000035730000}"/>
    <cellStyle name="Normal 13 3 3 2 3" xfId="28813" xr:uid="{00000000-0005-0000-0000-000036730000}"/>
    <cellStyle name="Normal 13 3 3 2 3 2" xfId="28814" xr:uid="{00000000-0005-0000-0000-000037730000}"/>
    <cellStyle name="Normal 13 3 3 2 3 2 2" xfId="39519" xr:uid="{00000000-0005-0000-0000-000038730000}"/>
    <cellStyle name="Normal 13 3 3 2 3 3" xfId="28815" xr:uid="{00000000-0005-0000-0000-000039730000}"/>
    <cellStyle name="Normal 13 3 3 2 4" xfId="28816" xr:uid="{00000000-0005-0000-0000-00003A730000}"/>
    <cellStyle name="Normal 13 3 3 2 4 2" xfId="39520" xr:uid="{00000000-0005-0000-0000-00003B730000}"/>
    <cellStyle name="Normal 13 3 3 2 5" xfId="28817" xr:uid="{00000000-0005-0000-0000-00003C730000}"/>
    <cellStyle name="Normal 13 3 3 3" xfId="28818" xr:uid="{00000000-0005-0000-0000-00003D730000}"/>
    <cellStyle name="Normal 13 3 3 3 2" xfId="28819" xr:uid="{00000000-0005-0000-0000-00003E730000}"/>
    <cellStyle name="Normal 13 3 3 3 2 2" xfId="39521" xr:uid="{00000000-0005-0000-0000-00003F730000}"/>
    <cellStyle name="Normal 13 3 3 3 3" xfId="28820" xr:uid="{00000000-0005-0000-0000-000040730000}"/>
    <cellStyle name="Normal 13 3 3 4" xfId="28821" xr:uid="{00000000-0005-0000-0000-000041730000}"/>
    <cellStyle name="Normal 13 3 3 4 2" xfId="28822" xr:uid="{00000000-0005-0000-0000-000042730000}"/>
    <cellStyle name="Normal 13 3 3 4 2 2" xfId="39522" xr:uid="{00000000-0005-0000-0000-000043730000}"/>
    <cellStyle name="Normal 13 3 3 4 3" xfId="28823" xr:uid="{00000000-0005-0000-0000-000044730000}"/>
    <cellStyle name="Normal 13 3 3 5" xfId="28824" xr:uid="{00000000-0005-0000-0000-000045730000}"/>
    <cellStyle name="Normal 13 3 3 5 2" xfId="39523" xr:uid="{00000000-0005-0000-0000-000046730000}"/>
    <cellStyle name="Normal 13 3 3 6" xfId="28825" xr:uid="{00000000-0005-0000-0000-000047730000}"/>
    <cellStyle name="Normal 13 3 3 7" xfId="45279" xr:uid="{00000000-0005-0000-0000-000048730000}"/>
    <cellStyle name="Normal 13 3 4" xfId="28826" xr:uid="{00000000-0005-0000-0000-000049730000}"/>
    <cellStyle name="Normal 13 3 4 2" xfId="28827" xr:uid="{00000000-0005-0000-0000-00004A730000}"/>
    <cellStyle name="Normal 13 3 4 2 2" xfId="28828" xr:uid="{00000000-0005-0000-0000-00004B730000}"/>
    <cellStyle name="Normal 13 3 4 2 2 2" xfId="39524" xr:uid="{00000000-0005-0000-0000-00004C730000}"/>
    <cellStyle name="Normal 13 3 4 2 3" xfId="28829" xr:uid="{00000000-0005-0000-0000-00004D730000}"/>
    <cellStyle name="Normal 13 3 4 3" xfId="28830" xr:uid="{00000000-0005-0000-0000-00004E730000}"/>
    <cellStyle name="Normal 13 3 4 3 2" xfId="28831" xr:uid="{00000000-0005-0000-0000-00004F730000}"/>
    <cellStyle name="Normal 13 3 4 3 2 2" xfId="39525" xr:uid="{00000000-0005-0000-0000-000050730000}"/>
    <cellStyle name="Normal 13 3 4 3 3" xfId="28832" xr:uid="{00000000-0005-0000-0000-000051730000}"/>
    <cellStyle name="Normal 13 3 4 4" xfId="28833" xr:uid="{00000000-0005-0000-0000-000052730000}"/>
    <cellStyle name="Normal 13 3 4 4 2" xfId="39526" xr:uid="{00000000-0005-0000-0000-000053730000}"/>
    <cellStyle name="Normal 13 3 4 5" xfId="28834" xr:uid="{00000000-0005-0000-0000-000054730000}"/>
    <cellStyle name="Normal 13 3 4 6" xfId="28835" xr:uid="{00000000-0005-0000-0000-000055730000}"/>
    <cellStyle name="Normal 13 3 4 7" xfId="44566" xr:uid="{00000000-0005-0000-0000-000056730000}"/>
    <cellStyle name="Normal 13 3 5" xfId="28836" xr:uid="{00000000-0005-0000-0000-000057730000}"/>
    <cellStyle name="Normal 13 3 5 2" xfId="28837" xr:uid="{00000000-0005-0000-0000-000058730000}"/>
    <cellStyle name="Normal 13 3 5 2 2" xfId="39527" xr:uid="{00000000-0005-0000-0000-000059730000}"/>
    <cellStyle name="Normal 13 3 5 3" xfId="28838" xr:uid="{00000000-0005-0000-0000-00005A730000}"/>
    <cellStyle name="Normal 13 3 6" xfId="28839" xr:uid="{00000000-0005-0000-0000-00005B730000}"/>
    <cellStyle name="Normal 13 3 6 2" xfId="28840" xr:uid="{00000000-0005-0000-0000-00005C730000}"/>
    <cellStyle name="Normal 13 3 6 2 2" xfId="39528" xr:uid="{00000000-0005-0000-0000-00005D730000}"/>
    <cellStyle name="Normal 13 3 6 3" xfId="28841" xr:uid="{00000000-0005-0000-0000-00005E730000}"/>
    <cellStyle name="Normal 13 3 7" xfId="28842" xr:uid="{00000000-0005-0000-0000-00005F730000}"/>
    <cellStyle name="Normal 13 3 7 2" xfId="39529" xr:uid="{00000000-0005-0000-0000-000060730000}"/>
    <cellStyle name="Normal 13 3 8" xfId="28843" xr:uid="{00000000-0005-0000-0000-000061730000}"/>
    <cellStyle name="Normal 13 3 9" xfId="39530" xr:uid="{00000000-0005-0000-0000-000062730000}"/>
    <cellStyle name="Normal 13 4" xfId="389" xr:uid="{00000000-0005-0000-0000-000063730000}"/>
    <cellStyle name="Normal 13 4 2" xfId="1363" xr:uid="{00000000-0005-0000-0000-000064730000}"/>
    <cellStyle name="Normal 13 4 2 2" xfId="28844" xr:uid="{00000000-0005-0000-0000-000065730000}"/>
    <cellStyle name="Normal 13 4 2 2 2" xfId="28845" xr:uid="{00000000-0005-0000-0000-000066730000}"/>
    <cellStyle name="Normal 13 4 2 2 2 2" xfId="28846" xr:uid="{00000000-0005-0000-0000-000067730000}"/>
    <cellStyle name="Normal 13 4 2 2 2 2 2" xfId="28847" xr:uid="{00000000-0005-0000-0000-000068730000}"/>
    <cellStyle name="Normal 13 4 2 2 2 2 2 2" xfId="39531" xr:uid="{00000000-0005-0000-0000-000069730000}"/>
    <cellStyle name="Normal 13 4 2 2 2 2 3" xfId="28848" xr:uid="{00000000-0005-0000-0000-00006A730000}"/>
    <cellStyle name="Normal 13 4 2 2 2 3" xfId="28849" xr:uid="{00000000-0005-0000-0000-00006B730000}"/>
    <cellStyle name="Normal 13 4 2 2 2 3 2" xfId="28850" xr:uid="{00000000-0005-0000-0000-00006C730000}"/>
    <cellStyle name="Normal 13 4 2 2 2 3 2 2" xfId="39532" xr:uid="{00000000-0005-0000-0000-00006D730000}"/>
    <cellStyle name="Normal 13 4 2 2 2 3 3" xfId="28851" xr:uid="{00000000-0005-0000-0000-00006E730000}"/>
    <cellStyle name="Normal 13 4 2 2 2 4" xfId="28852" xr:uid="{00000000-0005-0000-0000-00006F730000}"/>
    <cellStyle name="Normal 13 4 2 2 2 4 2" xfId="39533" xr:uid="{00000000-0005-0000-0000-000070730000}"/>
    <cellStyle name="Normal 13 4 2 2 2 5" xfId="28853" xr:uid="{00000000-0005-0000-0000-000071730000}"/>
    <cellStyle name="Normal 13 4 2 2 3" xfId="28854" xr:uid="{00000000-0005-0000-0000-000072730000}"/>
    <cellStyle name="Normal 13 4 2 2 3 2" xfId="28855" xr:uid="{00000000-0005-0000-0000-000073730000}"/>
    <cellStyle name="Normal 13 4 2 2 3 2 2" xfId="39534" xr:uid="{00000000-0005-0000-0000-000074730000}"/>
    <cellStyle name="Normal 13 4 2 2 3 3" xfId="28856" xr:uid="{00000000-0005-0000-0000-000075730000}"/>
    <cellStyle name="Normal 13 4 2 2 4" xfId="28857" xr:uid="{00000000-0005-0000-0000-000076730000}"/>
    <cellStyle name="Normal 13 4 2 2 4 2" xfId="28858" xr:uid="{00000000-0005-0000-0000-000077730000}"/>
    <cellStyle name="Normal 13 4 2 2 4 2 2" xfId="39535" xr:uid="{00000000-0005-0000-0000-000078730000}"/>
    <cellStyle name="Normal 13 4 2 2 4 3" xfId="28859" xr:uid="{00000000-0005-0000-0000-000079730000}"/>
    <cellStyle name="Normal 13 4 2 2 5" xfId="28860" xr:uid="{00000000-0005-0000-0000-00007A730000}"/>
    <cellStyle name="Normal 13 4 2 2 5 2" xfId="39536" xr:uid="{00000000-0005-0000-0000-00007B730000}"/>
    <cellStyle name="Normal 13 4 2 2 6" xfId="28861" xr:uid="{00000000-0005-0000-0000-00007C730000}"/>
    <cellStyle name="Normal 13 4 2 3" xfId="28862" xr:uid="{00000000-0005-0000-0000-00007D730000}"/>
    <cellStyle name="Normal 13 4 2 3 2" xfId="28863" xr:uid="{00000000-0005-0000-0000-00007E730000}"/>
    <cellStyle name="Normal 13 4 2 3 2 2" xfId="28864" xr:uid="{00000000-0005-0000-0000-00007F730000}"/>
    <cellStyle name="Normal 13 4 2 3 2 2 2" xfId="39537" xr:uid="{00000000-0005-0000-0000-000080730000}"/>
    <cellStyle name="Normal 13 4 2 3 2 3" xfId="28865" xr:uid="{00000000-0005-0000-0000-000081730000}"/>
    <cellStyle name="Normal 13 4 2 3 3" xfId="28866" xr:uid="{00000000-0005-0000-0000-000082730000}"/>
    <cellStyle name="Normal 13 4 2 3 3 2" xfId="28867" xr:uid="{00000000-0005-0000-0000-000083730000}"/>
    <cellStyle name="Normal 13 4 2 3 3 2 2" xfId="39538" xr:uid="{00000000-0005-0000-0000-000084730000}"/>
    <cellStyle name="Normal 13 4 2 3 3 3" xfId="28868" xr:uid="{00000000-0005-0000-0000-000085730000}"/>
    <cellStyle name="Normal 13 4 2 3 4" xfId="28869" xr:uid="{00000000-0005-0000-0000-000086730000}"/>
    <cellStyle name="Normal 13 4 2 3 4 2" xfId="39539" xr:uid="{00000000-0005-0000-0000-000087730000}"/>
    <cellStyle name="Normal 13 4 2 3 5" xfId="28870" xr:uid="{00000000-0005-0000-0000-000088730000}"/>
    <cellStyle name="Normal 13 4 2 4" xfId="28871" xr:uid="{00000000-0005-0000-0000-000089730000}"/>
    <cellStyle name="Normal 13 4 2 4 2" xfId="28872" xr:uid="{00000000-0005-0000-0000-00008A730000}"/>
    <cellStyle name="Normal 13 4 2 4 2 2" xfId="39540" xr:uid="{00000000-0005-0000-0000-00008B730000}"/>
    <cellStyle name="Normal 13 4 2 4 3" xfId="28873" xr:uid="{00000000-0005-0000-0000-00008C730000}"/>
    <cellStyle name="Normal 13 4 2 5" xfId="28874" xr:uid="{00000000-0005-0000-0000-00008D730000}"/>
    <cellStyle name="Normal 13 4 2 5 2" xfId="28875" xr:uid="{00000000-0005-0000-0000-00008E730000}"/>
    <cellStyle name="Normal 13 4 2 5 2 2" xfId="39541" xr:uid="{00000000-0005-0000-0000-00008F730000}"/>
    <cellStyle name="Normal 13 4 2 5 3" xfId="28876" xr:uid="{00000000-0005-0000-0000-000090730000}"/>
    <cellStyle name="Normal 13 4 2 6" xfId="28877" xr:uid="{00000000-0005-0000-0000-000091730000}"/>
    <cellStyle name="Normal 13 4 2 6 2" xfId="39542" xr:uid="{00000000-0005-0000-0000-000092730000}"/>
    <cellStyle name="Normal 13 4 2 7" xfId="28878" xr:uid="{00000000-0005-0000-0000-000093730000}"/>
    <cellStyle name="Normal 13 4 2 8" xfId="45280" xr:uid="{00000000-0005-0000-0000-000094730000}"/>
    <cellStyle name="Normal 13 4 3" xfId="28879" xr:uid="{00000000-0005-0000-0000-000095730000}"/>
    <cellStyle name="Normal 13 4 3 2" xfId="28880" xr:uid="{00000000-0005-0000-0000-000096730000}"/>
    <cellStyle name="Normal 13 4 3 2 2" xfId="28881" xr:uid="{00000000-0005-0000-0000-000097730000}"/>
    <cellStyle name="Normal 13 4 3 2 2 2" xfId="28882" xr:uid="{00000000-0005-0000-0000-000098730000}"/>
    <cellStyle name="Normal 13 4 3 2 2 2 2" xfId="39543" xr:uid="{00000000-0005-0000-0000-000099730000}"/>
    <cellStyle name="Normal 13 4 3 2 2 3" xfId="28883" xr:uid="{00000000-0005-0000-0000-00009A730000}"/>
    <cellStyle name="Normal 13 4 3 2 3" xfId="28884" xr:uid="{00000000-0005-0000-0000-00009B730000}"/>
    <cellStyle name="Normal 13 4 3 2 3 2" xfId="28885" xr:uid="{00000000-0005-0000-0000-00009C730000}"/>
    <cellStyle name="Normal 13 4 3 2 3 2 2" xfId="39544" xr:uid="{00000000-0005-0000-0000-00009D730000}"/>
    <cellStyle name="Normal 13 4 3 2 3 3" xfId="28886" xr:uid="{00000000-0005-0000-0000-00009E730000}"/>
    <cellStyle name="Normal 13 4 3 2 4" xfId="28887" xr:uid="{00000000-0005-0000-0000-00009F730000}"/>
    <cellStyle name="Normal 13 4 3 2 4 2" xfId="39545" xr:uid="{00000000-0005-0000-0000-0000A0730000}"/>
    <cellStyle name="Normal 13 4 3 2 5" xfId="28888" xr:uid="{00000000-0005-0000-0000-0000A1730000}"/>
    <cellStyle name="Normal 13 4 3 3" xfId="28889" xr:uid="{00000000-0005-0000-0000-0000A2730000}"/>
    <cellStyle name="Normal 13 4 3 3 2" xfId="28890" xr:uid="{00000000-0005-0000-0000-0000A3730000}"/>
    <cellStyle name="Normal 13 4 3 3 2 2" xfId="39546" xr:uid="{00000000-0005-0000-0000-0000A4730000}"/>
    <cellStyle name="Normal 13 4 3 3 3" xfId="28891" xr:uid="{00000000-0005-0000-0000-0000A5730000}"/>
    <cellStyle name="Normal 13 4 3 4" xfId="28892" xr:uid="{00000000-0005-0000-0000-0000A6730000}"/>
    <cellStyle name="Normal 13 4 3 4 2" xfId="28893" xr:uid="{00000000-0005-0000-0000-0000A7730000}"/>
    <cellStyle name="Normal 13 4 3 4 2 2" xfId="39547" xr:uid="{00000000-0005-0000-0000-0000A8730000}"/>
    <cellStyle name="Normal 13 4 3 4 3" xfId="28894" xr:uid="{00000000-0005-0000-0000-0000A9730000}"/>
    <cellStyle name="Normal 13 4 3 5" xfId="28895" xr:uid="{00000000-0005-0000-0000-0000AA730000}"/>
    <cellStyle name="Normal 13 4 3 5 2" xfId="39548" xr:uid="{00000000-0005-0000-0000-0000AB730000}"/>
    <cellStyle name="Normal 13 4 3 6" xfId="28896" xr:uid="{00000000-0005-0000-0000-0000AC730000}"/>
    <cellStyle name="Normal 13 4 3 7" xfId="28897" xr:uid="{00000000-0005-0000-0000-0000AD730000}"/>
    <cellStyle name="Normal 13 4 3 8" xfId="44567" xr:uid="{00000000-0005-0000-0000-0000AE730000}"/>
    <cellStyle name="Normal 13 4 4" xfId="28898" xr:uid="{00000000-0005-0000-0000-0000AF730000}"/>
    <cellStyle name="Normal 13 4 4 2" xfId="28899" xr:uid="{00000000-0005-0000-0000-0000B0730000}"/>
    <cellStyle name="Normal 13 4 4 2 2" xfId="28900" xr:uid="{00000000-0005-0000-0000-0000B1730000}"/>
    <cellStyle name="Normal 13 4 4 2 2 2" xfId="39549" xr:uid="{00000000-0005-0000-0000-0000B2730000}"/>
    <cellStyle name="Normal 13 4 4 2 3" xfId="28901" xr:uid="{00000000-0005-0000-0000-0000B3730000}"/>
    <cellStyle name="Normal 13 4 4 3" xfId="28902" xr:uid="{00000000-0005-0000-0000-0000B4730000}"/>
    <cellStyle name="Normal 13 4 4 3 2" xfId="28903" xr:uid="{00000000-0005-0000-0000-0000B5730000}"/>
    <cellStyle name="Normal 13 4 4 3 2 2" xfId="39550" xr:uid="{00000000-0005-0000-0000-0000B6730000}"/>
    <cellStyle name="Normal 13 4 4 3 3" xfId="28904" xr:uid="{00000000-0005-0000-0000-0000B7730000}"/>
    <cellStyle name="Normal 13 4 4 4" xfId="28905" xr:uid="{00000000-0005-0000-0000-0000B8730000}"/>
    <cellStyle name="Normal 13 4 4 4 2" xfId="39551" xr:uid="{00000000-0005-0000-0000-0000B9730000}"/>
    <cellStyle name="Normal 13 4 4 5" xfId="28906" xr:uid="{00000000-0005-0000-0000-0000BA730000}"/>
    <cellStyle name="Normal 13 4 5" xfId="28907" xr:uid="{00000000-0005-0000-0000-0000BB730000}"/>
    <cellStyle name="Normal 13 4 5 2" xfId="28908" xr:uid="{00000000-0005-0000-0000-0000BC730000}"/>
    <cellStyle name="Normal 13 4 5 2 2" xfId="39552" xr:uid="{00000000-0005-0000-0000-0000BD730000}"/>
    <cellStyle name="Normal 13 4 5 3" xfId="28909" xr:uid="{00000000-0005-0000-0000-0000BE730000}"/>
    <cellStyle name="Normal 13 4 6" xfId="28910" xr:uid="{00000000-0005-0000-0000-0000BF730000}"/>
    <cellStyle name="Normal 13 4 6 2" xfId="28911" xr:uid="{00000000-0005-0000-0000-0000C0730000}"/>
    <cellStyle name="Normal 13 4 6 2 2" xfId="39553" xr:uid="{00000000-0005-0000-0000-0000C1730000}"/>
    <cellStyle name="Normal 13 4 6 3" xfId="28912" xr:uid="{00000000-0005-0000-0000-0000C2730000}"/>
    <cellStyle name="Normal 13 4 7" xfId="28913" xr:uid="{00000000-0005-0000-0000-0000C3730000}"/>
    <cellStyle name="Normal 13 4 7 2" xfId="39554" xr:uid="{00000000-0005-0000-0000-0000C4730000}"/>
    <cellStyle name="Normal 13 4 8" xfId="28914" xr:uid="{00000000-0005-0000-0000-0000C5730000}"/>
    <cellStyle name="Normal 13 5" xfId="390" xr:uid="{00000000-0005-0000-0000-0000C6730000}"/>
    <cellStyle name="Normal 13 5 2" xfId="28915" xr:uid="{00000000-0005-0000-0000-0000C7730000}"/>
    <cellStyle name="Normal 13 5 2 2" xfId="28916" xr:uid="{00000000-0005-0000-0000-0000C8730000}"/>
    <cellStyle name="Normal 13 5 2 2 2" xfId="28917" xr:uid="{00000000-0005-0000-0000-0000C9730000}"/>
    <cellStyle name="Normal 13 5 2 2 2 2" xfId="28918" xr:uid="{00000000-0005-0000-0000-0000CA730000}"/>
    <cellStyle name="Normal 13 5 2 2 2 2 2" xfId="39555" xr:uid="{00000000-0005-0000-0000-0000CB730000}"/>
    <cellStyle name="Normal 13 5 2 2 2 3" xfId="28919" xr:uid="{00000000-0005-0000-0000-0000CC730000}"/>
    <cellStyle name="Normal 13 5 2 2 3" xfId="28920" xr:uid="{00000000-0005-0000-0000-0000CD730000}"/>
    <cellStyle name="Normal 13 5 2 2 3 2" xfId="28921" xr:uid="{00000000-0005-0000-0000-0000CE730000}"/>
    <cellStyle name="Normal 13 5 2 2 3 2 2" xfId="39556" xr:uid="{00000000-0005-0000-0000-0000CF730000}"/>
    <cellStyle name="Normal 13 5 2 2 3 3" xfId="28922" xr:uid="{00000000-0005-0000-0000-0000D0730000}"/>
    <cellStyle name="Normal 13 5 2 2 4" xfId="28923" xr:uid="{00000000-0005-0000-0000-0000D1730000}"/>
    <cellStyle name="Normal 13 5 2 2 4 2" xfId="39557" xr:uid="{00000000-0005-0000-0000-0000D2730000}"/>
    <cellStyle name="Normal 13 5 2 2 5" xfId="28924" xr:uid="{00000000-0005-0000-0000-0000D3730000}"/>
    <cellStyle name="Normal 13 5 2 3" xfId="28925" xr:uid="{00000000-0005-0000-0000-0000D4730000}"/>
    <cellStyle name="Normal 13 5 2 3 2" xfId="28926" xr:uid="{00000000-0005-0000-0000-0000D5730000}"/>
    <cellStyle name="Normal 13 5 2 3 2 2" xfId="39558" xr:uid="{00000000-0005-0000-0000-0000D6730000}"/>
    <cellStyle name="Normal 13 5 2 3 3" xfId="28927" xr:uid="{00000000-0005-0000-0000-0000D7730000}"/>
    <cellStyle name="Normal 13 5 2 4" xfId="28928" xr:uid="{00000000-0005-0000-0000-0000D8730000}"/>
    <cellStyle name="Normal 13 5 2 4 2" xfId="28929" xr:uid="{00000000-0005-0000-0000-0000D9730000}"/>
    <cellStyle name="Normal 13 5 2 4 2 2" xfId="39559" xr:uid="{00000000-0005-0000-0000-0000DA730000}"/>
    <cellStyle name="Normal 13 5 2 4 3" xfId="28930" xr:uid="{00000000-0005-0000-0000-0000DB730000}"/>
    <cellStyle name="Normal 13 5 2 5" xfId="28931" xr:uid="{00000000-0005-0000-0000-0000DC730000}"/>
    <cellStyle name="Normal 13 5 2 5 2" xfId="39560" xr:uid="{00000000-0005-0000-0000-0000DD730000}"/>
    <cellStyle name="Normal 13 5 2 6" xfId="28932" xr:uid="{00000000-0005-0000-0000-0000DE730000}"/>
    <cellStyle name="Normal 13 5 3" xfId="28933" xr:uid="{00000000-0005-0000-0000-0000DF730000}"/>
    <cellStyle name="Normal 13 5 3 2" xfId="28934" xr:uid="{00000000-0005-0000-0000-0000E0730000}"/>
    <cellStyle name="Normal 13 5 3 2 2" xfId="28935" xr:uid="{00000000-0005-0000-0000-0000E1730000}"/>
    <cellStyle name="Normal 13 5 3 2 2 2" xfId="39561" xr:uid="{00000000-0005-0000-0000-0000E2730000}"/>
    <cellStyle name="Normal 13 5 3 2 3" xfId="28936" xr:uid="{00000000-0005-0000-0000-0000E3730000}"/>
    <cellStyle name="Normal 13 5 3 3" xfId="28937" xr:uid="{00000000-0005-0000-0000-0000E4730000}"/>
    <cellStyle name="Normal 13 5 3 3 2" xfId="28938" xr:uid="{00000000-0005-0000-0000-0000E5730000}"/>
    <cellStyle name="Normal 13 5 3 3 2 2" xfId="39562" xr:uid="{00000000-0005-0000-0000-0000E6730000}"/>
    <cellStyle name="Normal 13 5 3 3 3" xfId="28939" xr:uid="{00000000-0005-0000-0000-0000E7730000}"/>
    <cellStyle name="Normal 13 5 3 4" xfId="28940" xr:uid="{00000000-0005-0000-0000-0000E8730000}"/>
    <cellStyle name="Normal 13 5 3 4 2" xfId="39563" xr:uid="{00000000-0005-0000-0000-0000E9730000}"/>
    <cellStyle name="Normal 13 5 3 5" xfId="28941" xr:uid="{00000000-0005-0000-0000-0000EA730000}"/>
    <cellStyle name="Normal 13 5 4" xfId="28942" xr:uid="{00000000-0005-0000-0000-0000EB730000}"/>
    <cellStyle name="Normal 13 5 4 2" xfId="28943" xr:uid="{00000000-0005-0000-0000-0000EC730000}"/>
    <cellStyle name="Normal 13 5 4 2 2" xfId="39564" xr:uid="{00000000-0005-0000-0000-0000ED730000}"/>
    <cellStyle name="Normal 13 5 4 3" xfId="28944" xr:uid="{00000000-0005-0000-0000-0000EE730000}"/>
    <cellStyle name="Normal 13 5 5" xfId="28945" xr:uid="{00000000-0005-0000-0000-0000EF730000}"/>
    <cellStyle name="Normal 13 5 5 2" xfId="28946" xr:uid="{00000000-0005-0000-0000-0000F0730000}"/>
    <cellStyle name="Normal 13 5 5 2 2" xfId="39565" xr:uid="{00000000-0005-0000-0000-0000F1730000}"/>
    <cellStyle name="Normal 13 5 5 3" xfId="28947" xr:uid="{00000000-0005-0000-0000-0000F2730000}"/>
    <cellStyle name="Normal 13 5 6" xfId="28948" xr:uid="{00000000-0005-0000-0000-0000F3730000}"/>
    <cellStyle name="Normal 13 5 6 2" xfId="39566" xr:uid="{00000000-0005-0000-0000-0000F4730000}"/>
    <cellStyle name="Normal 13 5 7" xfId="28949" xr:uid="{00000000-0005-0000-0000-0000F5730000}"/>
    <cellStyle name="Normal 13 5 8" xfId="45281" xr:uid="{00000000-0005-0000-0000-0000F6730000}"/>
    <cellStyle name="Normal 13 6" xfId="1364" xr:uid="{00000000-0005-0000-0000-0000F7730000}"/>
    <cellStyle name="Normal 13 6 2" xfId="28950" xr:uid="{00000000-0005-0000-0000-0000F8730000}"/>
    <cellStyle name="Normal 13 6 2 2" xfId="28951" xr:uid="{00000000-0005-0000-0000-0000F9730000}"/>
    <cellStyle name="Normal 13 6 2 2 2" xfId="28952" xr:uid="{00000000-0005-0000-0000-0000FA730000}"/>
    <cellStyle name="Normal 13 6 2 2 2 2" xfId="39567" xr:uid="{00000000-0005-0000-0000-0000FB730000}"/>
    <cellStyle name="Normal 13 6 2 2 3" xfId="28953" xr:uid="{00000000-0005-0000-0000-0000FC730000}"/>
    <cellStyle name="Normal 13 6 2 3" xfId="28954" xr:uid="{00000000-0005-0000-0000-0000FD730000}"/>
    <cellStyle name="Normal 13 6 2 3 2" xfId="28955" xr:uid="{00000000-0005-0000-0000-0000FE730000}"/>
    <cellStyle name="Normal 13 6 2 3 2 2" xfId="39568" xr:uid="{00000000-0005-0000-0000-0000FF730000}"/>
    <cellStyle name="Normal 13 6 2 3 3" xfId="28956" xr:uid="{00000000-0005-0000-0000-000000740000}"/>
    <cellStyle name="Normal 13 6 2 4" xfId="28957" xr:uid="{00000000-0005-0000-0000-000001740000}"/>
    <cellStyle name="Normal 13 6 2 4 2" xfId="39569" xr:uid="{00000000-0005-0000-0000-000002740000}"/>
    <cellStyle name="Normal 13 6 2 5" xfId="28958" xr:uid="{00000000-0005-0000-0000-000003740000}"/>
    <cellStyle name="Normal 13 6 2 6" xfId="28959" xr:uid="{00000000-0005-0000-0000-000004740000}"/>
    <cellStyle name="Normal 13 6 2 7" xfId="44568" xr:uid="{00000000-0005-0000-0000-000005740000}"/>
    <cellStyle name="Normal 13 6 3" xfId="28960" xr:uid="{00000000-0005-0000-0000-000006740000}"/>
    <cellStyle name="Normal 13 6 3 2" xfId="28961" xr:uid="{00000000-0005-0000-0000-000007740000}"/>
    <cellStyle name="Normal 13 6 3 2 2" xfId="39570" xr:uid="{00000000-0005-0000-0000-000008740000}"/>
    <cellStyle name="Normal 13 6 3 3" xfId="28962" xr:uid="{00000000-0005-0000-0000-000009740000}"/>
    <cellStyle name="Normal 13 6 4" xfId="28963" xr:uid="{00000000-0005-0000-0000-00000A740000}"/>
    <cellStyle name="Normal 13 6 4 2" xfId="28964" xr:uid="{00000000-0005-0000-0000-00000B740000}"/>
    <cellStyle name="Normal 13 6 4 2 2" xfId="39571" xr:uid="{00000000-0005-0000-0000-00000C740000}"/>
    <cellStyle name="Normal 13 6 4 3" xfId="28965" xr:uid="{00000000-0005-0000-0000-00000D740000}"/>
    <cellStyle name="Normal 13 6 5" xfId="28966" xr:uid="{00000000-0005-0000-0000-00000E740000}"/>
    <cellStyle name="Normal 13 6 5 2" xfId="39572" xr:uid="{00000000-0005-0000-0000-00000F740000}"/>
    <cellStyle name="Normal 13 6 6" xfId="28967" xr:uid="{00000000-0005-0000-0000-000010740000}"/>
    <cellStyle name="Normal 13 6 7" xfId="39573" xr:uid="{00000000-0005-0000-0000-000011740000}"/>
    <cellStyle name="Normal 13 7" xfId="1365" xr:uid="{00000000-0005-0000-0000-000012740000}"/>
    <cellStyle name="Normal 13 7 2" xfId="28968" xr:uid="{00000000-0005-0000-0000-000013740000}"/>
    <cellStyle name="Normal 13 7 2 2" xfId="28969" xr:uid="{00000000-0005-0000-0000-000014740000}"/>
    <cellStyle name="Normal 13 7 2 2 2" xfId="39574" xr:uid="{00000000-0005-0000-0000-000015740000}"/>
    <cellStyle name="Normal 13 7 2 3" xfId="28970" xr:uid="{00000000-0005-0000-0000-000016740000}"/>
    <cellStyle name="Normal 13 7 2 4" xfId="28971" xr:uid="{00000000-0005-0000-0000-000017740000}"/>
    <cellStyle name="Normal 13 7 2 5" xfId="44569" xr:uid="{00000000-0005-0000-0000-000018740000}"/>
    <cellStyle name="Normal 13 7 3" xfId="28972" xr:uid="{00000000-0005-0000-0000-000019740000}"/>
    <cellStyle name="Normal 13 7 3 2" xfId="28973" xr:uid="{00000000-0005-0000-0000-00001A740000}"/>
    <cellStyle name="Normal 13 7 3 2 2" xfId="39575" xr:uid="{00000000-0005-0000-0000-00001B740000}"/>
    <cellStyle name="Normal 13 7 3 3" xfId="28974" xr:uid="{00000000-0005-0000-0000-00001C740000}"/>
    <cellStyle name="Normal 13 7 4" xfId="28975" xr:uid="{00000000-0005-0000-0000-00001D740000}"/>
    <cellStyle name="Normal 13 7 4 2" xfId="39576" xr:uid="{00000000-0005-0000-0000-00001E740000}"/>
    <cellStyle name="Normal 13 7 5" xfId="28976" xr:uid="{00000000-0005-0000-0000-00001F740000}"/>
    <cellStyle name="Normal 13 8" xfId="28977" xr:uid="{00000000-0005-0000-0000-000020740000}"/>
    <cellStyle name="Normal 13 8 2" xfId="28978" xr:uid="{00000000-0005-0000-0000-000021740000}"/>
    <cellStyle name="Normal 13 8 2 2" xfId="39577" xr:uid="{00000000-0005-0000-0000-000022740000}"/>
    <cellStyle name="Normal 13 8 3" xfId="28979" xr:uid="{00000000-0005-0000-0000-000023740000}"/>
    <cellStyle name="Normal 13 8 4" xfId="28980" xr:uid="{00000000-0005-0000-0000-000024740000}"/>
    <cellStyle name="Normal 13 8 5" xfId="44570" xr:uid="{00000000-0005-0000-0000-000025740000}"/>
    <cellStyle name="Normal 13 8 6" xfId="45282" xr:uid="{00000000-0005-0000-0000-000026740000}"/>
    <cellStyle name="Normal 13 9" xfId="28981" xr:uid="{00000000-0005-0000-0000-000027740000}"/>
    <cellStyle name="Normal 13 9 2" xfId="28982" xr:uid="{00000000-0005-0000-0000-000028740000}"/>
    <cellStyle name="Normal 13 9 2 2" xfId="39578" xr:uid="{00000000-0005-0000-0000-000029740000}"/>
    <cellStyle name="Normal 13 9 3" xfId="28983" xr:uid="{00000000-0005-0000-0000-00002A740000}"/>
    <cellStyle name="Normal 13 9 4" xfId="28984" xr:uid="{00000000-0005-0000-0000-00002B740000}"/>
    <cellStyle name="Normal 13 9 5" xfId="44571" xr:uid="{00000000-0005-0000-0000-00002C740000}"/>
    <cellStyle name="Normal 13_2112 2148 Reg Labor" xfId="28985" xr:uid="{00000000-0005-0000-0000-00002D740000}"/>
    <cellStyle name="Normal 130" xfId="2353" xr:uid="{00000000-0005-0000-0000-00002E740000}"/>
    <cellStyle name="Normal 130 2" xfId="28986" xr:uid="{00000000-0005-0000-0000-00002F740000}"/>
    <cellStyle name="Normal 130 3" xfId="28987" xr:uid="{00000000-0005-0000-0000-000030740000}"/>
    <cellStyle name="Normal 130 4" xfId="42458" xr:uid="{00000000-0005-0000-0000-000031740000}"/>
    <cellStyle name="Normal 130 5" xfId="45283" xr:uid="{00000000-0005-0000-0000-000032740000}"/>
    <cellStyle name="Normal 131" xfId="2605" xr:uid="{00000000-0005-0000-0000-000033740000}"/>
    <cellStyle name="Normal 131 2" xfId="28988" xr:uid="{00000000-0005-0000-0000-000034740000}"/>
    <cellStyle name="Normal 131 3" xfId="44572" xr:uid="{00000000-0005-0000-0000-000035740000}"/>
    <cellStyle name="Normal 132" xfId="3888" xr:uid="{00000000-0005-0000-0000-000036740000}"/>
    <cellStyle name="Normal 132 2" xfId="28989" xr:uid="{00000000-0005-0000-0000-000037740000}"/>
    <cellStyle name="Normal 132 3" xfId="44573" xr:uid="{00000000-0005-0000-0000-000038740000}"/>
    <cellStyle name="Normal 133" xfId="3889" xr:uid="{00000000-0005-0000-0000-000039740000}"/>
    <cellStyle name="Normal 133 2" xfId="28990" xr:uid="{00000000-0005-0000-0000-00003A740000}"/>
    <cellStyle name="Normal 133 3" xfId="44574" xr:uid="{00000000-0005-0000-0000-00003B740000}"/>
    <cellStyle name="Normal 134" xfId="3890" xr:uid="{00000000-0005-0000-0000-00003C740000}"/>
    <cellStyle name="Normal 134 2" xfId="28991" xr:uid="{00000000-0005-0000-0000-00003D740000}"/>
    <cellStyle name="Normal 134 3" xfId="44575" xr:uid="{00000000-0005-0000-0000-00003E740000}"/>
    <cellStyle name="Normal 135" xfId="3892" xr:uid="{00000000-0005-0000-0000-00003F740000}"/>
    <cellStyle name="Normal 135 2" xfId="28992" xr:uid="{00000000-0005-0000-0000-000040740000}"/>
    <cellStyle name="Normal 135 3" xfId="44576" xr:uid="{00000000-0005-0000-0000-000041740000}"/>
    <cellStyle name="Normal 136" xfId="28993" xr:uid="{00000000-0005-0000-0000-000042740000}"/>
    <cellStyle name="Normal 137" xfId="28994" xr:uid="{00000000-0005-0000-0000-000043740000}"/>
    <cellStyle name="Normal 138" xfId="28995" xr:uid="{00000000-0005-0000-0000-000044740000}"/>
    <cellStyle name="Normal 139" xfId="28996" xr:uid="{00000000-0005-0000-0000-000045740000}"/>
    <cellStyle name="Normal 14" xfId="68" xr:uid="{00000000-0005-0000-0000-000046740000}"/>
    <cellStyle name="Normal 14 10" xfId="28997" xr:uid="{00000000-0005-0000-0000-000047740000}"/>
    <cellStyle name="Normal 14 11" xfId="28998" xr:uid="{00000000-0005-0000-0000-000048740000}"/>
    <cellStyle name="Normal 14 12" xfId="45284" xr:uid="{00000000-0005-0000-0000-000049740000}"/>
    <cellStyle name="Normal 14 13" xfId="46292" xr:uid="{00000000-0005-0000-0000-00004A740000}"/>
    <cellStyle name="Normal 14 2" xfId="391" xr:uid="{00000000-0005-0000-0000-00004B740000}"/>
    <cellStyle name="Normal 14 2 2" xfId="1366" xr:uid="{00000000-0005-0000-0000-00004C740000}"/>
    <cellStyle name="Normal 14 2 2 2" xfId="1367" xr:uid="{00000000-0005-0000-0000-00004D740000}"/>
    <cellStyle name="Normal 14 2 2 2 2" xfId="28999" xr:uid="{00000000-0005-0000-0000-00004E740000}"/>
    <cellStyle name="Normal 14 2 2 2 2 2" xfId="29000" xr:uid="{00000000-0005-0000-0000-00004F740000}"/>
    <cellStyle name="Normal 14 2 2 2 2 2 2" xfId="29001" xr:uid="{00000000-0005-0000-0000-000050740000}"/>
    <cellStyle name="Normal 14 2 2 2 2 2 2 2" xfId="39579" xr:uid="{00000000-0005-0000-0000-000051740000}"/>
    <cellStyle name="Normal 14 2 2 2 2 2 3" xfId="29002" xr:uid="{00000000-0005-0000-0000-000052740000}"/>
    <cellStyle name="Normal 14 2 2 2 2 3" xfId="29003" xr:uid="{00000000-0005-0000-0000-000053740000}"/>
    <cellStyle name="Normal 14 2 2 2 2 3 2" xfId="29004" xr:uid="{00000000-0005-0000-0000-000054740000}"/>
    <cellStyle name="Normal 14 2 2 2 2 3 2 2" xfId="39580" xr:uid="{00000000-0005-0000-0000-000055740000}"/>
    <cellStyle name="Normal 14 2 2 2 2 3 3" xfId="29005" xr:uid="{00000000-0005-0000-0000-000056740000}"/>
    <cellStyle name="Normal 14 2 2 2 2 4" xfId="29006" xr:uid="{00000000-0005-0000-0000-000057740000}"/>
    <cellStyle name="Normal 14 2 2 2 2 4 2" xfId="39581" xr:uid="{00000000-0005-0000-0000-000058740000}"/>
    <cellStyle name="Normal 14 2 2 2 2 5" xfId="29007" xr:uid="{00000000-0005-0000-0000-000059740000}"/>
    <cellStyle name="Normal 14 2 2 2 2 6" xfId="29008" xr:uid="{00000000-0005-0000-0000-00005A740000}"/>
    <cellStyle name="Normal 14 2 2 2 2 7" xfId="44577" xr:uid="{00000000-0005-0000-0000-00005B740000}"/>
    <cellStyle name="Normal 14 2 2 2 3" xfId="29009" xr:uid="{00000000-0005-0000-0000-00005C740000}"/>
    <cellStyle name="Normal 14 2 2 2 3 2" xfId="29010" xr:uid="{00000000-0005-0000-0000-00005D740000}"/>
    <cellStyle name="Normal 14 2 2 2 3 2 2" xfId="39582" xr:uid="{00000000-0005-0000-0000-00005E740000}"/>
    <cellStyle name="Normal 14 2 2 2 3 3" xfId="29011" xr:uid="{00000000-0005-0000-0000-00005F740000}"/>
    <cellStyle name="Normal 14 2 2 2 4" xfId="29012" xr:uid="{00000000-0005-0000-0000-000060740000}"/>
    <cellStyle name="Normal 14 2 2 2 4 2" xfId="29013" xr:uid="{00000000-0005-0000-0000-000061740000}"/>
    <cellStyle name="Normal 14 2 2 2 4 2 2" xfId="39583" xr:uid="{00000000-0005-0000-0000-000062740000}"/>
    <cellStyle name="Normal 14 2 2 2 4 3" xfId="29014" xr:uid="{00000000-0005-0000-0000-000063740000}"/>
    <cellStyle name="Normal 14 2 2 2 5" xfId="29015" xr:uid="{00000000-0005-0000-0000-000064740000}"/>
    <cellStyle name="Normal 14 2 2 2 5 2" xfId="39584" xr:uid="{00000000-0005-0000-0000-000065740000}"/>
    <cellStyle name="Normal 14 2 2 2 6" xfId="29016" xr:uid="{00000000-0005-0000-0000-000066740000}"/>
    <cellStyle name="Normal 14 2 2 3" xfId="29017" xr:uid="{00000000-0005-0000-0000-000067740000}"/>
    <cellStyle name="Normal 14 2 2 3 2" xfId="29018" xr:uid="{00000000-0005-0000-0000-000068740000}"/>
    <cellStyle name="Normal 14 2 2 3 2 2" xfId="29019" xr:uid="{00000000-0005-0000-0000-000069740000}"/>
    <cellStyle name="Normal 14 2 2 3 2 2 2" xfId="39585" xr:uid="{00000000-0005-0000-0000-00006A740000}"/>
    <cellStyle name="Normal 14 2 2 3 2 3" xfId="29020" xr:uid="{00000000-0005-0000-0000-00006B740000}"/>
    <cellStyle name="Normal 14 2 2 3 3" xfId="29021" xr:uid="{00000000-0005-0000-0000-00006C740000}"/>
    <cellStyle name="Normal 14 2 2 3 3 2" xfId="29022" xr:uid="{00000000-0005-0000-0000-00006D740000}"/>
    <cellStyle name="Normal 14 2 2 3 3 2 2" xfId="39586" xr:uid="{00000000-0005-0000-0000-00006E740000}"/>
    <cellStyle name="Normal 14 2 2 3 3 3" xfId="29023" xr:uid="{00000000-0005-0000-0000-00006F740000}"/>
    <cellStyle name="Normal 14 2 2 3 4" xfId="29024" xr:uid="{00000000-0005-0000-0000-000070740000}"/>
    <cellStyle name="Normal 14 2 2 3 4 2" xfId="39587" xr:uid="{00000000-0005-0000-0000-000071740000}"/>
    <cellStyle name="Normal 14 2 2 3 5" xfId="29025" xr:uid="{00000000-0005-0000-0000-000072740000}"/>
    <cellStyle name="Normal 14 2 2 4" xfId="29026" xr:uid="{00000000-0005-0000-0000-000073740000}"/>
    <cellStyle name="Normal 14 2 2 4 2" xfId="29027" xr:uid="{00000000-0005-0000-0000-000074740000}"/>
    <cellStyle name="Normal 14 2 2 4 2 2" xfId="39588" xr:uid="{00000000-0005-0000-0000-000075740000}"/>
    <cellStyle name="Normal 14 2 2 4 3" xfId="29028" xr:uid="{00000000-0005-0000-0000-000076740000}"/>
    <cellStyle name="Normal 14 2 2 5" xfId="29029" xr:uid="{00000000-0005-0000-0000-000077740000}"/>
    <cellStyle name="Normal 14 2 2 5 2" xfId="29030" xr:uid="{00000000-0005-0000-0000-000078740000}"/>
    <cellStyle name="Normal 14 2 2 5 2 2" xfId="39589" xr:uid="{00000000-0005-0000-0000-000079740000}"/>
    <cellStyle name="Normal 14 2 2 5 3" xfId="29031" xr:uid="{00000000-0005-0000-0000-00007A740000}"/>
    <cellStyle name="Normal 14 2 2 6" xfId="29032" xr:uid="{00000000-0005-0000-0000-00007B740000}"/>
    <cellStyle name="Normal 14 2 2 6 2" xfId="39590" xr:uid="{00000000-0005-0000-0000-00007C740000}"/>
    <cellStyle name="Normal 14 2 2 7" xfId="29033" xr:uid="{00000000-0005-0000-0000-00007D740000}"/>
    <cellStyle name="Normal 14 2 2 8" xfId="39591" xr:uid="{00000000-0005-0000-0000-00007E740000}"/>
    <cellStyle name="Normal 14 2 2 9" xfId="45285" xr:uid="{00000000-0005-0000-0000-00007F740000}"/>
    <cellStyle name="Normal 14 2 3" xfId="1368" xr:uid="{00000000-0005-0000-0000-000080740000}"/>
    <cellStyle name="Normal 14 2 3 2" xfId="29034" xr:uid="{00000000-0005-0000-0000-000081740000}"/>
    <cellStyle name="Normal 14 2 3 2 2" xfId="29035" xr:uid="{00000000-0005-0000-0000-000082740000}"/>
    <cellStyle name="Normal 14 2 3 2 2 2" xfId="29036" xr:uid="{00000000-0005-0000-0000-000083740000}"/>
    <cellStyle name="Normal 14 2 3 2 2 2 2" xfId="39592" xr:uid="{00000000-0005-0000-0000-000084740000}"/>
    <cellStyle name="Normal 14 2 3 2 2 3" xfId="29037" xr:uid="{00000000-0005-0000-0000-000085740000}"/>
    <cellStyle name="Normal 14 2 3 2 3" xfId="29038" xr:uid="{00000000-0005-0000-0000-000086740000}"/>
    <cellStyle name="Normal 14 2 3 2 3 2" xfId="29039" xr:uid="{00000000-0005-0000-0000-000087740000}"/>
    <cellStyle name="Normal 14 2 3 2 3 2 2" xfId="39593" xr:uid="{00000000-0005-0000-0000-000088740000}"/>
    <cellStyle name="Normal 14 2 3 2 3 3" xfId="29040" xr:uid="{00000000-0005-0000-0000-000089740000}"/>
    <cellStyle name="Normal 14 2 3 2 4" xfId="29041" xr:uid="{00000000-0005-0000-0000-00008A740000}"/>
    <cellStyle name="Normal 14 2 3 2 4 2" xfId="39594" xr:uid="{00000000-0005-0000-0000-00008B740000}"/>
    <cellStyle name="Normal 14 2 3 2 5" xfId="29042" xr:uid="{00000000-0005-0000-0000-00008C740000}"/>
    <cellStyle name="Normal 14 2 3 3" xfId="29043" xr:uid="{00000000-0005-0000-0000-00008D740000}"/>
    <cellStyle name="Normal 14 2 3 3 2" xfId="29044" xr:uid="{00000000-0005-0000-0000-00008E740000}"/>
    <cellStyle name="Normal 14 2 3 3 2 2" xfId="39595" xr:uid="{00000000-0005-0000-0000-00008F740000}"/>
    <cellStyle name="Normal 14 2 3 3 3" xfId="29045" xr:uid="{00000000-0005-0000-0000-000090740000}"/>
    <cellStyle name="Normal 14 2 3 4" xfId="29046" xr:uid="{00000000-0005-0000-0000-000091740000}"/>
    <cellStyle name="Normal 14 2 3 4 2" xfId="29047" xr:uid="{00000000-0005-0000-0000-000092740000}"/>
    <cellStyle name="Normal 14 2 3 4 2 2" xfId="39596" xr:uid="{00000000-0005-0000-0000-000093740000}"/>
    <cellStyle name="Normal 14 2 3 4 3" xfId="29048" xr:uid="{00000000-0005-0000-0000-000094740000}"/>
    <cellStyle name="Normal 14 2 3 5" xfId="29049" xr:uid="{00000000-0005-0000-0000-000095740000}"/>
    <cellStyle name="Normal 14 2 3 5 2" xfId="39597" xr:uid="{00000000-0005-0000-0000-000096740000}"/>
    <cellStyle name="Normal 14 2 3 6" xfId="29050" xr:uid="{00000000-0005-0000-0000-000097740000}"/>
    <cellStyle name="Normal 14 2 3 7" xfId="39598" xr:uid="{00000000-0005-0000-0000-000098740000}"/>
    <cellStyle name="Normal 14 2 3 8" xfId="45286" xr:uid="{00000000-0005-0000-0000-000099740000}"/>
    <cellStyle name="Normal 14 2 4" xfId="29051" xr:uid="{00000000-0005-0000-0000-00009A740000}"/>
    <cellStyle name="Normal 14 2 4 2" xfId="29052" xr:uid="{00000000-0005-0000-0000-00009B740000}"/>
    <cellStyle name="Normal 14 2 4 2 2" xfId="29053" xr:uid="{00000000-0005-0000-0000-00009C740000}"/>
    <cellStyle name="Normal 14 2 4 2 2 2" xfId="39599" xr:uid="{00000000-0005-0000-0000-00009D740000}"/>
    <cellStyle name="Normal 14 2 4 2 3" xfId="29054" xr:uid="{00000000-0005-0000-0000-00009E740000}"/>
    <cellStyle name="Normal 14 2 4 3" xfId="29055" xr:uid="{00000000-0005-0000-0000-00009F740000}"/>
    <cellStyle name="Normal 14 2 4 3 2" xfId="29056" xr:uid="{00000000-0005-0000-0000-0000A0740000}"/>
    <cellStyle name="Normal 14 2 4 3 2 2" xfId="39600" xr:uid="{00000000-0005-0000-0000-0000A1740000}"/>
    <cellStyle name="Normal 14 2 4 3 3" xfId="29057" xr:uid="{00000000-0005-0000-0000-0000A2740000}"/>
    <cellStyle name="Normal 14 2 4 4" xfId="29058" xr:uid="{00000000-0005-0000-0000-0000A3740000}"/>
    <cellStyle name="Normal 14 2 4 4 2" xfId="39601" xr:uid="{00000000-0005-0000-0000-0000A4740000}"/>
    <cellStyle name="Normal 14 2 4 5" xfId="29059" xr:uid="{00000000-0005-0000-0000-0000A5740000}"/>
    <cellStyle name="Normal 14 2 5" xfId="29060" xr:uid="{00000000-0005-0000-0000-0000A6740000}"/>
    <cellStyle name="Normal 14 2 5 2" xfId="29061" xr:uid="{00000000-0005-0000-0000-0000A7740000}"/>
    <cellStyle name="Normal 14 2 5 2 2" xfId="39602" xr:uid="{00000000-0005-0000-0000-0000A8740000}"/>
    <cellStyle name="Normal 14 2 5 3" xfId="29062" xr:uid="{00000000-0005-0000-0000-0000A9740000}"/>
    <cellStyle name="Normal 14 2 6" xfId="29063" xr:uid="{00000000-0005-0000-0000-0000AA740000}"/>
    <cellStyle name="Normal 14 2 6 2" xfId="29064" xr:uid="{00000000-0005-0000-0000-0000AB740000}"/>
    <cellStyle name="Normal 14 2 6 2 2" xfId="39603" xr:uid="{00000000-0005-0000-0000-0000AC740000}"/>
    <cellStyle name="Normal 14 2 6 3" xfId="29065" xr:uid="{00000000-0005-0000-0000-0000AD740000}"/>
    <cellStyle name="Normal 14 2 7" xfId="29066" xr:uid="{00000000-0005-0000-0000-0000AE740000}"/>
    <cellStyle name="Normal 14 2 7 2" xfId="39604" xr:uid="{00000000-0005-0000-0000-0000AF740000}"/>
    <cellStyle name="Normal 14 2 8" xfId="29067" xr:uid="{00000000-0005-0000-0000-0000B0740000}"/>
    <cellStyle name="Normal 14 3" xfId="392" xr:uid="{00000000-0005-0000-0000-0000B1740000}"/>
    <cellStyle name="Normal 14 3 10" xfId="39605" xr:uid="{00000000-0005-0000-0000-0000B2740000}"/>
    <cellStyle name="Normal 14 3 11" xfId="45287" xr:uid="{00000000-0005-0000-0000-0000B3740000}"/>
    <cellStyle name="Normal 14 3 2" xfId="1369" xr:uid="{00000000-0005-0000-0000-0000B4740000}"/>
    <cellStyle name="Normal 14 3 2 2" xfId="29068" xr:uid="{00000000-0005-0000-0000-0000B5740000}"/>
    <cellStyle name="Normal 14 3 2 2 2" xfId="29069" xr:uid="{00000000-0005-0000-0000-0000B6740000}"/>
    <cellStyle name="Normal 14 3 2 2 2 2" xfId="29070" xr:uid="{00000000-0005-0000-0000-0000B7740000}"/>
    <cellStyle name="Normal 14 3 2 2 2 2 2" xfId="29071" xr:uid="{00000000-0005-0000-0000-0000B8740000}"/>
    <cellStyle name="Normal 14 3 2 2 2 2 2 2" xfId="39606" xr:uid="{00000000-0005-0000-0000-0000B9740000}"/>
    <cellStyle name="Normal 14 3 2 2 2 2 3" xfId="29072" xr:uid="{00000000-0005-0000-0000-0000BA740000}"/>
    <cellStyle name="Normal 14 3 2 2 2 3" xfId="29073" xr:uid="{00000000-0005-0000-0000-0000BB740000}"/>
    <cellStyle name="Normal 14 3 2 2 2 3 2" xfId="29074" xr:uid="{00000000-0005-0000-0000-0000BC740000}"/>
    <cellStyle name="Normal 14 3 2 2 2 3 2 2" xfId="39607" xr:uid="{00000000-0005-0000-0000-0000BD740000}"/>
    <cellStyle name="Normal 14 3 2 2 2 3 3" xfId="29075" xr:uid="{00000000-0005-0000-0000-0000BE740000}"/>
    <cellStyle name="Normal 14 3 2 2 2 4" xfId="29076" xr:uid="{00000000-0005-0000-0000-0000BF740000}"/>
    <cellStyle name="Normal 14 3 2 2 2 4 2" xfId="39608" xr:uid="{00000000-0005-0000-0000-0000C0740000}"/>
    <cellStyle name="Normal 14 3 2 2 2 5" xfId="29077" xr:uid="{00000000-0005-0000-0000-0000C1740000}"/>
    <cellStyle name="Normal 14 3 2 2 3" xfId="29078" xr:uid="{00000000-0005-0000-0000-0000C2740000}"/>
    <cellStyle name="Normal 14 3 2 2 3 2" xfId="29079" xr:uid="{00000000-0005-0000-0000-0000C3740000}"/>
    <cellStyle name="Normal 14 3 2 2 3 2 2" xfId="39609" xr:uid="{00000000-0005-0000-0000-0000C4740000}"/>
    <cellStyle name="Normal 14 3 2 2 3 3" xfId="29080" xr:uid="{00000000-0005-0000-0000-0000C5740000}"/>
    <cellStyle name="Normal 14 3 2 2 4" xfId="29081" xr:uid="{00000000-0005-0000-0000-0000C6740000}"/>
    <cellStyle name="Normal 14 3 2 2 4 2" xfId="29082" xr:uid="{00000000-0005-0000-0000-0000C7740000}"/>
    <cellStyle name="Normal 14 3 2 2 4 2 2" xfId="39610" xr:uid="{00000000-0005-0000-0000-0000C8740000}"/>
    <cellStyle name="Normal 14 3 2 2 4 3" xfId="29083" xr:uid="{00000000-0005-0000-0000-0000C9740000}"/>
    <cellStyle name="Normal 14 3 2 2 5" xfId="29084" xr:uid="{00000000-0005-0000-0000-0000CA740000}"/>
    <cellStyle name="Normal 14 3 2 2 5 2" xfId="39611" xr:uid="{00000000-0005-0000-0000-0000CB740000}"/>
    <cellStyle name="Normal 14 3 2 2 6" xfId="29085" xr:uid="{00000000-0005-0000-0000-0000CC740000}"/>
    <cellStyle name="Normal 14 3 2 3" xfId="29086" xr:uid="{00000000-0005-0000-0000-0000CD740000}"/>
    <cellStyle name="Normal 14 3 2 3 2" xfId="29087" xr:uid="{00000000-0005-0000-0000-0000CE740000}"/>
    <cellStyle name="Normal 14 3 2 3 2 2" xfId="29088" xr:uid="{00000000-0005-0000-0000-0000CF740000}"/>
    <cellStyle name="Normal 14 3 2 3 2 2 2" xfId="39612" xr:uid="{00000000-0005-0000-0000-0000D0740000}"/>
    <cellStyle name="Normal 14 3 2 3 2 3" xfId="29089" xr:uid="{00000000-0005-0000-0000-0000D1740000}"/>
    <cellStyle name="Normal 14 3 2 3 3" xfId="29090" xr:uid="{00000000-0005-0000-0000-0000D2740000}"/>
    <cellStyle name="Normal 14 3 2 3 3 2" xfId="29091" xr:uid="{00000000-0005-0000-0000-0000D3740000}"/>
    <cellStyle name="Normal 14 3 2 3 3 2 2" xfId="39613" xr:uid="{00000000-0005-0000-0000-0000D4740000}"/>
    <cellStyle name="Normal 14 3 2 3 3 3" xfId="29092" xr:uid="{00000000-0005-0000-0000-0000D5740000}"/>
    <cellStyle name="Normal 14 3 2 3 4" xfId="29093" xr:uid="{00000000-0005-0000-0000-0000D6740000}"/>
    <cellStyle name="Normal 14 3 2 3 4 2" xfId="39614" xr:uid="{00000000-0005-0000-0000-0000D7740000}"/>
    <cellStyle name="Normal 14 3 2 3 5" xfId="29094" xr:uid="{00000000-0005-0000-0000-0000D8740000}"/>
    <cellStyle name="Normal 14 3 2 4" xfId="29095" xr:uid="{00000000-0005-0000-0000-0000D9740000}"/>
    <cellStyle name="Normal 14 3 2 4 2" xfId="29096" xr:uid="{00000000-0005-0000-0000-0000DA740000}"/>
    <cellStyle name="Normal 14 3 2 4 2 2" xfId="39615" xr:uid="{00000000-0005-0000-0000-0000DB740000}"/>
    <cellStyle name="Normal 14 3 2 4 3" xfId="29097" xr:uid="{00000000-0005-0000-0000-0000DC740000}"/>
    <cellStyle name="Normal 14 3 2 5" xfId="29098" xr:uid="{00000000-0005-0000-0000-0000DD740000}"/>
    <cellStyle name="Normal 14 3 2 5 2" xfId="29099" xr:uid="{00000000-0005-0000-0000-0000DE740000}"/>
    <cellStyle name="Normal 14 3 2 5 2 2" xfId="39616" xr:uid="{00000000-0005-0000-0000-0000DF740000}"/>
    <cellStyle name="Normal 14 3 2 5 3" xfId="29100" xr:uid="{00000000-0005-0000-0000-0000E0740000}"/>
    <cellStyle name="Normal 14 3 2 6" xfId="29101" xr:uid="{00000000-0005-0000-0000-0000E1740000}"/>
    <cellStyle name="Normal 14 3 2 6 2" xfId="39617" xr:uid="{00000000-0005-0000-0000-0000E2740000}"/>
    <cellStyle name="Normal 14 3 2 7" xfId="29102" xr:uid="{00000000-0005-0000-0000-0000E3740000}"/>
    <cellStyle name="Normal 14 3 2 8" xfId="45288" xr:uid="{00000000-0005-0000-0000-0000E4740000}"/>
    <cellStyle name="Normal 14 3 3" xfId="29103" xr:uid="{00000000-0005-0000-0000-0000E5740000}"/>
    <cellStyle name="Normal 14 3 3 2" xfId="29104" xr:uid="{00000000-0005-0000-0000-0000E6740000}"/>
    <cellStyle name="Normal 14 3 3 2 2" xfId="29105" xr:uid="{00000000-0005-0000-0000-0000E7740000}"/>
    <cellStyle name="Normal 14 3 3 2 2 2" xfId="29106" xr:uid="{00000000-0005-0000-0000-0000E8740000}"/>
    <cellStyle name="Normal 14 3 3 2 2 2 2" xfId="39618" xr:uid="{00000000-0005-0000-0000-0000E9740000}"/>
    <cellStyle name="Normal 14 3 3 2 2 3" xfId="29107" xr:uid="{00000000-0005-0000-0000-0000EA740000}"/>
    <cellStyle name="Normal 14 3 3 2 3" xfId="29108" xr:uid="{00000000-0005-0000-0000-0000EB740000}"/>
    <cellStyle name="Normal 14 3 3 2 3 2" xfId="29109" xr:uid="{00000000-0005-0000-0000-0000EC740000}"/>
    <cellStyle name="Normal 14 3 3 2 3 2 2" xfId="39619" xr:uid="{00000000-0005-0000-0000-0000ED740000}"/>
    <cellStyle name="Normal 14 3 3 2 3 3" xfId="29110" xr:uid="{00000000-0005-0000-0000-0000EE740000}"/>
    <cellStyle name="Normal 14 3 3 2 4" xfId="29111" xr:uid="{00000000-0005-0000-0000-0000EF740000}"/>
    <cellStyle name="Normal 14 3 3 2 4 2" xfId="39620" xr:uid="{00000000-0005-0000-0000-0000F0740000}"/>
    <cellStyle name="Normal 14 3 3 2 5" xfId="29112" xr:uid="{00000000-0005-0000-0000-0000F1740000}"/>
    <cellStyle name="Normal 14 3 3 3" xfId="29113" xr:uid="{00000000-0005-0000-0000-0000F2740000}"/>
    <cellStyle name="Normal 14 3 3 3 2" xfId="29114" xr:uid="{00000000-0005-0000-0000-0000F3740000}"/>
    <cellStyle name="Normal 14 3 3 3 2 2" xfId="39621" xr:uid="{00000000-0005-0000-0000-0000F4740000}"/>
    <cellStyle name="Normal 14 3 3 3 3" xfId="29115" xr:uid="{00000000-0005-0000-0000-0000F5740000}"/>
    <cellStyle name="Normal 14 3 3 4" xfId="29116" xr:uid="{00000000-0005-0000-0000-0000F6740000}"/>
    <cellStyle name="Normal 14 3 3 4 2" xfId="29117" xr:uid="{00000000-0005-0000-0000-0000F7740000}"/>
    <cellStyle name="Normal 14 3 3 4 2 2" xfId="39622" xr:uid="{00000000-0005-0000-0000-0000F8740000}"/>
    <cellStyle name="Normal 14 3 3 4 3" xfId="29118" xr:uid="{00000000-0005-0000-0000-0000F9740000}"/>
    <cellStyle name="Normal 14 3 3 5" xfId="29119" xr:uid="{00000000-0005-0000-0000-0000FA740000}"/>
    <cellStyle name="Normal 14 3 3 5 2" xfId="39623" xr:uid="{00000000-0005-0000-0000-0000FB740000}"/>
    <cellStyle name="Normal 14 3 3 6" xfId="29120" xr:uid="{00000000-0005-0000-0000-0000FC740000}"/>
    <cellStyle name="Normal 14 3 4" xfId="29121" xr:uid="{00000000-0005-0000-0000-0000FD740000}"/>
    <cellStyle name="Normal 14 3 4 2" xfId="29122" xr:uid="{00000000-0005-0000-0000-0000FE740000}"/>
    <cellStyle name="Normal 14 3 4 2 2" xfId="29123" xr:uid="{00000000-0005-0000-0000-0000FF740000}"/>
    <cellStyle name="Normal 14 3 4 2 2 2" xfId="39624" xr:uid="{00000000-0005-0000-0000-000000750000}"/>
    <cellStyle name="Normal 14 3 4 2 3" xfId="29124" xr:uid="{00000000-0005-0000-0000-000001750000}"/>
    <cellStyle name="Normal 14 3 4 3" xfId="29125" xr:uid="{00000000-0005-0000-0000-000002750000}"/>
    <cellStyle name="Normal 14 3 4 3 2" xfId="29126" xr:uid="{00000000-0005-0000-0000-000003750000}"/>
    <cellStyle name="Normal 14 3 4 3 2 2" xfId="39625" xr:uid="{00000000-0005-0000-0000-000004750000}"/>
    <cellStyle name="Normal 14 3 4 3 3" xfId="29127" xr:uid="{00000000-0005-0000-0000-000005750000}"/>
    <cellStyle name="Normal 14 3 4 4" xfId="29128" xr:uid="{00000000-0005-0000-0000-000006750000}"/>
    <cellStyle name="Normal 14 3 4 4 2" xfId="39626" xr:uid="{00000000-0005-0000-0000-000007750000}"/>
    <cellStyle name="Normal 14 3 4 5" xfId="29129" xr:uid="{00000000-0005-0000-0000-000008750000}"/>
    <cellStyle name="Normal 14 3 5" xfId="29130" xr:uid="{00000000-0005-0000-0000-000009750000}"/>
    <cellStyle name="Normal 14 3 5 2" xfId="29131" xr:uid="{00000000-0005-0000-0000-00000A750000}"/>
    <cellStyle name="Normal 14 3 5 2 2" xfId="39627" xr:uid="{00000000-0005-0000-0000-00000B750000}"/>
    <cellStyle name="Normal 14 3 5 3" xfId="29132" xr:uid="{00000000-0005-0000-0000-00000C750000}"/>
    <cellStyle name="Normal 14 3 6" xfId="29133" xr:uid="{00000000-0005-0000-0000-00000D750000}"/>
    <cellStyle name="Normal 14 3 6 2" xfId="29134" xr:uid="{00000000-0005-0000-0000-00000E750000}"/>
    <cellStyle name="Normal 14 3 6 2 2" xfId="39628" xr:uid="{00000000-0005-0000-0000-00000F750000}"/>
    <cellStyle name="Normal 14 3 6 3" xfId="29135" xr:uid="{00000000-0005-0000-0000-000010750000}"/>
    <cellStyle name="Normal 14 3 7" xfId="29136" xr:uid="{00000000-0005-0000-0000-000011750000}"/>
    <cellStyle name="Normal 14 3 7 2" xfId="39629" xr:uid="{00000000-0005-0000-0000-000012750000}"/>
    <cellStyle name="Normal 14 3 8" xfId="29137" xr:uid="{00000000-0005-0000-0000-000013750000}"/>
    <cellStyle name="Normal 14 3 8 2" xfId="39630" xr:uid="{00000000-0005-0000-0000-000014750000}"/>
    <cellStyle name="Normal 14 3 9" xfId="39631" xr:uid="{00000000-0005-0000-0000-000015750000}"/>
    <cellStyle name="Normal 14 4" xfId="393" xr:uid="{00000000-0005-0000-0000-000016750000}"/>
    <cellStyle name="Normal 14 4 2" xfId="29138" xr:uid="{00000000-0005-0000-0000-000017750000}"/>
    <cellStyle name="Normal 14 4 2 2" xfId="29139" xr:uid="{00000000-0005-0000-0000-000018750000}"/>
    <cellStyle name="Normal 14 4 2 2 2" xfId="29140" xr:uid="{00000000-0005-0000-0000-000019750000}"/>
    <cellStyle name="Normal 14 4 2 2 2 2" xfId="29141" xr:uid="{00000000-0005-0000-0000-00001A750000}"/>
    <cellStyle name="Normal 14 4 2 2 2 2 2" xfId="39632" xr:uid="{00000000-0005-0000-0000-00001B750000}"/>
    <cellStyle name="Normal 14 4 2 2 2 3" xfId="29142" xr:uid="{00000000-0005-0000-0000-00001C750000}"/>
    <cellStyle name="Normal 14 4 2 2 3" xfId="29143" xr:uid="{00000000-0005-0000-0000-00001D750000}"/>
    <cellStyle name="Normal 14 4 2 2 3 2" xfId="29144" xr:uid="{00000000-0005-0000-0000-00001E750000}"/>
    <cellStyle name="Normal 14 4 2 2 3 2 2" xfId="39633" xr:uid="{00000000-0005-0000-0000-00001F750000}"/>
    <cellStyle name="Normal 14 4 2 2 3 3" xfId="29145" xr:uid="{00000000-0005-0000-0000-000020750000}"/>
    <cellStyle name="Normal 14 4 2 2 4" xfId="29146" xr:uid="{00000000-0005-0000-0000-000021750000}"/>
    <cellStyle name="Normal 14 4 2 2 4 2" xfId="39634" xr:uid="{00000000-0005-0000-0000-000022750000}"/>
    <cellStyle name="Normal 14 4 2 2 5" xfId="29147" xr:uid="{00000000-0005-0000-0000-000023750000}"/>
    <cellStyle name="Normal 14 4 2 3" xfId="29148" xr:uid="{00000000-0005-0000-0000-000024750000}"/>
    <cellStyle name="Normal 14 4 2 3 2" xfId="29149" xr:uid="{00000000-0005-0000-0000-000025750000}"/>
    <cellStyle name="Normal 14 4 2 3 2 2" xfId="39635" xr:uid="{00000000-0005-0000-0000-000026750000}"/>
    <cellStyle name="Normal 14 4 2 3 3" xfId="29150" xr:uid="{00000000-0005-0000-0000-000027750000}"/>
    <cellStyle name="Normal 14 4 2 4" xfId="29151" xr:uid="{00000000-0005-0000-0000-000028750000}"/>
    <cellStyle name="Normal 14 4 2 4 2" xfId="29152" xr:uid="{00000000-0005-0000-0000-000029750000}"/>
    <cellStyle name="Normal 14 4 2 4 2 2" xfId="39636" xr:uid="{00000000-0005-0000-0000-00002A750000}"/>
    <cellStyle name="Normal 14 4 2 4 3" xfId="29153" xr:uid="{00000000-0005-0000-0000-00002B750000}"/>
    <cellStyle name="Normal 14 4 2 5" xfId="29154" xr:uid="{00000000-0005-0000-0000-00002C750000}"/>
    <cellStyle name="Normal 14 4 2 5 2" xfId="39637" xr:uid="{00000000-0005-0000-0000-00002D750000}"/>
    <cellStyle name="Normal 14 4 2 6" xfId="29155" xr:uid="{00000000-0005-0000-0000-00002E750000}"/>
    <cellStyle name="Normal 14 4 2 7" xfId="29156" xr:uid="{00000000-0005-0000-0000-00002F750000}"/>
    <cellStyle name="Normal 14 4 2 8" xfId="44578" xr:uid="{00000000-0005-0000-0000-000030750000}"/>
    <cellStyle name="Normal 14 4 3" xfId="29157" xr:uid="{00000000-0005-0000-0000-000031750000}"/>
    <cellStyle name="Normal 14 4 3 2" xfId="29158" xr:uid="{00000000-0005-0000-0000-000032750000}"/>
    <cellStyle name="Normal 14 4 3 2 2" xfId="29159" xr:uid="{00000000-0005-0000-0000-000033750000}"/>
    <cellStyle name="Normal 14 4 3 2 2 2" xfId="39638" xr:uid="{00000000-0005-0000-0000-000034750000}"/>
    <cellStyle name="Normal 14 4 3 2 3" xfId="29160" xr:uid="{00000000-0005-0000-0000-000035750000}"/>
    <cellStyle name="Normal 14 4 3 3" xfId="29161" xr:uid="{00000000-0005-0000-0000-000036750000}"/>
    <cellStyle name="Normal 14 4 3 3 2" xfId="29162" xr:uid="{00000000-0005-0000-0000-000037750000}"/>
    <cellStyle name="Normal 14 4 3 3 2 2" xfId="39639" xr:uid="{00000000-0005-0000-0000-000038750000}"/>
    <cellStyle name="Normal 14 4 3 3 3" xfId="29163" xr:uid="{00000000-0005-0000-0000-000039750000}"/>
    <cellStyle name="Normal 14 4 3 4" xfId="29164" xr:uid="{00000000-0005-0000-0000-00003A750000}"/>
    <cellStyle name="Normal 14 4 3 4 2" xfId="39640" xr:uid="{00000000-0005-0000-0000-00003B750000}"/>
    <cellStyle name="Normal 14 4 3 5" xfId="29165" xr:uid="{00000000-0005-0000-0000-00003C750000}"/>
    <cellStyle name="Normal 14 4 4" xfId="29166" xr:uid="{00000000-0005-0000-0000-00003D750000}"/>
    <cellStyle name="Normal 14 4 4 2" xfId="29167" xr:uid="{00000000-0005-0000-0000-00003E750000}"/>
    <cellStyle name="Normal 14 4 4 2 2" xfId="39641" xr:uid="{00000000-0005-0000-0000-00003F750000}"/>
    <cellStyle name="Normal 14 4 4 3" xfId="29168" xr:uid="{00000000-0005-0000-0000-000040750000}"/>
    <cellStyle name="Normal 14 4 5" xfId="29169" xr:uid="{00000000-0005-0000-0000-000041750000}"/>
    <cellStyle name="Normal 14 4 5 2" xfId="29170" xr:uid="{00000000-0005-0000-0000-000042750000}"/>
    <cellStyle name="Normal 14 4 5 2 2" xfId="39642" xr:uid="{00000000-0005-0000-0000-000043750000}"/>
    <cellStyle name="Normal 14 4 5 3" xfId="29171" xr:uid="{00000000-0005-0000-0000-000044750000}"/>
    <cellStyle name="Normal 14 4 6" xfId="29172" xr:uid="{00000000-0005-0000-0000-000045750000}"/>
    <cellStyle name="Normal 14 4 6 2" xfId="39643" xr:uid="{00000000-0005-0000-0000-000046750000}"/>
    <cellStyle name="Normal 14 4 7" xfId="29173" xr:uid="{00000000-0005-0000-0000-000047750000}"/>
    <cellStyle name="Normal 14 4 8" xfId="39644" xr:uid="{00000000-0005-0000-0000-000048750000}"/>
    <cellStyle name="Normal 14 5" xfId="1370" xr:uid="{00000000-0005-0000-0000-000049750000}"/>
    <cellStyle name="Normal 14 5 2" xfId="29174" xr:uid="{00000000-0005-0000-0000-00004A750000}"/>
    <cellStyle name="Normal 14 5 2 2" xfId="29175" xr:uid="{00000000-0005-0000-0000-00004B750000}"/>
    <cellStyle name="Normal 14 5 2 2 2" xfId="29176" xr:uid="{00000000-0005-0000-0000-00004C750000}"/>
    <cellStyle name="Normal 14 5 2 2 2 2" xfId="39645" xr:uid="{00000000-0005-0000-0000-00004D750000}"/>
    <cellStyle name="Normal 14 5 2 2 3" xfId="29177" xr:uid="{00000000-0005-0000-0000-00004E750000}"/>
    <cellStyle name="Normal 14 5 2 3" xfId="29178" xr:uid="{00000000-0005-0000-0000-00004F750000}"/>
    <cellStyle name="Normal 14 5 2 3 2" xfId="29179" xr:uid="{00000000-0005-0000-0000-000050750000}"/>
    <cellStyle name="Normal 14 5 2 3 2 2" xfId="39646" xr:uid="{00000000-0005-0000-0000-000051750000}"/>
    <cellStyle name="Normal 14 5 2 3 3" xfId="29180" xr:uid="{00000000-0005-0000-0000-000052750000}"/>
    <cellStyle name="Normal 14 5 2 4" xfId="29181" xr:uid="{00000000-0005-0000-0000-000053750000}"/>
    <cellStyle name="Normal 14 5 2 4 2" xfId="39647" xr:uid="{00000000-0005-0000-0000-000054750000}"/>
    <cellStyle name="Normal 14 5 2 5" xfId="29182" xr:uid="{00000000-0005-0000-0000-000055750000}"/>
    <cellStyle name="Normal 14 5 2 6" xfId="29183" xr:uid="{00000000-0005-0000-0000-000056750000}"/>
    <cellStyle name="Normal 14 5 2 7" xfId="44579" xr:uid="{00000000-0005-0000-0000-000057750000}"/>
    <cellStyle name="Normal 14 5 3" xfId="29184" xr:uid="{00000000-0005-0000-0000-000058750000}"/>
    <cellStyle name="Normal 14 5 3 2" xfId="29185" xr:uid="{00000000-0005-0000-0000-000059750000}"/>
    <cellStyle name="Normal 14 5 3 2 2" xfId="39648" xr:uid="{00000000-0005-0000-0000-00005A750000}"/>
    <cellStyle name="Normal 14 5 3 3" xfId="29186" xr:uid="{00000000-0005-0000-0000-00005B750000}"/>
    <cellStyle name="Normal 14 5 4" xfId="29187" xr:uid="{00000000-0005-0000-0000-00005C750000}"/>
    <cellStyle name="Normal 14 5 4 2" xfId="29188" xr:uid="{00000000-0005-0000-0000-00005D750000}"/>
    <cellStyle name="Normal 14 5 4 2 2" xfId="39649" xr:uid="{00000000-0005-0000-0000-00005E750000}"/>
    <cellStyle name="Normal 14 5 4 3" xfId="29189" xr:uid="{00000000-0005-0000-0000-00005F750000}"/>
    <cellStyle name="Normal 14 5 5" xfId="29190" xr:uid="{00000000-0005-0000-0000-000060750000}"/>
    <cellStyle name="Normal 14 5 5 2" xfId="39650" xr:uid="{00000000-0005-0000-0000-000061750000}"/>
    <cellStyle name="Normal 14 5 6" xfId="29191" xr:uid="{00000000-0005-0000-0000-000062750000}"/>
    <cellStyle name="Normal 14 5 7" xfId="39651" xr:uid="{00000000-0005-0000-0000-000063750000}"/>
    <cellStyle name="Normal 14 6" xfId="29192" xr:uid="{00000000-0005-0000-0000-000064750000}"/>
    <cellStyle name="Normal 14 6 2" xfId="29193" xr:uid="{00000000-0005-0000-0000-000065750000}"/>
    <cellStyle name="Normal 14 6 2 2" xfId="29194" xr:uid="{00000000-0005-0000-0000-000066750000}"/>
    <cellStyle name="Normal 14 6 2 2 2" xfId="39652" xr:uid="{00000000-0005-0000-0000-000067750000}"/>
    <cellStyle name="Normal 14 6 2 3" xfId="29195" xr:uid="{00000000-0005-0000-0000-000068750000}"/>
    <cellStyle name="Normal 14 6 3" xfId="29196" xr:uid="{00000000-0005-0000-0000-000069750000}"/>
    <cellStyle name="Normal 14 6 3 2" xfId="29197" xr:uid="{00000000-0005-0000-0000-00006A750000}"/>
    <cellStyle name="Normal 14 6 3 2 2" xfId="39653" xr:uid="{00000000-0005-0000-0000-00006B750000}"/>
    <cellStyle name="Normal 14 6 3 3" xfId="29198" xr:uid="{00000000-0005-0000-0000-00006C750000}"/>
    <cellStyle name="Normal 14 6 4" xfId="29199" xr:uid="{00000000-0005-0000-0000-00006D750000}"/>
    <cellStyle name="Normal 14 6 4 2" xfId="39654" xr:uid="{00000000-0005-0000-0000-00006E750000}"/>
    <cellStyle name="Normal 14 6 5" xfId="29200" xr:uid="{00000000-0005-0000-0000-00006F750000}"/>
    <cellStyle name="Normal 14 7" xfId="29201" xr:uid="{00000000-0005-0000-0000-000070750000}"/>
    <cellStyle name="Normal 14 7 2" xfId="29202" xr:uid="{00000000-0005-0000-0000-000071750000}"/>
    <cellStyle name="Normal 14 7 2 2" xfId="39655" xr:uid="{00000000-0005-0000-0000-000072750000}"/>
    <cellStyle name="Normal 14 7 3" xfId="29203" xr:uid="{00000000-0005-0000-0000-000073750000}"/>
    <cellStyle name="Normal 14 7 4" xfId="29204" xr:uid="{00000000-0005-0000-0000-000074750000}"/>
    <cellStyle name="Normal 14 7 5" xfId="44580" xr:uid="{00000000-0005-0000-0000-000075750000}"/>
    <cellStyle name="Normal 14 8" xfId="29205" xr:uid="{00000000-0005-0000-0000-000076750000}"/>
    <cellStyle name="Normal 14 8 2" xfId="29206" xr:uid="{00000000-0005-0000-0000-000077750000}"/>
    <cellStyle name="Normal 14 8 2 2" xfId="39656" xr:uid="{00000000-0005-0000-0000-000078750000}"/>
    <cellStyle name="Normal 14 8 3" xfId="29207" xr:uid="{00000000-0005-0000-0000-000079750000}"/>
    <cellStyle name="Normal 14 9" xfId="29208" xr:uid="{00000000-0005-0000-0000-00007A750000}"/>
    <cellStyle name="Normal 14 9 2" xfId="39657" xr:uid="{00000000-0005-0000-0000-00007B750000}"/>
    <cellStyle name="Normal 14_2112 2148 Reg Labor" xfId="29209" xr:uid="{00000000-0005-0000-0000-00007C750000}"/>
    <cellStyle name="Normal 140" xfId="29210" xr:uid="{00000000-0005-0000-0000-00007D750000}"/>
    <cellStyle name="Normal 141" xfId="29211" xr:uid="{00000000-0005-0000-0000-00007E750000}"/>
    <cellStyle name="Normal 142" xfId="29212" xr:uid="{00000000-0005-0000-0000-00007F750000}"/>
    <cellStyle name="Normal 143" xfId="29213" xr:uid="{00000000-0005-0000-0000-000080750000}"/>
    <cellStyle name="Normal 144" xfId="39658" xr:uid="{00000000-0005-0000-0000-000081750000}"/>
    <cellStyle name="Normal 144 2" xfId="46309" xr:uid="{00000000-0005-0000-0000-000082750000}"/>
    <cellStyle name="Normal 145" xfId="43896" xr:uid="{00000000-0005-0000-0000-000083750000}"/>
    <cellStyle name="Normal 146" xfId="43877" xr:uid="{00000000-0005-0000-0000-000084750000}"/>
    <cellStyle name="Normal 147" xfId="43876" xr:uid="{00000000-0005-0000-0000-000085750000}"/>
    <cellStyle name="Normal 148" xfId="43878" xr:uid="{00000000-0005-0000-0000-000086750000}"/>
    <cellStyle name="Normal 149" xfId="43879" xr:uid="{00000000-0005-0000-0000-000087750000}"/>
    <cellStyle name="Normal 15" xfId="72" xr:uid="{00000000-0005-0000-0000-000088750000}"/>
    <cellStyle name="Normal 15 10" xfId="46229" xr:uid="{00000000-0005-0000-0000-000089750000}"/>
    <cellStyle name="Normal 15 2" xfId="394" xr:uid="{00000000-0005-0000-0000-00008A750000}"/>
    <cellStyle name="Normal 15 2 2" xfId="626" xr:uid="{00000000-0005-0000-0000-00008B750000}"/>
    <cellStyle name="Normal 15 2 2 2" xfId="1371" xr:uid="{00000000-0005-0000-0000-00008C750000}"/>
    <cellStyle name="Normal 15 2 2 2 2" xfId="39659" xr:uid="{00000000-0005-0000-0000-00008D750000}"/>
    <cellStyle name="Normal 15 2 2 3" xfId="29214" xr:uid="{00000000-0005-0000-0000-00008E750000}"/>
    <cellStyle name="Normal 15 2 2 4" xfId="45289" xr:uid="{00000000-0005-0000-0000-00008F750000}"/>
    <cellStyle name="Normal 15 2 3" xfId="1372" xr:uid="{00000000-0005-0000-0000-000090750000}"/>
    <cellStyle name="Normal 15 2 3 2" xfId="39660" xr:uid="{00000000-0005-0000-0000-000091750000}"/>
    <cellStyle name="Normal 15 2 4" xfId="29215" xr:uid="{00000000-0005-0000-0000-000092750000}"/>
    <cellStyle name="Normal 15 3" xfId="395" xr:uid="{00000000-0005-0000-0000-000093750000}"/>
    <cellStyle name="Normal 15 3 2" xfId="1373" xr:uid="{00000000-0005-0000-0000-000094750000}"/>
    <cellStyle name="Normal 15 3 2 2" xfId="29216" xr:uid="{00000000-0005-0000-0000-000095750000}"/>
    <cellStyle name="Normal 15 3 3" xfId="29217" xr:uid="{00000000-0005-0000-0000-000096750000}"/>
    <cellStyle name="Normal 15 3 3 2" xfId="29218" xr:uid="{00000000-0005-0000-0000-000097750000}"/>
    <cellStyle name="Normal 15 3 3 3" xfId="44581" xr:uid="{00000000-0005-0000-0000-000098750000}"/>
    <cellStyle name="Normal 15 3 4" xfId="39661" xr:uid="{00000000-0005-0000-0000-000099750000}"/>
    <cellStyle name="Normal 15 3 5" xfId="39662" xr:uid="{00000000-0005-0000-0000-00009A750000}"/>
    <cellStyle name="Normal 15 4" xfId="396" xr:uid="{00000000-0005-0000-0000-00009B750000}"/>
    <cellStyle name="Normal 15 4 2" xfId="29219" xr:uid="{00000000-0005-0000-0000-00009C750000}"/>
    <cellStyle name="Normal 15 4 2 2" xfId="39663" xr:uid="{00000000-0005-0000-0000-00009D750000}"/>
    <cellStyle name="Normal 15 4 3" xfId="39664" xr:uid="{00000000-0005-0000-0000-00009E750000}"/>
    <cellStyle name="Normal 15 4 4" xfId="39665" xr:uid="{00000000-0005-0000-0000-00009F750000}"/>
    <cellStyle name="Normal 15 4 5" xfId="45290" xr:uid="{00000000-0005-0000-0000-0000A0750000}"/>
    <cellStyle name="Normal 15 5" xfId="1374" xr:uid="{00000000-0005-0000-0000-0000A1750000}"/>
    <cellStyle name="Normal 15 5 2" xfId="29220" xr:uid="{00000000-0005-0000-0000-0000A2750000}"/>
    <cellStyle name="Normal 15 5 3" xfId="39666" xr:uid="{00000000-0005-0000-0000-0000A3750000}"/>
    <cellStyle name="Normal 15 6" xfId="29221" xr:uid="{00000000-0005-0000-0000-0000A4750000}"/>
    <cellStyle name="Normal 15 6 2" xfId="29222" xr:uid="{00000000-0005-0000-0000-0000A5750000}"/>
    <cellStyle name="Normal 15 6 3" xfId="42473" xr:uid="{00000000-0005-0000-0000-0000A6750000}"/>
    <cellStyle name="Normal 15 6 4" xfId="45291" xr:uid="{00000000-0005-0000-0000-0000A7750000}"/>
    <cellStyle name="Normal 15 7" xfId="29223" xr:uid="{00000000-0005-0000-0000-0000A8750000}"/>
    <cellStyle name="Normal 15 8" xfId="29224" xr:uid="{00000000-0005-0000-0000-0000A9750000}"/>
    <cellStyle name="Normal 15 9" xfId="29225" xr:uid="{00000000-0005-0000-0000-0000AA750000}"/>
    <cellStyle name="Normal 15_2112 2148 Reg Labor" xfId="29226" xr:uid="{00000000-0005-0000-0000-0000AB750000}"/>
    <cellStyle name="Normal 150" xfId="43880" xr:uid="{00000000-0005-0000-0000-0000AC750000}"/>
    <cellStyle name="Normal 151" xfId="43897" xr:uid="{00000000-0005-0000-0000-0000AD750000}"/>
    <cellStyle name="Normal 152" xfId="43881" xr:uid="{00000000-0005-0000-0000-0000AE750000}"/>
    <cellStyle name="Normal 153" xfId="43882" xr:uid="{00000000-0005-0000-0000-0000AF750000}"/>
    <cellStyle name="Normal 154" xfId="43883" xr:uid="{00000000-0005-0000-0000-0000B0750000}"/>
    <cellStyle name="Normal 155" xfId="45292" xr:uid="{00000000-0005-0000-0000-0000B1750000}"/>
    <cellStyle name="Normal 156" xfId="45293" xr:uid="{00000000-0005-0000-0000-0000B2750000}"/>
    <cellStyle name="Normal 157" xfId="45294" xr:uid="{00000000-0005-0000-0000-0000B3750000}"/>
    <cellStyle name="Normal 158" xfId="45295" xr:uid="{00000000-0005-0000-0000-0000B4750000}"/>
    <cellStyle name="Normal 159" xfId="45296" xr:uid="{00000000-0005-0000-0000-0000B5750000}"/>
    <cellStyle name="Normal 16" xfId="77" xr:uid="{00000000-0005-0000-0000-0000B6750000}"/>
    <cellStyle name="Normal 16 10" xfId="29227" xr:uid="{00000000-0005-0000-0000-0000B7750000}"/>
    <cellStyle name="Normal 16 11" xfId="39667" xr:uid="{00000000-0005-0000-0000-0000B8750000}"/>
    <cellStyle name="Normal 16 12" xfId="46293" xr:uid="{00000000-0005-0000-0000-0000B9750000}"/>
    <cellStyle name="Normal 16 2" xfId="397" xr:uid="{00000000-0005-0000-0000-0000BA750000}"/>
    <cellStyle name="Normal 16 2 2" xfId="1375" xr:uid="{00000000-0005-0000-0000-0000BB750000}"/>
    <cellStyle name="Normal 16 2 2 2" xfId="1376" xr:uid="{00000000-0005-0000-0000-0000BC750000}"/>
    <cellStyle name="Normal 16 2 2 2 2" xfId="39668" xr:uid="{00000000-0005-0000-0000-0000BD750000}"/>
    <cellStyle name="Normal 16 2 2 3" xfId="29228" xr:uid="{00000000-0005-0000-0000-0000BE750000}"/>
    <cellStyle name="Normal 16 2 3" xfId="1377" xr:uid="{00000000-0005-0000-0000-0000BF750000}"/>
    <cellStyle name="Normal 16 2 3 2" xfId="39669" xr:uid="{00000000-0005-0000-0000-0000C0750000}"/>
    <cellStyle name="Normal 16 2 4" xfId="29229" xr:uid="{00000000-0005-0000-0000-0000C1750000}"/>
    <cellStyle name="Normal 16 3" xfId="398" xr:uid="{00000000-0005-0000-0000-0000C2750000}"/>
    <cellStyle name="Normal 16 3 10" xfId="39670" xr:uid="{00000000-0005-0000-0000-0000C3750000}"/>
    <cellStyle name="Normal 16 3 2" xfId="1378" xr:uid="{00000000-0005-0000-0000-0000C4750000}"/>
    <cellStyle name="Normal 16 3 2 2" xfId="1379" xr:uid="{00000000-0005-0000-0000-0000C5750000}"/>
    <cellStyle name="Normal 16 3 2 2 2" xfId="29230" xr:uid="{00000000-0005-0000-0000-0000C6750000}"/>
    <cellStyle name="Normal 16 3 2 2 2 2" xfId="29231" xr:uid="{00000000-0005-0000-0000-0000C7750000}"/>
    <cellStyle name="Normal 16 3 2 2 2 2 2" xfId="29232" xr:uid="{00000000-0005-0000-0000-0000C8750000}"/>
    <cellStyle name="Normal 16 3 2 2 2 2 2 2" xfId="39671" xr:uid="{00000000-0005-0000-0000-0000C9750000}"/>
    <cellStyle name="Normal 16 3 2 2 2 2 3" xfId="29233" xr:uid="{00000000-0005-0000-0000-0000CA750000}"/>
    <cellStyle name="Normal 16 3 2 2 2 3" xfId="29234" xr:uid="{00000000-0005-0000-0000-0000CB750000}"/>
    <cellStyle name="Normal 16 3 2 2 2 3 2" xfId="29235" xr:uid="{00000000-0005-0000-0000-0000CC750000}"/>
    <cellStyle name="Normal 16 3 2 2 2 3 2 2" xfId="39672" xr:uid="{00000000-0005-0000-0000-0000CD750000}"/>
    <cellStyle name="Normal 16 3 2 2 2 3 3" xfId="29236" xr:uid="{00000000-0005-0000-0000-0000CE750000}"/>
    <cellStyle name="Normal 16 3 2 2 2 4" xfId="29237" xr:uid="{00000000-0005-0000-0000-0000CF750000}"/>
    <cellStyle name="Normal 16 3 2 2 2 4 2" xfId="39673" xr:uid="{00000000-0005-0000-0000-0000D0750000}"/>
    <cellStyle name="Normal 16 3 2 2 2 5" xfId="29238" xr:uid="{00000000-0005-0000-0000-0000D1750000}"/>
    <cellStyle name="Normal 16 3 2 2 3" xfId="29239" xr:uid="{00000000-0005-0000-0000-0000D2750000}"/>
    <cellStyle name="Normal 16 3 2 2 3 2" xfId="29240" xr:uid="{00000000-0005-0000-0000-0000D3750000}"/>
    <cellStyle name="Normal 16 3 2 2 3 2 2" xfId="39674" xr:uid="{00000000-0005-0000-0000-0000D4750000}"/>
    <cellStyle name="Normal 16 3 2 2 3 3" xfId="29241" xr:uid="{00000000-0005-0000-0000-0000D5750000}"/>
    <cellStyle name="Normal 16 3 2 2 4" xfId="29242" xr:uid="{00000000-0005-0000-0000-0000D6750000}"/>
    <cellStyle name="Normal 16 3 2 2 4 2" xfId="29243" xr:uid="{00000000-0005-0000-0000-0000D7750000}"/>
    <cellStyle name="Normal 16 3 2 2 4 2 2" xfId="39675" xr:uid="{00000000-0005-0000-0000-0000D8750000}"/>
    <cellStyle name="Normal 16 3 2 2 4 3" xfId="29244" xr:uid="{00000000-0005-0000-0000-0000D9750000}"/>
    <cellStyle name="Normal 16 3 2 2 5" xfId="29245" xr:uid="{00000000-0005-0000-0000-0000DA750000}"/>
    <cellStyle name="Normal 16 3 2 2 5 2" xfId="39676" xr:uid="{00000000-0005-0000-0000-0000DB750000}"/>
    <cellStyle name="Normal 16 3 2 2 6" xfId="29246" xr:uid="{00000000-0005-0000-0000-0000DC750000}"/>
    <cellStyle name="Normal 16 3 2 2 7" xfId="45297" xr:uid="{00000000-0005-0000-0000-0000DD750000}"/>
    <cellStyle name="Normal 16 3 2 3" xfId="29247" xr:uid="{00000000-0005-0000-0000-0000DE750000}"/>
    <cellStyle name="Normal 16 3 2 3 2" xfId="29248" xr:uid="{00000000-0005-0000-0000-0000DF750000}"/>
    <cellStyle name="Normal 16 3 2 3 2 2" xfId="29249" xr:uid="{00000000-0005-0000-0000-0000E0750000}"/>
    <cellStyle name="Normal 16 3 2 3 2 2 2" xfId="39677" xr:uid="{00000000-0005-0000-0000-0000E1750000}"/>
    <cellStyle name="Normal 16 3 2 3 2 3" xfId="29250" xr:uid="{00000000-0005-0000-0000-0000E2750000}"/>
    <cellStyle name="Normal 16 3 2 3 3" xfId="29251" xr:uid="{00000000-0005-0000-0000-0000E3750000}"/>
    <cellStyle name="Normal 16 3 2 3 3 2" xfId="29252" xr:uid="{00000000-0005-0000-0000-0000E4750000}"/>
    <cellStyle name="Normal 16 3 2 3 3 2 2" xfId="39678" xr:uid="{00000000-0005-0000-0000-0000E5750000}"/>
    <cellStyle name="Normal 16 3 2 3 3 3" xfId="29253" xr:uid="{00000000-0005-0000-0000-0000E6750000}"/>
    <cellStyle name="Normal 16 3 2 3 4" xfId="29254" xr:uid="{00000000-0005-0000-0000-0000E7750000}"/>
    <cellStyle name="Normal 16 3 2 3 4 2" xfId="39679" xr:uid="{00000000-0005-0000-0000-0000E8750000}"/>
    <cellStyle name="Normal 16 3 2 3 5" xfId="29255" xr:uid="{00000000-0005-0000-0000-0000E9750000}"/>
    <cellStyle name="Normal 16 3 2 4" xfId="29256" xr:uid="{00000000-0005-0000-0000-0000EA750000}"/>
    <cellStyle name="Normal 16 3 2 4 2" xfId="29257" xr:uid="{00000000-0005-0000-0000-0000EB750000}"/>
    <cellStyle name="Normal 16 3 2 4 2 2" xfId="39680" xr:uid="{00000000-0005-0000-0000-0000EC750000}"/>
    <cellStyle name="Normal 16 3 2 4 3" xfId="29258" xr:uid="{00000000-0005-0000-0000-0000ED750000}"/>
    <cellStyle name="Normal 16 3 2 5" xfId="29259" xr:uid="{00000000-0005-0000-0000-0000EE750000}"/>
    <cellStyle name="Normal 16 3 2 5 2" xfId="29260" xr:uid="{00000000-0005-0000-0000-0000EF750000}"/>
    <cellStyle name="Normal 16 3 2 5 2 2" xfId="39681" xr:uid="{00000000-0005-0000-0000-0000F0750000}"/>
    <cellStyle name="Normal 16 3 2 5 3" xfId="29261" xr:uid="{00000000-0005-0000-0000-0000F1750000}"/>
    <cellStyle name="Normal 16 3 2 6" xfId="29262" xr:uid="{00000000-0005-0000-0000-0000F2750000}"/>
    <cellStyle name="Normal 16 3 2 6 2" xfId="39682" xr:uid="{00000000-0005-0000-0000-0000F3750000}"/>
    <cellStyle name="Normal 16 3 2 7" xfId="29263" xr:uid="{00000000-0005-0000-0000-0000F4750000}"/>
    <cellStyle name="Normal 16 3 2 8" xfId="45298" xr:uid="{00000000-0005-0000-0000-0000F5750000}"/>
    <cellStyle name="Normal 16 3 3" xfId="1380" xr:uid="{00000000-0005-0000-0000-0000F6750000}"/>
    <cellStyle name="Normal 16 3 3 2" xfId="29264" xr:uid="{00000000-0005-0000-0000-0000F7750000}"/>
    <cellStyle name="Normal 16 3 3 2 2" xfId="29265" xr:uid="{00000000-0005-0000-0000-0000F8750000}"/>
    <cellStyle name="Normal 16 3 3 2 2 2" xfId="29266" xr:uid="{00000000-0005-0000-0000-0000F9750000}"/>
    <cellStyle name="Normal 16 3 3 2 2 2 2" xfId="39683" xr:uid="{00000000-0005-0000-0000-0000FA750000}"/>
    <cellStyle name="Normal 16 3 3 2 2 3" xfId="29267" xr:uid="{00000000-0005-0000-0000-0000FB750000}"/>
    <cellStyle name="Normal 16 3 3 2 3" xfId="29268" xr:uid="{00000000-0005-0000-0000-0000FC750000}"/>
    <cellStyle name="Normal 16 3 3 2 3 2" xfId="29269" xr:uid="{00000000-0005-0000-0000-0000FD750000}"/>
    <cellStyle name="Normal 16 3 3 2 3 2 2" xfId="39684" xr:uid="{00000000-0005-0000-0000-0000FE750000}"/>
    <cellStyle name="Normal 16 3 3 2 3 3" xfId="29270" xr:uid="{00000000-0005-0000-0000-0000FF750000}"/>
    <cellStyle name="Normal 16 3 3 2 4" xfId="29271" xr:uid="{00000000-0005-0000-0000-000000760000}"/>
    <cellStyle name="Normal 16 3 3 2 4 2" xfId="39685" xr:uid="{00000000-0005-0000-0000-000001760000}"/>
    <cellStyle name="Normal 16 3 3 2 5" xfId="29272" xr:uid="{00000000-0005-0000-0000-000002760000}"/>
    <cellStyle name="Normal 16 3 3 3" xfId="29273" xr:uid="{00000000-0005-0000-0000-000003760000}"/>
    <cellStyle name="Normal 16 3 3 3 2" xfId="29274" xr:uid="{00000000-0005-0000-0000-000004760000}"/>
    <cellStyle name="Normal 16 3 3 3 2 2" xfId="39686" xr:uid="{00000000-0005-0000-0000-000005760000}"/>
    <cellStyle name="Normal 16 3 3 3 3" xfId="29275" xr:uid="{00000000-0005-0000-0000-000006760000}"/>
    <cellStyle name="Normal 16 3 3 4" xfId="29276" xr:uid="{00000000-0005-0000-0000-000007760000}"/>
    <cellStyle name="Normal 16 3 3 4 2" xfId="29277" xr:uid="{00000000-0005-0000-0000-000008760000}"/>
    <cellStyle name="Normal 16 3 3 4 2 2" xfId="39687" xr:uid="{00000000-0005-0000-0000-000009760000}"/>
    <cellStyle name="Normal 16 3 3 4 3" xfId="29278" xr:uid="{00000000-0005-0000-0000-00000A760000}"/>
    <cellStyle name="Normal 16 3 3 5" xfId="29279" xr:uid="{00000000-0005-0000-0000-00000B760000}"/>
    <cellStyle name="Normal 16 3 3 5 2" xfId="39688" xr:uid="{00000000-0005-0000-0000-00000C760000}"/>
    <cellStyle name="Normal 16 3 3 6" xfId="29280" xr:uid="{00000000-0005-0000-0000-00000D760000}"/>
    <cellStyle name="Normal 16 3 3 7" xfId="45299" xr:uid="{00000000-0005-0000-0000-00000E760000}"/>
    <cellStyle name="Normal 16 3 4" xfId="29281" xr:uid="{00000000-0005-0000-0000-00000F760000}"/>
    <cellStyle name="Normal 16 3 4 2" xfId="29282" xr:uid="{00000000-0005-0000-0000-000010760000}"/>
    <cellStyle name="Normal 16 3 4 2 2" xfId="29283" xr:uid="{00000000-0005-0000-0000-000011760000}"/>
    <cellStyle name="Normal 16 3 4 2 2 2" xfId="39689" xr:uid="{00000000-0005-0000-0000-000012760000}"/>
    <cellStyle name="Normal 16 3 4 2 3" xfId="29284" xr:uid="{00000000-0005-0000-0000-000013760000}"/>
    <cellStyle name="Normal 16 3 4 3" xfId="29285" xr:uid="{00000000-0005-0000-0000-000014760000}"/>
    <cellStyle name="Normal 16 3 4 3 2" xfId="29286" xr:uid="{00000000-0005-0000-0000-000015760000}"/>
    <cellStyle name="Normal 16 3 4 3 2 2" xfId="39690" xr:uid="{00000000-0005-0000-0000-000016760000}"/>
    <cellStyle name="Normal 16 3 4 3 3" xfId="29287" xr:uid="{00000000-0005-0000-0000-000017760000}"/>
    <cellStyle name="Normal 16 3 4 4" xfId="29288" xr:uid="{00000000-0005-0000-0000-000018760000}"/>
    <cellStyle name="Normal 16 3 4 4 2" xfId="39691" xr:uid="{00000000-0005-0000-0000-000019760000}"/>
    <cellStyle name="Normal 16 3 4 5" xfId="29289" xr:uid="{00000000-0005-0000-0000-00001A760000}"/>
    <cellStyle name="Normal 16 3 4 6" xfId="29290" xr:uid="{00000000-0005-0000-0000-00001B760000}"/>
    <cellStyle name="Normal 16 3 4 7" xfId="44582" xr:uid="{00000000-0005-0000-0000-00001C760000}"/>
    <cellStyle name="Normal 16 3 5" xfId="29291" xr:uid="{00000000-0005-0000-0000-00001D760000}"/>
    <cellStyle name="Normal 16 3 5 2" xfId="29292" xr:uid="{00000000-0005-0000-0000-00001E760000}"/>
    <cellStyle name="Normal 16 3 5 2 2" xfId="39692" xr:uid="{00000000-0005-0000-0000-00001F760000}"/>
    <cellStyle name="Normal 16 3 5 3" xfId="29293" xr:uid="{00000000-0005-0000-0000-000020760000}"/>
    <cellStyle name="Normal 16 3 6" xfId="29294" xr:uid="{00000000-0005-0000-0000-000021760000}"/>
    <cellStyle name="Normal 16 3 6 2" xfId="29295" xr:uid="{00000000-0005-0000-0000-000022760000}"/>
    <cellStyle name="Normal 16 3 6 2 2" xfId="39693" xr:uid="{00000000-0005-0000-0000-000023760000}"/>
    <cellStyle name="Normal 16 3 6 3" xfId="29296" xr:uid="{00000000-0005-0000-0000-000024760000}"/>
    <cellStyle name="Normal 16 3 7" xfId="29297" xr:uid="{00000000-0005-0000-0000-000025760000}"/>
    <cellStyle name="Normal 16 3 7 2" xfId="39694" xr:uid="{00000000-0005-0000-0000-000026760000}"/>
    <cellStyle name="Normal 16 3 8" xfId="29298" xr:uid="{00000000-0005-0000-0000-000027760000}"/>
    <cellStyle name="Normal 16 3 8 2" xfId="39695" xr:uid="{00000000-0005-0000-0000-000028760000}"/>
    <cellStyle name="Normal 16 3 9" xfId="39696" xr:uid="{00000000-0005-0000-0000-000029760000}"/>
    <cellStyle name="Normal 16 4" xfId="1381" xr:uid="{00000000-0005-0000-0000-00002A760000}"/>
    <cellStyle name="Normal 16 4 2" xfId="1382" xr:uid="{00000000-0005-0000-0000-00002B760000}"/>
    <cellStyle name="Normal 16 4 2 2" xfId="29299" xr:uid="{00000000-0005-0000-0000-00002C760000}"/>
    <cellStyle name="Normal 16 4 2 2 2" xfId="29300" xr:uid="{00000000-0005-0000-0000-00002D760000}"/>
    <cellStyle name="Normal 16 4 2 2 2 2" xfId="29301" xr:uid="{00000000-0005-0000-0000-00002E760000}"/>
    <cellStyle name="Normal 16 4 2 2 2 2 2" xfId="39697" xr:uid="{00000000-0005-0000-0000-00002F760000}"/>
    <cellStyle name="Normal 16 4 2 2 2 3" xfId="29302" xr:uid="{00000000-0005-0000-0000-000030760000}"/>
    <cellStyle name="Normal 16 4 2 2 3" xfId="29303" xr:uid="{00000000-0005-0000-0000-000031760000}"/>
    <cellStyle name="Normal 16 4 2 2 3 2" xfId="29304" xr:uid="{00000000-0005-0000-0000-000032760000}"/>
    <cellStyle name="Normal 16 4 2 2 3 2 2" xfId="39698" xr:uid="{00000000-0005-0000-0000-000033760000}"/>
    <cellStyle name="Normal 16 4 2 2 3 3" xfId="29305" xr:uid="{00000000-0005-0000-0000-000034760000}"/>
    <cellStyle name="Normal 16 4 2 2 4" xfId="29306" xr:uid="{00000000-0005-0000-0000-000035760000}"/>
    <cellStyle name="Normal 16 4 2 2 4 2" xfId="39699" xr:uid="{00000000-0005-0000-0000-000036760000}"/>
    <cellStyle name="Normal 16 4 2 2 5" xfId="29307" xr:uid="{00000000-0005-0000-0000-000037760000}"/>
    <cellStyle name="Normal 16 4 2 3" xfId="29308" xr:uid="{00000000-0005-0000-0000-000038760000}"/>
    <cellStyle name="Normal 16 4 2 3 2" xfId="29309" xr:uid="{00000000-0005-0000-0000-000039760000}"/>
    <cellStyle name="Normal 16 4 2 3 2 2" xfId="39700" xr:uid="{00000000-0005-0000-0000-00003A760000}"/>
    <cellStyle name="Normal 16 4 2 3 3" xfId="29310" xr:uid="{00000000-0005-0000-0000-00003B760000}"/>
    <cellStyle name="Normal 16 4 2 4" xfId="29311" xr:uid="{00000000-0005-0000-0000-00003C760000}"/>
    <cellStyle name="Normal 16 4 2 4 2" xfId="29312" xr:uid="{00000000-0005-0000-0000-00003D760000}"/>
    <cellStyle name="Normal 16 4 2 4 2 2" xfId="39701" xr:uid="{00000000-0005-0000-0000-00003E760000}"/>
    <cellStyle name="Normal 16 4 2 4 3" xfId="29313" xr:uid="{00000000-0005-0000-0000-00003F760000}"/>
    <cellStyle name="Normal 16 4 2 5" xfId="29314" xr:uid="{00000000-0005-0000-0000-000040760000}"/>
    <cellStyle name="Normal 16 4 2 5 2" xfId="39702" xr:uid="{00000000-0005-0000-0000-000041760000}"/>
    <cellStyle name="Normal 16 4 2 6" xfId="29315" xr:uid="{00000000-0005-0000-0000-000042760000}"/>
    <cellStyle name="Normal 16 4 3" xfId="29316" xr:uid="{00000000-0005-0000-0000-000043760000}"/>
    <cellStyle name="Normal 16 4 3 2" xfId="29317" xr:uid="{00000000-0005-0000-0000-000044760000}"/>
    <cellStyle name="Normal 16 4 3 2 2" xfId="29318" xr:uid="{00000000-0005-0000-0000-000045760000}"/>
    <cellStyle name="Normal 16 4 3 2 2 2" xfId="39703" xr:uid="{00000000-0005-0000-0000-000046760000}"/>
    <cellStyle name="Normal 16 4 3 2 3" xfId="29319" xr:uid="{00000000-0005-0000-0000-000047760000}"/>
    <cellStyle name="Normal 16 4 3 3" xfId="29320" xr:uid="{00000000-0005-0000-0000-000048760000}"/>
    <cellStyle name="Normal 16 4 3 3 2" xfId="29321" xr:uid="{00000000-0005-0000-0000-000049760000}"/>
    <cellStyle name="Normal 16 4 3 3 2 2" xfId="39704" xr:uid="{00000000-0005-0000-0000-00004A760000}"/>
    <cellStyle name="Normal 16 4 3 3 3" xfId="29322" xr:uid="{00000000-0005-0000-0000-00004B760000}"/>
    <cellStyle name="Normal 16 4 3 4" xfId="29323" xr:uid="{00000000-0005-0000-0000-00004C760000}"/>
    <cellStyle name="Normal 16 4 3 4 2" xfId="39705" xr:uid="{00000000-0005-0000-0000-00004D760000}"/>
    <cellStyle name="Normal 16 4 3 5" xfId="29324" xr:uid="{00000000-0005-0000-0000-00004E760000}"/>
    <cellStyle name="Normal 16 4 3 6" xfId="29325" xr:uid="{00000000-0005-0000-0000-00004F760000}"/>
    <cellStyle name="Normal 16 4 3 7" xfId="44583" xr:uid="{00000000-0005-0000-0000-000050760000}"/>
    <cellStyle name="Normal 16 4 3 8" xfId="45300" xr:uid="{00000000-0005-0000-0000-000051760000}"/>
    <cellStyle name="Normal 16 4 4" xfId="29326" xr:uid="{00000000-0005-0000-0000-000052760000}"/>
    <cellStyle name="Normal 16 4 4 2" xfId="29327" xr:uid="{00000000-0005-0000-0000-000053760000}"/>
    <cellStyle name="Normal 16 4 4 2 2" xfId="39706" xr:uid="{00000000-0005-0000-0000-000054760000}"/>
    <cellStyle name="Normal 16 4 4 3" xfId="29328" xr:uid="{00000000-0005-0000-0000-000055760000}"/>
    <cellStyle name="Normal 16 4 5" xfId="29329" xr:uid="{00000000-0005-0000-0000-000056760000}"/>
    <cellStyle name="Normal 16 4 5 2" xfId="29330" xr:uid="{00000000-0005-0000-0000-000057760000}"/>
    <cellStyle name="Normal 16 4 5 2 2" xfId="39707" xr:uid="{00000000-0005-0000-0000-000058760000}"/>
    <cellStyle name="Normal 16 4 5 3" xfId="29331" xr:uid="{00000000-0005-0000-0000-000059760000}"/>
    <cellStyle name="Normal 16 4 6" xfId="29332" xr:uid="{00000000-0005-0000-0000-00005A760000}"/>
    <cellStyle name="Normal 16 4 6 2" xfId="39708" xr:uid="{00000000-0005-0000-0000-00005B760000}"/>
    <cellStyle name="Normal 16 4 7" xfId="29333" xr:uid="{00000000-0005-0000-0000-00005C760000}"/>
    <cellStyle name="Normal 16 4 8" xfId="29334" xr:uid="{00000000-0005-0000-0000-00005D760000}"/>
    <cellStyle name="Normal 16 4 9" xfId="46230" xr:uid="{00000000-0005-0000-0000-00005E760000}"/>
    <cellStyle name="Normal 16 5" xfId="1383" xr:uid="{00000000-0005-0000-0000-00005F760000}"/>
    <cellStyle name="Normal 16 5 2" xfId="29335" xr:uid="{00000000-0005-0000-0000-000060760000}"/>
    <cellStyle name="Normal 16 5 2 2" xfId="29336" xr:uid="{00000000-0005-0000-0000-000061760000}"/>
    <cellStyle name="Normal 16 5 2 2 2" xfId="29337" xr:uid="{00000000-0005-0000-0000-000062760000}"/>
    <cellStyle name="Normal 16 5 2 2 2 2" xfId="39709" xr:uid="{00000000-0005-0000-0000-000063760000}"/>
    <cellStyle name="Normal 16 5 2 2 3" xfId="29338" xr:uid="{00000000-0005-0000-0000-000064760000}"/>
    <cellStyle name="Normal 16 5 2 3" xfId="29339" xr:uid="{00000000-0005-0000-0000-000065760000}"/>
    <cellStyle name="Normal 16 5 2 3 2" xfId="29340" xr:uid="{00000000-0005-0000-0000-000066760000}"/>
    <cellStyle name="Normal 16 5 2 3 2 2" xfId="39710" xr:uid="{00000000-0005-0000-0000-000067760000}"/>
    <cellStyle name="Normal 16 5 2 3 3" xfId="29341" xr:uid="{00000000-0005-0000-0000-000068760000}"/>
    <cellStyle name="Normal 16 5 2 4" xfId="29342" xr:uid="{00000000-0005-0000-0000-000069760000}"/>
    <cellStyle name="Normal 16 5 2 4 2" xfId="39711" xr:uid="{00000000-0005-0000-0000-00006A760000}"/>
    <cellStyle name="Normal 16 5 2 5" xfId="29343" xr:uid="{00000000-0005-0000-0000-00006B760000}"/>
    <cellStyle name="Normal 16 5 3" xfId="29344" xr:uid="{00000000-0005-0000-0000-00006C760000}"/>
    <cellStyle name="Normal 16 5 3 2" xfId="29345" xr:uid="{00000000-0005-0000-0000-00006D760000}"/>
    <cellStyle name="Normal 16 5 3 2 2" xfId="39712" xr:uid="{00000000-0005-0000-0000-00006E760000}"/>
    <cellStyle name="Normal 16 5 3 3" xfId="29346" xr:uid="{00000000-0005-0000-0000-00006F760000}"/>
    <cellStyle name="Normal 16 5 4" xfId="29347" xr:uid="{00000000-0005-0000-0000-000070760000}"/>
    <cellStyle name="Normal 16 5 4 2" xfId="29348" xr:uid="{00000000-0005-0000-0000-000071760000}"/>
    <cellStyle name="Normal 16 5 4 2 2" xfId="39713" xr:uid="{00000000-0005-0000-0000-000072760000}"/>
    <cellStyle name="Normal 16 5 4 3" xfId="29349" xr:uid="{00000000-0005-0000-0000-000073760000}"/>
    <cellStyle name="Normal 16 5 5" xfId="29350" xr:uid="{00000000-0005-0000-0000-000074760000}"/>
    <cellStyle name="Normal 16 5 5 2" xfId="39714" xr:uid="{00000000-0005-0000-0000-000075760000}"/>
    <cellStyle name="Normal 16 5 6" xfId="29351" xr:uid="{00000000-0005-0000-0000-000076760000}"/>
    <cellStyle name="Normal 16 5 7" xfId="45301" xr:uid="{00000000-0005-0000-0000-000077760000}"/>
    <cellStyle name="Normal 16 6" xfId="1384" xr:uid="{00000000-0005-0000-0000-000078760000}"/>
    <cellStyle name="Normal 16 6 2" xfId="29352" xr:uid="{00000000-0005-0000-0000-000079760000}"/>
    <cellStyle name="Normal 16 6 2 2" xfId="29353" xr:uid="{00000000-0005-0000-0000-00007A760000}"/>
    <cellStyle name="Normal 16 6 2 2 2" xfId="39715" xr:uid="{00000000-0005-0000-0000-00007B760000}"/>
    <cellStyle name="Normal 16 6 2 3" xfId="29354" xr:uid="{00000000-0005-0000-0000-00007C760000}"/>
    <cellStyle name="Normal 16 6 3" xfId="29355" xr:uid="{00000000-0005-0000-0000-00007D760000}"/>
    <cellStyle name="Normal 16 6 3 2" xfId="29356" xr:uid="{00000000-0005-0000-0000-00007E760000}"/>
    <cellStyle name="Normal 16 6 3 2 2" xfId="39716" xr:uid="{00000000-0005-0000-0000-00007F760000}"/>
    <cellStyle name="Normal 16 6 3 3" xfId="29357" xr:uid="{00000000-0005-0000-0000-000080760000}"/>
    <cellStyle name="Normal 16 6 4" xfId="29358" xr:uid="{00000000-0005-0000-0000-000081760000}"/>
    <cellStyle name="Normal 16 6 4 2" xfId="39717" xr:uid="{00000000-0005-0000-0000-000082760000}"/>
    <cellStyle name="Normal 16 6 5" xfId="29359" xr:uid="{00000000-0005-0000-0000-000083760000}"/>
    <cellStyle name="Normal 16 6 6" xfId="45302" xr:uid="{00000000-0005-0000-0000-000084760000}"/>
    <cellStyle name="Normal 16 7" xfId="29360" xr:uid="{00000000-0005-0000-0000-000085760000}"/>
    <cellStyle name="Normal 16 7 2" xfId="29361" xr:uid="{00000000-0005-0000-0000-000086760000}"/>
    <cellStyle name="Normal 16 7 2 2" xfId="39718" xr:uid="{00000000-0005-0000-0000-000087760000}"/>
    <cellStyle name="Normal 16 7 3" xfId="29362" xr:uid="{00000000-0005-0000-0000-000088760000}"/>
    <cellStyle name="Normal 16 8" xfId="29363" xr:uid="{00000000-0005-0000-0000-000089760000}"/>
    <cellStyle name="Normal 16 8 2" xfId="29364" xr:uid="{00000000-0005-0000-0000-00008A760000}"/>
    <cellStyle name="Normal 16 8 2 2" xfId="39719" xr:uid="{00000000-0005-0000-0000-00008B760000}"/>
    <cellStyle name="Normal 16 8 3" xfId="29365" xr:uid="{00000000-0005-0000-0000-00008C760000}"/>
    <cellStyle name="Normal 16 9" xfId="29366" xr:uid="{00000000-0005-0000-0000-00008D760000}"/>
    <cellStyle name="Normal 16 9 2" xfId="39720" xr:uid="{00000000-0005-0000-0000-00008E760000}"/>
    <cellStyle name="Normal 16_2112 2148 Reg Labor" xfId="29367" xr:uid="{00000000-0005-0000-0000-00008F760000}"/>
    <cellStyle name="Normal 160" xfId="46121" xr:uid="{00000000-0005-0000-0000-000090760000}"/>
    <cellStyle name="Normal 161" xfId="46284" xr:uid="{00000000-0005-0000-0000-000091760000}"/>
    <cellStyle name="Normal 162" xfId="46305" xr:uid="{00000000-0005-0000-0000-000092760000}"/>
    <cellStyle name="Normal 163" xfId="46313" xr:uid="{00000000-0005-0000-0000-000093760000}"/>
    <cellStyle name="Normal 163 2" xfId="46317" xr:uid="{00000000-0005-0000-0000-000094760000}"/>
    <cellStyle name="Normal 164" xfId="46316" xr:uid="{00000000-0005-0000-0000-000095760000}"/>
    <cellStyle name="Normal 17" xfId="78" xr:uid="{00000000-0005-0000-0000-000096760000}"/>
    <cellStyle name="Normal 17 2" xfId="399" xr:uid="{00000000-0005-0000-0000-000097760000}"/>
    <cellStyle name="Normal 17 2 2" xfId="1385" xr:uid="{00000000-0005-0000-0000-000098760000}"/>
    <cellStyle name="Normal 17 2 2 2" xfId="1386" xr:uid="{00000000-0005-0000-0000-000099760000}"/>
    <cellStyle name="Normal 17 2 2 2 2" xfId="39721" xr:uid="{00000000-0005-0000-0000-00009A760000}"/>
    <cellStyle name="Normal 17 2 2 3" xfId="29368" xr:uid="{00000000-0005-0000-0000-00009B760000}"/>
    <cellStyle name="Normal 17 2 3" xfId="1387" xr:uid="{00000000-0005-0000-0000-00009C760000}"/>
    <cellStyle name="Normal 17 2 3 2" xfId="39722" xr:uid="{00000000-0005-0000-0000-00009D760000}"/>
    <cellStyle name="Normal 17 2 4" xfId="29369" xr:uid="{00000000-0005-0000-0000-00009E760000}"/>
    <cellStyle name="Normal 17 3" xfId="400" xr:uid="{00000000-0005-0000-0000-00009F760000}"/>
    <cellStyle name="Normal 17 3 2" xfId="1388" xr:uid="{00000000-0005-0000-0000-0000A0760000}"/>
    <cellStyle name="Normal 17 3 2 2" xfId="29370" xr:uid="{00000000-0005-0000-0000-0000A1760000}"/>
    <cellStyle name="Normal 17 3 2 3" xfId="45303" xr:uid="{00000000-0005-0000-0000-0000A2760000}"/>
    <cellStyle name="Normal 17 3 3" xfId="29371" xr:uid="{00000000-0005-0000-0000-0000A3760000}"/>
    <cellStyle name="Normal 17 3 3 2" xfId="29372" xr:uid="{00000000-0005-0000-0000-0000A4760000}"/>
    <cellStyle name="Normal 17 3 3 3" xfId="44584" xr:uid="{00000000-0005-0000-0000-0000A5760000}"/>
    <cellStyle name="Normal 17 3 4" xfId="39723" xr:uid="{00000000-0005-0000-0000-0000A6760000}"/>
    <cellStyle name="Normal 17 3 5" xfId="39724" xr:uid="{00000000-0005-0000-0000-0000A7760000}"/>
    <cellStyle name="Normal 17 4" xfId="1389" xr:uid="{00000000-0005-0000-0000-0000A8760000}"/>
    <cellStyle name="Normal 17 4 2" xfId="29373" xr:uid="{00000000-0005-0000-0000-0000A9760000}"/>
    <cellStyle name="Normal 17 4 3" xfId="39725" xr:uid="{00000000-0005-0000-0000-0000AA760000}"/>
    <cellStyle name="Normal 17 5" xfId="29374" xr:uid="{00000000-0005-0000-0000-0000AB760000}"/>
    <cellStyle name="Normal 17 5 2" xfId="29375" xr:uid="{00000000-0005-0000-0000-0000AC760000}"/>
    <cellStyle name="Normal 17 5 3" xfId="42528" xr:uid="{00000000-0005-0000-0000-0000AD760000}"/>
    <cellStyle name="Normal 17 5 4" xfId="45304" xr:uid="{00000000-0005-0000-0000-0000AE760000}"/>
    <cellStyle name="Normal 17 6" xfId="29376" xr:uid="{00000000-0005-0000-0000-0000AF760000}"/>
    <cellStyle name="Normal 17 6 2" xfId="42474" xr:uid="{00000000-0005-0000-0000-0000B0760000}"/>
    <cellStyle name="Normal 17 6 3" xfId="45305" xr:uid="{00000000-0005-0000-0000-0000B1760000}"/>
    <cellStyle name="Normal 17 7" xfId="46294" xr:uid="{00000000-0005-0000-0000-0000B2760000}"/>
    <cellStyle name="Normal 17_2112 2148 Reg Labor" xfId="29377" xr:uid="{00000000-0005-0000-0000-0000B3760000}"/>
    <cellStyle name="Normal 18" xfId="79" xr:uid="{00000000-0005-0000-0000-0000B4760000}"/>
    <cellStyle name="Normal 18 10" xfId="29378" xr:uid="{00000000-0005-0000-0000-0000B5760000}"/>
    <cellStyle name="Normal 18 10 2" xfId="39726" xr:uid="{00000000-0005-0000-0000-0000B6760000}"/>
    <cellStyle name="Normal 18 11" xfId="29379" xr:uid="{00000000-0005-0000-0000-0000B7760000}"/>
    <cellStyle name="Normal 18 12" xfId="39727" xr:uid="{00000000-0005-0000-0000-0000B8760000}"/>
    <cellStyle name="Normal 18 13" xfId="46295" xr:uid="{00000000-0005-0000-0000-0000B9760000}"/>
    <cellStyle name="Normal 18 2" xfId="401" xr:uid="{00000000-0005-0000-0000-0000BA760000}"/>
    <cellStyle name="Normal 18 2 2" xfId="1390" xr:uid="{00000000-0005-0000-0000-0000BB760000}"/>
    <cellStyle name="Normal 18 2 2 2" xfId="1391" xr:uid="{00000000-0005-0000-0000-0000BC760000}"/>
    <cellStyle name="Normal 18 2 2 2 2" xfId="29380" xr:uid="{00000000-0005-0000-0000-0000BD760000}"/>
    <cellStyle name="Normal 18 2 2 2 2 2" xfId="29381" xr:uid="{00000000-0005-0000-0000-0000BE760000}"/>
    <cellStyle name="Normal 18 2 2 2 2 2 2" xfId="29382" xr:uid="{00000000-0005-0000-0000-0000BF760000}"/>
    <cellStyle name="Normal 18 2 2 2 2 2 2 2" xfId="39728" xr:uid="{00000000-0005-0000-0000-0000C0760000}"/>
    <cellStyle name="Normal 18 2 2 2 2 2 3" xfId="29383" xr:uid="{00000000-0005-0000-0000-0000C1760000}"/>
    <cellStyle name="Normal 18 2 2 2 2 3" xfId="29384" xr:uid="{00000000-0005-0000-0000-0000C2760000}"/>
    <cellStyle name="Normal 18 2 2 2 2 3 2" xfId="29385" xr:uid="{00000000-0005-0000-0000-0000C3760000}"/>
    <cellStyle name="Normal 18 2 2 2 2 3 2 2" xfId="39729" xr:uid="{00000000-0005-0000-0000-0000C4760000}"/>
    <cellStyle name="Normal 18 2 2 2 2 3 3" xfId="29386" xr:uid="{00000000-0005-0000-0000-0000C5760000}"/>
    <cellStyle name="Normal 18 2 2 2 2 4" xfId="29387" xr:uid="{00000000-0005-0000-0000-0000C6760000}"/>
    <cellStyle name="Normal 18 2 2 2 2 4 2" xfId="39730" xr:uid="{00000000-0005-0000-0000-0000C7760000}"/>
    <cellStyle name="Normal 18 2 2 2 2 5" xfId="29388" xr:uid="{00000000-0005-0000-0000-0000C8760000}"/>
    <cellStyle name="Normal 18 2 2 2 3" xfId="29389" xr:uid="{00000000-0005-0000-0000-0000C9760000}"/>
    <cellStyle name="Normal 18 2 2 2 3 2" xfId="29390" xr:uid="{00000000-0005-0000-0000-0000CA760000}"/>
    <cellStyle name="Normal 18 2 2 2 3 2 2" xfId="39731" xr:uid="{00000000-0005-0000-0000-0000CB760000}"/>
    <cellStyle name="Normal 18 2 2 2 3 3" xfId="29391" xr:uid="{00000000-0005-0000-0000-0000CC760000}"/>
    <cellStyle name="Normal 18 2 2 2 4" xfId="29392" xr:uid="{00000000-0005-0000-0000-0000CD760000}"/>
    <cellStyle name="Normal 18 2 2 2 4 2" xfId="29393" xr:uid="{00000000-0005-0000-0000-0000CE760000}"/>
    <cellStyle name="Normal 18 2 2 2 4 2 2" xfId="39732" xr:uid="{00000000-0005-0000-0000-0000CF760000}"/>
    <cellStyle name="Normal 18 2 2 2 4 3" xfId="29394" xr:uid="{00000000-0005-0000-0000-0000D0760000}"/>
    <cellStyle name="Normal 18 2 2 2 5" xfId="29395" xr:uid="{00000000-0005-0000-0000-0000D1760000}"/>
    <cellStyle name="Normal 18 2 2 2 5 2" xfId="39733" xr:uid="{00000000-0005-0000-0000-0000D2760000}"/>
    <cellStyle name="Normal 18 2 2 2 6" xfId="29396" xr:uid="{00000000-0005-0000-0000-0000D3760000}"/>
    <cellStyle name="Normal 18 2 2 3" xfId="29397" xr:uid="{00000000-0005-0000-0000-0000D4760000}"/>
    <cellStyle name="Normal 18 2 2 3 2" xfId="29398" xr:uid="{00000000-0005-0000-0000-0000D5760000}"/>
    <cellStyle name="Normal 18 2 2 3 2 2" xfId="29399" xr:uid="{00000000-0005-0000-0000-0000D6760000}"/>
    <cellStyle name="Normal 18 2 2 3 2 2 2" xfId="39734" xr:uid="{00000000-0005-0000-0000-0000D7760000}"/>
    <cellStyle name="Normal 18 2 2 3 2 3" xfId="29400" xr:uid="{00000000-0005-0000-0000-0000D8760000}"/>
    <cellStyle name="Normal 18 2 2 3 3" xfId="29401" xr:uid="{00000000-0005-0000-0000-0000D9760000}"/>
    <cellStyle name="Normal 18 2 2 3 3 2" xfId="29402" xr:uid="{00000000-0005-0000-0000-0000DA760000}"/>
    <cellStyle name="Normal 18 2 2 3 3 2 2" xfId="39735" xr:uid="{00000000-0005-0000-0000-0000DB760000}"/>
    <cellStyle name="Normal 18 2 2 3 3 3" xfId="29403" xr:uid="{00000000-0005-0000-0000-0000DC760000}"/>
    <cellStyle name="Normal 18 2 2 3 4" xfId="29404" xr:uid="{00000000-0005-0000-0000-0000DD760000}"/>
    <cellStyle name="Normal 18 2 2 3 4 2" xfId="39736" xr:uid="{00000000-0005-0000-0000-0000DE760000}"/>
    <cellStyle name="Normal 18 2 2 3 5" xfId="29405" xr:uid="{00000000-0005-0000-0000-0000DF760000}"/>
    <cellStyle name="Normal 18 2 2 4" xfId="29406" xr:uid="{00000000-0005-0000-0000-0000E0760000}"/>
    <cellStyle name="Normal 18 2 2 4 2" xfId="29407" xr:uid="{00000000-0005-0000-0000-0000E1760000}"/>
    <cellStyle name="Normal 18 2 2 4 2 2" xfId="39737" xr:uid="{00000000-0005-0000-0000-0000E2760000}"/>
    <cellStyle name="Normal 18 2 2 4 3" xfId="29408" xr:uid="{00000000-0005-0000-0000-0000E3760000}"/>
    <cellStyle name="Normal 18 2 2 5" xfId="29409" xr:uid="{00000000-0005-0000-0000-0000E4760000}"/>
    <cellStyle name="Normal 18 2 2 5 2" xfId="29410" xr:uid="{00000000-0005-0000-0000-0000E5760000}"/>
    <cellStyle name="Normal 18 2 2 5 2 2" xfId="39738" xr:uid="{00000000-0005-0000-0000-0000E6760000}"/>
    <cellStyle name="Normal 18 2 2 5 3" xfId="29411" xr:uid="{00000000-0005-0000-0000-0000E7760000}"/>
    <cellStyle name="Normal 18 2 2 6" xfId="29412" xr:uid="{00000000-0005-0000-0000-0000E8760000}"/>
    <cellStyle name="Normal 18 2 2 6 2" xfId="39739" xr:uid="{00000000-0005-0000-0000-0000E9760000}"/>
    <cellStyle name="Normal 18 2 2 7" xfId="29413" xr:uid="{00000000-0005-0000-0000-0000EA760000}"/>
    <cellStyle name="Normal 18 2 2 8" xfId="45306" xr:uid="{00000000-0005-0000-0000-0000EB760000}"/>
    <cellStyle name="Normal 18 2 3" xfId="1392" xr:uid="{00000000-0005-0000-0000-0000EC760000}"/>
    <cellStyle name="Normal 18 2 3 2" xfId="29414" xr:uid="{00000000-0005-0000-0000-0000ED760000}"/>
    <cellStyle name="Normal 18 2 3 2 2" xfId="29415" xr:uid="{00000000-0005-0000-0000-0000EE760000}"/>
    <cellStyle name="Normal 18 2 3 2 2 2" xfId="29416" xr:uid="{00000000-0005-0000-0000-0000EF760000}"/>
    <cellStyle name="Normal 18 2 3 2 2 2 2" xfId="39740" xr:uid="{00000000-0005-0000-0000-0000F0760000}"/>
    <cellStyle name="Normal 18 2 3 2 2 3" xfId="29417" xr:uid="{00000000-0005-0000-0000-0000F1760000}"/>
    <cellStyle name="Normal 18 2 3 2 3" xfId="29418" xr:uid="{00000000-0005-0000-0000-0000F2760000}"/>
    <cellStyle name="Normal 18 2 3 2 3 2" xfId="29419" xr:uid="{00000000-0005-0000-0000-0000F3760000}"/>
    <cellStyle name="Normal 18 2 3 2 3 2 2" xfId="39741" xr:uid="{00000000-0005-0000-0000-0000F4760000}"/>
    <cellStyle name="Normal 18 2 3 2 3 3" xfId="29420" xr:uid="{00000000-0005-0000-0000-0000F5760000}"/>
    <cellStyle name="Normal 18 2 3 2 4" xfId="29421" xr:uid="{00000000-0005-0000-0000-0000F6760000}"/>
    <cellStyle name="Normal 18 2 3 2 4 2" xfId="39742" xr:uid="{00000000-0005-0000-0000-0000F7760000}"/>
    <cellStyle name="Normal 18 2 3 2 5" xfId="29422" xr:uid="{00000000-0005-0000-0000-0000F8760000}"/>
    <cellStyle name="Normal 18 2 3 3" xfId="29423" xr:uid="{00000000-0005-0000-0000-0000F9760000}"/>
    <cellStyle name="Normal 18 2 3 3 2" xfId="29424" xr:uid="{00000000-0005-0000-0000-0000FA760000}"/>
    <cellStyle name="Normal 18 2 3 3 2 2" xfId="39743" xr:uid="{00000000-0005-0000-0000-0000FB760000}"/>
    <cellStyle name="Normal 18 2 3 3 3" xfId="29425" xr:uid="{00000000-0005-0000-0000-0000FC760000}"/>
    <cellStyle name="Normal 18 2 3 4" xfId="29426" xr:uid="{00000000-0005-0000-0000-0000FD760000}"/>
    <cellStyle name="Normal 18 2 3 4 2" xfId="29427" xr:uid="{00000000-0005-0000-0000-0000FE760000}"/>
    <cellStyle name="Normal 18 2 3 4 2 2" xfId="39744" xr:uid="{00000000-0005-0000-0000-0000FF760000}"/>
    <cellStyle name="Normal 18 2 3 4 3" xfId="29428" xr:uid="{00000000-0005-0000-0000-000000770000}"/>
    <cellStyle name="Normal 18 2 3 5" xfId="29429" xr:uid="{00000000-0005-0000-0000-000001770000}"/>
    <cellStyle name="Normal 18 2 3 5 2" xfId="39745" xr:uid="{00000000-0005-0000-0000-000002770000}"/>
    <cellStyle name="Normal 18 2 3 6" xfId="29430" xr:uid="{00000000-0005-0000-0000-000003770000}"/>
    <cellStyle name="Normal 18 2 3 7" xfId="45307" xr:uid="{00000000-0005-0000-0000-000004770000}"/>
    <cellStyle name="Normal 18 2 4" xfId="29431" xr:uid="{00000000-0005-0000-0000-000005770000}"/>
    <cellStyle name="Normal 18 2 4 2" xfId="29432" xr:uid="{00000000-0005-0000-0000-000006770000}"/>
    <cellStyle name="Normal 18 2 4 2 2" xfId="29433" xr:uid="{00000000-0005-0000-0000-000007770000}"/>
    <cellStyle name="Normal 18 2 4 2 2 2" xfId="39746" xr:uid="{00000000-0005-0000-0000-000008770000}"/>
    <cellStyle name="Normal 18 2 4 2 3" xfId="29434" xr:uid="{00000000-0005-0000-0000-000009770000}"/>
    <cellStyle name="Normal 18 2 4 3" xfId="29435" xr:uid="{00000000-0005-0000-0000-00000A770000}"/>
    <cellStyle name="Normal 18 2 4 3 2" xfId="29436" xr:uid="{00000000-0005-0000-0000-00000B770000}"/>
    <cellStyle name="Normal 18 2 4 3 2 2" xfId="39747" xr:uid="{00000000-0005-0000-0000-00000C770000}"/>
    <cellStyle name="Normal 18 2 4 3 3" xfId="29437" xr:uid="{00000000-0005-0000-0000-00000D770000}"/>
    <cellStyle name="Normal 18 2 4 4" xfId="29438" xr:uid="{00000000-0005-0000-0000-00000E770000}"/>
    <cellStyle name="Normal 18 2 4 4 2" xfId="39748" xr:uid="{00000000-0005-0000-0000-00000F770000}"/>
    <cellStyle name="Normal 18 2 4 5" xfId="29439" xr:uid="{00000000-0005-0000-0000-000010770000}"/>
    <cellStyle name="Normal 18 2 4 6" xfId="29440" xr:uid="{00000000-0005-0000-0000-000011770000}"/>
    <cellStyle name="Normal 18 2 4 7" xfId="44585" xr:uid="{00000000-0005-0000-0000-000012770000}"/>
    <cellStyle name="Normal 18 2 5" xfId="29441" xr:uid="{00000000-0005-0000-0000-000013770000}"/>
    <cellStyle name="Normal 18 2 5 2" xfId="29442" xr:uid="{00000000-0005-0000-0000-000014770000}"/>
    <cellStyle name="Normal 18 2 5 2 2" xfId="39749" xr:uid="{00000000-0005-0000-0000-000015770000}"/>
    <cellStyle name="Normal 18 2 5 3" xfId="29443" xr:uid="{00000000-0005-0000-0000-000016770000}"/>
    <cellStyle name="Normal 18 2 6" xfId="29444" xr:uid="{00000000-0005-0000-0000-000017770000}"/>
    <cellStyle name="Normal 18 2 6 2" xfId="29445" xr:uid="{00000000-0005-0000-0000-000018770000}"/>
    <cellStyle name="Normal 18 2 6 2 2" xfId="39750" xr:uid="{00000000-0005-0000-0000-000019770000}"/>
    <cellStyle name="Normal 18 2 6 3" xfId="29446" xr:uid="{00000000-0005-0000-0000-00001A770000}"/>
    <cellStyle name="Normal 18 2 7" xfId="29447" xr:uid="{00000000-0005-0000-0000-00001B770000}"/>
    <cellStyle name="Normal 18 2 7 2" xfId="39751" xr:uid="{00000000-0005-0000-0000-00001C770000}"/>
    <cellStyle name="Normal 18 2 8" xfId="29448" xr:uid="{00000000-0005-0000-0000-00001D770000}"/>
    <cellStyle name="Normal 18 3" xfId="402" xr:uid="{00000000-0005-0000-0000-00001E770000}"/>
    <cellStyle name="Normal 18 3 10" xfId="39752" xr:uid="{00000000-0005-0000-0000-00001F770000}"/>
    <cellStyle name="Normal 18 3 2" xfId="1393" xr:uid="{00000000-0005-0000-0000-000020770000}"/>
    <cellStyle name="Normal 18 3 2 2" xfId="1394" xr:uid="{00000000-0005-0000-0000-000021770000}"/>
    <cellStyle name="Normal 18 3 2 2 2" xfId="29449" xr:uid="{00000000-0005-0000-0000-000022770000}"/>
    <cellStyle name="Normal 18 3 2 2 2 2" xfId="29450" xr:uid="{00000000-0005-0000-0000-000023770000}"/>
    <cellStyle name="Normal 18 3 2 2 2 2 2" xfId="29451" xr:uid="{00000000-0005-0000-0000-000024770000}"/>
    <cellStyle name="Normal 18 3 2 2 2 2 2 2" xfId="39753" xr:uid="{00000000-0005-0000-0000-000025770000}"/>
    <cellStyle name="Normal 18 3 2 2 2 2 3" xfId="29452" xr:uid="{00000000-0005-0000-0000-000026770000}"/>
    <cellStyle name="Normal 18 3 2 2 2 3" xfId="29453" xr:uid="{00000000-0005-0000-0000-000027770000}"/>
    <cellStyle name="Normal 18 3 2 2 2 3 2" xfId="29454" xr:uid="{00000000-0005-0000-0000-000028770000}"/>
    <cellStyle name="Normal 18 3 2 2 2 3 2 2" xfId="39754" xr:uid="{00000000-0005-0000-0000-000029770000}"/>
    <cellStyle name="Normal 18 3 2 2 2 3 3" xfId="29455" xr:uid="{00000000-0005-0000-0000-00002A770000}"/>
    <cellStyle name="Normal 18 3 2 2 2 4" xfId="29456" xr:uid="{00000000-0005-0000-0000-00002B770000}"/>
    <cellStyle name="Normal 18 3 2 2 2 4 2" xfId="39755" xr:uid="{00000000-0005-0000-0000-00002C770000}"/>
    <cellStyle name="Normal 18 3 2 2 2 5" xfId="29457" xr:uid="{00000000-0005-0000-0000-00002D770000}"/>
    <cellStyle name="Normal 18 3 2 2 3" xfId="29458" xr:uid="{00000000-0005-0000-0000-00002E770000}"/>
    <cellStyle name="Normal 18 3 2 2 3 2" xfId="29459" xr:uid="{00000000-0005-0000-0000-00002F770000}"/>
    <cellStyle name="Normal 18 3 2 2 3 2 2" xfId="39756" xr:uid="{00000000-0005-0000-0000-000030770000}"/>
    <cellStyle name="Normal 18 3 2 2 3 3" xfId="29460" xr:uid="{00000000-0005-0000-0000-000031770000}"/>
    <cellStyle name="Normal 18 3 2 2 4" xfId="29461" xr:uid="{00000000-0005-0000-0000-000032770000}"/>
    <cellStyle name="Normal 18 3 2 2 4 2" xfId="29462" xr:uid="{00000000-0005-0000-0000-000033770000}"/>
    <cellStyle name="Normal 18 3 2 2 4 2 2" xfId="39757" xr:uid="{00000000-0005-0000-0000-000034770000}"/>
    <cellStyle name="Normal 18 3 2 2 4 3" xfId="29463" xr:uid="{00000000-0005-0000-0000-000035770000}"/>
    <cellStyle name="Normal 18 3 2 2 5" xfId="29464" xr:uid="{00000000-0005-0000-0000-000036770000}"/>
    <cellStyle name="Normal 18 3 2 2 5 2" xfId="39758" xr:uid="{00000000-0005-0000-0000-000037770000}"/>
    <cellStyle name="Normal 18 3 2 2 6" xfId="29465" xr:uid="{00000000-0005-0000-0000-000038770000}"/>
    <cellStyle name="Normal 18 3 2 2 7" xfId="45308" xr:uid="{00000000-0005-0000-0000-000039770000}"/>
    <cellStyle name="Normal 18 3 2 3" xfId="29466" xr:uid="{00000000-0005-0000-0000-00003A770000}"/>
    <cellStyle name="Normal 18 3 2 3 2" xfId="29467" xr:uid="{00000000-0005-0000-0000-00003B770000}"/>
    <cellStyle name="Normal 18 3 2 3 2 2" xfId="29468" xr:uid="{00000000-0005-0000-0000-00003C770000}"/>
    <cellStyle name="Normal 18 3 2 3 2 2 2" xfId="39759" xr:uid="{00000000-0005-0000-0000-00003D770000}"/>
    <cellStyle name="Normal 18 3 2 3 2 3" xfId="29469" xr:uid="{00000000-0005-0000-0000-00003E770000}"/>
    <cellStyle name="Normal 18 3 2 3 3" xfId="29470" xr:uid="{00000000-0005-0000-0000-00003F770000}"/>
    <cellStyle name="Normal 18 3 2 3 3 2" xfId="29471" xr:uid="{00000000-0005-0000-0000-000040770000}"/>
    <cellStyle name="Normal 18 3 2 3 3 2 2" xfId="39760" xr:uid="{00000000-0005-0000-0000-000041770000}"/>
    <cellStyle name="Normal 18 3 2 3 3 3" xfId="29472" xr:uid="{00000000-0005-0000-0000-000042770000}"/>
    <cellStyle name="Normal 18 3 2 3 4" xfId="29473" xr:uid="{00000000-0005-0000-0000-000043770000}"/>
    <cellStyle name="Normal 18 3 2 3 4 2" xfId="39761" xr:uid="{00000000-0005-0000-0000-000044770000}"/>
    <cellStyle name="Normal 18 3 2 3 5" xfId="29474" xr:uid="{00000000-0005-0000-0000-000045770000}"/>
    <cellStyle name="Normal 18 3 2 4" xfId="29475" xr:uid="{00000000-0005-0000-0000-000046770000}"/>
    <cellStyle name="Normal 18 3 2 4 2" xfId="29476" xr:uid="{00000000-0005-0000-0000-000047770000}"/>
    <cellStyle name="Normal 18 3 2 4 2 2" xfId="39762" xr:uid="{00000000-0005-0000-0000-000048770000}"/>
    <cellStyle name="Normal 18 3 2 4 3" xfId="29477" xr:uid="{00000000-0005-0000-0000-000049770000}"/>
    <cellStyle name="Normal 18 3 2 5" xfId="29478" xr:uid="{00000000-0005-0000-0000-00004A770000}"/>
    <cellStyle name="Normal 18 3 2 5 2" xfId="29479" xr:uid="{00000000-0005-0000-0000-00004B770000}"/>
    <cellStyle name="Normal 18 3 2 5 2 2" xfId="39763" xr:uid="{00000000-0005-0000-0000-00004C770000}"/>
    <cellStyle name="Normal 18 3 2 5 3" xfId="29480" xr:uid="{00000000-0005-0000-0000-00004D770000}"/>
    <cellStyle name="Normal 18 3 2 6" xfId="29481" xr:uid="{00000000-0005-0000-0000-00004E770000}"/>
    <cellStyle name="Normal 18 3 2 6 2" xfId="39764" xr:uid="{00000000-0005-0000-0000-00004F770000}"/>
    <cellStyle name="Normal 18 3 2 7" xfId="29482" xr:uid="{00000000-0005-0000-0000-000050770000}"/>
    <cellStyle name="Normal 18 3 2 8" xfId="45309" xr:uid="{00000000-0005-0000-0000-000051770000}"/>
    <cellStyle name="Normal 18 3 3" xfId="1395" xr:uid="{00000000-0005-0000-0000-000052770000}"/>
    <cellStyle name="Normal 18 3 3 2" xfId="29483" xr:uid="{00000000-0005-0000-0000-000053770000}"/>
    <cellStyle name="Normal 18 3 3 2 2" xfId="29484" xr:uid="{00000000-0005-0000-0000-000054770000}"/>
    <cellStyle name="Normal 18 3 3 2 2 2" xfId="29485" xr:uid="{00000000-0005-0000-0000-000055770000}"/>
    <cellStyle name="Normal 18 3 3 2 2 2 2" xfId="39765" xr:uid="{00000000-0005-0000-0000-000056770000}"/>
    <cellStyle name="Normal 18 3 3 2 2 3" xfId="29486" xr:uid="{00000000-0005-0000-0000-000057770000}"/>
    <cellStyle name="Normal 18 3 3 2 3" xfId="29487" xr:uid="{00000000-0005-0000-0000-000058770000}"/>
    <cellStyle name="Normal 18 3 3 2 3 2" xfId="29488" xr:uid="{00000000-0005-0000-0000-000059770000}"/>
    <cellStyle name="Normal 18 3 3 2 3 2 2" xfId="39766" xr:uid="{00000000-0005-0000-0000-00005A770000}"/>
    <cellStyle name="Normal 18 3 3 2 3 3" xfId="29489" xr:uid="{00000000-0005-0000-0000-00005B770000}"/>
    <cellStyle name="Normal 18 3 3 2 4" xfId="29490" xr:uid="{00000000-0005-0000-0000-00005C770000}"/>
    <cellStyle name="Normal 18 3 3 2 4 2" xfId="39767" xr:uid="{00000000-0005-0000-0000-00005D770000}"/>
    <cellStyle name="Normal 18 3 3 2 5" xfId="29491" xr:uid="{00000000-0005-0000-0000-00005E770000}"/>
    <cellStyle name="Normal 18 3 3 3" xfId="29492" xr:uid="{00000000-0005-0000-0000-00005F770000}"/>
    <cellStyle name="Normal 18 3 3 3 2" xfId="29493" xr:uid="{00000000-0005-0000-0000-000060770000}"/>
    <cellStyle name="Normal 18 3 3 3 2 2" xfId="39768" xr:uid="{00000000-0005-0000-0000-000061770000}"/>
    <cellStyle name="Normal 18 3 3 3 3" xfId="29494" xr:uid="{00000000-0005-0000-0000-000062770000}"/>
    <cellStyle name="Normal 18 3 3 4" xfId="29495" xr:uid="{00000000-0005-0000-0000-000063770000}"/>
    <cellStyle name="Normal 18 3 3 4 2" xfId="29496" xr:uid="{00000000-0005-0000-0000-000064770000}"/>
    <cellStyle name="Normal 18 3 3 4 2 2" xfId="39769" xr:uid="{00000000-0005-0000-0000-000065770000}"/>
    <cellStyle name="Normal 18 3 3 4 3" xfId="29497" xr:uid="{00000000-0005-0000-0000-000066770000}"/>
    <cellStyle name="Normal 18 3 3 5" xfId="29498" xr:uid="{00000000-0005-0000-0000-000067770000}"/>
    <cellStyle name="Normal 18 3 3 5 2" xfId="39770" xr:uid="{00000000-0005-0000-0000-000068770000}"/>
    <cellStyle name="Normal 18 3 3 6" xfId="29499" xr:uid="{00000000-0005-0000-0000-000069770000}"/>
    <cellStyle name="Normal 18 3 3 7" xfId="45310" xr:uid="{00000000-0005-0000-0000-00006A770000}"/>
    <cellStyle name="Normal 18 3 4" xfId="29500" xr:uid="{00000000-0005-0000-0000-00006B770000}"/>
    <cellStyle name="Normal 18 3 4 2" xfId="29501" xr:uid="{00000000-0005-0000-0000-00006C770000}"/>
    <cellStyle name="Normal 18 3 4 2 2" xfId="29502" xr:uid="{00000000-0005-0000-0000-00006D770000}"/>
    <cellStyle name="Normal 18 3 4 2 2 2" xfId="39771" xr:uid="{00000000-0005-0000-0000-00006E770000}"/>
    <cellStyle name="Normal 18 3 4 2 3" xfId="29503" xr:uid="{00000000-0005-0000-0000-00006F770000}"/>
    <cellStyle name="Normal 18 3 4 3" xfId="29504" xr:uid="{00000000-0005-0000-0000-000070770000}"/>
    <cellStyle name="Normal 18 3 4 3 2" xfId="29505" xr:uid="{00000000-0005-0000-0000-000071770000}"/>
    <cellStyle name="Normal 18 3 4 3 2 2" xfId="39772" xr:uid="{00000000-0005-0000-0000-000072770000}"/>
    <cellStyle name="Normal 18 3 4 3 3" xfId="29506" xr:uid="{00000000-0005-0000-0000-000073770000}"/>
    <cellStyle name="Normal 18 3 4 4" xfId="29507" xr:uid="{00000000-0005-0000-0000-000074770000}"/>
    <cellStyle name="Normal 18 3 4 4 2" xfId="39773" xr:uid="{00000000-0005-0000-0000-000075770000}"/>
    <cellStyle name="Normal 18 3 4 5" xfId="29508" xr:uid="{00000000-0005-0000-0000-000076770000}"/>
    <cellStyle name="Normal 18 3 4 6" xfId="29509" xr:uid="{00000000-0005-0000-0000-000077770000}"/>
    <cellStyle name="Normal 18 3 4 7" xfId="44586" xr:uid="{00000000-0005-0000-0000-000078770000}"/>
    <cellStyle name="Normal 18 3 5" xfId="29510" xr:uid="{00000000-0005-0000-0000-000079770000}"/>
    <cellStyle name="Normal 18 3 5 2" xfId="29511" xr:uid="{00000000-0005-0000-0000-00007A770000}"/>
    <cellStyle name="Normal 18 3 5 2 2" xfId="39774" xr:uid="{00000000-0005-0000-0000-00007B770000}"/>
    <cellStyle name="Normal 18 3 5 3" xfId="29512" xr:uid="{00000000-0005-0000-0000-00007C770000}"/>
    <cellStyle name="Normal 18 3 6" xfId="29513" xr:uid="{00000000-0005-0000-0000-00007D770000}"/>
    <cellStyle name="Normal 18 3 6 2" xfId="29514" xr:uid="{00000000-0005-0000-0000-00007E770000}"/>
    <cellStyle name="Normal 18 3 6 2 2" xfId="39775" xr:uid="{00000000-0005-0000-0000-00007F770000}"/>
    <cellStyle name="Normal 18 3 6 3" xfId="29515" xr:uid="{00000000-0005-0000-0000-000080770000}"/>
    <cellStyle name="Normal 18 3 7" xfId="29516" xr:uid="{00000000-0005-0000-0000-000081770000}"/>
    <cellStyle name="Normal 18 3 7 2" xfId="39776" xr:uid="{00000000-0005-0000-0000-000082770000}"/>
    <cellStyle name="Normal 18 3 8" xfId="29517" xr:uid="{00000000-0005-0000-0000-000083770000}"/>
    <cellStyle name="Normal 18 3 8 2" xfId="39777" xr:uid="{00000000-0005-0000-0000-000084770000}"/>
    <cellStyle name="Normal 18 3 9" xfId="39778" xr:uid="{00000000-0005-0000-0000-000085770000}"/>
    <cellStyle name="Normal 18 4" xfId="1396" xr:uid="{00000000-0005-0000-0000-000086770000}"/>
    <cellStyle name="Normal 18 4 2" xfId="1397" xr:uid="{00000000-0005-0000-0000-000087770000}"/>
    <cellStyle name="Normal 18 4 2 2" xfId="39779" xr:uid="{00000000-0005-0000-0000-000088770000}"/>
    <cellStyle name="Normal 18 4 3" xfId="29518" xr:uid="{00000000-0005-0000-0000-000089770000}"/>
    <cellStyle name="Normal 18 4 4" xfId="39780" xr:uid="{00000000-0005-0000-0000-00008A770000}"/>
    <cellStyle name="Normal 18 4 5" xfId="46231" xr:uid="{00000000-0005-0000-0000-00008B770000}"/>
    <cellStyle name="Normal 18 5" xfId="1398" xr:uid="{00000000-0005-0000-0000-00008C770000}"/>
    <cellStyle name="Normal 18 5 2" xfId="1399" xr:uid="{00000000-0005-0000-0000-00008D770000}"/>
    <cellStyle name="Normal 18 5 2 2" xfId="29519" xr:uid="{00000000-0005-0000-0000-00008E770000}"/>
    <cellStyle name="Normal 18 5 2 2 2" xfId="29520" xr:uid="{00000000-0005-0000-0000-00008F770000}"/>
    <cellStyle name="Normal 18 5 2 2 2 2" xfId="29521" xr:uid="{00000000-0005-0000-0000-000090770000}"/>
    <cellStyle name="Normal 18 5 2 2 2 2 2" xfId="39781" xr:uid="{00000000-0005-0000-0000-000091770000}"/>
    <cellStyle name="Normal 18 5 2 2 2 3" xfId="29522" xr:uid="{00000000-0005-0000-0000-000092770000}"/>
    <cellStyle name="Normal 18 5 2 2 3" xfId="29523" xr:uid="{00000000-0005-0000-0000-000093770000}"/>
    <cellStyle name="Normal 18 5 2 2 3 2" xfId="29524" xr:uid="{00000000-0005-0000-0000-000094770000}"/>
    <cellStyle name="Normal 18 5 2 2 3 2 2" xfId="39782" xr:uid="{00000000-0005-0000-0000-000095770000}"/>
    <cellStyle name="Normal 18 5 2 2 3 3" xfId="29525" xr:uid="{00000000-0005-0000-0000-000096770000}"/>
    <cellStyle name="Normal 18 5 2 2 4" xfId="29526" xr:uid="{00000000-0005-0000-0000-000097770000}"/>
    <cellStyle name="Normal 18 5 2 2 4 2" xfId="39783" xr:uid="{00000000-0005-0000-0000-000098770000}"/>
    <cellStyle name="Normal 18 5 2 2 5" xfId="29527" xr:uid="{00000000-0005-0000-0000-000099770000}"/>
    <cellStyle name="Normal 18 5 2 3" xfId="29528" xr:uid="{00000000-0005-0000-0000-00009A770000}"/>
    <cellStyle name="Normal 18 5 2 3 2" xfId="29529" xr:uid="{00000000-0005-0000-0000-00009B770000}"/>
    <cellStyle name="Normal 18 5 2 3 2 2" xfId="39784" xr:uid="{00000000-0005-0000-0000-00009C770000}"/>
    <cellStyle name="Normal 18 5 2 3 3" xfId="29530" xr:uid="{00000000-0005-0000-0000-00009D770000}"/>
    <cellStyle name="Normal 18 5 2 4" xfId="29531" xr:uid="{00000000-0005-0000-0000-00009E770000}"/>
    <cellStyle name="Normal 18 5 2 4 2" xfId="29532" xr:uid="{00000000-0005-0000-0000-00009F770000}"/>
    <cellStyle name="Normal 18 5 2 4 2 2" xfId="39785" xr:uid="{00000000-0005-0000-0000-0000A0770000}"/>
    <cellStyle name="Normal 18 5 2 4 3" xfId="29533" xr:uid="{00000000-0005-0000-0000-0000A1770000}"/>
    <cellStyle name="Normal 18 5 2 5" xfId="29534" xr:uid="{00000000-0005-0000-0000-0000A2770000}"/>
    <cellStyle name="Normal 18 5 2 5 2" xfId="39786" xr:uid="{00000000-0005-0000-0000-0000A3770000}"/>
    <cellStyle name="Normal 18 5 2 6" xfId="29535" xr:uid="{00000000-0005-0000-0000-0000A4770000}"/>
    <cellStyle name="Normal 18 5 2 7" xfId="45311" xr:uid="{00000000-0005-0000-0000-0000A5770000}"/>
    <cellStyle name="Normal 18 5 3" xfId="29536" xr:uid="{00000000-0005-0000-0000-0000A6770000}"/>
    <cellStyle name="Normal 18 5 3 2" xfId="29537" xr:uid="{00000000-0005-0000-0000-0000A7770000}"/>
    <cellStyle name="Normal 18 5 3 2 2" xfId="29538" xr:uid="{00000000-0005-0000-0000-0000A8770000}"/>
    <cellStyle name="Normal 18 5 3 2 2 2" xfId="39787" xr:uid="{00000000-0005-0000-0000-0000A9770000}"/>
    <cellStyle name="Normal 18 5 3 2 3" xfId="29539" xr:uid="{00000000-0005-0000-0000-0000AA770000}"/>
    <cellStyle name="Normal 18 5 3 3" xfId="29540" xr:uid="{00000000-0005-0000-0000-0000AB770000}"/>
    <cellStyle name="Normal 18 5 3 3 2" xfId="29541" xr:uid="{00000000-0005-0000-0000-0000AC770000}"/>
    <cellStyle name="Normal 18 5 3 3 2 2" xfId="39788" xr:uid="{00000000-0005-0000-0000-0000AD770000}"/>
    <cellStyle name="Normal 18 5 3 3 3" xfId="29542" xr:uid="{00000000-0005-0000-0000-0000AE770000}"/>
    <cellStyle name="Normal 18 5 3 4" xfId="29543" xr:uid="{00000000-0005-0000-0000-0000AF770000}"/>
    <cellStyle name="Normal 18 5 3 4 2" xfId="39789" xr:uid="{00000000-0005-0000-0000-0000B0770000}"/>
    <cellStyle name="Normal 18 5 3 5" xfId="29544" xr:uid="{00000000-0005-0000-0000-0000B1770000}"/>
    <cellStyle name="Normal 18 5 4" xfId="29545" xr:uid="{00000000-0005-0000-0000-0000B2770000}"/>
    <cellStyle name="Normal 18 5 4 2" xfId="29546" xr:uid="{00000000-0005-0000-0000-0000B3770000}"/>
    <cellStyle name="Normal 18 5 4 2 2" xfId="39790" xr:uid="{00000000-0005-0000-0000-0000B4770000}"/>
    <cellStyle name="Normal 18 5 4 3" xfId="29547" xr:uid="{00000000-0005-0000-0000-0000B5770000}"/>
    <cellStyle name="Normal 18 5 5" xfId="29548" xr:uid="{00000000-0005-0000-0000-0000B6770000}"/>
    <cellStyle name="Normal 18 5 5 2" xfId="29549" xr:uid="{00000000-0005-0000-0000-0000B7770000}"/>
    <cellStyle name="Normal 18 5 5 2 2" xfId="39791" xr:uid="{00000000-0005-0000-0000-0000B8770000}"/>
    <cellStyle name="Normal 18 5 5 3" xfId="29550" xr:uid="{00000000-0005-0000-0000-0000B9770000}"/>
    <cellStyle name="Normal 18 5 6" xfId="29551" xr:uid="{00000000-0005-0000-0000-0000BA770000}"/>
    <cellStyle name="Normal 18 5 6 2" xfId="39792" xr:uid="{00000000-0005-0000-0000-0000BB770000}"/>
    <cellStyle name="Normal 18 5 7" xfId="29552" xr:uid="{00000000-0005-0000-0000-0000BC770000}"/>
    <cellStyle name="Normal 18 5 8" xfId="45312" xr:uid="{00000000-0005-0000-0000-0000BD770000}"/>
    <cellStyle name="Normal 18 6" xfId="1400" xr:uid="{00000000-0005-0000-0000-0000BE770000}"/>
    <cellStyle name="Normal 18 6 2" xfId="29553" xr:uid="{00000000-0005-0000-0000-0000BF770000}"/>
    <cellStyle name="Normal 18 6 2 2" xfId="29554" xr:uid="{00000000-0005-0000-0000-0000C0770000}"/>
    <cellStyle name="Normal 18 6 2 2 2" xfId="29555" xr:uid="{00000000-0005-0000-0000-0000C1770000}"/>
    <cellStyle name="Normal 18 6 2 2 2 2" xfId="39793" xr:uid="{00000000-0005-0000-0000-0000C2770000}"/>
    <cellStyle name="Normal 18 6 2 2 3" xfId="29556" xr:uid="{00000000-0005-0000-0000-0000C3770000}"/>
    <cellStyle name="Normal 18 6 2 3" xfId="29557" xr:uid="{00000000-0005-0000-0000-0000C4770000}"/>
    <cellStyle name="Normal 18 6 2 3 2" xfId="29558" xr:uid="{00000000-0005-0000-0000-0000C5770000}"/>
    <cellStyle name="Normal 18 6 2 3 2 2" xfId="39794" xr:uid="{00000000-0005-0000-0000-0000C6770000}"/>
    <cellStyle name="Normal 18 6 2 3 3" xfId="29559" xr:uid="{00000000-0005-0000-0000-0000C7770000}"/>
    <cellStyle name="Normal 18 6 2 4" xfId="29560" xr:uid="{00000000-0005-0000-0000-0000C8770000}"/>
    <cellStyle name="Normal 18 6 2 4 2" xfId="39795" xr:uid="{00000000-0005-0000-0000-0000C9770000}"/>
    <cellStyle name="Normal 18 6 2 5" xfId="29561" xr:uid="{00000000-0005-0000-0000-0000CA770000}"/>
    <cellStyle name="Normal 18 6 3" xfId="29562" xr:uid="{00000000-0005-0000-0000-0000CB770000}"/>
    <cellStyle name="Normal 18 6 3 2" xfId="29563" xr:uid="{00000000-0005-0000-0000-0000CC770000}"/>
    <cellStyle name="Normal 18 6 3 2 2" xfId="39796" xr:uid="{00000000-0005-0000-0000-0000CD770000}"/>
    <cellStyle name="Normal 18 6 3 3" xfId="29564" xr:uid="{00000000-0005-0000-0000-0000CE770000}"/>
    <cellStyle name="Normal 18 6 4" xfId="29565" xr:uid="{00000000-0005-0000-0000-0000CF770000}"/>
    <cellStyle name="Normal 18 6 4 2" xfId="29566" xr:uid="{00000000-0005-0000-0000-0000D0770000}"/>
    <cellStyle name="Normal 18 6 4 2 2" xfId="39797" xr:uid="{00000000-0005-0000-0000-0000D1770000}"/>
    <cellStyle name="Normal 18 6 4 3" xfId="29567" xr:uid="{00000000-0005-0000-0000-0000D2770000}"/>
    <cellStyle name="Normal 18 6 5" xfId="29568" xr:uid="{00000000-0005-0000-0000-0000D3770000}"/>
    <cellStyle name="Normal 18 6 5 2" xfId="39798" xr:uid="{00000000-0005-0000-0000-0000D4770000}"/>
    <cellStyle name="Normal 18 6 6" xfId="29569" xr:uid="{00000000-0005-0000-0000-0000D5770000}"/>
    <cellStyle name="Normal 18 6 7" xfId="45313" xr:uid="{00000000-0005-0000-0000-0000D6770000}"/>
    <cellStyle name="Normal 18 7" xfId="1401" xr:uid="{00000000-0005-0000-0000-0000D7770000}"/>
    <cellStyle name="Normal 18 7 2" xfId="29570" xr:uid="{00000000-0005-0000-0000-0000D8770000}"/>
    <cellStyle name="Normal 18 7 2 2" xfId="29571" xr:uid="{00000000-0005-0000-0000-0000D9770000}"/>
    <cellStyle name="Normal 18 7 2 2 2" xfId="39799" xr:uid="{00000000-0005-0000-0000-0000DA770000}"/>
    <cellStyle name="Normal 18 7 2 3" xfId="29572" xr:uid="{00000000-0005-0000-0000-0000DB770000}"/>
    <cellStyle name="Normal 18 7 3" xfId="29573" xr:uid="{00000000-0005-0000-0000-0000DC770000}"/>
    <cellStyle name="Normal 18 7 3 2" xfId="29574" xr:uid="{00000000-0005-0000-0000-0000DD770000}"/>
    <cellStyle name="Normal 18 7 3 2 2" xfId="39800" xr:uid="{00000000-0005-0000-0000-0000DE770000}"/>
    <cellStyle name="Normal 18 7 3 3" xfId="29575" xr:uid="{00000000-0005-0000-0000-0000DF770000}"/>
    <cellStyle name="Normal 18 7 4" xfId="29576" xr:uid="{00000000-0005-0000-0000-0000E0770000}"/>
    <cellStyle name="Normal 18 7 4 2" xfId="39801" xr:uid="{00000000-0005-0000-0000-0000E1770000}"/>
    <cellStyle name="Normal 18 7 5" xfId="29577" xr:uid="{00000000-0005-0000-0000-0000E2770000}"/>
    <cellStyle name="Normal 18 7 6" xfId="45314" xr:uid="{00000000-0005-0000-0000-0000E3770000}"/>
    <cellStyle name="Normal 18 8" xfId="29578" xr:uid="{00000000-0005-0000-0000-0000E4770000}"/>
    <cellStyle name="Normal 18 8 2" xfId="29579" xr:uid="{00000000-0005-0000-0000-0000E5770000}"/>
    <cellStyle name="Normal 18 8 2 2" xfId="39802" xr:uid="{00000000-0005-0000-0000-0000E6770000}"/>
    <cellStyle name="Normal 18 8 3" xfId="29580" xr:uid="{00000000-0005-0000-0000-0000E7770000}"/>
    <cellStyle name="Normal 18 9" xfId="29581" xr:uid="{00000000-0005-0000-0000-0000E8770000}"/>
    <cellStyle name="Normal 18 9 2" xfId="29582" xr:uid="{00000000-0005-0000-0000-0000E9770000}"/>
    <cellStyle name="Normal 18 9 2 2" xfId="39803" xr:uid="{00000000-0005-0000-0000-0000EA770000}"/>
    <cellStyle name="Normal 18 9 3" xfId="29583" xr:uid="{00000000-0005-0000-0000-0000EB770000}"/>
    <cellStyle name="Normal 18_2112 2148 Reg Labor" xfId="29584" xr:uid="{00000000-0005-0000-0000-0000EC770000}"/>
    <cellStyle name="Normal 19" xfId="403" xr:uid="{00000000-0005-0000-0000-0000ED770000}"/>
    <cellStyle name="Normal 19 2" xfId="404" xr:uid="{00000000-0005-0000-0000-0000EE770000}"/>
    <cellStyle name="Normal 19 2 2" xfId="1402" xr:uid="{00000000-0005-0000-0000-0000EF770000}"/>
    <cellStyle name="Normal 19 2 2 2" xfId="39804" xr:uid="{00000000-0005-0000-0000-0000F0770000}"/>
    <cellStyle name="Normal 19 2 3" xfId="1403" xr:uid="{00000000-0005-0000-0000-0000F1770000}"/>
    <cellStyle name="Normal 19 2 3 2" xfId="39805" xr:uid="{00000000-0005-0000-0000-0000F2770000}"/>
    <cellStyle name="Normal 19 2 4" xfId="29585" xr:uid="{00000000-0005-0000-0000-0000F3770000}"/>
    <cellStyle name="Normal 19 3" xfId="405" xr:uid="{00000000-0005-0000-0000-0000F4770000}"/>
    <cellStyle name="Normal 19 3 2" xfId="1404" xr:uid="{00000000-0005-0000-0000-0000F5770000}"/>
    <cellStyle name="Normal 19 3 2 2" xfId="29586" xr:uid="{00000000-0005-0000-0000-0000F6770000}"/>
    <cellStyle name="Normal 19 3 2 3" xfId="45315" xr:uid="{00000000-0005-0000-0000-0000F7770000}"/>
    <cellStyle name="Normal 19 3 3" xfId="29587" xr:uid="{00000000-0005-0000-0000-0000F8770000}"/>
    <cellStyle name="Normal 19 3 3 2" xfId="29588" xr:uid="{00000000-0005-0000-0000-0000F9770000}"/>
    <cellStyle name="Normal 19 3 3 3" xfId="44587" xr:uid="{00000000-0005-0000-0000-0000FA770000}"/>
    <cellStyle name="Normal 19 3 4" xfId="39806" xr:uid="{00000000-0005-0000-0000-0000FB770000}"/>
    <cellStyle name="Normal 19 3 5" xfId="39807" xr:uid="{00000000-0005-0000-0000-0000FC770000}"/>
    <cellStyle name="Normal 19 4" xfId="1405" xr:uid="{00000000-0005-0000-0000-0000FD770000}"/>
    <cellStyle name="Normal 19 4 2" xfId="29589" xr:uid="{00000000-0005-0000-0000-0000FE770000}"/>
    <cellStyle name="Normal 19 4 3" xfId="39808" xr:uid="{00000000-0005-0000-0000-0000FF770000}"/>
    <cellStyle name="Normal 19 5" xfId="1406" xr:uid="{00000000-0005-0000-0000-000000780000}"/>
    <cellStyle name="Normal 19 5 2" xfId="29590" xr:uid="{00000000-0005-0000-0000-000001780000}"/>
    <cellStyle name="Normal 19 6" xfId="1407" xr:uid="{00000000-0005-0000-0000-000002780000}"/>
    <cellStyle name="Normal 19 6 2" xfId="39809" xr:uid="{00000000-0005-0000-0000-000003780000}"/>
    <cellStyle name="Normal 19 7" xfId="29591" xr:uid="{00000000-0005-0000-0000-000004780000}"/>
    <cellStyle name="Normal 19 7 2" xfId="42529" xr:uid="{00000000-0005-0000-0000-000005780000}"/>
    <cellStyle name="Normal 19 7 3" xfId="45316" xr:uid="{00000000-0005-0000-0000-000006780000}"/>
    <cellStyle name="Normal 19 8" xfId="39810" xr:uid="{00000000-0005-0000-0000-000007780000}"/>
    <cellStyle name="Normal 19_2112 2148 Reg Labor" xfId="29592" xr:uid="{00000000-0005-0000-0000-000008780000}"/>
    <cellStyle name="Normal 2" xfId="39" xr:uid="{00000000-0005-0000-0000-000009780000}"/>
    <cellStyle name="Normal 2 10" xfId="406" xr:uid="{00000000-0005-0000-0000-00000A780000}"/>
    <cellStyle name="Normal 2 10 2" xfId="1408" xr:uid="{00000000-0005-0000-0000-00000B780000}"/>
    <cellStyle name="Normal 2 10 2 2" xfId="29593" xr:uid="{00000000-0005-0000-0000-00000C780000}"/>
    <cellStyle name="Normal 2 10 2 2 2" xfId="39811" xr:uid="{00000000-0005-0000-0000-00000D780000}"/>
    <cellStyle name="Normal 2 10 2 2 3" xfId="45317" xr:uid="{00000000-0005-0000-0000-00000E780000}"/>
    <cellStyle name="Normal 2 10 2 3" xfId="39812" xr:uid="{00000000-0005-0000-0000-00000F780000}"/>
    <cellStyle name="Normal 2 10 2 4" xfId="45318" xr:uid="{00000000-0005-0000-0000-000010780000}"/>
    <cellStyle name="Normal 2 10 3" xfId="1409" xr:uid="{00000000-0005-0000-0000-000011780000}"/>
    <cellStyle name="Normal 2 10 3 2" xfId="39813" xr:uid="{00000000-0005-0000-0000-000012780000}"/>
    <cellStyle name="Normal 2 10 4" xfId="1410" xr:uid="{00000000-0005-0000-0000-000013780000}"/>
    <cellStyle name="Normal 2 10 4 2" xfId="39814" xr:uid="{00000000-0005-0000-0000-000014780000}"/>
    <cellStyle name="Normal 2 10 5" xfId="29594" xr:uid="{00000000-0005-0000-0000-000015780000}"/>
    <cellStyle name="Normal 2 10 5 2" xfId="39815" xr:uid="{00000000-0005-0000-0000-000016780000}"/>
    <cellStyle name="Normal 2 10 6" xfId="29595" xr:uid="{00000000-0005-0000-0000-000017780000}"/>
    <cellStyle name="Normal 2 10 7" xfId="39816" xr:uid="{00000000-0005-0000-0000-000018780000}"/>
    <cellStyle name="Normal 2 10 8" xfId="42457" xr:uid="{00000000-0005-0000-0000-000019780000}"/>
    <cellStyle name="Normal 2 11" xfId="407" xr:uid="{00000000-0005-0000-0000-00001A780000}"/>
    <cellStyle name="Normal 2 11 2" xfId="683" xr:uid="{00000000-0005-0000-0000-00001B780000}"/>
    <cellStyle name="Normal 2 11 2 2" xfId="39817" xr:uid="{00000000-0005-0000-0000-00001C780000}"/>
    <cellStyle name="Normal 2 11 3" xfId="29596" xr:uid="{00000000-0005-0000-0000-00001D780000}"/>
    <cellStyle name="Normal 2 11 3 2" xfId="39818" xr:uid="{00000000-0005-0000-0000-00001E780000}"/>
    <cellStyle name="Normal 2 11 4" xfId="39819" xr:uid="{00000000-0005-0000-0000-00001F780000}"/>
    <cellStyle name="Normal 2 11 5" xfId="39820" xr:uid="{00000000-0005-0000-0000-000020780000}"/>
    <cellStyle name="Normal 2 12" xfId="1411" xr:uid="{00000000-0005-0000-0000-000021780000}"/>
    <cellStyle name="Normal 2 12 2" xfId="29597" xr:uid="{00000000-0005-0000-0000-000022780000}"/>
    <cellStyle name="Normal 2 12 2 2" xfId="29598" xr:uid="{00000000-0005-0000-0000-000023780000}"/>
    <cellStyle name="Normal 2 12 2 3" xfId="44588" xr:uid="{00000000-0005-0000-0000-000024780000}"/>
    <cellStyle name="Normal 2 12 3" xfId="39821" xr:uid="{00000000-0005-0000-0000-000025780000}"/>
    <cellStyle name="Normal 2 12 4" xfId="45319" xr:uid="{00000000-0005-0000-0000-000026780000}"/>
    <cellStyle name="Normal 2 13" xfId="1412" xr:uid="{00000000-0005-0000-0000-000027780000}"/>
    <cellStyle name="Normal 2 13 2" xfId="39822" xr:uid="{00000000-0005-0000-0000-000028780000}"/>
    <cellStyle name="Normal 2 13 3" xfId="45320" xr:uid="{00000000-0005-0000-0000-000029780000}"/>
    <cellStyle name="Normal 2 14" xfId="1413" xr:uid="{00000000-0005-0000-0000-00002A780000}"/>
    <cellStyle name="Normal 2 14 2" xfId="39823" xr:uid="{00000000-0005-0000-0000-00002B780000}"/>
    <cellStyle name="Normal 2 14 3" xfId="45321" xr:uid="{00000000-0005-0000-0000-00002C780000}"/>
    <cellStyle name="Normal 2 15" xfId="1414" xr:uid="{00000000-0005-0000-0000-00002D780000}"/>
    <cellStyle name="Normal 2 15 2" xfId="39824" xr:uid="{00000000-0005-0000-0000-00002E780000}"/>
    <cellStyle name="Normal 2 15 3" xfId="45322" xr:uid="{00000000-0005-0000-0000-00002F780000}"/>
    <cellStyle name="Normal 2 16" xfId="1415" xr:uid="{00000000-0005-0000-0000-000030780000}"/>
    <cellStyle name="Normal 2 16 2" xfId="39825" xr:uid="{00000000-0005-0000-0000-000031780000}"/>
    <cellStyle name="Normal 2 16 3" xfId="45323" xr:uid="{00000000-0005-0000-0000-000032780000}"/>
    <cellStyle name="Normal 2 17" xfId="1416" xr:uid="{00000000-0005-0000-0000-000033780000}"/>
    <cellStyle name="Normal 2 17 2" xfId="39826" xr:uid="{00000000-0005-0000-0000-000034780000}"/>
    <cellStyle name="Normal 2 17 3" xfId="45324" xr:uid="{00000000-0005-0000-0000-000035780000}"/>
    <cellStyle name="Normal 2 18" xfId="29599" xr:uid="{00000000-0005-0000-0000-000036780000}"/>
    <cellStyle name="Normal 2 18 2" xfId="42530" xr:uid="{00000000-0005-0000-0000-000037780000}"/>
    <cellStyle name="Normal 2 18 3" xfId="45325" xr:uid="{00000000-0005-0000-0000-000038780000}"/>
    <cellStyle name="Normal 2 19" xfId="39827" xr:uid="{00000000-0005-0000-0000-000039780000}"/>
    <cellStyle name="Normal 2 2" xfId="8" xr:uid="{00000000-0005-0000-0000-00003A780000}"/>
    <cellStyle name="Normal 2 2 10" xfId="1417" xr:uid="{00000000-0005-0000-0000-00003B780000}"/>
    <cellStyle name="Normal 2 2 10 2" xfId="39828" xr:uid="{00000000-0005-0000-0000-00003C780000}"/>
    <cellStyle name="Normal 2 2 10 3" xfId="45326" xr:uid="{00000000-0005-0000-0000-00003D780000}"/>
    <cellStyle name="Normal 2 2 11" xfId="1418" xr:uid="{00000000-0005-0000-0000-00003E780000}"/>
    <cellStyle name="Normal 2 2 11 2" xfId="39829" xr:uid="{00000000-0005-0000-0000-00003F780000}"/>
    <cellStyle name="Normal 2 2 12" xfId="29600" xr:uid="{00000000-0005-0000-0000-000040780000}"/>
    <cellStyle name="Normal 2 2 13" xfId="29601" xr:uid="{00000000-0005-0000-0000-000041780000}"/>
    <cellStyle name="Normal 2 2 2" xfId="40" xr:uid="{00000000-0005-0000-0000-000042780000}"/>
    <cellStyle name="Normal 2 2 2 10" xfId="29602" xr:uid="{00000000-0005-0000-0000-000043780000}"/>
    <cellStyle name="Normal 2 2 2 11" xfId="39830" xr:uid="{00000000-0005-0000-0000-000044780000}"/>
    <cellStyle name="Normal 2 2 2 2" xfId="408" xr:uid="{00000000-0005-0000-0000-000045780000}"/>
    <cellStyle name="Normal 2 2 2 2 2" xfId="1419" xr:uid="{00000000-0005-0000-0000-000046780000}"/>
    <cellStyle name="Normal 2 2 2 2 2 2" xfId="1420" xr:uid="{00000000-0005-0000-0000-000047780000}"/>
    <cellStyle name="Normal 2 2 2 2 2 2 2" xfId="1421" xr:uid="{00000000-0005-0000-0000-000048780000}"/>
    <cellStyle name="Normal 2 2 2 2 2 2 2 2" xfId="39831" xr:uid="{00000000-0005-0000-0000-000049780000}"/>
    <cellStyle name="Normal 2 2 2 2 2 2 2 3" xfId="45327" xr:uid="{00000000-0005-0000-0000-00004A780000}"/>
    <cellStyle name="Normal 2 2 2 2 2 2 3" xfId="1422" xr:uid="{00000000-0005-0000-0000-00004B780000}"/>
    <cellStyle name="Normal 2 2 2 2 2 2 3 2" xfId="39832" xr:uid="{00000000-0005-0000-0000-00004C780000}"/>
    <cellStyle name="Normal 2 2 2 2 2 2 3 3" xfId="45328" xr:uid="{00000000-0005-0000-0000-00004D780000}"/>
    <cellStyle name="Normal 2 2 2 2 2 2 4" xfId="39833" xr:uid="{00000000-0005-0000-0000-00004E780000}"/>
    <cellStyle name="Normal 2 2 2 2 2 2 5" xfId="45329" xr:uid="{00000000-0005-0000-0000-00004F780000}"/>
    <cellStyle name="Normal 2 2 2 2 2 3" xfId="1423" xr:uid="{00000000-0005-0000-0000-000050780000}"/>
    <cellStyle name="Normal 2 2 2 2 2 3 2" xfId="1424" xr:uid="{00000000-0005-0000-0000-000051780000}"/>
    <cellStyle name="Normal 2 2 2 2 2 3 2 2" xfId="39834" xr:uid="{00000000-0005-0000-0000-000052780000}"/>
    <cellStyle name="Normal 2 2 2 2 2 3 2 3" xfId="45330" xr:uid="{00000000-0005-0000-0000-000053780000}"/>
    <cellStyle name="Normal 2 2 2 2 2 3 3" xfId="1425" xr:uid="{00000000-0005-0000-0000-000054780000}"/>
    <cellStyle name="Normal 2 2 2 2 2 3 3 2" xfId="39835" xr:uid="{00000000-0005-0000-0000-000055780000}"/>
    <cellStyle name="Normal 2 2 2 2 2 3 3 3" xfId="45331" xr:uid="{00000000-0005-0000-0000-000056780000}"/>
    <cellStyle name="Normal 2 2 2 2 2 3 4" xfId="39836" xr:uid="{00000000-0005-0000-0000-000057780000}"/>
    <cellStyle name="Normal 2 2 2 2 2 3 5" xfId="45332" xr:uid="{00000000-0005-0000-0000-000058780000}"/>
    <cellStyle name="Normal 2 2 2 2 2 4" xfId="1426" xr:uid="{00000000-0005-0000-0000-000059780000}"/>
    <cellStyle name="Normal 2 2 2 2 2 4 2" xfId="39837" xr:uid="{00000000-0005-0000-0000-00005A780000}"/>
    <cellStyle name="Normal 2 2 2 2 2 4 3" xfId="45333" xr:uid="{00000000-0005-0000-0000-00005B780000}"/>
    <cellStyle name="Normal 2 2 2 2 2 5" xfId="1427" xr:uid="{00000000-0005-0000-0000-00005C780000}"/>
    <cellStyle name="Normal 2 2 2 2 2 5 2" xfId="39838" xr:uid="{00000000-0005-0000-0000-00005D780000}"/>
    <cellStyle name="Normal 2 2 2 2 2 5 3" xfId="45334" xr:uid="{00000000-0005-0000-0000-00005E780000}"/>
    <cellStyle name="Normal 2 2 2 2 2 6" xfId="29603" xr:uid="{00000000-0005-0000-0000-00005F780000}"/>
    <cellStyle name="Normal 2 2 2 2 2 7" xfId="42475" xr:uid="{00000000-0005-0000-0000-000060780000}"/>
    <cellStyle name="Normal 2 2 2 2 2 8" xfId="45335" xr:uid="{00000000-0005-0000-0000-000061780000}"/>
    <cellStyle name="Normal 2 2 2 2 3" xfId="1428" xr:uid="{00000000-0005-0000-0000-000062780000}"/>
    <cellStyle name="Normal 2 2 2 2 3 2" xfId="1429" xr:uid="{00000000-0005-0000-0000-000063780000}"/>
    <cellStyle name="Normal 2 2 2 2 3 2 2" xfId="39839" xr:uid="{00000000-0005-0000-0000-000064780000}"/>
    <cellStyle name="Normal 2 2 2 2 3 2 3" xfId="45336" xr:uid="{00000000-0005-0000-0000-000065780000}"/>
    <cellStyle name="Normal 2 2 2 2 3 3" xfId="1430" xr:uid="{00000000-0005-0000-0000-000066780000}"/>
    <cellStyle name="Normal 2 2 2 2 3 3 2" xfId="39840" xr:uid="{00000000-0005-0000-0000-000067780000}"/>
    <cellStyle name="Normal 2 2 2 2 3 3 3" xfId="45337" xr:uid="{00000000-0005-0000-0000-000068780000}"/>
    <cellStyle name="Normal 2 2 2 2 3 4" xfId="1431" xr:uid="{00000000-0005-0000-0000-000069780000}"/>
    <cellStyle name="Normal 2 2 2 2 3 4 2" xfId="39841" xr:uid="{00000000-0005-0000-0000-00006A780000}"/>
    <cellStyle name="Normal 2 2 2 2 3 4 3" xfId="45338" xr:uid="{00000000-0005-0000-0000-00006B780000}"/>
    <cellStyle name="Normal 2 2 2 2 3 5" xfId="1432" xr:uid="{00000000-0005-0000-0000-00006C780000}"/>
    <cellStyle name="Normal 2 2 2 2 3 5 2" xfId="39842" xr:uid="{00000000-0005-0000-0000-00006D780000}"/>
    <cellStyle name="Normal 2 2 2 2 3 5 3" xfId="45339" xr:uid="{00000000-0005-0000-0000-00006E780000}"/>
    <cellStyle name="Normal 2 2 2 2 3 6" xfId="39843" xr:uid="{00000000-0005-0000-0000-00006F780000}"/>
    <cellStyle name="Normal 2 2 2 2 3 7" xfId="45340" xr:uid="{00000000-0005-0000-0000-000070780000}"/>
    <cellStyle name="Normal 2 2 2 2 4" xfId="1433" xr:uid="{00000000-0005-0000-0000-000071780000}"/>
    <cellStyle name="Normal 2 2 2 2 4 2" xfId="1434" xr:uid="{00000000-0005-0000-0000-000072780000}"/>
    <cellStyle name="Normal 2 2 2 2 4 2 2" xfId="39844" xr:uid="{00000000-0005-0000-0000-000073780000}"/>
    <cellStyle name="Normal 2 2 2 2 4 2 3" xfId="45341" xr:uid="{00000000-0005-0000-0000-000074780000}"/>
    <cellStyle name="Normal 2 2 2 2 4 3" xfId="1435" xr:uid="{00000000-0005-0000-0000-000075780000}"/>
    <cellStyle name="Normal 2 2 2 2 4 3 2" xfId="39845" xr:uid="{00000000-0005-0000-0000-000076780000}"/>
    <cellStyle name="Normal 2 2 2 2 4 3 3" xfId="45342" xr:uid="{00000000-0005-0000-0000-000077780000}"/>
    <cellStyle name="Normal 2 2 2 2 4 4" xfId="39846" xr:uid="{00000000-0005-0000-0000-000078780000}"/>
    <cellStyle name="Normal 2 2 2 2 4 5" xfId="45343" xr:uid="{00000000-0005-0000-0000-000079780000}"/>
    <cellStyle name="Normal 2 2 2 2 5" xfId="1436" xr:uid="{00000000-0005-0000-0000-00007A780000}"/>
    <cellStyle name="Normal 2 2 2 2 5 2" xfId="1437" xr:uid="{00000000-0005-0000-0000-00007B780000}"/>
    <cellStyle name="Normal 2 2 2 2 5 2 2" xfId="39847" xr:uid="{00000000-0005-0000-0000-00007C780000}"/>
    <cellStyle name="Normal 2 2 2 2 5 2 3" xfId="45344" xr:uid="{00000000-0005-0000-0000-00007D780000}"/>
    <cellStyle name="Normal 2 2 2 2 5 3" xfId="1438" xr:uid="{00000000-0005-0000-0000-00007E780000}"/>
    <cellStyle name="Normal 2 2 2 2 5 3 2" xfId="39848" xr:uid="{00000000-0005-0000-0000-00007F780000}"/>
    <cellStyle name="Normal 2 2 2 2 5 3 3" xfId="45345" xr:uid="{00000000-0005-0000-0000-000080780000}"/>
    <cellStyle name="Normal 2 2 2 2 5 4" xfId="39849" xr:uid="{00000000-0005-0000-0000-000081780000}"/>
    <cellStyle name="Normal 2 2 2 2 5 5" xfId="45346" xr:uid="{00000000-0005-0000-0000-000082780000}"/>
    <cellStyle name="Normal 2 2 2 2 6" xfId="1439" xr:uid="{00000000-0005-0000-0000-000083780000}"/>
    <cellStyle name="Normal 2 2 2 2 6 2" xfId="39850" xr:uid="{00000000-0005-0000-0000-000084780000}"/>
    <cellStyle name="Normal 2 2 2 2 6 3" xfId="45347" xr:uid="{00000000-0005-0000-0000-000085780000}"/>
    <cellStyle name="Normal 2 2 2 2 7" xfId="1440" xr:uid="{00000000-0005-0000-0000-000086780000}"/>
    <cellStyle name="Normal 2 2 2 2 7 2" xfId="39851" xr:uid="{00000000-0005-0000-0000-000087780000}"/>
    <cellStyle name="Normal 2 2 2 2 7 3" xfId="45348" xr:uid="{00000000-0005-0000-0000-000088780000}"/>
    <cellStyle name="Normal 2 2 2 2 8" xfId="39852" xr:uid="{00000000-0005-0000-0000-000089780000}"/>
    <cellStyle name="Normal 2 2 2 2 9" xfId="39853" xr:uid="{00000000-0005-0000-0000-00008A780000}"/>
    <cellStyle name="Normal 2 2 2 2_District-Division Listing" xfId="39854" xr:uid="{00000000-0005-0000-0000-00008B780000}"/>
    <cellStyle name="Normal 2 2 2 3" xfId="1441" xr:uid="{00000000-0005-0000-0000-00008C780000}"/>
    <cellStyle name="Normal 2 2 2 3 2" xfId="1442" xr:uid="{00000000-0005-0000-0000-00008D780000}"/>
    <cellStyle name="Normal 2 2 2 3 2 2" xfId="1443" xr:uid="{00000000-0005-0000-0000-00008E780000}"/>
    <cellStyle name="Normal 2 2 2 3 2 2 2" xfId="39855" xr:uid="{00000000-0005-0000-0000-00008F780000}"/>
    <cellStyle name="Normal 2 2 2 3 2 2 3" xfId="45349" xr:uid="{00000000-0005-0000-0000-000090780000}"/>
    <cellStyle name="Normal 2 2 2 3 2 3" xfId="1444" xr:uid="{00000000-0005-0000-0000-000091780000}"/>
    <cellStyle name="Normal 2 2 2 3 2 3 2" xfId="39856" xr:uid="{00000000-0005-0000-0000-000092780000}"/>
    <cellStyle name="Normal 2 2 2 3 2 3 3" xfId="45350" xr:uid="{00000000-0005-0000-0000-000093780000}"/>
    <cellStyle name="Normal 2 2 2 3 2 4" xfId="39857" xr:uid="{00000000-0005-0000-0000-000094780000}"/>
    <cellStyle name="Normal 2 2 2 3 2 5" xfId="45351" xr:uid="{00000000-0005-0000-0000-000095780000}"/>
    <cellStyle name="Normal 2 2 2 3 3" xfId="1445" xr:uid="{00000000-0005-0000-0000-000096780000}"/>
    <cellStyle name="Normal 2 2 2 3 3 2" xfId="1446" xr:uid="{00000000-0005-0000-0000-000097780000}"/>
    <cellStyle name="Normal 2 2 2 3 3 2 2" xfId="39858" xr:uid="{00000000-0005-0000-0000-000098780000}"/>
    <cellStyle name="Normal 2 2 2 3 3 2 3" xfId="45352" xr:uid="{00000000-0005-0000-0000-000099780000}"/>
    <cellStyle name="Normal 2 2 2 3 3 3" xfId="1447" xr:uid="{00000000-0005-0000-0000-00009A780000}"/>
    <cellStyle name="Normal 2 2 2 3 3 3 2" xfId="39859" xr:uid="{00000000-0005-0000-0000-00009B780000}"/>
    <cellStyle name="Normal 2 2 2 3 3 3 3" xfId="45353" xr:uid="{00000000-0005-0000-0000-00009C780000}"/>
    <cellStyle name="Normal 2 2 2 3 3 4" xfId="39860" xr:uid="{00000000-0005-0000-0000-00009D780000}"/>
    <cellStyle name="Normal 2 2 2 3 3 5" xfId="45354" xr:uid="{00000000-0005-0000-0000-00009E780000}"/>
    <cellStyle name="Normal 2 2 2 3 4" xfId="1448" xr:uid="{00000000-0005-0000-0000-00009F780000}"/>
    <cellStyle name="Normal 2 2 2 3 4 2" xfId="39861" xr:uid="{00000000-0005-0000-0000-0000A0780000}"/>
    <cellStyle name="Normal 2 2 2 3 4 3" xfId="45355" xr:uid="{00000000-0005-0000-0000-0000A1780000}"/>
    <cellStyle name="Normal 2 2 2 3 5" xfId="1449" xr:uid="{00000000-0005-0000-0000-0000A2780000}"/>
    <cellStyle name="Normal 2 2 2 3 5 2" xfId="39862" xr:uid="{00000000-0005-0000-0000-0000A3780000}"/>
    <cellStyle name="Normal 2 2 2 3 5 3" xfId="45356" xr:uid="{00000000-0005-0000-0000-0000A4780000}"/>
    <cellStyle name="Normal 2 2 2 3 6" xfId="39863" xr:uid="{00000000-0005-0000-0000-0000A5780000}"/>
    <cellStyle name="Normal 2 2 2 3 7" xfId="45357" xr:uid="{00000000-0005-0000-0000-0000A6780000}"/>
    <cellStyle name="Normal 2 2 2 4" xfId="1450" xr:uid="{00000000-0005-0000-0000-0000A7780000}"/>
    <cellStyle name="Normal 2 2 2 4 2" xfId="1451" xr:uid="{00000000-0005-0000-0000-0000A8780000}"/>
    <cellStyle name="Normal 2 2 2 4 2 2" xfId="39864" xr:uid="{00000000-0005-0000-0000-0000A9780000}"/>
    <cellStyle name="Normal 2 2 2 4 2 3" xfId="45358" xr:uid="{00000000-0005-0000-0000-0000AA780000}"/>
    <cellStyle name="Normal 2 2 2 4 3" xfId="1452" xr:uid="{00000000-0005-0000-0000-0000AB780000}"/>
    <cellStyle name="Normal 2 2 2 4 3 2" xfId="39865" xr:uid="{00000000-0005-0000-0000-0000AC780000}"/>
    <cellStyle name="Normal 2 2 2 4 3 3" xfId="45359" xr:uid="{00000000-0005-0000-0000-0000AD780000}"/>
    <cellStyle name="Normal 2 2 2 4 4" xfId="1453" xr:uid="{00000000-0005-0000-0000-0000AE780000}"/>
    <cellStyle name="Normal 2 2 2 4 4 2" xfId="39866" xr:uid="{00000000-0005-0000-0000-0000AF780000}"/>
    <cellStyle name="Normal 2 2 2 4 4 3" xfId="45360" xr:uid="{00000000-0005-0000-0000-0000B0780000}"/>
    <cellStyle name="Normal 2 2 2 4 5" xfId="1454" xr:uid="{00000000-0005-0000-0000-0000B1780000}"/>
    <cellStyle name="Normal 2 2 2 4 5 2" xfId="39867" xr:uid="{00000000-0005-0000-0000-0000B2780000}"/>
    <cellStyle name="Normal 2 2 2 4 5 3" xfId="45361" xr:uid="{00000000-0005-0000-0000-0000B3780000}"/>
    <cellStyle name="Normal 2 2 2 4 6" xfId="39868" xr:uid="{00000000-0005-0000-0000-0000B4780000}"/>
    <cellStyle name="Normal 2 2 2 4 7" xfId="45362" xr:uid="{00000000-0005-0000-0000-0000B5780000}"/>
    <cellStyle name="Normal 2 2 2 5" xfId="1455" xr:uid="{00000000-0005-0000-0000-0000B6780000}"/>
    <cellStyle name="Normal 2 2 2 5 2" xfId="1456" xr:uid="{00000000-0005-0000-0000-0000B7780000}"/>
    <cellStyle name="Normal 2 2 2 5 2 2" xfId="39869" xr:uid="{00000000-0005-0000-0000-0000B8780000}"/>
    <cellStyle name="Normal 2 2 2 5 2 3" xfId="45363" xr:uid="{00000000-0005-0000-0000-0000B9780000}"/>
    <cellStyle name="Normal 2 2 2 5 3" xfId="1457" xr:uid="{00000000-0005-0000-0000-0000BA780000}"/>
    <cellStyle name="Normal 2 2 2 5 3 2" xfId="39870" xr:uid="{00000000-0005-0000-0000-0000BB780000}"/>
    <cellStyle name="Normal 2 2 2 5 3 3" xfId="45364" xr:uid="{00000000-0005-0000-0000-0000BC780000}"/>
    <cellStyle name="Normal 2 2 2 5 4" xfId="39871" xr:uid="{00000000-0005-0000-0000-0000BD780000}"/>
    <cellStyle name="Normal 2 2 2 5 5" xfId="45365" xr:uid="{00000000-0005-0000-0000-0000BE780000}"/>
    <cellStyle name="Normal 2 2 2 6" xfId="1458" xr:uid="{00000000-0005-0000-0000-0000BF780000}"/>
    <cellStyle name="Normal 2 2 2 6 2" xfId="1459" xr:uid="{00000000-0005-0000-0000-0000C0780000}"/>
    <cellStyle name="Normal 2 2 2 6 2 2" xfId="39872" xr:uid="{00000000-0005-0000-0000-0000C1780000}"/>
    <cellStyle name="Normal 2 2 2 6 2 3" xfId="45366" xr:uid="{00000000-0005-0000-0000-0000C2780000}"/>
    <cellStyle name="Normal 2 2 2 6 3" xfId="1460" xr:uid="{00000000-0005-0000-0000-0000C3780000}"/>
    <cellStyle name="Normal 2 2 2 6 3 2" xfId="39873" xr:uid="{00000000-0005-0000-0000-0000C4780000}"/>
    <cellStyle name="Normal 2 2 2 6 3 3" xfId="45367" xr:uid="{00000000-0005-0000-0000-0000C5780000}"/>
    <cellStyle name="Normal 2 2 2 6 4" xfId="39874" xr:uid="{00000000-0005-0000-0000-0000C6780000}"/>
    <cellStyle name="Normal 2 2 2 6 5" xfId="45368" xr:uid="{00000000-0005-0000-0000-0000C7780000}"/>
    <cellStyle name="Normal 2 2 2 7" xfId="1461" xr:uid="{00000000-0005-0000-0000-0000C8780000}"/>
    <cellStyle name="Normal 2 2 2 7 2" xfId="39875" xr:uid="{00000000-0005-0000-0000-0000C9780000}"/>
    <cellStyle name="Normal 2 2 2 7 3" xfId="45369" xr:uid="{00000000-0005-0000-0000-0000CA780000}"/>
    <cellStyle name="Normal 2 2 2 8" xfId="1462" xr:uid="{00000000-0005-0000-0000-0000CB780000}"/>
    <cellStyle name="Normal 2 2 2 8 2" xfId="39876" xr:uid="{00000000-0005-0000-0000-0000CC780000}"/>
    <cellStyle name="Normal 2 2 2 8 3" xfId="45370" xr:uid="{00000000-0005-0000-0000-0000CD780000}"/>
    <cellStyle name="Normal 2 2 2 9" xfId="1463" xr:uid="{00000000-0005-0000-0000-0000CE780000}"/>
    <cellStyle name="Normal 2 2 2 9 2" xfId="39877" xr:uid="{00000000-0005-0000-0000-0000CF780000}"/>
    <cellStyle name="Normal 2 2 2_11510" xfId="46232" xr:uid="{00000000-0005-0000-0000-0000D0780000}"/>
    <cellStyle name="Normal 2 2 3" xfId="409" xr:uid="{00000000-0005-0000-0000-0000D1780000}"/>
    <cellStyle name="Normal 2 2 3 2" xfId="1464" xr:uid="{00000000-0005-0000-0000-0000D2780000}"/>
    <cellStyle name="Normal 2 2 3 2 2" xfId="1465" xr:uid="{00000000-0005-0000-0000-0000D3780000}"/>
    <cellStyle name="Normal 2 2 3 2 2 2" xfId="1466" xr:uid="{00000000-0005-0000-0000-0000D4780000}"/>
    <cellStyle name="Normal 2 2 3 2 2 2 2" xfId="39878" xr:uid="{00000000-0005-0000-0000-0000D5780000}"/>
    <cellStyle name="Normal 2 2 3 2 2 2 3" xfId="45371" xr:uid="{00000000-0005-0000-0000-0000D6780000}"/>
    <cellStyle name="Normal 2 2 3 2 2 3" xfId="1467" xr:uid="{00000000-0005-0000-0000-0000D7780000}"/>
    <cellStyle name="Normal 2 2 3 2 2 3 2" xfId="39879" xr:uid="{00000000-0005-0000-0000-0000D8780000}"/>
    <cellStyle name="Normal 2 2 3 2 2 3 3" xfId="45372" xr:uid="{00000000-0005-0000-0000-0000D9780000}"/>
    <cellStyle name="Normal 2 2 3 2 2 4" xfId="39880" xr:uid="{00000000-0005-0000-0000-0000DA780000}"/>
    <cellStyle name="Normal 2 2 3 2 2 5" xfId="45373" xr:uid="{00000000-0005-0000-0000-0000DB780000}"/>
    <cellStyle name="Normal 2 2 3 2 3" xfId="1468" xr:uid="{00000000-0005-0000-0000-0000DC780000}"/>
    <cellStyle name="Normal 2 2 3 2 3 2" xfId="1469" xr:uid="{00000000-0005-0000-0000-0000DD780000}"/>
    <cellStyle name="Normal 2 2 3 2 3 2 2" xfId="39881" xr:uid="{00000000-0005-0000-0000-0000DE780000}"/>
    <cellStyle name="Normal 2 2 3 2 3 2 3" xfId="45374" xr:uid="{00000000-0005-0000-0000-0000DF780000}"/>
    <cellStyle name="Normal 2 2 3 2 3 3" xfId="1470" xr:uid="{00000000-0005-0000-0000-0000E0780000}"/>
    <cellStyle name="Normal 2 2 3 2 3 3 2" xfId="39882" xr:uid="{00000000-0005-0000-0000-0000E1780000}"/>
    <cellStyle name="Normal 2 2 3 2 3 3 3" xfId="45375" xr:uid="{00000000-0005-0000-0000-0000E2780000}"/>
    <cellStyle name="Normal 2 2 3 2 3 4" xfId="39883" xr:uid="{00000000-0005-0000-0000-0000E3780000}"/>
    <cellStyle name="Normal 2 2 3 2 3 5" xfId="45376" xr:uid="{00000000-0005-0000-0000-0000E4780000}"/>
    <cellStyle name="Normal 2 2 3 2 4" xfId="1471" xr:uid="{00000000-0005-0000-0000-0000E5780000}"/>
    <cellStyle name="Normal 2 2 3 2 4 2" xfId="39884" xr:uid="{00000000-0005-0000-0000-0000E6780000}"/>
    <cellStyle name="Normal 2 2 3 2 4 3" xfId="45377" xr:uid="{00000000-0005-0000-0000-0000E7780000}"/>
    <cellStyle name="Normal 2 2 3 2 5" xfId="1472" xr:uid="{00000000-0005-0000-0000-0000E8780000}"/>
    <cellStyle name="Normal 2 2 3 2 5 2" xfId="39885" xr:uid="{00000000-0005-0000-0000-0000E9780000}"/>
    <cellStyle name="Normal 2 2 3 2 5 3" xfId="45378" xr:uid="{00000000-0005-0000-0000-0000EA780000}"/>
    <cellStyle name="Normal 2 2 3 2 6" xfId="29604" xr:uid="{00000000-0005-0000-0000-0000EB780000}"/>
    <cellStyle name="Normal 2 2 3 2 7" xfId="45379" xr:uid="{00000000-0005-0000-0000-0000EC780000}"/>
    <cellStyle name="Normal 2 2 3 3" xfId="1473" xr:uid="{00000000-0005-0000-0000-0000ED780000}"/>
    <cellStyle name="Normal 2 2 3 3 2" xfId="1474" xr:uid="{00000000-0005-0000-0000-0000EE780000}"/>
    <cellStyle name="Normal 2 2 3 3 2 2" xfId="39886" xr:uid="{00000000-0005-0000-0000-0000EF780000}"/>
    <cellStyle name="Normal 2 2 3 3 2 3" xfId="45380" xr:uid="{00000000-0005-0000-0000-0000F0780000}"/>
    <cellStyle name="Normal 2 2 3 3 3" xfId="1475" xr:uid="{00000000-0005-0000-0000-0000F1780000}"/>
    <cellStyle name="Normal 2 2 3 3 3 2" xfId="39887" xr:uid="{00000000-0005-0000-0000-0000F2780000}"/>
    <cellStyle name="Normal 2 2 3 3 3 3" xfId="45381" xr:uid="{00000000-0005-0000-0000-0000F3780000}"/>
    <cellStyle name="Normal 2 2 3 3 4" xfId="1476" xr:uid="{00000000-0005-0000-0000-0000F4780000}"/>
    <cellStyle name="Normal 2 2 3 3 4 2" xfId="39888" xr:uid="{00000000-0005-0000-0000-0000F5780000}"/>
    <cellStyle name="Normal 2 2 3 3 4 3" xfId="45382" xr:uid="{00000000-0005-0000-0000-0000F6780000}"/>
    <cellStyle name="Normal 2 2 3 3 5" xfId="1477" xr:uid="{00000000-0005-0000-0000-0000F7780000}"/>
    <cellStyle name="Normal 2 2 3 3 5 2" xfId="39889" xr:uid="{00000000-0005-0000-0000-0000F8780000}"/>
    <cellStyle name="Normal 2 2 3 3 5 3" xfId="45383" xr:uid="{00000000-0005-0000-0000-0000F9780000}"/>
    <cellStyle name="Normal 2 2 3 3 6" xfId="29605" xr:uid="{00000000-0005-0000-0000-0000FA780000}"/>
    <cellStyle name="Normal 2 2 3 3 7" xfId="45384" xr:uid="{00000000-0005-0000-0000-0000FB780000}"/>
    <cellStyle name="Normal 2 2 3 4" xfId="1478" xr:uid="{00000000-0005-0000-0000-0000FC780000}"/>
    <cellStyle name="Normal 2 2 3 4 2" xfId="1479" xr:uid="{00000000-0005-0000-0000-0000FD780000}"/>
    <cellStyle name="Normal 2 2 3 4 2 2" xfId="39890" xr:uid="{00000000-0005-0000-0000-0000FE780000}"/>
    <cellStyle name="Normal 2 2 3 4 2 3" xfId="45385" xr:uid="{00000000-0005-0000-0000-0000FF780000}"/>
    <cellStyle name="Normal 2 2 3 4 3" xfId="1480" xr:uid="{00000000-0005-0000-0000-000000790000}"/>
    <cellStyle name="Normal 2 2 3 4 3 2" xfId="39891" xr:uid="{00000000-0005-0000-0000-000001790000}"/>
    <cellStyle name="Normal 2 2 3 4 3 3" xfId="45386" xr:uid="{00000000-0005-0000-0000-000002790000}"/>
    <cellStyle name="Normal 2 2 3 4 4" xfId="39892" xr:uid="{00000000-0005-0000-0000-000003790000}"/>
    <cellStyle name="Normal 2 2 3 4 5" xfId="45387" xr:uid="{00000000-0005-0000-0000-000004790000}"/>
    <cellStyle name="Normal 2 2 3 5" xfId="1481" xr:uid="{00000000-0005-0000-0000-000005790000}"/>
    <cellStyle name="Normal 2 2 3 5 2" xfId="1482" xr:uid="{00000000-0005-0000-0000-000006790000}"/>
    <cellStyle name="Normal 2 2 3 5 2 2" xfId="39893" xr:uid="{00000000-0005-0000-0000-000007790000}"/>
    <cellStyle name="Normal 2 2 3 5 2 3" xfId="45388" xr:uid="{00000000-0005-0000-0000-000008790000}"/>
    <cellStyle name="Normal 2 2 3 5 3" xfId="1483" xr:uid="{00000000-0005-0000-0000-000009790000}"/>
    <cellStyle name="Normal 2 2 3 5 3 2" xfId="39894" xr:uid="{00000000-0005-0000-0000-00000A790000}"/>
    <cellStyle name="Normal 2 2 3 5 3 3" xfId="45389" xr:uid="{00000000-0005-0000-0000-00000B790000}"/>
    <cellStyle name="Normal 2 2 3 5 4" xfId="39895" xr:uid="{00000000-0005-0000-0000-00000C790000}"/>
    <cellStyle name="Normal 2 2 3 5 5" xfId="45390" xr:uid="{00000000-0005-0000-0000-00000D790000}"/>
    <cellStyle name="Normal 2 2 3 6" xfId="1484" xr:uid="{00000000-0005-0000-0000-00000E790000}"/>
    <cellStyle name="Normal 2 2 3 6 2" xfId="39896" xr:uid="{00000000-0005-0000-0000-00000F790000}"/>
    <cellStyle name="Normal 2 2 3 6 3" xfId="45391" xr:uid="{00000000-0005-0000-0000-000010790000}"/>
    <cellStyle name="Normal 2 2 3 7" xfId="1485" xr:uid="{00000000-0005-0000-0000-000011790000}"/>
    <cellStyle name="Normal 2 2 3 7 2" xfId="39897" xr:uid="{00000000-0005-0000-0000-000012790000}"/>
    <cellStyle name="Normal 2 2 3 7 3" xfId="45392" xr:uid="{00000000-0005-0000-0000-000013790000}"/>
    <cellStyle name="Normal 2 2 3 8" xfId="29606" xr:uid="{00000000-0005-0000-0000-000014790000}"/>
    <cellStyle name="Normal 2 2 3 9" xfId="39898" xr:uid="{00000000-0005-0000-0000-000015790000}"/>
    <cellStyle name="Normal 2 2 4" xfId="410" xr:uid="{00000000-0005-0000-0000-000016790000}"/>
    <cellStyle name="Normal 2 2 4 2" xfId="1486" xr:uid="{00000000-0005-0000-0000-000017790000}"/>
    <cellStyle name="Normal 2 2 4 2 2" xfId="1487" xr:uid="{00000000-0005-0000-0000-000018790000}"/>
    <cellStyle name="Normal 2 2 4 2 2 2" xfId="39899" xr:uid="{00000000-0005-0000-0000-000019790000}"/>
    <cellStyle name="Normal 2 2 4 2 2 3" xfId="45393" xr:uid="{00000000-0005-0000-0000-00001A790000}"/>
    <cellStyle name="Normal 2 2 4 2 3" xfId="1488" xr:uid="{00000000-0005-0000-0000-00001B790000}"/>
    <cellStyle name="Normal 2 2 4 2 3 2" xfId="39900" xr:uid="{00000000-0005-0000-0000-00001C790000}"/>
    <cellStyle name="Normal 2 2 4 2 3 3" xfId="45394" xr:uid="{00000000-0005-0000-0000-00001D790000}"/>
    <cellStyle name="Normal 2 2 4 2 4" xfId="39901" xr:uid="{00000000-0005-0000-0000-00001E790000}"/>
    <cellStyle name="Normal 2 2 4 2 5" xfId="45395" xr:uid="{00000000-0005-0000-0000-00001F790000}"/>
    <cellStyle name="Normal 2 2 4 3" xfId="1489" xr:uid="{00000000-0005-0000-0000-000020790000}"/>
    <cellStyle name="Normal 2 2 4 3 2" xfId="1490" xr:uid="{00000000-0005-0000-0000-000021790000}"/>
    <cellStyle name="Normal 2 2 4 3 2 2" xfId="39902" xr:uid="{00000000-0005-0000-0000-000022790000}"/>
    <cellStyle name="Normal 2 2 4 3 2 3" xfId="45396" xr:uid="{00000000-0005-0000-0000-000023790000}"/>
    <cellStyle name="Normal 2 2 4 3 3" xfId="1491" xr:uid="{00000000-0005-0000-0000-000024790000}"/>
    <cellStyle name="Normal 2 2 4 3 3 2" xfId="39903" xr:uid="{00000000-0005-0000-0000-000025790000}"/>
    <cellStyle name="Normal 2 2 4 3 3 3" xfId="45397" xr:uid="{00000000-0005-0000-0000-000026790000}"/>
    <cellStyle name="Normal 2 2 4 3 4" xfId="39904" xr:uid="{00000000-0005-0000-0000-000027790000}"/>
    <cellStyle name="Normal 2 2 4 3 5" xfId="45398" xr:uid="{00000000-0005-0000-0000-000028790000}"/>
    <cellStyle name="Normal 2 2 4 4" xfId="1492" xr:uid="{00000000-0005-0000-0000-000029790000}"/>
    <cellStyle name="Normal 2 2 4 4 2" xfId="39905" xr:uid="{00000000-0005-0000-0000-00002A790000}"/>
    <cellStyle name="Normal 2 2 4 4 3" xfId="45399" xr:uid="{00000000-0005-0000-0000-00002B790000}"/>
    <cellStyle name="Normal 2 2 4 5" xfId="1493" xr:uid="{00000000-0005-0000-0000-00002C790000}"/>
    <cellStyle name="Normal 2 2 4 5 2" xfId="39906" xr:uid="{00000000-0005-0000-0000-00002D790000}"/>
    <cellStyle name="Normal 2 2 4 5 3" xfId="45400" xr:uid="{00000000-0005-0000-0000-00002E790000}"/>
    <cellStyle name="Normal 2 2 4 6" xfId="2584" xr:uid="{00000000-0005-0000-0000-00002F790000}"/>
    <cellStyle name="Normal 2 2 4 7" xfId="39907" xr:uid="{00000000-0005-0000-0000-000030790000}"/>
    <cellStyle name="Normal 2 2 4 8" xfId="42476" xr:uid="{00000000-0005-0000-0000-000031790000}"/>
    <cellStyle name="Normal 2 2 4 9" xfId="45401" xr:uid="{00000000-0005-0000-0000-000032790000}"/>
    <cellStyle name="Normal 2 2 5" xfId="1494" xr:uid="{00000000-0005-0000-0000-000033790000}"/>
    <cellStyle name="Normal 2 2 5 2" xfId="1495" xr:uid="{00000000-0005-0000-0000-000034790000}"/>
    <cellStyle name="Normal 2 2 5 2 2" xfId="39908" xr:uid="{00000000-0005-0000-0000-000035790000}"/>
    <cellStyle name="Normal 2 2 5 2 3" xfId="45402" xr:uid="{00000000-0005-0000-0000-000036790000}"/>
    <cellStyle name="Normal 2 2 5 3" xfId="1496" xr:uid="{00000000-0005-0000-0000-000037790000}"/>
    <cellStyle name="Normal 2 2 5 3 2" xfId="39909" xr:uid="{00000000-0005-0000-0000-000038790000}"/>
    <cellStyle name="Normal 2 2 5 3 3" xfId="45403" xr:uid="{00000000-0005-0000-0000-000039790000}"/>
    <cellStyle name="Normal 2 2 5 4" xfId="1497" xr:uid="{00000000-0005-0000-0000-00003A790000}"/>
    <cellStyle name="Normal 2 2 5 4 2" xfId="39910" xr:uid="{00000000-0005-0000-0000-00003B790000}"/>
    <cellStyle name="Normal 2 2 5 4 3" xfId="45404" xr:uid="{00000000-0005-0000-0000-00003C790000}"/>
    <cellStyle name="Normal 2 2 5 5" xfId="1498" xr:uid="{00000000-0005-0000-0000-00003D790000}"/>
    <cellStyle name="Normal 2 2 5 5 2" xfId="39911" xr:uid="{00000000-0005-0000-0000-00003E790000}"/>
    <cellStyle name="Normal 2 2 5 5 3" xfId="45405" xr:uid="{00000000-0005-0000-0000-00003F790000}"/>
    <cellStyle name="Normal 2 2 5 6" xfId="29607" xr:uid="{00000000-0005-0000-0000-000040790000}"/>
    <cellStyle name="Normal 2 2 5 7" xfId="45406" xr:uid="{00000000-0005-0000-0000-000041790000}"/>
    <cellStyle name="Normal 2 2 6" xfId="1499" xr:uid="{00000000-0005-0000-0000-000042790000}"/>
    <cellStyle name="Normal 2 2 6 2" xfId="1500" xr:uid="{00000000-0005-0000-0000-000043790000}"/>
    <cellStyle name="Normal 2 2 6 2 2" xfId="39912" xr:uid="{00000000-0005-0000-0000-000044790000}"/>
    <cellStyle name="Normal 2 2 6 2 3" xfId="45407" xr:uid="{00000000-0005-0000-0000-000045790000}"/>
    <cellStyle name="Normal 2 2 6 3" xfId="1501" xr:uid="{00000000-0005-0000-0000-000046790000}"/>
    <cellStyle name="Normal 2 2 6 3 2" xfId="39913" xr:uid="{00000000-0005-0000-0000-000047790000}"/>
    <cellStyle name="Normal 2 2 6 3 3" xfId="45408" xr:uid="{00000000-0005-0000-0000-000048790000}"/>
    <cellStyle name="Normal 2 2 6 4" xfId="39914" xr:uid="{00000000-0005-0000-0000-000049790000}"/>
    <cellStyle name="Normal 2 2 6 5" xfId="45409" xr:uid="{00000000-0005-0000-0000-00004A790000}"/>
    <cellStyle name="Normal 2 2 7" xfId="1502" xr:uid="{00000000-0005-0000-0000-00004B790000}"/>
    <cellStyle name="Normal 2 2 7 2" xfId="1503" xr:uid="{00000000-0005-0000-0000-00004C790000}"/>
    <cellStyle name="Normal 2 2 7 2 2" xfId="39915" xr:uid="{00000000-0005-0000-0000-00004D790000}"/>
    <cellStyle name="Normal 2 2 7 2 3" xfId="45410" xr:uid="{00000000-0005-0000-0000-00004E790000}"/>
    <cellStyle name="Normal 2 2 7 3" xfId="1504" xr:uid="{00000000-0005-0000-0000-00004F790000}"/>
    <cellStyle name="Normal 2 2 7 3 2" xfId="39916" xr:uid="{00000000-0005-0000-0000-000050790000}"/>
    <cellStyle name="Normal 2 2 7 3 3" xfId="45411" xr:uid="{00000000-0005-0000-0000-000051790000}"/>
    <cellStyle name="Normal 2 2 7 4" xfId="39917" xr:uid="{00000000-0005-0000-0000-000052790000}"/>
    <cellStyle name="Normal 2 2 7 5" xfId="45412" xr:uid="{00000000-0005-0000-0000-000053790000}"/>
    <cellStyle name="Normal 2 2 8" xfId="1505" xr:uid="{00000000-0005-0000-0000-000054790000}"/>
    <cellStyle name="Normal 2 2 8 2" xfId="39918" xr:uid="{00000000-0005-0000-0000-000055790000}"/>
    <cellStyle name="Normal 2 2 8 3" xfId="45413" xr:uid="{00000000-0005-0000-0000-000056790000}"/>
    <cellStyle name="Normal 2 2 9" xfId="1506" xr:uid="{00000000-0005-0000-0000-000057790000}"/>
    <cellStyle name="Normal 2 2 9 2" xfId="39919" xr:uid="{00000000-0005-0000-0000-000058790000}"/>
    <cellStyle name="Normal 2 2 9 3" xfId="45414" xr:uid="{00000000-0005-0000-0000-000059790000}"/>
    <cellStyle name="Normal 2 2_10051" xfId="1507" xr:uid="{00000000-0005-0000-0000-00005A790000}"/>
    <cellStyle name="Normal 2 20" xfId="39920" xr:uid="{00000000-0005-0000-0000-00005B790000}"/>
    <cellStyle name="Normal 2 21" xfId="39921" xr:uid="{00000000-0005-0000-0000-00005C790000}"/>
    <cellStyle name="Normal 2 22" xfId="39922" xr:uid="{00000000-0005-0000-0000-00005D790000}"/>
    <cellStyle name="Normal 2 23" xfId="39923" xr:uid="{00000000-0005-0000-0000-00005E790000}"/>
    <cellStyle name="Normal 2 24" xfId="39924" xr:uid="{00000000-0005-0000-0000-00005F790000}"/>
    <cellStyle name="Normal 2 25" xfId="39925" xr:uid="{00000000-0005-0000-0000-000060790000}"/>
    <cellStyle name="Normal 2 3" xfId="10" xr:uid="{00000000-0005-0000-0000-000061790000}"/>
    <cellStyle name="Normal 2 3 2" xfId="41" xr:uid="{00000000-0005-0000-0000-000062790000}"/>
    <cellStyle name="Normal 2 3 2 2" xfId="411" xr:uid="{00000000-0005-0000-0000-000063790000}"/>
    <cellStyle name="Normal 2 3 2 2 2" xfId="39926" xr:uid="{00000000-0005-0000-0000-000064790000}"/>
    <cellStyle name="Normal 2 3 2 3" xfId="412" xr:uid="{00000000-0005-0000-0000-000065790000}"/>
    <cellStyle name="Normal 2 3 2 3 2" xfId="39927" xr:uid="{00000000-0005-0000-0000-000066790000}"/>
    <cellStyle name="Normal 2 3 2 4" xfId="29608" xr:uid="{00000000-0005-0000-0000-000067790000}"/>
    <cellStyle name="Normal 2 3 2 5" xfId="39928" xr:uid="{00000000-0005-0000-0000-000068790000}"/>
    <cellStyle name="Normal 2 3 2_Active emp List" xfId="1508" xr:uid="{00000000-0005-0000-0000-000069790000}"/>
    <cellStyle name="Normal 2 3 3" xfId="413" xr:uid="{00000000-0005-0000-0000-00006A790000}"/>
    <cellStyle name="Normal 2 3 3 2" xfId="1509" xr:uid="{00000000-0005-0000-0000-00006B790000}"/>
    <cellStyle name="Normal 2 3 3 2 2" xfId="1510" xr:uid="{00000000-0005-0000-0000-00006C790000}"/>
    <cellStyle name="Normal 2 3 3 2 2 2" xfId="39929" xr:uid="{00000000-0005-0000-0000-00006D790000}"/>
    <cellStyle name="Normal 2 3 3 2 2 3" xfId="45415" xr:uid="{00000000-0005-0000-0000-00006E790000}"/>
    <cellStyle name="Normal 2 3 3 2 3" xfId="39930" xr:uid="{00000000-0005-0000-0000-00006F790000}"/>
    <cellStyle name="Normal 2 3 3 2 4" xfId="39931" xr:uid="{00000000-0005-0000-0000-000070790000}"/>
    <cellStyle name="Normal 2 3 3 3" xfId="1511" xr:uid="{00000000-0005-0000-0000-000071790000}"/>
    <cellStyle name="Normal 2 3 3 3 2" xfId="39932" xr:uid="{00000000-0005-0000-0000-000072790000}"/>
    <cellStyle name="Normal 2 3 3 4" xfId="29609" xr:uid="{00000000-0005-0000-0000-000073790000}"/>
    <cellStyle name="Normal 2 3 3 5" xfId="39933" xr:uid="{00000000-0005-0000-0000-000074790000}"/>
    <cellStyle name="Normal 2 3 4" xfId="680" xr:uid="{00000000-0005-0000-0000-000075790000}"/>
    <cellStyle name="Normal 2 3 4 2" xfId="1512" xr:uid="{00000000-0005-0000-0000-000076790000}"/>
    <cellStyle name="Normal 2 3 4 2 2" xfId="39934" xr:uid="{00000000-0005-0000-0000-000077790000}"/>
    <cellStyle name="Normal 2 3 4 3" xfId="2585" xr:uid="{00000000-0005-0000-0000-000078790000}"/>
    <cellStyle name="Normal 2 3 4 4" xfId="39935" xr:uid="{00000000-0005-0000-0000-000079790000}"/>
    <cellStyle name="Normal 2 3 4 5" xfId="42509" xr:uid="{00000000-0005-0000-0000-00007A790000}"/>
    <cellStyle name="Normal 2 3 4 6" xfId="45416" xr:uid="{00000000-0005-0000-0000-00007B790000}"/>
    <cellStyle name="Normal 2 3 4 7" xfId="46233" xr:uid="{00000000-0005-0000-0000-00007C790000}"/>
    <cellStyle name="Normal 2 3 5" xfId="1513" xr:uid="{00000000-0005-0000-0000-00007D790000}"/>
    <cellStyle name="Normal 2 3 5 2" xfId="39936" xr:uid="{00000000-0005-0000-0000-00007E790000}"/>
    <cellStyle name="Normal 2 3 5 3" xfId="45417" xr:uid="{00000000-0005-0000-0000-00007F790000}"/>
    <cellStyle name="Normal 2 3 6" xfId="29610" xr:uid="{00000000-0005-0000-0000-000080790000}"/>
    <cellStyle name="Normal 2 3 6 2" xfId="29611" xr:uid="{00000000-0005-0000-0000-000081790000}"/>
    <cellStyle name="Normal 2 3 6 3" xfId="44589" xr:uid="{00000000-0005-0000-0000-000082790000}"/>
    <cellStyle name="Normal 2 3 7" xfId="29612" xr:uid="{00000000-0005-0000-0000-000083790000}"/>
    <cellStyle name="Normal 2 3 8" xfId="29613" xr:uid="{00000000-0005-0000-0000-000084790000}"/>
    <cellStyle name="Normal 2 3_2012 TV Budget" xfId="1514" xr:uid="{00000000-0005-0000-0000-000085790000}"/>
    <cellStyle name="Normal 2 4" xfId="64" xr:uid="{00000000-0005-0000-0000-000086790000}"/>
    <cellStyle name="Normal 2 4 10" xfId="46234" xr:uid="{00000000-0005-0000-0000-000087790000}"/>
    <cellStyle name="Normal 2 4 11" xfId="46235" xr:uid="{00000000-0005-0000-0000-000088790000}"/>
    <cellStyle name="Normal 2 4 2" xfId="82" xr:uid="{00000000-0005-0000-0000-000089790000}"/>
    <cellStyle name="Normal 2 4 2 2" xfId="1515" xr:uid="{00000000-0005-0000-0000-00008A790000}"/>
    <cellStyle name="Normal 2 4 2 2 2" xfId="29614" xr:uid="{00000000-0005-0000-0000-00008B790000}"/>
    <cellStyle name="Normal 2 4 2 2 2 2" xfId="29615" xr:uid="{00000000-0005-0000-0000-00008C790000}"/>
    <cellStyle name="Normal 2 4 2 2 2 3" xfId="44590" xr:uid="{00000000-0005-0000-0000-00008D790000}"/>
    <cellStyle name="Normal 2 4 2 2 3" xfId="39937" xr:uid="{00000000-0005-0000-0000-00008E790000}"/>
    <cellStyle name="Normal 2 4 2 3" xfId="1516" xr:uid="{00000000-0005-0000-0000-00008F790000}"/>
    <cellStyle name="Normal 2 4 2 3 2" xfId="29616" xr:uid="{00000000-0005-0000-0000-000090790000}"/>
    <cellStyle name="Normal 2 4 2 3 3" xfId="45418" xr:uid="{00000000-0005-0000-0000-000091790000}"/>
    <cellStyle name="Normal 2 4 2 4" xfId="1517" xr:uid="{00000000-0005-0000-0000-000092790000}"/>
    <cellStyle name="Normal 2 4 2 4 2" xfId="39938" xr:uid="{00000000-0005-0000-0000-000093790000}"/>
    <cellStyle name="Normal 2 4 2 4 3" xfId="45419" xr:uid="{00000000-0005-0000-0000-000094790000}"/>
    <cellStyle name="Normal 2 4 2 5" xfId="1518" xr:uid="{00000000-0005-0000-0000-000095790000}"/>
    <cellStyle name="Normal 2 4 2 5 2" xfId="39939" xr:uid="{00000000-0005-0000-0000-000096790000}"/>
    <cellStyle name="Normal 2 4 2 5 3" xfId="45420" xr:uid="{00000000-0005-0000-0000-000097790000}"/>
    <cellStyle name="Normal 2 4 2 6" xfId="29617" xr:uid="{00000000-0005-0000-0000-000098790000}"/>
    <cellStyle name="Normal 2 4 2 6 2" xfId="39940" xr:uid="{00000000-0005-0000-0000-000099790000}"/>
    <cellStyle name="Normal 2 4 2 6 3" xfId="42477" xr:uid="{00000000-0005-0000-0000-00009A790000}"/>
    <cellStyle name="Normal 2 4 2 6 4" xfId="45421" xr:uid="{00000000-0005-0000-0000-00009B790000}"/>
    <cellStyle name="Normal 2 4 2 7" xfId="39941" xr:uid="{00000000-0005-0000-0000-00009C790000}"/>
    <cellStyle name="Normal 2 4 2 8" xfId="39942" xr:uid="{00000000-0005-0000-0000-00009D790000}"/>
    <cellStyle name="Normal 2 4 2 9" xfId="46236" xr:uid="{00000000-0005-0000-0000-00009E790000}"/>
    <cellStyle name="Normal 2 4 3" xfId="414" xr:uid="{00000000-0005-0000-0000-00009F790000}"/>
    <cellStyle name="Normal 2 4 3 2" xfId="1519" xr:uid="{00000000-0005-0000-0000-0000A0790000}"/>
    <cellStyle name="Normal 2 4 3 2 2" xfId="39943" xr:uid="{00000000-0005-0000-0000-0000A1790000}"/>
    <cellStyle name="Normal 2 4 3 2 3" xfId="45422" xr:uid="{00000000-0005-0000-0000-0000A2790000}"/>
    <cellStyle name="Normal 2 4 3 3" xfId="1520" xr:uid="{00000000-0005-0000-0000-0000A3790000}"/>
    <cellStyle name="Normal 2 4 3 3 2" xfId="39944" xr:uid="{00000000-0005-0000-0000-0000A4790000}"/>
    <cellStyle name="Normal 2 4 3 3 3" xfId="45423" xr:uid="{00000000-0005-0000-0000-0000A5790000}"/>
    <cellStyle name="Normal 2 4 3 4" xfId="39945" xr:uid="{00000000-0005-0000-0000-0000A6790000}"/>
    <cellStyle name="Normal 2 4 4" xfId="633" xr:uid="{00000000-0005-0000-0000-0000A7790000}"/>
    <cellStyle name="Normal 2 4 4 2" xfId="1521" xr:uid="{00000000-0005-0000-0000-0000A8790000}"/>
    <cellStyle name="Normal 2 4 4 2 2" xfId="39946" xr:uid="{00000000-0005-0000-0000-0000A9790000}"/>
    <cellStyle name="Normal 2 4 4 2 3" xfId="45424" xr:uid="{00000000-0005-0000-0000-0000AA790000}"/>
    <cellStyle name="Normal 2 4 4 3" xfId="1522" xr:uid="{00000000-0005-0000-0000-0000AB790000}"/>
    <cellStyle name="Normal 2 4 4 3 2" xfId="39947" xr:uid="{00000000-0005-0000-0000-0000AC790000}"/>
    <cellStyle name="Normal 2 4 4 3 3" xfId="45425" xr:uid="{00000000-0005-0000-0000-0000AD790000}"/>
    <cellStyle name="Normal 2 4 4 4" xfId="39948" xr:uid="{00000000-0005-0000-0000-0000AE790000}"/>
    <cellStyle name="Normal 2 4 4 5" xfId="45426" xr:uid="{00000000-0005-0000-0000-0000AF790000}"/>
    <cellStyle name="Normal 2 4 5" xfId="1523" xr:uid="{00000000-0005-0000-0000-0000B0790000}"/>
    <cellStyle name="Normal 2 4 5 2" xfId="39949" xr:uid="{00000000-0005-0000-0000-0000B1790000}"/>
    <cellStyle name="Normal 2 4 5 3" xfId="45427" xr:uid="{00000000-0005-0000-0000-0000B2790000}"/>
    <cellStyle name="Normal 2 4 6" xfId="1524" xr:uid="{00000000-0005-0000-0000-0000B3790000}"/>
    <cellStyle name="Normal 2 4 6 2" xfId="39950" xr:uid="{00000000-0005-0000-0000-0000B4790000}"/>
    <cellStyle name="Normal 2 4 6 3" xfId="45428" xr:uid="{00000000-0005-0000-0000-0000B5790000}"/>
    <cellStyle name="Normal 2 4 7" xfId="2586" xr:uid="{00000000-0005-0000-0000-0000B6790000}"/>
    <cellStyle name="Normal 2 4 7 2" xfId="42531" xr:uid="{00000000-0005-0000-0000-0000B7790000}"/>
    <cellStyle name="Normal 2 4 7 3" xfId="45429" xr:uid="{00000000-0005-0000-0000-0000B8790000}"/>
    <cellStyle name="Normal 2 4 8" xfId="39951" xr:uid="{00000000-0005-0000-0000-0000B9790000}"/>
    <cellStyle name="Normal 2 4 9" xfId="45430" xr:uid="{00000000-0005-0000-0000-0000BA790000}"/>
    <cellStyle name="Normal 2 5" xfId="415" xr:uid="{00000000-0005-0000-0000-0000BB790000}"/>
    <cellStyle name="Normal 2 5 2" xfId="1525" xr:uid="{00000000-0005-0000-0000-0000BC790000}"/>
    <cellStyle name="Normal 2 5 2 2" xfId="39952" xr:uid="{00000000-0005-0000-0000-0000BD790000}"/>
    <cellStyle name="Normal 2 5 3" xfId="1526" xr:uid="{00000000-0005-0000-0000-0000BE790000}"/>
    <cellStyle name="Normal 2 5 3 2" xfId="39953" xr:uid="{00000000-0005-0000-0000-0000BF790000}"/>
    <cellStyle name="Normal 2 5 3 3" xfId="45431" xr:uid="{00000000-0005-0000-0000-0000C0790000}"/>
    <cellStyle name="Normal 2 5 4" xfId="2587" xr:uid="{00000000-0005-0000-0000-0000C1790000}"/>
    <cellStyle name="Normal 2 5 5" xfId="39954" xr:uid="{00000000-0005-0000-0000-0000C2790000}"/>
    <cellStyle name="Normal 2 6" xfId="416" xr:uid="{00000000-0005-0000-0000-0000C3790000}"/>
    <cellStyle name="Normal 2 6 2" xfId="634" xr:uid="{00000000-0005-0000-0000-0000C4790000}"/>
    <cellStyle name="Normal 2 6 2 2" xfId="1527" xr:uid="{00000000-0005-0000-0000-0000C5790000}"/>
    <cellStyle name="Normal 2 6 2 2 2" xfId="39955" xr:uid="{00000000-0005-0000-0000-0000C6790000}"/>
    <cellStyle name="Normal 2 6 2 3" xfId="29618" xr:uid="{00000000-0005-0000-0000-0000C7790000}"/>
    <cellStyle name="Normal 2 6 2 4" xfId="46237" xr:uid="{00000000-0005-0000-0000-0000C8790000}"/>
    <cellStyle name="Normal 2 6 3" xfId="1528" xr:uid="{00000000-0005-0000-0000-0000C9790000}"/>
    <cellStyle name="Normal 2 6 3 2" xfId="39956" xr:uid="{00000000-0005-0000-0000-0000CA790000}"/>
    <cellStyle name="Normal 2 6 3 3" xfId="45432" xr:uid="{00000000-0005-0000-0000-0000CB790000}"/>
    <cellStyle name="Normal 2 6 4" xfId="1529" xr:uid="{00000000-0005-0000-0000-0000CC790000}"/>
    <cellStyle name="Normal 2 6 4 2" xfId="39957" xr:uid="{00000000-0005-0000-0000-0000CD790000}"/>
    <cellStyle name="Normal 2 6 5" xfId="2588" xr:uid="{00000000-0005-0000-0000-0000CE790000}"/>
    <cellStyle name="Normal 2 6 5 2" xfId="39958" xr:uid="{00000000-0005-0000-0000-0000CF790000}"/>
    <cellStyle name="Normal 2 6 5 3" xfId="42478" xr:uid="{00000000-0005-0000-0000-0000D0790000}"/>
    <cellStyle name="Normal 2 6 5 4" xfId="45433" xr:uid="{00000000-0005-0000-0000-0000D1790000}"/>
    <cellStyle name="Normal 2 6 6" xfId="39959" xr:uid="{00000000-0005-0000-0000-0000D2790000}"/>
    <cellStyle name="Normal 2 6 7" xfId="39960" xr:uid="{00000000-0005-0000-0000-0000D3790000}"/>
    <cellStyle name="Normal 2 6 8" xfId="42450" xr:uid="{00000000-0005-0000-0000-0000D4790000}"/>
    <cellStyle name="Normal 2 7" xfId="417" xr:uid="{00000000-0005-0000-0000-0000D5790000}"/>
    <cellStyle name="Normal 2 7 2" xfId="1530" xr:uid="{00000000-0005-0000-0000-0000D6790000}"/>
    <cellStyle name="Normal 2 7 2 2" xfId="39961" xr:uid="{00000000-0005-0000-0000-0000D7790000}"/>
    <cellStyle name="Normal 2 7 3" xfId="1531" xr:uid="{00000000-0005-0000-0000-0000D8790000}"/>
    <cellStyle name="Normal 2 7 3 2" xfId="39962" xr:uid="{00000000-0005-0000-0000-0000D9790000}"/>
    <cellStyle name="Normal 2 7 4" xfId="1532" xr:uid="{00000000-0005-0000-0000-0000DA790000}"/>
    <cellStyle name="Normal 2 7 4 2" xfId="39963" xr:uid="{00000000-0005-0000-0000-0000DB790000}"/>
    <cellStyle name="Normal 2 7 5" xfId="2589" xr:uid="{00000000-0005-0000-0000-0000DC790000}"/>
    <cellStyle name="Normal 2 7 5 2" xfId="39964" xr:uid="{00000000-0005-0000-0000-0000DD790000}"/>
    <cellStyle name="Normal 2 7 6" xfId="39965" xr:uid="{00000000-0005-0000-0000-0000DE790000}"/>
    <cellStyle name="Normal 2 7 7" xfId="39966" xr:uid="{00000000-0005-0000-0000-0000DF790000}"/>
    <cellStyle name="Normal 2 7 8" xfId="42455" xr:uid="{00000000-0005-0000-0000-0000E0790000}"/>
    <cellStyle name="Normal 2 8" xfId="418" xr:uid="{00000000-0005-0000-0000-0000E1790000}"/>
    <cellStyle name="Normal 2 8 2" xfId="1533" xr:uid="{00000000-0005-0000-0000-0000E2790000}"/>
    <cellStyle name="Normal 2 8 2 2" xfId="29619" xr:uid="{00000000-0005-0000-0000-0000E3790000}"/>
    <cellStyle name="Normal 2 8 2 2 2" xfId="39967" xr:uid="{00000000-0005-0000-0000-0000E4790000}"/>
    <cellStyle name="Normal 2 8 2 2 3" xfId="45434" xr:uid="{00000000-0005-0000-0000-0000E5790000}"/>
    <cellStyle name="Normal 2 8 2 3" xfId="39968" xr:uid="{00000000-0005-0000-0000-0000E6790000}"/>
    <cellStyle name="Normal 2 8 2 4" xfId="45435" xr:uid="{00000000-0005-0000-0000-0000E7790000}"/>
    <cellStyle name="Normal 2 8 3" xfId="1534" xr:uid="{00000000-0005-0000-0000-0000E8790000}"/>
    <cellStyle name="Normal 2 8 3 2" xfId="39969" xr:uid="{00000000-0005-0000-0000-0000E9790000}"/>
    <cellStyle name="Normal 2 8 4" xfId="1535" xr:uid="{00000000-0005-0000-0000-0000EA790000}"/>
    <cellStyle name="Normal 2 8 4 2" xfId="39970" xr:uid="{00000000-0005-0000-0000-0000EB790000}"/>
    <cellStyle name="Normal 2 8 5" xfId="29620" xr:uid="{00000000-0005-0000-0000-0000EC790000}"/>
    <cellStyle name="Normal 2 8 5 2" xfId="39971" xr:uid="{00000000-0005-0000-0000-0000ED790000}"/>
    <cellStyle name="Normal 2 8 6" xfId="29621" xr:uid="{00000000-0005-0000-0000-0000EE790000}"/>
    <cellStyle name="Normal 2 8 7" xfId="39972" xr:uid="{00000000-0005-0000-0000-0000EF790000}"/>
    <cellStyle name="Normal 2 8 8" xfId="42454" xr:uid="{00000000-0005-0000-0000-0000F0790000}"/>
    <cellStyle name="Normal 2 9" xfId="419" xr:uid="{00000000-0005-0000-0000-0000F1790000}"/>
    <cellStyle name="Normal 2 9 2" xfId="684" xr:uid="{00000000-0005-0000-0000-0000F2790000}"/>
    <cellStyle name="Normal 2 9 2 2" xfId="39973" xr:uid="{00000000-0005-0000-0000-0000F3790000}"/>
    <cellStyle name="Normal 2 9 3" xfId="1536" xr:uid="{00000000-0005-0000-0000-0000F4790000}"/>
    <cellStyle name="Normal 2 9 3 2" xfId="39974" xr:uid="{00000000-0005-0000-0000-0000F5790000}"/>
    <cellStyle name="Normal 2 9 4" xfId="1537" xr:uid="{00000000-0005-0000-0000-0000F6790000}"/>
    <cellStyle name="Normal 2 9 4 2" xfId="39975" xr:uid="{00000000-0005-0000-0000-0000F7790000}"/>
    <cellStyle name="Normal 2 9 5" xfId="29622" xr:uid="{00000000-0005-0000-0000-0000F8790000}"/>
    <cellStyle name="Normal 2 9 5 2" xfId="39976" xr:uid="{00000000-0005-0000-0000-0000F9790000}"/>
    <cellStyle name="Normal 2 9 6" xfId="39977" xr:uid="{00000000-0005-0000-0000-0000FA790000}"/>
    <cellStyle name="Normal 2 9 7" xfId="39978" xr:uid="{00000000-0005-0000-0000-0000FB790000}"/>
    <cellStyle name="Normal 2 9 8" xfId="42456" xr:uid="{00000000-0005-0000-0000-0000FC790000}"/>
    <cellStyle name="Normal 2_2009 Regulated Price Out" xfId="420" xr:uid="{00000000-0005-0000-0000-0000FD790000}"/>
    <cellStyle name="Normal 20" xfId="421" xr:uid="{00000000-0005-0000-0000-0000FE790000}"/>
    <cellStyle name="Normal 20 10" xfId="46238" xr:uid="{00000000-0005-0000-0000-0000FF790000}"/>
    <cellStyle name="Normal 20 2" xfId="422" xr:uid="{00000000-0005-0000-0000-0000007A0000}"/>
    <cellStyle name="Normal 20 2 2" xfId="1538" xr:uid="{00000000-0005-0000-0000-0000017A0000}"/>
    <cellStyle name="Normal 20 2 2 2" xfId="39979" xr:uid="{00000000-0005-0000-0000-0000027A0000}"/>
    <cellStyle name="Normal 20 2 2 3" xfId="45436" xr:uid="{00000000-0005-0000-0000-0000037A0000}"/>
    <cellStyle name="Normal 20 2 3" xfId="1539" xr:uid="{00000000-0005-0000-0000-0000047A0000}"/>
    <cellStyle name="Normal 20 2 3 2" xfId="39980" xr:uid="{00000000-0005-0000-0000-0000057A0000}"/>
    <cellStyle name="Normal 20 2 4" xfId="29623" xr:uid="{00000000-0005-0000-0000-0000067A0000}"/>
    <cellStyle name="Normal 20 2 4 2" xfId="29624" xr:uid="{00000000-0005-0000-0000-0000077A0000}"/>
    <cellStyle name="Normal 20 2 4 3" xfId="44591" xr:uid="{00000000-0005-0000-0000-0000087A0000}"/>
    <cellStyle name="Normal 20 2 5" xfId="39981" xr:uid="{00000000-0005-0000-0000-0000097A0000}"/>
    <cellStyle name="Normal 20 2 6" xfId="39982" xr:uid="{00000000-0005-0000-0000-00000A7A0000}"/>
    <cellStyle name="Normal 20 3" xfId="423" xr:uid="{00000000-0005-0000-0000-00000B7A0000}"/>
    <cellStyle name="Normal 20 3 2" xfId="29625" xr:uid="{00000000-0005-0000-0000-00000C7A0000}"/>
    <cellStyle name="Normal 20 3 3" xfId="29626" xr:uid="{00000000-0005-0000-0000-00000D7A0000}"/>
    <cellStyle name="Normal 20 4" xfId="424" xr:uid="{00000000-0005-0000-0000-00000E7A0000}"/>
    <cellStyle name="Normal 20 4 2" xfId="1540" xr:uid="{00000000-0005-0000-0000-00000F7A0000}"/>
    <cellStyle name="Normal 20 4 2 2" xfId="29627" xr:uid="{00000000-0005-0000-0000-0000107A0000}"/>
    <cellStyle name="Normal 20 4 3" xfId="39983" xr:uid="{00000000-0005-0000-0000-0000117A0000}"/>
    <cellStyle name="Normal 20 5" xfId="1541" xr:uid="{00000000-0005-0000-0000-0000127A0000}"/>
    <cellStyle name="Normal 20 5 2" xfId="29628" xr:uid="{00000000-0005-0000-0000-0000137A0000}"/>
    <cellStyle name="Normal 20 5 3" xfId="39984" xr:uid="{00000000-0005-0000-0000-0000147A0000}"/>
    <cellStyle name="Normal 20 6" xfId="1542" xr:uid="{00000000-0005-0000-0000-0000157A0000}"/>
    <cellStyle name="Normal 20 6 2" xfId="39985" xr:uid="{00000000-0005-0000-0000-0000167A0000}"/>
    <cellStyle name="Normal 20 7" xfId="29629" xr:uid="{00000000-0005-0000-0000-0000177A0000}"/>
    <cellStyle name="Normal 20 7 2" xfId="39986" xr:uid="{00000000-0005-0000-0000-0000187A0000}"/>
    <cellStyle name="Normal 20 7 3" xfId="45437" xr:uid="{00000000-0005-0000-0000-0000197A0000}"/>
    <cellStyle name="Normal 20 8" xfId="39987" xr:uid="{00000000-0005-0000-0000-00001A7A0000}"/>
    <cellStyle name="Normal 20 9" xfId="39988" xr:uid="{00000000-0005-0000-0000-00001B7A0000}"/>
    <cellStyle name="Normal 20_2112 2148 Reg Labor" xfId="29630" xr:uid="{00000000-0005-0000-0000-00001C7A0000}"/>
    <cellStyle name="Normal 21" xfId="425" xr:uid="{00000000-0005-0000-0000-00001D7A0000}"/>
    <cellStyle name="Normal 21 2" xfId="426" xr:uid="{00000000-0005-0000-0000-00001E7A0000}"/>
    <cellStyle name="Normal 21 2 2" xfId="1543" xr:uid="{00000000-0005-0000-0000-00001F7A0000}"/>
    <cellStyle name="Normal 21 2 2 2" xfId="29631" xr:uid="{00000000-0005-0000-0000-0000207A0000}"/>
    <cellStyle name="Normal 21 2 2 3" xfId="45438" xr:uid="{00000000-0005-0000-0000-0000217A0000}"/>
    <cellStyle name="Normal 21 2 3" xfId="29632" xr:uid="{00000000-0005-0000-0000-0000227A0000}"/>
    <cellStyle name="Normal 21 2 3 2" xfId="29633" xr:uid="{00000000-0005-0000-0000-0000237A0000}"/>
    <cellStyle name="Normal 21 2 3 3" xfId="44592" xr:uid="{00000000-0005-0000-0000-0000247A0000}"/>
    <cellStyle name="Normal 21 2 3 4" xfId="45439" xr:uid="{00000000-0005-0000-0000-0000257A0000}"/>
    <cellStyle name="Normal 21 2 4" xfId="29634" xr:uid="{00000000-0005-0000-0000-0000267A0000}"/>
    <cellStyle name="Normal 21 2 4 2" xfId="39989" xr:uid="{00000000-0005-0000-0000-0000277A0000}"/>
    <cellStyle name="Normal 21 2 5" xfId="39990" xr:uid="{00000000-0005-0000-0000-0000287A0000}"/>
    <cellStyle name="Normal 21 2 6" xfId="39991" xr:uid="{00000000-0005-0000-0000-0000297A0000}"/>
    <cellStyle name="Normal 21 2 7" xfId="42452" xr:uid="{00000000-0005-0000-0000-00002A7A0000}"/>
    <cellStyle name="Normal 21 2 8" xfId="45440" xr:uid="{00000000-0005-0000-0000-00002B7A0000}"/>
    <cellStyle name="Normal 21 3" xfId="427" xr:uid="{00000000-0005-0000-0000-00002C7A0000}"/>
    <cellStyle name="Normal 21 3 2" xfId="1544" xr:uid="{00000000-0005-0000-0000-00002D7A0000}"/>
    <cellStyle name="Normal 21 3 2 2" xfId="29635" xr:uid="{00000000-0005-0000-0000-00002E7A0000}"/>
    <cellStyle name="Normal 21 3 3" xfId="39992" xr:uid="{00000000-0005-0000-0000-00002F7A0000}"/>
    <cellStyle name="Normal 21 4" xfId="1545" xr:uid="{00000000-0005-0000-0000-0000307A0000}"/>
    <cellStyle name="Normal 21 4 2" xfId="29636" xr:uid="{00000000-0005-0000-0000-0000317A0000}"/>
    <cellStyle name="Normal 21 4 3" xfId="39993" xr:uid="{00000000-0005-0000-0000-0000327A0000}"/>
    <cellStyle name="Normal 21 5" xfId="1546" xr:uid="{00000000-0005-0000-0000-0000337A0000}"/>
    <cellStyle name="Normal 21 5 2" xfId="39994" xr:uid="{00000000-0005-0000-0000-0000347A0000}"/>
    <cellStyle name="Normal 21 6" xfId="29637" xr:uid="{00000000-0005-0000-0000-0000357A0000}"/>
    <cellStyle name="Normal 21 6 2" xfId="42479" xr:uid="{00000000-0005-0000-0000-0000367A0000}"/>
    <cellStyle name="Normal 21 6 3" xfId="45441" xr:uid="{00000000-0005-0000-0000-0000377A0000}"/>
    <cellStyle name="Normal 21 7" xfId="39995" xr:uid="{00000000-0005-0000-0000-0000387A0000}"/>
    <cellStyle name="Normal 21 8" xfId="42449" xr:uid="{00000000-0005-0000-0000-0000397A0000}"/>
    <cellStyle name="Normal 21 9" xfId="46239" xr:uid="{00000000-0005-0000-0000-00003A7A0000}"/>
    <cellStyle name="Normal 22" xfId="428" xr:uid="{00000000-0005-0000-0000-00003B7A0000}"/>
    <cellStyle name="Normal 22 2" xfId="429" xr:uid="{00000000-0005-0000-0000-00003C7A0000}"/>
    <cellStyle name="Normal 22 2 2" xfId="1547" xr:uid="{00000000-0005-0000-0000-00003D7A0000}"/>
    <cellStyle name="Normal 22 2 2 2" xfId="29638" xr:uid="{00000000-0005-0000-0000-00003E7A0000}"/>
    <cellStyle name="Normal 22 2 2 3" xfId="45442" xr:uid="{00000000-0005-0000-0000-00003F7A0000}"/>
    <cellStyle name="Normal 22 2 3" xfId="29639" xr:uid="{00000000-0005-0000-0000-0000407A0000}"/>
    <cellStyle name="Normal 22 2 3 2" xfId="29640" xr:uid="{00000000-0005-0000-0000-0000417A0000}"/>
    <cellStyle name="Normal 22 2 3 3" xfId="44593" xr:uid="{00000000-0005-0000-0000-0000427A0000}"/>
    <cellStyle name="Normal 22 2 4" xfId="39996" xr:uid="{00000000-0005-0000-0000-0000437A0000}"/>
    <cellStyle name="Normal 22 2 5" xfId="39997" xr:uid="{00000000-0005-0000-0000-0000447A0000}"/>
    <cellStyle name="Normal 22 2 6" xfId="46296" xr:uid="{00000000-0005-0000-0000-0000457A0000}"/>
    <cellStyle name="Normal 22 3" xfId="430" xr:uid="{00000000-0005-0000-0000-0000467A0000}"/>
    <cellStyle name="Normal 22 3 2" xfId="1548" xr:uid="{00000000-0005-0000-0000-0000477A0000}"/>
    <cellStyle name="Normal 22 3 2 2" xfId="29641" xr:uid="{00000000-0005-0000-0000-0000487A0000}"/>
    <cellStyle name="Normal 22 3 3" xfId="39998" xr:uid="{00000000-0005-0000-0000-0000497A0000}"/>
    <cellStyle name="Normal 22 4" xfId="1549" xr:uid="{00000000-0005-0000-0000-00004A7A0000}"/>
    <cellStyle name="Normal 22 4 2" xfId="29642" xr:uid="{00000000-0005-0000-0000-00004B7A0000}"/>
    <cellStyle name="Normal 22 4 3" xfId="39999" xr:uid="{00000000-0005-0000-0000-00004C7A0000}"/>
    <cellStyle name="Normal 22 5" xfId="1550" xr:uid="{00000000-0005-0000-0000-00004D7A0000}"/>
    <cellStyle name="Normal 22 5 2" xfId="29643" xr:uid="{00000000-0005-0000-0000-00004E7A0000}"/>
    <cellStyle name="Normal 22 6" xfId="29644" xr:uid="{00000000-0005-0000-0000-00004F7A0000}"/>
    <cellStyle name="Normal 22 6 2" xfId="42532" xr:uid="{00000000-0005-0000-0000-0000507A0000}"/>
    <cellStyle name="Normal 22 6 3" xfId="45443" xr:uid="{00000000-0005-0000-0000-0000517A0000}"/>
    <cellStyle name="Normal 22 7" xfId="40000" xr:uid="{00000000-0005-0000-0000-0000527A0000}"/>
    <cellStyle name="Normal 22 7 2" xfId="42480" xr:uid="{00000000-0005-0000-0000-0000537A0000}"/>
    <cellStyle name="Normal 22 7 3" xfId="45444" xr:uid="{00000000-0005-0000-0000-0000547A0000}"/>
    <cellStyle name="Normal 22 8" xfId="46240" xr:uid="{00000000-0005-0000-0000-0000557A0000}"/>
    <cellStyle name="Normal 23" xfId="431" xr:uid="{00000000-0005-0000-0000-0000567A0000}"/>
    <cellStyle name="Normal 23 2" xfId="432" xr:uid="{00000000-0005-0000-0000-0000577A0000}"/>
    <cellStyle name="Normal 23 2 2" xfId="1551" xr:uid="{00000000-0005-0000-0000-0000587A0000}"/>
    <cellStyle name="Normal 23 2 2 2" xfId="29645" xr:uid="{00000000-0005-0000-0000-0000597A0000}"/>
    <cellStyle name="Normal 23 2 2 3" xfId="45445" xr:uid="{00000000-0005-0000-0000-00005A7A0000}"/>
    <cellStyle name="Normal 23 2 3" xfId="1552" xr:uid="{00000000-0005-0000-0000-00005B7A0000}"/>
    <cellStyle name="Normal 23 2 3 2" xfId="40001" xr:uid="{00000000-0005-0000-0000-00005C7A0000}"/>
    <cellStyle name="Normal 23 2 4" xfId="40002" xr:uid="{00000000-0005-0000-0000-00005D7A0000}"/>
    <cellStyle name="Normal 23 2 5" xfId="40003" xr:uid="{00000000-0005-0000-0000-00005E7A0000}"/>
    <cellStyle name="Normal 23 3" xfId="433" xr:uid="{00000000-0005-0000-0000-00005F7A0000}"/>
    <cellStyle name="Normal 23 3 2" xfId="1553" xr:uid="{00000000-0005-0000-0000-0000607A0000}"/>
    <cellStyle name="Normal 23 3 2 2" xfId="29646" xr:uid="{00000000-0005-0000-0000-0000617A0000}"/>
    <cellStyle name="Normal 23 3 3" xfId="1554" xr:uid="{00000000-0005-0000-0000-0000627A0000}"/>
    <cellStyle name="Normal 23 3 3 2" xfId="29647" xr:uid="{00000000-0005-0000-0000-0000637A0000}"/>
    <cellStyle name="Normal 23 3 4" xfId="40004" xr:uid="{00000000-0005-0000-0000-0000647A0000}"/>
    <cellStyle name="Normal 23 4" xfId="1555" xr:uid="{00000000-0005-0000-0000-0000657A0000}"/>
    <cellStyle name="Normal 23 4 2" xfId="29648" xr:uid="{00000000-0005-0000-0000-0000667A0000}"/>
    <cellStyle name="Normal 23 4 3" xfId="40005" xr:uid="{00000000-0005-0000-0000-0000677A0000}"/>
    <cellStyle name="Normal 23 5" xfId="40006" xr:uid="{00000000-0005-0000-0000-0000687A0000}"/>
    <cellStyle name="Normal 23 5 2" xfId="42481" xr:uid="{00000000-0005-0000-0000-0000697A0000}"/>
    <cellStyle name="Normal 23 5 3" xfId="45446" xr:uid="{00000000-0005-0000-0000-00006A7A0000}"/>
    <cellStyle name="Normal 23 6" xfId="40007" xr:uid="{00000000-0005-0000-0000-00006B7A0000}"/>
    <cellStyle name="Normal 23 7" xfId="46297" xr:uid="{00000000-0005-0000-0000-00006C7A0000}"/>
    <cellStyle name="Normal 24" xfId="434" xr:uid="{00000000-0005-0000-0000-00006D7A0000}"/>
    <cellStyle name="Normal 24 2" xfId="435" xr:uid="{00000000-0005-0000-0000-00006E7A0000}"/>
    <cellStyle name="Normal 24 2 2" xfId="1556" xr:uid="{00000000-0005-0000-0000-00006F7A0000}"/>
    <cellStyle name="Normal 24 2 2 2" xfId="29649" xr:uid="{00000000-0005-0000-0000-0000707A0000}"/>
    <cellStyle name="Normal 24 2 2 3" xfId="45447" xr:uid="{00000000-0005-0000-0000-0000717A0000}"/>
    <cellStyle name="Normal 24 2 3" xfId="1557" xr:uid="{00000000-0005-0000-0000-0000727A0000}"/>
    <cellStyle name="Normal 24 2 3 2" xfId="40008" xr:uid="{00000000-0005-0000-0000-0000737A0000}"/>
    <cellStyle name="Normal 24 2 4" xfId="29650" xr:uid="{00000000-0005-0000-0000-0000747A0000}"/>
    <cellStyle name="Normal 24 2 5" xfId="40009" xr:uid="{00000000-0005-0000-0000-0000757A0000}"/>
    <cellStyle name="Normal 24 2 6" xfId="42453" xr:uid="{00000000-0005-0000-0000-0000767A0000}"/>
    <cellStyle name="Normal 24 3" xfId="1558" xr:uid="{00000000-0005-0000-0000-0000777A0000}"/>
    <cellStyle name="Normal 24 3 2" xfId="1559" xr:uid="{00000000-0005-0000-0000-0000787A0000}"/>
    <cellStyle name="Normal 24 3 2 2" xfId="29651" xr:uid="{00000000-0005-0000-0000-0000797A0000}"/>
    <cellStyle name="Normal 24 3 3" xfId="40010" xr:uid="{00000000-0005-0000-0000-00007A7A0000}"/>
    <cellStyle name="Normal 24 4" xfId="1560" xr:uid="{00000000-0005-0000-0000-00007B7A0000}"/>
    <cellStyle name="Normal 24 4 2" xfId="29652" xr:uid="{00000000-0005-0000-0000-00007C7A0000}"/>
    <cellStyle name="Normal 24 4 3" xfId="40011" xr:uid="{00000000-0005-0000-0000-00007D7A0000}"/>
    <cellStyle name="Normal 24 5" xfId="1561" xr:uid="{00000000-0005-0000-0000-00007E7A0000}"/>
    <cellStyle name="Normal 24 5 2" xfId="40012" xr:uid="{00000000-0005-0000-0000-00007F7A0000}"/>
    <cellStyle name="Normal 24 6" xfId="40013" xr:uid="{00000000-0005-0000-0000-0000807A0000}"/>
    <cellStyle name="Normal 24 7" xfId="40014" xr:uid="{00000000-0005-0000-0000-0000817A0000}"/>
    <cellStyle name="Normal 24 8" xfId="42451" xr:uid="{00000000-0005-0000-0000-0000827A0000}"/>
    <cellStyle name="Normal 24 9" xfId="46241" xr:uid="{00000000-0005-0000-0000-0000837A0000}"/>
    <cellStyle name="Normal 25" xfId="436" xr:uid="{00000000-0005-0000-0000-0000847A0000}"/>
    <cellStyle name="Normal 25 2" xfId="1562" xr:uid="{00000000-0005-0000-0000-0000857A0000}"/>
    <cellStyle name="Normal 25 2 2" xfId="1563" xr:uid="{00000000-0005-0000-0000-0000867A0000}"/>
    <cellStyle name="Normal 25 2 2 2" xfId="29653" xr:uid="{00000000-0005-0000-0000-0000877A0000}"/>
    <cellStyle name="Normal 25 2 3" xfId="29654" xr:uid="{00000000-0005-0000-0000-0000887A0000}"/>
    <cellStyle name="Normal 25 2 3 2" xfId="40015" xr:uid="{00000000-0005-0000-0000-0000897A0000}"/>
    <cellStyle name="Normal 25 2 3 3" xfId="45448" xr:uid="{00000000-0005-0000-0000-00008A7A0000}"/>
    <cellStyle name="Normal 25 2 4" xfId="40016" xr:uid="{00000000-0005-0000-0000-00008B7A0000}"/>
    <cellStyle name="Normal 25 2 5" xfId="45449" xr:uid="{00000000-0005-0000-0000-00008C7A0000}"/>
    <cellStyle name="Normal 25 3" xfId="1564" xr:uid="{00000000-0005-0000-0000-00008D7A0000}"/>
    <cellStyle name="Normal 25 3 2" xfId="29655" xr:uid="{00000000-0005-0000-0000-00008E7A0000}"/>
    <cellStyle name="Normal 25 3 2 2" xfId="40017" xr:uid="{00000000-0005-0000-0000-00008F7A0000}"/>
    <cellStyle name="Normal 25 3 3" xfId="40018" xr:uid="{00000000-0005-0000-0000-0000907A0000}"/>
    <cellStyle name="Normal 25 3 4" xfId="40019" xr:uid="{00000000-0005-0000-0000-0000917A0000}"/>
    <cellStyle name="Normal 25 4" xfId="1565" xr:uid="{00000000-0005-0000-0000-0000927A0000}"/>
    <cellStyle name="Normal 25 4 2" xfId="29656" xr:uid="{00000000-0005-0000-0000-0000937A0000}"/>
    <cellStyle name="Normal 25 5" xfId="40020" xr:uid="{00000000-0005-0000-0000-0000947A0000}"/>
    <cellStyle name="Normal 25 6" xfId="40021" xr:uid="{00000000-0005-0000-0000-0000957A0000}"/>
    <cellStyle name="Normal 25 7" xfId="46298" xr:uid="{00000000-0005-0000-0000-0000967A0000}"/>
    <cellStyle name="Normal 26" xfId="437" xr:uid="{00000000-0005-0000-0000-0000977A0000}"/>
    <cellStyle name="Normal 26 2" xfId="1566" xr:uid="{00000000-0005-0000-0000-0000987A0000}"/>
    <cellStyle name="Normal 26 2 2" xfId="1567" xr:uid="{00000000-0005-0000-0000-0000997A0000}"/>
    <cellStyle name="Normal 26 2 2 2" xfId="40022" xr:uid="{00000000-0005-0000-0000-00009A7A0000}"/>
    <cellStyle name="Normal 26 2 3" xfId="29657" xr:uid="{00000000-0005-0000-0000-00009B7A0000}"/>
    <cellStyle name="Normal 26 2 3 2" xfId="40023" xr:uid="{00000000-0005-0000-0000-00009C7A0000}"/>
    <cellStyle name="Normal 26 2 4" xfId="40024" xr:uid="{00000000-0005-0000-0000-00009D7A0000}"/>
    <cellStyle name="Normal 26 2 5" xfId="40025" xr:uid="{00000000-0005-0000-0000-00009E7A0000}"/>
    <cellStyle name="Normal 26 3" xfId="1568" xr:uid="{00000000-0005-0000-0000-00009F7A0000}"/>
    <cellStyle name="Normal 26 3 2" xfId="29658" xr:uid="{00000000-0005-0000-0000-0000A07A0000}"/>
    <cellStyle name="Normal 26 4" xfId="1569" xr:uid="{00000000-0005-0000-0000-0000A17A0000}"/>
    <cellStyle name="Normal 26 4 2" xfId="40026" xr:uid="{00000000-0005-0000-0000-0000A27A0000}"/>
    <cellStyle name="Normal 26 4 3" xfId="45450" xr:uid="{00000000-0005-0000-0000-0000A37A0000}"/>
    <cellStyle name="Normal 26 5" xfId="40027" xr:uid="{00000000-0005-0000-0000-0000A47A0000}"/>
    <cellStyle name="Normal 26 6" xfId="40028" xr:uid="{00000000-0005-0000-0000-0000A57A0000}"/>
    <cellStyle name="Normal 26 7" xfId="46299" xr:uid="{00000000-0005-0000-0000-0000A67A0000}"/>
    <cellStyle name="Normal 27" xfId="438" xr:uid="{00000000-0005-0000-0000-0000A77A0000}"/>
    <cellStyle name="Normal 27 2" xfId="439" xr:uid="{00000000-0005-0000-0000-0000A87A0000}"/>
    <cellStyle name="Normal 27 2 2" xfId="1570" xr:uid="{00000000-0005-0000-0000-0000A97A0000}"/>
    <cellStyle name="Normal 27 2 2 2" xfId="1571" xr:uid="{00000000-0005-0000-0000-0000AA7A0000}"/>
    <cellStyle name="Normal 27 2 2 2 2" xfId="40029" xr:uid="{00000000-0005-0000-0000-0000AB7A0000}"/>
    <cellStyle name="Normal 27 2 2 2 3" xfId="45451" xr:uid="{00000000-0005-0000-0000-0000AC7A0000}"/>
    <cellStyle name="Normal 27 2 2 3" xfId="29659" xr:uid="{00000000-0005-0000-0000-0000AD7A0000}"/>
    <cellStyle name="Normal 27 2 2 4" xfId="45452" xr:uid="{00000000-0005-0000-0000-0000AE7A0000}"/>
    <cellStyle name="Normal 27 2 2 5" xfId="46242" xr:uid="{00000000-0005-0000-0000-0000AF7A0000}"/>
    <cellStyle name="Normal 27 2 3" xfId="29660" xr:uid="{00000000-0005-0000-0000-0000B07A0000}"/>
    <cellStyle name="Normal 27 2 4" xfId="40030" xr:uid="{00000000-0005-0000-0000-0000B17A0000}"/>
    <cellStyle name="Normal 27 3" xfId="440" xr:uid="{00000000-0005-0000-0000-0000B27A0000}"/>
    <cellStyle name="Normal 27 3 2" xfId="1572" xr:uid="{00000000-0005-0000-0000-0000B37A0000}"/>
    <cellStyle name="Normal 27 3 2 2" xfId="40031" xr:uid="{00000000-0005-0000-0000-0000B47A0000}"/>
    <cellStyle name="Normal 27 3 3" xfId="29661" xr:uid="{00000000-0005-0000-0000-0000B57A0000}"/>
    <cellStyle name="Normal 27 3 3 2" xfId="40032" xr:uid="{00000000-0005-0000-0000-0000B67A0000}"/>
    <cellStyle name="Normal 27 3 4" xfId="40033" xr:uid="{00000000-0005-0000-0000-0000B77A0000}"/>
    <cellStyle name="Normal 27 3 5" xfId="40034" xr:uid="{00000000-0005-0000-0000-0000B87A0000}"/>
    <cellStyle name="Normal 27 4" xfId="1573" xr:uid="{00000000-0005-0000-0000-0000B97A0000}"/>
    <cellStyle name="Normal 27 4 2" xfId="29662" xr:uid="{00000000-0005-0000-0000-0000BA7A0000}"/>
    <cellStyle name="Normal 27 4 3" xfId="40035" xr:uid="{00000000-0005-0000-0000-0000BB7A0000}"/>
    <cellStyle name="Normal 27 5" xfId="1574" xr:uid="{00000000-0005-0000-0000-0000BC7A0000}"/>
    <cellStyle name="Normal 27 5 2" xfId="40036" xr:uid="{00000000-0005-0000-0000-0000BD7A0000}"/>
    <cellStyle name="Normal 27 6" xfId="40037" xr:uid="{00000000-0005-0000-0000-0000BE7A0000}"/>
    <cellStyle name="Normal 27 7" xfId="40038" xr:uid="{00000000-0005-0000-0000-0000BF7A0000}"/>
    <cellStyle name="Normal 27 8" xfId="46300" xr:uid="{00000000-0005-0000-0000-0000C07A0000}"/>
    <cellStyle name="Normal 28" xfId="441" xr:uid="{00000000-0005-0000-0000-0000C17A0000}"/>
    <cellStyle name="Normal 28 2" xfId="1575" xr:uid="{00000000-0005-0000-0000-0000C27A0000}"/>
    <cellStyle name="Normal 28 2 2" xfId="1576" xr:uid="{00000000-0005-0000-0000-0000C37A0000}"/>
    <cellStyle name="Normal 28 2 2 2" xfId="29663" xr:uid="{00000000-0005-0000-0000-0000C47A0000}"/>
    <cellStyle name="Normal 28 2 2 3" xfId="45453" xr:uid="{00000000-0005-0000-0000-0000C57A0000}"/>
    <cellStyle name="Normal 28 2 3" xfId="29664" xr:uid="{00000000-0005-0000-0000-0000C67A0000}"/>
    <cellStyle name="Normal 28 2 3 2" xfId="40039" xr:uid="{00000000-0005-0000-0000-0000C77A0000}"/>
    <cellStyle name="Normal 28 2 4" xfId="40040" xr:uid="{00000000-0005-0000-0000-0000C87A0000}"/>
    <cellStyle name="Normal 28 3" xfId="1577" xr:uid="{00000000-0005-0000-0000-0000C97A0000}"/>
    <cellStyle name="Normal 28 3 2" xfId="40041" xr:uid="{00000000-0005-0000-0000-0000CA7A0000}"/>
    <cellStyle name="Normal 28 4" xfId="1578" xr:uid="{00000000-0005-0000-0000-0000CB7A0000}"/>
    <cellStyle name="Normal 28 4 2" xfId="40042" xr:uid="{00000000-0005-0000-0000-0000CC7A0000}"/>
    <cellStyle name="Normal 28 5" xfId="40043" xr:uid="{00000000-0005-0000-0000-0000CD7A0000}"/>
    <cellStyle name="Normal 28 6" xfId="40044" xr:uid="{00000000-0005-0000-0000-0000CE7A0000}"/>
    <cellStyle name="Normal 28 6 2" xfId="42510" xr:uid="{00000000-0005-0000-0000-0000CF7A0000}"/>
    <cellStyle name="Normal 28 6 3" xfId="45454" xr:uid="{00000000-0005-0000-0000-0000D07A0000}"/>
    <cellStyle name="Normal 29" xfId="442" xr:uid="{00000000-0005-0000-0000-0000D17A0000}"/>
    <cellStyle name="Normal 29 2" xfId="1579" xr:uid="{00000000-0005-0000-0000-0000D27A0000}"/>
    <cellStyle name="Normal 29 2 2" xfId="29665" xr:uid="{00000000-0005-0000-0000-0000D37A0000}"/>
    <cellStyle name="Normal 29 2 2 2" xfId="29666" xr:uid="{00000000-0005-0000-0000-0000D47A0000}"/>
    <cellStyle name="Normal 29 2 2 3" xfId="44594" xr:uid="{00000000-0005-0000-0000-0000D57A0000}"/>
    <cellStyle name="Normal 29 2 2 4" xfId="45455" xr:uid="{00000000-0005-0000-0000-0000D67A0000}"/>
    <cellStyle name="Normal 29 2 3" xfId="40045" xr:uid="{00000000-0005-0000-0000-0000D77A0000}"/>
    <cellStyle name="Normal 29 2 4" xfId="45456" xr:uid="{00000000-0005-0000-0000-0000D87A0000}"/>
    <cellStyle name="Normal 29 3" xfId="1580" xr:uid="{00000000-0005-0000-0000-0000D97A0000}"/>
    <cellStyle name="Normal 29 3 2" xfId="40046" xr:uid="{00000000-0005-0000-0000-0000DA7A0000}"/>
    <cellStyle name="Normal 29 4" xfId="1581" xr:uid="{00000000-0005-0000-0000-0000DB7A0000}"/>
    <cellStyle name="Normal 29 4 2" xfId="40047" xr:uid="{00000000-0005-0000-0000-0000DC7A0000}"/>
    <cellStyle name="Normal 29 5" xfId="40048" xr:uid="{00000000-0005-0000-0000-0000DD7A0000}"/>
    <cellStyle name="Normal 29 5 2" xfId="42511" xr:uid="{00000000-0005-0000-0000-0000DE7A0000}"/>
    <cellStyle name="Normal 29 5 3" xfId="45457" xr:uid="{00000000-0005-0000-0000-0000DF7A0000}"/>
    <cellStyle name="Normal 29 6" xfId="40049" xr:uid="{00000000-0005-0000-0000-0000E07A0000}"/>
    <cellStyle name="Normal 3" xfId="42" xr:uid="{00000000-0005-0000-0000-0000E17A0000}"/>
    <cellStyle name="Normal 3 10" xfId="40050" xr:uid="{00000000-0005-0000-0000-0000E27A0000}"/>
    <cellStyle name="Normal 3 10 2" xfId="42580" xr:uid="{00000000-0005-0000-0000-0000E37A0000}"/>
    <cellStyle name="Normal 3 10 3" xfId="45458" xr:uid="{00000000-0005-0000-0000-0000E47A0000}"/>
    <cellStyle name="Normal 3 11" xfId="40051" xr:uid="{00000000-0005-0000-0000-0000E57A0000}"/>
    <cellStyle name="Normal 3 12" xfId="45459" xr:uid="{00000000-0005-0000-0000-0000E67A0000}"/>
    <cellStyle name="Normal 3 2" xfId="43" xr:uid="{00000000-0005-0000-0000-0000E77A0000}"/>
    <cellStyle name="Normal 3 2 10" xfId="40052" xr:uid="{00000000-0005-0000-0000-0000E87A0000}"/>
    <cellStyle name="Normal 3 2 10 2" xfId="42581" xr:uid="{00000000-0005-0000-0000-0000E97A0000}"/>
    <cellStyle name="Normal 3 2 10 2 2" xfId="42582" xr:uid="{00000000-0005-0000-0000-0000EA7A0000}"/>
    <cellStyle name="Normal 3 2 10 3" xfId="42583" xr:uid="{00000000-0005-0000-0000-0000EB7A0000}"/>
    <cellStyle name="Normal 3 2 10 3 2" xfId="42584" xr:uid="{00000000-0005-0000-0000-0000EC7A0000}"/>
    <cellStyle name="Normal 3 2 10 4" xfId="42585" xr:uid="{00000000-0005-0000-0000-0000ED7A0000}"/>
    <cellStyle name="Normal 3 2 10 4 2" xfId="42586" xr:uid="{00000000-0005-0000-0000-0000EE7A0000}"/>
    <cellStyle name="Normal 3 2 10 5" xfId="42587" xr:uid="{00000000-0005-0000-0000-0000EF7A0000}"/>
    <cellStyle name="Normal 3 2 11" xfId="42588" xr:uid="{00000000-0005-0000-0000-0000F07A0000}"/>
    <cellStyle name="Normal 3 2 11 2" xfId="42589" xr:uid="{00000000-0005-0000-0000-0000F17A0000}"/>
    <cellStyle name="Normal 3 2 11 2 2" xfId="42590" xr:uid="{00000000-0005-0000-0000-0000F27A0000}"/>
    <cellStyle name="Normal 3 2 11 3" xfId="42591" xr:uid="{00000000-0005-0000-0000-0000F37A0000}"/>
    <cellStyle name="Normal 3 2 11 3 2" xfId="42592" xr:uid="{00000000-0005-0000-0000-0000F47A0000}"/>
    <cellStyle name="Normal 3 2 11 4" xfId="42593" xr:uid="{00000000-0005-0000-0000-0000F57A0000}"/>
    <cellStyle name="Normal 3 2 11 4 2" xfId="42594" xr:uid="{00000000-0005-0000-0000-0000F67A0000}"/>
    <cellStyle name="Normal 3 2 11 5" xfId="42595" xr:uid="{00000000-0005-0000-0000-0000F77A0000}"/>
    <cellStyle name="Normal 3 2 12" xfId="42596" xr:uid="{00000000-0005-0000-0000-0000F87A0000}"/>
    <cellStyle name="Normal 3 2 12 2" xfId="42597" xr:uid="{00000000-0005-0000-0000-0000F97A0000}"/>
    <cellStyle name="Normal 3 2 13" xfId="42598" xr:uid="{00000000-0005-0000-0000-0000FA7A0000}"/>
    <cellStyle name="Normal 3 2 13 2" xfId="42599" xr:uid="{00000000-0005-0000-0000-0000FB7A0000}"/>
    <cellStyle name="Normal 3 2 14" xfId="42600" xr:uid="{00000000-0005-0000-0000-0000FC7A0000}"/>
    <cellStyle name="Normal 3 2 14 2" xfId="42601" xr:uid="{00000000-0005-0000-0000-0000FD7A0000}"/>
    <cellStyle name="Normal 3 2 15" xfId="42602" xr:uid="{00000000-0005-0000-0000-0000FE7A0000}"/>
    <cellStyle name="Normal 3 2 16" xfId="43875" xr:uid="{00000000-0005-0000-0000-0000FF7A0000}"/>
    <cellStyle name="Normal 3 2 2" xfId="443" xr:uid="{00000000-0005-0000-0000-0000007B0000}"/>
    <cellStyle name="Normal 3 2 2 10" xfId="42603" xr:uid="{00000000-0005-0000-0000-0000017B0000}"/>
    <cellStyle name="Normal 3 2 2 10 2" xfId="42604" xr:uid="{00000000-0005-0000-0000-0000027B0000}"/>
    <cellStyle name="Normal 3 2 2 11" xfId="42605" xr:uid="{00000000-0005-0000-0000-0000037B0000}"/>
    <cellStyle name="Normal 3 2 2 11 2" xfId="42606" xr:uid="{00000000-0005-0000-0000-0000047B0000}"/>
    <cellStyle name="Normal 3 2 2 12" xfId="42607" xr:uid="{00000000-0005-0000-0000-0000057B0000}"/>
    <cellStyle name="Normal 3 2 2 13" xfId="45460" xr:uid="{00000000-0005-0000-0000-0000067B0000}"/>
    <cellStyle name="Normal 3 2 2 2" xfId="1582" xr:uid="{00000000-0005-0000-0000-0000077B0000}"/>
    <cellStyle name="Normal 3 2 2 2 2" xfId="1583" xr:uid="{00000000-0005-0000-0000-0000087B0000}"/>
    <cellStyle name="Normal 3 2 2 2 2 2" xfId="29667" xr:uid="{00000000-0005-0000-0000-0000097B0000}"/>
    <cellStyle name="Normal 3 2 2 2 2 2 2" xfId="40053" xr:uid="{00000000-0005-0000-0000-00000A7B0000}"/>
    <cellStyle name="Normal 3 2 2 2 2 3" xfId="29668" xr:uid="{00000000-0005-0000-0000-00000B7B0000}"/>
    <cellStyle name="Normal 3 2 2 2 2 3 2" xfId="42608" xr:uid="{00000000-0005-0000-0000-00000C7B0000}"/>
    <cellStyle name="Normal 3 2 2 2 2 4" xfId="42609" xr:uid="{00000000-0005-0000-0000-00000D7B0000}"/>
    <cellStyle name="Normal 3 2 2 2 2 4 2" xfId="42610" xr:uid="{00000000-0005-0000-0000-00000E7B0000}"/>
    <cellStyle name="Normal 3 2 2 2 2 5" xfId="42611" xr:uid="{00000000-0005-0000-0000-00000F7B0000}"/>
    <cellStyle name="Normal 3 2 2 2 3" xfId="1584" xr:uid="{00000000-0005-0000-0000-0000107B0000}"/>
    <cellStyle name="Normal 3 2 2 2 3 2" xfId="29669" xr:uid="{00000000-0005-0000-0000-0000117B0000}"/>
    <cellStyle name="Normal 3 2 2 2 3 2 2" xfId="40054" xr:uid="{00000000-0005-0000-0000-0000127B0000}"/>
    <cellStyle name="Normal 3 2 2 2 3 3" xfId="29670" xr:uid="{00000000-0005-0000-0000-0000137B0000}"/>
    <cellStyle name="Normal 3 2 2 2 3 4" xfId="45461" xr:uid="{00000000-0005-0000-0000-0000147B0000}"/>
    <cellStyle name="Normal 3 2 2 2 4" xfId="29671" xr:uid="{00000000-0005-0000-0000-0000157B0000}"/>
    <cellStyle name="Normal 3 2 2 2 4 2" xfId="40055" xr:uid="{00000000-0005-0000-0000-0000167B0000}"/>
    <cellStyle name="Normal 3 2 2 2 5" xfId="29672" xr:uid="{00000000-0005-0000-0000-0000177B0000}"/>
    <cellStyle name="Normal 3 2 2 2 5 2" xfId="42612" xr:uid="{00000000-0005-0000-0000-0000187B0000}"/>
    <cellStyle name="Normal 3 2 2 2 6" xfId="42613" xr:uid="{00000000-0005-0000-0000-0000197B0000}"/>
    <cellStyle name="Normal 3 2 2 2 7" xfId="46243" xr:uid="{00000000-0005-0000-0000-00001A7B0000}"/>
    <cellStyle name="Normal 3 2 2 3" xfId="1585" xr:uid="{00000000-0005-0000-0000-00001B7B0000}"/>
    <cellStyle name="Normal 3 2 2 3 2" xfId="1586" xr:uid="{00000000-0005-0000-0000-00001C7B0000}"/>
    <cellStyle name="Normal 3 2 2 3 2 2" xfId="40056" xr:uid="{00000000-0005-0000-0000-00001D7B0000}"/>
    <cellStyle name="Normal 3 2 2 3 2 2 2" xfId="42614" xr:uid="{00000000-0005-0000-0000-00001E7B0000}"/>
    <cellStyle name="Normal 3 2 2 3 2 3" xfId="42615" xr:uid="{00000000-0005-0000-0000-00001F7B0000}"/>
    <cellStyle name="Normal 3 2 2 3 2 3 2" xfId="42616" xr:uid="{00000000-0005-0000-0000-0000207B0000}"/>
    <cellStyle name="Normal 3 2 2 3 2 4" xfId="42617" xr:uid="{00000000-0005-0000-0000-0000217B0000}"/>
    <cellStyle name="Normal 3 2 2 3 2 4 2" xfId="42618" xr:uid="{00000000-0005-0000-0000-0000227B0000}"/>
    <cellStyle name="Normal 3 2 2 3 2 5" xfId="42619" xr:uid="{00000000-0005-0000-0000-0000237B0000}"/>
    <cellStyle name="Normal 3 2 2 3 2 6" xfId="45462" xr:uid="{00000000-0005-0000-0000-0000247B0000}"/>
    <cellStyle name="Normal 3 2 2 3 3" xfId="1587" xr:uid="{00000000-0005-0000-0000-0000257B0000}"/>
    <cellStyle name="Normal 3 2 2 3 3 2" xfId="40057" xr:uid="{00000000-0005-0000-0000-0000267B0000}"/>
    <cellStyle name="Normal 3 2 2 3 3 3" xfId="45463" xr:uid="{00000000-0005-0000-0000-0000277B0000}"/>
    <cellStyle name="Normal 3 2 2 3 4" xfId="40058" xr:uid="{00000000-0005-0000-0000-0000287B0000}"/>
    <cellStyle name="Normal 3 2 2 3 4 2" xfId="42620" xr:uid="{00000000-0005-0000-0000-0000297B0000}"/>
    <cellStyle name="Normal 3 2 2 3 5" xfId="42621" xr:uid="{00000000-0005-0000-0000-00002A7B0000}"/>
    <cellStyle name="Normal 3 2 2 3 5 2" xfId="42622" xr:uid="{00000000-0005-0000-0000-00002B7B0000}"/>
    <cellStyle name="Normal 3 2 2 3 6" xfId="42623" xr:uid="{00000000-0005-0000-0000-00002C7B0000}"/>
    <cellStyle name="Normal 3 2 2 3 7" xfId="45464" xr:uid="{00000000-0005-0000-0000-00002D7B0000}"/>
    <cellStyle name="Normal 3 2 2 4" xfId="1588" xr:uid="{00000000-0005-0000-0000-00002E7B0000}"/>
    <cellStyle name="Normal 3 2 2 4 2" xfId="29673" xr:uid="{00000000-0005-0000-0000-00002F7B0000}"/>
    <cellStyle name="Normal 3 2 2 4 2 2" xfId="40059" xr:uid="{00000000-0005-0000-0000-0000307B0000}"/>
    <cellStyle name="Normal 3 2 2 4 2 2 2" xfId="42624" xr:uid="{00000000-0005-0000-0000-0000317B0000}"/>
    <cellStyle name="Normal 3 2 2 4 2 3" xfId="42625" xr:uid="{00000000-0005-0000-0000-0000327B0000}"/>
    <cellStyle name="Normal 3 2 2 4 2 3 2" xfId="42626" xr:uid="{00000000-0005-0000-0000-0000337B0000}"/>
    <cellStyle name="Normal 3 2 2 4 2 4" xfId="42627" xr:uid="{00000000-0005-0000-0000-0000347B0000}"/>
    <cellStyle name="Normal 3 2 2 4 2 4 2" xfId="42628" xr:uid="{00000000-0005-0000-0000-0000357B0000}"/>
    <cellStyle name="Normal 3 2 2 4 2 5" xfId="42629" xr:uid="{00000000-0005-0000-0000-0000367B0000}"/>
    <cellStyle name="Normal 3 2 2 4 3" xfId="29674" xr:uid="{00000000-0005-0000-0000-0000377B0000}"/>
    <cellStyle name="Normal 3 2 2 4 3 2" xfId="42630" xr:uid="{00000000-0005-0000-0000-0000387B0000}"/>
    <cellStyle name="Normal 3 2 2 4 4" xfId="42631" xr:uid="{00000000-0005-0000-0000-0000397B0000}"/>
    <cellStyle name="Normal 3 2 2 4 4 2" xfId="42632" xr:uid="{00000000-0005-0000-0000-00003A7B0000}"/>
    <cellStyle name="Normal 3 2 2 4 5" xfId="42633" xr:uid="{00000000-0005-0000-0000-00003B7B0000}"/>
    <cellStyle name="Normal 3 2 2 4 5 2" xfId="42634" xr:uid="{00000000-0005-0000-0000-00003C7B0000}"/>
    <cellStyle name="Normal 3 2 2 4 6" xfId="42635" xr:uid="{00000000-0005-0000-0000-00003D7B0000}"/>
    <cellStyle name="Normal 3 2 2 4 7" xfId="45465" xr:uid="{00000000-0005-0000-0000-00003E7B0000}"/>
    <cellStyle name="Normal 3 2 2 5" xfId="1589" xr:uid="{00000000-0005-0000-0000-00003F7B0000}"/>
    <cellStyle name="Normal 3 2 2 5 2" xfId="40060" xr:uid="{00000000-0005-0000-0000-0000407B0000}"/>
    <cellStyle name="Normal 3 2 2 5 2 2" xfId="42636" xr:uid="{00000000-0005-0000-0000-0000417B0000}"/>
    <cellStyle name="Normal 3 2 2 5 2 2 2" xfId="42637" xr:uid="{00000000-0005-0000-0000-0000427B0000}"/>
    <cellStyle name="Normal 3 2 2 5 2 3" xfId="42638" xr:uid="{00000000-0005-0000-0000-0000437B0000}"/>
    <cellStyle name="Normal 3 2 2 5 2 3 2" xfId="42639" xr:uid="{00000000-0005-0000-0000-0000447B0000}"/>
    <cellStyle name="Normal 3 2 2 5 2 4" xfId="42640" xr:uid="{00000000-0005-0000-0000-0000457B0000}"/>
    <cellStyle name="Normal 3 2 2 5 2 4 2" xfId="42641" xr:uid="{00000000-0005-0000-0000-0000467B0000}"/>
    <cellStyle name="Normal 3 2 2 5 2 5" xfId="42642" xr:uid="{00000000-0005-0000-0000-0000477B0000}"/>
    <cellStyle name="Normal 3 2 2 5 3" xfId="42643" xr:uid="{00000000-0005-0000-0000-0000487B0000}"/>
    <cellStyle name="Normal 3 2 2 5 3 2" xfId="42644" xr:uid="{00000000-0005-0000-0000-0000497B0000}"/>
    <cellStyle name="Normal 3 2 2 5 4" xfId="42645" xr:uid="{00000000-0005-0000-0000-00004A7B0000}"/>
    <cellStyle name="Normal 3 2 2 5 4 2" xfId="42646" xr:uid="{00000000-0005-0000-0000-00004B7B0000}"/>
    <cellStyle name="Normal 3 2 2 5 5" xfId="42647" xr:uid="{00000000-0005-0000-0000-00004C7B0000}"/>
    <cellStyle name="Normal 3 2 2 5 5 2" xfId="42648" xr:uid="{00000000-0005-0000-0000-00004D7B0000}"/>
    <cellStyle name="Normal 3 2 2 5 6" xfId="42649" xr:uid="{00000000-0005-0000-0000-00004E7B0000}"/>
    <cellStyle name="Normal 3 2 2 5 7" xfId="45466" xr:uid="{00000000-0005-0000-0000-00004F7B0000}"/>
    <cellStyle name="Normal 3 2 2 6" xfId="1590" xr:uid="{00000000-0005-0000-0000-0000507B0000}"/>
    <cellStyle name="Normal 3 2 2 6 2" xfId="40061" xr:uid="{00000000-0005-0000-0000-0000517B0000}"/>
    <cellStyle name="Normal 3 2 2 6 2 2" xfId="42650" xr:uid="{00000000-0005-0000-0000-0000527B0000}"/>
    <cellStyle name="Normal 3 2 2 6 3" xfId="42651" xr:uid="{00000000-0005-0000-0000-0000537B0000}"/>
    <cellStyle name="Normal 3 2 2 6 3 2" xfId="42652" xr:uid="{00000000-0005-0000-0000-0000547B0000}"/>
    <cellStyle name="Normal 3 2 2 6 4" xfId="42653" xr:uid="{00000000-0005-0000-0000-0000557B0000}"/>
    <cellStyle name="Normal 3 2 2 6 4 2" xfId="42654" xr:uid="{00000000-0005-0000-0000-0000567B0000}"/>
    <cellStyle name="Normal 3 2 2 6 5" xfId="42655" xr:uid="{00000000-0005-0000-0000-0000577B0000}"/>
    <cellStyle name="Normal 3 2 2 7" xfId="29675" xr:uid="{00000000-0005-0000-0000-0000587B0000}"/>
    <cellStyle name="Normal 3 2 2 7 2" xfId="40062" xr:uid="{00000000-0005-0000-0000-0000597B0000}"/>
    <cellStyle name="Normal 3 2 2 7 2 2" xfId="42656" xr:uid="{00000000-0005-0000-0000-00005A7B0000}"/>
    <cellStyle name="Normal 3 2 2 7 3" xfId="42657" xr:uid="{00000000-0005-0000-0000-00005B7B0000}"/>
    <cellStyle name="Normal 3 2 2 7 3 2" xfId="42658" xr:uid="{00000000-0005-0000-0000-00005C7B0000}"/>
    <cellStyle name="Normal 3 2 2 7 4" xfId="42659" xr:uid="{00000000-0005-0000-0000-00005D7B0000}"/>
    <cellStyle name="Normal 3 2 2 7 4 2" xfId="42660" xr:uid="{00000000-0005-0000-0000-00005E7B0000}"/>
    <cellStyle name="Normal 3 2 2 7 5" xfId="42661" xr:uid="{00000000-0005-0000-0000-00005F7B0000}"/>
    <cellStyle name="Normal 3 2 2 7 6" xfId="45467" xr:uid="{00000000-0005-0000-0000-0000607B0000}"/>
    <cellStyle name="Normal 3 2 2 8" xfId="40063" xr:uid="{00000000-0005-0000-0000-0000617B0000}"/>
    <cellStyle name="Normal 3 2 2 8 2" xfId="42662" xr:uid="{00000000-0005-0000-0000-0000627B0000}"/>
    <cellStyle name="Normal 3 2 2 8 2 2" xfId="42663" xr:uid="{00000000-0005-0000-0000-0000637B0000}"/>
    <cellStyle name="Normal 3 2 2 8 3" xfId="42664" xr:uid="{00000000-0005-0000-0000-0000647B0000}"/>
    <cellStyle name="Normal 3 2 2 8 3 2" xfId="42665" xr:uid="{00000000-0005-0000-0000-0000657B0000}"/>
    <cellStyle name="Normal 3 2 2 8 4" xfId="42666" xr:uid="{00000000-0005-0000-0000-0000667B0000}"/>
    <cellStyle name="Normal 3 2 2 8 4 2" xfId="42667" xr:uid="{00000000-0005-0000-0000-0000677B0000}"/>
    <cellStyle name="Normal 3 2 2 8 5" xfId="42668" xr:uid="{00000000-0005-0000-0000-0000687B0000}"/>
    <cellStyle name="Normal 3 2 2 9" xfId="40064" xr:uid="{00000000-0005-0000-0000-0000697B0000}"/>
    <cellStyle name="Normal 3 2 2 9 2" xfId="42669" xr:uid="{00000000-0005-0000-0000-00006A7B0000}"/>
    <cellStyle name="Normal 3 2 2_Net Zero &amp; QRP Award" xfId="42670" xr:uid="{00000000-0005-0000-0000-00006B7B0000}"/>
    <cellStyle name="Normal 3 2 3" xfId="1591" xr:uid="{00000000-0005-0000-0000-00006C7B0000}"/>
    <cellStyle name="Normal 3 2 3 10" xfId="42671" xr:uid="{00000000-0005-0000-0000-00006D7B0000}"/>
    <cellStyle name="Normal 3 2 3 10 2" xfId="42672" xr:uid="{00000000-0005-0000-0000-00006E7B0000}"/>
    <cellStyle name="Normal 3 2 3 11" xfId="42673" xr:uid="{00000000-0005-0000-0000-00006F7B0000}"/>
    <cellStyle name="Normal 3 2 3 11 2" xfId="42674" xr:uid="{00000000-0005-0000-0000-0000707B0000}"/>
    <cellStyle name="Normal 3 2 3 12" xfId="42675" xr:uid="{00000000-0005-0000-0000-0000717B0000}"/>
    <cellStyle name="Normal 3 2 3 2" xfId="1592" xr:uid="{00000000-0005-0000-0000-0000727B0000}"/>
    <cellStyle name="Normal 3 2 3 2 2" xfId="29676" xr:uid="{00000000-0005-0000-0000-0000737B0000}"/>
    <cellStyle name="Normal 3 2 3 2 2 2" xfId="40065" xr:uid="{00000000-0005-0000-0000-0000747B0000}"/>
    <cellStyle name="Normal 3 2 3 2 2 2 2" xfId="42676" xr:uid="{00000000-0005-0000-0000-0000757B0000}"/>
    <cellStyle name="Normal 3 2 3 2 2 3" xfId="42677" xr:uid="{00000000-0005-0000-0000-0000767B0000}"/>
    <cellStyle name="Normal 3 2 3 2 2 3 2" xfId="42678" xr:uid="{00000000-0005-0000-0000-0000777B0000}"/>
    <cellStyle name="Normal 3 2 3 2 2 4" xfId="42679" xr:uid="{00000000-0005-0000-0000-0000787B0000}"/>
    <cellStyle name="Normal 3 2 3 2 2 4 2" xfId="42680" xr:uid="{00000000-0005-0000-0000-0000797B0000}"/>
    <cellStyle name="Normal 3 2 3 2 2 5" xfId="42681" xr:uid="{00000000-0005-0000-0000-00007A7B0000}"/>
    <cellStyle name="Normal 3 2 3 2 3" xfId="29677" xr:uid="{00000000-0005-0000-0000-00007B7B0000}"/>
    <cellStyle name="Normal 3 2 3 2 3 2" xfId="42682" xr:uid="{00000000-0005-0000-0000-00007C7B0000}"/>
    <cellStyle name="Normal 3 2 3 2 4" xfId="42683" xr:uid="{00000000-0005-0000-0000-00007D7B0000}"/>
    <cellStyle name="Normal 3 2 3 2 4 2" xfId="42684" xr:uid="{00000000-0005-0000-0000-00007E7B0000}"/>
    <cellStyle name="Normal 3 2 3 2 5" xfId="42685" xr:uid="{00000000-0005-0000-0000-00007F7B0000}"/>
    <cellStyle name="Normal 3 2 3 2 5 2" xfId="42686" xr:uid="{00000000-0005-0000-0000-0000807B0000}"/>
    <cellStyle name="Normal 3 2 3 2 6" xfId="42687" xr:uid="{00000000-0005-0000-0000-0000817B0000}"/>
    <cellStyle name="Normal 3 2 3 3" xfId="1593" xr:uid="{00000000-0005-0000-0000-0000827B0000}"/>
    <cellStyle name="Normal 3 2 3 3 2" xfId="29678" xr:uid="{00000000-0005-0000-0000-0000837B0000}"/>
    <cellStyle name="Normal 3 2 3 3 2 2" xfId="40066" xr:uid="{00000000-0005-0000-0000-0000847B0000}"/>
    <cellStyle name="Normal 3 2 3 3 2 2 2" xfId="42688" xr:uid="{00000000-0005-0000-0000-0000857B0000}"/>
    <cellStyle name="Normal 3 2 3 3 2 3" xfId="42689" xr:uid="{00000000-0005-0000-0000-0000867B0000}"/>
    <cellStyle name="Normal 3 2 3 3 2 3 2" xfId="42690" xr:uid="{00000000-0005-0000-0000-0000877B0000}"/>
    <cellStyle name="Normal 3 2 3 3 2 4" xfId="42691" xr:uid="{00000000-0005-0000-0000-0000887B0000}"/>
    <cellStyle name="Normal 3 2 3 3 2 4 2" xfId="42692" xr:uid="{00000000-0005-0000-0000-0000897B0000}"/>
    <cellStyle name="Normal 3 2 3 3 2 5" xfId="42693" xr:uid="{00000000-0005-0000-0000-00008A7B0000}"/>
    <cellStyle name="Normal 3 2 3 3 3" xfId="29679" xr:uid="{00000000-0005-0000-0000-00008B7B0000}"/>
    <cellStyle name="Normal 3 2 3 3 3 2" xfId="42694" xr:uid="{00000000-0005-0000-0000-00008C7B0000}"/>
    <cellStyle name="Normal 3 2 3 3 4" xfId="42695" xr:uid="{00000000-0005-0000-0000-00008D7B0000}"/>
    <cellStyle name="Normal 3 2 3 3 4 2" xfId="42696" xr:uid="{00000000-0005-0000-0000-00008E7B0000}"/>
    <cellStyle name="Normal 3 2 3 3 5" xfId="42697" xr:uid="{00000000-0005-0000-0000-00008F7B0000}"/>
    <cellStyle name="Normal 3 2 3 3 5 2" xfId="42698" xr:uid="{00000000-0005-0000-0000-0000907B0000}"/>
    <cellStyle name="Normal 3 2 3 3 6" xfId="42699" xr:uid="{00000000-0005-0000-0000-0000917B0000}"/>
    <cellStyle name="Normal 3 2 3 3 7" xfId="45468" xr:uid="{00000000-0005-0000-0000-0000927B0000}"/>
    <cellStyle name="Normal 3 2 3 4" xfId="1594" xr:uid="{00000000-0005-0000-0000-0000937B0000}"/>
    <cellStyle name="Normal 3 2 3 4 2" xfId="40067" xr:uid="{00000000-0005-0000-0000-0000947B0000}"/>
    <cellStyle name="Normal 3 2 3 4 2 2" xfId="42700" xr:uid="{00000000-0005-0000-0000-0000957B0000}"/>
    <cellStyle name="Normal 3 2 3 4 2 2 2" xfId="42701" xr:uid="{00000000-0005-0000-0000-0000967B0000}"/>
    <cellStyle name="Normal 3 2 3 4 2 3" xfId="42702" xr:uid="{00000000-0005-0000-0000-0000977B0000}"/>
    <cellStyle name="Normal 3 2 3 4 2 3 2" xfId="42703" xr:uid="{00000000-0005-0000-0000-0000987B0000}"/>
    <cellStyle name="Normal 3 2 3 4 2 4" xfId="42704" xr:uid="{00000000-0005-0000-0000-0000997B0000}"/>
    <cellStyle name="Normal 3 2 3 4 2 4 2" xfId="42705" xr:uid="{00000000-0005-0000-0000-00009A7B0000}"/>
    <cellStyle name="Normal 3 2 3 4 2 5" xfId="42706" xr:uid="{00000000-0005-0000-0000-00009B7B0000}"/>
    <cellStyle name="Normal 3 2 3 4 3" xfId="42707" xr:uid="{00000000-0005-0000-0000-00009C7B0000}"/>
    <cellStyle name="Normal 3 2 3 4 3 2" xfId="42708" xr:uid="{00000000-0005-0000-0000-00009D7B0000}"/>
    <cellStyle name="Normal 3 2 3 4 4" xfId="42709" xr:uid="{00000000-0005-0000-0000-00009E7B0000}"/>
    <cellStyle name="Normal 3 2 3 4 4 2" xfId="42710" xr:uid="{00000000-0005-0000-0000-00009F7B0000}"/>
    <cellStyle name="Normal 3 2 3 4 5" xfId="42711" xr:uid="{00000000-0005-0000-0000-0000A07B0000}"/>
    <cellStyle name="Normal 3 2 3 4 5 2" xfId="42712" xr:uid="{00000000-0005-0000-0000-0000A17B0000}"/>
    <cellStyle name="Normal 3 2 3 4 6" xfId="42713" xr:uid="{00000000-0005-0000-0000-0000A27B0000}"/>
    <cellStyle name="Normal 3 2 3 4 7" xfId="45469" xr:uid="{00000000-0005-0000-0000-0000A37B0000}"/>
    <cellStyle name="Normal 3 2 3 5" xfId="1595" xr:uid="{00000000-0005-0000-0000-0000A47B0000}"/>
    <cellStyle name="Normal 3 2 3 5 2" xfId="40068" xr:uid="{00000000-0005-0000-0000-0000A57B0000}"/>
    <cellStyle name="Normal 3 2 3 5 2 2" xfId="42714" xr:uid="{00000000-0005-0000-0000-0000A67B0000}"/>
    <cellStyle name="Normal 3 2 3 5 2 2 2" xfId="42715" xr:uid="{00000000-0005-0000-0000-0000A77B0000}"/>
    <cellStyle name="Normal 3 2 3 5 2 3" xfId="42716" xr:uid="{00000000-0005-0000-0000-0000A87B0000}"/>
    <cellStyle name="Normal 3 2 3 5 2 3 2" xfId="42717" xr:uid="{00000000-0005-0000-0000-0000A97B0000}"/>
    <cellStyle name="Normal 3 2 3 5 2 4" xfId="42718" xr:uid="{00000000-0005-0000-0000-0000AA7B0000}"/>
    <cellStyle name="Normal 3 2 3 5 2 4 2" xfId="42719" xr:uid="{00000000-0005-0000-0000-0000AB7B0000}"/>
    <cellStyle name="Normal 3 2 3 5 2 5" xfId="42720" xr:uid="{00000000-0005-0000-0000-0000AC7B0000}"/>
    <cellStyle name="Normal 3 2 3 5 3" xfId="42721" xr:uid="{00000000-0005-0000-0000-0000AD7B0000}"/>
    <cellStyle name="Normal 3 2 3 5 3 2" xfId="42722" xr:uid="{00000000-0005-0000-0000-0000AE7B0000}"/>
    <cellStyle name="Normal 3 2 3 5 4" xfId="42723" xr:uid="{00000000-0005-0000-0000-0000AF7B0000}"/>
    <cellStyle name="Normal 3 2 3 5 4 2" xfId="42724" xr:uid="{00000000-0005-0000-0000-0000B07B0000}"/>
    <cellStyle name="Normal 3 2 3 5 5" xfId="42725" xr:uid="{00000000-0005-0000-0000-0000B17B0000}"/>
    <cellStyle name="Normal 3 2 3 5 5 2" xfId="42726" xr:uid="{00000000-0005-0000-0000-0000B27B0000}"/>
    <cellStyle name="Normal 3 2 3 5 6" xfId="42727" xr:uid="{00000000-0005-0000-0000-0000B37B0000}"/>
    <cellStyle name="Normal 3 2 3 5 7" xfId="45470" xr:uid="{00000000-0005-0000-0000-0000B47B0000}"/>
    <cellStyle name="Normal 3 2 3 6" xfId="29680" xr:uid="{00000000-0005-0000-0000-0000B57B0000}"/>
    <cellStyle name="Normal 3 2 3 6 2" xfId="42729" xr:uid="{00000000-0005-0000-0000-0000B67B0000}"/>
    <cellStyle name="Normal 3 2 3 6 2 2" xfId="42730" xr:uid="{00000000-0005-0000-0000-0000B77B0000}"/>
    <cellStyle name="Normal 3 2 3 6 3" xfId="42731" xr:uid="{00000000-0005-0000-0000-0000B87B0000}"/>
    <cellStyle name="Normal 3 2 3 6 3 2" xfId="42732" xr:uid="{00000000-0005-0000-0000-0000B97B0000}"/>
    <cellStyle name="Normal 3 2 3 6 4" xfId="42733" xr:uid="{00000000-0005-0000-0000-0000BA7B0000}"/>
    <cellStyle name="Normal 3 2 3 6 4 2" xfId="42734" xr:uid="{00000000-0005-0000-0000-0000BB7B0000}"/>
    <cellStyle name="Normal 3 2 3 6 5" xfId="42735" xr:uid="{00000000-0005-0000-0000-0000BC7B0000}"/>
    <cellStyle name="Normal 3 2 3 6 6" xfId="42728" xr:uid="{00000000-0005-0000-0000-0000BD7B0000}"/>
    <cellStyle name="Normal 3 2 3 6 7" xfId="45471" xr:uid="{00000000-0005-0000-0000-0000BE7B0000}"/>
    <cellStyle name="Normal 3 2 3 7" xfId="42736" xr:uid="{00000000-0005-0000-0000-0000BF7B0000}"/>
    <cellStyle name="Normal 3 2 3 7 2" xfId="42737" xr:uid="{00000000-0005-0000-0000-0000C07B0000}"/>
    <cellStyle name="Normal 3 2 3 7 2 2" xfId="42738" xr:uid="{00000000-0005-0000-0000-0000C17B0000}"/>
    <cellStyle name="Normal 3 2 3 7 3" xfId="42739" xr:uid="{00000000-0005-0000-0000-0000C27B0000}"/>
    <cellStyle name="Normal 3 2 3 7 3 2" xfId="42740" xr:uid="{00000000-0005-0000-0000-0000C37B0000}"/>
    <cellStyle name="Normal 3 2 3 7 4" xfId="42741" xr:uid="{00000000-0005-0000-0000-0000C47B0000}"/>
    <cellStyle name="Normal 3 2 3 7 4 2" xfId="42742" xr:uid="{00000000-0005-0000-0000-0000C57B0000}"/>
    <cellStyle name="Normal 3 2 3 7 5" xfId="42743" xr:uid="{00000000-0005-0000-0000-0000C67B0000}"/>
    <cellStyle name="Normal 3 2 3 8" xfId="42744" xr:uid="{00000000-0005-0000-0000-0000C77B0000}"/>
    <cellStyle name="Normal 3 2 3 8 2" xfId="42745" xr:uid="{00000000-0005-0000-0000-0000C87B0000}"/>
    <cellStyle name="Normal 3 2 3 8 2 2" xfId="42746" xr:uid="{00000000-0005-0000-0000-0000C97B0000}"/>
    <cellStyle name="Normal 3 2 3 8 3" xfId="42747" xr:uid="{00000000-0005-0000-0000-0000CA7B0000}"/>
    <cellStyle name="Normal 3 2 3 8 3 2" xfId="42748" xr:uid="{00000000-0005-0000-0000-0000CB7B0000}"/>
    <cellStyle name="Normal 3 2 3 8 4" xfId="42749" xr:uid="{00000000-0005-0000-0000-0000CC7B0000}"/>
    <cellStyle name="Normal 3 2 3 8 4 2" xfId="42750" xr:uid="{00000000-0005-0000-0000-0000CD7B0000}"/>
    <cellStyle name="Normal 3 2 3 8 5" xfId="42751" xr:uid="{00000000-0005-0000-0000-0000CE7B0000}"/>
    <cellStyle name="Normal 3 2 3 9" xfId="42752" xr:uid="{00000000-0005-0000-0000-0000CF7B0000}"/>
    <cellStyle name="Normal 3 2 3 9 2" xfId="42753" xr:uid="{00000000-0005-0000-0000-0000D07B0000}"/>
    <cellStyle name="Normal 3 2 3_Net Zero &amp; QRP Award" xfId="42754" xr:uid="{00000000-0005-0000-0000-0000D17B0000}"/>
    <cellStyle name="Normal 3 2 4" xfId="1596" xr:uid="{00000000-0005-0000-0000-0000D27B0000}"/>
    <cellStyle name="Normal 3 2 4 10" xfId="42755" xr:uid="{00000000-0005-0000-0000-0000D37B0000}"/>
    <cellStyle name="Normal 3 2 4 10 2" xfId="42756" xr:uid="{00000000-0005-0000-0000-0000D47B0000}"/>
    <cellStyle name="Normal 3 2 4 11" xfId="42757" xr:uid="{00000000-0005-0000-0000-0000D57B0000}"/>
    <cellStyle name="Normal 3 2 4 11 2" xfId="42758" xr:uid="{00000000-0005-0000-0000-0000D67B0000}"/>
    <cellStyle name="Normal 3 2 4 12" xfId="42759" xr:uid="{00000000-0005-0000-0000-0000D77B0000}"/>
    <cellStyle name="Normal 3 2 4 12 2" xfId="42760" xr:uid="{00000000-0005-0000-0000-0000D87B0000}"/>
    <cellStyle name="Normal 3 2 4 13" xfId="42761" xr:uid="{00000000-0005-0000-0000-0000D97B0000}"/>
    <cellStyle name="Normal 3 2 4 14" xfId="45472" xr:uid="{00000000-0005-0000-0000-0000DA7B0000}"/>
    <cellStyle name="Normal 3 2 4 2" xfId="1597" xr:uid="{00000000-0005-0000-0000-0000DB7B0000}"/>
    <cellStyle name="Normal 3 2 4 2 2" xfId="40069" xr:uid="{00000000-0005-0000-0000-0000DC7B0000}"/>
    <cellStyle name="Normal 3 2 4 2 2 2" xfId="42762" xr:uid="{00000000-0005-0000-0000-0000DD7B0000}"/>
    <cellStyle name="Normal 3 2 4 2 2 2 2" xfId="42763" xr:uid="{00000000-0005-0000-0000-0000DE7B0000}"/>
    <cellStyle name="Normal 3 2 4 2 2 3" xfId="42764" xr:uid="{00000000-0005-0000-0000-0000DF7B0000}"/>
    <cellStyle name="Normal 3 2 4 2 2 3 2" xfId="42765" xr:uid="{00000000-0005-0000-0000-0000E07B0000}"/>
    <cellStyle name="Normal 3 2 4 2 2 4" xfId="42766" xr:uid="{00000000-0005-0000-0000-0000E17B0000}"/>
    <cellStyle name="Normal 3 2 4 2 2 4 2" xfId="42767" xr:uid="{00000000-0005-0000-0000-0000E27B0000}"/>
    <cellStyle name="Normal 3 2 4 2 2 5" xfId="42768" xr:uid="{00000000-0005-0000-0000-0000E37B0000}"/>
    <cellStyle name="Normal 3 2 4 2 3" xfId="42769" xr:uid="{00000000-0005-0000-0000-0000E47B0000}"/>
    <cellStyle name="Normal 3 2 4 2 3 2" xfId="42770" xr:uid="{00000000-0005-0000-0000-0000E57B0000}"/>
    <cellStyle name="Normal 3 2 4 2 4" xfId="42771" xr:uid="{00000000-0005-0000-0000-0000E67B0000}"/>
    <cellStyle name="Normal 3 2 4 2 4 2" xfId="42772" xr:uid="{00000000-0005-0000-0000-0000E77B0000}"/>
    <cellStyle name="Normal 3 2 4 2 5" xfId="42773" xr:uid="{00000000-0005-0000-0000-0000E87B0000}"/>
    <cellStyle name="Normal 3 2 4 2 5 2" xfId="42774" xr:uid="{00000000-0005-0000-0000-0000E97B0000}"/>
    <cellStyle name="Normal 3 2 4 2 6" xfId="42775" xr:uid="{00000000-0005-0000-0000-0000EA7B0000}"/>
    <cellStyle name="Normal 3 2 4 2 7" xfId="45473" xr:uid="{00000000-0005-0000-0000-0000EB7B0000}"/>
    <cellStyle name="Normal 3 2 4 3" xfId="1598" xr:uid="{00000000-0005-0000-0000-0000EC7B0000}"/>
    <cellStyle name="Normal 3 2 4 3 2" xfId="40070" xr:uid="{00000000-0005-0000-0000-0000ED7B0000}"/>
    <cellStyle name="Normal 3 2 4 3 2 2" xfId="42776" xr:uid="{00000000-0005-0000-0000-0000EE7B0000}"/>
    <cellStyle name="Normal 3 2 4 3 2 2 2" xfId="42777" xr:uid="{00000000-0005-0000-0000-0000EF7B0000}"/>
    <cellStyle name="Normal 3 2 4 3 2 3" xfId="42778" xr:uid="{00000000-0005-0000-0000-0000F07B0000}"/>
    <cellStyle name="Normal 3 2 4 3 2 3 2" xfId="42779" xr:uid="{00000000-0005-0000-0000-0000F17B0000}"/>
    <cellStyle name="Normal 3 2 4 3 2 4" xfId="42780" xr:uid="{00000000-0005-0000-0000-0000F27B0000}"/>
    <cellStyle name="Normal 3 2 4 3 2 4 2" xfId="42781" xr:uid="{00000000-0005-0000-0000-0000F37B0000}"/>
    <cellStyle name="Normal 3 2 4 3 2 5" xfId="42782" xr:uid="{00000000-0005-0000-0000-0000F47B0000}"/>
    <cellStyle name="Normal 3 2 4 3 3" xfId="42783" xr:uid="{00000000-0005-0000-0000-0000F57B0000}"/>
    <cellStyle name="Normal 3 2 4 3 3 2" xfId="42784" xr:uid="{00000000-0005-0000-0000-0000F67B0000}"/>
    <cellStyle name="Normal 3 2 4 3 4" xfId="42785" xr:uid="{00000000-0005-0000-0000-0000F77B0000}"/>
    <cellStyle name="Normal 3 2 4 3 4 2" xfId="42786" xr:uid="{00000000-0005-0000-0000-0000F87B0000}"/>
    <cellStyle name="Normal 3 2 4 3 5" xfId="42787" xr:uid="{00000000-0005-0000-0000-0000F97B0000}"/>
    <cellStyle name="Normal 3 2 4 3 5 2" xfId="42788" xr:uid="{00000000-0005-0000-0000-0000FA7B0000}"/>
    <cellStyle name="Normal 3 2 4 3 6" xfId="42789" xr:uid="{00000000-0005-0000-0000-0000FB7B0000}"/>
    <cellStyle name="Normal 3 2 4 3 7" xfId="45474" xr:uid="{00000000-0005-0000-0000-0000FC7B0000}"/>
    <cellStyle name="Normal 3 2 4 4" xfId="29681" xr:uid="{00000000-0005-0000-0000-0000FD7B0000}"/>
    <cellStyle name="Normal 3 2 4 4 2" xfId="42790" xr:uid="{00000000-0005-0000-0000-0000FE7B0000}"/>
    <cellStyle name="Normal 3 2 4 4 2 2" xfId="42791" xr:uid="{00000000-0005-0000-0000-0000FF7B0000}"/>
    <cellStyle name="Normal 3 2 4 4 2 2 2" xfId="42792" xr:uid="{00000000-0005-0000-0000-0000007C0000}"/>
    <cellStyle name="Normal 3 2 4 4 2 3" xfId="42793" xr:uid="{00000000-0005-0000-0000-0000017C0000}"/>
    <cellStyle name="Normal 3 2 4 4 2 3 2" xfId="42794" xr:uid="{00000000-0005-0000-0000-0000027C0000}"/>
    <cellStyle name="Normal 3 2 4 4 2 4" xfId="42795" xr:uid="{00000000-0005-0000-0000-0000037C0000}"/>
    <cellStyle name="Normal 3 2 4 4 2 4 2" xfId="42796" xr:uid="{00000000-0005-0000-0000-0000047C0000}"/>
    <cellStyle name="Normal 3 2 4 4 2 5" xfId="42797" xr:uid="{00000000-0005-0000-0000-0000057C0000}"/>
    <cellStyle name="Normal 3 2 4 4 3" xfId="42798" xr:uid="{00000000-0005-0000-0000-0000067C0000}"/>
    <cellStyle name="Normal 3 2 4 4 3 2" xfId="42799" xr:uid="{00000000-0005-0000-0000-0000077C0000}"/>
    <cellStyle name="Normal 3 2 4 4 4" xfId="42800" xr:uid="{00000000-0005-0000-0000-0000087C0000}"/>
    <cellStyle name="Normal 3 2 4 4 4 2" xfId="42801" xr:uid="{00000000-0005-0000-0000-0000097C0000}"/>
    <cellStyle name="Normal 3 2 4 4 5" xfId="42802" xr:uid="{00000000-0005-0000-0000-00000A7C0000}"/>
    <cellStyle name="Normal 3 2 4 4 5 2" xfId="42803" xr:uid="{00000000-0005-0000-0000-00000B7C0000}"/>
    <cellStyle name="Normal 3 2 4 4 6" xfId="42804" xr:uid="{00000000-0005-0000-0000-00000C7C0000}"/>
    <cellStyle name="Normal 3 2 4 5" xfId="42805" xr:uid="{00000000-0005-0000-0000-00000D7C0000}"/>
    <cellStyle name="Normal 3 2 4 5 2" xfId="42806" xr:uid="{00000000-0005-0000-0000-00000E7C0000}"/>
    <cellStyle name="Normal 3 2 4 5 2 2" xfId="42807" xr:uid="{00000000-0005-0000-0000-00000F7C0000}"/>
    <cellStyle name="Normal 3 2 4 5 2 2 2" xfId="42808" xr:uid="{00000000-0005-0000-0000-0000107C0000}"/>
    <cellStyle name="Normal 3 2 4 5 2 3" xfId="42809" xr:uid="{00000000-0005-0000-0000-0000117C0000}"/>
    <cellStyle name="Normal 3 2 4 5 2 3 2" xfId="42810" xr:uid="{00000000-0005-0000-0000-0000127C0000}"/>
    <cellStyle name="Normal 3 2 4 5 2 4" xfId="42811" xr:uid="{00000000-0005-0000-0000-0000137C0000}"/>
    <cellStyle name="Normal 3 2 4 5 2 4 2" xfId="42812" xr:uid="{00000000-0005-0000-0000-0000147C0000}"/>
    <cellStyle name="Normal 3 2 4 5 2 5" xfId="42813" xr:uid="{00000000-0005-0000-0000-0000157C0000}"/>
    <cellStyle name="Normal 3 2 4 5 3" xfId="42814" xr:uid="{00000000-0005-0000-0000-0000167C0000}"/>
    <cellStyle name="Normal 3 2 4 5 3 2" xfId="42815" xr:uid="{00000000-0005-0000-0000-0000177C0000}"/>
    <cellStyle name="Normal 3 2 4 5 4" xfId="42816" xr:uid="{00000000-0005-0000-0000-0000187C0000}"/>
    <cellStyle name="Normal 3 2 4 5 4 2" xfId="42817" xr:uid="{00000000-0005-0000-0000-0000197C0000}"/>
    <cellStyle name="Normal 3 2 4 5 5" xfId="42818" xr:uid="{00000000-0005-0000-0000-00001A7C0000}"/>
    <cellStyle name="Normal 3 2 4 5 5 2" xfId="42819" xr:uid="{00000000-0005-0000-0000-00001B7C0000}"/>
    <cellStyle name="Normal 3 2 4 5 6" xfId="42820" xr:uid="{00000000-0005-0000-0000-00001C7C0000}"/>
    <cellStyle name="Normal 3 2 4 6" xfId="42821" xr:uid="{00000000-0005-0000-0000-00001D7C0000}"/>
    <cellStyle name="Normal 3 2 4 6 2" xfId="42822" xr:uid="{00000000-0005-0000-0000-00001E7C0000}"/>
    <cellStyle name="Normal 3 2 4 6 2 2" xfId="42823" xr:uid="{00000000-0005-0000-0000-00001F7C0000}"/>
    <cellStyle name="Normal 3 2 4 6 3" xfId="42824" xr:uid="{00000000-0005-0000-0000-0000207C0000}"/>
    <cellStyle name="Normal 3 2 4 6 3 2" xfId="42825" xr:uid="{00000000-0005-0000-0000-0000217C0000}"/>
    <cellStyle name="Normal 3 2 4 6 4" xfId="42826" xr:uid="{00000000-0005-0000-0000-0000227C0000}"/>
    <cellStyle name="Normal 3 2 4 6 4 2" xfId="42827" xr:uid="{00000000-0005-0000-0000-0000237C0000}"/>
    <cellStyle name="Normal 3 2 4 6 5" xfId="42828" xr:uid="{00000000-0005-0000-0000-0000247C0000}"/>
    <cellStyle name="Normal 3 2 4 7" xfId="42829" xr:uid="{00000000-0005-0000-0000-0000257C0000}"/>
    <cellStyle name="Normal 3 2 4 7 2" xfId="42830" xr:uid="{00000000-0005-0000-0000-0000267C0000}"/>
    <cellStyle name="Normal 3 2 4 7 2 2" xfId="42831" xr:uid="{00000000-0005-0000-0000-0000277C0000}"/>
    <cellStyle name="Normal 3 2 4 7 3" xfId="42832" xr:uid="{00000000-0005-0000-0000-0000287C0000}"/>
    <cellStyle name="Normal 3 2 4 7 3 2" xfId="42833" xr:uid="{00000000-0005-0000-0000-0000297C0000}"/>
    <cellStyle name="Normal 3 2 4 7 4" xfId="42834" xr:uid="{00000000-0005-0000-0000-00002A7C0000}"/>
    <cellStyle name="Normal 3 2 4 7 4 2" xfId="42835" xr:uid="{00000000-0005-0000-0000-00002B7C0000}"/>
    <cellStyle name="Normal 3 2 4 7 5" xfId="42836" xr:uid="{00000000-0005-0000-0000-00002C7C0000}"/>
    <cellStyle name="Normal 3 2 4 8" xfId="42837" xr:uid="{00000000-0005-0000-0000-00002D7C0000}"/>
    <cellStyle name="Normal 3 2 4 8 2" xfId="42838" xr:uid="{00000000-0005-0000-0000-00002E7C0000}"/>
    <cellStyle name="Normal 3 2 4 8 2 2" xfId="42839" xr:uid="{00000000-0005-0000-0000-00002F7C0000}"/>
    <cellStyle name="Normal 3 2 4 8 3" xfId="42840" xr:uid="{00000000-0005-0000-0000-0000307C0000}"/>
    <cellStyle name="Normal 3 2 4 8 3 2" xfId="42841" xr:uid="{00000000-0005-0000-0000-0000317C0000}"/>
    <cellStyle name="Normal 3 2 4 8 4" xfId="42842" xr:uid="{00000000-0005-0000-0000-0000327C0000}"/>
    <cellStyle name="Normal 3 2 4 8 4 2" xfId="42843" xr:uid="{00000000-0005-0000-0000-0000337C0000}"/>
    <cellStyle name="Normal 3 2 4 8 5" xfId="42844" xr:uid="{00000000-0005-0000-0000-0000347C0000}"/>
    <cellStyle name="Normal 3 2 4 9" xfId="42845" xr:uid="{00000000-0005-0000-0000-0000357C0000}"/>
    <cellStyle name="Normal 3 2 4 9 2" xfId="42846" xr:uid="{00000000-0005-0000-0000-0000367C0000}"/>
    <cellStyle name="Normal 3 2 4 9 2 2" xfId="42847" xr:uid="{00000000-0005-0000-0000-0000377C0000}"/>
    <cellStyle name="Normal 3 2 4 9 3" xfId="42848" xr:uid="{00000000-0005-0000-0000-0000387C0000}"/>
    <cellStyle name="Normal 3 2 4 9 3 2" xfId="42849" xr:uid="{00000000-0005-0000-0000-0000397C0000}"/>
    <cellStyle name="Normal 3 2 4 9 4" xfId="42850" xr:uid="{00000000-0005-0000-0000-00003A7C0000}"/>
    <cellStyle name="Normal 3 2 4 9 4 2" xfId="42851" xr:uid="{00000000-0005-0000-0000-00003B7C0000}"/>
    <cellStyle name="Normal 3 2 4 9 5" xfId="42852" xr:uid="{00000000-0005-0000-0000-00003C7C0000}"/>
    <cellStyle name="Normal 3 2 4_Net Zero &amp; QRP Award" xfId="42853" xr:uid="{00000000-0005-0000-0000-00003D7C0000}"/>
    <cellStyle name="Normal 3 2 5" xfId="1599" xr:uid="{00000000-0005-0000-0000-00003E7C0000}"/>
    <cellStyle name="Normal 3 2 5 2" xfId="1600" xr:uid="{00000000-0005-0000-0000-00003F7C0000}"/>
    <cellStyle name="Normal 3 2 5 2 2" xfId="40071" xr:uid="{00000000-0005-0000-0000-0000407C0000}"/>
    <cellStyle name="Normal 3 2 5 2 2 2" xfId="42854" xr:uid="{00000000-0005-0000-0000-0000417C0000}"/>
    <cellStyle name="Normal 3 2 5 2 2 2 2" xfId="42855" xr:uid="{00000000-0005-0000-0000-0000427C0000}"/>
    <cellStyle name="Normal 3 2 5 2 2 3" xfId="42856" xr:uid="{00000000-0005-0000-0000-0000437C0000}"/>
    <cellStyle name="Normal 3 2 5 2 2 3 2" xfId="42857" xr:uid="{00000000-0005-0000-0000-0000447C0000}"/>
    <cellStyle name="Normal 3 2 5 2 2 4" xfId="42858" xr:uid="{00000000-0005-0000-0000-0000457C0000}"/>
    <cellStyle name="Normal 3 2 5 2 2 4 2" xfId="42859" xr:uid="{00000000-0005-0000-0000-0000467C0000}"/>
    <cellStyle name="Normal 3 2 5 2 2 5" xfId="42860" xr:uid="{00000000-0005-0000-0000-0000477C0000}"/>
    <cellStyle name="Normal 3 2 5 2 3" xfId="42861" xr:uid="{00000000-0005-0000-0000-0000487C0000}"/>
    <cellStyle name="Normal 3 2 5 2 3 2" xfId="42862" xr:uid="{00000000-0005-0000-0000-0000497C0000}"/>
    <cellStyle name="Normal 3 2 5 2 4" xfId="42863" xr:uid="{00000000-0005-0000-0000-00004A7C0000}"/>
    <cellStyle name="Normal 3 2 5 2 4 2" xfId="42864" xr:uid="{00000000-0005-0000-0000-00004B7C0000}"/>
    <cellStyle name="Normal 3 2 5 2 5" xfId="42865" xr:uid="{00000000-0005-0000-0000-00004C7C0000}"/>
    <cellStyle name="Normal 3 2 5 2 5 2" xfId="42866" xr:uid="{00000000-0005-0000-0000-00004D7C0000}"/>
    <cellStyle name="Normal 3 2 5 2 6" xfId="42867" xr:uid="{00000000-0005-0000-0000-00004E7C0000}"/>
    <cellStyle name="Normal 3 2 5 2 7" xfId="45475" xr:uid="{00000000-0005-0000-0000-00004F7C0000}"/>
    <cellStyle name="Normal 3 2 5 3" xfId="1601" xr:uid="{00000000-0005-0000-0000-0000507C0000}"/>
    <cellStyle name="Normal 3 2 5 3 2" xfId="40072" xr:uid="{00000000-0005-0000-0000-0000517C0000}"/>
    <cellStyle name="Normal 3 2 5 3 2 2" xfId="42868" xr:uid="{00000000-0005-0000-0000-0000527C0000}"/>
    <cellStyle name="Normal 3 2 5 3 3" xfId="42869" xr:uid="{00000000-0005-0000-0000-0000537C0000}"/>
    <cellStyle name="Normal 3 2 5 3 3 2" xfId="42870" xr:uid="{00000000-0005-0000-0000-0000547C0000}"/>
    <cellStyle name="Normal 3 2 5 3 4" xfId="42871" xr:uid="{00000000-0005-0000-0000-0000557C0000}"/>
    <cellStyle name="Normal 3 2 5 3 4 2" xfId="42872" xr:uid="{00000000-0005-0000-0000-0000567C0000}"/>
    <cellStyle name="Normal 3 2 5 3 5" xfId="42873" xr:uid="{00000000-0005-0000-0000-0000577C0000}"/>
    <cellStyle name="Normal 3 2 5 3 6" xfId="45476" xr:uid="{00000000-0005-0000-0000-0000587C0000}"/>
    <cellStyle name="Normal 3 2 5 4" xfId="40073" xr:uid="{00000000-0005-0000-0000-0000597C0000}"/>
    <cellStyle name="Normal 3 2 5 4 2" xfId="42874" xr:uid="{00000000-0005-0000-0000-00005A7C0000}"/>
    <cellStyle name="Normal 3 2 5 5" xfId="42875" xr:uid="{00000000-0005-0000-0000-00005B7C0000}"/>
    <cellStyle name="Normal 3 2 5 5 2" xfId="42876" xr:uid="{00000000-0005-0000-0000-00005C7C0000}"/>
    <cellStyle name="Normal 3 2 5 6" xfId="42877" xr:uid="{00000000-0005-0000-0000-00005D7C0000}"/>
    <cellStyle name="Normal 3 2 5 6 2" xfId="42878" xr:uid="{00000000-0005-0000-0000-00005E7C0000}"/>
    <cellStyle name="Normal 3 2 5 7" xfId="42879" xr:uid="{00000000-0005-0000-0000-00005F7C0000}"/>
    <cellStyle name="Normal 3 2 5 8" xfId="45477" xr:uid="{00000000-0005-0000-0000-0000607C0000}"/>
    <cellStyle name="Normal 3 2 6" xfId="1602" xr:uid="{00000000-0005-0000-0000-0000617C0000}"/>
    <cellStyle name="Normal 3 2 6 2" xfId="40074" xr:uid="{00000000-0005-0000-0000-0000627C0000}"/>
    <cellStyle name="Normal 3 2 6 2 2" xfId="42880" xr:uid="{00000000-0005-0000-0000-0000637C0000}"/>
    <cellStyle name="Normal 3 2 6 2 2 2" xfId="42881" xr:uid="{00000000-0005-0000-0000-0000647C0000}"/>
    <cellStyle name="Normal 3 2 6 2 3" xfId="42882" xr:uid="{00000000-0005-0000-0000-0000657C0000}"/>
    <cellStyle name="Normal 3 2 6 2 3 2" xfId="42883" xr:uid="{00000000-0005-0000-0000-0000667C0000}"/>
    <cellStyle name="Normal 3 2 6 2 4" xfId="42884" xr:uid="{00000000-0005-0000-0000-0000677C0000}"/>
    <cellStyle name="Normal 3 2 6 2 4 2" xfId="42885" xr:uid="{00000000-0005-0000-0000-0000687C0000}"/>
    <cellStyle name="Normal 3 2 6 2 5" xfId="42886" xr:uid="{00000000-0005-0000-0000-0000697C0000}"/>
    <cellStyle name="Normal 3 2 6 3" xfId="42887" xr:uid="{00000000-0005-0000-0000-00006A7C0000}"/>
    <cellStyle name="Normal 3 2 6 3 2" xfId="42888" xr:uid="{00000000-0005-0000-0000-00006B7C0000}"/>
    <cellStyle name="Normal 3 2 6 4" xfId="42889" xr:uid="{00000000-0005-0000-0000-00006C7C0000}"/>
    <cellStyle name="Normal 3 2 6 4 2" xfId="42890" xr:uid="{00000000-0005-0000-0000-00006D7C0000}"/>
    <cellStyle name="Normal 3 2 6 5" xfId="42891" xr:uid="{00000000-0005-0000-0000-00006E7C0000}"/>
    <cellStyle name="Normal 3 2 6 5 2" xfId="42892" xr:uid="{00000000-0005-0000-0000-00006F7C0000}"/>
    <cellStyle name="Normal 3 2 6 6" xfId="42893" xr:uid="{00000000-0005-0000-0000-0000707C0000}"/>
    <cellStyle name="Normal 3 2 6 7" xfId="45478" xr:uid="{00000000-0005-0000-0000-0000717C0000}"/>
    <cellStyle name="Normal 3 2 7" xfId="1603" xr:uid="{00000000-0005-0000-0000-0000727C0000}"/>
    <cellStyle name="Normal 3 2 7 2" xfId="40075" xr:uid="{00000000-0005-0000-0000-0000737C0000}"/>
    <cellStyle name="Normal 3 2 7 2 2" xfId="42894" xr:uid="{00000000-0005-0000-0000-0000747C0000}"/>
    <cellStyle name="Normal 3 2 7 2 2 2" xfId="42895" xr:uid="{00000000-0005-0000-0000-0000757C0000}"/>
    <cellStyle name="Normal 3 2 7 2 3" xfId="42896" xr:uid="{00000000-0005-0000-0000-0000767C0000}"/>
    <cellStyle name="Normal 3 2 7 2 3 2" xfId="42897" xr:uid="{00000000-0005-0000-0000-0000777C0000}"/>
    <cellStyle name="Normal 3 2 7 2 4" xfId="42898" xr:uid="{00000000-0005-0000-0000-0000787C0000}"/>
    <cellStyle name="Normal 3 2 7 2 4 2" xfId="42899" xr:uid="{00000000-0005-0000-0000-0000797C0000}"/>
    <cellStyle name="Normal 3 2 7 2 5" xfId="42900" xr:uid="{00000000-0005-0000-0000-00007A7C0000}"/>
    <cellStyle name="Normal 3 2 7 3" xfId="42901" xr:uid="{00000000-0005-0000-0000-00007B7C0000}"/>
    <cellStyle name="Normal 3 2 7 3 2" xfId="42902" xr:uid="{00000000-0005-0000-0000-00007C7C0000}"/>
    <cellStyle name="Normal 3 2 7 4" xfId="42903" xr:uid="{00000000-0005-0000-0000-00007D7C0000}"/>
    <cellStyle name="Normal 3 2 7 4 2" xfId="42904" xr:uid="{00000000-0005-0000-0000-00007E7C0000}"/>
    <cellStyle name="Normal 3 2 7 5" xfId="42905" xr:uid="{00000000-0005-0000-0000-00007F7C0000}"/>
    <cellStyle name="Normal 3 2 7 5 2" xfId="42906" xr:uid="{00000000-0005-0000-0000-0000807C0000}"/>
    <cellStyle name="Normal 3 2 7 6" xfId="42907" xr:uid="{00000000-0005-0000-0000-0000817C0000}"/>
    <cellStyle name="Normal 3 2 7 7" xfId="45479" xr:uid="{00000000-0005-0000-0000-0000827C0000}"/>
    <cellStyle name="Normal 3 2 8" xfId="1604" xr:uid="{00000000-0005-0000-0000-0000837C0000}"/>
    <cellStyle name="Normal 3 2 8 2" xfId="40076" xr:uid="{00000000-0005-0000-0000-0000847C0000}"/>
    <cellStyle name="Normal 3 2 8 2 2" xfId="42908" xr:uid="{00000000-0005-0000-0000-0000857C0000}"/>
    <cellStyle name="Normal 3 2 8 2 2 2" xfId="42909" xr:uid="{00000000-0005-0000-0000-0000867C0000}"/>
    <cellStyle name="Normal 3 2 8 2 3" xfId="42910" xr:uid="{00000000-0005-0000-0000-0000877C0000}"/>
    <cellStyle name="Normal 3 2 8 2 3 2" xfId="42911" xr:uid="{00000000-0005-0000-0000-0000887C0000}"/>
    <cellStyle name="Normal 3 2 8 2 4" xfId="42912" xr:uid="{00000000-0005-0000-0000-0000897C0000}"/>
    <cellStyle name="Normal 3 2 8 2 4 2" xfId="42913" xr:uid="{00000000-0005-0000-0000-00008A7C0000}"/>
    <cellStyle name="Normal 3 2 8 2 5" xfId="42914" xr:uid="{00000000-0005-0000-0000-00008B7C0000}"/>
    <cellStyle name="Normal 3 2 8 3" xfId="42915" xr:uid="{00000000-0005-0000-0000-00008C7C0000}"/>
    <cellStyle name="Normal 3 2 8 3 2" xfId="42916" xr:uid="{00000000-0005-0000-0000-00008D7C0000}"/>
    <cellStyle name="Normal 3 2 8 4" xfId="42917" xr:uid="{00000000-0005-0000-0000-00008E7C0000}"/>
    <cellStyle name="Normal 3 2 8 4 2" xfId="42918" xr:uid="{00000000-0005-0000-0000-00008F7C0000}"/>
    <cellStyle name="Normal 3 2 8 5" xfId="42919" xr:uid="{00000000-0005-0000-0000-0000907C0000}"/>
    <cellStyle name="Normal 3 2 8 5 2" xfId="42920" xr:uid="{00000000-0005-0000-0000-0000917C0000}"/>
    <cellStyle name="Normal 3 2 8 6" xfId="42921" xr:uid="{00000000-0005-0000-0000-0000927C0000}"/>
    <cellStyle name="Normal 3 2 9" xfId="29682" xr:uid="{00000000-0005-0000-0000-0000937C0000}"/>
    <cellStyle name="Normal 3 2 9 2" xfId="42923" xr:uid="{00000000-0005-0000-0000-0000947C0000}"/>
    <cellStyle name="Normal 3 2 9 2 2" xfId="42924" xr:uid="{00000000-0005-0000-0000-0000957C0000}"/>
    <cellStyle name="Normal 3 2 9 3" xfId="42925" xr:uid="{00000000-0005-0000-0000-0000967C0000}"/>
    <cellStyle name="Normal 3 2 9 3 2" xfId="42926" xr:uid="{00000000-0005-0000-0000-0000977C0000}"/>
    <cellStyle name="Normal 3 2 9 4" xfId="42927" xr:uid="{00000000-0005-0000-0000-0000987C0000}"/>
    <cellStyle name="Normal 3 2 9 4 2" xfId="42928" xr:uid="{00000000-0005-0000-0000-0000997C0000}"/>
    <cellStyle name="Normal 3 2 9 5" xfId="42929" xr:uid="{00000000-0005-0000-0000-00009A7C0000}"/>
    <cellStyle name="Normal 3 2 9 6" xfId="42922" xr:uid="{00000000-0005-0000-0000-00009B7C0000}"/>
    <cellStyle name="Normal 3 2 9 7" xfId="45480" xr:uid="{00000000-0005-0000-0000-00009C7C0000}"/>
    <cellStyle name="Normal 3 2_Net Zero &amp; QRP Award" xfId="42930" xr:uid="{00000000-0005-0000-0000-00009D7C0000}"/>
    <cellStyle name="Normal 3 3" xfId="44" xr:uid="{00000000-0005-0000-0000-00009E7C0000}"/>
    <cellStyle name="Normal 3 3 10" xfId="42931" xr:uid="{00000000-0005-0000-0000-00009F7C0000}"/>
    <cellStyle name="Normal 3 3 10 2" xfId="42932" xr:uid="{00000000-0005-0000-0000-0000A07C0000}"/>
    <cellStyle name="Normal 3 3 11" xfId="42933" xr:uid="{00000000-0005-0000-0000-0000A17C0000}"/>
    <cellStyle name="Normal 3 3 11 2" xfId="42934" xr:uid="{00000000-0005-0000-0000-0000A27C0000}"/>
    <cellStyle name="Normal 3 3 12" xfId="42935" xr:uid="{00000000-0005-0000-0000-0000A37C0000}"/>
    <cellStyle name="Normal 3 3 13" xfId="42482" xr:uid="{00000000-0005-0000-0000-0000A47C0000}"/>
    <cellStyle name="Normal 3 3 14" xfId="46244" xr:uid="{00000000-0005-0000-0000-0000A57C0000}"/>
    <cellStyle name="Normal 3 3 2" xfId="444" xr:uid="{00000000-0005-0000-0000-0000A67C0000}"/>
    <cellStyle name="Normal 3 3 2 2" xfId="1605" xr:uid="{00000000-0005-0000-0000-0000A77C0000}"/>
    <cellStyle name="Normal 3 3 2 2 2" xfId="40077" xr:uid="{00000000-0005-0000-0000-0000A87C0000}"/>
    <cellStyle name="Normal 3 3 2 2 2 2" xfId="42936" xr:uid="{00000000-0005-0000-0000-0000A97C0000}"/>
    <cellStyle name="Normal 3 3 2 2 3" xfId="42937" xr:uid="{00000000-0005-0000-0000-0000AA7C0000}"/>
    <cellStyle name="Normal 3 3 2 2 3 2" xfId="42938" xr:uid="{00000000-0005-0000-0000-0000AB7C0000}"/>
    <cellStyle name="Normal 3 3 2 2 4" xfId="42939" xr:uid="{00000000-0005-0000-0000-0000AC7C0000}"/>
    <cellStyle name="Normal 3 3 2 2 4 2" xfId="42940" xr:uid="{00000000-0005-0000-0000-0000AD7C0000}"/>
    <cellStyle name="Normal 3 3 2 2 5" xfId="42941" xr:uid="{00000000-0005-0000-0000-0000AE7C0000}"/>
    <cellStyle name="Normal 3 3 2 2 6" xfId="45481" xr:uid="{00000000-0005-0000-0000-0000AF7C0000}"/>
    <cellStyle name="Normal 3 3 2 3" xfId="3370" xr:uid="{00000000-0005-0000-0000-0000B07C0000}"/>
    <cellStyle name="Normal 3 3 2 3 2" xfId="42942" xr:uid="{00000000-0005-0000-0000-0000B17C0000}"/>
    <cellStyle name="Normal 3 3 2 4" xfId="40078" xr:uid="{00000000-0005-0000-0000-0000B27C0000}"/>
    <cellStyle name="Normal 3 3 2 4 2" xfId="42943" xr:uid="{00000000-0005-0000-0000-0000B37C0000}"/>
    <cellStyle name="Normal 3 3 2 5" xfId="42944" xr:uid="{00000000-0005-0000-0000-0000B47C0000}"/>
    <cellStyle name="Normal 3 3 2 5 2" xfId="42945" xr:uid="{00000000-0005-0000-0000-0000B57C0000}"/>
    <cellStyle name="Normal 3 3 2 6" xfId="42946" xr:uid="{00000000-0005-0000-0000-0000B67C0000}"/>
    <cellStyle name="Normal 3 3 3" xfId="445" xr:uid="{00000000-0005-0000-0000-0000B77C0000}"/>
    <cellStyle name="Normal 3 3 3 2" xfId="3629" xr:uid="{00000000-0005-0000-0000-0000B87C0000}"/>
    <cellStyle name="Normal 3 3 3 2 2" xfId="40079" xr:uid="{00000000-0005-0000-0000-0000B97C0000}"/>
    <cellStyle name="Normal 3 3 3 2 2 2" xfId="42947" xr:uid="{00000000-0005-0000-0000-0000BA7C0000}"/>
    <cellStyle name="Normal 3 3 3 2 3" xfId="42948" xr:uid="{00000000-0005-0000-0000-0000BB7C0000}"/>
    <cellStyle name="Normal 3 3 3 2 3 2" xfId="42949" xr:uid="{00000000-0005-0000-0000-0000BC7C0000}"/>
    <cellStyle name="Normal 3 3 3 2 4" xfId="42950" xr:uid="{00000000-0005-0000-0000-0000BD7C0000}"/>
    <cellStyle name="Normal 3 3 3 2 4 2" xfId="42951" xr:uid="{00000000-0005-0000-0000-0000BE7C0000}"/>
    <cellStyle name="Normal 3 3 3 2 5" xfId="42952" xr:uid="{00000000-0005-0000-0000-0000BF7C0000}"/>
    <cellStyle name="Normal 3 3 3 3" xfId="40080" xr:uid="{00000000-0005-0000-0000-0000C07C0000}"/>
    <cellStyle name="Normal 3 3 3 3 2" xfId="42953" xr:uid="{00000000-0005-0000-0000-0000C17C0000}"/>
    <cellStyle name="Normal 3 3 3 4" xfId="42954" xr:uid="{00000000-0005-0000-0000-0000C27C0000}"/>
    <cellStyle name="Normal 3 3 3 4 2" xfId="42955" xr:uid="{00000000-0005-0000-0000-0000C37C0000}"/>
    <cellStyle name="Normal 3 3 3 5" xfId="42956" xr:uid="{00000000-0005-0000-0000-0000C47C0000}"/>
    <cellStyle name="Normal 3 3 3 5 2" xfId="42957" xr:uid="{00000000-0005-0000-0000-0000C57C0000}"/>
    <cellStyle name="Normal 3 3 3 6" xfId="42958" xr:uid="{00000000-0005-0000-0000-0000C67C0000}"/>
    <cellStyle name="Normal 3 3 4" xfId="1606" xr:uid="{00000000-0005-0000-0000-0000C77C0000}"/>
    <cellStyle name="Normal 3 3 4 2" xfId="29683" xr:uid="{00000000-0005-0000-0000-0000C87C0000}"/>
    <cellStyle name="Normal 3 3 4 2 2" xfId="40081" xr:uid="{00000000-0005-0000-0000-0000C97C0000}"/>
    <cellStyle name="Normal 3 3 4 2 2 2" xfId="42959" xr:uid="{00000000-0005-0000-0000-0000CA7C0000}"/>
    <cellStyle name="Normal 3 3 4 2 3" xfId="42960" xr:uid="{00000000-0005-0000-0000-0000CB7C0000}"/>
    <cellStyle name="Normal 3 3 4 2 3 2" xfId="42961" xr:uid="{00000000-0005-0000-0000-0000CC7C0000}"/>
    <cellStyle name="Normal 3 3 4 2 4" xfId="42962" xr:uid="{00000000-0005-0000-0000-0000CD7C0000}"/>
    <cellStyle name="Normal 3 3 4 2 4 2" xfId="42963" xr:uid="{00000000-0005-0000-0000-0000CE7C0000}"/>
    <cellStyle name="Normal 3 3 4 2 5" xfId="42964" xr:uid="{00000000-0005-0000-0000-0000CF7C0000}"/>
    <cellStyle name="Normal 3 3 4 3" xfId="40082" xr:uid="{00000000-0005-0000-0000-0000D07C0000}"/>
    <cellStyle name="Normal 3 3 4 3 2" xfId="42965" xr:uid="{00000000-0005-0000-0000-0000D17C0000}"/>
    <cellStyle name="Normal 3 3 4 4" xfId="42966" xr:uid="{00000000-0005-0000-0000-0000D27C0000}"/>
    <cellStyle name="Normal 3 3 4 4 2" xfId="42967" xr:uid="{00000000-0005-0000-0000-0000D37C0000}"/>
    <cellStyle name="Normal 3 3 4 5" xfId="42968" xr:uid="{00000000-0005-0000-0000-0000D47C0000}"/>
    <cellStyle name="Normal 3 3 4 5 2" xfId="42969" xr:uid="{00000000-0005-0000-0000-0000D57C0000}"/>
    <cellStyle name="Normal 3 3 4 6" xfId="42970" xr:uid="{00000000-0005-0000-0000-0000D67C0000}"/>
    <cellStyle name="Normal 3 3 4 7" xfId="45482" xr:uid="{00000000-0005-0000-0000-0000D77C0000}"/>
    <cellStyle name="Normal 3 3 5" xfId="29684" xr:uid="{00000000-0005-0000-0000-0000D87C0000}"/>
    <cellStyle name="Normal 3 3 5 2" xfId="40083" xr:uid="{00000000-0005-0000-0000-0000D97C0000}"/>
    <cellStyle name="Normal 3 3 5 2 2" xfId="42971" xr:uid="{00000000-0005-0000-0000-0000DA7C0000}"/>
    <cellStyle name="Normal 3 3 5 2 2 2" xfId="42972" xr:uid="{00000000-0005-0000-0000-0000DB7C0000}"/>
    <cellStyle name="Normal 3 3 5 2 3" xfId="42973" xr:uid="{00000000-0005-0000-0000-0000DC7C0000}"/>
    <cellStyle name="Normal 3 3 5 2 3 2" xfId="42974" xr:uid="{00000000-0005-0000-0000-0000DD7C0000}"/>
    <cellStyle name="Normal 3 3 5 2 4" xfId="42975" xr:uid="{00000000-0005-0000-0000-0000DE7C0000}"/>
    <cellStyle name="Normal 3 3 5 2 4 2" xfId="42976" xr:uid="{00000000-0005-0000-0000-0000DF7C0000}"/>
    <cellStyle name="Normal 3 3 5 2 5" xfId="42977" xr:uid="{00000000-0005-0000-0000-0000E07C0000}"/>
    <cellStyle name="Normal 3 3 5 3" xfId="42978" xr:uid="{00000000-0005-0000-0000-0000E17C0000}"/>
    <cellStyle name="Normal 3 3 5 3 2" xfId="42979" xr:uid="{00000000-0005-0000-0000-0000E27C0000}"/>
    <cellStyle name="Normal 3 3 5 4" xfId="42980" xr:uid="{00000000-0005-0000-0000-0000E37C0000}"/>
    <cellStyle name="Normal 3 3 5 4 2" xfId="42981" xr:uid="{00000000-0005-0000-0000-0000E47C0000}"/>
    <cellStyle name="Normal 3 3 5 5" xfId="42982" xr:uid="{00000000-0005-0000-0000-0000E57C0000}"/>
    <cellStyle name="Normal 3 3 5 5 2" xfId="42983" xr:uid="{00000000-0005-0000-0000-0000E67C0000}"/>
    <cellStyle name="Normal 3 3 5 6" xfId="42984" xr:uid="{00000000-0005-0000-0000-0000E77C0000}"/>
    <cellStyle name="Normal 3 3 5 7" xfId="45483" xr:uid="{00000000-0005-0000-0000-0000E87C0000}"/>
    <cellStyle name="Normal 3 3 6" xfId="40084" xr:uid="{00000000-0005-0000-0000-0000E97C0000}"/>
    <cellStyle name="Normal 3 3 6 2" xfId="42985" xr:uid="{00000000-0005-0000-0000-0000EA7C0000}"/>
    <cellStyle name="Normal 3 3 6 2 2" xfId="42986" xr:uid="{00000000-0005-0000-0000-0000EB7C0000}"/>
    <cellStyle name="Normal 3 3 6 3" xfId="42987" xr:uid="{00000000-0005-0000-0000-0000EC7C0000}"/>
    <cellStyle name="Normal 3 3 6 3 2" xfId="42988" xr:uid="{00000000-0005-0000-0000-0000ED7C0000}"/>
    <cellStyle name="Normal 3 3 6 4" xfId="42989" xr:uid="{00000000-0005-0000-0000-0000EE7C0000}"/>
    <cellStyle name="Normal 3 3 6 4 2" xfId="42990" xr:uid="{00000000-0005-0000-0000-0000EF7C0000}"/>
    <cellStyle name="Normal 3 3 6 5" xfId="42991" xr:uid="{00000000-0005-0000-0000-0000F07C0000}"/>
    <cellStyle name="Normal 3 3 7" xfId="42992" xr:uid="{00000000-0005-0000-0000-0000F17C0000}"/>
    <cellStyle name="Normal 3 3 7 2" xfId="42993" xr:uid="{00000000-0005-0000-0000-0000F27C0000}"/>
    <cellStyle name="Normal 3 3 7 2 2" xfId="42994" xr:uid="{00000000-0005-0000-0000-0000F37C0000}"/>
    <cellStyle name="Normal 3 3 7 3" xfId="42995" xr:uid="{00000000-0005-0000-0000-0000F47C0000}"/>
    <cellStyle name="Normal 3 3 7 3 2" xfId="42996" xr:uid="{00000000-0005-0000-0000-0000F57C0000}"/>
    <cellStyle name="Normal 3 3 7 4" xfId="42997" xr:uid="{00000000-0005-0000-0000-0000F67C0000}"/>
    <cellStyle name="Normal 3 3 7 4 2" xfId="42998" xr:uid="{00000000-0005-0000-0000-0000F77C0000}"/>
    <cellStyle name="Normal 3 3 7 5" xfId="42999" xr:uid="{00000000-0005-0000-0000-0000F87C0000}"/>
    <cellStyle name="Normal 3 3 8" xfId="43000" xr:uid="{00000000-0005-0000-0000-0000F97C0000}"/>
    <cellStyle name="Normal 3 3 8 2" xfId="43001" xr:uid="{00000000-0005-0000-0000-0000FA7C0000}"/>
    <cellStyle name="Normal 3 3 8 2 2" xfId="43002" xr:uid="{00000000-0005-0000-0000-0000FB7C0000}"/>
    <cellStyle name="Normal 3 3 8 3" xfId="43003" xr:uid="{00000000-0005-0000-0000-0000FC7C0000}"/>
    <cellStyle name="Normal 3 3 8 3 2" xfId="43004" xr:uid="{00000000-0005-0000-0000-0000FD7C0000}"/>
    <cellStyle name="Normal 3 3 8 4" xfId="43005" xr:uid="{00000000-0005-0000-0000-0000FE7C0000}"/>
    <cellStyle name="Normal 3 3 8 4 2" xfId="43006" xr:uid="{00000000-0005-0000-0000-0000FF7C0000}"/>
    <cellStyle name="Normal 3 3 8 5" xfId="43007" xr:uid="{00000000-0005-0000-0000-0000007D0000}"/>
    <cellStyle name="Normal 3 3 9" xfId="43008" xr:uid="{00000000-0005-0000-0000-0000017D0000}"/>
    <cellStyle name="Normal 3 3 9 2" xfId="43009" xr:uid="{00000000-0005-0000-0000-0000027D0000}"/>
    <cellStyle name="Normal 3 3_Net Zero &amp; QRP Award" xfId="43010" xr:uid="{00000000-0005-0000-0000-0000037D0000}"/>
    <cellStyle name="Normal 3 4" xfId="446" xr:uid="{00000000-0005-0000-0000-0000047D0000}"/>
    <cellStyle name="Normal 3 4 10" xfId="43011" xr:uid="{00000000-0005-0000-0000-0000057D0000}"/>
    <cellStyle name="Normal 3 4 10 2" xfId="43012" xr:uid="{00000000-0005-0000-0000-0000067D0000}"/>
    <cellStyle name="Normal 3 4 11" xfId="43013" xr:uid="{00000000-0005-0000-0000-0000077D0000}"/>
    <cellStyle name="Normal 3 4 11 2" xfId="43014" xr:uid="{00000000-0005-0000-0000-0000087D0000}"/>
    <cellStyle name="Normal 3 4 12" xfId="43015" xr:uid="{00000000-0005-0000-0000-0000097D0000}"/>
    <cellStyle name="Normal 3 4 2" xfId="1607" xr:uid="{00000000-0005-0000-0000-00000A7D0000}"/>
    <cellStyle name="Normal 3 4 2 2" xfId="29685" xr:uid="{00000000-0005-0000-0000-00000B7D0000}"/>
    <cellStyle name="Normal 3 4 2 2 2" xfId="43016" xr:uid="{00000000-0005-0000-0000-00000C7D0000}"/>
    <cellStyle name="Normal 3 4 2 2 2 2" xfId="43017" xr:uid="{00000000-0005-0000-0000-00000D7D0000}"/>
    <cellStyle name="Normal 3 4 2 2 3" xfId="43018" xr:uid="{00000000-0005-0000-0000-00000E7D0000}"/>
    <cellStyle name="Normal 3 4 2 2 3 2" xfId="43019" xr:uid="{00000000-0005-0000-0000-00000F7D0000}"/>
    <cellStyle name="Normal 3 4 2 2 4" xfId="43020" xr:uid="{00000000-0005-0000-0000-0000107D0000}"/>
    <cellStyle name="Normal 3 4 2 2 4 2" xfId="43021" xr:uid="{00000000-0005-0000-0000-0000117D0000}"/>
    <cellStyle name="Normal 3 4 2 2 5" xfId="43022" xr:uid="{00000000-0005-0000-0000-0000127D0000}"/>
    <cellStyle name="Normal 3 4 2 3" xfId="43023" xr:uid="{00000000-0005-0000-0000-0000137D0000}"/>
    <cellStyle name="Normal 3 4 2 3 2" xfId="43024" xr:uid="{00000000-0005-0000-0000-0000147D0000}"/>
    <cellStyle name="Normal 3 4 2 4" xfId="43025" xr:uid="{00000000-0005-0000-0000-0000157D0000}"/>
    <cellStyle name="Normal 3 4 2 4 2" xfId="43026" xr:uid="{00000000-0005-0000-0000-0000167D0000}"/>
    <cellStyle name="Normal 3 4 2 5" xfId="43027" xr:uid="{00000000-0005-0000-0000-0000177D0000}"/>
    <cellStyle name="Normal 3 4 2 5 2" xfId="43028" xr:uid="{00000000-0005-0000-0000-0000187D0000}"/>
    <cellStyle name="Normal 3 4 2 6" xfId="43029" xr:uid="{00000000-0005-0000-0000-0000197D0000}"/>
    <cellStyle name="Normal 3 4 2 7" xfId="45484" xr:uid="{00000000-0005-0000-0000-00001A7D0000}"/>
    <cellStyle name="Normal 3 4 3" xfId="1608" xr:uid="{00000000-0005-0000-0000-00001B7D0000}"/>
    <cellStyle name="Normal 3 4 3 2" xfId="40085" xr:uid="{00000000-0005-0000-0000-00001C7D0000}"/>
    <cellStyle name="Normal 3 4 3 2 2" xfId="43030" xr:uid="{00000000-0005-0000-0000-00001D7D0000}"/>
    <cellStyle name="Normal 3 4 3 2 2 2" xfId="43031" xr:uid="{00000000-0005-0000-0000-00001E7D0000}"/>
    <cellStyle name="Normal 3 4 3 2 3" xfId="43032" xr:uid="{00000000-0005-0000-0000-00001F7D0000}"/>
    <cellStyle name="Normal 3 4 3 2 3 2" xfId="43033" xr:uid="{00000000-0005-0000-0000-0000207D0000}"/>
    <cellStyle name="Normal 3 4 3 2 4" xfId="43034" xr:uid="{00000000-0005-0000-0000-0000217D0000}"/>
    <cellStyle name="Normal 3 4 3 2 4 2" xfId="43035" xr:uid="{00000000-0005-0000-0000-0000227D0000}"/>
    <cellStyle name="Normal 3 4 3 2 5" xfId="43036" xr:uid="{00000000-0005-0000-0000-0000237D0000}"/>
    <cellStyle name="Normal 3 4 3 3" xfId="43037" xr:uid="{00000000-0005-0000-0000-0000247D0000}"/>
    <cellStyle name="Normal 3 4 3 3 2" xfId="43038" xr:uid="{00000000-0005-0000-0000-0000257D0000}"/>
    <cellStyle name="Normal 3 4 3 4" xfId="43039" xr:uid="{00000000-0005-0000-0000-0000267D0000}"/>
    <cellStyle name="Normal 3 4 3 4 2" xfId="43040" xr:uid="{00000000-0005-0000-0000-0000277D0000}"/>
    <cellStyle name="Normal 3 4 3 5" xfId="43041" xr:uid="{00000000-0005-0000-0000-0000287D0000}"/>
    <cellStyle name="Normal 3 4 3 5 2" xfId="43042" xr:uid="{00000000-0005-0000-0000-0000297D0000}"/>
    <cellStyle name="Normal 3 4 3 6" xfId="43043" xr:uid="{00000000-0005-0000-0000-00002A7D0000}"/>
    <cellStyle name="Normal 3 4 4" xfId="2590" xr:uid="{00000000-0005-0000-0000-00002B7D0000}"/>
    <cellStyle name="Normal 3 4 4 2" xfId="40086" xr:uid="{00000000-0005-0000-0000-00002C7D0000}"/>
    <cellStyle name="Normal 3 4 4 2 2" xfId="43044" xr:uid="{00000000-0005-0000-0000-00002D7D0000}"/>
    <cellStyle name="Normal 3 4 4 2 2 2" xfId="43045" xr:uid="{00000000-0005-0000-0000-00002E7D0000}"/>
    <cellStyle name="Normal 3 4 4 2 3" xfId="43046" xr:uid="{00000000-0005-0000-0000-00002F7D0000}"/>
    <cellStyle name="Normal 3 4 4 2 3 2" xfId="43047" xr:uid="{00000000-0005-0000-0000-0000307D0000}"/>
    <cellStyle name="Normal 3 4 4 2 4" xfId="43048" xr:uid="{00000000-0005-0000-0000-0000317D0000}"/>
    <cellStyle name="Normal 3 4 4 2 4 2" xfId="43049" xr:uid="{00000000-0005-0000-0000-0000327D0000}"/>
    <cellStyle name="Normal 3 4 4 2 5" xfId="43050" xr:uid="{00000000-0005-0000-0000-0000337D0000}"/>
    <cellStyle name="Normal 3 4 4 3" xfId="43051" xr:uid="{00000000-0005-0000-0000-0000347D0000}"/>
    <cellStyle name="Normal 3 4 4 3 2" xfId="43052" xr:uid="{00000000-0005-0000-0000-0000357D0000}"/>
    <cellStyle name="Normal 3 4 4 4" xfId="43053" xr:uid="{00000000-0005-0000-0000-0000367D0000}"/>
    <cellStyle name="Normal 3 4 4 4 2" xfId="43054" xr:uid="{00000000-0005-0000-0000-0000377D0000}"/>
    <cellStyle name="Normal 3 4 4 5" xfId="43055" xr:uid="{00000000-0005-0000-0000-0000387D0000}"/>
    <cellStyle name="Normal 3 4 4 5 2" xfId="43056" xr:uid="{00000000-0005-0000-0000-0000397D0000}"/>
    <cellStyle name="Normal 3 4 4 6" xfId="43057" xr:uid="{00000000-0005-0000-0000-00003A7D0000}"/>
    <cellStyle name="Normal 3 4 4 7" xfId="45485" xr:uid="{00000000-0005-0000-0000-00003B7D0000}"/>
    <cellStyle name="Normal 3 4 5" xfId="40087" xr:uid="{00000000-0005-0000-0000-00003C7D0000}"/>
    <cellStyle name="Normal 3 4 5 2" xfId="43058" xr:uid="{00000000-0005-0000-0000-00003D7D0000}"/>
    <cellStyle name="Normal 3 4 5 2 2" xfId="43059" xr:uid="{00000000-0005-0000-0000-00003E7D0000}"/>
    <cellStyle name="Normal 3 4 5 2 2 2" xfId="43060" xr:uid="{00000000-0005-0000-0000-00003F7D0000}"/>
    <cellStyle name="Normal 3 4 5 2 3" xfId="43061" xr:uid="{00000000-0005-0000-0000-0000407D0000}"/>
    <cellStyle name="Normal 3 4 5 2 3 2" xfId="43062" xr:uid="{00000000-0005-0000-0000-0000417D0000}"/>
    <cellStyle name="Normal 3 4 5 2 4" xfId="43063" xr:uid="{00000000-0005-0000-0000-0000427D0000}"/>
    <cellStyle name="Normal 3 4 5 2 4 2" xfId="43064" xr:uid="{00000000-0005-0000-0000-0000437D0000}"/>
    <cellStyle name="Normal 3 4 5 2 5" xfId="43065" xr:uid="{00000000-0005-0000-0000-0000447D0000}"/>
    <cellStyle name="Normal 3 4 5 3" xfId="43066" xr:uid="{00000000-0005-0000-0000-0000457D0000}"/>
    <cellStyle name="Normal 3 4 5 3 2" xfId="43067" xr:uid="{00000000-0005-0000-0000-0000467D0000}"/>
    <cellStyle name="Normal 3 4 5 4" xfId="43068" xr:uid="{00000000-0005-0000-0000-0000477D0000}"/>
    <cellStyle name="Normal 3 4 5 4 2" xfId="43069" xr:uid="{00000000-0005-0000-0000-0000487D0000}"/>
    <cellStyle name="Normal 3 4 5 5" xfId="43070" xr:uid="{00000000-0005-0000-0000-0000497D0000}"/>
    <cellStyle name="Normal 3 4 5 5 2" xfId="43071" xr:uid="{00000000-0005-0000-0000-00004A7D0000}"/>
    <cellStyle name="Normal 3 4 5 6" xfId="43072" xr:uid="{00000000-0005-0000-0000-00004B7D0000}"/>
    <cellStyle name="Normal 3 4 6" xfId="40088" xr:uid="{00000000-0005-0000-0000-00004C7D0000}"/>
    <cellStyle name="Normal 3 4 6 2" xfId="43073" xr:uid="{00000000-0005-0000-0000-00004D7D0000}"/>
    <cellStyle name="Normal 3 4 6 2 2" xfId="43074" xr:uid="{00000000-0005-0000-0000-00004E7D0000}"/>
    <cellStyle name="Normal 3 4 6 3" xfId="43075" xr:uid="{00000000-0005-0000-0000-00004F7D0000}"/>
    <cellStyle name="Normal 3 4 6 3 2" xfId="43076" xr:uid="{00000000-0005-0000-0000-0000507D0000}"/>
    <cellStyle name="Normal 3 4 6 4" xfId="43077" xr:uid="{00000000-0005-0000-0000-0000517D0000}"/>
    <cellStyle name="Normal 3 4 6 4 2" xfId="43078" xr:uid="{00000000-0005-0000-0000-0000527D0000}"/>
    <cellStyle name="Normal 3 4 6 5" xfId="43079" xr:uid="{00000000-0005-0000-0000-0000537D0000}"/>
    <cellStyle name="Normal 3 4 7" xfId="43080" xr:uid="{00000000-0005-0000-0000-0000547D0000}"/>
    <cellStyle name="Normal 3 4 7 2" xfId="43081" xr:uid="{00000000-0005-0000-0000-0000557D0000}"/>
    <cellStyle name="Normal 3 4 7 2 2" xfId="43082" xr:uid="{00000000-0005-0000-0000-0000567D0000}"/>
    <cellStyle name="Normal 3 4 7 3" xfId="43083" xr:uid="{00000000-0005-0000-0000-0000577D0000}"/>
    <cellStyle name="Normal 3 4 7 3 2" xfId="43084" xr:uid="{00000000-0005-0000-0000-0000587D0000}"/>
    <cellStyle name="Normal 3 4 7 4" xfId="43085" xr:uid="{00000000-0005-0000-0000-0000597D0000}"/>
    <cellStyle name="Normal 3 4 7 4 2" xfId="43086" xr:uid="{00000000-0005-0000-0000-00005A7D0000}"/>
    <cellStyle name="Normal 3 4 7 5" xfId="43087" xr:uid="{00000000-0005-0000-0000-00005B7D0000}"/>
    <cellStyle name="Normal 3 4 8" xfId="43088" xr:uid="{00000000-0005-0000-0000-00005C7D0000}"/>
    <cellStyle name="Normal 3 4 8 2" xfId="43089" xr:uid="{00000000-0005-0000-0000-00005D7D0000}"/>
    <cellStyle name="Normal 3 4 8 2 2" xfId="43090" xr:uid="{00000000-0005-0000-0000-00005E7D0000}"/>
    <cellStyle name="Normal 3 4 8 3" xfId="43091" xr:uid="{00000000-0005-0000-0000-00005F7D0000}"/>
    <cellStyle name="Normal 3 4 8 3 2" xfId="43092" xr:uid="{00000000-0005-0000-0000-0000607D0000}"/>
    <cellStyle name="Normal 3 4 8 4" xfId="43093" xr:uid="{00000000-0005-0000-0000-0000617D0000}"/>
    <cellStyle name="Normal 3 4 8 4 2" xfId="43094" xr:uid="{00000000-0005-0000-0000-0000627D0000}"/>
    <cellStyle name="Normal 3 4 8 5" xfId="43095" xr:uid="{00000000-0005-0000-0000-0000637D0000}"/>
    <cellStyle name="Normal 3 4 9" xfId="43096" xr:uid="{00000000-0005-0000-0000-0000647D0000}"/>
    <cellStyle name="Normal 3 4 9 2" xfId="43097" xr:uid="{00000000-0005-0000-0000-0000657D0000}"/>
    <cellStyle name="Normal 3 4_Net Zero &amp; QRP Award" xfId="43098" xr:uid="{00000000-0005-0000-0000-0000667D0000}"/>
    <cellStyle name="Normal 3 5" xfId="645" xr:uid="{00000000-0005-0000-0000-0000677D0000}"/>
    <cellStyle name="Normal 3 5 10" xfId="43099" xr:uid="{00000000-0005-0000-0000-0000687D0000}"/>
    <cellStyle name="Normal 3 5 10 2" xfId="43100" xr:uid="{00000000-0005-0000-0000-0000697D0000}"/>
    <cellStyle name="Normal 3 5 11" xfId="43101" xr:uid="{00000000-0005-0000-0000-00006A7D0000}"/>
    <cellStyle name="Normal 3 5 11 2" xfId="43102" xr:uid="{00000000-0005-0000-0000-00006B7D0000}"/>
    <cellStyle name="Normal 3 5 12" xfId="43103" xr:uid="{00000000-0005-0000-0000-00006C7D0000}"/>
    <cellStyle name="Normal 3 5 12 2" xfId="43104" xr:uid="{00000000-0005-0000-0000-00006D7D0000}"/>
    <cellStyle name="Normal 3 5 13" xfId="43105" xr:uid="{00000000-0005-0000-0000-00006E7D0000}"/>
    <cellStyle name="Normal 3 5 14" xfId="45486" xr:uid="{00000000-0005-0000-0000-00006F7D0000}"/>
    <cellStyle name="Normal 3 5 2" xfId="1609" xr:uid="{00000000-0005-0000-0000-0000707D0000}"/>
    <cellStyle name="Normal 3 5 2 2" xfId="40089" xr:uid="{00000000-0005-0000-0000-0000717D0000}"/>
    <cellStyle name="Normal 3 5 2 2 2" xfId="43106" xr:uid="{00000000-0005-0000-0000-0000727D0000}"/>
    <cellStyle name="Normal 3 5 2 2 2 2" xfId="43107" xr:uid="{00000000-0005-0000-0000-0000737D0000}"/>
    <cellStyle name="Normal 3 5 2 2 3" xfId="43108" xr:uid="{00000000-0005-0000-0000-0000747D0000}"/>
    <cellStyle name="Normal 3 5 2 2 3 2" xfId="43109" xr:uid="{00000000-0005-0000-0000-0000757D0000}"/>
    <cellStyle name="Normal 3 5 2 2 4" xfId="43110" xr:uid="{00000000-0005-0000-0000-0000767D0000}"/>
    <cellStyle name="Normal 3 5 2 2 4 2" xfId="43111" xr:uid="{00000000-0005-0000-0000-0000777D0000}"/>
    <cellStyle name="Normal 3 5 2 2 5" xfId="43112" xr:uid="{00000000-0005-0000-0000-0000787D0000}"/>
    <cellStyle name="Normal 3 5 2 3" xfId="43113" xr:uid="{00000000-0005-0000-0000-0000797D0000}"/>
    <cellStyle name="Normal 3 5 2 3 2" xfId="43114" xr:uid="{00000000-0005-0000-0000-00007A7D0000}"/>
    <cellStyle name="Normal 3 5 2 4" xfId="43115" xr:uid="{00000000-0005-0000-0000-00007B7D0000}"/>
    <cellStyle name="Normal 3 5 2 4 2" xfId="43116" xr:uid="{00000000-0005-0000-0000-00007C7D0000}"/>
    <cellStyle name="Normal 3 5 2 5" xfId="43117" xr:uid="{00000000-0005-0000-0000-00007D7D0000}"/>
    <cellStyle name="Normal 3 5 2 5 2" xfId="43118" xr:uid="{00000000-0005-0000-0000-00007E7D0000}"/>
    <cellStyle name="Normal 3 5 2 6" xfId="43119" xr:uid="{00000000-0005-0000-0000-00007F7D0000}"/>
    <cellStyle name="Normal 3 5 2 7" xfId="45487" xr:uid="{00000000-0005-0000-0000-0000807D0000}"/>
    <cellStyle name="Normal 3 5 3" xfId="3117" xr:uid="{00000000-0005-0000-0000-0000817D0000}"/>
    <cellStyle name="Normal 3 5 3 2" xfId="43120" xr:uid="{00000000-0005-0000-0000-0000827D0000}"/>
    <cellStyle name="Normal 3 5 3 2 2" xfId="43121" xr:uid="{00000000-0005-0000-0000-0000837D0000}"/>
    <cellStyle name="Normal 3 5 3 2 2 2" xfId="43122" xr:uid="{00000000-0005-0000-0000-0000847D0000}"/>
    <cellStyle name="Normal 3 5 3 2 3" xfId="43123" xr:uid="{00000000-0005-0000-0000-0000857D0000}"/>
    <cellStyle name="Normal 3 5 3 2 3 2" xfId="43124" xr:uid="{00000000-0005-0000-0000-0000867D0000}"/>
    <cellStyle name="Normal 3 5 3 2 4" xfId="43125" xr:uid="{00000000-0005-0000-0000-0000877D0000}"/>
    <cellStyle name="Normal 3 5 3 2 4 2" xfId="43126" xr:uid="{00000000-0005-0000-0000-0000887D0000}"/>
    <cellStyle name="Normal 3 5 3 2 5" xfId="43127" xr:uid="{00000000-0005-0000-0000-0000897D0000}"/>
    <cellStyle name="Normal 3 5 3 3" xfId="43128" xr:uid="{00000000-0005-0000-0000-00008A7D0000}"/>
    <cellStyle name="Normal 3 5 3 3 2" xfId="43129" xr:uid="{00000000-0005-0000-0000-00008B7D0000}"/>
    <cellStyle name="Normal 3 5 3 4" xfId="43130" xr:uid="{00000000-0005-0000-0000-00008C7D0000}"/>
    <cellStyle name="Normal 3 5 3 4 2" xfId="43131" xr:uid="{00000000-0005-0000-0000-00008D7D0000}"/>
    <cellStyle name="Normal 3 5 3 5" xfId="43132" xr:uid="{00000000-0005-0000-0000-00008E7D0000}"/>
    <cellStyle name="Normal 3 5 3 5 2" xfId="43133" xr:uid="{00000000-0005-0000-0000-00008F7D0000}"/>
    <cellStyle name="Normal 3 5 3 6" xfId="43134" xr:uid="{00000000-0005-0000-0000-0000907D0000}"/>
    <cellStyle name="Normal 3 5 4" xfId="40090" xr:uid="{00000000-0005-0000-0000-0000917D0000}"/>
    <cellStyle name="Normal 3 5 4 2" xfId="43135" xr:uid="{00000000-0005-0000-0000-0000927D0000}"/>
    <cellStyle name="Normal 3 5 4 2 2" xfId="43136" xr:uid="{00000000-0005-0000-0000-0000937D0000}"/>
    <cellStyle name="Normal 3 5 4 2 2 2" xfId="43137" xr:uid="{00000000-0005-0000-0000-0000947D0000}"/>
    <cellStyle name="Normal 3 5 4 2 3" xfId="43138" xr:uid="{00000000-0005-0000-0000-0000957D0000}"/>
    <cellStyle name="Normal 3 5 4 2 3 2" xfId="43139" xr:uid="{00000000-0005-0000-0000-0000967D0000}"/>
    <cellStyle name="Normal 3 5 4 2 4" xfId="43140" xr:uid="{00000000-0005-0000-0000-0000977D0000}"/>
    <cellStyle name="Normal 3 5 4 2 4 2" xfId="43141" xr:uid="{00000000-0005-0000-0000-0000987D0000}"/>
    <cellStyle name="Normal 3 5 4 2 5" xfId="43142" xr:uid="{00000000-0005-0000-0000-0000997D0000}"/>
    <cellStyle name="Normal 3 5 4 3" xfId="43143" xr:uid="{00000000-0005-0000-0000-00009A7D0000}"/>
    <cellStyle name="Normal 3 5 4 3 2" xfId="43144" xr:uid="{00000000-0005-0000-0000-00009B7D0000}"/>
    <cellStyle name="Normal 3 5 4 4" xfId="43145" xr:uid="{00000000-0005-0000-0000-00009C7D0000}"/>
    <cellStyle name="Normal 3 5 4 4 2" xfId="43146" xr:uid="{00000000-0005-0000-0000-00009D7D0000}"/>
    <cellStyle name="Normal 3 5 4 5" xfId="43147" xr:uid="{00000000-0005-0000-0000-00009E7D0000}"/>
    <cellStyle name="Normal 3 5 4 5 2" xfId="43148" xr:uid="{00000000-0005-0000-0000-00009F7D0000}"/>
    <cellStyle name="Normal 3 5 4 6" xfId="43149" xr:uid="{00000000-0005-0000-0000-0000A07D0000}"/>
    <cellStyle name="Normal 3 5 5" xfId="43150" xr:uid="{00000000-0005-0000-0000-0000A17D0000}"/>
    <cellStyle name="Normal 3 5 5 2" xfId="43151" xr:uid="{00000000-0005-0000-0000-0000A27D0000}"/>
    <cellStyle name="Normal 3 5 5 2 2" xfId="43152" xr:uid="{00000000-0005-0000-0000-0000A37D0000}"/>
    <cellStyle name="Normal 3 5 5 2 2 2" xfId="43153" xr:uid="{00000000-0005-0000-0000-0000A47D0000}"/>
    <cellStyle name="Normal 3 5 5 2 3" xfId="43154" xr:uid="{00000000-0005-0000-0000-0000A57D0000}"/>
    <cellStyle name="Normal 3 5 5 2 3 2" xfId="43155" xr:uid="{00000000-0005-0000-0000-0000A67D0000}"/>
    <cellStyle name="Normal 3 5 5 2 4" xfId="43156" xr:uid="{00000000-0005-0000-0000-0000A77D0000}"/>
    <cellStyle name="Normal 3 5 5 2 4 2" xfId="43157" xr:uid="{00000000-0005-0000-0000-0000A87D0000}"/>
    <cellStyle name="Normal 3 5 5 2 5" xfId="43158" xr:uid="{00000000-0005-0000-0000-0000A97D0000}"/>
    <cellStyle name="Normal 3 5 5 3" xfId="43159" xr:uid="{00000000-0005-0000-0000-0000AA7D0000}"/>
    <cellStyle name="Normal 3 5 5 3 2" xfId="43160" xr:uid="{00000000-0005-0000-0000-0000AB7D0000}"/>
    <cellStyle name="Normal 3 5 5 4" xfId="43161" xr:uid="{00000000-0005-0000-0000-0000AC7D0000}"/>
    <cellStyle name="Normal 3 5 5 4 2" xfId="43162" xr:uid="{00000000-0005-0000-0000-0000AD7D0000}"/>
    <cellStyle name="Normal 3 5 5 5" xfId="43163" xr:uid="{00000000-0005-0000-0000-0000AE7D0000}"/>
    <cellStyle name="Normal 3 5 5 5 2" xfId="43164" xr:uid="{00000000-0005-0000-0000-0000AF7D0000}"/>
    <cellStyle name="Normal 3 5 5 6" xfId="43165" xr:uid="{00000000-0005-0000-0000-0000B07D0000}"/>
    <cellStyle name="Normal 3 5 6" xfId="43166" xr:uid="{00000000-0005-0000-0000-0000B17D0000}"/>
    <cellStyle name="Normal 3 5 6 2" xfId="43167" xr:uid="{00000000-0005-0000-0000-0000B27D0000}"/>
    <cellStyle name="Normal 3 5 6 2 2" xfId="43168" xr:uid="{00000000-0005-0000-0000-0000B37D0000}"/>
    <cellStyle name="Normal 3 5 6 3" xfId="43169" xr:uid="{00000000-0005-0000-0000-0000B47D0000}"/>
    <cellStyle name="Normal 3 5 6 3 2" xfId="43170" xr:uid="{00000000-0005-0000-0000-0000B57D0000}"/>
    <cellStyle name="Normal 3 5 6 4" xfId="43171" xr:uid="{00000000-0005-0000-0000-0000B67D0000}"/>
    <cellStyle name="Normal 3 5 6 4 2" xfId="43172" xr:uid="{00000000-0005-0000-0000-0000B77D0000}"/>
    <cellStyle name="Normal 3 5 6 5" xfId="43173" xr:uid="{00000000-0005-0000-0000-0000B87D0000}"/>
    <cellStyle name="Normal 3 5 7" xfId="43174" xr:uid="{00000000-0005-0000-0000-0000B97D0000}"/>
    <cellStyle name="Normal 3 5 7 2" xfId="43175" xr:uid="{00000000-0005-0000-0000-0000BA7D0000}"/>
    <cellStyle name="Normal 3 5 7 2 2" xfId="43176" xr:uid="{00000000-0005-0000-0000-0000BB7D0000}"/>
    <cellStyle name="Normal 3 5 7 3" xfId="43177" xr:uid="{00000000-0005-0000-0000-0000BC7D0000}"/>
    <cellStyle name="Normal 3 5 7 3 2" xfId="43178" xr:uid="{00000000-0005-0000-0000-0000BD7D0000}"/>
    <cellStyle name="Normal 3 5 7 4" xfId="43179" xr:uid="{00000000-0005-0000-0000-0000BE7D0000}"/>
    <cellStyle name="Normal 3 5 7 4 2" xfId="43180" xr:uid="{00000000-0005-0000-0000-0000BF7D0000}"/>
    <cellStyle name="Normal 3 5 7 5" xfId="43181" xr:uid="{00000000-0005-0000-0000-0000C07D0000}"/>
    <cellStyle name="Normal 3 5 8" xfId="43182" xr:uid="{00000000-0005-0000-0000-0000C17D0000}"/>
    <cellStyle name="Normal 3 5 8 2" xfId="43183" xr:uid="{00000000-0005-0000-0000-0000C27D0000}"/>
    <cellStyle name="Normal 3 5 8 2 2" xfId="43184" xr:uid="{00000000-0005-0000-0000-0000C37D0000}"/>
    <cellStyle name="Normal 3 5 8 3" xfId="43185" xr:uid="{00000000-0005-0000-0000-0000C47D0000}"/>
    <cellStyle name="Normal 3 5 8 3 2" xfId="43186" xr:uid="{00000000-0005-0000-0000-0000C57D0000}"/>
    <cellStyle name="Normal 3 5 8 4" xfId="43187" xr:uid="{00000000-0005-0000-0000-0000C67D0000}"/>
    <cellStyle name="Normal 3 5 8 4 2" xfId="43188" xr:uid="{00000000-0005-0000-0000-0000C77D0000}"/>
    <cellStyle name="Normal 3 5 8 5" xfId="43189" xr:uid="{00000000-0005-0000-0000-0000C87D0000}"/>
    <cellStyle name="Normal 3 5 9" xfId="43190" xr:uid="{00000000-0005-0000-0000-0000C97D0000}"/>
    <cellStyle name="Normal 3 5 9 2" xfId="43191" xr:uid="{00000000-0005-0000-0000-0000CA7D0000}"/>
    <cellStyle name="Normal 3 5 9 2 2" xfId="43192" xr:uid="{00000000-0005-0000-0000-0000CB7D0000}"/>
    <cellStyle name="Normal 3 5 9 3" xfId="43193" xr:uid="{00000000-0005-0000-0000-0000CC7D0000}"/>
    <cellStyle name="Normal 3 5 9 3 2" xfId="43194" xr:uid="{00000000-0005-0000-0000-0000CD7D0000}"/>
    <cellStyle name="Normal 3 5 9 4" xfId="43195" xr:uid="{00000000-0005-0000-0000-0000CE7D0000}"/>
    <cellStyle name="Normal 3 5 9 4 2" xfId="43196" xr:uid="{00000000-0005-0000-0000-0000CF7D0000}"/>
    <cellStyle name="Normal 3 5 9 5" xfId="43197" xr:uid="{00000000-0005-0000-0000-0000D07D0000}"/>
    <cellStyle name="Normal 3 5_Net Zero &amp; QRP Award" xfId="43198" xr:uid="{00000000-0005-0000-0000-0000D17D0000}"/>
    <cellStyle name="Normal 3 6" xfId="3377" xr:uid="{00000000-0005-0000-0000-0000D27D0000}"/>
    <cellStyle name="Normal 3 6 10" xfId="43199" xr:uid="{00000000-0005-0000-0000-0000D37D0000}"/>
    <cellStyle name="Normal 3 6 10 2" xfId="43200" xr:uid="{00000000-0005-0000-0000-0000D47D0000}"/>
    <cellStyle name="Normal 3 6 11" xfId="43201" xr:uid="{00000000-0005-0000-0000-0000D57D0000}"/>
    <cellStyle name="Normal 3 6 11 2" xfId="43202" xr:uid="{00000000-0005-0000-0000-0000D67D0000}"/>
    <cellStyle name="Normal 3 6 12" xfId="43203" xr:uid="{00000000-0005-0000-0000-0000D77D0000}"/>
    <cellStyle name="Normal 3 6 12 2" xfId="43204" xr:uid="{00000000-0005-0000-0000-0000D87D0000}"/>
    <cellStyle name="Normal 3 6 13" xfId="43205" xr:uid="{00000000-0005-0000-0000-0000D97D0000}"/>
    <cellStyle name="Normal 3 6 2" xfId="40091" xr:uid="{00000000-0005-0000-0000-0000DA7D0000}"/>
    <cellStyle name="Normal 3 6 2 2" xfId="43206" xr:uid="{00000000-0005-0000-0000-0000DB7D0000}"/>
    <cellStyle name="Normal 3 6 2 2 2" xfId="43207" xr:uid="{00000000-0005-0000-0000-0000DC7D0000}"/>
    <cellStyle name="Normal 3 6 2 2 2 2" xfId="43208" xr:uid="{00000000-0005-0000-0000-0000DD7D0000}"/>
    <cellStyle name="Normal 3 6 2 2 3" xfId="43209" xr:uid="{00000000-0005-0000-0000-0000DE7D0000}"/>
    <cellStyle name="Normal 3 6 2 2 3 2" xfId="43210" xr:uid="{00000000-0005-0000-0000-0000DF7D0000}"/>
    <cellStyle name="Normal 3 6 2 2 4" xfId="43211" xr:uid="{00000000-0005-0000-0000-0000E07D0000}"/>
    <cellStyle name="Normal 3 6 2 2 4 2" xfId="43212" xr:uid="{00000000-0005-0000-0000-0000E17D0000}"/>
    <cellStyle name="Normal 3 6 2 2 5" xfId="43213" xr:uid="{00000000-0005-0000-0000-0000E27D0000}"/>
    <cellStyle name="Normal 3 6 2 3" xfId="43214" xr:uid="{00000000-0005-0000-0000-0000E37D0000}"/>
    <cellStyle name="Normal 3 6 2 3 2" xfId="43215" xr:uid="{00000000-0005-0000-0000-0000E47D0000}"/>
    <cellStyle name="Normal 3 6 2 4" xfId="43216" xr:uid="{00000000-0005-0000-0000-0000E57D0000}"/>
    <cellStyle name="Normal 3 6 2 4 2" xfId="43217" xr:uid="{00000000-0005-0000-0000-0000E67D0000}"/>
    <cellStyle name="Normal 3 6 2 5" xfId="43218" xr:uid="{00000000-0005-0000-0000-0000E77D0000}"/>
    <cellStyle name="Normal 3 6 2 5 2" xfId="43219" xr:uid="{00000000-0005-0000-0000-0000E87D0000}"/>
    <cellStyle name="Normal 3 6 2 6" xfId="43220" xr:uid="{00000000-0005-0000-0000-0000E97D0000}"/>
    <cellStyle name="Normal 3 6 3" xfId="43221" xr:uid="{00000000-0005-0000-0000-0000EA7D0000}"/>
    <cellStyle name="Normal 3 6 3 2" xfId="43222" xr:uid="{00000000-0005-0000-0000-0000EB7D0000}"/>
    <cellStyle name="Normal 3 6 3 2 2" xfId="43223" xr:uid="{00000000-0005-0000-0000-0000EC7D0000}"/>
    <cellStyle name="Normal 3 6 3 2 2 2" xfId="43224" xr:uid="{00000000-0005-0000-0000-0000ED7D0000}"/>
    <cellStyle name="Normal 3 6 3 2 3" xfId="43225" xr:uid="{00000000-0005-0000-0000-0000EE7D0000}"/>
    <cellStyle name="Normal 3 6 3 2 3 2" xfId="43226" xr:uid="{00000000-0005-0000-0000-0000EF7D0000}"/>
    <cellStyle name="Normal 3 6 3 2 4" xfId="43227" xr:uid="{00000000-0005-0000-0000-0000F07D0000}"/>
    <cellStyle name="Normal 3 6 3 2 4 2" xfId="43228" xr:uid="{00000000-0005-0000-0000-0000F17D0000}"/>
    <cellStyle name="Normal 3 6 3 2 5" xfId="43229" xr:uid="{00000000-0005-0000-0000-0000F27D0000}"/>
    <cellStyle name="Normal 3 6 3 3" xfId="43230" xr:uid="{00000000-0005-0000-0000-0000F37D0000}"/>
    <cellStyle name="Normal 3 6 3 3 2" xfId="43231" xr:uid="{00000000-0005-0000-0000-0000F47D0000}"/>
    <cellStyle name="Normal 3 6 3 4" xfId="43232" xr:uid="{00000000-0005-0000-0000-0000F57D0000}"/>
    <cellStyle name="Normal 3 6 3 4 2" xfId="43233" xr:uid="{00000000-0005-0000-0000-0000F67D0000}"/>
    <cellStyle name="Normal 3 6 3 5" xfId="43234" xr:uid="{00000000-0005-0000-0000-0000F77D0000}"/>
    <cellStyle name="Normal 3 6 3 5 2" xfId="43235" xr:uid="{00000000-0005-0000-0000-0000F87D0000}"/>
    <cellStyle name="Normal 3 6 3 6" xfId="43236" xr:uid="{00000000-0005-0000-0000-0000F97D0000}"/>
    <cellStyle name="Normal 3 6 4" xfId="43237" xr:uid="{00000000-0005-0000-0000-0000FA7D0000}"/>
    <cellStyle name="Normal 3 6 4 2" xfId="43238" xr:uid="{00000000-0005-0000-0000-0000FB7D0000}"/>
    <cellStyle name="Normal 3 6 4 2 2" xfId="43239" xr:uid="{00000000-0005-0000-0000-0000FC7D0000}"/>
    <cellStyle name="Normal 3 6 4 2 2 2" xfId="43240" xr:uid="{00000000-0005-0000-0000-0000FD7D0000}"/>
    <cellStyle name="Normal 3 6 4 2 3" xfId="43241" xr:uid="{00000000-0005-0000-0000-0000FE7D0000}"/>
    <cellStyle name="Normal 3 6 4 2 3 2" xfId="43242" xr:uid="{00000000-0005-0000-0000-0000FF7D0000}"/>
    <cellStyle name="Normal 3 6 4 2 4" xfId="43243" xr:uid="{00000000-0005-0000-0000-0000007E0000}"/>
    <cellStyle name="Normal 3 6 4 2 4 2" xfId="43244" xr:uid="{00000000-0005-0000-0000-0000017E0000}"/>
    <cellStyle name="Normal 3 6 4 2 5" xfId="43245" xr:uid="{00000000-0005-0000-0000-0000027E0000}"/>
    <cellStyle name="Normal 3 6 4 3" xfId="43246" xr:uid="{00000000-0005-0000-0000-0000037E0000}"/>
    <cellStyle name="Normal 3 6 4 3 2" xfId="43247" xr:uid="{00000000-0005-0000-0000-0000047E0000}"/>
    <cellStyle name="Normal 3 6 4 4" xfId="43248" xr:uid="{00000000-0005-0000-0000-0000057E0000}"/>
    <cellStyle name="Normal 3 6 4 4 2" xfId="43249" xr:uid="{00000000-0005-0000-0000-0000067E0000}"/>
    <cellStyle name="Normal 3 6 4 5" xfId="43250" xr:uid="{00000000-0005-0000-0000-0000077E0000}"/>
    <cellStyle name="Normal 3 6 4 5 2" xfId="43251" xr:uid="{00000000-0005-0000-0000-0000087E0000}"/>
    <cellStyle name="Normal 3 6 4 6" xfId="43252" xr:uid="{00000000-0005-0000-0000-0000097E0000}"/>
    <cellStyle name="Normal 3 6 5" xfId="43253" xr:uid="{00000000-0005-0000-0000-00000A7E0000}"/>
    <cellStyle name="Normal 3 6 5 2" xfId="43254" xr:uid="{00000000-0005-0000-0000-00000B7E0000}"/>
    <cellStyle name="Normal 3 6 5 2 2" xfId="43255" xr:uid="{00000000-0005-0000-0000-00000C7E0000}"/>
    <cellStyle name="Normal 3 6 5 2 2 2" xfId="43256" xr:uid="{00000000-0005-0000-0000-00000D7E0000}"/>
    <cellStyle name="Normal 3 6 5 2 3" xfId="43257" xr:uid="{00000000-0005-0000-0000-00000E7E0000}"/>
    <cellStyle name="Normal 3 6 5 2 3 2" xfId="43258" xr:uid="{00000000-0005-0000-0000-00000F7E0000}"/>
    <cellStyle name="Normal 3 6 5 2 4" xfId="43259" xr:uid="{00000000-0005-0000-0000-0000107E0000}"/>
    <cellStyle name="Normal 3 6 5 2 4 2" xfId="43260" xr:uid="{00000000-0005-0000-0000-0000117E0000}"/>
    <cellStyle name="Normal 3 6 5 2 5" xfId="43261" xr:uid="{00000000-0005-0000-0000-0000127E0000}"/>
    <cellStyle name="Normal 3 6 5 3" xfId="43262" xr:uid="{00000000-0005-0000-0000-0000137E0000}"/>
    <cellStyle name="Normal 3 6 5 3 2" xfId="43263" xr:uid="{00000000-0005-0000-0000-0000147E0000}"/>
    <cellStyle name="Normal 3 6 5 4" xfId="43264" xr:uid="{00000000-0005-0000-0000-0000157E0000}"/>
    <cellStyle name="Normal 3 6 5 4 2" xfId="43265" xr:uid="{00000000-0005-0000-0000-0000167E0000}"/>
    <cellStyle name="Normal 3 6 5 5" xfId="43266" xr:uid="{00000000-0005-0000-0000-0000177E0000}"/>
    <cellStyle name="Normal 3 6 5 5 2" xfId="43267" xr:uid="{00000000-0005-0000-0000-0000187E0000}"/>
    <cellStyle name="Normal 3 6 5 6" xfId="43268" xr:uid="{00000000-0005-0000-0000-0000197E0000}"/>
    <cellStyle name="Normal 3 6 6" xfId="43269" xr:uid="{00000000-0005-0000-0000-00001A7E0000}"/>
    <cellStyle name="Normal 3 6 6 2" xfId="43270" xr:uid="{00000000-0005-0000-0000-00001B7E0000}"/>
    <cellStyle name="Normal 3 6 6 2 2" xfId="43271" xr:uid="{00000000-0005-0000-0000-00001C7E0000}"/>
    <cellStyle name="Normal 3 6 6 3" xfId="43272" xr:uid="{00000000-0005-0000-0000-00001D7E0000}"/>
    <cellStyle name="Normal 3 6 6 3 2" xfId="43273" xr:uid="{00000000-0005-0000-0000-00001E7E0000}"/>
    <cellStyle name="Normal 3 6 6 4" xfId="43274" xr:uid="{00000000-0005-0000-0000-00001F7E0000}"/>
    <cellStyle name="Normal 3 6 6 4 2" xfId="43275" xr:uid="{00000000-0005-0000-0000-0000207E0000}"/>
    <cellStyle name="Normal 3 6 6 5" xfId="43276" xr:uid="{00000000-0005-0000-0000-0000217E0000}"/>
    <cellStyle name="Normal 3 6 7" xfId="43277" xr:uid="{00000000-0005-0000-0000-0000227E0000}"/>
    <cellStyle name="Normal 3 6 7 2" xfId="43278" xr:uid="{00000000-0005-0000-0000-0000237E0000}"/>
    <cellStyle name="Normal 3 6 7 2 2" xfId="43279" xr:uid="{00000000-0005-0000-0000-0000247E0000}"/>
    <cellStyle name="Normal 3 6 7 3" xfId="43280" xr:uid="{00000000-0005-0000-0000-0000257E0000}"/>
    <cellStyle name="Normal 3 6 7 3 2" xfId="43281" xr:uid="{00000000-0005-0000-0000-0000267E0000}"/>
    <cellStyle name="Normal 3 6 7 4" xfId="43282" xr:uid="{00000000-0005-0000-0000-0000277E0000}"/>
    <cellStyle name="Normal 3 6 7 4 2" xfId="43283" xr:uid="{00000000-0005-0000-0000-0000287E0000}"/>
    <cellStyle name="Normal 3 6 7 5" xfId="43284" xr:uid="{00000000-0005-0000-0000-0000297E0000}"/>
    <cellStyle name="Normal 3 6 8" xfId="43285" xr:uid="{00000000-0005-0000-0000-00002A7E0000}"/>
    <cellStyle name="Normal 3 6 8 2" xfId="43286" xr:uid="{00000000-0005-0000-0000-00002B7E0000}"/>
    <cellStyle name="Normal 3 6 8 2 2" xfId="43287" xr:uid="{00000000-0005-0000-0000-00002C7E0000}"/>
    <cellStyle name="Normal 3 6 8 3" xfId="43288" xr:uid="{00000000-0005-0000-0000-00002D7E0000}"/>
    <cellStyle name="Normal 3 6 8 3 2" xfId="43289" xr:uid="{00000000-0005-0000-0000-00002E7E0000}"/>
    <cellStyle name="Normal 3 6 8 4" xfId="43290" xr:uid="{00000000-0005-0000-0000-00002F7E0000}"/>
    <cellStyle name="Normal 3 6 8 4 2" xfId="43291" xr:uid="{00000000-0005-0000-0000-0000307E0000}"/>
    <cellStyle name="Normal 3 6 8 5" xfId="43292" xr:uid="{00000000-0005-0000-0000-0000317E0000}"/>
    <cellStyle name="Normal 3 6 9" xfId="43293" xr:uid="{00000000-0005-0000-0000-0000327E0000}"/>
    <cellStyle name="Normal 3 6 9 2" xfId="43294" xr:uid="{00000000-0005-0000-0000-0000337E0000}"/>
    <cellStyle name="Normal 3 6 9 2 2" xfId="43295" xr:uid="{00000000-0005-0000-0000-0000347E0000}"/>
    <cellStyle name="Normal 3 6 9 3" xfId="43296" xr:uid="{00000000-0005-0000-0000-0000357E0000}"/>
    <cellStyle name="Normal 3 6 9 3 2" xfId="43297" xr:uid="{00000000-0005-0000-0000-0000367E0000}"/>
    <cellStyle name="Normal 3 6 9 4" xfId="43298" xr:uid="{00000000-0005-0000-0000-0000377E0000}"/>
    <cellStyle name="Normal 3 6 9 4 2" xfId="43299" xr:uid="{00000000-0005-0000-0000-0000387E0000}"/>
    <cellStyle name="Normal 3 6 9 5" xfId="43300" xr:uid="{00000000-0005-0000-0000-0000397E0000}"/>
    <cellStyle name="Normal 3 6_Net Zero &amp; QRP Award" xfId="43301" xr:uid="{00000000-0005-0000-0000-00003A7E0000}"/>
    <cellStyle name="Normal 3 7" xfId="3378" xr:uid="{00000000-0005-0000-0000-00003B7E0000}"/>
    <cellStyle name="Normal 3 7 2" xfId="40092" xr:uid="{00000000-0005-0000-0000-00003C7E0000}"/>
    <cellStyle name="Normal 3 7 2 2" xfId="43302" xr:uid="{00000000-0005-0000-0000-00003D7E0000}"/>
    <cellStyle name="Normal 3 7 3" xfId="43303" xr:uid="{00000000-0005-0000-0000-00003E7E0000}"/>
    <cellStyle name="Normal 3 7 3 2" xfId="43304" xr:uid="{00000000-0005-0000-0000-00003F7E0000}"/>
    <cellStyle name="Normal 3 7 4" xfId="43305" xr:uid="{00000000-0005-0000-0000-0000407E0000}"/>
    <cellStyle name="Normal 3 7 4 2" xfId="43306" xr:uid="{00000000-0005-0000-0000-0000417E0000}"/>
    <cellStyle name="Normal 3 7 5" xfId="43307" xr:uid="{00000000-0005-0000-0000-0000427E0000}"/>
    <cellStyle name="Normal 3 8" xfId="2860" xr:uid="{00000000-0005-0000-0000-0000437E0000}"/>
    <cellStyle name="Normal 3 8 2" xfId="43308" xr:uid="{00000000-0005-0000-0000-0000447E0000}"/>
    <cellStyle name="Normal 3 8 3" xfId="45488" xr:uid="{00000000-0005-0000-0000-0000457E0000}"/>
    <cellStyle name="Normal 3 9" xfId="40093" xr:uid="{00000000-0005-0000-0000-0000467E0000}"/>
    <cellStyle name="Normal 3 9 2" xfId="43309" xr:uid="{00000000-0005-0000-0000-0000477E0000}"/>
    <cellStyle name="Normal 3 9 3" xfId="45489" xr:uid="{00000000-0005-0000-0000-0000487E0000}"/>
    <cellStyle name="Normal 3_10051" xfId="1610" xr:uid="{00000000-0005-0000-0000-0000497E0000}"/>
    <cellStyle name="Normal 30" xfId="447" xr:uid="{00000000-0005-0000-0000-00004A7E0000}"/>
    <cellStyle name="Normal 30 2" xfId="1611" xr:uid="{00000000-0005-0000-0000-00004B7E0000}"/>
    <cellStyle name="Normal 30 2 2" xfId="29686" xr:uid="{00000000-0005-0000-0000-00004C7E0000}"/>
    <cellStyle name="Normal 30 2 3" xfId="45490" xr:uid="{00000000-0005-0000-0000-00004D7E0000}"/>
    <cellStyle name="Normal 30 3" xfId="1612" xr:uid="{00000000-0005-0000-0000-00004E7E0000}"/>
    <cellStyle name="Normal 30 3 2" xfId="40094" xr:uid="{00000000-0005-0000-0000-00004F7E0000}"/>
    <cellStyle name="Normal 30 4" xfId="1613" xr:uid="{00000000-0005-0000-0000-0000507E0000}"/>
    <cellStyle name="Normal 30 4 2" xfId="40095" xr:uid="{00000000-0005-0000-0000-0000517E0000}"/>
    <cellStyle name="Normal 30 5" xfId="40096" xr:uid="{00000000-0005-0000-0000-0000527E0000}"/>
    <cellStyle name="Normal 30 5 2" xfId="42512" xr:uid="{00000000-0005-0000-0000-0000537E0000}"/>
    <cellStyle name="Normal 30 5 3" xfId="45491" xr:uid="{00000000-0005-0000-0000-0000547E0000}"/>
    <cellStyle name="Normal 30 6" xfId="40097" xr:uid="{00000000-0005-0000-0000-0000557E0000}"/>
    <cellStyle name="Normal 31" xfId="448" xr:uid="{00000000-0005-0000-0000-0000567E0000}"/>
    <cellStyle name="Normal 31 10" xfId="40098" xr:uid="{00000000-0005-0000-0000-0000577E0000}"/>
    <cellStyle name="Normal 31 2" xfId="449" xr:uid="{00000000-0005-0000-0000-0000587E0000}"/>
    <cellStyle name="Normal 31 2 2" xfId="1614" xr:uid="{00000000-0005-0000-0000-0000597E0000}"/>
    <cellStyle name="Normal 31 2 2 10" xfId="46245" xr:uid="{00000000-0005-0000-0000-00005A7E0000}"/>
    <cellStyle name="Normal 31 2 2 2" xfId="1615" xr:uid="{00000000-0005-0000-0000-00005B7E0000}"/>
    <cellStyle name="Normal 31 2 2 2 2" xfId="29687" xr:uid="{00000000-0005-0000-0000-00005C7E0000}"/>
    <cellStyle name="Normal 31 2 2 2 2 2" xfId="29688" xr:uid="{00000000-0005-0000-0000-00005D7E0000}"/>
    <cellStyle name="Normal 31 2 2 2 2 2 2" xfId="29689" xr:uid="{00000000-0005-0000-0000-00005E7E0000}"/>
    <cellStyle name="Normal 31 2 2 2 2 2 2 2" xfId="40099" xr:uid="{00000000-0005-0000-0000-00005F7E0000}"/>
    <cellStyle name="Normal 31 2 2 2 2 2 3" xfId="29690" xr:uid="{00000000-0005-0000-0000-0000607E0000}"/>
    <cellStyle name="Normal 31 2 2 2 2 3" xfId="29691" xr:uid="{00000000-0005-0000-0000-0000617E0000}"/>
    <cellStyle name="Normal 31 2 2 2 2 3 2" xfId="29692" xr:uid="{00000000-0005-0000-0000-0000627E0000}"/>
    <cellStyle name="Normal 31 2 2 2 2 3 2 2" xfId="40100" xr:uid="{00000000-0005-0000-0000-0000637E0000}"/>
    <cellStyle name="Normal 31 2 2 2 2 3 3" xfId="29693" xr:uid="{00000000-0005-0000-0000-0000647E0000}"/>
    <cellStyle name="Normal 31 2 2 2 2 4" xfId="29694" xr:uid="{00000000-0005-0000-0000-0000657E0000}"/>
    <cellStyle name="Normal 31 2 2 2 2 4 2" xfId="40101" xr:uid="{00000000-0005-0000-0000-0000667E0000}"/>
    <cellStyle name="Normal 31 2 2 2 2 5" xfId="29695" xr:uid="{00000000-0005-0000-0000-0000677E0000}"/>
    <cellStyle name="Normal 31 2 2 2 3" xfId="29696" xr:uid="{00000000-0005-0000-0000-0000687E0000}"/>
    <cellStyle name="Normal 31 2 2 2 3 2" xfId="29697" xr:uid="{00000000-0005-0000-0000-0000697E0000}"/>
    <cellStyle name="Normal 31 2 2 2 3 2 2" xfId="40102" xr:uid="{00000000-0005-0000-0000-00006A7E0000}"/>
    <cellStyle name="Normal 31 2 2 2 3 3" xfId="29698" xr:uid="{00000000-0005-0000-0000-00006B7E0000}"/>
    <cellStyle name="Normal 31 2 2 2 4" xfId="29699" xr:uid="{00000000-0005-0000-0000-00006C7E0000}"/>
    <cellStyle name="Normal 31 2 2 2 4 2" xfId="29700" xr:uid="{00000000-0005-0000-0000-00006D7E0000}"/>
    <cellStyle name="Normal 31 2 2 2 4 2 2" xfId="40103" xr:uid="{00000000-0005-0000-0000-00006E7E0000}"/>
    <cellStyle name="Normal 31 2 2 2 4 3" xfId="29701" xr:uid="{00000000-0005-0000-0000-00006F7E0000}"/>
    <cellStyle name="Normal 31 2 2 2 5" xfId="29702" xr:uid="{00000000-0005-0000-0000-0000707E0000}"/>
    <cellStyle name="Normal 31 2 2 2 5 2" xfId="40104" xr:uid="{00000000-0005-0000-0000-0000717E0000}"/>
    <cellStyle name="Normal 31 2 2 2 6" xfId="29703" xr:uid="{00000000-0005-0000-0000-0000727E0000}"/>
    <cellStyle name="Normal 31 2 2 2 7" xfId="45492" xr:uid="{00000000-0005-0000-0000-0000737E0000}"/>
    <cellStyle name="Normal 31 2 2 3" xfId="29704" xr:uid="{00000000-0005-0000-0000-0000747E0000}"/>
    <cellStyle name="Normal 31 2 2 3 2" xfId="29705" xr:uid="{00000000-0005-0000-0000-0000757E0000}"/>
    <cellStyle name="Normal 31 2 2 3 2 2" xfId="29706" xr:uid="{00000000-0005-0000-0000-0000767E0000}"/>
    <cellStyle name="Normal 31 2 2 3 2 2 2" xfId="40105" xr:uid="{00000000-0005-0000-0000-0000777E0000}"/>
    <cellStyle name="Normal 31 2 2 3 2 3" xfId="29707" xr:uid="{00000000-0005-0000-0000-0000787E0000}"/>
    <cellStyle name="Normal 31 2 2 3 3" xfId="29708" xr:uid="{00000000-0005-0000-0000-0000797E0000}"/>
    <cellStyle name="Normal 31 2 2 3 3 2" xfId="29709" xr:uid="{00000000-0005-0000-0000-00007A7E0000}"/>
    <cellStyle name="Normal 31 2 2 3 3 2 2" xfId="40106" xr:uid="{00000000-0005-0000-0000-00007B7E0000}"/>
    <cellStyle name="Normal 31 2 2 3 3 3" xfId="29710" xr:uid="{00000000-0005-0000-0000-00007C7E0000}"/>
    <cellStyle name="Normal 31 2 2 3 4" xfId="29711" xr:uid="{00000000-0005-0000-0000-00007D7E0000}"/>
    <cellStyle name="Normal 31 2 2 3 4 2" xfId="40107" xr:uid="{00000000-0005-0000-0000-00007E7E0000}"/>
    <cellStyle name="Normal 31 2 2 3 5" xfId="29712" xr:uid="{00000000-0005-0000-0000-00007F7E0000}"/>
    <cellStyle name="Normal 31 2 2 4" xfId="29713" xr:uid="{00000000-0005-0000-0000-0000807E0000}"/>
    <cellStyle name="Normal 31 2 2 4 2" xfId="29714" xr:uid="{00000000-0005-0000-0000-0000817E0000}"/>
    <cellStyle name="Normal 31 2 2 4 2 2" xfId="40108" xr:uid="{00000000-0005-0000-0000-0000827E0000}"/>
    <cellStyle name="Normal 31 2 2 4 3" xfId="29715" xr:uid="{00000000-0005-0000-0000-0000837E0000}"/>
    <cellStyle name="Normal 31 2 2 5" xfId="29716" xr:uid="{00000000-0005-0000-0000-0000847E0000}"/>
    <cellStyle name="Normal 31 2 2 5 2" xfId="29717" xr:uid="{00000000-0005-0000-0000-0000857E0000}"/>
    <cellStyle name="Normal 31 2 2 5 2 2" xfId="40109" xr:uid="{00000000-0005-0000-0000-0000867E0000}"/>
    <cellStyle name="Normal 31 2 2 5 3" xfId="29718" xr:uid="{00000000-0005-0000-0000-0000877E0000}"/>
    <cellStyle name="Normal 31 2 2 6" xfId="29719" xr:uid="{00000000-0005-0000-0000-0000887E0000}"/>
    <cellStyle name="Normal 31 2 2 6 2" xfId="40110" xr:uid="{00000000-0005-0000-0000-0000897E0000}"/>
    <cellStyle name="Normal 31 2 2 7" xfId="29720" xr:uid="{00000000-0005-0000-0000-00008A7E0000}"/>
    <cellStyle name="Normal 31 2 2 8" xfId="29721" xr:uid="{00000000-0005-0000-0000-00008B7E0000}"/>
    <cellStyle name="Normal 31 2 2 9" xfId="45493" xr:uid="{00000000-0005-0000-0000-00008C7E0000}"/>
    <cellStyle name="Normal 31 2 3" xfId="1616" xr:uid="{00000000-0005-0000-0000-00008D7E0000}"/>
    <cellStyle name="Normal 31 2 3 2" xfId="29722" xr:uid="{00000000-0005-0000-0000-00008E7E0000}"/>
    <cellStyle name="Normal 31 2 3 2 2" xfId="29723" xr:uid="{00000000-0005-0000-0000-00008F7E0000}"/>
    <cellStyle name="Normal 31 2 3 2 2 2" xfId="29724" xr:uid="{00000000-0005-0000-0000-0000907E0000}"/>
    <cellStyle name="Normal 31 2 3 2 2 2 2" xfId="40111" xr:uid="{00000000-0005-0000-0000-0000917E0000}"/>
    <cellStyle name="Normal 31 2 3 2 2 3" xfId="29725" xr:uid="{00000000-0005-0000-0000-0000927E0000}"/>
    <cellStyle name="Normal 31 2 3 2 3" xfId="29726" xr:uid="{00000000-0005-0000-0000-0000937E0000}"/>
    <cellStyle name="Normal 31 2 3 2 3 2" xfId="29727" xr:uid="{00000000-0005-0000-0000-0000947E0000}"/>
    <cellStyle name="Normal 31 2 3 2 3 2 2" xfId="40112" xr:uid="{00000000-0005-0000-0000-0000957E0000}"/>
    <cellStyle name="Normal 31 2 3 2 3 3" xfId="29728" xr:uid="{00000000-0005-0000-0000-0000967E0000}"/>
    <cellStyle name="Normal 31 2 3 2 4" xfId="29729" xr:uid="{00000000-0005-0000-0000-0000977E0000}"/>
    <cellStyle name="Normal 31 2 3 2 4 2" xfId="40113" xr:uid="{00000000-0005-0000-0000-0000987E0000}"/>
    <cellStyle name="Normal 31 2 3 2 5" xfId="29730" xr:uid="{00000000-0005-0000-0000-0000997E0000}"/>
    <cellStyle name="Normal 31 2 3 3" xfId="29731" xr:uid="{00000000-0005-0000-0000-00009A7E0000}"/>
    <cellStyle name="Normal 31 2 3 3 2" xfId="29732" xr:uid="{00000000-0005-0000-0000-00009B7E0000}"/>
    <cellStyle name="Normal 31 2 3 3 2 2" xfId="40114" xr:uid="{00000000-0005-0000-0000-00009C7E0000}"/>
    <cellStyle name="Normal 31 2 3 3 3" xfId="29733" xr:uid="{00000000-0005-0000-0000-00009D7E0000}"/>
    <cellStyle name="Normal 31 2 3 4" xfId="29734" xr:uid="{00000000-0005-0000-0000-00009E7E0000}"/>
    <cellStyle name="Normal 31 2 3 4 2" xfId="29735" xr:uid="{00000000-0005-0000-0000-00009F7E0000}"/>
    <cellStyle name="Normal 31 2 3 4 2 2" xfId="40115" xr:uid="{00000000-0005-0000-0000-0000A07E0000}"/>
    <cellStyle name="Normal 31 2 3 4 3" xfId="29736" xr:uid="{00000000-0005-0000-0000-0000A17E0000}"/>
    <cellStyle name="Normal 31 2 3 5" xfId="29737" xr:uid="{00000000-0005-0000-0000-0000A27E0000}"/>
    <cellStyle name="Normal 31 2 3 5 2" xfId="40116" xr:uid="{00000000-0005-0000-0000-0000A37E0000}"/>
    <cellStyle name="Normal 31 2 3 6" xfId="29738" xr:uid="{00000000-0005-0000-0000-0000A47E0000}"/>
    <cellStyle name="Normal 31 2 3 7" xfId="45494" xr:uid="{00000000-0005-0000-0000-0000A57E0000}"/>
    <cellStyle name="Normal 31 2 4" xfId="29739" xr:uid="{00000000-0005-0000-0000-0000A67E0000}"/>
    <cellStyle name="Normal 31 2 4 2" xfId="29740" xr:uid="{00000000-0005-0000-0000-0000A77E0000}"/>
    <cellStyle name="Normal 31 2 4 2 2" xfId="29741" xr:uid="{00000000-0005-0000-0000-0000A87E0000}"/>
    <cellStyle name="Normal 31 2 4 2 2 2" xfId="40117" xr:uid="{00000000-0005-0000-0000-0000A97E0000}"/>
    <cellStyle name="Normal 31 2 4 2 3" xfId="29742" xr:uid="{00000000-0005-0000-0000-0000AA7E0000}"/>
    <cellStyle name="Normal 31 2 4 3" xfId="29743" xr:uid="{00000000-0005-0000-0000-0000AB7E0000}"/>
    <cellStyle name="Normal 31 2 4 3 2" xfId="29744" xr:uid="{00000000-0005-0000-0000-0000AC7E0000}"/>
    <cellStyle name="Normal 31 2 4 3 2 2" xfId="40118" xr:uid="{00000000-0005-0000-0000-0000AD7E0000}"/>
    <cellStyle name="Normal 31 2 4 3 3" xfId="29745" xr:uid="{00000000-0005-0000-0000-0000AE7E0000}"/>
    <cellStyle name="Normal 31 2 4 4" xfId="29746" xr:uid="{00000000-0005-0000-0000-0000AF7E0000}"/>
    <cellStyle name="Normal 31 2 4 4 2" xfId="40119" xr:uid="{00000000-0005-0000-0000-0000B07E0000}"/>
    <cellStyle name="Normal 31 2 4 5" xfId="29747" xr:uid="{00000000-0005-0000-0000-0000B17E0000}"/>
    <cellStyle name="Normal 31 2 5" xfId="29748" xr:uid="{00000000-0005-0000-0000-0000B27E0000}"/>
    <cellStyle name="Normal 31 2 5 2" xfId="29749" xr:uid="{00000000-0005-0000-0000-0000B37E0000}"/>
    <cellStyle name="Normal 31 2 5 2 2" xfId="40120" xr:uid="{00000000-0005-0000-0000-0000B47E0000}"/>
    <cellStyle name="Normal 31 2 5 3" xfId="29750" xr:uid="{00000000-0005-0000-0000-0000B57E0000}"/>
    <cellStyle name="Normal 31 2 6" xfId="29751" xr:uid="{00000000-0005-0000-0000-0000B67E0000}"/>
    <cellStyle name="Normal 31 2 6 2" xfId="29752" xr:uid="{00000000-0005-0000-0000-0000B77E0000}"/>
    <cellStyle name="Normal 31 2 6 2 2" xfId="40121" xr:uid="{00000000-0005-0000-0000-0000B87E0000}"/>
    <cellStyle name="Normal 31 2 6 3" xfId="29753" xr:uid="{00000000-0005-0000-0000-0000B97E0000}"/>
    <cellStyle name="Normal 31 2 7" xfId="29754" xr:uid="{00000000-0005-0000-0000-0000BA7E0000}"/>
    <cellStyle name="Normal 31 2 7 2" xfId="40122" xr:uid="{00000000-0005-0000-0000-0000BB7E0000}"/>
    <cellStyle name="Normal 31 2 8" xfId="29755" xr:uid="{00000000-0005-0000-0000-0000BC7E0000}"/>
    <cellStyle name="Normal 31 2 9" xfId="40123" xr:uid="{00000000-0005-0000-0000-0000BD7E0000}"/>
    <cellStyle name="Normal 31 3" xfId="450" xr:uid="{00000000-0005-0000-0000-0000BE7E0000}"/>
    <cellStyle name="Normal 31 3 2" xfId="1617" xr:uid="{00000000-0005-0000-0000-0000BF7E0000}"/>
    <cellStyle name="Normal 31 3 2 2" xfId="29756" xr:uid="{00000000-0005-0000-0000-0000C07E0000}"/>
    <cellStyle name="Normal 31 3 2 2 2" xfId="29757" xr:uid="{00000000-0005-0000-0000-0000C17E0000}"/>
    <cellStyle name="Normal 31 3 2 2 2 2" xfId="29758" xr:uid="{00000000-0005-0000-0000-0000C27E0000}"/>
    <cellStyle name="Normal 31 3 2 2 2 2 2" xfId="40124" xr:uid="{00000000-0005-0000-0000-0000C37E0000}"/>
    <cellStyle name="Normal 31 3 2 2 2 3" xfId="29759" xr:uid="{00000000-0005-0000-0000-0000C47E0000}"/>
    <cellStyle name="Normal 31 3 2 2 3" xfId="29760" xr:uid="{00000000-0005-0000-0000-0000C57E0000}"/>
    <cellStyle name="Normal 31 3 2 2 3 2" xfId="29761" xr:uid="{00000000-0005-0000-0000-0000C67E0000}"/>
    <cellStyle name="Normal 31 3 2 2 3 2 2" xfId="40125" xr:uid="{00000000-0005-0000-0000-0000C77E0000}"/>
    <cellStyle name="Normal 31 3 2 2 3 3" xfId="29762" xr:uid="{00000000-0005-0000-0000-0000C87E0000}"/>
    <cellStyle name="Normal 31 3 2 2 4" xfId="29763" xr:uid="{00000000-0005-0000-0000-0000C97E0000}"/>
    <cellStyle name="Normal 31 3 2 2 4 2" xfId="40126" xr:uid="{00000000-0005-0000-0000-0000CA7E0000}"/>
    <cellStyle name="Normal 31 3 2 2 5" xfId="29764" xr:uid="{00000000-0005-0000-0000-0000CB7E0000}"/>
    <cellStyle name="Normal 31 3 2 3" xfId="29765" xr:uid="{00000000-0005-0000-0000-0000CC7E0000}"/>
    <cellStyle name="Normal 31 3 2 3 2" xfId="29766" xr:uid="{00000000-0005-0000-0000-0000CD7E0000}"/>
    <cellStyle name="Normal 31 3 2 3 2 2" xfId="40127" xr:uid="{00000000-0005-0000-0000-0000CE7E0000}"/>
    <cellStyle name="Normal 31 3 2 3 3" xfId="29767" xr:uid="{00000000-0005-0000-0000-0000CF7E0000}"/>
    <cellStyle name="Normal 31 3 2 4" xfId="29768" xr:uid="{00000000-0005-0000-0000-0000D07E0000}"/>
    <cellStyle name="Normal 31 3 2 4 2" xfId="29769" xr:uid="{00000000-0005-0000-0000-0000D17E0000}"/>
    <cellStyle name="Normal 31 3 2 4 2 2" xfId="40128" xr:uid="{00000000-0005-0000-0000-0000D27E0000}"/>
    <cellStyle name="Normal 31 3 2 4 3" xfId="29770" xr:uid="{00000000-0005-0000-0000-0000D37E0000}"/>
    <cellStyle name="Normal 31 3 2 5" xfId="29771" xr:uid="{00000000-0005-0000-0000-0000D47E0000}"/>
    <cellStyle name="Normal 31 3 2 5 2" xfId="40129" xr:uid="{00000000-0005-0000-0000-0000D57E0000}"/>
    <cellStyle name="Normal 31 3 2 6" xfId="29772" xr:uid="{00000000-0005-0000-0000-0000D67E0000}"/>
    <cellStyle name="Normal 31 3 3" xfId="1618" xr:uid="{00000000-0005-0000-0000-0000D77E0000}"/>
    <cellStyle name="Normal 31 3 3 2" xfId="29773" xr:uid="{00000000-0005-0000-0000-0000D87E0000}"/>
    <cellStyle name="Normal 31 3 3 2 2" xfId="29774" xr:uid="{00000000-0005-0000-0000-0000D97E0000}"/>
    <cellStyle name="Normal 31 3 3 2 2 2" xfId="40130" xr:uid="{00000000-0005-0000-0000-0000DA7E0000}"/>
    <cellStyle name="Normal 31 3 3 2 3" xfId="29775" xr:uid="{00000000-0005-0000-0000-0000DB7E0000}"/>
    <cellStyle name="Normal 31 3 3 3" xfId="29776" xr:uid="{00000000-0005-0000-0000-0000DC7E0000}"/>
    <cellStyle name="Normal 31 3 3 3 2" xfId="29777" xr:uid="{00000000-0005-0000-0000-0000DD7E0000}"/>
    <cellStyle name="Normal 31 3 3 3 2 2" xfId="40131" xr:uid="{00000000-0005-0000-0000-0000DE7E0000}"/>
    <cellStyle name="Normal 31 3 3 3 3" xfId="29778" xr:uid="{00000000-0005-0000-0000-0000DF7E0000}"/>
    <cellStyle name="Normal 31 3 3 4" xfId="29779" xr:uid="{00000000-0005-0000-0000-0000E07E0000}"/>
    <cellStyle name="Normal 31 3 3 4 2" xfId="40132" xr:uid="{00000000-0005-0000-0000-0000E17E0000}"/>
    <cellStyle name="Normal 31 3 3 5" xfId="29780" xr:uid="{00000000-0005-0000-0000-0000E27E0000}"/>
    <cellStyle name="Normal 31 3 3 6" xfId="45495" xr:uid="{00000000-0005-0000-0000-0000E37E0000}"/>
    <cellStyle name="Normal 31 3 4" xfId="29781" xr:uid="{00000000-0005-0000-0000-0000E47E0000}"/>
    <cellStyle name="Normal 31 3 4 2" xfId="29782" xr:uid="{00000000-0005-0000-0000-0000E57E0000}"/>
    <cellStyle name="Normal 31 3 4 2 2" xfId="40133" xr:uid="{00000000-0005-0000-0000-0000E67E0000}"/>
    <cellStyle name="Normal 31 3 4 3" xfId="29783" xr:uid="{00000000-0005-0000-0000-0000E77E0000}"/>
    <cellStyle name="Normal 31 3 4 4" xfId="29784" xr:uid="{00000000-0005-0000-0000-0000E87E0000}"/>
    <cellStyle name="Normal 31 3 4 5" xfId="44595" xr:uid="{00000000-0005-0000-0000-0000E97E0000}"/>
    <cellStyle name="Normal 31 3 5" xfId="29785" xr:uid="{00000000-0005-0000-0000-0000EA7E0000}"/>
    <cellStyle name="Normal 31 3 5 2" xfId="29786" xr:uid="{00000000-0005-0000-0000-0000EB7E0000}"/>
    <cellStyle name="Normal 31 3 5 2 2" xfId="40134" xr:uid="{00000000-0005-0000-0000-0000EC7E0000}"/>
    <cellStyle name="Normal 31 3 5 3" xfId="29787" xr:uid="{00000000-0005-0000-0000-0000ED7E0000}"/>
    <cellStyle name="Normal 31 3 6" xfId="29788" xr:uid="{00000000-0005-0000-0000-0000EE7E0000}"/>
    <cellStyle name="Normal 31 3 6 2" xfId="40135" xr:uid="{00000000-0005-0000-0000-0000EF7E0000}"/>
    <cellStyle name="Normal 31 3 7" xfId="29789" xr:uid="{00000000-0005-0000-0000-0000F07E0000}"/>
    <cellStyle name="Normal 31 4" xfId="1619" xr:uid="{00000000-0005-0000-0000-0000F17E0000}"/>
    <cellStyle name="Normal 31 4 2" xfId="1620" xr:uid="{00000000-0005-0000-0000-0000F27E0000}"/>
    <cellStyle name="Normal 31 4 2 2" xfId="29790" xr:uid="{00000000-0005-0000-0000-0000F37E0000}"/>
    <cellStyle name="Normal 31 4 2 2 2" xfId="29791" xr:uid="{00000000-0005-0000-0000-0000F47E0000}"/>
    <cellStyle name="Normal 31 4 2 2 2 2" xfId="40136" xr:uid="{00000000-0005-0000-0000-0000F57E0000}"/>
    <cellStyle name="Normal 31 4 2 2 3" xfId="29792" xr:uid="{00000000-0005-0000-0000-0000F67E0000}"/>
    <cellStyle name="Normal 31 4 2 3" xfId="29793" xr:uid="{00000000-0005-0000-0000-0000F77E0000}"/>
    <cellStyle name="Normal 31 4 2 3 2" xfId="29794" xr:uid="{00000000-0005-0000-0000-0000F87E0000}"/>
    <cellStyle name="Normal 31 4 2 3 2 2" xfId="40137" xr:uid="{00000000-0005-0000-0000-0000F97E0000}"/>
    <cellStyle name="Normal 31 4 2 3 3" xfId="29795" xr:uid="{00000000-0005-0000-0000-0000FA7E0000}"/>
    <cellStyle name="Normal 31 4 2 4" xfId="29796" xr:uid="{00000000-0005-0000-0000-0000FB7E0000}"/>
    <cellStyle name="Normal 31 4 2 4 2" xfId="40138" xr:uid="{00000000-0005-0000-0000-0000FC7E0000}"/>
    <cellStyle name="Normal 31 4 2 5" xfId="29797" xr:uid="{00000000-0005-0000-0000-0000FD7E0000}"/>
    <cellStyle name="Normal 31 4 3" xfId="29798" xr:uid="{00000000-0005-0000-0000-0000FE7E0000}"/>
    <cellStyle name="Normal 31 4 3 2" xfId="29799" xr:uid="{00000000-0005-0000-0000-0000FF7E0000}"/>
    <cellStyle name="Normal 31 4 3 2 2" xfId="40139" xr:uid="{00000000-0005-0000-0000-0000007F0000}"/>
    <cellStyle name="Normal 31 4 3 3" xfId="29800" xr:uid="{00000000-0005-0000-0000-0000017F0000}"/>
    <cellStyle name="Normal 31 4 4" xfId="29801" xr:uid="{00000000-0005-0000-0000-0000027F0000}"/>
    <cellStyle name="Normal 31 4 4 2" xfId="29802" xr:uid="{00000000-0005-0000-0000-0000037F0000}"/>
    <cellStyle name="Normal 31 4 4 2 2" xfId="40140" xr:uid="{00000000-0005-0000-0000-0000047F0000}"/>
    <cellStyle name="Normal 31 4 4 3" xfId="29803" xr:uid="{00000000-0005-0000-0000-0000057F0000}"/>
    <cellStyle name="Normal 31 4 5" xfId="29804" xr:uid="{00000000-0005-0000-0000-0000067F0000}"/>
    <cellStyle name="Normal 31 4 5 2" xfId="40141" xr:uid="{00000000-0005-0000-0000-0000077F0000}"/>
    <cellStyle name="Normal 31 4 6" xfId="29805" xr:uid="{00000000-0005-0000-0000-0000087F0000}"/>
    <cellStyle name="Normal 31 4 7" xfId="29806" xr:uid="{00000000-0005-0000-0000-0000097F0000}"/>
    <cellStyle name="Normal 31 4 8" xfId="46246" xr:uid="{00000000-0005-0000-0000-00000A7F0000}"/>
    <cellStyle name="Normal 31 5" xfId="29807" xr:uid="{00000000-0005-0000-0000-00000B7F0000}"/>
    <cellStyle name="Normal 31 5 2" xfId="29808" xr:uid="{00000000-0005-0000-0000-00000C7F0000}"/>
    <cellStyle name="Normal 31 5 2 2" xfId="29809" xr:uid="{00000000-0005-0000-0000-00000D7F0000}"/>
    <cellStyle name="Normal 31 5 2 2 2" xfId="40142" xr:uid="{00000000-0005-0000-0000-00000E7F0000}"/>
    <cellStyle name="Normal 31 5 2 3" xfId="29810" xr:uid="{00000000-0005-0000-0000-00000F7F0000}"/>
    <cellStyle name="Normal 31 5 3" xfId="29811" xr:uid="{00000000-0005-0000-0000-0000107F0000}"/>
    <cellStyle name="Normal 31 5 3 2" xfId="29812" xr:uid="{00000000-0005-0000-0000-0000117F0000}"/>
    <cellStyle name="Normal 31 5 3 2 2" xfId="40143" xr:uid="{00000000-0005-0000-0000-0000127F0000}"/>
    <cellStyle name="Normal 31 5 3 3" xfId="29813" xr:uid="{00000000-0005-0000-0000-0000137F0000}"/>
    <cellStyle name="Normal 31 5 4" xfId="29814" xr:uid="{00000000-0005-0000-0000-0000147F0000}"/>
    <cellStyle name="Normal 31 5 4 2" xfId="40144" xr:uid="{00000000-0005-0000-0000-0000157F0000}"/>
    <cellStyle name="Normal 31 5 5" xfId="29815" xr:uid="{00000000-0005-0000-0000-0000167F0000}"/>
    <cellStyle name="Normal 31 5 6" xfId="42513" xr:uid="{00000000-0005-0000-0000-0000177F0000}"/>
    <cellStyle name="Normal 31 5 7" xfId="45496" xr:uid="{00000000-0005-0000-0000-0000187F0000}"/>
    <cellStyle name="Normal 31 6" xfId="29816" xr:uid="{00000000-0005-0000-0000-0000197F0000}"/>
    <cellStyle name="Normal 31 6 2" xfId="29817" xr:uid="{00000000-0005-0000-0000-00001A7F0000}"/>
    <cellStyle name="Normal 31 6 2 2" xfId="40145" xr:uid="{00000000-0005-0000-0000-00001B7F0000}"/>
    <cellStyle name="Normal 31 6 3" xfId="29818" xr:uid="{00000000-0005-0000-0000-00001C7F0000}"/>
    <cellStyle name="Normal 31 7" xfId="29819" xr:uid="{00000000-0005-0000-0000-00001D7F0000}"/>
    <cellStyle name="Normal 31 7 2" xfId="29820" xr:uid="{00000000-0005-0000-0000-00001E7F0000}"/>
    <cellStyle name="Normal 31 7 2 2" xfId="40146" xr:uid="{00000000-0005-0000-0000-00001F7F0000}"/>
    <cellStyle name="Normal 31 7 3" xfId="29821" xr:uid="{00000000-0005-0000-0000-0000207F0000}"/>
    <cellStyle name="Normal 31 8" xfId="29822" xr:uid="{00000000-0005-0000-0000-0000217F0000}"/>
    <cellStyle name="Normal 31 8 2" xfId="40147" xr:uid="{00000000-0005-0000-0000-0000227F0000}"/>
    <cellStyle name="Normal 31 9" xfId="29823" xr:uid="{00000000-0005-0000-0000-0000237F0000}"/>
    <cellStyle name="Normal 32" xfId="451" xr:uid="{00000000-0005-0000-0000-0000247F0000}"/>
    <cellStyle name="Normal 32 10" xfId="40148" xr:uid="{00000000-0005-0000-0000-0000257F0000}"/>
    <cellStyle name="Normal 32 2" xfId="452" xr:uid="{00000000-0005-0000-0000-0000267F0000}"/>
    <cellStyle name="Normal 32 2 2" xfId="1621" xr:uid="{00000000-0005-0000-0000-0000277F0000}"/>
    <cellStyle name="Normal 32 2 2 2" xfId="1622" xr:uid="{00000000-0005-0000-0000-0000287F0000}"/>
    <cellStyle name="Normal 32 2 2 2 2" xfId="29824" xr:uid="{00000000-0005-0000-0000-0000297F0000}"/>
    <cellStyle name="Normal 32 2 2 2 2 2" xfId="29825" xr:uid="{00000000-0005-0000-0000-00002A7F0000}"/>
    <cellStyle name="Normal 32 2 2 2 2 2 2" xfId="29826" xr:uid="{00000000-0005-0000-0000-00002B7F0000}"/>
    <cellStyle name="Normal 32 2 2 2 2 2 2 2" xfId="40149" xr:uid="{00000000-0005-0000-0000-00002C7F0000}"/>
    <cellStyle name="Normal 32 2 2 2 2 2 3" xfId="29827" xr:uid="{00000000-0005-0000-0000-00002D7F0000}"/>
    <cellStyle name="Normal 32 2 2 2 2 3" xfId="29828" xr:uid="{00000000-0005-0000-0000-00002E7F0000}"/>
    <cellStyle name="Normal 32 2 2 2 2 3 2" xfId="29829" xr:uid="{00000000-0005-0000-0000-00002F7F0000}"/>
    <cellStyle name="Normal 32 2 2 2 2 3 2 2" xfId="40150" xr:uid="{00000000-0005-0000-0000-0000307F0000}"/>
    <cellStyle name="Normal 32 2 2 2 2 3 3" xfId="29830" xr:uid="{00000000-0005-0000-0000-0000317F0000}"/>
    <cellStyle name="Normal 32 2 2 2 2 4" xfId="29831" xr:uid="{00000000-0005-0000-0000-0000327F0000}"/>
    <cellStyle name="Normal 32 2 2 2 2 4 2" xfId="40151" xr:uid="{00000000-0005-0000-0000-0000337F0000}"/>
    <cellStyle name="Normal 32 2 2 2 2 5" xfId="29832" xr:uid="{00000000-0005-0000-0000-0000347F0000}"/>
    <cellStyle name="Normal 32 2 2 2 3" xfId="29833" xr:uid="{00000000-0005-0000-0000-0000357F0000}"/>
    <cellStyle name="Normal 32 2 2 2 3 2" xfId="29834" xr:uid="{00000000-0005-0000-0000-0000367F0000}"/>
    <cellStyle name="Normal 32 2 2 2 3 2 2" xfId="40152" xr:uid="{00000000-0005-0000-0000-0000377F0000}"/>
    <cellStyle name="Normal 32 2 2 2 3 3" xfId="29835" xr:uid="{00000000-0005-0000-0000-0000387F0000}"/>
    <cellStyle name="Normal 32 2 2 2 4" xfId="29836" xr:uid="{00000000-0005-0000-0000-0000397F0000}"/>
    <cellStyle name="Normal 32 2 2 2 4 2" xfId="29837" xr:uid="{00000000-0005-0000-0000-00003A7F0000}"/>
    <cellStyle name="Normal 32 2 2 2 4 2 2" xfId="40153" xr:uid="{00000000-0005-0000-0000-00003B7F0000}"/>
    <cellStyle name="Normal 32 2 2 2 4 3" xfId="29838" xr:uid="{00000000-0005-0000-0000-00003C7F0000}"/>
    <cellStyle name="Normal 32 2 2 2 5" xfId="29839" xr:uid="{00000000-0005-0000-0000-00003D7F0000}"/>
    <cellStyle name="Normal 32 2 2 2 5 2" xfId="40154" xr:uid="{00000000-0005-0000-0000-00003E7F0000}"/>
    <cellStyle name="Normal 32 2 2 2 6" xfId="29840" xr:uid="{00000000-0005-0000-0000-00003F7F0000}"/>
    <cellStyle name="Normal 32 2 2 2 7" xfId="45497" xr:uid="{00000000-0005-0000-0000-0000407F0000}"/>
    <cellStyle name="Normal 32 2 2 3" xfId="29841" xr:uid="{00000000-0005-0000-0000-0000417F0000}"/>
    <cellStyle name="Normal 32 2 2 3 2" xfId="29842" xr:uid="{00000000-0005-0000-0000-0000427F0000}"/>
    <cellStyle name="Normal 32 2 2 3 2 2" xfId="29843" xr:uid="{00000000-0005-0000-0000-0000437F0000}"/>
    <cellStyle name="Normal 32 2 2 3 2 2 2" xfId="40155" xr:uid="{00000000-0005-0000-0000-0000447F0000}"/>
    <cellStyle name="Normal 32 2 2 3 2 3" xfId="29844" xr:uid="{00000000-0005-0000-0000-0000457F0000}"/>
    <cellStyle name="Normal 32 2 2 3 3" xfId="29845" xr:uid="{00000000-0005-0000-0000-0000467F0000}"/>
    <cellStyle name="Normal 32 2 2 3 3 2" xfId="29846" xr:uid="{00000000-0005-0000-0000-0000477F0000}"/>
    <cellStyle name="Normal 32 2 2 3 3 2 2" xfId="40156" xr:uid="{00000000-0005-0000-0000-0000487F0000}"/>
    <cellStyle name="Normal 32 2 2 3 3 3" xfId="29847" xr:uid="{00000000-0005-0000-0000-0000497F0000}"/>
    <cellStyle name="Normal 32 2 2 3 4" xfId="29848" xr:uid="{00000000-0005-0000-0000-00004A7F0000}"/>
    <cellStyle name="Normal 32 2 2 3 4 2" xfId="40157" xr:uid="{00000000-0005-0000-0000-00004B7F0000}"/>
    <cellStyle name="Normal 32 2 2 3 5" xfId="29849" xr:uid="{00000000-0005-0000-0000-00004C7F0000}"/>
    <cellStyle name="Normal 32 2 2 4" xfId="29850" xr:uid="{00000000-0005-0000-0000-00004D7F0000}"/>
    <cellStyle name="Normal 32 2 2 4 2" xfId="29851" xr:uid="{00000000-0005-0000-0000-00004E7F0000}"/>
    <cellStyle name="Normal 32 2 2 4 2 2" xfId="40158" xr:uid="{00000000-0005-0000-0000-00004F7F0000}"/>
    <cellStyle name="Normal 32 2 2 4 3" xfId="29852" xr:uid="{00000000-0005-0000-0000-0000507F0000}"/>
    <cellStyle name="Normal 32 2 2 5" xfId="29853" xr:uid="{00000000-0005-0000-0000-0000517F0000}"/>
    <cellStyle name="Normal 32 2 2 5 2" xfId="29854" xr:uid="{00000000-0005-0000-0000-0000527F0000}"/>
    <cellStyle name="Normal 32 2 2 5 2 2" xfId="40159" xr:uid="{00000000-0005-0000-0000-0000537F0000}"/>
    <cellStyle name="Normal 32 2 2 5 3" xfId="29855" xr:uid="{00000000-0005-0000-0000-0000547F0000}"/>
    <cellStyle name="Normal 32 2 2 6" xfId="29856" xr:uid="{00000000-0005-0000-0000-0000557F0000}"/>
    <cellStyle name="Normal 32 2 2 6 2" xfId="40160" xr:uid="{00000000-0005-0000-0000-0000567F0000}"/>
    <cellStyle name="Normal 32 2 2 7" xfId="29857" xr:uid="{00000000-0005-0000-0000-0000577F0000}"/>
    <cellStyle name="Normal 32 2 2 8" xfId="45498" xr:uid="{00000000-0005-0000-0000-0000587F0000}"/>
    <cellStyle name="Normal 32 2 3" xfId="1623" xr:uid="{00000000-0005-0000-0000-0000597F0000}"/>
    <cellStyle name="Normal 32 2 3 2" xfId="29858" xr:uid="{00000000-0005-0000-0000-00005A7F0000}"/>
    <cellStyle name="Normal 32 2 3 2 2" xfId="29859" xr:uid="{00000000-0005-0000-0000-00005B7F0000}"/>
    <cellStyle name="Normal 32 2 3 2 2 2" xfId="29860" xr:uid="{00000000-0005-0000-0000-00005C7F0000}"/>
    <cellStyle name="Normal 32 2 3 2 2 2 2" xfId="40161" xr:uid="{00000000-0005-0000-0000-00005D7F0000}"/>
    <cellStyle name="Normal 32 2 3 2 2 3" xfId="29861" xr:uid="{00000000-0005-0000-0000-00005E7F0000}"/>
    <cellStyle name="Normal 32 2 3 2 3" xfId="29862" xr:uid="{00000000-0005-0000-0000-00005F7F0000}"/>
    <cellStyle name="Normal 32 2 3 2 3 2" xfId="29863" xr:uid="{00000000-0005-0000-0000-0000607F0000}"/>
    <cellStyle name="Normal 32 2 3 2 3 2 2" xfId="40162" xr:uid="{00000000-0005-0000-0000-0000617F0000}"/>
    <cellStyle name="Normal 32 2 3 2 3 3" xfId="29864" xr:uid="{00000000-0005-0000-0000-0000627F0000}"/>
    <cellStyle name="Normal 32 2 3 2 4" xfId="29865" xr:uid="{00000000-0005-0000-0000-0000637F0000}"/>
    <cellStyle name="Normal 32 2 3 2 4 2" xfId="40163" xr:uid="{00000000-0005-0000-0000-0000647F0000}"/>
    <cellStyle name="Normal 32 2 3 2 5" xfId="29866" xr:uid="{00000000-0005-0000-0000-0000657F0000}"/>
    <cellStyle name="Normal 32 2 3 3" xfId="29867" xr:uid="{00000000-0005-0000-0000-0000667F0000}"/>
    <cellStyle name="Normal 32 2 3 3 2" xfId="29868" xr:uid="{00000000-0005-0000-0000-0000677F0000}"/>
    <cellStyle name="Normal 32 2 3 3 2 2" xfId="40164" xr:uid="{00000000-0005-0000-0000-0000687F0000}"/>
    <cellStyle name="Normal 32 2 3 3 3" xfId="29869" xr:uid="{00000000-0005-0000-0000-0000697F0000}"/>
    <cellStyle name="Normal 32 2 3 4" xfId="29870" xr:uid="{00000000-0005-0000-0000-00006A7F0000}"/>
    <cellStyle name="Normal 32 2 3 4 2" xfId="29871" xr:uid="{00000000-0005-0000-0000-00006B7F0000}"/>
    <cellStyle name="Normal 32 2 3 4 2 2" xfId="40165" xr:uid="{00000000-0005-0000-0000-00006C7F0000}"/>
    <cellStyle name="Normal 32 2 3 4 3" xfId="29872" xr:uid="{00000000-0005-0000-0000-00006D7F0000}"/>
    <cellStyle name="Normal 32 2 3 5" xfId="29873" xr:uid="{00000000-0005-0000-0000-00006E7F0000}"/>
    <cellStyle name="Normal 32 2 3 5 2" xfId="40166" xr:uid="{00000000-0005-0000-0000-00006F7F0000}"/>
    <cellStyle name="Normal 32 2 3 6" xfId="29874" xr:uid="{00000000-0005-0000-0000-0000707F0000}"/>
    <cellStyle name="Normal 32 2 3 7" xfId="45499" xr:uid="{00000000-0005-0000-0000-0000717F0000}"/>
    <cellStyle name="Normal 32 2 4" xfId="29875" xr:uid="{00000000-0005-0000-0000-0000727F0000}"/>
    <cellStyle name="Normal 32 2 4 2" xfId="29876" xr:uid="{00000000-0005-0000-0000-0000737F0000}"/>
    <cellStyle name="Normal 32 2 4 2 2" xfId="29877" xr:uid="{00000000-0005-0000-0000-0000747F0000}"/>
    <cellStyle name="Normal 32 2 4 2 2 2" xfId="40167" xr:uid="{00000000-0005-0000-0000-0000757F0000}"/>
    <cellStyle name="Normal 32 2 4 2 3" xfId="29878" xr:uid="{00000000-0005-0000-0000-0000767F0000}"/>
    <cellStyle name="Normal 32 2 4 3" xfId="29879" xr:uid="{00000000-0005-0000-0000-0000777F0000}"/>
    <cellStyle name="Normal 32 2 4 3 2" xfId="29880" xr:uid="{00000000-0005-0000-0000-0000787F0000}"/>
    <cellStyle name="Normal 32 2 4 3 2 2" xfId="40168" xr:uid="{00000000-0005-0000-0000-0000797F0000}"/>
    <cellStyle name="Normal 32 2 4 3 3" xfId="29881" xr:uid="{00000000-0005-0000-0000-00007A7F0000}"/>
    <cellStyle name="Normal 32 2 4 4" xfId="29882" xr:uid="{00000000-0005-0000-0000-00007B7F0000}"/>
    <cellStyle name="Normal 32 2 4 4 2" xfId="40169" xr:uid="{00000000-0005-0000-0000-00007C7F0000}"/>
    <cellStyle name="Normal 32 2 4 5" xfId="29883" xr:uid="{00000000-0005-0000-0000-00007D7F0000}"/>
    <cellStyle name="Normal 32 2 5" xfId="29884" xr:uid="{00000000-0005-0000-0000-00007E7F0000}"/>
    <cellStyle name="Normal 32 2 5 2" xfId="29885" xr:uid="{00000000-0005-0000-0000-00007F7F0000}"/>
    <cellStyle name="Normal 32 2 5 2 2" xfId="40170" xr:uid="{00000000-0005-0000-0000-0000807F0000}"/>
    <cellStyle name="Normal 32 2 5 3" xfId="29886" xr:uid="{00000000-0005-0000-0000-0000817F0000}"/>
    <cellStyle name="Normal 32 2 6" xfId="29887" xr:uid="{00000000-0005-0000-0000-0000827F0000}"/>
    <cellStyle name="Normal 32 2 6 2" xfId="29888" xr:uid="{00000000-0005-0000-0000-0000837F0000}"/>
    <cellStyle name="Normal 32 2 6 2 2" xfId="40171" xr:uid="{00000000-0005-0000-0000-0000847F0000}"/>
    <cellStyle name="Normal 32 2 6 3" xfId="29889" xr:uid="{00000000-0005-0000-0000-0000857F0000}"/>
    <cellStyle name="Normal 32 2 7" xfId="29890" xr:uid="{00000000-0005-0000-0000-0000867F0000}"/>
    <cellStyle name="Normal 32 2 7 2" xfId="40172" xr:uid="{00000000-0005-0000-0000-0000877F0000}"/>
    <cellStyle name="Normal 32 2 8" xfId="29891" xr:uid="{00000000-0005-0000-0000-0000887F0000}"/>
    <cellStyle name="Normal 32 2 9" xfId="45500" xr:uid="{00000000-0005-0000-0000-0000897F0000}"/>
    <cellStyle name="Normal 32 3" xfId="1624" xr:uid="{00000000-0005-0000-0000-00008A7F0000}"/>
    <cellStyle name="Normal 32 3 2" xfId="1625" xr:uid="{00000000-0005-0000-0000-00008B7F0000}"/>
    <cellStyle name="Normal 32 3 2 2" xfId="29892" xr:uid="{00000000-0005-0000-0000-00008C7F0000}"/>
    <cellStyle name="Normal 32 3 2 2 2" xfId="29893" xr:uid="{00000000-0005-0000-0000-00008D7F0000}"/>
    <cellStyle name="Normal 32 3 2 2 2 2" xfId="29894" xr:uid="{00000000-0005-0000-0000-00008E7F0000}"/>
    <cellStyle name="Normal 32 3 2 2 2 2 2" xfId="40173" xr:uid="{00000000-0005-0000-0000-00008F7F0000}"/>
    <cellStyle name="Normal 32 3 2 2 2 3" xfId="29895" xr:uid="{00000000-0005-0000-0000-0000907F0000}"/>
    <cellStyle name="Normal 32 3 2 2 3" xfId="29896" xr:uid="{00000000-0005-0000-0000-0000917F0000}"/>
    <cellStyle name="Normal 32 3 2 2 3 2" xfId="29897" xr:uid="{00000000-0005-0000-0000-0000927F0000}"/>
    <cellStyle name="Normal 32 3 2 2 3 2 2" xfId="40174" xr:uid="{00000000-0005-0000-0000-0000937F0000}"/>
    <cellStyle name="Normal 32 3 2 2 3 3" xfId="29898" xr:uid="{00000000-0005-0000-0000-0000947F0000}"/>
    <cellStyle name="Normal 32 3 2 2 4" xfId="29899" xr:uid="{00000000-0005-0000-0000-0000957F0000}"/>
    <cellStyle name="Normal 32 3 2 2 4 2" xfId="40175" xr:uid="{00000000-0005-0000-0000-0000967F0000}"/>
    <cellStyle name="Normal 32 3 2 2 5" xfId="29900" xr:uid="{00000000-0005-0000-0000-0000977F0000}"/>
    <cellStyle name="Normal 32 3 2 3" xfId="29901" xr:uid="{00000000-0005-0000-0000-0000987F0000}"/>
    <cellStyle name="Normal 32 3 2 3 2" xfId="29902" xr:uid="{00000000-0005-0000-0000-0000997F0000}"/>
    <cellStyle name="Normal 32 3 2 3 2 2" xfId="40176" xr:uid="{00000000-0005-0000-0000-00009A7F0000}"/>
    <cellStyle name="Normal 32 3 2 3 3" xfId="29903" xr:uid="{00000000-0005-0000-0000-00009B7F0000}"/>
    <cellStyle name="Normal 32 3 2 4" xfId="29904" xr:uid="{00000000-0005-0000-0000-00009C7F0000}"/>
    <cellStyle name="Normal 32 3 2 4 2" xfId="29905" xr:uid="{00000000-0005-0000-0000-00009D7F0000}"/>
    <cellStyle name="Normal 32 3 2 4 2 2" xfId="40177" xr:uid="{00000000-0005-0000-0000-00009E7F0000}"/>
    <cellStyle name="Normal 32 3 2 4 3" xfId="29906" xr:uid="{00000000-0005-0000-0000-00009F7F0000}"/>
    <cellStyle name="Normal 32 3 2 5" xfId="29907" xr:uid="{00000000-0005-0000-0000-0000A07F0000}"/>
    <cellStyle name="Normal 32 3 2 5 2" xfId="40178" xr:uid="{00000000-0005-0000-0000-0000A17F0000}"/>
    <cellStyle name="Normal 32 3 2 6" xfId="29908" xr:uid="{00000000-0005-0000-0000-0000A27F0000}"/>
    <cellStyle name="Normal 32 3 3" xfId="29909" xr:uid="{00000000-0005-0000-0000-0000A37F0000}"/>
    <cellStyle name="Normal 32 3 3 2" xfId="29910" xr:uid="{00000000-0005-0000-0000-0000A47F0000}"/>
    <cellStyle name="Normal 32 3 3 2 2" xfId="29911" xr:uid="{00000000-0005-0000-0000-0000A57F0000}"/>
    <cellStyle name="Normal 32 3 3 2 2 2" xfId="40179" xr:uid="{00000000-0005-0000-0000-0000A67F0000}"/>
    <cellStyle name="Normal 32 3 3 2 3" xfId="29912" xr:uid="{00000000-0005-0000-0000-0000A77F0000}"/>
    <cellStyle name="Normal 32 3 3 3" xfId="29913" xr:uid="{00000000-0005-0000-0000-0000A87F0000}"/>
    <cellStyle name="Normal 32 3 3 3 2" xfId="29914" xr:uid="{00000000-0005-0000-0000-0000A97F0000}"/>
    <cellStyle name="Normal 32 3 3 3 2 2" xfId="40180" xr:uid="{00000000-0005-0000-0000-0000AA7F0000}"/>
    <cellStyle name="Normal 32 3 3 3 3" xfId="29915" xr:uid="{00000000-0005-0000-0000-0000AB7F0000}"/>
    <cellStyle name="Normal 32 3 3 4" xfId="29916" xr:uid="{00000000-0005-0000-0000-0000AC7F0000}"/>
    <cellStyle name="Normal 32 3 3 4 2" xfId="40181" xr:uid="{00000000-0005-0000-0000-0000AD7F0000}"/>
    <cellStyle name="Normal 32 3 3 5" xfId="29917" xr:uid="{00000000-0005-0000-0000-0000AE7F0000}"/>
    <cellStyle name="Normal 32 3 4" xfId="29918" xr:uid="{00000000-0005-0000-0000-0000AF7F0000}"/>
    <cellStyle name="Normal 32 3 4 2" xfId="29919" xr:uid="{00000000-0005-0000-0000-0000B07F0000}"/>
    <cellStyle name="Normal 32 3 4 2 2" xfId="40182" xr:uid="{00000000-0005-0000-0000-0000B17F0000}"/>
    <cellStyle name="Normal 32 3 4 3" xfId="29920" xr:uid="{00000000-0005-0000-0000-0000B27F0000}"/>
    <cellStyle name="Normal 32 3 5" xfId="29921" xr:uid="{00000000-0005-0000-0000-0000B37F0000}"/>
    <cellStyle name="Normal 32 3 5 2" xfId="29922" xr:uid="{00000000-0005-0000-0000-0000B47F0000}"/>
    <cellStyle name="Normal 32 3 5 2 2" xfId="40183" xr:uid="{00000000-0005-0000-0000-0000B57F0000}"/>
    <cellStyle name="Normal 32 3 5 3" xfId="29923" xr:uid="{00000000-0005-0000-0000-0000B67F0000}"/>
    <cellStyle name="Normal 32 3 6" xfId="29924" xr:uid="{00000000-0005-0000-0000-0000B77F0000}"/>
    <cellStyle name="Normal 32 3 6 2" xfId="40184" xr:uid="{00000000-0005-0000-0000-0000B87F0000}"/>
    <cellStyle name="Normal 32 3 7" xfId="29925" xr:uid="{00000000-0005-0000-0000-0000B97F0000}"/>
    <cellStyle name="Normal 32 3 8" xfId="29926" xr:uid="{00000000-0005-0000-0000-0000BA7F0000}"/>
    <cellStyle name="Normal 32 3 9" xfId="46247" xr:uid="{00000000-0005-0000-0000-0000BB7F0000}"/>
    <cellStyle name="Normal 32 4" xfId="1626" xr:uid="{00000000-0005-0000-0000-0000BC7F0000}"/>
    <cellStyle name="Normal 32 4 2" xfId="1627" xr:uid="{00000000-0005-0000-0000-0000BD7F0000}"/>
    <cellStyle name="Normal 32 4 2 2" xfId="29927" xr:uid="{00000000-0005-0000-0000-0000BE7F0000}"/>
    <cellStyle name="Normal 32 4 2 2 2" xfId="29928" xr:uid="{00000000-0005-0000-0000-0000BF7F0000}"/>
    <cellStyle name="Normal 32 4 2 2 2 2" xfId="40185" xr:uid="{00000000-0005-0000-0000-0000C07F0000}"/>
    <cellStyle name="Normal 32 4 2 2 3" xfId="29929" xr:uid="{00000000-0005-0000-0000-0000C17F0000}"/>
    <cellStyle name="Normal 32 4 2 3" xfId="29930" xr:uid="{00000000-0005-0000-0000-0000C27F0000}"/>
    <cellStyle name="Normal 32 4 2 3 2" xfId="29931" xr:uid="{00000000-0005-0000-0000-0000C37F0000}"/>
    <cellStyle name="Normal 32 4 2 3 2 2" xfId="40186" xr:uid="{00000000-0005-0000-0000-0000C47F0000}"/>
    <cellStyle name="Normal 32 4 2 3 3" xfId="29932" xr:uid="{00000000-0005-0000-0000-0000C57F0000}"/>
    <cellStyle name="Normal 32 4 2 4" xfId="29933" xr:uid="{00000000-0005-0000-0000-0000C67F0000}"/>
    <cellStyle name="Normal 32 4 2 4 2" xfId="40187" xr:uid="{00000000-0005-0000-0000-0000C77F0000}"/>
    <cellStyle name="Normal 32 4 2 5" xfId="29934" xr:uid="{00000000-0005-0000-0000-0000C87F0000}"/>
    <cellStyle name="Normal 32 4 3" xfId="29935" xr:uid="{00000000-0005-0000-0000-0000C97F0000}"/>
    <cellStyle name="Normal 32 4 3 2" xfId="29936" xr:uid="{00000000-0005-0000-0000-0000CA7F0000}"/>
    <cellStyle name="Normal 32 4 3 2 2" xfId="40188" xr:uid="{00000000-0005-0000-0000-0000CB7F0000}"/>
    <cellStyle name="Normal 32 4 3 3" xfId="29937" xr:uid="{00000000-0005-0000-0000-0000CC7F0000}"/>
    <cellStyle name="Normal 32 4 4" xfId="29938" xr:uid="{00000000-0005-0000-0000-0000CD7F0000}"/>
    <cellStyle name="Normal 32 4 4 2" xfId="29939" xr:uid="{00000000-0005-0000-0000-0000CE7F0000}"/>
    <cellStyle name="Normal 32 4 4 2 2" xfId="40189" xr:uid="{00000000-0005-0000-0000-0000CF7F0000}"/>
    <cellStyle name="Normal 32 4 4 3" xfId="29940" xr:uid="{00000000-0005-0000-0000-0000D07F0000}"/>
    <cellStyle name="Normal 32 4 5" xfId="29941" xr:uid="{00000000-0005-0000-0000-0000D17F0000}"/>
    <cellStyle name="Normal 32 4 5 2" xfId="40190" xr:uid="{00000000-0005-0000-0000-0000D27F0000}"/>
    <cellStyle name="Normal 32 4 6" xfId="29942" xr:uid="{00000000-0005-0000-0000-0000D37F0000}"/>
    <cellStyle name="Normal 32 4 7" xfId="29943" xr:uid="{00000000-0005-0000-0000-0000D47F0000}"/>
    <cellStyle name="Normal 32 4 8" xfId="46248" xr:uid="{00000000-0005-0000-0000-0000D57F0000}"/>
    <cellStyle name="Normal 32 5" xfId="29944" xr:uid="{00000000-0005-0000-0000-0000D67F0000}"/>
    <cellStyle name="Normal 32 5 2" xfId="29945" xr:uid="{00000000-0005-0000-0000-0000D77F0000}"/>
    <cellStyle name="Normal 32 5 2 2" xfId="29946" xr:uid="{00000000-0005-0000-0000-0000D87F0000}"/>
    <cellStyle name="Normal 32 5 2 2 2" xfId="40191" xr:uid="{00000000-0005-0000-0000-0000D97F0000}"/>
    <cellStyle name="Normal 32 5 2 3" xfId="29947" xr:uid="{00000000-0005-0000-0000-0000DA7F0000}"/>
    <cellStyle name="Normal 32 5 3" xfId="29948" xr:uid="{00000000-0005-0000-0000-0000DB7F0000}"/>
    <cellStyle name="Normal 32 5 3 2" xfId="29949" xr:uid="{00000000-0005-0000-0000-0000DC7F0000}"/>
    <cellStyle name="Normal 32 5 3 2 2" xfId="40192" xr:uid="{00000000-0005-0000-0000-0000DD7F0000}"/>
    <cellStyle name="Normal 32 5 3 3" xfId="29950" xr:uid="{00000000-0005-0000-0000-0000DE7F0000}"/>
    <cellStyle name="Normal 32 5 4" xfId="29951" xr:uid="{00000000-0005-0000-0000-0000DF7F0000}"/>
    <cellStyle name="Normal 32 5 4 2" xfId="40193" xr:uid="{00000000-0005-0000-0000-0000E07F0000}"/>
    <cellStyle name="Normal 32 5 5" xfId="29952" xr:uid="{00000000-0005-0000-0000-0000E17F0000}"/>
    <cellStyle name="Normal 32 5 6" xfId="42514" xr:uid="{00000000-0005-0000-0000-0000E27F0000}"/>
    <cellStyle name="Normal 32 5 7" xfId="45501" xr:uid="{00000000-0005-0000-0000-0000E37F0000}"/>
    <cellStyle name="Normal 32 6" xfId="29953" xr:uid="{00000000-0005-0000-0000-0000E47F0000}"/>
    <cellStyle name="Normal 32 6 2" xfId="29954" xr:uid="{00000000-0005-0000-0000-0000E57F0000}"/>
    <cellStyle name="Normal 32 6 2 2" xfId="40194" xr:uid="{00000000-0005-0000-0000-0000E67F0000}"/>
    <cellStyle name="Normal 32 6 3" xfId="29955" xr:uid="{00000000-0005-0000-0000-0000E77F0000}"/>
    <cellStyle name="Normal 32 7" xfId="29956" xr:uid="{00000000-0005-0000-0000-0000E87F0000}"/>
    <cellStyle name="Normal 32 7 2" xfId="29957" xr:uid="{00000000-0005-0000-0000-0000E97F0000}"/>
    <cellStyle name="Normal 32 7 2 2" xfId="40195" xr:uid="{00000000-0005-0000-0000-0000EA7F0000}"/>
    <cellStyle name="Normal 32 7 3" xfId="29958" xr:uid="{00000000-0005-0000-0000-0000EB7F0000}"/>
    <cellStyle name="Normal 32 8" xfId="29959" xr:uid="{00000000-0005-0000-0000-0000EC7F0000}"/>
    <cellStyle name="Normal 32 8 2" xfId="40196" xr:uid="{00000000-0005-0000-0000-0000ED7F0000}"/>
    <cellStyle name="Normal 32 9" xfId="29960" xr:uid="{00000000-0005-0000-0000-0000EE7F0000}"/>
    <cellStyle name="Normal 33" xfId="453" xr:uid="{00000000-0005-0000-0000-0000EF7F0000}"/>
    <cellStyle name="Normal 33 2" xfId="1628" xr:uid="{00000000-0005-0000-0000-0000F07F0000}"/>
    <cellStyle name="Normal 33 2 2" xfId="29961" xr:uid="{00000000-0005-0000-0000-0000F17F0000}"/>
    <cellStyle name="Normal 33 3" xfId="1629" xr:uid="{00000000-0005-0000-0000-0000F27F0000}"/>
    <cellStyle name="Normal 33 3 2" xfId="40197" xr:uid="{00000000-0005-0000-0000-0000F37F0000}"/>
    <cellStyle name="Normal 33 4" xfId="29962" xr:uid="{00000000-0005-0000-0000-0000F47F0000}"/>
    <cellStyle name="Normal 33 5" xfId="40198" xr:uid="{00000000-0005-0000-0000-0000F57F0000}"/>
    <cellStyle name="Normal 33 6" xfId="40199" xr:uid="{00000000-0005-0000-0000-0000F67F0000}"/>
    <cellStyle name="Normal 34" xfId="454" xr:uid="{00000000-0005-0000-0000-0000F77F0000}"/>
    <cellStyle name="Normal 34 2" xfId="1630" xr:uid="{00000000-0005-0000-0000-0000F87F0000}"/>
    <cellStyle name="Normal 34 2 2" xfId="29963" xr:uid="{00000000-0005-0000-0000-0000F97F0000}"/>
    <cellStyle name="Normal 34 3" xfId="1631" xr:uid="{00000000-0005-0000-0000-0000FA7F0000}"/>
    <cellStyle name="Normal 34 3 2" xfId="40200" xr:uid="{00000000-0005-0000-0000-0000FB7F0000}"/>
    <cellStyle name="Normal 34 4" xfId="40201" xr:uid="{00000000-0005-0000-0000-0000FC7F0000}"/>
    <cellStyle name="Normal 34 4 2" xfId="42515" xr:uid="{00000000-0005-0000-0000-0000FD7F0000}"/>
    <cellStyle name="Normal 34 4 3" xfId="45502" xr:uid="{00000000-0005-0000-0000-0000FE7F0000}"/>
    <cellStyle name="Normal 34 5" xfId="40202" xr:uid="{00000000-0005-0000-0000-0000FF7F0000}"/>
    <cellStyle name="Normal 34 6" xfId="40203" xr:uid="{00000000-0005-0000-0000-000000800000}"/>
    <cellStyle name="Normal 35" xfId="455" xr:uid="{00000000-0005-0000-0000-000001800000}"/>
    <cellStyle name="Normal 35 2" xfId="1632" xr:uid="{00000000-0005-0000-0000-000002800000}"/>
    <cellStyle name="Normal 35 2 2" xfId="1633" xr:uid="{00000000-0005-0000-0000-000003800000}"/>
    <cellStyle name="Normal 35 2 2 2" xfId="29964" xr:uid="{00000000-0005-0000-0000-000004800000}"/>
    <cellStyle name="Normal 35 2 2 2 2" xfId="29965" xr:uid="{00000000-0005-0000-0000-000005800000}"/>
    <cellStyle name="Normal 35 2 2 2 2 2" xfId="29966" xr:uid="{00000000-0005-0000-0000-000006800000}"/>
    <cellStyle name="Normal 35 2 2 2 2 2 2" xfId="40204" xr:uid="{00000000-0005-0000-0000-000007800000}"/>
    <cellStyle name="Normal 35 2 2 2 2 3" xfId="29967" xr:uid="{00000000-0005-0000-0000-000008800000}"/>
    <cellStyle name="Normal 35 2 2 2 3" xfId="29968" xr:uid="{00000000-0005-0000-0000-000009800000}"/>
    <cellStyle name="Normal 35 2 2 2 3 2" xfId="29969" xr:uid="{00000000-0005-0000-0000-00000A800000}"/>
    <cellStyle name="Normal 35 2 2 2 3 2 2" xfId="40205" xr:uid="{00000000-0005-0000-0000-00000B800000}"/>
    <cellStyle name="Normal 35 2 2 2 3 3" xfId="29970" xr:uid="{00000000-0005-0000-0000-00000C800000}"/>
    <cellStyle name="Normal 35 2 2 2 4" xfId="29971" xr:uid="{00000000-0005-0000-0000-00000D800000}"/>
    <cellStyle name="Normal 35 2 2 2 4 2" xfId="40206" xr:uid="{00000000-0005-0000-0000-00000E800000}"/>
    <cellStyle name="Normal 35 2 2 2 5" xfId="29972" xr:uid="{00000000-0005-0000-0000-00000F800000}"/>
    <cellStyle name="Normal 35 2 2 3" xfId="29973" xr:uid="{00000000-0005-0000-0000-000010800000}"/>
    <cellStyle name="Normal 35 2 2 3 2" xfId="29974" xr:uid="{00000000-0005-0000-0000-000011800000}"/>
    <cellStyle name="Normal 35 2 2 3 2 2" xfId="40207" xr:uid="{00000000-0005-0000-0000-000012800000}"/>
    <cellStyle name="Normal 35 2 2 3 3" xfId="29975" xr:uid="{00000000-0005-0000-0000-000013800000}"/>
    <cellStyle name="Normal 35 2 2 4" xfId="29976" xr:uid="{00000000-0005-0000-0000-000014800000}"/>
    <cellStyle name="Normal 35 2 2 4 2" xfId="29977" xr:uid="{00000000-0005-0000-0000-000015800000}"/>
    <cellStyle name="Normal 35 2 2 4 2 2" xfId="40208" xr:uid="{00000000-0005-0000-0000-000016800000}"/>
    <cellStyle name="Normal 35 2 2 4 3" xfId="29978" xr:uid="{00000000-0005-0000-0000-000017800000}"/>
    <cellStyle name="Normal 35 2 2 5" xfId="29979" xr:uid="{00000000-0005-0000-0000-000018800000}"/>
    <cellStyle name="Normal 35 2 2 5 2" xfId="40209" xr:uid="{00000000-0005-0000-0000-000019800000}"/>
    <cellStyle name="Normal 35 2 2 6" xfId="29980" xr:uid="{00000000-0005-0000-0000-00001A800000}"/>
    <cellStyle name="Normal 35 2 3" xfId="29981" xr:uid="{00000000-0005-0000-0000-00001B800000}"/>
    <cellStyle name="Normal 35 2 3 2" xfId="29982" xr:uid="{00000000-0005-0000-0000-00001C800000}"/>
    <cellStyle name="Normal 35 2 3 2 2" xfId="29983" xr:uid="{00000000-0005-0000-0000-00001D800000}"/>
    <cellStyle name="Normal 35 2 3 2 2 2" xfId="40210" xr:uid="{00000000-0005-0000-0000-00001E800000}"/>
    <cellStyle name="Normal 35 2 3 2 3" xfId="29984" xr:uid="{00000000-0005-0000-0000-00001F800000}"/>
    <cellStyle name="Normal 35 2 3 3" xfId="29985" xr:uid="{00000000-0005-0000-0000-000020800000}"/>
    <cellStyle name="Normal 35 2 3 3 2" xfId="29986" xr:uid="{00000000-0005-0000-0000-000021800000}"/>
    <cellStyle name="Normal 35 2 3 3 2 2" xfId="40211" xr:uid="{00000000-0005-0000-0000-000022800000}"/>
    <cellStyle name="Normal 35 2 3 3 3" xfId="29987" xr:uid="{00000000-0005-0000-0000-000023800000}"/>
    <cellStyle name="Normal 35 2 3 4" xfId="29988" xr:uid="{00000000-0005-0000-0000-000024800000}"/>
    <cellStyle name="Normal 35 2 3 4 2" xfId="40212" xr:uid="{00000000-0005-0000-0000-000025800000}"/>
    <cellStyle name="Normal 35 2 3 5" xfId="29989" xr:uid="{00000000-0005-0000-0000-000026800000}"/>
    <cellStyle name="Normal 35 2 3 6" xfId="29990" xr:uid="{00000000-0005-0000-0000-000027800000}"/>
    <cellStyle name="Normal 35 2 3 7" xfId="44596" xr:uid="{00000000-0005-0000-0000-000028800000}"/>
    <cellStyle name="Normal 35 2 3 8" xfId="45503" xr:uid="{00000000-0005-0000-0000-000029800000}"/>
    <cellStyle name="Normal 35 2 4" xfId="29991" xr:uid="{00000000-0005-0000-0000-00002A800000}"/>
    <cellStyle name="Normal 35 2 4 2" xfId="29992" xr:uid="{00000000-0005-0000-0000-00002B800000}"/>
    <cellStyle name="Normal 35 2 4 2 2" xfId="40213" xr:uid="{00000000-0005-0000-0000-00002C800000}"/>
    <cellStyle name="Normal 35 2 4 3" xfId="29993" xr:uid="{00000000-0005-0000-0000-00002D800000}"/>
    <cellStyle name="Normal 35 2 5" xfId="29994" xr:uid="{00000000-0005-0000-0000-00002E800000}"/>
    <cellStyle name="Normal 35 2 5 2" xfId="29995" xr:uid="{00000000-0005-0000-0000-00002F800000}"/>
    <cellStyle name="Normal 35 2 5 2 2" xfId="40214" xr:uid="{00000000-0005-0000-0000-000030800000}"/>
    <cellStyle name="Normal 35 2 5 3" xfId="29996" xr:uid="{00000000-0005-0000-0000-000031800000}"/>
    <cellStyle name="Normal 35 2 6" xfId="29997" xr:uid="{00000000-0005-0000-0000-000032800000}"/>
    <cellStyle name="Normal 35 2 6 2" xfId="40215" xr:uid="{00000000-0005-0000-0000-000033800000}"/>
    <cellStyle name="Normal 35 2 7" xfId="29998" xr:uid="{00000000-0005-0000-0000-000034800000}"/>
    <cellStyle name="Normal 35 2 8" xfId="29999" xr:uid="{00000000-0005-0000-0000-000035800000}"/>
    <cellStyle name="Normal 35 2 9" xfId="46249" xr:uid="{00000000-0005-0000-0000-000036800000}"/>
    <cellStyle name="Normal 35 3" xfId="1634" xr:uid="{00000000-0005-0000-0000-000037800000}"/>
    <cellStyle name="Normal 35 3 2" xfId="1635" xr:uid="{00000000-0005-0000-0000-000038800000}"/>
    <cellStyle name="Normal 35 3 2 2" xfId="30000" xr:uid="{00000000-0005-0000-0000-000039800000}"/>
    <cellStyle name="Normal 35 3 2 2 2" xfId="30001" xr:uid="{00000000-0005-0000-0000-00003A800000}"/>
    <cellStyle name="Normal 35 3 2 2 2 2" xfId="40216" xr:uid="{00000000-0005-0000-0000-00003B800000}"/>
    <cellStyle name="Normal 35 3 2 2 3" xfId="30002" xr:uid="{00000000-0005-0000-0000-00003C800000}"/>
    <cellStyle name="Normal 35 3 2 3" xfId="30003" xr:uid="{00000000-0005-0000-0000-00003D800000}"/>
    <cellStyle name="Normal 35 3 2 3 2" xfId="30004" xr:uid="{00000000-0005-0000-0000-00003E800000}"/>
    <cellStyle name="Normal 35 3 2 3 2 2" xfId="40217" xr:uid="{00000000-0005-0000-0000-00003F800000}"/>
    <cellStyle name="Normal 35 3 2 3 3" xfId="30005" xr:uid="{00000000-0005-0000-0000-000040800000}"/>
    <cellStyle name="Normal 35 3 2 4" xfId="30006" xr:uid="{00000000-0005-0000-0000-000041800000}"/>
    <cellStyle name="Normal 35 3 2 4 2" xfId="40218" xr:uid="{00000000-0005-0000-0000-000042800000}"/>
    <cellStyle name="Normal 35 3 2 5" xfId="30007" xr:uid="{00000000-0005-0000-0000-000043800000}"/>
    <cellStyle name="Normal 35 3 3" xfId="30008" xr:uid="{00000000-0005-0000-0000-000044800000}"/>
    <cellStyle name="Normal 35 3 3 2" xfId="30009" xr:uid="{00000000-0005-0000-0000-000045800000}"/>
    <cellStyle name="Normal 35 3 3 2 2" xfId="40219" xr:uid="{00000000-0005-0000-0000-000046800000}"/>
    <cellStyle name="Normal 35 3 3 3" xfId="30010" xr:uid="{00000000-0005-0000-0000-000047800000}"/>
    <cellStyle name="Normal 35 3 4" xfId="30011" xr:uid="{00000000-0005-0000-0000-000048800000}"/>
    <cellStyle name="Normal 35 3 4 2" xfId="30012" xr:uid="{00000000-0005-0000-0000-000049800000}"/>
    <cellStyle name="Normal 35 3 4 2 2" xfId="40220" xr:uid="{00000000-0005-0000-0000-00004A800000}"/>
    <cellStyle name="Normal 35 3 4 3" xfId="30013" xr:uid="{00000000-0005-0000-0000-00004B800000}"/>
    <cellStyle name="Normal 35 3 5" xfId="30014" xr:uid="{00000000-0005-0000-0000-00004C800000}"/>
    <cellStyle name="Normal 35 3 5 2" xfId="40221" xr:uid="{00000000-0005-0000-0000-00004D800000}"/>
    <cellStyle name="Normal 35 3 6" xfId="30015" xr:uid="{00000000-0005-0000-0000-00004E800000}"/>
    <cellStyle name="Normal 35 3 7" xfId="30016" xr:uid="{00000000-0005-0000-0000-00004F800000}"/>
    <cellStyle name="Normal 35 3 8" xfId="46250" xr:uid="{00000000-0005-0000-0000-000050800000}"/>
    <cellStyle name="Normal 35 4" xfId="30017" xr:uid="{00000000-0005-0000-0000-000051800000}"/>
    <cellStyle name="Normal 35 4 2" xfId="30018" xr:uid="{00000000-0005-0000-0000-000052800000}"/>
    <cellStyle name="Normal 35 4 2 2" xfId="30019" xr:uid="{00000000-0005-0000-0000-000053800000}"/>
    <cellStyle name="Normal 35 4 2 2 2" xfId="40222" xr:uid="{00000000-0005-0000-0000-000054800000}"/>
    <cellStyle name="Normal 35 4 2 3" xfId="30020" xr:uid="{00000000-0005-0000-0000-000055800000}"/>
    <cellStyle name="Normal 35 4 3" xfId="30021" xr:uid="{00000000-0005-0000-0000-000056800000}"/>
    <cellStyle name="Normal 35 4 3 2" xfId="30022" xr:uid="{00000000-0005-0000-0000-000057800000}"/>
    <cellStyle name="Normal 35 4 3 2 2" xfId="40223" xr:uid="{00000000-0005-0000-0000-000058800000}"/>
    <cellStyle name="Normal 35 4 3 3" xfId="30023" xr:uid="{00000000-0005-0000-0000-000059800000}"/>
    <cellStyle name="Normal 35 4 4" xfId="30024" xr:uid="{00000000-0005-0000-0000-00005A800000}"/>
    <cellStyle name="Normal 35 4 4 2" xfId="40224" xr:uid="{00000000-0005-0000-0000-00005B800000}"/>
    <cellStyle name="Normal 35 4 5" xfId="30025" xr:uid="{00000000-0005-0000-0000-00005C800000}"/>
    <cellStyle name="Normal 35 4 6" xfId="42516" xr:uid="{00000000-0005-0000-0000-00005D800000}"/>
    <cellStyle name="Normal 35 4 7" xfId="45504" xr:uid="{00000000-0005-0000-0000-00005E800000}"/>
    <cellStyle name="Normal 35 5" xfId="30026" xr:uid="{00000000-0005-0000-0000-00005F800000}"/>
    <cellStyle name="Normal 35 5 2" xfId="30027" xr:uid="{00000000-0005-0000-0000-000060800000}"/>
    <cellStyle name="Normal 35 5 2 2" xfId="40225" xr:uid="{00000000-0005-0000-0000-000061800000}"/>
    <cellStyle name="Normal 35 5 3" xfId="30028" xr:uid="{00000000-0005-0000-0000-000062800000}"/>
    <cellStyle name="Normal 35 6" xfId="30029" xr:uid="{00000000-0005-0000-0000-000063800000}"/>
    <cellStyle name="Normal 35 6 2" xfId="30030" xr:uid="{00000000-0005-0000-0000-000064800000}"/>
    <cellStyle name="Normal 35 6 2 2" xfId="40226" xr:uid="{00000000-0005-0000-0000-000065800000}"/>
    <cellStyle name="Normal 35 6 3" xfId="30031" xr:uid="{00000000-0005-0000-0000-000066800000}"/>
    <cellStyle name="Normal 35 7" xfId="30032" xr:uid="{00000000-0005-0000-0000-000067800000}"/>
    <cellStyle name="Normal 35 7 2" xfId="40227" xr:uid="{00000000-0005-0000-0000-000068800000}"/>
    <cellStyle name="Normal 35 8" xfId="30033" xr:uid="{00000000-0005-0000-0000-000069800000}"/>
    <cellStyle name="Normal 35 9" xfId="40228" xr:uid="{00000000-0005-0000-0000-00006A800000}"/>
    <cellStyle name="Normal 36" xfId="456" xr:uid="{00000000-0005-0000-0000-00006B800000}"/>
    <cellStyle name="Normal 36 2" xfId="1636" xr:uid="{00000000-0005-0000-0000-00006C800000}"/>
    <cellStyle name="Normal 36 2 2" xfId="1637" xr:uid="{00000000-0005-0000-0000-00006D800000}"/>
    <cellStyle name="Normal 36 2 2 2" xfId="30034" xr:uid="{00000000-0005-0000-0000-00006E800000}"/>
    <cellStyle name="Normal 36 2 2 2 2" xfId="30035" xr:uid="{00000000-0005-0000-0000-00006F800000}"/>
    <cellStyle name="Normal 36 2 2 2 2 2" xfId="30036" xr:uid="{00000000-0005-0000-0000-000070800000}"/>
    <cellStyle name="Normal 36 2 2 2 2 2 2" xfId="40229" xr:uid="{00000000-0005-0000-0000-000071800000}"/>
    <cellStyle name="Normal 36 2 2 2 2 3" xfId="30037" xr:uid="{00000000-0005-0000-0000-000072800000}"/>
    <cellStyle name="Normal 36 2 2 2 3" xfId="30038" xr:uid="{00000000-0005-0000-0000-000073800000}"/>
    <cellStyle name="Normal 36 2 2 2 3 2" xfId="30039" xr:uid="{00000000-0005-0000-0000-000074800000}"/>
    <cellStyle name="Normal 36 2 2 2 3 2 2" xfId="40230" xr:uid="{00000000-0005-0000-0000-000075800000}"/>
    <cellStyle name="Normal 36 2 2 2 3 3" xfId="30040" xr:uid="{00000000-0005-0000-0000-000076800000}"/>
    <cellStyle name="Normal 36 2 2 2 4" xfId="30041" xr:uid="{00000000-0005-0000-0000-000077800000}"/>
    <cellStyle name="Normal 36 2 2 2 4 2" xfId="40231" xr:uid="{00000000-0005-0000-0000-000078800000}"/>
    <cellStyle name="Normal 36 2 2 2 5" xfId="30042" xr:uid="{00000000-0005-0000-0000-000079800000}"/>
    <cellStyle name="Normal 36 2 2 3" xfId="30043" xr:uid="{00000000-0005-0000-0000-00007A800000}"/>
    <cellStyle name="Normal 36 2 2 3 2" xfId="30044" xr:uid="{00000000-0005-0000-0000-00007B800000}"/>
    <cellStyle name="Normal 36 2 2 3 2 2" xfId="40232" xr:uid="{00000000-0005-0000-0000-00007C800000}"/>
    <cellStyle name="Normal 36 2 2 3 3" xfId="30045" xr:uid="{00000000-0005-0000-0000-00007D800000}"/>
    <cellStyle name="Normal 36 2 2 4" xfId="30046" xr:uid="{00000000-0005-0000-0000-00007E800000}"/>
    <cellStyle name="Normal 36 2 2 4 2" xfId="30047" xr:uid="{00000000-0005-0000-0000-00007F800000}"/>
    <cellStyle name="Normal 36 2 2 4 2 2" xfId="40233" xr:uid="{00000000-0005-0000-0000-000080800000}"/>
    <cellStyle name="Normal 36 2 2 4 3" xfId="30048" xr:uid="{00000000-0005-0000-0000-000081800000}"/>
    <cellStyle name="Normal 36 2 2 5" xfId="30049" xr:uid="{00000000-0005-0000-0000-000082800000}"/>
    <cellStyle name="Normal 36 2 2 5 2" xfId="40234" xr:uid="{00000000-0005-0000-0000-000083800000}"/>
    <cellStyle name="Normal 36 2 2 6" xfId="30050" xr:uid="{00000000-0005-0000-0000-000084800000}"/>
    <cellStyle name="Normal 36 2 3" xfId="30051" xr:uid="{00000000-0005-0000-0000-000085800000}"/>
    <cellStyle name="Normal 36 2 3 2" xfId="30052" xr:uid="{00000000-0005-0000-0000-000086800000}"/>
    <cellStyle name="Normal 36 2 3 2 2" xfId="30053" xr:uid="{00000000-0005-0000-0000-000087800000}"/>
    <cellStyle name="Normal 36 2 3 2 2 2" xfId="40235" xr:uid="{00000000-0005-0000-0000-000088800000}"/>
    <cellStyle name="Normal 36 2 3 2 3" xfId="30054" xr:uid="{00000000-0005-0000-0000-000089800000}"/>
    <cellStyle name="Normal 36 2 3 3" xfId="30055" xr:uid="{00000000-0005-0000-0000-00008A800000}"/>
    <cellStyle name="Normal 36 2 3 3 2" xfId="30056" xr:uid="{00000000-0005-0000-0000-00008B800000}"/>
    <cellStyle name="Normal 36 2 3 3 2 2" xfId="40236" xr:uid="{00000000-0005-0000-0000-00008C800000}"/>
    <cellStyle name="Normal 36 2 3 3 3" xfId="30057" xr:uid="{00000000-0005-0000-0000-00008D800000}"/>
    <cellStyle name="Normal 36 2 3 4" xfId="30058" xr:uid="{00000000-0005-0000-0000-00008E800000}"/>
    <cellStyle name="Normal 36 2 3 4 2" xfId="40237" xr:uid="{00000000-0005-0000-0000-00008F800000}"/>
    <cellStyle name="Normal 36 2 3 5" xfId="30059" xr:uid="{00000000-0005-0000-0000-000090800000}"/>
    <cellStyle name="Normal 36 2 3 6" xfId="30060" xr:uid="{00000000-0005-0000-0000-000091800000}"/>
    <cellStyle name="Normal 36 2 3 7" xfId="44597" xr:uid="{00000000-0005-0000-0000-000092800000}"/>
    <cellStyle name="Normal 36 2 3 8" xfId="45505" xr:uid="{00000000-0005-0000-0000-000093800000}"/>
    <cellStyle name="Normal 36 2 4" xfId="30061" xr:uid="{00000000-0005-0000-0000-000094800000}"/>
    <cellStyle name="Normal 36 2 4 2" xfId="30062" xr:uid="{00000000-0005-0000-0000-000095800000}"/>
    <cellStyle name="Normal 36 2 4 2 2" xfId="40238" xr:uid="{00000000-0005-0000-0000-000096800000}"/>
    <cellStyle name="Normal 36 2 4 3" xfId="30063" xr:uid="{00000000-0005-0000-0000-000097800000}"/>
    <cellStyle name="Normal 36 2 5" xfId="30064" xr:uid="{00000000-0005-0000-0000-000098800000}"/>
    <cellStyle name="Normal 36 2 5 2" xfId="30065" xr:uid="{00000000-0005-0000-0000-000099800000}"/>
    <cellStyle name="Normal 36 2 5 2 2" xfId="40239" xr:uid="{00000000-0005-0000-0000-00009A800000}"/>
    <cellStyle name="Normal 36 2 5 3" xfId="30066" xr:uid="{00000000-0005-0000-0000-00009B800000}"/>
    <cellStyle name="Normal 36 2 6" xfId="30067" xr:uid="{00000000-0005-0000-0000-00009C800000}"/>
    <cellStyle name="Normal 36 2 6 2" xfId="40240" xr:uid="{00000000-0005-0000-0000-00009D800000}"/>
    <cellStyle name="Normal 36 2 7" xfId="30068" xr:uid="{00000000-0005-0000-0000-00009E800000}"/>
    <cellStyle name="Normal 36 2 8" xfId="30069" xr:uid="{00000000-0005-0000-0000-00009F800000}"/>
    <cellStyle name="Normal 36 2 9" xfId="46251" xr:uid="{00000000-0005-0000-0000-0000A0800000}"/>
    <cellStyle name="Normal 36 3" xfId="1638" xr:uid="{00000000-0005-0000-0000-0000A1800000}"/>
    <cellStyle name="Normal 36 3 2" xfId="30070" xr:uid="{00000000-0005-0000-0000-0000A2800000}"/>
    <cellStyle name="Normal 36 3 2 2" xfId="30071" xr:uid="{00000000-0005-0000-0000-0000A3800000}"/>
    <cellStyle name="Normal 36 3 2 2 2" xfId="30072" xr:uid="{00000000-0005-0000-0000-0000A4800000}"/>
    <cellStyle name="Normal 36 3 2 2 2 2" xfId="40241" xr:uid="{00000000-0005-0000-0000-0000A5800000}"/>
    <cellStyle name="Normal 36 3 2 2 3" xfId="30073" xr:uid="{00000000-0005-0000-0000-0000A6800000}"/>
    <cellStyle name="Normal 36 3 2 3" xfId="30074" xr:uid="{00000000-0005-0000-0000-0000A7800000}"/>
    <cellStyle name="Normal 36 3 2 3 2" xfId="30075" xr:uid="{00000000-0005-0000-0000-0000A8800000}"/>
    <cellStyle name="Normal 36 3 2 3 2 2" xfId="40242" xr:uid="{00000000-0005-0000-0000-0000A9800000}"/>
    <cellStyle name="Normal 36 3 2 3 3" xfId="30076" xr:uid="{00000000-0005-0000-0000-0000AA800000}"/>
    <cellStyle name="Normal 36 3 2 4" xfId="30077" xr:uid="{00000000-0005-0000-0000-0000AB800000}"/>
    <cellStyle name="Normal 36 3 2 4 2" xfId="40243" xr:uid="{00000000-0005-0000-0000-0000AC800000}"/>
    <cellStyle name="Normal 36 3 2 5" xfId="30078" xr:uid="{00000000-0005-0000-0000-0000AD800000}"/>
    <cellStyle name="Normal 36 3 3" xfId="30079" xr:uid="{00000000-0005-0000-0000-0000AE800000}"/>
    <cellStyle name="Normal 36 3 3 2" xfId="30080" xr:uid="{00000000-0005-0000-0000-0000AF800000}"/>
    <cellStyle name="Normal 36 3 3 2 2" xfId="40244" xr:uid="{00000000-0005-0000-0000-0000B0800000}"/>
    <cellStyle name="Normal 36 3 3 3" xfId="30081" xr:uid="{00000000-0005-0000-0000-0000B1800000}"/>
    <cellStyle name="Normal 36 3 4" xfId="30082" xr:uid="{00000000-0005-0000-0000-0000B2800000}"/>
    <cellStyle name="Normal 36 3 4 2" xfId="30083" xr:uid="{00000000-0005-0000-0000-0000B3800000}"/>
    <cellStyle name="Normal 36 3 4 2 2" xfId="40245" xr:uid="{00000000-0005-0000-0000-0000B4800000}"/>
    <cellStyle name="Normal 36 3 4 3" xfId="30084" xr:uid="{00000000-0005-0000-0000-0000B5800000}"/>
    <cellStyle name="Normal 36 3 5" xfId="30085" xr:uid="{00000000-0005-0000-0000-0000B6800000}"/>
    <cellStyle name="Normal 36 3 5 2" xfId="40246" xr:uid="{00000000-0005-0000-0000-0000B7800000}"/>
    <cellStyle name="Normal 36 3 6" xfId="30086" xr:uid="{00000000-0005-0000-0000-0000B8800000}"/>
    <cellStyle name="Normal 36 4" xfId="30087" xr:uid="{00000000-0005-0000-0000-0000B9800000}"/>
    <cellStyle name="Normal 36 4 2" xfId="30088" xr:uid="{00000000-0005-0000-0000-0000BA800000}"/>
    <cellStyle name="Normal 36 4 2 2" xfId="30089" xr:uid="{00000000-0005-0000-0000-0000BB800000}"/>
    <cellStyle name="Normal 36 4 2 2 2" xfId="40247" xr:uid="{00000000-0005-0000-0000-0000BC800000}"/>
    <cellStyle name="Normal 36 4 2 3" xfId="30090" xr:uid="{00000000-0005-0000-0000-0000BD800000}"/>
    <cellStyle name="Normal 36 4 3" xfId="30091" xr:uid="{00000000-0005-0000-0000-0000BE800000}"/>
    <cellStyle name="Normal 36 4 3 2" xfId="30092" xr:uid="{00000000-0005-0000-0000-0000BF800000}"/>
    <cellStyle name="Normal 36 4 3 2 2" xfId="40248" xr:uid="{00000000-0005-0000-0000-0000C0800000}"/>
    <cellStyle name="Normal 36 4 3 3" xfId="30093" xr:uid="{00000000-0005-0000-0000-0000C1800000}"/>
    <cellStyle name="Normal 36 4 4" xfId="30094" xr:uid="{00000000-0005-0000-0000-0000C2800000}"/>
    <cellStyle name="Normal 36 4 4 2" xfId="40249" xr:uid="{00000000-0005-0000-0000-0000C3800000}"/>
    <cellStyle name="Normal 36 4 5" xfId="30095" xr:uid="{00000000-0005-0000-0000-0000C4800000}"/>
    <cellStyle name="Normal 36 5" xfId="30096" xr:uid="{00000000-0005-0000-0000-0000C5800000}"/>
    <cellStyle name="Normal 36 5 2" xfId="30097" xr:uid="{00000000-0005-0000-0000-0000C6800000}"/>
    <cellStyle name="Normal 36 5 2 2" xfId="40250" xr:uid="{00000000-0005-0000-0000-0000C7800000}"/>
    <cellStyle name="Normal 36 5 3" xfId="30098" xr:uid="{00000000-0005-0000-0000-0000C8800000}"/>
    <cellStyle name="Normal 36 6" xfId="30099" xr:uid="{00000000-0005-0000-0000-0000C9800000}"/>
    <cellStyle name="Normal 36 6 2" xfId="30100" xr:uid="{00000000-0005-0000-0000-0000CA800000}"/>
    <cellStyle name="Normal 36 6 2 2" xfId="40251" xr:uid="{00000000-0005-0000-0000-0000CB800000}"/>
    <cellStyle name="Normal 36 6 3" xfId="30101" xr:uid="{00000000-0005-0000-0000-0000CC800000}"/>
    <cellStyle name="Normal 36 7" xfId="30102" xr:uid="{00000000-0005-0000-0000-0000CD800000}"/>
    <cellStyle name="Normal 36 7 2" xfId="40252" xr:uid="{00000000-0005-0000-0000-0000CE800000}"/>
    <cellStyle name="Normal 36 8" xfId="30103" xr:uid="{00000000-0005-0000-0000-0000CF800000}"/>
    <cellStyle name="Normal 36 9" xfId="40253" xr:uid="{00000000-0005-0000-0000-0000D0800000}"/>
    <cellStyle name="Normal 37" xfId="457" xr:uid="{00000000-0005-0000-0000-0000D1800000}"/>
    <cellStyle name="Normal 37 2" xfId="1639" xr:uid="{00000000-0005-0000-0000-0000D2800000}"/>
    <cellStyle name="Normal 37 2 2" xfId="1640" xr:uid="{00000000-0005-0000-0000-0000D3800000}"/>
    <cellStyle name="Normal 37 2 2 2" xfId="30104" xr:uid="{00000000-0005-0000-0000-0000D4800000}"/>
    <cellStyle name="Normal 37 2 2 2 2" xfId="30105" xr:uid="{00000000-0005-0000-0000-0000D5800000}"/>
    <cellStyle name="Normal 37 2 2 2 2 2" xfId="30106" xr:uid="{00000000-0005-0000-0000-0000D6800000}"/>
    <cellStyle name="Normal 37 2 2 2 2 2 2" xfId="40254" xr:uid="{00000000-0005-0000-0000-0000D7800000}"/>
    <cellStyle name="Normal 37 2 2 2 2 3" xfId="30107" xr:uid="{00000000-0005-0000-0000-0000D8800000}"/>
    <cellStyle name="Normal 37 2 2 2 3" xfId="30108" xr:uid="{00000000-0005-0000-0000-0000D9800000}"/>
    <cellStyle name="Normal 37 2 2 2 3 2" xfId="30109" xr:uid="{00000000-0005-0000-0000-0000DA800000}"/>
    <cellStyle name="Normal 37 2 2 2 3 2 2" xfId="40255" xr:uid="{00000000-0005-0000-0000-0000DB800000}"/>
    <cellStyle name="Normal 37 2 2 2 3 3" xfId="30110" xr:uid="{00000000-0005-0000-0000-0000DC800000}"/>
    <cellStyle name="Normal 37 2 2 2 4" xfId="30111" xr:uid="{00000000-0005-0000-0000-0000DD800000}"/>
    <cellStyle name="Normal 37 2 2 2 4 2" xfId="40256" xr:uid="{00000000-0005-0000-0000-0000DE800000}"/>
    <cellStyle name="Normal 37 2 2 2 5" xfId="30112" xr:uid="{00000000-0005-0000-0000-0000DF800000}"/>
    <cellStyle name="Normal 37 2 2 3" xfId="30113" xr:uid="{00000000-0005-0000-0000-0000E0800000}"/>
    <cellStyle name="Normal 37 2 2 3 2" xfId="30114" xr:uid="{00000000-0005-0000-0000-0000E1800000}"/>
    <cellStyle name="Normal 37 2 2 3 2 2" xfId="40257" xr:uid="{00000000-0005-0000-0000-0000E2800000}"/>
    <cellStyle name="Normal 37 2 2 3 3" xfId="30115" xr:uid="{00000000-0005-0000-0000-0000E3800000}"/>
    <cellStyle name="Normal 37 2 2 4" xfId="30116" xr:uid="{00000000-0005-0000-0000-0000E4800000}"/>
    <cellStyle name="Normal 37 2 2 4 2" xfId="30117" xr:uid="{00000000-0005-0000-0000-0000E5800000}"/>
    <cellStyle name="Normal 37 2 2 4 2 2" xfId="40258" xr:uid="{00000000-0005-0000-0000-0000E6800000}"/>
    <cellStyle name="Normal 37 2 2 4 3" xfId="30118" xr:uid="{00000000-0005-0000-0000-0000E7800000}"/>
    <cellStyle name="Normal 37 2 2 5" xfId="30119" xr:uid="{00000000-0005-0000-0000-0000E8800000}"/>
    <cellStyle name="Normal 37 2 2 5 2" xfId="40259" xr:uid="{00000000-0005-0000-0000-0000E9800000}"/>
    <cellStyle name="Normal 37 2 2 6" xfId="30120" xr:uid="{00000000-0005-0000-0000-0000EA800000}"/>
    <cellStyle name="Normal 37 2 3" xfId="30121" xr:uid="{00000000-0005-0000-0000-0000EB800000}"/>
    <cellStyle name="Normal 37 2 3 2" xfId="30122" xr:uid="{00000000-0005-0000-0000-0000EC800000}"/>
    <cellStyle name="Normal 37 2 3 2 2" xfId="30123" xr:uid="{00000000-0005-0000-0000-0000ED800000}"/>
    <cellStyle name="Normal 37 2 3 2 2 2" xfId="40260" xr:uid="{00000000-0005-0000-0000-0000EE800000}"/>
    <cellStyle name="Normal 37 2 3 2 3" xfId="30124" xr:uid="{00000000-0005-0000-0000-0000EF800000}"/>
    <cellStyle name="Normal 37 2 3 3" xfId="30125" xr:uid="{00000000-0005-0000-0000-0000F0800000}"/>
    <cellStyle name="Normal 37 2 3 3 2" xfId="30126" xr:uid="{00000000-0005-0000-0000-0000F1800000}"/>
    <cellStyle name="Normal 37 2 3 3 2 2" xfId="40261" xr:uid="{00000000-0005-0000-0000-0000F2800000}"/>
    <cellStyle name="Normal 37 2 3 3 3" xfId="30127" xr:uid="{00000000-0005-0000-0000-0000F3800000}"/>
    <cellStyle name="Normal 37 2 3 4" xfId="30128" xr:uid="{00000000-0005-0000-0000-0000F4800000}"/>
    <cellStyle name="Normal 37 2 3 4 2" xfId="40262" xr:uid="{00000000-0005-0000-0000-0000F5800000}"/>
    <cellStyle name="Normal 37 2 3 5" xfId="30129" xr:uid="{00000000-0005-0000-0000-0000F6800000}"/>
    <cellStyle name="Normal 37 2 4" xfId="30130" xr:uid="{00000000-0005-0000-0000-0000F7800000}"/>
    <cellStyle name="Normal 37 2 4 2" xfId="30131" xr:uid="{00000000-0005-0000-0000-0000F8800000}"/>
    <cellStyle name="Normal 37 2 4 2 2" xfId="40263" xr:uid="{00000000-0005-0000-0000-0000F9800000}"/>
    <cellStyle name="Normal 37 2 4 3" xfId="30132" xr:uid="{00000000-0005-0000-0000-0000FA800000}"/>
    <cellStyle name="Normal 37 2 5" xfId="30133" xr:uid="{00000000-0005-0000-0000-0000FB800000}"/>
    <cellStyle name="Normal 37 2 5 2" xfId="30134" xr:uid="{00000000-0005-0000-0000-0000FC800000}"/>
    <cellStyle name="Normal 37 2 5 2 2" xfId="40264" xr:uid="{00000000-0005-0000-0000-0000FD800000}"/>
    <cellStyle name="Normal 37 2 5 3" xfId="30135" xr:uid="{00000000-0005-0000-0000-0000FE800000}"/>
    <cellStyle name="Normal 37 2 6" xfId="30136" xr:uid="{00000000-0005-0000-0000-0000FF800000}"/>
    <cellStyle name="Normal 37 2 6 2" xfId="40265" xr:uid="{00000000-0005-0000-0000-000000810000}"/>
    <cellStyle name="Normal 37 2 7" xfId="30137" xr:uid="{00000000-0005-0000-0000-000001810000}"/>
    <cellStyle name="Normal 37 2 8" xfId="30138" xr:uid="{00000000-0005-0000-0000-000002810000}"/>
    <cellStyle name="Normal 37 2 9" xfId="46252" xr:uid="{00000000-0005-0000-0000-000003810000}"/>
    <cellStyle name="Normal 37 3" xfId="1641" xr:uid="{00000000-0005-0000-0000-000004810000}"/>
    <cellStyle name="Normal 37 3 2" xfId="30139" xr:uid="{00000000-0005-0000-0000-000005810000}"/>
    <cellStyle name="Normal 37 3 2 2" xfId="30140" xr:uid="{00000000-0005-0000-0000-000006810000}"/>
    <cellStyle name="Normal 37 3 2 2 2" xfId="30141" xr:uid="{00000000-0005-0000-0000-000007810000}"/>
    <cellStyle name="Normal 37 3 2 2 2 2" xfId="40266" xr:uid="{00000000-0005-0000-0000-000008810000}"/>
    <cellStyle name="Normal 37 3 2 2 3" xfId="30142" xr:uid="{00000000-0005-0000-0000-000009810000}"/>
    <cellStyle name="Normal 37 3 2 3" xfId="30143" xr:uid="{00000000-0005-0000-0000-00000A810000}"/>
    <cellStyle name="Normal 37 3 2 3 2" xfId="30144" xr:uid="{00000000-0005-0000-0000-00000B810000}"/>
    <cellStyle name="Normal 37 3 2 3 2 2" xfId="40267" xr:uid="{00000000-0005-0000-0000-00000C810000}"/>
    <cellStyle name="Normal 37 3 2 3 3" xfId="30145" xr:uid="{00000000-0005-0000-0000-00000D810000}"/>
    <cellStyle name="Normal 37 3 2 4" xfId="30146" xr:uid="{00000000-0005-0000-0000-00000E810000}"/>
    <cellStyle name="Normal 37 3 2 4 2" xfId="40268" xr:uid="{00000000-0005-0000-0000-00000F810000}"/>
    <cellStyle name="Normal 37 3 2 5" xfId="30147" xr:uid="{00000000-0005-0000-0000-000010810000}"/>
    <cellStyle name="Normal 37 3 3" xfId="30148" xr:uid="{00000000-0005-0000-0000-000011810000}"/>
    <cellStyle name="Normal 37 3 3 2" xfId="30149" xr:uid="{00000000-0005-0000-0000-000012810000}"/>
    <cellStyle name="Normal 37 3 3 2 2" xfId="40269" xr:uid="{00000000-0005-0000-0000-000013810000}"/>
    <cellStyle name="Normal 37 3 3 3" xfId="30150" xr:uid="{00000000-0005-0000-0000-000014810000}"/>
    <cellStyle name="Normal 37 3 4" xfId="30151" xr:uid="{00000000-0005-0000-0000-000015810000}"/>
    <cellStyle name="Normal 37 3 4 2" xfId="30152" xr:uid="{00000000-0005-0000-0000-000016810000}"/>
    <cellStyle name="Normal 37 3 4 2 2" xfId="40270" xr:uid="{00000000-0005-0000-0000-000017810000}"/>
    <cellStyle name="Normal 37 3 4 3" xfId="30153" xr:uid="{00000000-0005-0000-0000-000018810000}"/>
    <cellStyle name="Normal 37 3 5" xfId="30154" xr:uid="{00000000-0005-0000-0000-000019810000}"/>
    <cellStyle name="Normal 37 3 5 2" xfId="40271" xr:uid="{00000000-0005-0000-0000-00001A810000}"/>
    <cellStyle name="Normal 37 3 6" xfId="30155" xr:uid="{00000000-0005-0000-0000-00001B810000}"/>
    <cellStyle name="Normal 37 4" xfId="30156" xr:uid="{00000000-0005-0000-0000-00001C810000}"/>
    <cellStyle name="Normal 37 4 2" xfId="30157" xr:uid="{00000000-0005-0000-0000-00001D810000}"/>
    <cellStyle name="Normal 37 4 2 2" xfId="30158" xr:uid="{00000000-0005-0000-0000-00001E810000}"/>
    <cellStyle name="Normal 37 4 2 2 2" xfId="40272" xr:uid="{00000000-0005-0000-0000-00001F810000}"/>
    <cellStyle name="Normal 37 4 2 3" xfId="30159" xr:uid="{00000000-0005-0000-0000-000020810000}"/>
    <cellStyle name="Normal 37 4 3" xfId="30160" xr:uid="{00000000-0005-0000-0000-000021810000}"/>
    <cellStyle name="Normal 37 4 3 2" xfId="30161" xr:uid="{00000000-0005-0000-0000-000022810000}"/>
    <cellStyle name="Normal 37 4 3 2 2" xfId="40273" xr:uid="{00000000-0005-0000-0000-000023810000}"/>
    <cellStyle name="Normal 37 4 3 3" xfId="30162" xr:uid="{00000000-0005-0000-0000-000024810000}"/>
    <cellStyle name="Normal 37 4 4" xfId="30163" xr:uid="{00000000-0005-0000-0000-000025810000}"/>
    <cellStyle name="Normal 37 4 4 2" xfId="40274" xr:uid="{00000000-0005-0000-0000-000026810000}"/>
    <cellStyle name="Normal 37 4 5" xfId="30164" xr:uid="{00000000-0005-0000-0000-000027810000}"/>
    <cellStyle name="Normal 37 5" xfId="30165" xr:uid="{00000000-0005-0000-0000-000028810000}"/>
    <cellStyle name="Normal 37 5 2" xfId="30166" xr:uid="{00000000-0005-0000-0000-000029810000}"/>
    <cellStyle name="Normal 37 5 2 2" xfId="40275" xr:uid="{00000000-0005-0000-0000-00002A810000}"/>
    <cellStyle name="Normal 37 5 3" xfId="30167" xr:uid="{00000000-0005-0000-0000-00002B810000}"/>
    <cellStyle name="Normal 37 6" xfId="30168" xr:uid="{00000000-0005-0000-0000-00002C810000}"/>
    <cellStyle name="Normal 37 6 2" xfId="30169" xr:uid="{00000000-0005-0000-0000-00002D810000}"/>
    <cellStyle name="Normal 37 6 2 2" xfId="40276" xr:uid="{00000000-0005-0000-0000-00002E810000}"/>
    <cellStyle name="Normal 37 6 3" xfId="30170" xr:uid="{00000000-0005-0000-0000-00002F810000}"/>
    <cellStyle name="Normal 37 6 4" xfId="42517" xr:uid="{00000000-0005-0000-0000-000030810000}"/>
    <cellStyle name="Normal 37 6 5" xfId="45506" xr:uid="{00000000-0005-0000-0000-000031810000}"/>
    <cellStyle name="Normal 37 7" xfId="30171" xr:uid="{00000000-0005-0000-0000-000032810000}"/>
    <cellStyle name="Normal 37 7 2" xfId="40277" xr:uid="{00000000-0005-0000-0000-000033810000}"/>
    <cellStyle name="Normal 37 8" xfId="30172" xr:uid="{00000000-0005-0000-0000-000034810000}"/>
    <cellStyle name="Normal 37 9" xfId="40278" xr:uid="{00000000-0005-0000-0000-000035810000}"/>
    <cellStyle name="Normal 38" xfId="458" xr:uid="{00000000-0005-0000-0000-000036810000}"/>
    <cellStyle name="Normal 38 2" xfId="1642" xr:uid="{00000000-0005-0000-0000-000037810000}"/>
    <cellStyle name="Normal 38 2 2" xfId="1643" xr:uid="{00000000-0005-0000-0000-000038810000}"/>
    <cellStyle name="Normal 38 2 2 2" xfId="30173" xr:uid="{00000000-0005-0000-0000-000039810000}"/>
    <cellStyle name="Normal 38 2 2 2 2" xfId="30174" xr:uid="{00000000-0005-0000-0000-00003A810000}"/>
    <cellStyle name="Normal 38 2 2 2 2 2" xfId="30175" xr:uid="{00000000-0005-0000-0000-00003B810000}"/>
    <cellStyle name="Normal 38 2 2 2 2 2 2" xfId="40279" xr:uid="{00000000-0005-0000-0000-00003C810000}"/>
    <cellStyle name="Normal 38 2 2 2 2 3" xfId="30176" xr:uid="{00000000-0005-0000-0000-00003D810000}"/>
    <cellStyle name="Normal 38 2 2 2 3" xfId="30177" xr:uid="{00000000-0005-0000-0000-00003E810000}"/>
    <cellStyle name="Normal 38 2 2 2 3 2" xfId="30178" xr:uid="{00000000-0005-0000-0000-00003F810000}"/>
    <cellStyle name="Normal 38 2 2 2 3 2 2" xfId="40280" xr:uid="{00000000-0005-0000-0000-000040810000}"/>
    <cellStyle name="Normal 38 2 2 2 3 3" xfId="30179" xr:uid="{00000000-0005-0000-0000-000041810000}"/>
    <cellStyle name="Normal 38 2 2 2 4" xfId="30180" xr:uid="{00000000-0005-0000-0000-000042810000}"/>
    <cellStyle name="Normal 38 2 2 2 4 2" xfId="40281" xr:uid="{00000000-0005-0000-0000-000043810000}"/>
    <cellStyle name="Normal 38 2 2 2 5" xfId="30181" xr:uid="{00000000-0005-0000-0000-000044810000}"/>
    <cellStyle name="Normal 38 2 2 3" xfId="30182" xr:uid="{00000000-0005-0000-0000-000045810000}"/>
    <cellStyle name="Normal 38 2 2 3 2" xfId="30183" xr:uid="{00000000-0005-0000-0000-000046810000}"/>
    <cellStyle name="Normal 38 2 2 3 2 2" xfId="40282" xr:uid="{00000000-0005-0000-0000-000047810000}"/>
    <cellStyle name="Normal 38 2 2 3 3" xfId="30184" xr:uid="{00000000-0005-0000-0000-000048810000}"/>
    <cellStyle name="Normal 38 2 2 4" xfId="30185" xr:uid="{00000000-0005-0000-0000-000049810000}"/>
    <cellStyle name="Normal 38 2 2 4 2" xfId="30186" xr:uid="{00000000-0005-0000-0000-00004A810000}"/>
    <cellStyle name="Normal 38 2 2 4 2 2" xfId="40283" xr:uid="{00000000-0005-0000-0000-00004B810000}"/>
    <cellStyle name="Normal 38 2 2 4 3" xfId="30187" xr:uid="{00000000-0005-0000-0000-00004C810000}"/>
    <cellStyle name="Normal 38 2 2 5" xfId="30188" xr:uid="{00000000-0005-0000-0000-00004D810000}"/>
    <cellStyle name="Normal 38 2 2 5 2" xfId="40284" xr:uid="{00000000-0005-0000-0000-00004E810000}"/>
    <cellStyle name="Normal 38 2 2 6" xfId="30189" xr:uid="{00000000-0005-0000-0000-00004F810000}"/>
    <cellStyle name="Normal 38 2 3" xfId="30190" xr:uid="{00000000-0005-0000-0000-000050810000}"/>
    <cellStyle name="Normal 38 2 3 2" xfId="30191" xr:uid="{00000000-0005-0000-0000-000051810000}"/>
    <cellStyle name="Normal 38 2 3 2 2" xfId="30192" xr:uid="{00000000-0005-0000-0000-000052810000}"/>
    <cellStyle name="Normal 38 2 3 2 2 2" xfId="40285" xr:uid="{00000000-0005-0000-0000-000053810000}"/>
    <cellStyle name="Normal 38 2 3 2 3" xfId="30193" xr:uid="{00000000-0005-0000-0000-000054810000}"/>
    <cellStyle name="Normal 38 2 3 3" xfId="30194" xr:uid="{00000000-0005-0000-0000-000055810000}"/>
    <cellStyle name="Normal 38 2 3 3 2" xfId="30195" xr:uid="{00000000-0005-0000-0000-000056810000}"/>
    <cellStyle name="Normal 38 2 3 3 2 2" xfId="40286" xr:uid="{00000000-0005-0000-0000-000057810000}"/>
    <cellStyle name="Normal 38 2 3 3 3" xfId="30196" xr:uid="{00000000-0005-0000-0000-000058810000}"/>
    <cellStyle name="Normal 38 2 3 4" xfId="30197" xr:uid="{00000000-0005-0000-0000-000059810000}"/>
    <cellStyle name="Normal 38 2 3 4 2" xfId="40287" xr:uid="{00000000-0005-0000-0000-00005A810000}"/>
    <cellStyle name="Normal 38 2 3 5" xfId="30198" xr:uid="{00000000-0005-0000-0000-00005B810000}"/>
    <cellStyle name="Normal 38 2 4" xfId="30199" xr:uid="{00000000-0005-0000-0000-00005C810000}"/>
    <cellStyle name="Normal 38 2 4 2" xfId="30200" xr:uid="{00000000-0005-0000-0000-00005D810000}"/>
    <cellStyle name="Normal 38 2 4 2 2" xfId="40288" xr:uid="{00000000-0005-0000-0000-00005E810000}"/>
    <cellStyle name="Normal 38 2 4 3" xfId="30201" xr:uid="{00000000-0005-0000-0000-00005F810000}"/>
    <cellStyle name="Normal 38 2 5" xfId="30202" xr:uid="{00000000-0005-0000-0000-000060810000}"/>
    <cellStyle name="Normal 38 2 5 2" xfId="30203" xr:uid="{00000000-0005-0000-0000-000061810000}"/>
    <cellStyle name="Normal 38 2 5 2 2" xfId="40289" xr:uid="{00000000-0005-0000-0000-000062810000}"/>
    <cellStyle name="Normal 38 2 5 3" xfId="30204" xr:uid="{00000000-0005-0000-0000-000063810000}"/>
    <cellStyle name="Normal 38 2 6" xfId="30205" xr:uid="{00000000-0005-0000-0000-000064810000}"/>
    <cellStyle name="Normal 38 2 6 2" xfId="40290" xr:uid="{00000000-0005-0000-0000-000065810000}"/>
    <cellStyle name="Normal 38 2 7" xfId="30206" xr:uid="{00000000-0005-0000-0000-000066810000}"/>
    <cellStyle name="Normal 38 2 8" xfId="30207" xr:uid="{00000000-0005-0000-0000-000067810000}"/>
    <cellStyle name="Normal 38 2 9" xfId="46253" xr:uid="{00000000-0005-0000-0000-000068810000}"/>
    <cellStyle name="Normal 38 3" xfId="1644" xr:uid="{00000000-0005-0000-0000-000069810000}"/>
    <cellStyle name="Normal 38 3 2" xfId="30208" xr:uid="{00000000-0005-0000-0000-00006A810000}"/>
    <cellStyle name="Normal 38 3 2 2" xfId="30209" xr:uid="{00000000-0005-0000-0000-00006B810000}"/>
    <cellStyle name="Normal 38 3 2 2 2" xfId="30210" xr:uid="{00000000-0005-0000-0000-00006C810000}"/>
    <cellStyle name="Normal 38 3 2 2 2 2" xfId="40291" xr:uid="{00000000-0005-0000-0000-00006D810000}"/>
    <cellStyle name="Normal 38 3 2 2 3" xfId="30211" xr:uid="{00000000-0005-0000-0000-00006E810000}"/>
    <cellStyle name="Normal 38 3 2 3" xfId="30212" xr:uid="{00000000-0005-0000-0000-00006F810000}"/>
    <cellStyle name="Normal 38 3 2 3 2" xfId="30213" xr:uid="{00000000-0005-0000-0000-000070810000}"/>
    <cellStyle name="Normal 38 3 2 3 2 2" xfId="40292" xr:uid="{00000000-0005-0000-0000-000071810000}"/>
    <cellStyle name="Normal 38 3 2 3 3" xfId="30214" xr:uid="{00000000-0005-0000-0000-000072810000}"/>
    <cellStyle name="Normal 38 3 2 4" xfId="30215" xr:uid="{00000000-0005-0000-0000-000073810000}"/>
    <cellStyle name="Normal 38 3 2 4 2" xfId="40293" xr:uid="{00000000-0005-0000-0000-000074810000}"/>
    <cellStyle name="Normal 38 3 2 5" xfId="30216" xr:uid="{00000000-0005-0000-0000-000075810000}"/>
    <cellStyle name="Normal 38 3 3" xfId="30217" xr:uid="{00000000-0005-0000-0000-000076810000}"/>
    <cellStyle name="Normal 38 3 3 2" xfId="30218" xr:uid="{00000000-0005-0000-0000-000077810000}"/>
    <cellStyle name="Normal 38 3 3 2 2" xfId="40294" xr:uid="{00000000-0005-0000-0000-000078810000}"/>
    <cellStyle name="Normal 38 3 3 3" xfId="30219" xr:uid="{00000000-0005-0000-0000-000079810000}"/>
    <cellStyle name="Normal 38 3 4" xfId="30220" xr:uid="{00000000-0005-0000-0000-00007A810000}"/>
    <cellStyle name="Normal 38 3 4 2" xfId="30221" xr:uid="{00000000-0005-0000-0000-00007B810000}"/>
    <cellStyle name="Normal 38 3 4 2 2" xfId="40295" xr:uid="{00000000-0005-0000-0000-00007C810000}"/>
    <cellStyle name="Normal 38 3 4 3" xfId="30222" xr:uid="{00000000-0005-0000-0000-00007D810000}"/>
    <cellStyle name="Normal 38 3 5" xfId="30223" xr:uid="{00000000-0005-0000-0000-00007E810000}"/>
    <cellStyle name="Normal 38 3 5 2" xfId="40296" xr:uid="{00000000-0005-0000-0000-00007F810000}"/>
    <cellStyle name="Normal 38 3 6" xfId="30224" xr:uid="{00000000-0005-0000-0000-000080810000}"/>
    <cellStyle name="Normal 38 4" xfId="30225" xr:uid="{00000000-0005-0000-0000-000081810000}"/>
    <cellStyle name="Normal 38 4 2" xfId="30226" xr:uid="{00000000-0005-0000-0000-000082810000}"/>
    <cellStyle name="Normal 38 4 2 2" xfId="30227" xr:uid="{00000000-0005-0000-0000-000083810000}"/>
    <cellStyle name="Normal 38 4 2 2 2" xfId="40297" xr:uid="{00000000-0005-0000-0000-000084810000}"/>
    <cellStyle name="Normal 38 4 2 3" xfId="30228" xr:uid="{00000000-0005-0000-0000-000085810000}"/>
    <cellStyle name="Normal 38 4 3" xfId="30229" xr:uid="{00000000-0005-0000-0000-000086810000}"/>
    <cellStyle name="Normal 38 4 3 2" xfId="30230" xr:uid="{00000000-0005-0000-0000-000087810000}"/>
    <cellStyle name="Normal 38 4 3 2 2" xfId="40298" xr:uid="{00000000-0005-0000-0000-000088810000}"/>
    <cellStyle name="Normal 38 4 3 3" xfId="30231" xr:uid="{00000000-0005-0000-0000-000089810000}"/>
    <cellStyle name="Normal 38 4 4" xfId="30232" xr:uid="{00000000-0005-0000-0000-00008A810000}"/>
    <cellStyle name="Normal 38 4 4 2" xfId="40299" xr:uid="{00000000-0005-0000-0000-00008B810000}"/>
    <cellStyle name="Normal 38 4 5" xfId="30233" xr:uid="{00000000-0005-0000-0000-00008C810000}"/>
    <cellStyle name="Normal 38 4 6" xfId="42518" xr:uid="{00000000-0005-0000-0000-00008D810000}"/>
    <cellStyle name="Normal 38 4 7" xfId="45507" xr:uid="{00000000-0005-0000-0000-00008E810000}"/>
    <cellStyle name="Normal 38 5" xfId="30234" xr:uid="{00000000-0005-0000-0000-00008F810000}"/>
    <cellStyle name="Normal 38 5 2" xfId="30235" xr:uid="{00000000-0005-0000-0000-000090810000}"/>
    <cellStyle name="Normal 38 5 2 2" xfId="40300" xr:uid="{00000000-0005-0000-0000-000091810000}"/>
    <cellStyle name="Normal 38 5 3" xfId="30236" xr:uid="{00000000-0005-0000-0000-000092810000}"/>
    <cellStyle name="Normal 38 6" xfId="30237" xr:uid="{00000000-0005-0000-0000-000093810000}"/>
    <cellStyle name="Normal 38 6 2" xfId="30238" xr:uid="{00000000-0005-0000-0000-000094810000}"/>
    <cellStyle name="Normal 38 6 2 2" xfId="40301" xr:uid="{00000000-0005-0000-0000-000095810000}"/>
    <cellStyle name="Normal 38 6 3" xfId="30239" xr:uid="{00000000-0005-0000-0000-000096810000}"/>
    <cellStyle name="Normal 38 7" xfId="30240" xr:uid="{00000000-0005-0000-0000-000097810000}"/>
    <cellStyle name="Normal 38 7 2" xfId="40302" xr:uid="{00000000-0005-0000-0000-000098810000}"/>
    <cellStyle name="Normal 38 8" xfId="30241" xr:uid="{00000000-0005-0000-0000-000099810000}"/>
    <cellStyle name="Normal 38 9" xfId="40303" xr:uid="{00000000-0005-0000-0000-00009A810000}"/>
    <cellStyle name="Normal 39" xfId="459" xr:uid="{00000000-0005-0000-0000-00009B810000}"/>
    <cellStyle name="Normal 39 2" xfId="1645" xr:uid="{00000000-0005-0000-0000-00009C810000}"/>
    <cellStyle name="Normal 39 2 2" xfId="1646" xr:uid="{00000000-0005-0000-0000-00009D810000}"/>
    <cellStyle name="Normal 39 2 2 2" xfId="30242" xr:uid="{00000000-0005-0000-0000-00009E810000}"/>
    <cellStyle name="Normal 39 2 2 2 2" xfId="30243" xr:uid="{00000000-0005-0000-0000-00009F810000}"/>
    <cellStyle name="Normal 39 2 2 2 2 2" xfId="30244" xr:uid="{00000000-0005-0000-0000-0000A0810000}"/>
    <cellStyle name="Normal 39 2 2 2 2 2 2" xfId="40304" xr:uid="{00000000-0005-0000-0000-0000A1810000}"/>
    <cellStyle name="Normal 39 2 2 2 2 3" xfId="30245" xr:uid="{00000000-0005-0000-0000-0000A2810000}"/>
    <cellStyle name="Normal 39 2 2 2 3" xfId="30246" xr:uid="{00000000-0005-0000-0000-0000A3810000}"/>
    <cellStyle name="Normal 39 2 2 2 3 2" xfId="30247" xr:uid="{00000000-0005-0000-0000-0000A4810000}"/>
    <cellStyle name="Normal 39 2 2 2 3 2 2" xfId="40305" xr:uid="{00000000-0005-0000-0000-0000A5810000}"/>
    <cellStyle name="Normal 39 2 2 2 3 3" xfId="30248" xr:uid="{00000000-0005-0000-0000-0000A6810000}"/>
    <cellStyle name="Normal 39 2 2 2 4" xfId="30249" xr:uid="{00000000-0005-0000-0000-0000A7810000}"/>
    <cellStyle name="Normal 39 2 2 2 4 2" xfId="40306" xr:uid="{00000000-0005-0000-0000-0000A8810000}"/>
    <cellStyle name="Normal 39 2 2 2 5" xfId="30250" xr:uid="{00000000-0005-0000-0000-0000A9810000}"/>
    <cellStyle name="Normal 39 2 2 3" xfId="30251" xr:uid="{00000000-0005-0000-0000-0000AA810000}"/>
    <cellStyle name="Normal 39 2 2 3 2" xfId="30252" xr:uid="{00000000-0005-0000-0000-0000AB810000}"/>
    <cellStyle name="Normal 39 2 2 3 2 2" xfId="40307" xr:uid="{00000000-0005-0000-0000-0000AC810000}"/>
    <cellStyle name="Normal 39 2 2 3 3" xfId="30253" xr:uid="{00000000-0005-0000-0000-0000AD810000}"/>
    <cellStyle name="Normal 39 2 2 4" xfId="30254" xr:uid="{00000000-0005-0000-0000-0000AE810000}"/>
    <cellStyle name="Normal 39 2 2 4 2" xfId="30255" xr:uid="{00000000-0005-0000-0000-0000AF810000}"/>
    <cellStyle name="Normal 39 2 2 4 2 2" xfId="40308" xr:uid="{00000000-0005-0000-0000-0000B0810000}"/>
    <cellStyle name="Normal 39 2 2 4 3" xfId="30256" xr:uid="{00000000-0005-0000-0000-0000B1810000}"/>
    <cellStyle name="Normal 39 2 2 5" xfId="30257" xr:uid="{00000000-0005-0000-0000-0000B2810000}"/>
    <cellStyle name="Normal 39 2 2 5 2" xfId="40309" xr:uid="{00000000-0005-0000-0000-0000B3810000}"/>
    <cellStyle name="Normal 39 2 2 6" xfId="30258" xr:uid="{00000000-0005-0000-0000-0000B4810000}"/>
    <cellStyle name="Normal 39 2 3" xfId="30259" xr:uid="{00000000-0005-0000-0000-0000B5810000}"/>
    <cellStyle name="Normal 39 2 3 2" xfId="30260" xr:uid="{00000000-0005-0000-0000-0000B6810000}"/>
    <cellStyle name="Normal 39 2 3 2 2" xfId="30261" xr:uid="{00000000-0005-0000-0000-0000B7810000}"/>
    <cellStyle name="Normal 39 2 3 2 2 2" xfId="40310" xr:uid="{00000000-0005-0000-0000-0000B8810000}"/>
    <cellStyle name="Normal 39 2 3 2 3" xfId="30262" xr:uid="{00000000-0005-0000-0000-0000B9810000}"/>
    <cellStyle name="Normal 39 2 3 3" xfId="30263" xr:uid="{00000000-0005-0000-0000-0000BA810000}"/>
    <cellStyle name="Normal 39 2 3 3 2" xfId="30264" xr:uid="{00000000-0005-0000-0000-0000BB810000}"/>
    <cellStyle name="Normal 39 2 3 3 2 2" xfId="40311" xr:uid="{00000000-0005-0000-0000-0000BC810000}"/>
    <cellStyle name="Normal 39 2 3 3 3" xfId="30265" xr:uid="{00000000-0005-0000-0000-0000BD810000}"/>
    <cellStyle name="Normal 39 2 3 4" xfId="30266" xr:uid="{00000000-0005-0000-0000-0000BE810000}"/>
    <cellStyle name="Normal 39 2 3 4 2" xfId="40312" xr:uid="{00000000-0005-0000-0000-0000BF810000}"/>
    <cellStyle name="Normal 39 2 3 5" xfId="30267" xr:uid="{00000000-0005-0000-0000-0000C0810000}"/>
    <cellStyle name="Normal 39 2 4" xfId="30268" xr:uid="{00000000-0005-0000-0000-0000C1810000}"/>
    <cellStyle name="Normal 39 2 4 2" xfId="30269" xr:uid="{00000000-0005-0000-0000-0000C2810000}"/>
    <cellStyle name="Normal 39 2 4 2 2" xfId="40313" xr:uid="{00000000-0005-0000-0000-0000C3810000}"/>
    <cellStyle name="Normal 39 2 4 3" xfId="30270" xr:uid="{00000000-0005-0000-0000-0000C4810000}"/>
    <cellStyle name="Normal 39 2 5" xfId="30271" xr:uid="{00000000-0005-0000-0000-0000C5810000}"/>
    <cellStyle name="Normal 39 2 5 2" xfId="30272" xr:uid="{00000000-0005-0000-0000-0000C6810000}"/>
    <cellStyle name="Normal 39 2 5 2 2" xfId="40314" xr:uid="{00000000-0005-0000-0000-0000C7810000}"/>
    <cellStyle name="Normal 39 2 5 3" xfId="30273" xr:uid="{00000000-0005-0000-0000-0000C8810000}"/>
    <cellStyle name="Normal 39 2 6" xfId="30274" xr:uid="{00000000-0005-0000-0000-0000C9810000}"/>
    <cellStyle name="Normal 39 2 6 2" xfId="40315" xr:uid="{00000000-0005-0000-0000-0000CA810000}"/>
    <cellStyle name="Normal 39 2 7" xfId="30275" xr:uid="{00000000-0005-0000-0000-0000CB810000}"/>
    <cellStyle name="Normal 39 2 8" xfId="30276" xr:uid="{00000000-0005-0000-0000-0000CC810000}"/>
    <cellStyle name="Normal 39 2 9" xfId="46254" xr:uid="{00000000-0005-0000-0000-0000CD810000}"/>
    <cellStyle name="Normal 39 3" xfId="1647" xr:uid="{00000000-0005-0000-0000-0000CE810000}"/>
    <cellStyle name="Normal 39 3 2" xfId="30277" xr:uid="{00000000-0005-0000-0000-0000CF810000}"/>
    <cellStyle name="Normal 39 3 2 2" xfId="30278" xr:uid="{00000000-0005-0000-0000-0000D0810000}"/>
    <cellStyle name="Normal 39 3 2 2 2" xfId="30279" xr:uid="{00000000-0005-0000-0000-0000D1810000}"/>
    <cellStyle name="Normal 39 3 2 2 2 2" xfId="40316" xr:uid="{00000000-0005-0000-0000-0000D2810000}"/>
    <cellStyle name="Normal 39 3 2 2 3" xfId="30280" xr:uid="{00000000-0005-0000-0000-0000D3810000}"/>
    <cellStyle name="Normal 39 3 2 3" xfId="30281" xr:uid="{00000000-0005-0000-0000-0000D4810000}"/>
    <cellStyle name="Normal 39 3 2 3 2" xfId="30282" xr:uid="{00000000-0005-0000-0000-0000D5810000}"/>
    <cellStyle name="Normal 39 3 2 3 2 2" xfId="40317" xr:uid="{00000000-0005-0000-0000-0000D6810000}"/>
    <cellStyle name="Normal 39 3 2 3 3" xfId="30283" xr:uid="{00000000-0005-0000-0000-0000D7810000}"/>
    <cellStyle name="Normal 39 3 2 4" xfId="30284" xr:uid="{00000000-0005-0000-0000-0000D8810000}"/>
    <cellStyle name="Normal 39 3 2 4 2" xfId="40318" xr:uid="{00000000-0005-0000-0000-0000D9810000}"/>
    <cellStyle name="Normal 39 3 2 5" xfId="30285" xr:uid="{00000000-0005-0000-0000-0000DA810000}"/>
    <cellStyle name="Normal 39 3 3" xfId="30286" xr:uid="{00000000-0005-0000-0000-0000DB810000}"/>
    <cellStyle name="Normal 39 3 3 2" xfId="30287" xr:uid="{00000000-0005-0000-0000-0000DC810000}"/>
    <cellStyle name="Normal 39 3 3 2 2" xfId="40319" xr:uid="{00000000-0005-0000-0000-0000DD810000}"/>
    <cellStyle name="Normal 39 3 3 3" xfId="30288" xr:uid="{00000000-0005-0000-0000-0000DE810000}"/>
    <cellStyle name="Normal 39 3 4" xfId="30289" xr:uid="{00000000-0005-0000-0000-0000DF810000}"/>
    <cellStyle name="Normal 39 3 4 2" xfId="30290" xr:uid="{00000000-0005-0000-0000-0000E0810000}"/>
    <cellStyle name="Normal 39 3 4 2 2" xfId="40320" xr:uid="{00000000-0005-0000-0000-0000E1810000}"/>
    <cellStyle name="Normal 39 3 4 3" xfId="30291" xr:uid="{00000000-0005-0000-0000-0000E2810000}"/>
    <cellStyle name="Normal 39 3 5" xfId="30292" xr:uid="{00000000-0005-0000-0000-0000E3810000}"/>
    <cellStyle name="Normal 39 3 5 2" xfId="40321" xr:uid="{00000000-0005-0000-0000-0000E4810000}"/>
    <cellStyle name="Normal 39 3 6" xfId="30293" xr:uid="{00000000-0005-0000-0000-0000E5810000}"/>
    <cellStyle name="Normal 39 4" xfId="30294" xr:uid="{00000000-0005-0000-0000-0000E6810000}"/>
    <cellStyle name="Normal 39 4 2" xfId="30295" xr:uid="{00000000-0005-0000-0000-0000E7810000}"/>
    <cellStyle name="Normal 39 4 2 2" xfId="30296" xr:uid="{00000000-0005-0000-0000-0000E8810000}"/>
    <cellStyle name="Normal 39 4 2 2 2" xfId="40322" xr:uid="{00000000-0005-0000-0000-0000E9810000}"/>
    <cellStyle name="Normal 39 4 2 3" xfId="30297" xr:uid="{00000000-0005-0000-0000-0000EA810000}"/>
    <cellStyle name="Normal 39 4 3" xfId="30298" xr:uid="{00000000-0005-0000-0000-0000EB810000}"/>
    <cellStyle name="Normal 39 4 3 2" xfId="30299" xr:uid="{00000000-0005-0000-0000-0000EC810000}"/>
    <cellStyle name="Normal 39 4 3 2 2" xfId="40323" xr:uid="{00000000-0005-0000-0000-0000ED810000}"/>
    <cellStyle name="Normal 39 4 3 3" xfId="30300" xr:uid="{00000000-0005-0000-0000-0000EE810000}"/>
    <cellStyle name="Normal 39 4 4" xfId="30301" xr:uid="{00000000-0005-0000-0000-0000EF810000}"/>
    <cellStyle name="Normal 39 4 4 2" xfId="40324" xr:uid="{00000000-0005-0000-0000-0000F0810000}"/>
    <cellStyle name="Normal 39 4 5" xfId="30302" xr:uid="{00000000-0005-0000-0000-0000F1810000}"/>
    <cellStyle name="Normal 39 5" xfId="30303" xr:uid="{00000000-0005-0000-0000-0000F2810000}"/>
    <cellStyle name="Normal 39 5 2" xfId="30304" xr:uid="{00000000-0005-0000-0000-0000F3810000}"/>
    <cellStyle name="Normal 39 5 2 2" xfId="40325" xr:uid="{00000000-0005-0000-0000-0000F4810000}"/>
    <cellStyle name="Normal 39 5 3" xfId="30305" xr:uid="{00000000-0005-0000-0000-0000F5810000}"/>
    <cellStyle name="Normal 39 6" xfId="30306" xr:uid="{00000000-0005-0000-0000-0000F6810000}"/>
    <cellStyle name="Normal 39 6 2" xfId="30307" xr:uid="{00000000-0005-0000-0000-0000F7810000}"/>
    <cellStyle name="Normal 39 6 2 2" xfId="40326" xr:uid="{00000000-0005-0000-0000-0000F8810000}"/>
    <cellStyle name="Normal 39 6 3" xfId="30308" xr:uid="{00000000-0005-0000-0000-0000F9810000}"/>
    <cellStyle name="Normal 39 7" xfId="30309" xr:uid="{00000000-0005-0000-0000-0000FA810000}"/>
    <cellStyle name="Normal 39 7 2" xfId="40327" xr:uid="{00000000-0005-0000-0000-0000FB810000}"/>
    <cellStyle name="Normal 39 8" xfId="30310" xr:uid="{00000000-0005-0000-0000-0000FC810000}"/>
    <cellStyle name="Normal 39 9" xfId="40328" xr:uid="{00000000-0005-0000-0000-0000FD810000}"/>
    <cellStyle name="Normal 4" xfId="45" xr:uid="{00000000-0005-0000-0000-0000FE810000}"/>
    <cellStyle name="Normal 4 10" xfId="43310" xr:uid="{00000000-0005-0000-0000-0000FF810000}"/>
    <cellStyle name="Normal 4 11" xfId="43311" xr:uid="{00000000-0005-0000-0000-000000820000}"/>
    <cellStyle name="Normal 4 12" xfId="43873" xr:uid="{00000000-0005-0000-0000-000001820000}"/>
    <cellStyle name="Normal 4 13" xfId="46255" xr:uid="{00000000-0005-0000-0000-000002820000}"/>
    <cellStyle name="Normal 4 2" xfId="46" xr:uid="{00000000-0005-0000-0000-000003820000}"/>
    <cellStyle name="Normal 4 2 10" xfId="43312" xr:uid="{00000000-0005-0000-0000-000004820000}"/>
    <cellStyle name="Normal 4 2 10 2" xfId="43313" xr:uid="{00000000-0005-0000-0000-000005820000}"/>
    <cellStyle name="Normal 4 2 11" xfId="43314" xr:uid="{00000000-0005-0000-0000-000006820000}"/>
    <cellStyle name="Normal 4 2 11 2" xfId="43315" xr:uid="{00000000-0005-0000-0000-000007820000}"/>
    <cellStyle name="Normal 4 2 12" xfId="43316" xr:uid="{00000000-0005-0000-0000-000008820000}"/>
    <cellStyle name="Normal 4 2 12 2" xfId="43317" xr:uid="{00000000-0005-0000-0000-000009820000}"/>
    <cellStyle name="Normal 4 2 13" xfId="43318" xr:uid="{00000000-0005-0000-0000-00000A820000}"/>
    <cellStyle name="Normal 4 2 14" xfId="42519" xr:uid="{00000000-0005-0000-0000-00000B820000}"/>
    <cellStyle name="Normal 4 2 15" xfId="46256" xr:uid="{00000000-0005-0000-0000-00000C820000}"/>
    <cellStyle name="Normal 4 2 16" xfId="46257" xr:uid="{00000000-0005-0000-0000-00000D820000}"/>
    <cellStyle name="Normal 4 2 2" xfId="460" xr:uid="{00000000-0005-0000-0000-00000E820000}"/>
    <cellStyle name="Normal 4 2 2 2" xfId="1648" xr:uid="{00000000-0005-0000-0000-00000F820000}"/>
    <cellStyle name="Normal 4 2 2 2 2" xfId="30311" xr:uid="{00000000-0005-0000-0000-000010820000}"/>
    <cellStyle name="Normal 4 2 2 2 2 2" xfId="30312" xr:uid="{00000000-0005-0000-0000-000011820000}"/>
    <cellStyle name="Normal 4 2 2 2 2 2 2" xfId="40329" xr:uid="{00000000-0005-0000-0000-000012820000}"/>
    <cellStyle name="Normal 4 2 2 2 2 3" xfId="30313" xr:uid="{00000000-0005-0000-0000-000013820000}"/>
    <cellStyle name="Normal 4 2 2 2 2 3 2" xfId="43319" xr:uid="{00000000-0005-0000-0000-000014820000}"/>
    <cellStyle name="Normal 4 2 2 2 2 4" xfId="43320" xr:uid="{00000000-0005-0000-0000-000015820000}"/>
    <cellStyle name="Normal 4 2 2 2 2 4 2" xfId="43321" xr:uid="{00000000-0005-0000-0000-000016820000}"/>
    <cellStyle name="Normal 4 2 2 2 2 5" xfId="43322" xr:uid="{00000000-0005-0000-0000-000017820000}"/>
    <cellStyle name="Normal 4 2 2 2 3" xfId="30314" xr:uid="{00000000-0005-0000-0000-000018820000}"/>
    <cellStyle name="Normal 4 2 2 2 3 2" xfId="30315" xr:uid="{00000000-0005-0000-0000-000019820000}"/>
    <cellStyle name="Normal 4 2 2 2 3 2 2" xfId="40330" xr:uid="{00000000-0005-0000-0000-00001A820000}"/>
    <cellStyle name="Normal 4 2 2 2 3 3" xfId="30316" xr:uid="{00000000-0005-0000-0000-00001B820000}"/>
    <cellStyle name="Normal 4 2 2 2 4" xfId="30317" xr:uid="{00000000-0005-0000-0000-00001C820000}"/>
    <cellStyle name="Normal 4 2 2 2 4 2" xfId="40331" xr:uid="{00000000-0005-0000-0000-00001D820000}"/>
    <cellStyle name="Normal 4 2 2 2 5" xfId="30318" xr:uid="{00000000-0005-0000-0000-00001E820000}"/>
    <cellStyle name="Normal 4 2 2 2 5 2" xfId="43323" xr:uid="{00000000-0005-0000-0000-00001F820000}"/>
    <cellStyle name="Normal 4 2 2 2 6" xfId="43324" xr:uid="{00000000-0005-0000-0000-000020820000}"/>
    <cellStyle name="Normal 4 2 2 2 7" xfId="45508" xr:uid="{00000000-0005-0000-0000-000021820000}"/>
    <cellStyle name="Normal 4 2 2 3" xfId="30319" xr:uid="{00000000-0005-0000-0000-000022820000}"/>
    <cellStyle name="Normal 4 2 2 3 2" xfId="30320" xr:uid="{00000000-0005-0000-0000-000023820000}"/>
    <cellStyle name="Normal 4 2 2 3 2 2" xfId="40332" xr:uid="{00000000-0005-0000-0000-000024820000}"/>
    <cellStyle name="Normal 4 2 2 3 3" xfId="30321" xr:uid="{00000000-0005-0000-0000-000025820000}"/>
    <cellStyle name="Normal 4 2 2 3 4" xfId="43325" xr:uid="{00000000-0005-0000-0000-000026820000}"/>
    <cellStyle name="Normal 4 2 2 3 5" xfId="45509" xr:uid="{00000000-0005-0000-0000-000027820000}"/>
    <cellStyle name="Normal 4 2 2 4" xfId="30322" xr:uid="{00000000-0005-0000-0000-000028820000}"/>
    <cellStyle name="Normal 4 2 2 4 2" xfId="30323" xr:uid="{00000000-0005-0000-0000-000029820000}"/>
    <cellStyle name="Normal 4 2 2 4 2 2" xfId="40333" xr:uid="{00000000-0005-0000-0000-00002A820000}"/>
    <cellStyle name="Normal 4 2 2 4 3" xfId="30324" xr:uid="{00000000-0005-0000-0000-00002B820000}"/>
    <cellStyle name="Normal 4 2 2 5" xfId="30325" xr:uid="{00000000-0005-0000-0000-00002C820000}"/>
    <cellStyle name="Normal 4 2 2 5 2" xfId="40334" xr:uid="{00000000-0005-0000-0000-00002D820000}"/>
    <cellStyle name="Normal 4 2 2 6" xfId="30326" xr:uid="{00000000-0005-0000-0000-00002E820000}"/>
    <cellStyle name="Normal 4 2 2 6 2" xfId="43326" xr:uid="{00000000-0005-0000-0000-00002F820000}"/>
    <cellStyle name="Normal 4 2 2 7" xfId="40335" xr:uid="{00000000-0005-0000-0000-000030820000}"/>
    <cellStyle name="Normal 4 2 2_Net Zero &amp; QRP Award" xfId="43327" xr:uid="{00000000-0005-0000-0000-000031820000}"/>
    <cellStyle name="Normal 4 2 3" xfId="461" xr:uid="{00000000-0005-0000-0000-000032820000}"/>
    <cellStyle name="Normal 4 2 3 2" xfId="30327" xr:uid="{00000000-0005-0000-0000-000033820000}"/>
    <cellStyle name="Normal 4 2 3 2 2" xfId="30328" xr:uid="{00000000-0005-0000-0000-000034820000}"/>
    <cellStyle name="Normal 4 2 3 2 2 2" xfId="40336" xr:uid="{00000000-0005-0000-0000-000035820000}"/>
    <cellStyle name="Normal 4 2 3 2 3" xfId="30329" xr:uid="{00000000-0005-0000-0000-000036820000}"/>
    <cellStyle name="Normal 4 2 3 2 3 2" xfId="43328" xr:uid="{00000000-0005-0000-0000-000037820000}"/>
    <cellStyle name="Normal 4 2 3 2 4" xfId="30330" xr:uid="{00000000-0005-0000-0000-000038820000}"/>
    <cellStyle name="Normal 4 2 3 2 4 2" xfId="43329" xr:uid="{00000000-0005-0000-0000-000039820000}"/>
    <cellStyle name="Normal 4 2 3 2 5" xfId="43330" xr:uid="{00000000-0005-0000-0000-00003A820000}"/>
    <cellStyle name="Normal 4 2 3 2 6" xfId="45510" xr:uid="{00000000-0005-0000-0000-00003B820000}"/>
    <cellStyle name="Normal 4 2 3 3" xfId="30331" xr:uid="{00000000-0005-0000-0000-00003C820000}"/>
    <cellStyle name="Normal 4 2 3 3 2" xfId="30332" xr:uid="{00000000-0005-0000-0000-00003D820000}"/>
    <cellStyle name="Normal 4 2 3 3 2 2" xfId="40337" xr:uid="{00000000-0005-0000-0000-00003E820000}"/>
    <cellStyle name="Normal 4 2 3 3 3" xfId="30333" xr:uid="{00000000-0005-0000-0000-00003F820000}"/>
    <cellStyle name="Normal 4 2 3 4" xfId="30334" xr:uid="{00000000-0005-0000-0000-000040820000}"/>
    <cellStyle name="Normal 4 2 3 4 2" xfId="40338" xr:uid="{00000000-0005-0000-0000-000041820000}"/>
    <cellStyle name="Normal 4 2 3 5" xfId="30335" xr:uid="{00000000-0005-0000-0000-000042820000}"/>
    <cellStyle name="Normal 4 2 3 5 2" xfId="43331" xr:uid="{00000000-0005-0000-0000-000043820000}"/>
    <cellStyle name="Normal 4 2 3 6" xfId="43332" xr:uid="{00000000-0005-0000-0000-000044820000}"/>
    <cellStyle name="Normal 4 2 4" xfId="1649" xr:uid="{00000000-0005-0000-0000-000045820000}"/>
    <cellStyle name="Normal 4 2 4 2" xfId="30336" xr:uid="{00000000-0005-0000-0000-000046820000}"/>
    <cellStyle name="Normal 4 2 4 2 2" xfId="40339" xr:uid="{00000000-0005-0000-0000-000047820000}"/>
    <cellStyle name="Normal 4 2 4 2 2 2" xfId="43333" xr:uid="{00000000-0005-0000-0000-000048820000}"/>
    <cellStyle name="Normal 4 2 4 2 3" xfId="43334" xr:uid="{00000000-0005-0000-0000-000049820000}"/>
    <cellStyle name="Normal 4 2 4 2 3 2" xfId="43335" xr:uid="{00000000-0005-0000-0000-00004A820000}"/>
    <cellStyle name="Normal 4 2 4 2 4" xfId="43336" xr:uid="{00000000-0005-0000-0000-00004B820000}"/>
    <cellStyle name="Normal 4 2 4 2 4 2" xfId="43337" xr:uid="{00000000-0005-0000-0000-00004C820000}"/>
    <cellStyle name="Normal 4 2 4 2 5" xfId="43338" xr:uid="{00000000-0005-0000-0000-00004D820000}"/>
    <cellStyle name="Normal 4 2 4 3" xfId="30337" xr:uid="{00000000-0005-0000-0000-00004E820000}"/>
    <cellStyle name="Normal 4 2 4 3 2" xfId="43339" xr:uid="{00000000-0005-0000-0000-00004F820000}"/>
    <cellStyle name="Normal 4 2 4 4" xfId="43340" xr:uid="{00000000-0005-0000-0000-000050820000}"/>
    <cellStyle name="Normal 4 2 4 4 2" xfId="43341" xr:uid="{00000000-0005-0000-0000-000051820000}"/>
    <cellStyle name="Normal 4 2 4 5" xfId="43342" xr:uid="{00000000-0005-0000-0000-000052820000}"/>
    <cellStyle name="Normal 4 2 4 5 2" xfId="43343" xr:uid="{00000000-0005-0000-0000-000053820000}"/>
    <cellStyle name="Normal 4 2 4 6" xfId="43344" xr:uid="{00000000-0005-0000-0000-000054820000}"/>
    <cellStyle name="Normal 4 2 4 7" xfId="45511" xr:uid="{00000000-0005-0000-0000-000055820000}"/>
    <cellStyle name="Normal 4 2 5" xfId="30338" xr:uid="{00000000-0005-0000-0000-000056820000}"/>
    <cellStyle name="Normal 4 2 5 2" xfId="30339" xr:uid="{00000000-0005-0000-0000-000057820000}"/>
    <cellStyle name="Normal 4 2 5 2 2" xfId="40340" xr:uid="{00000000-0005-0000-0000-000058820000}"/>
    <cellStyle name="Normal 4 2 5 2 2 2" xfId="43345" xr:uid="{00000000-0005-0000-0000-000059820000}"/>
    <cellStyle name="Normal 4 2 5 2 3" xfId="43346" xr:uid="{00000000-0005-0000-0000-00005A820000}"/>
    <cellStyle name="Normal 4 2 5 2 3 2" xfId="43347" xr:uid="{00000000-0005-0000-0000-00005B820000}"/>
    <cellStyle name="Normal 4 2 5 2 4" xfId="43348" xr:uid="{00000000-0005-0000-0000-00005C820000}"/>
    <cellStyle name="Normal 4 2 5 2 4 2" xfId="43349" xr:uid="{00000000-0005-0000-0000-00005D820000}"/>
    <cellStyle name="Normal 4 2 5 2 5" xfId="43350" xr:uid="{00000000-0005-0000-0000-00005E820000}"/>
    <cellStyle name="Normal 4 2 5 3" xfId="30340" xr:uid="{00000000-0005-0000-0000-00005F820000}"/>
    <cellStyle name="Normal 4 2 5 3 2" xfId="43351" xr:uid="{00000000-0005-0000-0000-000060820000}"/>
    <cellStyle name="Normal 4 2 5 4" xfId="43352" xr:uid="{00000000-0005-0000-0000-000061820000}"/>
    <cellStyle name="Normal 4 2 5 4 2" xfId="43353" xr:uid="{00000000-0005-0000-0000-000062820000}"/>
    <cellStyle name="Normal 4 2 5 5" xfId="43354" xr:uid="{00000000-0005-0000-0000-000063820000}"/>
    <cellStyle name="Normal 4 2 5 5 2" xfId="43355" xr:uid="{00000000-0005-0000-0000-000064820000}"/>
    <cellStyle name="Normal 4 2 5 6" xfId="43356" xr:uid="{00000000-0005-0000-0000-000065820000}"/>
    <cellStyle name="Normal 4 2 5 7" xfId="45512" xr:uid="{00000000-0005-0000-0000-000066820000}"/>
    <cellStyle name="Normal 4 2 6" xfId="30341" xr:uid="{00000000-0005-0000-0000-000067820000}"/>
    <cellStyle name="Normal 4 2 6 2" xfId="40341" xr:uid="{00000000-0005-0000-0000-000068820000}"/>
    <cellStyle name="Normal 4 2 6 3" xfId="43357" xr:uid="{00000000-0005-0000-0000-000069820000}"/>
    <cellStyle name="Normal 4 2 6 4" xfId="45513" xr:uid="{00000000-0005-0000-0000-00006A820000}"/>
    <cellStyle name="Normal 4 2 7" xfId="30342" xr:uid="{00000000-0005-0000-0000-00006B820000}"/>
    <cellStyle name="Normal 4 2 7 2" xfId="43358" xr:uid="{00000000-0005-0000-0000-00006C820000}"/>
    <cellStyle name="Normal 4 2 7 2 2" xfId="43359" xr:uid="{00000000-0005-0000-0000-00006D820000}"/>
    <cellStyle name="Normal 4 2 7 3" xfId="43360" xr:uid="{00000000-0005-0000-0000-00006E820000}"/>
    <cellStyle name="Normal 4 2 7 3 2" xfId="43361" xr:uid="{00000000-0005-0000-0000-00006F820000}"/>
    <cellStyle name="Normal 4 2 7 4" xfId="43362" xr:uid="{00000000-0005-0000-0000-000070820000}"/>
    <cellStyle name="Normal 4 2 7 4 2" xfId="43363" xr:uid="{00000000-0005-0000-0000-000071820000}"/>
    <cellStyle name="Normal 4 2 7 5" xfId="43364" xr:uid="{00000000-0005-0000-0000-000072820000}"/>
    <cellStyle name="Normal 4 2 8" xfId="40342" xr:uid="{00000000-0005-0000-0000-000073820000}"/>
    <cellStyle name="Normal 4 2 8 2" xfId="43365" xr:uid="{00000000-0005-0000-0000-000074820000}"/>
    <cellStyle name="Normal 4 2 8 2 2" xfId="43366" xr:uid="{00000000-0005-0000-0000-000075820000}"/>
    <cellStyle name="Normal 4 2 8 3" xfId="43367" xr:uid="{00000000-0005-0000-0000-000076820000}"/>
    <cellStyle name="Normal 4 2 8 3 2" xfId="43368" xr:uid="{00000000-0005-0000-0000-000077820000}"/>
    <cellStyle name="Normal 4 2 8 4" xfId="43369" xr:uid="{00000000-0005-0000-0000-000078820000}"/>
    <cellStyle name="Normal 4 2 8 4 2" xfId="43370" xr:uid="{00000000-0005-0000-0000-000079820000}"/>
    <cellStyle name="Normal 4 2 8 5" xfId="43371" xr:uid="{00000000-0005-0000-0000-00007A820000}"/>
    <cellStyle name="Normal 4 2 9" xfId="43372" xr:uid="{00000000-0005-0000-0000-00007B820000}"/>
    <cellStyle name="Normal 4 2 9 2" xfId="43373" xr:uid="{00000000-0005-0000-0000-00007C820000}"/>
    <cellStyle name="Normal 4 2 9 2 2" xfId="43374" xr:uid="{00000000-0005-0000-0000-00007D820000}"/>
    <cellStyle name="Normal 4 2 9 3" xfId="43375" xr:uid="{00000000-0005-0000-0000-00007E820000}"/>
    <cellStyle name="Normal 4 2 9 3 2" xfId="43376" xr:uid="{00000000-0005-0000-0000-00007F820000}"/>
    <cellStyle name="Normal 4 2 9 4" xfId="43377" xr:uid="{00000000-0005-0000-0000-000080820000}"/>
    <cellStyle name="Normal 4 2 9 4 2" xfId="43378" xr:uid="{00000000-0005-0000-0000-000081820000}"/>
    <cellStyle name="Normal 4 2 9 5" xfId="43379" xr:uid="{00000000-0005-0000-0000-000082820000}"/>
    <cellStyle name="Normal 4 2_Net Zero &amp; QRP Award" xfId="43380" xr:uid="{00000000-0005-0000-0000-000083820000}"/>
    <cellStyle name="Normal 4 3" xfId="47" xr:uid="{00000000-0005-0000-0000-000084820000}"/>
    <cellStyle name="Normal 4 3 10" xfId="43381" xr:uid="{00000000-0005-0000-0000-000085820000}"/>
    <cellStyle name="Normal 4 3 10 2" xfId="43382" xr:uid="{00000000-0005-0000-0000-000086820000}"/>
    <cellStyle name="Normal 4 3 11" xfId="43383" xr:uid="{00000000-0005-0000-0000-000087820000}"/>
    <cellStyle name="Normal 4 3 11 2" xfId="43384" xr:uid="{00000000-0005-0000-0000-000088820000}"/>
    <cellStyle name="Normal 4 3 12" xfId="43385" xr:uid="{00000000-0005-0000-0000-000089820000}"/>
    <cellStyle name="Normal 4 3 13" xfId="45514" xr:uid="{00000000-0005-0000-0000-00008A820000}"/>
    <cellStyle name="Normal 4 3 2" xfId="74" xr:uid="{00000000-0005-0000-0000-00008B820000}"/>
    <cellStyle name="Normal 4 3 2 2" xfId="1650" xr:uid="{00000000-0005-0000-0000-00008C820000}"/>
    <cellStyle name="Normal 4 3 2 2 2" xfId="30343" xr:uid="{00000000-0005-0000-0000-00008D820000}"/>
    <cellStyle name="Normal 4 3 2 2 2 2" xfId="43387" xr:uid="{00000000-0005-0000-0000-00008E820000}"/>
    <cellStyle name="Normal 4 3 2 2 2 2 2" xfId="43388" xr:uid="{00000000-0005-0000-0000-00008F820000}"/>
    <cellStyle name="Normal 4 3 2 2 2 3" xfId="43389" xr:uid="{00000000-0005-0000-0000-000090820000}"/>
    <cellStyle name="Normal 4 3 2 2 2 3 2" xfId="43390" xr:uid="{00000000-0005-0000-0000-000091820000}"/>
    <cellStyle name="Normal 4 3 2 2 2 4" xfId="43391" xr:uid="{00000000-0005-0000-0000-000092820000}"/>
    <cellStyle name="Normal 4 3 2 2 2 4 2" xfId="43392" xr:uid="{00000000-0005-0000-0000-000093820000}"/>
    <cellStyle name="Normal 4 3 2 2 2 5" xfId="43393" xr:uid="{00000000-0005-0000-0000-000094820000}"/>
    <cellStyle name="Normal 4 3 2 2 2 6" xfId="43386" xr:uid="{00000000-0005-0000-0000-000095820000}"/>
    <cellStyle name="Normal 4 3 2 2 2 7" xfId="45515" xr:uid="{00000000-0005-0000-0000-000096820000}"/>
    <cellStyle name="Normal 4 3 2 2 3" xfId="43394" xr:uid="{00000000-0005-0000-0000-000097820000}"/>
    <cellStyle name="Normal 4 3 2 2 3 2" xfId="43395" xr:uid="{00000000-0005-0000-0000-000098820000}"/>
    <cellStyle name="Normal 4 3 2 2 4" xfId="43396" xr:uid="{00000000-0005-0000-0000-000099820000}"/>
    <cellStyle name="Normal 4 3 2 2 4 2" xfId="43397" xr:uid="{00000000-0005-0000-0000-00009A820000}"/>
    <cellStyle name="Normal 4 3 2 2 5" xfId="43398" xr:uid="{00000000-0005-0000-0000-00009B820000}"/>
    <cellStyle name="Normal 4 3 2 2 5 2" xfId="43399" xr:uid="{00000000-0005-0000-0000-00009C820000}"/>
    <cellStyle name="Normal 4 3 2 2 6" xfId="43400" xr:uid="{00000000-0005-0000-0000-00009D820000}"/>
    <cellStyle name="Normal 4 3 2 3" xfId="30344" xr:uid="{00000000-0005-0000-0000-00009E820000}"/>
    <cellStyle name="Normal 4 3 2 3 2" xfId="40343" xr:uid="{00000000-0005-0000-0000-00009F820000}"/>
    <cellStyle name="Normal 4 3 2 3 2 2" xfId="43401" xr:uid="{00000000-0005-0000-0000-0000A0820000}"/>
    <cellStyle name="Normal 4 3 2 3 3" xfId="43402" xr:uid="{00000000-0005-0000-0000-0000A1820000}"/>
    <cellStyle name="Normal 4 3 2 3 3 2" xfId="43403" xr:uid="{00000000-0005-0000-0000-0000A2820000}"/>
    <cellStyle name="Normal 4 3 2 3 4" xfId="43404" xr:uid="{00000000-0005-0000-0000-0000A3820000}"/>
    <cellStyle name="Normal 4 3 2 3 4 2" xfId="43405" xr:uid="{00000000-0005-0000-0000-0000A4820000}"/>
    <cellStyle name="Normal 4 3 2 3 5" xfId="43406" xr:uid="{00000000-0005-0000-0000-0000A5820000}"/>
    <cellStyle name="Normal 4 3 2 4" xfId="40344" xr:uid="{00000000-0005-0000-0000-0000A6820000}"/>
    <cellStyle name="Normal 4 3 2 4 2" xfId="43407" xr:uid="{00000000-0005-0000-0000-0000A7820000}"/>
    <cellStyle name="Normal 4 3 2 5" xfId="40345" xr:uid="{00000000-0005-0000-0000-0000A8820000}"/>
    <cellStyle name="Normal 4 3 2 5 2" xfId="43408" xr:uid="{00000000-0005-0000-0000-0000A9820000}"/>
    <cellStyle name="Normal 4 3 2 6" xfId="43409" xr:uid="{00000000-0005-0000-0000-0000AA820000}"/>
    <cellStyle name="Normal 4 3 2 6 2" xfId="43410" xr:uid="{00000000-0005-0000-0000-0000AB820000}"/>
    <cellStyle name="Normal 4 3 2 7" xfId="43411" xr:uid="{00000000-0005-0000-0000-0000AC820000}"/>
    <cellStyle name="Normal 4 3 2 8" xfId="45516" xr:uid="{00000000-0005-0000-0000-0000AD820000}"/>
    <cellStyle name="Normal 4 3 2 9" xfId="46258" xr:uid="{00000000-0005-0000-0000-0000AE820000}"/>
    <cellStyle name="Normal 4 3 3" xfId="462" xr:uid="{00000000-0005-0000-0000-0000AF820000}"/>
    <cellStyle name="Normal 4 3 3 2" xfId="40346" xr:uid="{00000000-0005-0000-0000-0000B0820000}"/>
    <cellStyle name="Normal 4 3 3 2 2" xfId="43412" xr:uid="{00000000-0005-0000-0000-0000B1820000}"/>
    <cellStyle name="Normal 4 3 3 2 2 2" xfId="43413" xr:uid="{00000000-0005-0000-0000-0000B2820000}"/>
    <cellStyle name="Normal 4 3 3 2 3" xfId="43414" xr:uid="{00000000-0005-0000-0000-0000B3820000}"/>
    <cellStyle name="Normal 4 3 3 2 3 2" xfId="43415" xr:uid="{00000000-0005-0000-0000-0000B4820000}"/>
    <cellStyle name="Normal 4 3 3 2 4" xfId="43416" xr:uid="{00000000-0005-0000-0000-0000B5820000}"/>
    <cellStyle name="Normal 4 3 3 2 4 2" xfId="43417" xr:uid="{00000000-0005-0000-0000-0000B6820000}"/>
    <cellStyle name="Normal 4 3 3 2 5" xfId="43418" xr:uid="{00000000-0005-0000-0000-0000B7820000}"/>
    <cellStyle name="Normal 4 3 3 3" xfId="43419" xr:uid="{00000000-0005-0000-0000-0000B8820000}"/>
    <cellStyle name="Normal 4 3 3 3 2" xfId="43420" xr:uid="{00000000-0005-0000-0000-0000B9820000}"/>
    <cellStyle name="Normal 4 3 3 4" xfId="43421" xr:uid="{00000000-0005-0000-0000-0000BA820000}"/>
    <cellStyle name="Normal 4 3 3 4 2" xfId="43422" xr:uid="{00000000-0005-0000-0000-0000BB820000}"/>
    <cellStyle name="Normal 4 3 3 5" xfId="43423" xr:uid="{00000000-0005-0000-0000-0000BC820000}"/>
    <cellStyle name="Normal 4 3 3 5 2" xfId="43424" xr:uid="{00000000-0005-0000-0000-0000BD820000}"/>
    <cellStyle name="Normal 4 3 3 6" xfId="43425" xr:uid="{00000000-0005-0000-0000-0000BE820000}"/>
    <cellStyle name="Normal 4 3 4" xfId="2591" xr:uid="{00000000-0005-0000-0000-0000BF820000}"/>
    <cellStyle name="Normal 4 3 4 2" xfId="40347" xr:uid="{00000000-0005-0000-0000-0000C0820000}"/>
    <cellStyle name="Normal 4 3 4 2 2" xfId="43426" xr:uid="{00000000-0005-0000-0000-0000C1820000}"/>
    <cellStyle name="Normal 4 3 4 2 2 2" xfId="43427" xr:uid="{00000000-0005-0000-0000-0000C2820000}"/>
    <cellStyle name="Normal 4 3 4 2 3" xfId="43428" xr:uid="{00000000-0005-0000-0000-0000C3820000}"/>
    <cellStyle name="Normal 4 3 4 2 3 2" xfId="43429" xr:uid="{00000000-0005-0000-0000-0000C4820000}"/>
    <cellStyle name="Normal 4 3 4 2 4" xfId="43430" xr:uid="{00000000-0005-0000-0000-0000C5820000}"/>
    <cellStyle name="Normal 4 3 4 2 4 2" xfId="43431" xr:uid="{00000000-0005-0000-0000-0000C6820000}"/>
    <cellStyle name="Normal 4 3 4 2 5" xfId="43432" xr:uid="{00000000-0005-0000-0000-0000C7820000}"/>
    <cellStyle name="Normal 4 3 4 3" xfId="43433" xr:uid="{00000000-0005-0000-0000-0000C8820000}"/>
    <cellStyle name="Normal 4 3 4 3 2" xfId="43434" xr:uid="{00000000-0005-0000-0000-0000C9820000}"/>
    <cellStyle name="Normal 4 3 4 4" xfId="43435" xr:uid="{00000000-0005-0000-0000-0000CA820000}"/>
    <cellStyle name="Normal 4 3 4 4 2" xfId="43436" xr:uid="{00000000-0005-0000-0000-0000CB820000}"/>
    <cellStyle name="Normal 4 3 4 5" xfId="43437" xr:uid="{00000000-0005-0000-0000-0000CC820000}"/>
    <cellStyle name="Normal 4 3 4 5 2" xfId="43438" xr:uid="{00000000-0005-0000-0000-0000CD820000}"/>
    <cellStyle name="Normal 4 3 4 6" xfId="43439" xr:uid="{00000000-0005-0000-0000-0000CE820000}"/>
    <cellStyle name="Normal 4 3 4 7" xfId="45517" xr:uid="{00000000-0005-0000-0000-0000CF820000}"/>
    <cellStyle name="Normal 4 3 5" xfId="30345" xr:uid="{00000000-0005-0000-0000-0000D0820000}"/>
    <cellStyle name="Normal 4 3 5 2" xfId="40348" xr:uid="{00000000-0005-0000-0000-0000D1820000}"/>
    <cellStyle name="Normal 4 3 5 3" xfId="43440" xr:uid="{00000000-0005-0000-0000-0000D2820000}"/>
    <cellStyle name="Normal 4 3 5 4" xfId="45518" xr:uid="{00000000-0005-0000-0000-0000D3820000}"/>
    <cellStyle name="Normal 4 3 6" xfId="40349" xr:uid="{00000000-0005-0000-0000-0000D4820000}"/>
    <cellStyle name="Normal 4 3 6 2" xfId="43441" xr:uid="{00000000-0005-0000-0000-0000D5820000}"/>
    <cellStyle name="Normal 4 3 6 2 2" xfId="43442" xr:uid="{00000000-0005-0000-0000-0000D6820000}"/>
    <cellStyle name="Normal 4 3 6 3" xfId="43443" xr:uid="{00000000-0005-0000-0000-0000D7820000}"/>
    <cellStyle name="Normal 4 3 6 3 2" xfId="43444" xr:uid="{00000000-0005-0000-0000-0000D8820000}"/>
    <cellStyle name="Normal 4 3 6 4" xfId="43445" xr:uid="{00000000-0005-0000-0000-0000D9820000}"/>
    <cellStyle name="Normal 4 3 6 4 2" xfId="43446" xr:uid="{00000000-0005-0000-0000-0000DA820000}"/>
    <cellStyle name="Normal 4 3 6 5" xfId="43447" xr:uid="{00000000-0005-0000-0000-0000DB820000}"/>
    <cellStyle name="Normal 4 3 7" xfId="40350" xr:uid="{00000000-0005-0000-0000-0000DC820000}"/>
    <cellStyle name="Normal 4 3 7 2" xfId="43448" xr:uid="{00000000-0005-0000-0000-0000DD820000}"/>
    <cellStyle name="Normal 4 3 7 2 2" xfId="43449" xr:uid="{00000000-0005-0000-0000-0000DE820000}"/>
    <cellStyle name="Normal 4 3 7 3" xfId="43450" xr:uid="{00000000-0005-0000-0000-0000DF820000}"/>
    <cellStyle name="Normal 4 3 7 3 2" xfId="43451" xr:uid="{00000000-0005-0000-0000-0000E0820000}"/>
    <cellStyle name="Normal 4 3 7 4" xfId="43452" xr:uid="{00000000-0005-0000-0000-0000E1820000}"/>
    <cellStyle name="Normal 4 3 7 4 2" xfId="43453" xr:uid="{00000000-0005-0000-0000-0000E2820000}"/>
    <cellStyle name="Normal 4 3 7 5" xfId="43454" xr:uid="{00000000-0005-0000-0000-0000E3820000}"/>
    <cellStyle name="Normal 4 3 8" xfId="43455" xr:uid="{00000000-0005-0000-0000-0000E4820000}"/>
    <cellStyle name="Normal 4 3 8 2" xfId="43456" xr:uid="{00000000-0005-0000-0000-0000E5820000}"/>
    <cellStyle name="Normal 4 3 8 2 2" xfId="43457" xr:uid="{00000000-0005-0000-0000-0000E6820000}"/>
    <cellStyle name="Normal 4 3 8 3" xfId="43458" xr:uid="{00000000-0005-0000-0000-0000E7820000}"/>
    <cellStyle name="Normal 4 3 8 3 2" xfId="43459" xr:uid="{00000000-0005-0000-0000-0000E8820000}"/>
    <cellStyle name="Normal 4 3 8 4" xfId="43460" xr:uid="{00000000-0005-0000-0000-0000E9820000}"/>
    <cellStyle name="Normal 4 3 8 4 2" xfId="43461" xr:uid="{00000000-0005-0000-0000-0000EA820000}"/>
    <cellStyle name="Normal 4 3 8 5" xfId="43462" xr:uid="{00000000-0005-0000-0000-0000EB820000}"/>
    <cellStyle name="Normal 4 3 9" xfId="43463" xr:uid="{00000000-0005-0000-0000-0000EC820000}"/>
    <cellStyle name="Normal 4 3 9 2" xfId="43464" xr:uid="{00000000-0005-0000-0000-0000ED820000}"/>
    <cellStyle name="Normal 4 3_Net Zero &amp; QRP Award" xfId="43465" xr:uid="{00000000-0005-0000-0000-0000EE820000}"/>
    <cellStyle name="Normal 4 4" xfId="463" xr:uid="{00000000-0005-0000-0000-0000EF820000}"/>
    <cellStyle name="Normal 4 4 10" xfId="43466" xr:uid="{00000000-0005-0000-0000-0000F0820000}"/>
    <cellStyle name="Normal 4 4 10 2" xfId="43467" xr:uid="{00000000-0005-0000-0000-0000F1820000}"/>
    <cellStyle name="Normal 4 4 11" xfId="43468" xr:uid="{00000000-0005-0000-0000-0000F2820000}"/>
    <cellStyle name="Normal 4 4 11 2" xfId="43469" xr:uid="{00000000-0005-0000-0000-0000F3820000}"/>
    <cellStyle name="Normal 4 4 12" xfId="43470" xr:uid="{00000000-0005-0000-0000-0000F4820000}"/>
    <cellStyle name="Normal 4 4 12 2" xfId="43471" xr:uid="{00000000-0005-0000-0000-0000F5820000}"/>
    <cellStyle name="Normal 4 4 13" xfId="43472" xr:uid="{00000000-0005-0000-0000-0000F6820000}"/>
    <cellStyle name="Normal 4 4 14" xfId="42520" xr:uid="{00000000-0005-0000-0000-0000F7820000}"/>
    <cellStyle name="Normal 4 4 2" xfId="1651" xr:uid="{00000000-0005-0000-0000-0000F8820000}"/>
    <cellStyle name="Normal 4 4 2 2" xfId="40351" xr:uid="{00000000-0005-0000-0000-0000F9820000}"/>
    <cellStyle name="Normal 4 4 2 2 2" xfId="43473" xr:uid="{00000000-0005-0000-0000-0000FA820000}"/>
    <cellStyle name="Normal 4 4 2 2 2 2" xfId="43474" xr:uid="{00000000-0005-0000-0000-0000FB820000}"/>
    <cellStyle name="Normal 4 4 2 2 3" xfId="43475" xr:uid="{00000000-0005-0000-0000-0000FC820000}"/>
    <cellStyle name="Normal 4 4 2 2 3 2" xfId="43476" xr:uid="{00000000-0005-0000-0000-0000FD820000}"/>
    <cellStyle name="Normal 4 4 2 2 4" xfId="43477" xr:uid="{00000000-0005-0000-0000-0000FE820000}"/>
    <cellStyle name="Normal 4 4 2 2 4 2" xfId="43478" xr:uid="{00000000-0005-0000-0000-0000FF820000}"/>
    <cellStyle name="Normal 4 4 2 2 5" xfId="43479" xr:uid="{00000000-0005-0000-0000-000000830000}"/>
    <cellStyle name="Normal 4 4 2 3" xfId="43480" xr:uid="{00000000-0005-0000-0000-000001830000}"/>
    <cellStyle name="Normal 4 4 2 3 2" xfId="43481" xr:uid="{00000000-0005-0000-0000-000002830000}"/>
    <cellStyle name="Normal 4 4 2 4" xfId="43482" xr:uid="{00000000-0005-0000-0000-000003830000}"/>
    <cellStyle name="Normal 4 4 2 4 2" xfId="43483" xr:uid="{00000000-0005-0000-0000-000004830000}"/>
    <cellStyle name="Normal 4 4 2 5" xfId="43484" xr:uid="{00000000-0005-0000-0000-000005830000}"/>
    <cellStyle name="Normal 4 4 2 5 2" xfId="43485" xr:uid="{00000000-0005-0000-0000-000006830000}"/>
    <cellStyle name="Normal 4 4 2 6" xfId="43486" xr:uid="{00000000-0005-0000-0000-000007830000}"/>
    <cellStyle name="Normal 4 4 2 7" xfId="45519" xr:uid="{00000000-0005-0000-0000-000008830000}"/>
    <cellStyle name="Normal 4 4 3" xfId="30346" xr:uid="{00000000-0005-0000-0000-000009830000}"/>
    <cellStyle name="Normal 4 4 3 2" xfId="43488" xr:uid="{00000000-0005-0000-0000-00000A830000}"/>
    <cellStyle name="Normal 4 4 3 2 2" xfId="43489" xr:uid="{00000000-0005-0000-0000-00000B830000}"/>
    <cellStyle name="Normal 4 4 3 2 2 2" xfId="43490" xr:uid="{00000000-0005-0000-0000-00000C830000}"/>
    <cellStyle name="Normal 4 4 3 2 3" xfId="43491" xr:uid="{00000000-0005-0000-0000-00000D830000}"/>
    <cellStyle name="Normal 4 4 3 2 3 2" xfId="43492" xr:uid="{00000000-0005-0000-0000-00000E830000}"/>
    <cellStyle name="Normal 4 4 3 2 4" xfId="43493" xr:uid="{00000000-0005-0000-0000-00000F830000}"/>
    <cellStyle name="Normal 4 4 3 2 4 2" xfId="43494" xr:uid="{00000000-0005-0000-0000-000010830000}"/>
    <cellStyle name="Normal 4 4 3 2 5" xfId="43495" xr:uid="{00000000-0005-0000-0000-000011830000}"/>
    <cellStyle name="Normal 4 4 3 3" xfId="43496" xr:uid="{00000000-0005-0000-0000-000012830000}"/>
    <cellStyle name="Normal 4 4 3 3 2" xfId="43497" xr:uid="{00000000-0005-0000-0000-000013830000}"/>
    <cellStyle name="Normal 4 4 3 4" xfId="43498" xr:uid="{00000000-0005-0000-0000-000014830000}"/>
    <cellStyle name="Normal 4 4 3 4 2" xfId="43499" xr:uid="{00000000-0005-0000-0000-000015830000}"/>
    <cellStyle name="Normal 4 4 3 5" xfId="43500" xr:uid="{00000000-0005-0000-0000-000016830000}"/>
    <cellStyle name="Normal 4 4 3 5 2" xfId="43501" xr:uid="{00000000-0005-0000-0000-000017830000}"/>
    <cellStyle name="Normal 4 4 3 6" xfId="43502" xr:uid="{00000000-0005-0000-0000-000018830000}"/>
    <cellStyle name="Normal 4 4 3 7" xfId="43487" xr:uid="{00000000-0005-0000-0000-000019830000}"/>
    <cellStyle name="Normal 4 4 3 8" xfId="45520" xr:uid="{00000000-0005-0000-0000-00001A830000}"/>
    <cellStyle name="Normal 4 4 4" xfId="40352" xr:uid="{00000000-0005-0000-0000-00001B830000}"/>
    <cellStyle name="Normal 4 4 4 2" xfId="43503" xr:uid="{00000000-0005-0000-0000-00001C830000}"/>
    <cellStyle name="Normal 4 4 4 2 2" xfId="43504" xr:uid="{00000000-0005-0000-0000-00001D830000}"/>
    <cellStyle name="Normal 4 4 4 2 2 2" xfId="43505" xr:uid="{00000000-0005-0000-0000-00001E830000}"/>
    <cellStyle name="Normal 4 4 4 2 3" xfId="43506" xr:uid="{00000000-0005-0000-0000-00001F830000}"/>
    <cellStyle name="Normal 4 4 4 2 3 2" xfId="43507" xr:uid="{00000000-0005-0000-0000-000020830000}"/>
    <cellStyle name="Normal 4 4 4 2 4" xfId="43508" xr:uid="{00000000-0005-0000-0000-000021830000}"/>
    <cellStyle name="Normal 4 4 4 2 4 2" xfId="43509" xr:uid="{00000000-0005-0000-0000-000022830000}"/>
    <cellStyle name="Normal 4 4 4 2 5" xfId="43510" xr:uid="{00000000-0005-0000-0000-000023830000}"/>
    <cellStyle name="Normal 4 4 4 3" xfId="43511" xr:uid="{00000000-0005-0000-0000-000024830000}"/>
    <cellStyle name="Normal 4 4 4 3 2" xfId="43512" xr:uid="{00000000-0005-0000-0000-000025830000}"/>
    <cellStyle name="Normal 4 4 4 4" xfId="43513" xr:uid="{00000000-0005-0000-0000-000026830000}"/>
    <cellStyle name="Normal 4 4 4 4 2" xfId="43514" xr:uid="{00000000-0005-0000-0000-000027830000}"/>
    <cellStyle name="Normal 4 4 4 5" xfId="43515" xr:uid="{00000000-0005-0000-0000-000028830000}"/>
    <cellStyle name="Normal 4 4 4 5 2" xfId="43516" xr:uid="{00000000-0005-0000-0000-000029830000}"/>
    <cellStyle name="Normal 4 4 4 6" xfId="43517" xr:uid="{00000000-0005-0000-0000-00002A830000}"/>
    <cellStyle name="Normal 4 4 5" xfId="43518" xr:uid="{00000000-0005-0000-0000-00002B830000}"/>
    <cellStyle name="Normal 4 4 5 2" xfId="43519" xr:uid="{00000000-0005-0000-0000-00002C830000}"/>
    <cellStyle name="Normal 4 4 5 2 2" xfId="43520" xr:uid="{00000000-0005-0000-0000-00002D830000}"/>
    <cellStyle name="Normal 4 4 5 2 2 2" xfId="43521" xr:uid="{00000000-0005-0000-0000-00002E830000}"/>
    <cellStyle name="Normal 4 4 5 2 3" xfId="43522" xr:uid="{00000000-0005-0000-0000-00002F830000}"/>
    <cellStyle name="Normal 4 4 5 2 3 2" xfId="43523" xr:uid="{00000000-0005-0000-0000-000030830000}"/>
    <cellStyle name="Normal 4 4 5 2 4" xfId="43524" xr:uid="{00000000-0005-0000-0000-000031830000}"/>
    <cellStyle name="Normal 4 4 5 2 4 2" xfId="43525" xr:uid="{00000000-0005-0000-0000-000032830000}"/>
    <cellStyle name="Normal 4 4 5 2 5" xfId="43526" xr:uid="{00000000-0005-0000-0000-000033830000}"/>
    <cellStyle name="Normal 4 4 5 3" xfId="43527" xr:uid="{00000000-0005-0000-0000-000034830000}"/>
    <cellStyle name="Normal 4 4 5 3 2" xfId="43528" xr:uid="{00000000-0005-0000-0000-000035830000}"/>
    <cellStyle name="Normal 4 4 5 4" xfId="43529" xr:uid="{00000000-0005-0000-0000-000036830000}"/>
    <cellStyle name="Normal 4 4 5 4 2" xfId="43530" xr:uid="{00000000-0005-0000-0000-000037830000}"/>
    <cellStyle name="Normal 4 4 5 5" xfId="43531" xr:uid="{00000000-0005-0000-0000-000038830000}"/>
    <cellStyle name="Normal 4 4 5 5 2" xfId="43532" xr:uid="{00000000-0005-0000-0000-000039830000}"/>
    <cellStyle name="Normal 4 4 5 6" xfId="43533" xr:uid="{00000000-0005-0000-0000-00003A830000}"/>
    <cellStyle name="Normal 4 4 6" xfId="43534" xr:uid="{00000000-0005-0000-0000-00003B830000}"/>
    <cellStyle name="Normal 4 4 6 2" xfId="43535" xr:uid="{00000000-0005-0000-0000-00003C830000}"/>
    <cellStyle name="Normal 4 4 6 2 2" xfId="43536" xr:uid="{00000000-0005-0000-0000-00003D830000}"/>
    <cellStyle name="Normal 4 4 6 3" xfId="43537" xr:uid="{00000000-0005-0000-0000-00003E830000}"/>
    <cellStyle name="Normal 4 4 6 3 2" xfId="43538" xr:uid="{00000000-0005-0000-0000-00003F830000}"/>
    <cellStyle name="Normal 4 4 6 4" xfId="43539" xr:uid="{00000000-0005-0000-0000-000040830000}"/>
    <cellStyle name="Normal 4 4 6 4 2" xfId="43540" xr:uid="{00000000-0005-0000-0000-000041830000}"/>
    <cellStyle name="Normal 4 4 6 5" xfId="43541" xr:uid="{00000000-0005-0000-0000-000042830000}"/>
    <cellStyle name="Normal 4 4 7" xfId="43542" xr:uid="{00000000-0005-0000-0000-000043830000}"/>
    <cellStyle name="Normal 4 4 7 2" xfId="43543" xr:uid="{00000000-0005-0000-0000-000044830000}"/>
    <cellStyle name="Normal 4 4 7 2 2" xfId="43544" xr:uid="{00000000-0005-0000-0000-000045830000}"/>
    <cellStyle name="Normal 4 4 7 3" xfId="43545" xr:uid="{00000000-0005-0000-0000-000046830000}"/>
    <cellStyle name="Normal 4 4 7 3 2" xfId="43546" xr:uid="{00000000-0005-0000-0000-000047830000}"/>
    <cellStyle name="Normal 4 4 7 4" xfId="43547" xr:uid="{00000000-0005-0000-0000-000048830000}"/>
    <cellStyle name="Normal 4 4 7 4 2" xfId="43548" xr:uid="{00000000-0005-0000-0000-000049830000}"/>
    <cellStyle name="Normal 4 4 7 5" xfId="43549" xr:uid="{00000000-0005-0000-0000-00004A830000}"/>
    <cellStyle name="Normal 4 4 8" xfId="43550" xr:uid="{00000000-0005-0000-0000-00004B830000}"/>
    <cellStyle name="Normal 4 4 8 2" xfId="43551" xr:uid="{00000000-0005-0000-0000-00004C830000}"/>
    <cellStyle name="Normal 4 4 8 2 2" xfId="43552" xr:uid="{00000000-0005-0000-0000-00004D830000}"/>
    <cellStyle name="Normal 4 4 8 3" xfId="43553" xr:uid="{00000000-0005-0000-0000-00004E830000}"/>
    <cellStyle name="Normal 4 4 8 3 2" xfId="43554" xr:uid="{00000000-0005-0000-0000-00004F830000}"/>
    <cellStyle name="Normal 4 4 8 4" xfId="43555" xr:uid="{00000000-0005-0000-0000-000050830000}"/>
    <cellStyle name="Normal 4 4 8 4 2" xfId="43556" xr:uid="{00000000-0005-0000-0000-000051830000}"/>
    <cellStyle name="Normal 4 4 8 5" xfId="43557" xr:uid="{00000000-0005-0000-0000-000052830000}"/>
    <cellStyle name="Normal 4 4 9" xfId="43558" xr:uid="{00000000-0005-0000-0000-000053830000}"/>
    <cellStyle name="Normal 4 4 9 2" xfId="43559" xr:uid="{00000000-0005-0000-0000-000054830000}"/>
    <cellStyle name="Normal 4 4 9 2 2" xfId="43560" xr:uid="{00000000-0005-0000-0000-000055830000}"/>
    <cellStyle name="Normal 4 4 9 3" xfId="43561" xr:uid="{00000000-0005-0000-0000-000056830000}"/>
    <cellStyle name="Normal 4 4 9 3 2" xfId="43562" xr:uid="{00000000-0005-0000-0000-000057830000}"/>
    <cellStyle name="Normal 4 4 9 4" xfId="43563" xr:uid="{00000000-0005-0000-0000-000058830000}"/>
    <cellStyle name="Normal 4 4 9 4 2" xfId="43564" xr:uid="{00000000-0005-0000-0000-000059830000}"/>
    <cellStyle name="Normal 4 4 9 5" xfId="43565" xr:uid="{00000000-0005-0000-0000-00005A830000}"/>
    <cellStyle name="Normal 4 4_Net Zero &amp; QRP Award" xfId="43566" xr:uid="{00000000-0005-0000-0000-00005B830000}"/>
    <cellStyle name="Normal 4 5" xfId="464" xr:uid="{00000000-0005-0000-0000-00005C830000}"/>
    <cellStyle name="Normal 4 5 10" xfId="43567" xr:uid="{00000000-0005-0000-0000-00005D830000}"/>
    <cellStyle name="Normal 4 5 10 2" xfId="43568" xr:uid="{00000000-0005-0000-0000-00005E830000}"/>
    <cellStyle name="Normal 4 5 11" xfId="43569" xr:uid="{00000000-0005-0000-0000-00005F830000}"/>
    <cellStyle name="Normal 4 5 11 2" xfId="43570" xr:uid="{00000000-0005-0000-0000-000060830000}"/>
    <cellStyle name="Normal 4 5 12" xfId="43571" xr:uid="{00000000-0005-0000-0000-000061830000}"/>
    <cellStyle name="Normal 4 5 12 2" xfId="43572" xr:uid="{00000000-0005-0000-0000-000062830000}"/>
    <cellStyle name="Normal 4 5 13" xfId="43573" xr:uid="{00000000-0005-0000-0000-000063830000}"/>
    <cellStyle name="Normal 4 5 2" xfId="40353" xr:uid="{00000000-0005-0000-0000-000064830000}"/>
    <cellStyle name="Normal 4 5 2 2" xfId="43574" xr:uid="{00000000-0005-0000-0000-000065830000}"/>
    <cellStyle name="Normal 4 5 2 2 2" xfId="43575" xr:uid="{00000000-0005-0000-0000-000066830000}"/>
    <cellStyle name="Normal 4 5 2 2 2 2" xfId="43576" xr:uid="{00000000-0005-0000-0000-000067830000}"/>
    <cellStyle name="Normal 4 5 2 2 3" xfId="43577" xr:uid="{00000000-0005-0000-0000-000068830000}"/>
    <cellStyle name="Normal 4 5 2 2 3 2" xfId="43578" xr:uid="{00000000-0005-0000-0000-000069830000}"/>
    <cellStyle name="Normal 4 5 2 2 4" xfId="43579" xr:uid="{00000000-0005-0000-0000-00006A830000}"/>
    <cellStyle name="Normal 4 5 2 2 4 2" xfId="43580" xr:uid="{00000000-0005-0000-0000-00006B830000}"/>
    <cellStyle name="Normal 4 5 2 2 5" xfId="43581" xr:uid="{00000000-0005-0000-0000-00006C830000}"/>
    <cellStyle name="Normal 4 5 2 3" xfId="43582" xr:uid="{00000000-0005-0000-0000-00006D830000}"/>
    <cellStyle name="Normal 4 5 2 3 2" xfId="43583" xr:uid="{00000000-0005-0000-0000-00006E830000}"/>
    <cellStyle name="Normal 4 5 2 4" xfId="43584" xr:uid="{00000000-0005-0000-0000-00006F830000}"/>
    <cellStyle name="Normal 4 5 2 4 2" xfId="43585" xr:uid="{00000000-0005-0000-0000-000070830000}"/>
    <cellStyle name="Normal 4 5 2 5" xfId="43586" xr:uid="{00000000-0005-0000-0000-000071830000}"/>
    <cellStyle name="Normal 4 5 2 5 2" xfId="43587" xr:uid="{00000000-0005-0000-0000-000072830000}"/>
    <cellStyle name="Normal 4 5 2 6" xfId="43588" xr:uid="{00000000-0005-0000-0000-000073830000}"/>
    <cellStyle name="Normal 4 5 3" xfId="43589" xr:uid="{00000000-0005-0000-0000-000074830000}"/>
    <cellStyle name="Normal 4 5 3 2" xfId="43590" xr:uid="{00000000-0005-0000-0000-000075830000}"/>
    <cellStyle name="Normal 4 5 3 2 2" xfId="43591" xr:uid="{00000000-0005-0000-0000-000076830000}"/>
    <cellStyle name="Normal 4 5 3 2 2 2" xfId="43592" xr:uid="{00000000-0005-0000-0000-000077830000}"/>
    <cellStyle name="Normal 4 5 3 2 3" xfId="43593" xr:uid="{00000000-0005-0000-0000-000078830000}"/>
    <cellStyle name="Normal 4 5 3 2 3 2" xfId="43594" xr:uid="{00000000-0005-0000-0000-000079830000}"/>
    <cellStyle name="Normal 4 5 3 2 4" xfId="43595" xr:uid="{00000000-0005-0000-0000-00007A830000}"/>
    <cellStyle name="Normal 4 5 3 2 4 2" xfId="43596" xr:uid="{00000000-0005-0000-0000-00007B830000}"/>
    <cellStyle name="Normal 4 5 3 2 5" xfId="43597" xr:uid="{00000000-0005-0000-0000-00007C830000}"/>
    <cellStyle name="Normal 4 5 3 3" xfId="43598" xr:uid="{00000000-0005-0000-0000-00007D830000}"/>
    <cellStyle name="Normal 4 5 3 3 2" xfId="43599" xr:uid="{00000000-0005-0000-0000-00007E830000}"/>
    <cellStyle name="Normal 4 5 3 4" xfId="43600" xr:uid="{00000000-0005-0000-0000-00007F830000}"/>
    <cellStyle name="Normal 4 5 3 4 2" xfId="43601" xr:uid="{00000000-0005-0000-0000-000080830000}"/>
    <cellStyle name="Normal 4 5 3 5" xfId="43602" xr:uid="{00000000-0005-0000-0000-000081830000}"/>
    <cellStyle name="Normal 4 5 3 5 2" xfId="43603" xr:uid="{00000000-0005-0000-0000-000082830000}"/>
    <cellStyle name="Normal 4 5 3 6" xfId="43604" xr:uid="{00000000-0005-0000-0000-000083830000}"/>
    <cellStyle name="Normal 4 5 4" xfId="43605" xr:uid="{00000000-0005-0000-0000-000084830000}"/>
    <cellStyle name="Normal 4 5 4 2" xfId="43606" xr:uid="{00000000-0005-0000-0000-000085830000}"/>
    <cellStyle name="Normal 4 5 4 2 2" xfId="43607" xr:uid="{00000000-0005-0000-0000-000086830000}"/>
    <cellStyle name="Normal 4 5 4 2 2 2" xfId="43608" xr:uid="{00000000-0005-0000-0000-000087830000}"/>
    <cellStyle name="Normal 4 5 4 2 3" xfId="43609" xr:uid="{00000000-0005-0000-0000-000088830000}"/>
    <cellStyle name="Normal 4 5 4 2 3 2" xfId="43610" xr:uid="{00000000-0005-0000-0000-000089830000}"/>
    <cellStyle name="Normal 4 5 4 2 4" xfId="43611" xr:uid="{00000000-0005-0000-0000-00008A830000}"/>
    <cellStyle name="Normal 4 5 4 2 4 2" xfId="43612" xr:uid="{00000000-0005-0000-0000-00008B830000}"/>
    <cellStyle name="Normal 4 5 4 2 5" xfId="43613" xr:uid="{00000000-0005-0000-0000-00008C830000}"/>
    <cellStyle name="Normal 4 5 4 3" xfId="43614" xr:uid="{00000000-0005-0000-0000-00008D830000}"/>
    <cellStyle name="Normal 4 5 4 3 2" xfId="43615" xr:uid="{00000000-0005-0000-0000-00008E830000}"/>
    <cellStyle name="Normal 4 5 4 4" xfId="43616" xr:uid="{00000000-0005-0000-0000-00008F830000}"/>
    <cellStyle name="Normal 4 5 4 4 2" xfId="43617" xr:uid="{00000000-0005-0000-0000-000090830000}"/>
    <cellStyle name="Normal 4 5 4 5" xfId="43618" xr:uid="{00000000-0005-0000-0000-000091830000}"/>
    <cellStyle name="Normal 4 5 4 5 2" xfId="43619" xr:uid="{00000000-0005-0000-0000-000092830000}"/>
    <cellStyle name="Normal 4 5 4 6" xfId="43620" xr:uid="{00000000-0005-0000-0000-000093830000}"/>
    <cellStyle name="Normal 4 5 5" xfId="43621" xr:uid="{00000000-0005-0000-0000-000094830000}"/>
    <cellStyle name="Normal 4 5 5 2" xfId="43622" xr:uid="{00000000-0005-0000-0000-000095830000}"/>
    <cellStyle name="Normal 4 5 5 2 2" xfId="43623" xr:uid="{00000000-0005-0000-0000-000096830000}"/>
    <cellStyle name="Normal 4 5 5 2 2 2" xfId="43624" xr:uid="{00000000-0005-0000-0000-000097830000}"/>
    <cellStyle name="Normal 4 5 5 2 3" xfId="43625" xr:uid="{00000000-0005-0000-0000-000098830000}"/>
    <cellStyle name="Normal 4 5 5 2 3 2" xfId="43626" xr:uid="{00000000-0005-0000-0000-000099830000}"/>
    <cellStyle name="Normal 4 5 5 2 4" xfId="43627" xr:uid="{00000000-0005-0000-0000-00009A830000}"/>
    <cellStyle name="Normal 4 5 5 2 4 2" xfId="43628" xr:uid="{00000000-0005-0000-0000-00009B830000}"/>
    <cellStyle name="Normal 4 5 5 2 5" xfId="43629" xr:uid="{00000000-0005-0000-0000-00009C830000}"/>
    <cellStyle name="Normal 4 5 5 3" xfId="43630" xr:uid="{00000000-0005-0000-0000-00009D830000}"/>
    <cellStyle name="Normal 4 5 5 3 2" xfId="43631" xr:uid="{00000000-0005-0000-0000-00009E830000}"/>
    <cellStyle name="Normal 4 5 5 4" xfId="43632" xr:uid="{00000000-0005-0000-0000-00009F830000}"/>
    <cellStyle name="Normal 4 5 5 4 2" xfId="43633" xr:uid="{00000000-0005-0000-0000-0000A0830000}"/>
    <cellStyle name="Normal 4 5 5 5" xfId="43634" xr:uid="{00000000-0005-0000-0000-0000A1830000}"/>
    <cellStyle name="Normal 4 5 5 5 2" xfId="43635" xr:uid="{00000000-0005-0000-0000-0000A2830000}"/>
    <cellStyle name="Normal 4 5 5 6" xfId="43636" xr:uid="{00000000-0005-0000-0000-0000A3830000}"/>
    <cellStyle name="Normal 4 5 6" xfId="43637" xr:uid="{00000000-0005-0000-0000-0000A4830000}"/>
    <cellStyle name="Normal 4 5 6 2" xfId="43638" xr:uid="{00000000-0005-0000-0000-0000A5830000}"/>
    <cellStyle name="Normal 4 5 6 2 2" xfId="43639" xr:uid="{00000000-0005-0000-0000-0000A6830000}"/>
    <cellStyle name="Normal 4 5 6 3" xfId="43640" xr:uid="{00000000-0005-0000-0000-0000A7830000}"/>
    <cellStyle name="Normal 4 5 6 3 2" xfId="43641" xr:uid="{00000000-0005-0000-0000-0000A8830000}"/>
    <cellStyle name="Normal 4 5 6 4" xfId="43642" xr:uid="{00000000-0005-0000-0000-0000A9830000}"/>
    <cellStyle name="Normal 4 5 6 4 2" xfId="43643" xr:uid="{00000000-0005-0000-0000-0000AA830000}"/>
    <cellStyle name="Normal 4 5 6 5" xfId="43644" xr:uid="{00000000-0005-0000-0000-0000AB830000}"/>
    <cellStyle name="Normal 4 5 7" xfId="43645" xr:uid="{00000000-0005-0000-0000-0000AC830000}"/>
    <cellStyle name="Normal 4 5 7 2" xfId="43646" xr:uid="{00000000-0005-0000-0000-0000AD830000}"/>
    <cellStyle name="Normal 4 5 7 2 2" xfId="43647" xr:uid="{00000000-0005-0000-0000-0000AE830000}"/>
    <cellStyle name="Normal 4 5 7 3" xfId="43648" xr:uid="{00000000-0005-0000-0000-0000AF830000}"/>
    <cellStyle name="Normal 4 5 7 3 2" xfId="43649" xr:uid="{00000000-0005-0000-0000-0000B0830000}"/>
    <cellStyle name="Normal 4 5 7 4" xfId="43650" xr:uid="{00000000-0005-0000-0000-0000B1830000}"/>
    <cellStyle name="Normal 4 5 7 4 2" xfId="43651" xr:uid="{00000000-0005-0000-0000-0000B2830000}"/>
    <cellStyle name="Normal 4 5 7 5" xfId="43652" xr:uid="{00000000-0005-0000-0000-0000B3830000}"/>
    <cellStyle name="Normal 4 5 8" xfId="43653" xr:uid="{00000000-0005-0000-0000-0000B4830000}"/>
    <cellStyle name="Normal 4 5 8 2" xfId="43654" xr:uid="{00000000-0005-0000-0000-0000B5830000}"/>
    <cellStyle name="Normal 4 5 8 2 2" xfId="43655" xr:uid="{00000000-0005-0000-0000-0000B6830000}"/>
    <cellStyle name="Normal 4 5 8 3" xfId="43656" xr:uid="{00000000-0005-0000-0000-0000B7830000}"/>
    <cellStyle name="Normal 4 5 8 3 2" xfId="43657" xr:uid="{00000000-0005-0000-0000-0000B8830000}"/>
    <cellStyle name="Normal 4 5 8 4" xfId="43658" xr:uid="{00000000-0005-0000-0000-0000B9830000}"/>
    <cellStyle name="Normal 4 5 8 4 2" xfId="43659" xr:uid="{00000000-0005-0000-0000-0000BA830000}"/>
    <cellStyle name="Normal 4 5 8 5" xfId="43660" xr:uid="{00000000-0005-0000-0000-0000BB830000}"/>
    <cellStyle name="Normal 4 5 9" xfId="43661" xr:uid="{00000000-0005-0000-0000-0000BC830000}"/>
    <cellStyle name="Normal 4 5 9 2" xfId="43662" xr:uid="{00000000-0005-0000-0000-0000BD830000}"/>
    <cellStyle name="Normal 4 5 9 2 2" xfId="43663" xr:uid="{00000000-0005-0000-0000-0000BE830000}"/>
    <cellStyle name="Normal 4 5 9 3" xfId="43664" xr:uid="{00000000-0005-0000-0000-0000BF830000}"/>
    <cellStyle name="Normal 4 5 9 3 2" xfId="43665" xr:uid="{00000000-0005-0000-0000-0000C0830000}"/>
    <cellStyle name="Normal 4 5 9 4" xfId="43666" xr:uid="{00000000-0005-0000-0000-0000C1830000}"/>
    <cellStyle name="Normal 4 5 9 4 2" xfId="43667" xr:uid="{00000000-0005-0000-0000-0000C2830000}"/>
    <cellStyle name="Normal 4 5 9 5" xfId="43668" xr:uid="{00000000-0005-0000-0000-0000C3830000}"/>
    <cellStyle name="Normal 4 5_Net Zero &amp; QRP Award" xfId="43669" xr:uid="{00000000-0005-0000-0000-0000C4830000}"/>
    <cellStyle name="Normal 4 6" xfId="30347" xr:uid="{00000000-0005-0000-0000-0000C5830000}"/>
    <cellStyle name="Normal 4 6 2" xfId="43670" xr:uid="{00000000-0005-0000-0000-0000C6830000}"/>
    <cellStyle name="Normal 4 6 3" xfId="43671" xr:uid="{00000000-0005-0000-0000-0000C7830000}"/>
    <cellStyle name="Normal 4 6 4" xfId="43672" xr:uid="{00000000-0005-0000-0000-0000C8830000}"/>
    <cellStyle name="Normal 4 6 4 2" xfId="43673" xr:uid="{00000000-0005-0000-0000-0000C9830000}"/>
    <cellStyle name="Normal 4 6 5" xfId="43674" xr:uid="{00000000-0005-0000-0000-0000CA830000}"/>
    <cellStyle name="Normal 4 6 5 2" xfId="43675" xr:uid="{00000000-0005-0000-0000-0000CB830000}"/>
    <cellStyle name="Normal 4 6 6" xfId="43676" xr:uid="{00000000-0005-0000-0000-0000CC830000}"/>
    <cellStyle name="Normal 4 6 6 2" xfId="43677" xr:uid="{00000000-0005-0000-0000-0000CD830000}"/>
    <cellStyle name="Normal 4 6 7" xfId="43678" xr:uid="{00000000-0005-0000-0000-0000CE830000}"/>
    <cellStyle name="Normal 4 6 8" xfId="42533" xr:uid="{00000000-0005-0000-0000-0000CF830000}"/>
    <cellStyle name="Normal 4 6 9" xfId="45521" xr:uid="{00000000-0005-0000-0000-0000D0830000}"/>
    <cellStyle name="Normal 4 6_Net Zero &amp; QRP Award" xfId="43679" xr:uid="{00000000-0005-0000-0000-0000D1830000}"/>
    <cellStyle name="Normal 4 7" xfId="40354" xr:uid="{00000000-0005-0000-0000-0000D2830000}"/>
    <cellStyle name="Normal 4 7 2" xfId="43680" xr:uid="{00000000-0005-0000-0000-0000D3830000}"/>
    <cellStyle name="Normal 4 7 2 2" xfId="43681" xr:uid="{00000000-0005-0000-0000-0000D4830000}"/>
    <cellStyle name="Normal 4 7 2 2 2" xfId="43682" xr:uid="{00000000-0005-0000-0000-0000D5830000}"/>
    <cellStyle name="Normal 4 7 2 3" xfId="43683" xr:uid="{00000000-0005-0000-0000-0000D6830000}"/>
    <cellStyle name="Normal 4 7 2 3 2" xfId="43684" xr:uid="{00000000-0005-0000-0000-0000D7830000}"/>
    <cellStyle name="Normal 4 7 2 4" xfId="43685" xr:uid="{00000000-0005-0000-0000-0000D8830000}"/>
    <cellStyle name="Normal 4 7 2 4 2" xfId="43686" xr:uid="{00000000-0005-0000-0000-0000D9830000}"/>
    <cellStyle name="Normal 4 7 2 5" xfId="43687" xr:uid="{00000000-0005-0000-0000-0000DA830000}"/>
    <cellStyle name="Normal 4 7 3" xfId="43688" xr:uid="{00000000-0005-0000-0000-0000DB830000}"/>
    <cellStyle name="Normal 4 7 3 2" xfId="43689" xr:uid="{00000000-0005-0000-0000-0000DC830000}"/>
    <cellStyle name="Normal 4 7 4" xfId="43690" xr:uid="{00000000-0005-0000-0000-0000DD830000}"/>
    <cellStyle name="Normal 4 7 4 2" xfId="43691" xr:uid="{00000000-0005-0000-0000-0000DE830000}"/>
    <cellStyle name="Normal 4 7 5" xfId="43692" xr:uid="{00000000-0005-0000-0000-0000DF830000}"/>
    <cellStyle name="Normal 4 7 5 2" xfId="43693" xr:uid="{00000000-0005-0000-0000-0000E0830000}"/>
    <cellStyle name="Normal 4 7 6" xfId="43694" xr:uid="{00000000-0005-0000-0000-0000E1830000}"/>
    <cellStyle name="Normal 4 8" xfId="43695" xr:uid="{00000000-0005-0000-0000-0000E2830000}"/>
    <cellStyle name="Normal 4 9" xfId="43696" xr:uid="{00000000-0005-0000-0000-0000E3830000}"/>
    <cellStyle name="Normal 4_2015 PULLS" xfId="75" xr:uid="{00000000-0005-0000-0000-0000E4830000}"/>
    <cellStyle name="Normal 40" xfId="465" xr:uid="{00000000-0005-0000-0000-0000E5830000}"/>
    <cellStyle name="Normal 40 2" xfId="1652" xr:uid="{00000000-0005-0000-0000-0000E6830000}"/>
    <cellStyle name="Normal 40 2 2" xfId="1653" xr:uid="{00000000-0005-0000-0000-0000E7830000}"/>
    <cellStyle name="Normal 40 2 2 2" xfId="30348" xr:uid="{00000000-0005-0000-0000-0000E8830000}"/>
    <cellStyle name="Normal 40 2 2 2 2" xfId="30349" xr:uid="{00000000-0005-0000-0000-0000E9830000}"/>
    <cellStyle name="Normal 40 2 2 2 2 2" xfId="30350" xr:uid="{00000000-0005-0000-0000-0000EA830000}"/>
    <cellStyle name="Normal 40 2 2 2 2 2 2" xfId="40355" xr:uid="{00000000-0005-0000-0000-0000EB830000}"/>
    <cellStyle name="Normal 40 2 2 2 2 3" xfId="30351" xr:uid="{00000000-0005-0000-0000-0000EC830000}"/>
    <cellStyle name="Normal 40 2 2 2 3" xfId="30352" xr:uid="{00000000-0005-0000-0000-0000ED830000}"/>
    <cellStyle name="Normal 40 2 2 2 3 2" xfId="30353" xr:uid="{00000000-0005-0000-0000-0000EE830000}"/>
    <cellStyle name="Normal 40 2 2 2 3 2 2" xfId="40356" xr:uid="{00000000-0005-0000-0000-0000EF830000}"/>
    <cellStyle name="Normal 40 2 2 2 3 3" xfId="30354" xr:uid="{00000000-0005-0000-0000-0000F0830000}"/>
    <cellStyle name="Normal 40 2 2 2 4" xfId="30355" xr:uid="{00000000-0005-0000-0000-0000F1830000}"/>
    <cellStyle name="Normal 40 2 2 2 4 2" xfId="40357" xr:uid="{00000000-0005-0000-0000-0000F2830000}"/>
    <cellStyle name="Normal 40 2 2 2 5" xfId="30356" xr:uid="{00000000-0005-0000-0000-0000F3830000}"/>
    <cellStyle name="Normal 40 2 2 3" xfId="30357" xr:uid="{00000000-0005-0000-0000-0000F4830000}"/>
    <cellStyle name="Normal 40 2 2 3 2" xfId="30358" xr:uid="{00000000-0005-0000-0000-0000F5830000}"/>
    <cellStyle name="Normal 40 2 2 3 2 2" xfId="40358" xr:uid="{00000000-0005-0000-0000-0000F6830000}"/>
    <cellStyle name="Normal 40 2 2 3 3" xfId="30359" xr:uid="{00000000-0005-0000-0000-0000F7830000}"/>
    <cellStyle name="Normal 40 2 2 4" xfId="30360" xr:uid="{00000000-0005-0000-0000-0000F8830000}"/>
    <cellStyle name="Normal 40 2 2 4 2" xfId="30361" xr:uid="{00000000-0005-0000-0000-0000F9830000}"/>
    <cellStyle name="Normal 40 2 2 4 2 2" xfId="40359" xr:uid="{00000000-0005-0000-0000-0000FA830000}"/>
    <cellStyle name="Normal 40 2 2 4 3" xfId="30362" xr:uid="{00000000-0005-0000-0000-0000FB830000}"/>
    <cellStyle name="Normal 40 2 2 5" xfId="30363" xr:uid="{00000000-0005-0000-0000-0000FC830000}"/>
    <cellStyle name="Normal 40 2 2 5 2" xfId="40360" xr:uid="{00000000-0005-0000-0000-0000FD830000}"/>
    <cellStyle name="Normal 40 2 2 6" xfId="30364" xr:uid="{00000000-0005-0000-0000-0000FE830000}"/>
    <cellStyle name="Normal 40 2 3" xfId="30365" xr:uid="{00000000-0005-0000-0000-0000FF830000}"/>
    <cellStyle name="Normal 40 2 3 2" xfId="30366" xr:uid="{00000000-0005-0000-0000-000000840000}"/>
    <cellStyle name="Normal 40 2 3 2 2" xfId="30367" xr:uid="{00000000-0005-0000-0000-000001840000}"/>
    <cellStyle name="Normal 40 2 3 2 2 2" xfId="40361" xr:uid="{00000000-0005-0000-0000-000002840000}"/>
    <cellStyle name="Normal 40 2 3 2 3" xfId="30368" xr:uid="{00000000-0005-0000-0000-000003840000}"/>
    <cellStyle name="Normal 40 2 3 3" xfId="30369" xr:uid="{00000000-0005-0000-0000-000004840000}"/>
    <cellStyle name="Normal 40 2 3 3 2" xfId="30370" xr:uid="{00000000-0005-0000-0000-000005840000}"/>
    <cellStyle name="Normal 40 2 3 3 2 2" xfId="40362" xr:uid="{00000000-0005-0000-0000-000006840000}"/>
    <cellStyle name="Normal 40 2 3 3 3" xfId="30371" xr:uid="{00000000-0005-0000-0000-000007840000}"/>
    <cellStyle name="Normal 40 2 3 4" xfId="30372" xr:uid="{00000000-0005-0000-0000-000008840000}"/>
    <cellStyle name="Normal 40 2 3 4 2" xfId="40363" xr:uid="{00000000-0005-0000-0000-000009840000}"/>
    <cellStyle name="Normal 40 2 3 5" xfId="30373" xr:uid="{00000000-0005-0000-0000-00000A840000}"/>
    <cellStyle name="Normal 40 2 4" xfId="30374" xr:uid="{00000000-0005-0000-0000-00000B840000}"/>
    <cellStyle name="Normal 40 2 4 2" xfId="30375" xr:uid="{00000000-0005-0000-0000-00000C840000}"/>
    <cellStyle name="Normal 40 2 4 2 2" xfId="40364" xr:uid="{00000000-0005-0000-0000-00000D840000}"/>
    <cellStyle name="Normal 40 2 4 3" xfId="30376" xr:uid="{00000000-0005-0000-0000-00000E840000}"/>
    <cellStyle name="Normal 40 2 5" xfId="30377" xr:uid="{00000000-0005-0000-0000-00000F840000}"/>
    <cellStyle name="Normal 40 2 5 2" xfId="30378" xr:uid="{00000000-0005-0000-0000-000010840000}"/>
    <cellStyle name="Normal 40 2 5 2 2" xfId="40365" xr:uid="{00000000-0005-0000-0000-000011840000}"/>
    <cellStyle name="Normal 40 2 5 3" xfId="30379" xr:uid="{00000000-0005-0000-0000-000012840000}"/>
    <cellStyle name="Normal 40 2 6" xfId="30380" xr:uid="{00000000-0005-0000-0000-000013840000}"/>
    <cellStyle name="Normal 40 2 6 2" xfId="40366" xr:uid="{00000000-0005-0000-0000-000014840000}"/>
    <cellStyle name="Normal 40 2 7" xfId="30381" xr:uid="{00000000-0005-0000-0000-000015840000}"/>
    <cellStyle name="Normal 40 2 8" xfId="30382" xr:uid="{00000000-0005-0000-0000-000016840000}"/>
    <cellStyle name="Normal 40 2 9" xfId="46259" xr:uid="{00000000-0005-0000-0000-000017840000}"/>
    <cellStyle name="Normal 40 3" xfId="1654" xr:uid="{00000000-0005-0000-0000-000018840000}"/>
    <cellStyle name="Normal 40 3 2" xfId="30383" xr:uid="{00000000-0005-0000-0000-000019840000}"/>
    <cellStyle name="Normal 40 3 2 2" xfId="30384" xr:uid="{00000000-0005-0000-0000-00001A840000}"/>
    <cellStyle name="Normal 40 3 2 2 2" xfId="30385" xr:uid="{00000000-0005-0000-0000-00001B840000}"/>
    <cellStyle name="Normal 40 3 2 2 2 2" xfId="40367" xr:uid="{00000000-0005-0000-0000-00001C840000}"/>
    <cellStyle name="Normal 40 3 2 2 3" xfId="30386" xr:uid="{00000000-0005-0000-0000-00001D840000}"/>
    <cellStyle name="Normal 40 3 2 3" xfId="30387" xr:uid="{00000000-0005-0000-0000-00001E840000}"/>
    <cellStyle name="Normal 40 3 2 3 2" xfId="30388" xr:uid="{00000000-0005-0000-0000-00001F840000}"/>
    <cellStyle name="Normal 40 3 2 3 2 2" xfId="40368" xr:uid="{00000000-0005-0000-0000-000020840000}"/>
    <cellStyle name="Normal 40 3 2 3 3" xfId="30389" xr:uid="{00000000-0005-0000-0000-000021840000}"/>
    <cellStyle name="Normal 40 3 2 4" xfId="30390" xr:uid="{00000000-0005-0000-0000-000022840000}"/>
    <cellStyle name="Normal 40 3 2 4 2" xfId="40369" xr:uid="{00000000-0005-0000-0000-000023840000}"/>
    <cellStyle name="Normal 40 3 2 5" xfId="30391" xr:uid="{00000000-0005-0000-0000-000024840000}"/>
    <cellStyle name="Normal 40 3 3" xfId="30392" xr:uid="{00000000-0005-0000-0000-000025840000}"/>
    <cellStyle name="Normal 40 3 3 2" xfId="30393" xr:uid="{00000000-0005-0000-0000-000026840000}"/>
    <cellStyle name="Normal 40 3 3 2 2" xfId="40370" xr:uid="{00000000-0005-0000-0000-000027840000}"/>
    <cellStyle name="Normal 40 3 3 3" xfId="30394" xr:uid="{00000000-0005-0000-0000-000028840000}"/>
    <cellStyle name="Normal 40 3 4" xfId="30395" xr:uid="{00000000-0005-0000-0000-000029840000}"/>
    <cellStyle name="Normal 40 3 4 2" xfId="30396" xr:uid="{00000000-0005-0000-0000-00002A840000}"/>
    <cellStyle name="Normal 40 3 4 2 2" xfId="40371" xr:uid="{00000000-0005-0000-0000-00002B840000}"/>
    <cellStyle name="Normal 40 3 4 3" xfId="30397" xr:uid="{00000000-0005-0000-0000-00002C840000}"/>
    <cellStyle name="Normal 40 3 5" xfId="30398" xr:uid="{00000000-0005-0000-0000-00002D840000}"/>
    <cellStyle name="Normal 40 3 5 2" xfId="40372" xr:uid="{00000000-0005-0000-0000-00002E840000}"/>
    <cellStyle name="Normal 40 3 6" xfId="30399" xr:uid="{00000000-0005-0000-0000-00002F840000}"/>
    <cellStyle name="Normal 40 4" xfId="30400" xr:uid="{00000000-0005-0000-0000-000030840000}"/>
    <cellStyle name="Normal 40 4 2" xfId="30401" xr:uid="{00000000-0005-0000-0000-000031840000}"/>
    <cellStyle name="Normal 40 4 2 2" xfId="30402" xr:uid="{00000000-0005-0000-0000-000032840000}"/>
    <cellStyle name="Normal 40 4 2 2 2" xfId="40373" xr:uid="{00000000-0005-0000-0000-000033840000}"/>
    <cellStyle name="Normal 40 4 2 3" xfId="30403" xr:uid="{00000000-0005-0000-0000-000034840000}"/>
    <cellStyle name="Normal 40 4 3" xfId="30404" xr:uid="{00000000-0005-0000-0000-000035840000}"/>
    <cellStyle name="Normal 40 4 3 2" xfId="30405" xr:uid="{00000000-0005-0000-0000-000036840000}"/>
    <cellStyle name="Normal 40 4 3 2 2" xfId="40374" xr:uid="{00000000-0005-0000-0000-000037840000}"/>
    <cellStyle name="Normal 40 4 3 3" xfId="30406" xr:uid="{00000000-0005-0000-0000-000038840000}"/>
    <cellStyle name="Normal 40 4 4" xfId="30407" xr:uid="{00000000-0005-0000-0000-000039840000}"/>
    <cellStyle name="Normal 40 4 4 2" xfId="40375" xr:uid="{00000000-0005-0000-0000-00003A840000}"/>
    <cellStyle name="Normal 40 4 5" xfId="30408" xr:uid="{00000000-0005-0000-0000-00003B840000}"/>
    <cellStyle name="Normal 40 5" xfId="30409" xr:uid="{00000000-0005-0000-0000-00003C840000}"/>
    <cellStyle name="Normal 40 5 2" xfId="30410" xr:uid="{00000000-0005-0000-0000-00003D840000}"/>
    <cellStyle name="Normal 40 5 2 2" xfId="40376" xr:uid="{00000000-0005-0000-0000-00003E840000}"/>
    <cellStyle name="Normal 40 5 3" xfId="30411" xr:uid="{00000000-0005-0000-0000-00003F840000}"/>
    <cellStyle name="Normal 40 6" xfId="30412" xr:uid="{00000000-0005-0000-0000-000040840000}"/>
    <cellStyle name="Normal 40 6 2" xfId="30413" xr:uid="{00000000-0005-0000-0000-000041840000}"/>
    <cellStyle name="Normal 40 6 2 2" xfId="40377" xr:uid="{00000000-0005-0000-0000-000042840000}"/>
    <cellStyle name="Normal 40 6 3" xfId="30414" xr:uid="{00000000-0005-0000-0000-000043840000}"/>
    <cellStyle name="Normal 40 7" xfId="30415" xr:uid="{00000000-0005-0000-0000-000044840000}"/>
    <cellStyle name="Normal 40 7 2" xfId="40378" xr:uid="{00000000-0005-0000-0000-000045840000}"/>
    <cellStyle name="Normal 40 8" xfId="30416" xr:uid="{00000000-0005-0000-0000-000046840000}"/>
    <cellStyle name="Normal 40 9" xfId="40379" xr:uid="{00000000-0005-0000-0000-000047840000}"/>
    <cellStyle name="Normal 41" xfId="466" xr:uid="{00000000-0005-0000-0000-000048840000}"/>
    <cellStyle name="Normal 41 2" xfId="1655" xr:uid="{00000000-0005-0000-0000-000049840000}"/>
    <cellStyle name="Normal 41 2 2" xfId="1656" xr:uid="{00000000-0005-0000-0000-00004A840000}"/>
    <cellStyle name="Normal 41 2 2 2" xfId="30417" xr:uid="{00000000-0005-0000-0000-00004B840000}"/>
    <cellStyle name="Normal 41 2 2 2 2" xfId="30418" xr:uid="{00000000-0005-0000-0000-00004C840000}"/>
    <cellStyle name="Normal 41 2 2 2 2 2" xfId="30419" xr:uid="{00000000-0005-0000-0000-00004D840000}"/>
    <cellStyle name="Normal 41 2 2 2 2 2 2" xfId="40380" xr:uid="{00000000-0005-0000-0000-00004E840000}"/>
    <cellStyle name="Normal 41 2 2 2 2 3" xfId="30420" xr:uid="{00000000-0005-0000-0000-00004F840000}"/>
    <cellStyle name="Normal 41 2 2 2 3" xfId="30421" xr:uid="{00000000-0005-0000-0000-000050840000}"/>
    <cellStyle name="Normal 41 2 2 2 3 2" xfId="30422" xr:uid="{00000000-0005-0000-0000-000051840000}"/>
    <cellStyle name="Normal 41 2 2 2 3 2 2" xfId="40381" xr:uid="{00000000-0005-0000-0000-000052840000}"/>
    <cellStyle name="Normal 41 2 2 2 3 3" xfId="30423" xr:uid="{00000000-0005-0000-0000-000053840000}"/>
    <cellStyle name="Normal 41 2 2 2 4" xfId="30424" xr:uid="{00000000-0005-0000-0000-000054840000}"/>
    <cellStyle name="Normal 41 2 2 2 4 2" xfId="40382" xr:uid="{00000000-0005-0000-0000-000055840000}"/>
    <cellStyle name="Normal 41 2 2 2 5" xfId="30425" xr:uid="{00000000-0005-0000-0000-000056840000}"/>
    <cellStyle name="Normal 41 2 2 3" xfId="30426" xr:uid="{00000000-0005-0000-0000-000057840000}"/>
    <cellStyle name="Normal 41 2 2 3 2" xfId="30427" xr:uid="{00000000-0005-0000-0000-000058840000}"/>
    <cellStyle name="Normal 41 2 2 3 2 2" xfId="40383" xr:uid="{00000000-0005-0000-0000-000059840000}"/>
    <cellStyle name="Normal 41 2 2 3 3" xfId="30428" xr:uid="{00000000-0005-0000-0000-00005A840000}"/>
    <cellStyle name="Normal 41 2 2 4" xfId="30429" xr:uid="{00000000-0005-0000-0000-00005B840000}"/>
    <cellStyle name="Normal 41 2 2 4 2" xfId="30430" xr:uid="{00000000-0005-0000-0000-00005C840000}"/>
    <cellStyle name="Normal 41 2 2 4 2 2" xfId="40384" xr:uid="{00000000-0005-0000-0000-00005D840000}"/>
    <cellStyle name="Normal 41 2 2 4 3" xfId="30431" xr:uid="{00000000-0005-0000-0000-00005E840000}"/>
    <cellStyle name="Normal 41 2 2 5" xfId="30432" xr:uid="{00000000-0005-0000-0000-00005F840000}"/>
    <cellStyle name="Normal 41 2 2 5 2" xfId="40385" xr:uid="{00000000-0005-0000-0000-000060840000}"/>
    <cellStyle name="Normal 41 2 2 6" xfId="30433" xr:uid="{00000000-0005-0000-0000-000061840000}"/>
    <cellStyle name="Normal 41 2 3" xfId="30434" xr:uid="{00000000-0005-0000-0000-000062840000}"/>
    <cellStyle name="Normal 41 2 3 2" xfId="30435" xr:uid="{00000000-0005-0000-0000-000063840000}"/>
    <cellStyle name="Normal 41 2 3 2 2" xfId="30436" xr:uid="{00000000-0005-0000-0000-000064840000}"/>
    <cellStyle name="Normal 41 2 3 2 2 2" xfId="40386" xr:uid="{00000000-0005-0000-0000-000065840000}"/>
    <cellStyle name="Normal 41 2 3 2 3" xfId="30437" xr:uid="{00000000-0005-0000-0000-000066840000}"/>
    <cellStyle name="Normal 41 2 3 3" xfId="30438" xr:uid="{00000000-0005-0000-0000-000067840000}"/>
    <cellStyle name="Normal 41 2 3 3 2" xfId="30439" xr:uid="{00000000-0005-0000-0000-000068840000}"/>
    <cellStyle name="Normal 41 2 3 3 2 2" xfId="40387" xr:uid="{00000000-0005-0000-0000-000069840000}"/>
    <cellStyle name="Normal 41 2 3 3 3" xfId="30440" xr:uid="{00000000-0005-0000-0000-00006A840000}"/>
    <cellStyle name="Normal 41 2 3 4" xfId="30441" xr:uid="{00000000-0005-0000-0000-00006B840000}"/>
    <cellStyle name="Normal 41 2 3 4 2" xfId="40388" xr:uid="{00000000-0005-0000-0000-00006C840000}"/>
    <cellStyle name="Normal 41 2 3 5" xfId="30442" xr:uid="{00000000-0005-0000-0000-00006D840000}"/>
    <cellStyle name="Normal 41 2 4" xfId="30443" xr:uid="{00000000-0005-0000-0000-00006E840000}"/>
    <cellStyle name="Normal 41 2 4 2" xfId="30444" xr:uid="{00000000-0005-0000-0000-00006F840000}"/>
    <cellStyle name="Normal 41 2 4 2 2" xfId="40389" xr:uid="{00000000-0005-0000-0000-000070840000}"/>
    <cellStyle name="Normal 41 2 4 3" xfId="30445" xr:uid="{00000000-0005-0000-0000-000071840000}"/>
    <cellStyle name="Normal 41 2 5" xfId="30446" xr:uid="{00000000-0005-0000-0000-000072840000}"/>
    <cellStyle name="Normal 41 2 5 2" xfId="30447" xr:uid="{00000000-0005-0000-0000-000073840000}"/>
    <cellStyle name="Normal 41 2 5 2 2" xfId="40390" xr:uid="{00000000-0005-0000-0000-000074840000}"/>
    <cellStyle name="Normal 41 2 5 3" xfId="30448" xr:uid="{00000000-0005-0000-0000-000075840000}"/>
    <cellStyle name="Normal 41 2 6" xfId="30449" xr:uid="{00000000-0005-0000-0000-000076840000}"/>
    <cellStyle name="Normal 41 2 6 2" xfId="40391" xr:uid="{00000000-0005-0000-0000-000077840000}"/>
    <cellStyle name="Normal 41 2 7" xfId="30450" xr:uid="{00000000-0005-0000-0000-000078840000}"/>
    <cellStyle name="Normal 41 2 8" xfId="30451" xr:uid="{00000000-0005-0000-0000-000079840000}"/>
    <cellStyle name="Normal 41 2 9" xfId="46260" xr:uid="{00000000-0005-0000-0000-00007A840000}"/>
    <cellStyle name="Normal 41 3" xfId="1657" xr:uid="{00000000-0005-0000-0000-00007B840000}"/>
    <cellStyle name="Normal 41 3 2" xfId="30452" xr:uid="{00000000-0005-0000-0000-00007C840000}"/>
    <cellStyle name="Normal 41 3 2 2" xfId="30453" xr:uid="{00000000-0005-0000-0000-00007D840000}"/>
    <cellStyle name="Normal 41 3 2 2 2" xfId="30454" xr:uid="{00000000-0005-0000-0000-00007E840000}"/>
    <cellStyle name="Normal 41 3 2 2 2 2" xfId="40392" xr:uid="{00000000-0005-0000-0000-00007F840000}"/>
    <cellStyle name="Normal 41 3 2 2 3" xfId="30455" xr:uid="{00000000-0005-0000-0000-000080840000}"/>
    <cellStyle name="Normal 41 3 2 3" xfId="30456" xr:uid="{00000000-0005-0000-0000-000081840000}"/>
    <cellStyle name="Normal 41 3 2 3 2" xfId="30457" xr:uid="{00000000-0005-0000-0000-000082840000}"/>
    <cellStyle name="Normal 41 3 2 3 2 2" xfId="40393" xr:uid="{00000000-0005-0000-0000-000083840000}"/>
    <cellStyle name="Normal 41 3 2 3 3" xfId="30458" xr:uid="{00000000-0005-0000-0000-000084840000}"/>
    <cellStyle name="Normal 41 3 2 4" xfId="30459" xr:uid="{00000000-0005-0000-0000-000085840000}"/>
    <cellStyle name="Normal 41 3 2 4 2" xfId="40394" xr:uid="{00000000-0005-0000-0000-000086840000}"/>
    <cellStyle name="Normal 41 3 2 5" xfId="30460" xr:uid="{00000000-0005-0000-0000-000087840000}"/>
    <cellStyle name="Normal 41 3 3" xfId="30461" xr:uid="{00000000-0005-0000-0000-000088840000}"/>
    <cellStyle name="Normal 41 3 3 2" xfId="30462" xr:uid="{00000000-0005-0000-0000-000089840000}"/>
    <cellStyle name="Normal 41 3 3 2 2" xfId="40395" xr:uid="{00000000-0005-0000-0000-00008A840000}"/>
    <cellStyle name="Normal 41 3 3 3" xfId="30463" xr:uid="{00000000-0005-0000-0000-00008B840000}"/>
    <cellStyle name="Normal 41 3 4" xfId="30464" xr:uid="{00000000-0005-0000-0000-00008C840000}"/>
    <cellStyle name="Normal 41 3 4 2" xfId="30465" xr:uid="{00000000-0005-0000-0000-00008D840000}"/>
    <cellStyle name="Normal 41 3 4 2 2" xfId="40396" xr:uid="{00000000-0005-0000-0000-00008E840000}"/>
    <cellStyle name="Normal 41 3 4 3" xfId="30466" xr:uid="{00000000-0005-0000-0000-00008F840000}"/>
    <cellStyle name="Normal 41 3 5" xfId="30467" xr:uid="{00000000-0005-0000-0000-000090840000}"/>
    <cellStyle name="Normal 41 3 5 2" xfId="40397" xr:uid="{00000000-0005-0000-0000-000091840000}"/>
    <cellStyle name="Normal 41 3 6" xfId="30468" xr:uid="{00000000-0005-0000-0000-000092840000}"/>
    <cellStyle name="Normal 41 4" xfId="30469" xr:uid="{00000000-0005-0000-0000-000093840000}"/>
    <cellStyle name="Normal 41 4 2" xfId="30470" xr:uid="{00000000-0005-0000-0000-000094840000}"/>
    <cellStyle name="Normal 41 4 2 2" xfId="30471" xr:uid="{00000000-0005-0000-0000-000095840000}"/>
    <cellStyle name="Normal 41 4 2 2 2" xfId="40398" xr:uid="{00000000-0005-0000-0000-000096840000}"/>
    <cellStyle name="Normal 41 4 2 3" xfId="30472" xr:uid="{00000000-0005-0000-0000-000097840000}"/>
    <cellStyle name="Normal 41 4 3" xfId="30473" xr:uid="{00000000-0005-0000-0000-000098840000}"/>
    <cellStyle name="Normal 41 4 3 2" xfId="30474" xr:uid="{00000000-0005-0000-0000-000099840000}"/>
    <cellStyle name="Normal 41 4 3 2 2" xfId="40399" xr:uid="{00000000-0005-0000-0000-00009A840000}"/>
    <cellStyle name="Normal 41 4 3 3" xfId="30475" xr:uid="{00000000-0005-0000-0000-00009B840000}"/>
    <cellStyle name="Normal 41 4 4" xfId="30476" xr:uid="{00000000-0005-0000-0000-00009C840000}"/>
    <cellStyle name="Normal 41 4 4 2" xfId="40400" xr:uid="{00000000-0005-0000-0000-00009D840000}"/>
    <cellStyle name="Normal 41 4 5" xfId="30477" xr:uid="{00000000-0005-0000-0000-00009E840000}"/>
    <cellStyle name="Normal 41 4 6" xfId="42521" xr:uid="{00000000-0005-0000-0000-00009F840000}"/>
    <cellStyle name="Normal 41 4 7" xfId="45522" xr:uid="{00000000-0005-0000-0000-0000A0840000}"/>
    <cellStyle name="Normal 41 5" xfId="30478" xr:uid="{00000000-0005-0000-0000-0000A1840000}"/>
    <cellStyle name="Normal 41 5 2" xfId="30479" xr:uid="{00000000-0005-0000-0000-0000A2840000}"/>
    <cellStyle name="Normal 41 5 2 2" xfId="40401" xr:uid="{00000000-0005-0000-0000-0000A3840000}"/>
    <cellStyle name="Normal 41 5 3" xfId="30480" xr:uid="{00000000-0005-0000-0000-0000A4840000}"/>
    <cellStyle name="Normal 41 6" xfId="30481" xr:uid="{00000000-0005-0000-0000-0000A5840000}"/>
    <cellStyle name="Normal 41 6 2" xfId="30482" xr:uid="{00000000-0005-0000-0000-0000A6840000}"/>
    <cellStyle name="Normal 41 6 2 2" xfId="40402" xr:uid="{00000000-0005-0000-0000-0000A7840000}"/>
    <cellStyle name="Normal 41 6 3" xfId="30483" xr:uid="{00000000-0005-0000-0000-0000A8840000}"/>
    <cellStyle name="Normal 41 7" xfId="30484" xr:uid="{00000000-0005-0000-0000-0000A9840000}"/>
    <cellStyle name="Normal 41 7 2" xfId="40403" xr:uid="{00000000-0005-0000-0000-0000AA840000}"/>
    <cellStyle name="Normal 41 8" xfId="30485" xr:uid="{00000000-0005-0000-0000-0000AB840000}"/>
    <cellStyle name="Normal 41 9" xfId="40404" xr:uid="{00000000-0005-0000-0000-0000AC840000}"/>
    <cellStyle name="Normal 42" xfId="467" xr:uid="{00000000-0005-0000-0000-0000AD840000}"/>
    <cellStyle name="Normal 42 2" xfId="1658" xr:uid="{00000000-0005-0000-0000-0000AE840000}"/>
    <cellStyle name="Normal 42 2 2" xfId="40405" xr:uid="{00000000-0005-0000-0000-0000AF840000}"/>
    <cellStyle name="Normal 42 3" xfId="1659" xr:uid="{00000000-0005-0000-0000-0000B0840000}"/>
    <cellStyle name="Normal 42 3 2" xfId="40406" xr:uid="{00000000-0005-0000-0000-0000B1840000}"/>
    <cellStyle name="Normal 42 4" xfId="40407" xr:uid="{00000000-0005-0000-0000-0000B2840000}"/>
    <cellStyle name="Normal 42 5" xfId="40408" xr:uid="{00000000-0005-0000-0000-0000B3840000}"/>
    <cellStyle name="Normal 43" xfId="468" xr:uid="{00000000-0005-0000-0000-0000B4840000}"/>
    <cellStyle name="Normal 43 2" xfId="1660" xr:uid="{00000000-0005-0000-0000-0000B5840000}"/>
    <cellStyle name="Normal 43 2 2" xfId="30486" xr:uid="{00000000-0005-0000-0000-0000B6840000}"/>
    <cellStyle name="Normal 43 2 2 2" xfId="30487" xr:uid="{00000000-0005-0000-0000-0000B7840000}"/>
    <cellStyle name="Normal 43 2 2 2 2" xfId="30488" xr:uid="{00000000-0005-0000-0000-0000B8840000}"/>
    <cellStyle name="Normal 43 2 2 2 2 2" xfId="30489" xr:uid="{00000000-0005-0000-0000-0000B9840000}"/>
    <cellStyle name="Normal 43 2 2 2 2 2 2" xfId="40409" xr:uid="{00000000-0005-0000-0000-0000BA840000}"/>
    <cellStyle name="Normal 43 2 2 2 2 3" xfId="30490" xr:uid="{00000000-0005-0000-0000-0000BB840000}"/>
    <cellStyle name="Normal 43 2 2 2 3" xfId="30491" xr:uid="{00000000-0005-0000-0000-0000BC840000}"/>
    <cellStyle name="Normal 43 2 2 2 3 2" xfId="30492" xr:uid="{00000000-0005-0000-0000-0000BD840000}"/>
    <cellStyle name="Normal 43 2 2 2 3 2 2" xfId="40410" xr:uid="{00000000-0005-0000-0000-0000BE840000}"/>
    <cellStyle name="Normal 43 2 2 2 3 3" xfId="30493" xr:uid="{00000000-0005-0000-0000-0000BF840000}"/>
    <cellStyle name="Normal 43 2 2 2 4" xfId="30494" xr:uid="{00000000-0005-0000-0000-0000C0840000}"/>
    <cellStyle name="Normal 43 2 2 2 4 2" xfId="40411" xr:uid="{00000000-0005-0000-0000-0000C1840000}"/>
    <cellStyle name="Normal 43 2 2 2 5" xfId="30495" xr:uid="{00000000-0005-0000-0000-0000C2840000}"/>
    <cellStyle name="Normal 43 2 2 3" xfId="30496" xr:uid="{00000000-0005-0000-0000-0000C3840000}"/>
    <cellStyle name="Normal 43 2 2 3 2" xfId="30497" xr:uid="{00000000-0005-0000-0000-0000C4840000}"/>
    <cellStyle name="Normal 43 2 2 3 2 2" xfId="40412" xr:uid="{00000000-0005-0000-0000-0000C5840000}"/>
    <cellStyle name="Normal 43 2 2 3 3" xfId="30498" xr:uid="{00000000-0005-0000-0000-0000C6840000}"/>
    <cellStyle name="Normal 43 2 2 4" xfId="30499" xr:uid="{00000000-0005-0000-0000-0000C7840000}"/>
    <cellStyle name="Normal 43 2 2 4 2" xfId="30500" xr:uid="{00000000-0005-0000-0000-0000C8840000}"/>
    <cellStyle name="Normal 43 2 2 4 2 2" xfId="40413" xr:uid="{00000000-0005-0000-0000-0000C9840000}"/>
    <cellStyle name="Normal 43 2 2 4 3" xfId="30501" xr:uid="{00000000-0005-0000-0000-0000CA840000}"/>
    <cellStyle name="Normal 43 2 2 5" xfId="30502" xr:uid="{00000000-0005-0000-0000-0000CB840000}"/>
    <cellStyle name="Normal 43 2 2 5 2" xfId="40414" xr:uid="{00000000-0005-0000-0000-0000CC840000}"/>
    <cellStyle name="Normal 43 2 2 6" xfId="30503" xr:uid="{00000000-0005-0000-0000-0000CD840000}"/>
    <cellStyle name="Normal 43 2 3" xfId="30504" xr:uid="{00000000-0005-0000-0000-0000CE840000}"/>
    <cellStyle name="Normal 43 2 3 2" xfId="30505" xr:uid="{00000000-0005-0000-0000-0000CF840000}"/>
    <cellStyle name="Normal 43 2 3 2 2" xfId="30506" xr:uid="{00000000-0005-0000-0000-0000D0840000}"/>
    <cellStyle name="Normal 43 2 3 2 2 2" xfId="40415" xr:uid="{00000000-0005-0000-0000-0000D1840000}"/>
    <cellStyle name="Normal 43 2 3 2 3" xfId="30507" xr:uid="{00000000-0005-0000-0000-0000D2840000}"/>
    <cellStyle name="Normal 43 2 3 3" xfId="30508" xr:uid="{00000000-0005-0000-0000-0000D3840000}"/>
    <cellStyle name="Normal 43 2 3 3 2" xfId="30509" xr:uid="{00000000-0005-0000-0000-0000D4840000}"/>
    <cellStyle name="Normal 43 2 3 3 2 2" xfId="40416" xr:uid="{00000000-0005-0000-0000-0000D5840000}"/>
    <cellStyle name="Normal 43 2 3 3 3" xfId="30510" xr:uid="{00000000-0005-0000-0000-0000D6840000}"/>
    <cellStyle name="Normal 43 2 3 4" xfId="30511" xr:uid="{00000000-0005-0000-0000-0000D7840000}"/>
    <cellStyle name="Normal 43 2 3 4 2" xfId="40417" xr:uid="{00000000-0005-0000-0000-0000D8840000}"/>
    <cellStyle name="Normal 43 2 3 5" xfId="30512" xr:uid="{00000000-0005-0000-0000-0000D9840000}"/>
    <cellStyle name="Normal 43 2 4" xfId="30513" xr:uid="{00000000-0005-0000-0000-0000DA840000}"/>
    <cellStyle name="Normal 43 2 4 2" xfId="30514" xr:uid="{00000000-0005-0000-0000-0000DB840000}"/>
    <cellStyle name="Normal 43 2 4 2 2" xfId="40418" xr:uid="{00000000-0005-0000-0000-0000DC840000}"/>
    <cellStyle name="Normal 43 2 4 3" xfId="30515" xr:uid="{00000000-0005-0000-0000-0000DD840000}"/>
    <cellStyle name="Normal 43 2 5" xfId="30516" xr:uid="{00000000-0005-0000-0000-0000DE840000}"/>
    <cellStyle name="Normal 43 2 5 2" xfId="30517" xr:uid="{00000000-0005-0000-0000-0000DF840000}"/>
    <cellStyle name="Normal 43 2 5 2 2" xfId="40419" xr:uid="{00000000-0005-0000-0000-0000E0840000}"/>
    <cellStyle name="Normal 43 2 5 3" xfId="30518" xr:uid="{00000000-0005-0000-0000-0000E1840000}"/>
    <cellStyle name="Normal 43 2 6" xfId="30519" xr:uid="{00000000-0005-0000-0000-0000E2840000}"/>
    <cellStyle name="Normal 43 2 6 2" xfId="40420" xr:uid="{00000000-0005-0000-0000-0000E3840000}"/>
    <cellStyle name="Normal 43 2 7" xfId="30520" xr:uid="{00000000-0005-0000-0000-0000E4840000}"/>
    <cellStyle name="Normal 43 3" xfId="1661" xr:uid="{00000000-0005-0000-0000-0000E5840000}"/>
    <cellStyle name="Normal 43 3 2" xfId="40421" xr:uid="{00000000-0005-0000-0000-0000E6840000}"/>
    <cellStyle name="Normal 43 4" xfId="40422" xr:uid="{00000000-0005-0000-0000-0000E7840000}"/>
    <cellStyle name="Normal 43 4 2" xfId="43697" xr:uid="{00000000-0005-0000-0000-0000E8840000}"/>
    <cellStyle name="Normal 43 4 3" xfId="45523" xr:uid="{00000000-0005-0000-0000-0000E9840000}"/>
    <cellStyle name="Normal 43 5" xfId="40423" xr:uid="{00000000-0005-0000-0000-0000EA840000}"/>
    <cellStyle name="Normal 44" xfId="469" xr:uid="{00000000-0005-0000-0000-0000EB840000}"/>
    <cellStyle name="Normal 44 2" xfId="1662" xr:uid="{00000000-0005-0000-0000-0000EC840000}"/>
    <cellStyle name="Normal 44 2 2" xfId="1663" xr:uid="{00000000-0005-0000-0000-0000ED840000}"/>
    <cellStyle name="Normal 44 2 2 2" xfId="30521" xr:uid="{00000000-0005-0000-0000-0000EE840000}"/>
    <cellStyle name="Normal 44 2 2 2 2" xfId="30522" xr:uid="{00000000-0005-0000-0000-0000EF840000}"/>
    <cellStyle name="Normal 44 2 2 2 2 2" xfId="30523" xr:uid="{00000000-0005-0000-0000-0000F0840000}"/>
    <cellStyle name="Normal 44 2 2 2 2 2 2" xfId="40424" xr:uid="{00000000-0005-0000-0000-0000F1840000}"/>
    <cellStyle name="Normal 44 2 2 2 2 3" xfId="30524" xr:uid="{00000000-0005-0000-0000-0000F2840000}"/>
    <cellStyle name="Normal 44 2 2 2 3" xfId="30525" xr:uid="{00000000-0005-0000-0000-0000F3840000}"/>
    <cellStyle name="Normal 44 2 2 2 3 2" xfId="30526" xr:uid="{00000000-0005-0000-0000-0000F4840000}"/>
    <cellStyle name="Normal 44 2 2 2 3 2 2" xfId="40425" xr:uid="{00000000-0005-0000-0000-0000F5840000}"/>
    <cellStyle name="Normal 44 2 2 2 3 3" xfId="30527" xr:uid="{00000000-0005-0000-0000-0000F6840000}"/>
    <cellStyle name="Normal 44 2 2 2 4" xfId="30528" xr:uid="{00000000-0005-0000-0000-0000F7840000}"/>
    <cellStyle name="Normal 44 2 2 2 4 2" xfId="40426" xr:uid="{00000000-0005-0000-0000-0000F8840000}"/>
    <cellStyle name="Normal 44 2 2 2 5" xfId="30529" xr:uid="{00000000-0005-0000-0000-0000F9840000}"/>
    <cellStyle name="Normal 44 2 2 3" xfId="30530" xr:uid="{00000000-0005-0000-0000-0000FA840000}"/>
    <cellStyle name="Normal 44 2 2 3 2" xfId="30531" xr:uid="{00000000-0005-0000-0000-0000FB840000}"/>
    <cellStyle name="Normal 44 2 2 3 2 2" xfId="40427" xr:uid="{00000000-0005-0000-0000-0000FC840000}"/>
    <cellStyle name="Normal 44 2 2 3 3" xfId="30532" xr:uid="{00000000-0005-0000-0000-0000FD840000}"/>
    <cellStyle name="Normal 44 2 2 4" xfId="30533" xr:uid="{00000000-0005-0000-0000-0000FE840000}"/>
    <cellStyle name="Normal 44 2 2 4 2" xfId="30534" xr:uid="{00000000-0005-0000-0000-0000FF840000}"/>
    <cellStyle name="Normal 44 2 2 4 2 2" xfId="40428" xr:uid="{00000000-0005-0000-0000-000000850000}"/>
    <cellStyle name="Normal 44 2 2 4 3" xfId="30535" xr:uid="{00000000-0005-0000-0000-000001850000}"/>
    <cellStyle name="Normal 44 2 2 5" xfId="30536" xr:uid="{00000000-0005-0000-0000-000002850000}"/>
    <cellStyle name="Normal 44 2 2 5 2" xfId="40429" xr:uid="{00000000-0005-0000-0000-000003850000}"/>
    <cellStyle name="Normal 44 2 2 6" xfId="30537" xr:uid="{00000000-0005-0000-0000-000004850000}"/>
    <cellStyle name="Normal 44 2 3" xfId="30538" xr:uid="{00000000-0005-0000-0000-000005850000}"/>
    <cellStyle name="Normal 44 2 3 2" xfId="30539" xr:uid="{00000000-0005-0000-0000-000006850000}"/>
    <cellStyle name="Normal 44 2 3 2 2" xfId="30540" xr:uid="{00000000-0005-0000-0000-000007850000}"/>
    <cellStyle name="Normal 44 2 3 2 2 2" xfId="40430" xr:uid="{00000000-0005-0000-0000-000008850000}"/>
    <cellStyle name="Normal 44 2 3 2 3" xfId="30541" xr:uid="{00000000-0005-0000-0000-000009850000}"/>
    <cellStyle name="Normal 44 2 3 3" xfId="30542" xr:uid="{00000000-0005-0000-0000-00000A850000}"/>
    <cellStyle name="Normal 44 2 3 3 2" xfId="30543" xr:uid="{00000000-0005-0000-0000-00000B850000}"/>
    <cellStyle name="Normal 44 2 3 3 2 2" xfId="40431" xr:uid="{00000000-0005-0000-0000-00000C850000}"/>
    <cellStyle name="Normal 44 2 3 3 3" xfId="30544" xr:uid="{00000000-0005-0000-0000-00000D850000}"/>
    <cellStyle name="Normal 44 2 3 4" xfId="30545" xr:uid="{00000000-0005-0000-0000-00000E850000}"/>
    <cellStyle name="Normal 44 2 3 4 2" xfId="40432" xr:uid="{00000000-0005-0000-0000-00000F850000}"/>
    <cellStyle name="Normal 44 2 3 5" xfId="30546" xr:uid="{00000000-0005-0000-0000-000010850000}"/>
    <cellStyle name="Normal 44 2 4" xfId="30547" xr:uid="{00000000-0005-0000-0000-000011850000}"/>
    <cellStyle name="Normal 44 2 4 2" xfId="30548" xr:uid="{00000000-0005-0000-0000-000012850000}"/>
    <cellStyle name="Normal 44 2 4 2 2" xfId="40433" xr:uid="{00000000-0005-0000-0000-000013850000}"/>
    <cellStyle name="Normal 44 2 4 3" xfId="30549" xr:uid="{00000000-0005-0000-0000-000014850000}"/>
    <cellStyle name="Normal 44 2 5" xfId="30550" xr:uid="{00000000-0005-0000-0000-000015850000}"/>
    <cellStyle name="Normal 44 2 5 2" xfId="30551" xr:uid="{00000000-0005-0000-0000-000016850000}"/>
    <cellStyle name="Normal 44 2 5 2 2" xfId="40434" xr:uid="{00000000-0005-0000-0000-000017850000}"/>
    <cellStyle name="Normal 44 2 5 3" xfId="30552" xr:uid="{00000000-0005-0000-0000-000018850000}"/>
    <cellStyle name="Normal 44 2 6" xfId="30553" xr:uid="{00000000-0005-0000-0000-000019850000}"/>
    <cellStyle name="Normal 44 2 6 2" xfId="40435" xr:uid="{00000000-0005-0000-0000-00001A850000}"/>
    <cellStyle name="Normal 44 2 7" xfId="30554" xr:uid="{00000000-0005-0000-0000-00001B850000}"/>
    <cellStyle name="Normal 44 2 8" xfId="30555" xr:uid="{00000000-0005-0000-0000-00001C850000}"/>
    <cellStyle name="Normal 44 2 9" xfId="46261" xr:uid="{00000000-0005-0000-0000-00001D850000}"/>
    <cellStyle name="Normal 44 3" xfId="1664" xr:uid="{00000000-0005-0000-0000-00001E850000}"/>
    <cellStyle name="Normal 44 3 2" xfId="30556" xr:uid="{00000000-0005-0000-0000-00001F850000}"/>
    <cellStyle name="Normal 44 3 2 2" xfId="30557" xr:uid="{00000000-0005-0000-0000-000020850000}"/>
    <cellStyle name="Normal 44 3 2 2 2" xfId="30558" xr:uid="{00000000-0005-0000-0000-000021850000}"/>
    <cellStyle name="Normal 44 3 2 2 2 2" xfId="40436" xr:uid="{00000000-0005-0000-0000-000022850000}"/>
    <cellStyle name="Normal 44 3 2 2 3" xfId="30559" xr:uid="{00000000-0005-0000-0000-000023850000}"/>
    <cellStyle name="Normal 44 3 2 3" xfId="30560" xr:uid="{00000000-0005-0000-0000-000024850000}"/>
    <cellStyle name="Normal 44 3 2 3 2" xfId="30561" xr:uid="{00000000-0005-0000-0000-000025850000}"/>
    <cellStyle name="Normal 44 3 2 3 2 2" xfId="40437" xr:uid="{00000000-0005-0000-0000-000026850000}"/>
    <cellStyle name="Normal 44 3 2 3 3" xfId="30562" xr:uid="{00000000-0005-0000-0000-000027850000}"/>
    <cellStyle name="Normal 44 3 2 4" xfId="30563" xr:uid="{00000000-0005-0000-0000-000028850000}"/>
    <cellStyle name="Normal 44 3 2 4 2" xfId="40438" xr:uid="{00000000-0005-0000-0000-000029850000}"/>
    <cellStyle name="Normal 44 3 2 5" xfId="30564" xr:uid="{00000000-0005-0000-0000-00002A850000}"/>
    <cellStyle name="Normal 44 3 3" xfId="30565" xr:uid="{00000000-0005-0000-0000-00002B850000}"/>
    <cellStyle name="Normal 44 3 3 2" xfId="30566" xr:uid="{00000000-0005-0000-0000-00002C850000}"/>
    <cellStyle name="Normal 44 3 3 2 2" xfId="40439" xr:uid="{00000000-0005-0000-0000-00002D850000}"/>
    <cellStyle name="Normal 44 3 3 3" xfId="30567" xr:uid="{00000000-0005-0000-0000-00002E850000}"/>
    <cellStyle name="Normal 44 3 4" xfId="30568" xr:uid="{00000000-0005-0000-0000-00002F850000}"/>
    <cellStyle name="Normal 44 3 4 2" xfId="30569" xr:uid="{00000000-0005-0000-0000-000030850000}"/>
    <cellStyle name="Normal 44 3 4 2 2" xfId="40440" xr:uid="{00000000-0005-0000-0000-000031850000}"/>
    <cellStyle name="Normal 44 3 4 3" xfId="30570" xr:uid="{00000000-0005-0000-0000-000032850000}"/>
    <cellStyle name="Normal 44 3 5" xfId="30571" xr:uid="{00000000-0005-0000-0000-000033850000}"/>
    <cellStyle name="Normal 44 3 5 2" xfId="40441" xr:uid="{00000000-0005-0000-0000-000034850000}"/>
    <cellStyle name="Normal 44 3 6" xfId="30572" xr:uid="{00000000-0005-0000-0000-000035850000}"/>
    <cellStyle name="Normal 44 4" xfId="1665" xr:uid="{00000000-0005-0000-0000-000036850000}"/>
    <cellStyle name="Normal 44 4 2" xfId="30573" xr:uid="{00000000-0005-0000-0000-000037850000}"/>
    <cellStyle name="Normal 44 4 2 2" xfId="30574" xr:uid="{00000000-0005-0000-0000-000038850000}"/>
    <cellStyle name="Normal 44 4 2 2 2" xfId="40442" xr:uid="{00000000-0005-0000-0000-000039850000}"/>
    <cellStyle name="Normal 44 4 2 3" xfId="30575" xr:uid="{00000000-0005-0000-0000-00003A850000}"/>
    <cellStyle name="Normal 44 4 3" xfId="30576" xr:uid="{00000000-0005-0000-0000-00003B850000}"/>
    <cellStyle name="Normal 44 4 3 2" xfId="30577" xr:uid="{00000000-0005-0000-0000-00003C850000}"/>
    <cellStyle name="Normal 44 4 3 2 2" xfId="40443" xr:uid="{00000000-0005-0000-0000-00003D850000}"/>
    <cellStyle name="Normal 44 4 3 3" xfId="30578" xr:uid="{00000000-0005-0000-0000-00003E850000}"/>
    <cellStyle name="Normal 44 4 4" xfId="30579" xr:uid="{00000000-0005-0000-0000-00003F850000}"/>
    <cellStyle name="Normal 44 4 4 2" xfId="40444" xr:uid="{00000000-0005-0000-0000-000040850000}"/>
    <cellStyle name="Normal 44 4 5" xfId="30580" xr:uid="{00000000-0005-0000-0000-000041850000}"/>
    <cellStyle name="Normal 44 5" xfId="30581" xr:uid="{00000000-0005-0000-0000-000042850000}"/>
    <cellStyle name="Normal 44 5 2" xfId="30582" xr:uid="{00000000-0005-0000-0000-000043850000}"/>
    <cellStyle name="Normal 44 5 2 2" xfId="40445" xr:uid="{00000000-0005-0000-0000-000044850000}"/>
    <cellStyle name="Normal 44 5 3" xfId="30583" xr:uid="{00000000-0005-0000-0000-000045850000}"/>
    <cellStyle name="Normal 44 6" xfId="30584" xr:uid="{00000000-0005-0000-0000-000046850000}"/>
    <cellStyle name="Normal 44 6 2" xfId="30585" xr:uid="{00000000-0005-0000-0000-000047850000}"/>
    <cellStyle name="Normal 44 6 2 2" xfId="40446" xr:uid="{00000000-0005-0000-0000-000048850000}"/>
    <cellStyle name="Normal 44 6 3" xfId="30586" xr:uid="{00000000-0005-0000-0000-000049850000}"/>
    <cellStyle name="Normal 44 7" xfId="30587" xr:uid="{00000000-0005-0000-0000-00004A850000}"/>
    <cellStyle name="Normal 44 7 2" xfId="40447" xr:uid="{00000000-0005-0000-0000-00004B850000}"/>
    <cellStyle name="Normal 44 8" xfId="30588" xr:uid="{00000000-0005-0000-0000-00004C850000}"/>
    <cellStyle name="Normal 44 9" xfId="40448" xr:uid="{00000000-0005-0000-0000-00004D850000}"/>
    <cellStyle name="Normal 45" xfId="470" xr:uid="{00000000-0005-0000-0000-00004E850000}"/>
    <cellStyle name="Normal 45 2" xfId="1666" xr:uid="{00000000-0005-0000-0000-00004F850000}"/>
    <cellStyle name="Normal 45 2 2" xfId="30589" xr:uid="{00000000-0005-0000-0000-000050850000}"/>
    <cellStyle name="Normal 45 2 2 2" xfId="30590" xr:uid="{00000000-0005-0000-0000-000051850000}"/>
    <cellStyle name="Normal 45 2 2 2 2" xfId="30591" xr:uid="{00000000-0005-0000-0000-000052850000}"/>
    <cellStyle name="Normal 45 2 2 2 2 2" xfId="30592" xr:uid="{00000000-0005-0000-0000-000053850000}"/>
    <cellStyle name="Normal 45 2 2 2 2 2 2" xfId="40449" xr:uid="{00000000-0005-0000-0000-000054850000}"/>
    <cellStyle name="Normal 45 2 2 2 2 3" xfId="30593" xr:uid="{00000000-0005-0000-0000-000055850000}"/>
    <cellStyle name="Normal 45 2 2 2 3" xfId="30594" xr:uid="{00000000-0005-0000-0000-000056850000}"/>
    <cellStyle name="Normal 45 2 2 2 3 2" xfId="30595" xr:uid="{00000000-0005-0000-0000-000057850000}"/>
    <cellStyle name="Normal 45 2 2 2 3 2 2" xfId="40450" xr:uid="{00000000-0005-0000-0000-000058850000}"/>
    <cellStyle name="Normal 45 2 2 2 3 3" xfId="30596" xr:uid="{00000000-0005-0000-0000-000059850000}"/>
    <cellStyle name="Normal 45 2 2 2 4" xfId="30597" xr:uid="{00000000-0005-0000-0000-00005A850000}"/>
    <cellStyle name="Normal 45 2 2 2 4 2" xfId="40451" xr:uid="{00000000-0005-0000-0000-00005B850000}"/>
    <cellStyle name="Normal 45 2 2 2 5" xfId="30598" xr:uid="{00000000-0005-0000-0000-00005C850000}"/>
    <cellStyle name="Normal 45 2 2 3" xfId="30599" xr:uid="{00000000-0005-0000-0000-00005D850000}"/>
    <cellStyle name="Normal 45 2 2 3 2" xfId="30600" xr:uid="{00000000-0005-0000-0000-00005E850000}"/>
    <cellStyle name="Normal 45 2 2 3 2 2" xfId="40452" xr:uid="{00000000-0005-0000-0000-00005F850000}"/>
    <cellStyle name="Normal 45 2 2 3 3" xfId="30601" xr:uid="{00000000-0005-0000-0000-000060850000}"/>
    <cellStyle name="Normal 45 2 2 4" xfId="30602" xr:uid="{00000000-0005-0000-0000-000061850000}"/>
    <cellStyle name="Normal 45 2 2 4 2" xfId="30603" xr:uid="{00000000-0005-0000-0000-000062850000}"/>
    <cellStyle name="Normal 45 2 2 4 2 2" xfId="40453" xr:uid="{00000000-0005-0000-0000-000063850000}"/>
    <cellStyle name="Normal 45 2 2 4 3" xfId="30604" xr:uid="{00000000-0005-0000-0000-000064850000}"/>
    <cellStyle name="Normal 45 2 2 5" xfId="30605" xr:uid="{00000000-0005-0000-0000-000065850000}"/>
    <cellStyle name="Normal 45 2 2 5 2" xfId="40454" xr:uid="{00000000-0005-0000-0000-000066850000}"/>
    <cellStyle name="Normal 45 2 2 6" xfId="30606" xr:uid="{00000000-0005-0000-0000-000067850000}"/>
    <cellStyle name="Normal 45 2 3" xfId="30607" xr:uid="{00000000-0005-0000-0000-000068850000}"/>
    <cellStyle name="Normal 45 2 3 2" xfId="30608" xr:uid="{00000000-0005-0000-0000-000069850000}"/>
    <cellStyle name="Normal 45 2 3 2 2" xfId="30609" xr:uid="{00000000-0005-0000-0000-00006A850000}"/>
    <cellStyle name="Normal 45 2 3 2 2 2" xfId="40455" xr:uid="{00000000-0005-0000-0000-00006B850000}"/>
    <cellStyle name="Normal 45 2 3 2 3" xfId="30610" xr:uid="{00000000-0005-0000-0000-00006C850000}"/>
    <cellStyle name="Normal 45 2 3 3" xfId="30611" xr:uid="{00000000-0005-0000-0000-00006D850000}"/>
    <cellStyle name="Normal 45 2 3 3 2" xfId="30612" xr:uid="{00000000-0005-0000-0000-00006E850000}"/>
    <cellStyle name="Normal 45 2 3 3 2 2" xfId="40456" xr:uid="{00000000-0005-0000-0000-00006F850000}"/>
    <cellStyle name="Normal 45 2 3 3 3" xfId="30613" xr:uid="{00000000-0005-0000-0000-000070850000}"/>
    <cellStyle name="Normal 45 2 3 4" xfId="30614" xr:uid="{00000000-0005-0000-0000-000071850000}"/>
    <cellStyle name="Normal 45 2 3 4 2" xfId="40457" xr:uid="{00000000-0005-0000-0000-000072850000}"/>
    <cellStyle name="Normal 45 2 3 5" xfId="30615" xr:uid="{00000000-0005-0000-0000-000073850000}"/>
    <cellStyle name="Normal 45 2 4" xfId="30616" xr:uid="{00000000-0005-0000-0000-000074850000}"/>
    <cellStyle name="Normal 45 2 4 2" xfId="30617" xr:uid="{00000000-0005-0000-0000-000075850000}"/>
    <cellStyle name="Normal 45 2 4 2 2" xfId="40458" xr:uid="{00000000-0005-0000-0000-000076850000}"/>
    <cellStyle name="Normal 45 2 4 3" xfId="30618" xr:uid="{00000000-0005-0000-0000-000077850000}"/>
    <cellStyle name="Normal 45 2 5" xfId="30619" xr:uid="{00000000-0005-0000-0000-000078850000}"/>
    <cellStyle name="Normal 45 2 5 2" xfId="30620" xr:uid="{00000000-0005-0000-0000-000079850000}"/>
    <cellStyle name="Normal 45 2 5 2 2" xfId="40459" xr:uid="{00000000-0005-0000-0000-00007A850000}"/>
    <cellStyle name="Normal 45 2 5 3" xfId="30621" xr:uid="{00000000-0005-0000-0000-00007B850000}"/>
    <cellStyle name="Normal 45 2 6" xfId="30622" xr:uid="{00000000-0005-0000-0000-00007C850000}"/>
    <cellStyle name="Normal 45 2 6 2" xfId="40460" xr:uid="{00000000-0005-0000-0000-00007D850000}"/>
    <cellStyle name="Normal 45 2 7" xfId="30623" xr:uid="{00000000-0005-0000-0000-00007E850000}"/>
    <cellStyle name="Normal 45 3" xfId="1667" xr:uid="{00000000-0005-0000-0000-00007F850000}"/>
    <cellStyle name="Normal 45 3 2" xfId="40461" xr:uid="{00000000-0005-0000-0000-000080850000}"/>
    <cellStyle name="Normal 45 4" xfId="40462" xr:uid="{00000000-0005-0000-0000-000081850000}"/>
    <cellStyle name="Normal 45 4 2" xfId="42522" xr:uid="{00000000-0005-0000-0000-000082850000}"/>
    <cellStyle name="Normal 45 4 3" xfId="45524" xr:uid="{00000000-0005-0000-0000-000083850000}"/>
    <cellStyle name="Normal 45 5" xfId="40463" xr:uid="{00000000-0005-0000-0000-000084850000}"/>
    <cellStyle name="Normal 46" xfId="471" xr:uid="{00000000-0005-0000-0000-000085850000}"/>
    <cellStyle name="Normal 46 2" xfId="1668" xr:uid="{00000000-0005-0000-0000-000086850000}"/>
    <cellStyle name="Normal 46 2 2" xfId="30624" xr:uid="{00000000-0005-0000-0000-000087850000}"/>
    <cellStyle name="Normal 46 2 2 2" xfId="30625" xr:uid="{00000000-0005-0000-0000-000088850000}"/>
    <cellStyle name="Normal 46 2 2 2 2" xfId="30626" xr:uid="{00000000-0005-0000-0000-000089850000}"/>
    <cellStyle name="Normal 46 2 2 2 2 2" xfId="30627" xr:uid="{00000000-0005-0000-0000-00008A850000}"/>
    <cellStyle name="Normal 46 2 2 2 2 2 2" xfId="40464" xr:uid="{00000000-0005-0000-0000-00008B850000}"/>
    <cellStyle name="Normal 46 2 2 2 2 3" xfId="30628" xr:uid="{00000000-0005-0000-0000-00008C850000}"/>
    <cellStyle name="Normal 46 2 2 2 3" xfId="30629" xr:uid="{00000000-0005-0000-0000-00008D850000}"/>
    <cellStyle name="Normal 46 2 2 2 3 2" xfId="30630" xr:uid="{00000000-0005-0000-0000-00008E850000}"/>
    <cellStyle name="Normal 46 2 2 2 3 2 2" xfId="40465" xr:uid="{00000000-0005-0000-0000-00008F850000}"/>
    <cellStyle name="Normal 46 2 2 2 3 3" xfId="30631" xr:uid="{00000000-0005-0000-0000-000090850000}"/>
    <cellStyle name="Normal 46 2 2 2 4" xfId="30632" xr:uid="{00000000-0005-0000-0000-000091850000}"/>
    <cellStyle name="Normal 46 2 2 2 4 2" xfId="40466" xr:uid="{00000000-0005-0000-0000-000092850000}"/>
    <cellStyle name="Normal 46 2 2 2 5" xfId="30633" xr:uid="{00000000-0005-0000-0000-000093850000}"/>
    <cellStyle name="Normal 46 2 2 3" xfId="30634" xr:uid="{00000000-0005-0000-0000-000094850000}"/>
    <cellStyle name="Normal 46 2 2 3 2" xfId="30635" xr:uid="{00000000-0005-0000-0000-000095850000}"/>
    <cellStyle name="Normal 46 2 2 3 2 2" xfId="40467" xr:uid="{00000000-0005-0000-0000-000096850000}"/>
    <cellStyle name="Normal 46 2 2 3 3" xfId="30636" xr:uid="{00000000-0005-0000-0000-000097850000}"/>
    <cellStyle name="Normal 46 2 2 4" xfId="30637" xr:uid="{00000000-0005-0000-0000-000098850000}"/>
    <cellStyle name="Normal 46 2 2 4 2" xfId="30638" xr:uid="{00000000-0005-0000-0000-000099850000}"/>
    <cellStyle name="Normal 46 2 2 4 2 2" xfId="40468" xr:uid="{00000000-0005-0000-0000-00009A850000}"/>
    <cellStyle name="Normal 46 2 2 4 3" xfId="30639" xr:uid="{00000000-0005-0000-0000-00009B850000}"/>
    <cellStyle name="Normal 46 2 2 5" xfId="30640" xr:uid="{00000000-0005-0000-0000-00009C850000}"/>
    <cellStyle name="Normal 46 2 2 5 2" xfId="40469" xr:uid="{00000000-0005-0000-0000-00009D850000}"/>
    <cellStyle name="Normal 46 2 2 6" xfId="30641" xr:uid="{00000000-0005-0000-0000-00009E850000}"/>
    <cellStyle name="Normal 46 2 3" xfId="30642" xr:uid="{00000000-0005-0000-0000-00009F850000}"/>
    <cellStyle name="Normal 46 2 3 2" xfId="30643" xr:uid="{00000000-0005-0000-0000-0000A0850000}"/>
    <cellStyle name="Normal 46 2 3 2 2" xfId="30644" xr:uid="{00000000-0005-0000-0000-0000A1850000}"/>
    <cellStyle name="Normal 46 2 3 2 2 2" xfId="40470" xr:uid="{00000000-0005-0000-0000-0000A2850000}"/>
    <cellStyle name="Normal 46 2 3 2 3" xfId="30645" xr:uid="{00000000-0005-0000-0000-0000A3850000}"/>
    <cellStyle name="Normal 46 2 3 3" xfId="30646" xr:uid="{00000000-0005-0000-0000-0000A4850000}"/>
    <cellStyle name="Normal 46 2 3 3 2" xfId="30647" xr:uid="{00000000-0005-0000-0000-0000A5850000}"/>
    <cellStyle name="Normal 46 2 3 3 2 2" xfId="40471" xr:uid="{00000000-0005-0000-0000-0000A6850000}"/>
    <cellStyle name="Normal 46 2 3 3 3" xfId="30648" xr:uid="{00000000-0005-0000-0000-0000A7850000}"/>
    <cellStyle name="Normal 46 2 3 4" xfId="30649" xr:uid="{00000000-0005-0000-0000-0000A8850000}"/>
    <cellStyle name="Normal 46 2 3 4 2" xfId="40472" xr:uid="{00000000-0005-0000-0000-0000A9850000}"/>
    <cellStyle name="Normal 46 2 3 5" xfId="30650" xr:uid="{00000000-0005-0000-0000-0000AA850000}"/>
    <cellStyle name="Normal 46 2 4" xfId="30651" xr:uid="{00000000-0005-0000-0000-0000AB850000}"/>
    <cellStyle name="Normal 46 2 4 2" xfId="30652" xr:uid="{00000000-0005-0000-0000-0000AC850000}"/>
    <cellStyle name="Normal 46 2 4 2 2" xfId="40473" xr:uid="{00000000-0005-0000-0000-0000AD850000}"/>
    <cellStyle name="Normal 46 2 4 3" xfId="30653" xr:uid="{00000000-0005-0000-0000-0000AE850000}"/>
    <cellStyle name="Normal 46 2 5" xfId="30654" xr:uid="{00000000-0005-0000-0000-0000AF850000}"/>
    <cellStyle name="Normal 46 2 5 2" xfId="30655" xr:uid="{00000000-0005-0000-0000-0000B0850000}"/>
    <cellStyle name="Normal 46 2 5 2 2" xfId="40474" xr:uid="{00000000-0005-0000-0000-0000B1850000}"/>
    <cellStyle name="Normal 46 2 5 3" xfId="30656" xr:uid="{00000000-0005-0000-0000-0000B2850000}"/>
    <cellStyle name="Normal 46 2 6" xfId="30657" xr:uid="{00000000-0005-0000-0000-0000B3850000}"/>
    <cellStyle name="Normal 46 2 6 2" xfId="40475" xr:uid="{00000000-0005-0000-0000-0000B4850000}"/>
    <cellStyle name="Normal 46 2 7" xfId="30658" xr:uid="{00000000-0005-0000-0000-0000B5850000}"/>
    <cellStyle name="Normal 46 3" xfId="1669" xr:uid="{00000000-0005-0000-0000-0000B6850000}"/>
    <cellStyle name="Normal 46 3 2" xfId="40476" xr:uid="{00000000-0005-0000-0000-0000B7850000}"/>
    <cellStyle name="Normal 46 4" xfId="40477" xr:uid="{00000000-0005-0000-0000-0000B8850000}"/>
    <cellStyle name="Normal 46 4 2" xfId="43698" xr:uid="{00000000-0005-0000-0000-0000B9850000}"/>
    <cellStyle name="Normal 46 4 3" xfId="45525" xr:uid="{00000000-0005-0000-0000-0000BA850000}"/>
    <cellStyle name="Normal 46 5" xfId="40478" xr:uid="{00000000-0005-0000-0000-0000BB850000}"/>
    <cellStyle name="Normal 47" xfId="472" xr:uid="{00000000-0005-0000-0000-0000BC850000}"/>
    <cellStyle name="Normal 47 2" xfId="1670" xr:uid="{00000000-0005-0000-0000-0000BD850000}"/>
    <cellStyle name="Normal 47 2 2" xfId="30659" xr:uid="{00000000-0005-0000-0000-0000BE850000}"/>
    <cellStyle name="Normal 47 2 2 2" xfId="30660" xr:uid="{00000000-0005-0000-0000-0000BF850000}"/>
    <cellStyle name="Normal 47 2 2 2 2" xfId="30661" xr:uid="{00000000-0005-0000-0000-0000C0850000}"/>
    <cellStyle name="Normal 47 2 2 2 2 2" xfId="30662" xr:uid="{00000000-0005-0000-0000-0000C1850000}"/>
    <cellStyle name="Normal 47 2 2 2 2 2 2" xfId="40479" xr:uid="{00000000-0005-0000-0000-0000C2850000}"/>
    <cellStyle name="Normal 47 2 2 2 2 3" xfId="30663" xr:uid="{00000000-0005-0000-0000-0000C3850000}"/>
    <cellStyle name="Normal 47 2 2 2 3" xfId="30664" xr:uid="{00000000-0005-0000-0000-0000C4850000}"/>
    <cellStyle name="Normal 47 2 2 2 3 2" xfId="30665" xr:uid="{00000000-0005-0000-0000-0000C5850000}"/>
    <cellStyle name="Normal 47 2 2 2 3 2 2" xfId="40480" xr:uid="{00000000-0005-0000-0000-0000C6850000}"/>
    <cellStyle name="Normal 47 2 2 2 3 3" xfId="30666" xr:uid="{00000000-0005-0000-0000-0000C7850000}"/>
    <cellStyle name="Normal 47 2 2 2 4" xfId="30667" xr:uid="{00000000-0005-0000-0000-0000C8850000}"/>
    <cellStyle name="Normal 47 2 2 2 4 2" xfId="40481" xr:uid="{00000000-0005-0000-0000-0000C9850000}"/>
    <cellStyle name="Normal 47 2 2 2 5" xfId="30668" xr:uid="{00000000-0005-0000-0000-0000CA850000}"/>
    <cellStyle name="Normal 47 2 2 3" xfId="30669" xr:uid="{00000000-0005-0000-0000-0000CB850000}"/>
    <cellStyle name="Normal 47 2 2 3 2" xfId="30670" xr:uid="{00000000-0005-0000-0000-0000CC850000}"/>
    <cellStyle name="Normal 47 2 2 3 2 2" xfId="40482" xr:uid="{00000000-0005-0000-0000-0000CD850000}"/>
    <cellStyle name="Normal 47 2 2 3 3" xfId="30671" xr:uid="{00000000-0005-0000-0000-0000CE850000}"/>
    <cellStyle name="Normal 47 2 2 4" xfId="30672" xr:uid="{00000000-0005-0000-0000-0000CF850000}"/>
    <cellStyle name="Normal 47 2 2 4 2" xfId="30673" xr:uid="{00000000-0005-0000-0000-0000D0850000}"/>
    <cellStyle name="Normal 47 2 2 4 2 2" xfId="40483" xr:uid="{00000000-0005-0000-0000-0000D1850000}"/>
    <cellStyle name="Normal 47 2 2 4 3" xfId="30674" xr:uid="{00000000-0005-0000-0000-0000D2850000}"/>
    <cellStyle name="Normal 47 2 2 5" xfId="30675" xr:uid="{00000000-0005-0000-0000-0000D3850000}"/>
    <cellStyle name="Normal 47 2 2 5 2" xfId="40484" xr:uid="{00000000-0005-0000-0000-0000D4850000}"/>
    <cellStyle name="Normal 47 2 2 6" xfId="30676" xr:uid="{00000000-0005-0000-0000-0000D5850000}"/>
    <cellStyle name="Normal 47 2 3" xfId="30677" xr:uid="{00000000-0005-0000-0000-0000D6850000}"/>
    <cellStyle name="Normal 47 2 3 2" xfId="30678" xr:uid="{00000000-0005-0000-0000-0000D7850000}"/>
    <cellStyle name="Normal 47 2 3 2 2" xfId="30679" xr:uid="{00000000-0005-0000-0000-0000D8850000}"/>
    <cellStyle name="Normal 47 2 3 2 2 2" xfId="40485" xr:uid="{00000000-0005-0000-0000-0000D9850000}"/>
    <cellStyle name="Normal 47 2 3 2 3" xfId="30680" xr:uid="{00000000-0005-0000-0000-0000DA850000}"/>
    <cellStyle name="Normal 47 2 3 3" xfId="30681" xr:uid="{00000000-0005-0000-0000-0000DB850000}"/>
    <cellStyle name="Normal 47 2 3 3 2" xfId="30682" xr:uid="{00000000-0005-0000-0000-0000DC850000}"/>
    <cellStyle name="Normal 47 2 3 3 2 2" xfId="40486" xr:uid="{00000000-0005-0000-0000-0000DD850000}"/>
    <cellStyle name="Normal 47 2 3 3 3" xfId="30683" xr:uid="{00000000-0005-0000-0000-0000DE850000}"/>
    <cellStyle name="Normal 47 2 3 4" xfId="30684" xr:uid="{00000000-0005-0000-0000-0000DF850000}"/>
    <cellStyle name="Normal 47 2 3 4 2" xfId="40487" xr:uid="{00000000-0005-0000-0000-0000E0850000}"/>
    <cellStyle name="Normal 47 2 3 5" xfId="30685" xr:uid="{00000000-0005-0000-0000-0000E1850000}"/>
    <cellStyle name="Normal 47 2 4" xfId="30686" xr:uid="{00000000-0005-0000-0000-0000E2850000}"/>
    <cellStyle name="Normal 47 2 4 2" xfId="30687" xr:uid="{00000000-0005-0000-0000-0000E3850000}"/>
    <cellStyle name="Normal 47 2 4 2 2" xfId="40488" xr:uid="{00000000-0005-0000-0000-0000E4850000}"/>
    <cellStyle name="Normal 47 2 4 3" xfId="30688" xr:uid="{00000000-0005-0000-0000-0000E5850000}"/>
    <cellStyle name="Normal 47 2 5" xfId="30689" xr:uid="{00000000-0005-0000-0000-0000E6850000}"/>
    <cellStyle name="Normal 47 2 5 2" xfId="30690" xr:uid="{00000000-0005-0000-0000-0000E7850000}"/>
    <cellStyle name="Normal 47 2 5 2 2" xfId="40489" xr:uid="{00000000-0005-0000-0000-0000E8850000}"/>
    <cellStyle name="Normal 47 2 5 3" xfId="30691" xr:uid="{00000000-0005-0000-0000-0000E9850000}"/>
    <cellStyle name="Normal 47 2 6" xfId="30692" xr:uid="{00000000-0005-0000-0000-0000EA850000}"/>
    <cellStyle name="Normal 47 2 6 2" xfId="40490" xr:uid="{00000000-0005-0000-0000-0000EB850000}"/>
    <cellStyle name="Normal 47 2 7" xfId="30693" xr:uid="{00000000-0005-0000-0000-0000EC850000}"/>
    <cellStyle name="Normal 47 3" xfId="1671" xr:uid="{00000000-0005-0000-0000-0000ED850000}"/>
    <cellStyle name="Normal 47 3 2" xfId="40491" xr:uid="{00000000-0005-0000-0000-0000EE850000}"/>
    <cellStyle name="Normal 47 4" xfId="40492" xr:uid="{00000000-0005-0000-0000-0000EF850000}"/>
    <cellStyle name="Normal 47 5" xfId="40493" xr:uid="{00000000-0005-0000-0000-0000F0850000}"/>
    <cellStyle name="Normal 48" xfId="473" xr:uid="{00000000-0005-0000-0000-0000F1850000}"/>
    <cellStyle name="Normal 48 2" xfId="1672" xr:uid="{00000000-0005-0000-0000-0000F2850000}"/>
    <cellStyle name="Normal 48 2 2" xfId="30694" xr:uid="{00000000-0005-0000-0000-0000F3850000}"/>
    <cellStyle name="Normal 48 2 2 2" xfId="30695" xr:uid="{00000000-0005-0000-0000-0000F4850000}"/>
    <cellStyle name="Normal 48 2 2 2 2" xfId="30696" xr:uid="{00000000-0005-0000-0000-0000F5850000}"/>
    <cellStyle name="Normal 48 2 2 2 2 2" xfId="30697" xr:uid="{00000000-0005-0000-0000-0000F6850000}"/>
    <cellStyle name="Normal 48 2 2 2 2 2 2" xfId="40494" xr:uid="{00000000-0005-0000-0000-0000F7850000}"/>
    <cellStyle name="Normal 48 2 2 2 2 3" xfId="30698" xr:uid="{00000000-0005-0000-0000-0000F8850000}"/>
    <cellStyle name="Normal 48 2 2 2 3" xfId="30699" xr:uid="{00000000-0005-0000-0000-0000F9850000}"/>
    <cellStyle name="Normal 48 2 2 2 3 2" xfId="30700" xr:uid="{00000000-0005-0000-0000-0000FA850000}"/>
    <cellStyle name="Normal 48 2 2 2 3 2 2" xfId="40495" xr:uid="{00000000-0005-0000-0000-0000FB850000}"/>
    <cellStyle name="Normal 48 2 2 2 3 3" xfId="30701" xr:uid="{00000000-0005-0000-0000-0000FC850000}"/>
    <cellStyle name="Normal 48 2 2 2 4" xfId="30702" xr:uid="{00000000-0005-0000-0000-0000FD850000}"/>
    <cellStyle name="Normal 48 2 2 2 4 2" xfId="40496" xr:uid="{00000000-0005-0000-0000-0000FE850000}"/>
    <cellStyle name="Normal 48 2 2 2 5" xfId="30703" xr:uid="{00000000-0005-0000-0000-0000FF850000}"/>
    <cellStyle name="Normal 48 2 2 3" xfId="30704" xr:uid="{00000000-0005-0000-0000-000000860000}"/>
    <cellStyle name="Normal 48 2 2 3 2" xfId="30705" xr:uid="{00000000-0005-0000-0000-000001860000}"/>
    <cellStyle name="Normal 48 2 2 3 2 2" xfId="40497" xr:uid="{00000000-0005-0000-0000-000002860000}"/>
    <cellStyle name="Normal 48 2 2 3 3" xfId="30706" xr:uid="{00000000-0005-0000-0000-000003860000}"/>
    <cellStyle name="Normal 48 2 2 4" xfId="30707" xr:uid="{00000000-0005-0000-0000-000004860000}"/>
    <cellStyle name="Normal 48 2 2 4 2" xfId="30708" xr:uid="{00000000-0005-0000-0000-000005860000}"/>
    <cellStyle name="Normal 48 2 2 4 2 2" xfId="40498" xr:uid="{00000000-0005-0000-0000-000006860000}"/>
    <cellStyle name="Normal 48 2 2 4 3" xfId="30709" xr:uid="{00000000-0005-0000-0000-000007860000}"/>
    <cellStyle name="Normal 48 2 2 5" xfId="30710" xr:uid="{00000000-0005-0000-0000-000008860000}"/>
    <cellStyle name="Normal 48 2 2 5 2" xfId="40499" xr:uid="{00000000-0005-0000-0000-000009860000}"/>
    <cellStyle name="Normal 48 2 2 6" xfId="30711" xr:uid="{00000000-0005-0000-0000-00000A860000}"/>
    <cellStyle name="Normal 48 2 3" xfId="30712" xr:uid="{00000000-0005-0000-0000-00000B860000}"/>
    <cellStyle name="Normal 48 2 3 2" xfId="30713" xr:uid="{00000000-0005-0000-0000-00000C860000}"/>
    <cellStyle name="Normal 48 2 3 2 2" xfId="30714" xr:uid="{00000000-0005-0000-0000-00000D860000}"/>
    <cellStyle name="Normal 48 2 3 2 2 2" xfId="40500" xr:uid="{00000000-0005-0000-0000-00000E860000}"/>
    <cellStyle name="Normal 48 2 3 2 3" xfId="30715" xr:uid="{00000000-0005-0000-0000-00000F860000}"/>
    <cellStyle name="Normal 48 2 3 3" xfId="30716" xr:uid="{00000000-0005-0000-0000-000010860000}"/>
    <cellStyle name="Normal 48 2 3 3 2" xfId="30717" xr:uid="{00000000-0005-0000-0000-000011860000}"/>
    <cellStyle name="Normal 48 2 3 3 2 2" xfId="40501" xr:uid="{00000000-0005-0000-0000-000012860000}"/>
    <cellStyle name="Normal 48 2 3 3 3" xfId="30718" xr:uid="{00000000-0005-0000-0000-000013860000}"/>
    <cellStyle name="Normal 48 2 3 4" xfId="30719" xr:uid="{00000000-0005-0000-0000-000014860000}"/>
    <cellStyle name="Normal 48 2 3 4 2" xfId="40502" xr:uid="{00000000-0005-0000-0000-000015860000}"/>
    <cellStyle name="Normal 48 2 3 5" xfId="30720" xr:uid="{00000000-0005-0000-0000-000016860000}"/>
    <cellStyle name="Normal 48 2 4" xfId="30721" xr:uid="{00000000-0005-0000-0000-000017860000}"/>
    <cellStyle name="Normal 48 2 4 2" xfId="30722" xr:uid="{00000000-0005-0000-0000-000018860000}"/>
    <cellStyle name="Normal 48 2 4 2 2" xfId="40503" xr:uid="{00000000-0005-0000-0000-000019860000}"/>
    <cellStyle name="Normal 48 2 4 3" xfId="30723" xr:uid="{00000000-0005-0000-0000-00001A860000}"/>
    <cellStyle name="Normal 48 2 5" xfId="30724" xr:uid="{00000000-0005-0000-0000-00001B860000}"/>
    <cellStyle name="Normal 48 2 5 2" xfId="30725" xr:uid="{00000000-0005-0000-0000-00001C860000}"/>
    <cellStyle name="Normal 48 2 5 2 2" xfId="40504" xr:uid="{00000000-0005-0000-0000-00001D860000}"/>
    <cellStyle name="Normal 48 2 5 3" xfId="30726" xr:uid="{00000000-0005-0000-0000-00001E860000}"/>
    <cellStyle name="Normal 48 2 6" xfId="30727" xr:uid="{00000000-0005-0000-0000-00001F860000}"/>
    <cellStyle name="Normal 48 2 6 2" xfId="40505" xr:uid="{00000000-0005-0000-0000-000020860000}"/>
    <cellStyle name="Normal 48 2 7" xfId="30728" xr:uid="{00000000-0005-0000-0000-000021860000}"/>
    <cellStyle name="Normal 48 3" xfId="1673" xr:uid="{00000000-0005-0000-0000-000022860000}"/>
    <cellStyle name="Normal 48 3 2" xfId="30729" xr:uid="{00000000-0005-0000-0000-000023860000}"/>
    <cellStyle name="Normal 48 3 2 2" xfId="30730" xr:uid="{00000000-0005-0000-0000-000024860000}"/>
    <cellStyle name="Normal 48 3 2 2 2" xfId="30731" xr:uid="{00000000-0005-0000-0000-000025860000}"/>
    <cellStyle name="Normal 48 3 2 2 2 2" xfId="40506" xr:uid="{00000000-0005-0000-0000-000026860000}"/>
    <cellStyle name="Normal 48 3 2 2 3" xfId="30732" xr:uid="{00000000-0005-0000-0000-000027860000}"/>
    <cellStyle name="Normal 48 3 2 3" xfId="30733" xr:uid="{00000000-0005-0000-0000-000028860000}"/>
    <cellStyle name="Normal 48 3 2 3 2" xfId="30734" xr:uid="{00000000-0005-0000-0000-000029860000}"/>
    <cellStyle name="Normal 48 3 2 3 2 2" xfId="40507" xr:uid="{00000000-0005-0000-0000-00002A860000}"/>
    <cellStyle name="Normal 48 3 2 3 3" xfId="30735" xr:uid="{00000000-0005-0000-0000-00002B860000}"/>
    <cellStyle name="Normal 48 3 2 4" xfId="30736" xr:uid="{00000000-0005-0000-0000-00002C860000}"/>
    <cellStyle name="Normal 48 3 2 4 2" xfId="40508" xr:uid="{00000000-0005-0000-0000-00002D860000}"/>
    <cellStyle name="Normal 48 3 2 5" xfId="30737" xr:uid="{00000000-0005-0000-0000-00002E860000}"/>
    <cellStyle name="Normal 48 3 3" xfId="30738" xr:uid="{00000000-0005-0000-0000-00002F860000}"/>
    <cellStyle name="Normal 48 3 3 2" xfId="30739" xr:uid="{00000000-0005-0000-0000-000030860000}"/>
    <cellStyle name="Normal 48 3 3 2 2" xfId="40509" xr:uid="{00000000-0005-0000-0000-000031860000}"/>
    <cellStyle name="Normal 48 3 3 3" xfId="30740" xr:uid="{00000000-0005-0000-0000-000032860000}"/>
    <cellStyle name="Normal 48 3 4" xfId="30741" xr:uid="{00000000-0005-0000-0000-000033860000}"/>
    <cellStyle name="Normal 48 3 4 2" xfId="30742" xr:uid="{00000000-0005-0000-0000-000034860000}"/>
    <cellStyle name="Normal 48 3 4 2 2" xfId="40510" xr:uid="{00000000-0005-0000-0000-000035860000}"/>
    <cellStyle name="Normal 48 3 4 3" xfId="30743" xr:uid="{00000000-0005-0000-0000-000036860000}"/>
    <cellStyle name="Normal 48 3 5" xfId="30744" xr:uid="{00000000-0005-0000-0000-000037860000}"/>
    <cellStyle name="Normal 48 3 5 2" xfId="40511" xr:uid="{00000000-0005-0000-0000-000038860000}"/>
    <cellStyle name="Normal 48 3 6" xfId="30745" xr:uid="{00000000-0005-0000-0000-000039860000}"/>
    <cellStyle name="Normal 48 4" xfId="30746" xr:uid="{00000000-0005-0000-0000-00003A860000}"/>
    <cellStyle name="Normal 48 4 2" xfId="30747" xr:uid="{00000000-0005-0000-0000-00003B860000}"/>
    <cellStyle name="Normal 48 4 2 2" xfId="30748" xr:uid="{00000000-0005-0000-0000-00003C860000}"/>
    <cellStyle name="Normal 48 4 2 2 2" xfId="40512" xr:uid="{00000000-0005-0000-0000-00003D860000}"/>
    <cellStyle name="Normal 48 4 2 3" xfId="30749" xr:uid="{00000000-0005-0000-0000-00003E860000}"/>
    <cellStyle name="Normal 48 4 3" xfId="30750" xr:uid="{00000000-0005-0000-0000-00003F860000}"/>
    <cellStyle name="Normal 48 4 3 2" xfId="30751" xr:uid="{00000000-0005-0000-0000-000040860000}"/>
    <cellStyle name="Normal 48 4 3 2 2" xfId="40513" xr:uid="{00000000-0005-0000-0000-000041860000}"/>
    <cellStyle name="Normal 48 4 3 3" xfId="30752" xr:uid="{00000000-0005-0000-0000-000042860000}"/>
    <cellStyle name="Normal 48 4 4" xfId="30753" xr:uid="{00000000-0005-0000-0000-000043860000}"/>
    <cellStyle name="Normal 48 4 4 2" xfId="40514" xr:uid="{00000000-0005-0000-0000-000044860000}"/>
    <cellStyle name="Normal 48 4 5" xfId="30754" xr:uid="{00000000-0005-0000-0000-000045860000}"/>
    <cellStyle name="Normal 48 5" xfId="30755" xr:uid="{00000000-0005-0000-0000-000046860000}"/>
    <cellStyle name="Normal 48 5 2" xfId="30756" xr:uid="{00000000-0005-0000-0000-000047860000}"/>
    <cellStyle name="Normal 48 5 2 2" xfId="40515" xr:uid="{00000000-0005-0000-0000-000048860000}"/>
    <cellStyle name="Normal 48 5 3" xfId="30757" xr:uid="{00000000-0005-0000-0000-000049860000}"/>
    <cellStyle name="Normal 48 6" xfId="30758" xr:uid="{00000000-0005-0000-0000-00004A860000}"/>
    <cellStyle name="Normal 48 6 2" xfId="30759" xr:uid="{00000000-0005-0000-0000-00004B860000}"/>
    <cellStyle name="Normal 48 6 2 2" xfId="40516" xr:uid="{00000000-0005-0000-0000-00004C860000}"/>
    <cellStyle name="Normal 48 6 3" xfId="30760" xr:uid="{00000000-0005-0000-0000-00004D860000}"/>
    <cellStyle name="Normal 48 7" xfId="30761" xr:uid="{00000000-0005-0000-0000-00004E860000}"/>
    <cellStyle name="Normal 48 7 2" xfId="40517" xr:uid="{00000000-0005-0000-0000-00004F860000}"/>
    <cellStyle name="Normal 48 8" xfId="30762" xr:uid="{00000000-0005-0000-0000-000050860000}"/>
    <cellStyle name="Normal 48 9" xfId="40518" xr:uid="{00000000-0005-0000-0000-000051860000}"/>
    <cellStyle name="Normal 49" xfId="474" xr:uid="{00000000-0005-0000-0000-000052860000}"/>
    <cellStyle name="Normal 49 2" xfId="1674" xr:uid="{00000000-0005-0000-0000-000053860000}"/>
    <cellStyle name="Normal 49 2 2" xfId="30763" xr:uid="{00000000-0005-0000-0000-000054860000}"/>
    <cellStyle name="Normal 49 2 2 2" xfId="30764" xr:uid="{00000000-0005-0000-0000-000055860000}"/>
    <cellStyle name="Normal 49 2 2 2 2" xfId="30765" xr:uid="{00000000-0005-0000-0000-000056860000}"/>
    <cellStyle name="Normal 49 2 2 2 2 2" xfId="30766" xr:uid="{00000000-0005-0000-0000-000057860000}"/>
    <cellStyle name="Normal 49 2 2 2 2 2 2" xfId="40519" xr:uid="{00000000-0005-0000-0000-000058860000}"/>
    <cellStyle name="Normal 49 2 2 2 2 3" xfId="30767" xr:uid="{00000000-0005-0000-0000-000059860000}"/>
    <cellStyle name="Normal 49 2 2 2 3" xfId="30768" xr:uid="{00000000-0005-0000-0000-00005A860000}"/>
    <cellStyle name="Normal 49 2 2 2 3 2" xfId="30769" xr:uid="{00000000-0005-0000-0000-00005B860000}"/>
    <cellStyle name="Normal 49 2 2 2 3 2 2" xfId="40520" xr:uid="{00000000-0005-0000-0000-00005C860000}"/>
    <cellStyle name="Normal 49 2 2 2 3 3" xfId="30770" xr:uid="{00000000-0005-0000-0000-00005D860000}"/>
    <cellStyle name="Normal 49 2 2 2 4" xfId="30771" xr:uid="{00000000-0005-0000-0000-00005E860000}"/>
    <cellStyle name="Normal 49 2 2 2 4 2" xfId="40521" xr:uid="{00000000-0005-0000-0000-00005F860000}"/>
    <cellStyle name="Normal 49 2 2 2 5" xfId="30772" xr:uid="{00000000-0005-0000-0000-000060860000}"/>
    <cellStyle name="Normal 49 2 2 3" xfId="30773" xr:uid="{00000000-0005-0000-0000-000061860000}"/>
    <cellStyle name="Normal 49 2 2 3 2" xfId="30774" xr:uid="{00000000-0005-0000-0000-000062860000}"/>
    <cellStyle name="Normal 49 2 2 3 2 2" xfId="40522" xr:uid="{00000000-0005-0000-0000-000063860000}"/>
    <cellStyle name="Normal 49 2 2 3 3" xfId="30775" xr:uid="{00000000-0005-0000-0000-000064860000}"/>
    <cellStyle name="Normal 49 2 2 4" xfId="30776" xr:uid="{00000000-0005-0000-0000-000065860000}"/>
    <cellStyle name="Normal 49 2 2 4 2" xfId="30777" xr:uid="{00000000-0005-0000-0000-000066860000}"/>
    <cellStyle name="Normal 49 2 2 4 2 2" xfId="40523" xr:uid="{00000000-0005-0000-0000-000067860000}"/>
    <cellStyle name="Normal 49 2 2 4 3" xfId="30778" xr:uid="{00000000-0005-0000-0000-000068860000}"/>
    <cellStyle name="Normal 49 2 2 5" xfId="30779" xr:uid="{00000000-0005-0000-0000-000069860000}"/>
    <cellStyle name="Normal 49 2 2 5 2" xfId="40524" xr:uid="{00000000-0005-0000-0000-00006A860000}"/>
    <cellStyle name="Normal 49 2 2 6" xfId="30780" xr:uid="{00000000-0005-0000-0000-00006B860000}"/>
    <cellStyle name="Normal 49 2 3" xfId="30781" xr:uid="{00000000-0005-0000-0000-00006C860000}"/>
    <cellStyle name="Normal 49 2 3 2" xfId="30782" xr:uid="{00000000-0005-0000-0000-00006D860000}"/>
    <cellStyle name="Normal 49 2 3 2 2" xfId="30783" xr:uid="{00000000-0005-0000-0000-00006E860000}"/>
    <cellStyle name="Normal 49 2 3 2 2 2" xfId="40525" xr:uid="{00000000-0005-0000-0000-00006F860000}"/>
    <cellStyle name="Normal 49 2 3 2 3" xfId="30784" xr:uid="{00000000-0005-0000-0000-000070860000}"/>
    <cellStyle name="Normal 49 2 3 3" xfId="30785" xr:uid="{00000000-0005-0000-0000-000071860000}"/>
    <cellStyle name="Normal 49 2 3 3 2" xfId="30786" xr:uid="{00000000-0005-0000-0000-000072860000}"/>
    <cellStyle name="Normal 49 2 3 3 2 2" xfId="40526" xr:uid="{00000000-0005-0000-0000-000073860000}"/>
    <cellStyle name="Normal 49 2 3 3 3" xfId="30787" xr:uid="{00000000-0005-0000-0000-000074860000}"/>
    <cellStyle name="Normal 49 2 3 4" xfId="30788" xr:uid="{00000000-0005-0000-0000-000075860000}"/>
    <cellStyle name="Normal 49 2 3 4 2" xfId="40527" xr:uid="{00000000-0005-0000-0000-000076860000}"/>
    <cellStyle name="Normal 49 2 3 5" xfId="30789" xr:uid="{00000000-0005-0000-0000-000077860000}"/>
    <cellStyle name="Normal 49 2 4" xfId="30790" xr:uid="{00000000-0005-0000-0000-000078860000}"/>
    <cellStyle name="Normal 49 2 4 2" xfId="30791" xr:uid="{00000000-0005-0000-0000-000079860000}"/>
    <cellStyle name="Normal 49 2 4 2 2" xfId="40528" xr:uid="{00000000-0005-0000-0000-00007A860000}"/>
    <cellStyle name="Normal 49 2 4 3" xfId="30792" xr:uid="{00000000-0005-0000-0000-00007B860000}"/>
    <cellStyle name="Normal 49 2 5" xfId="30793" xr:uid="{00000000-0005-0000-0000-00007C860000}"/>
    <cellStyle name="Normal 49 2 5 2" xfId="30794" xr:uid="{00000000-0005-0000-0000-00007D860000}"/>
    <cellStyle name="Normal 49 2 5 2 2" xfId="40529" xr:uid="{00000000-0005-0000-0000-00007E860000}"/>
    <cellStyle name="Normal 49 2 5 3" xfId="30795" xr:uid="{00000000-0005-0000-0000-00007F860000}"/>
    <cellStyle name="Normal 49 2 6" xfId="30796" xr:uid="{00000000-0005-0000-0000-000080860000}"/>
    <cellStyle name="Normal 49 2 6 2" xfId="40530" xr:uid="{00000000-0005-0000-0000-000081860000}"/>
    <cellStyle name="Normal 49 2 7" xfId="30797" xr:uid="{00000000-0005-0000-0000-000082860000}"/>
    <cellStyle name="Normal 49 3" xfId="1675" xr:uid="{00000000-0005-0000-0000-000083860000}"/>
    <cellStyle name="Normal 49 3 2" xfId="30798" xr:uid="{00000000-0005-0000-0000-000084860000}"/>
    <cellStyle name="Normal 49 3 2 2" xfId="30799" xr:uid="{00000000-0005-0000-0000-000085860000}"/>
    <cellStyle name="Normal 49 3 2 2 2" xfId="30800" xr:uid="{00000000-0005-0000-0000-000086860000}"/>
    <cellStyle name="Normal 49 3 2 2 2 2" xfId="40531" xr:uid="{00000000-0005-0000-0000-000087860000}"/>
    <cellStyle name="Normal 49 3 2 2 3" xfId="30801" xr:uid="{00000000-0005-0000-0000-000088860000}"/>
    <cellStyle name="Normal 49 3 2 3" xfId="30802" xr:uid="{00000000-0005-0000-0000-000089860000}"/>
    <cellStyle name="Normal 49 3 2 3 2" xfId="30803" xr:uid="{00000000-0005-0000-0000-00008A860000}"/>
    <cellStyle name="Normal 49 3 2 3 2 2" xfId="40532" xr:uid="{00000000-0005-0000-0000-00008B860000}"/>
    <cellStyle name="Normal 49 3 2 3 3" xfId="30804" xr:uid="{00000000-0005-0000-0000-00008C860000}"/>
    <cellStyle name="Normal 49 3 2 4" xfId="30805" xr:uid="{00000000-0005-0000-0000-00008D860000}"/>
    <cellStyle name="Normal 49 3 2 4 2" xfId="40533" xr:uid="{00000000-0005-0000-0000-00008E860000}"/>
    <cellStyle name="Normal 49 3 2 5" xfId="30806" xr:uid="{00000000-0005-0000-0000-00008F860000}"/>
    <cellStyle name="Normal 49 3 3" xfId="30807" xr:uid="{00000000-0005-0000-0000-000090860000}"/>
    <cellStyle name="Normal 49 3 3 2" xfId="30808" xr:uid="{00000000-0005-0000-0000-000091860000}"/>
    <cellStyle name="Normal 49 3 3 2 2" xfId="40534" xr:uid="{00000000-0005-0000-0000-000092860000}"/>
    <cellStyle name="Normal 49 3 3 3" xfId="30809" xr:uid="{00000000-0005-0000-0000-000093860000}"/>
    <cellStyle name="Normal 49 3 4" xfId="30810" xr:uid="{00000000-0005-0000-0000-000094860000}"/>
    <cellStyle name="Normal 49 3 4 2" xfId="30811" xr:uid="{00000000-0005-0000-0000-000095860000}"/>
    <cellStyle name="Normal 49 3 4 2 2" xfId="40535" xr:uid="{00000000-0005-0000-0000-000096860000}"/>
    <cellStyle name="Normal 49 3 4 3" xfId="30812" xr:uid="{00000000-0005-0000-0000-000097860000}"/>
    <cellStyle name="Normal 49 3 5" xfId="30813" xr:uid="{00000000-0005-0000-0000-000098860000}"/>
    <cellStyle name="Normal 49 3 5 2" xfId="40536" xr:uid="{00000000-0005-0000-0000-000099860000}"/>
    <cellStyle name="Normal 49 3 6" xfId="30814" xr:uid="{00000000-0005-0000-0000-00009A860000}"/>
    <cellStyle name="Normal 49 4" xfId="30815" xr:uid="{00000000-0005-0000-0000-00009B860000}"/>
    <cellStyle name="Normal 49 4 2" xfId="30816" xr:uid="{00000000-0005-0000-0000-00009C860000}"/>
    <cellStyle name="Normal 49 4 2 2" xfId="30817" xr:uid="{00000000-0005-0000-0000-00009D860000}"/>
    <cellStyle name="Normal 49 4 2 2 2" xfId="40537" xr:uid="{00000000-0005-0000-0000-00009E860000}"/>
    <cellStyle name="Normal 49 4 2 3" xfId="30818" xr:uid="{00000000-0005-0000-0000-00009F860000}"/>
    <cellStyle name="Normal 49 4 3" xfId="30819" xr:uid="{00000000-0005-0000-0000-0000A0860000}"/>
    <cellStyle name="Normal 49 4 3 2" xfId="30820" xr:uid="{00000000-0005-0000-0000-0000A1860000}"/>
    <cellStyle name="Normal 49 4 3 2 2" xfId="40538" xr:uid="{00000000-0005-0000-0000-0000A2860000}"/>
    <cellStyle name="Normal 49 4 3 3" xfId="30821" xr:uid="{00000000-0005-0000-0000-0000A3860000}"/>
    <cellStyle name="Normal 49 4 4" xfId="30822" xr:uid="{00000000-0005-0000-0000-0000A4860000}"/>
    <cellStyle name="Normal 49 4 4 2" xfId="40539" xr:uid="{00000000-0005-0000-0000-0000A5860000}"/>
    <cellStyle name="Normal 49 4 5" xfId="30823" xr:uid="{00000000-0005-0000-0000-0000A6860000}"/>
    <cellStyle name="Normal 49 5" xfId="30824" xr:uid="{00000000-0005-0000-0000-0000A7860000}"/>
    <cellStyle name="Normal 49 5 2" xfId="30825" xr:uid="{00000000-0005-0000-0000-0000A8860000}"/>
    <cellStyle name="Normal 49 5 2 2" xfId="40540" xr:uid="{00000000-0005-0000-0000-0000A9860000}"/>
    <cellStyle name="Normal 49 5 3" xfId="30826" xr:uid="{00000000-0005-0000-0000-0000AA860000}"/>
    <cellStyle name="Normal 49 6" xfId="30827" xr:uid="{00000000-0005-0000-0000-0000AB860000}"/>
    <cellStyle name="Normal 49 6 2" xfId="30828" xr:uid="{00000000-0005-0000-0000-0000AC860000}"/>
    <cellStyle name="Normal 49 6 2 2" xfId="40541" xr:uid="{00000000-0005-0000-0000-0000AD860000}"/>
    <cellStyle name="Normal 49 6 3" xfId="30829" xr:uid="{00000000-0005-0000-0000-0000AE860000}"/>
    <cellStyle name="Normal 49 7" xfId="30830" xr:uid="{00000000-0005-0000-0000-0000AF860000}"/>
    <cellStyle name="Normal 49 7 2" xfId="40542" xr:uid="{00000000-0005-0000-0000-0000B0860000}"/>
    <cellStyle name="Normal 49 8" xfId="30831" xr:uid="{00000000-0005-0000-0000-0000B1860000}"/>
    <cellStyle name="Normal 49 9" xfId="40543" xr:uid="{00000000-0005-0000-0000-0000B2860000}"/>
    <cellStyle name="Normal 5" xfId="48" xr:uid="{00000000-0005-0000-0000-0000B3860000}"/>
    <cellStyle name="Normal 5 10" xfId="1676" xr:uid="{00000000-0005-0000-0000-0000B4860000}"/>
    <cellStyle name="Normal 5 10 2" xfId="40544" xr:uid="{00000000-0005-0000-0000-0000B5860000}"/>
    <cellStyle name="Normal 5 10 2 2" xfId="43699" xr:uid="{00000000-0005-0000-0000-0000B6860000}"/>
    <cellStyle name="Normal 5 10 3" xfId="43700" xr:uid="{00000000-0005-0000-0000-0000B7860000}"/>
    <cellStyle name="Normal 5 10 3 2" xfId="43701" xr:uid="{00000000-0005-0000-0000-0000B8860000}"/>
    <cellStyle name="Normal 5 10 4" xfId="43702" xr:uid="{00000000-0005-0000-0000-0000B9860000}"/>
    <cellStyle name="Normal 5 10 4 2" xfId="43703" xr:uid="{00000000-0005-0000-0000-0000BA860000}"/>
    <cellStyle name="Normal 5 10 5" xfId="43704" xr:uid="{00000000-0005-0000-0000-0000BB860000}"/>
    <cellStyle name="Normal 5 11" xfId="30832" xr:uid="{00000000-0005-0000-0000-0000BC860000}"/>
    <cellStyle name="Normal 5 11 2" xfId="43705" xr:uid="{00000000-0005-0000-0000-0000BD860000}"/>
    <cellStyle name="Normal 5 12" xfId="40545" xr:uid="{00000000-0005-0000-0000-0000BE860000}"/>
    <cellStyle name="Normal 5 12 2" xfId="43706" xr:uid="{00000000-0005-0000-0000-0000BF860000}"/>
    <cellStyle name="Normal 5 13" xfId="43707" xr:uid="{00000000-0005-0000-0000-0000C0860000}"/>
    <cellStyle name="Normal 5 13 2" xfId="43708" xr:uid="{00000000-0005-0000-0000-0000C1860000}"/>
    <cellStyle name="Normal 5 14" xfId="43709" xr:uid="{00000000-0005-0000-0000-0000C2860000}"/>
    <cellStyle name="Normal 5 15" xfId="46301" xr:uid="{00000000-0005-0000-0000-0000C3860000}"/>
    <cellStyle name="Normal 5 2" xfId="49" xr:uid="{00000000-0005-0000-0000-0000C4860000}"/>
    <cellStyle name="Normal 5 2 10" xfId="1677" xr:uid="{00000000-0005-0000-0000-0000C5860000}"/>
    <cellStyle name="Normal 5 2 10 2" xfId="40546" xr:uid="{00000000-0005-0000-0000-0000C6860000}"/>
    <cellStyle name="Normal 5 2 10 3" xfId="45526" xr:uid="{00000000-0005-0000-0000-0000C7860000}"/>
    <cellStyle name="Normal 5 2 11" xfId="1678" xr:uid="{00000000-0005-0000-0000-0000C8860000}"/>
    <cellStyle name="Normal 5 2 11 2" xfId="40547" xr:uid="{00000000-0005-0000-0000-0000C9860000}"/>
    <cellStyle name="Normal 5 2 11 3" xfId="45527" xr:uid="{00000000-0005-0000-0000-0000CA860000}"/>
    <cellStyle name="Normal 5 2 12" xfId="30833" xr:uid="{00000000-0005-0000-0000-0000CB860000}"/>
    <cellStyle name="Normal 5 2 12 2" xfId="42534" xr:uid="{00000000-0005-0000-0000-0000CC860000}"/>
    <cellStyle name="Normal 5 2 12 3" xfId="45528" xr:uid="{00000000-0005-0000-0000-0000CD860000}"/>
    <cellStyle name="Normal 5 2 13" xfId="40548" xr:uid="{00000000-0005-0000-0000-0000CE860000}"/>
    <cellStyle name="Normal 5 2 14" xfId="46302" xr:uid="{00000000-0005-0000-0000-0000CF860000}"/>
    <cellStyle name="Normal 5 2 2" xfId="475" xr:uid="{00000000-0005-0000-0000-0000D0860000}"/>
    <cellStyle name="Normal 5 2 2 2" xfId="1679" xr:uid="{00000000-0005-0000-0000-0000D1860000}"/>
    <cellStyle name="Normal 5 2 2 2 2" xfId="1680" xr:uid="{00000000-0005-0000-0000-0000D2860000}"/>
    <cellStyle name="Normal 5 2 2 2 2 2" xfId="30834" xr:uid="{00000000-0005-0000-0000-0000D3860000}"/>
    <cellStyle name="Normal 5 2 2 2 2 2 2" xfId="30835" xr:uid="{00000000-0005-0000-0000-0000D4860000}"/>
    <cellStyle name="Normal 5 2 2 2 2 2 2 2" xfId="30836" xr:uid="{00000000-0005-0000-0000-0000D5860000}"/>
    <cellStyle name="Normal 5 2 2 2 2 2 2 2 2" xfId="40549" xr:uid="{00000000-0005-0000-0000-0000D6860000}"/>
    <cellStyle name="Normal 5 2 2 2 2 2 2 3" xfId="30837" xr:uid="{00000000-0005-0000-0000-0000D7860000}"/>
    <cellStyle name="Normal 5 2 2 2 2 2 3" xfId="30838" xr:uid="{00000000-0005-0000-0000-0000D8860000}"/>
    <cellStyle name="Normal 5 2 2 2 2 2 3 2" xfId="30839" xr:uid="{00000000-0005-0000-0000-0000D9860000}"/>
    <cellStyle name="Normal 5 2 2 2 2 2 3 2 2" xfId="40550" xr:uid="{00000000-0005-0000-0000-0000DA860000}"/>
    <cellStyle name="Normal 5 2 2 2 2 2 3 3" xfId="30840" xr:uid="{00000000-0005-0000-0000-0000DB860000}"/>
    <cellStyle name="Normal 5 2 2 2 2 2 4" xfId="30841" xr:uid="{00000000-0005-0000-0000-0000DC860000}"/>
    <cellStyle name="Normal 5 2 2 2 2 2 4 2" xfId="40551" xr:uid="{00000000-0005-0000-0000-0000DD860000}"/>
    <cellStyle name="Normal 5 2 2 2 2 2 5" xfId="30842" xr:uid="{00000000-0005-0000-0000-0000DE860000}"/>
    <cellStyle name="Normal 5 2 2 2 2 3" xfId="30843" xr:uid="{00000000-0005-0000-0000-0000DF860000}"/>
    <cellStyle name="Normal 5 2 2 2 2 3 2" xfId="30844" xr:uid="{00000000-0005-0000-0000-0000E0860000}"/>
    <cellStyle name="Normal 5 2 2 2 2 3 2 2" xfId="40552" xr:uid="{00000000-0005-0000-0000-0000E1860000}"/>
    <cellStyle name="Normal 5 2 2 2 2 3 3" xfId="30845" xr:uid="{00000000-0005-0000-0000-0000E2860000}"/>
    <cellStyle name="Normal 5 2 2 2 2 4" xfId="30846" xr:uid="{00000000-0005-0000-0000-0000E3860000}"/>
    <cellStyle name="Normal 5 2 2 2 2 4 2" xfId="30847" xr:uid="{00000000-0005-0000-0000-0000E4860000}"/>
    <cellStyle name="Normal 5 2 2 2 2 4 2 2" xfId="40553" xr:uid="{00000000-0005-0000-0000-0000E5860000}"/>
    <cellStyle name="Normal 5 2 2 2 2 4 3" xfId="30848" xr:uid="{00000000-0005-0000-0000-0000E6860000}"/>
    <cellStyle name="Normal 5 2 2 2 2 5" xfId="30849" xr:uid="{00000000-0005-0000-0000-0000E7860000}"/>
    <cellStyle name="Normal 5 2 2 2 2 5 2" xfId="40554" xr:uid="{00000000-0005-0000-0000-0000E8860000}"/>
    <cellStyle name="Normal 5 2 2 2 2 6" xfId="30850" xr:uid="{00000000-0005-0000-0000-0000E9860000}"/>
    <cellStyle name="Normal 5 2 2 2 2 7" xfId="45529" xr:uid="{00000000-0005-0000-0000-0000EA860000}"/>
    <cellStyle name="Normal 5 2 2 2 3" xfId="1681" xr:uid="{00000000-0005-0000-0000-0000EB860000}"/>
    <cellStyle name="Normal 5 2 2 2 3 2" xfId="30851" xr:uid="{00000000-0005-0000-0000-0000EC860000}"/>
    <cellStyle name="Normal 5 2 2 2 3 2 2" xfId="30852" xr:uid="{00000000-0005-0000-0000-0000ED860000}"/>
    <cellStyle name="Normal 5 2 2 2 3 2 2 2" xfId="40555" xr:uid="{00000000-0005-0000-0000-0000EE860000}"/>
    <cellStyle name="Normal 5 2 2 2 3 2 3" xfId="30853" xr:uid="{00000000-0005-0000-0000-0000EF860000}"/>
    <cellStyle name="Normal 5 2 2 2 3 3" xfId="30854" xr:uid="{00000000-0005-0000-0000-0000F0860000}"/>
    <cellStyle name="Normal 5 2 2 2 3 3 2" xfId="30855" xr:uid="{00000000-0005-0000-0000-0000F1860000}"/>
    <cellStyle name="Normal 5 2 2 2 3 3 2 2" xfId="40556" xr:uid="{00000000-0005-0000-0000-0000F2860000}"/>
    <cellStyle name="Normal 5 2 2 2 3 3 3" xfId="30856" xr:uid="{00000000-0005-0000-0000-0000F3860000}"/>
    <cellStyle name="Normal 5 2 2 2 3 4" xfId="30857" xr:uid="{00000000-0005-0000-0000-0000F4860000}"/>
    <cellStyle name="Normal 5 2 2 2 3 4 2" xfId="40557" xr:uid="{00000000-0005-0000-0000-0000F5860000}"/>
    <cellStyle name="Normal 5 2 2 2 3 5" xfId="30858" xr:uid="{00000000-0005-0000-0000-0000F6860000}"/>
    <cellStyle name="Normal 5 2 2 2 3 6" xfId="45530" xr:uid="{00000000-0005-0000-0000-0000F7860000}"/>
    <cellStyle name="Normal 5 2 2 2 4" xfId="1682" xr:uid="{00000000-0005-0000-0000-0000F8860000}"/>
    <cellStyle name="Normal 5 2 2 2 4 2" xfId="30859" xr:uid="{00000000-0005-0000-0000-0000F9860000}"/>
    <cellStyle name="Normal 5 2 2 2 4 2 2" xfId="40558" xr:uid="{00000000-0005-0000-0000-0000FA860000}"/>
    <cellStyle name="Normal 5 2 2 2 4 3" xfId="30860" xr:uid="{00000000-0005-0000-0000-0000FB860000}"/>
    <cellStyle name="Normal 5 2 2 2 4 4" xfId="45531" xr:uid="{00000000-0005-0000-0000-0000FC860000}"/>
    <cellStyle name="Normal 5 2 2 2 5" xfId="1683" xr:uid="{00000000-0005-0000-0000-0000FD860000}"/>
    <cellStyle name="Normal 5 2 2 2 5 2" xfId="30861" xr:uid="{00000000-0005-0000-0000-0000FE860000}"/>
    <cellStyle name="Normal 5 2 2 2 5 2 2" xfId="40559" xr:uid="{00000000-0005-0000-0000-0000FF860000}"/>
    <cellStyle name="Normal 5 2 2 2 5 3" xfId="30862" xr:uid="{00000000-0005-0000-0000-000000870000}"/>
    <cellStyle name="Normal 5 2 2 2 5 4" xfId="45532" xr:uid="{00000000-0005-0000-0000-000001870000}"/>
    <cellStyle name="Normal 5 2 2 2 6" xfId="30863" xr:uid="{00000000-0005-0000-0000-000002870000}"/>
    <cellStyle name="Normal 5 2 2 2 6 2" xfId="40560" xr:uid="{00000000-0005-0000-0000-000003870000}"/>
    <cellStyle name="Normal 5 2 2 2 7" xfId="30864" xr:uid="{00000000-0005-0000-0000-000004870000}"/>
    <cellStyle name="Normal 5 2 2 2 8" xfId="45533" xr:uid="{00000000-0005-0000-0000-000005870000}"/>
    <cellStyle name="Normal 5 2 2 3" xfId="1684" xr:uid="{00000000-0005-0000-0000-000006870000}"/>
    <cellStyle name="Normal 5 2 2 3 2" xfId="1685" xr:uid="{00000000-0005-0000-0000-000007870000}"/>
    <cellStyle name="Normal 5 2 2 3 2 2" xfId="30865" xr:uid="{00000000-0005-0000-0000-000008870000}"/>
    <cellStyle name="Normal 5 2 2 3 2 2 2" xfId="30866" xr:uid="{00000000-0005-0000-0000-000009870000}"/>
    <cellStyle name="Normal 5 2 2 3 2 2 2 2" xfId="40561" xr:uid="{00000000-0005-0000-0000-00000A870000}"/>
    <cellStyle name="Normal 5 2 2 3 2 2 3" xfId="30867" xr:uid="{00000000-0005-0000-0000-00000B870000}"/>
    <cellStyle name="Normal 5 2 2 3 2 3" xfId="30868" xr:uid="{00000000-0005-0000-0000-00000C870000}"/>
    <cellStyle name="Normal 5 2 2 3 2 3 2" xfId="30869" xr:uid="{00000000-0005-0000-0000-00000D870000}"/>
    <cellStyle name="Normal 5 2 2 3 2 3 2 2" xfId="40562" xr:uid="{00000000-0005-0000-0000-00000E870000}"/>
    <cellStyle name="Normal 5 2 2 3 2 3 3" xfId="30870" xr:uid="{00000000-0005-0000-0000-00000F870000}"/>
    <cellStyle name="Normal 5 2 2 3 2 4" xfId="30871" xr:uid="{00000000-0005-0000-0000-000010870000}"/>
    <cellStyle name="Normal 5 2 2 3 2 4 2" xfId="40563" xr:uid="{00000000-0005-0000-0000-000011870000}"/>
    <cellStyle name="Normal 5 2 2 3 2 5" xfId="30872" xr:uid="{00000000-0005-0000-0000-000012870000}"/>
    <cellStyle name="Normal 5 2 2 3 2 6" xfId="45534" xr:uid="{00000000-0005-0000-0000-000013870000}"/>
    <cellStyle name="Normal 5 2 2 3 3" xfId="1686" xr:uid="{00000000-0005-0000-0000-000014870000}"/>
    <cellStyle name="Normal 5 2 2 3 3 2" xfId="30873" xr:uid="{00000000-0005-0000-0000-000015870000}"/>
    <cellStyle name="Normal 5 2 2 3 3 2 2" xfId="40564" xr:uid="{00000000-0005-0000-0000-000016870000}"/>
    <cellStyle name="Normal 5 2 2 3 3 3" xfId="30874" xr:uid="{00000000-0005-0000-0000-000017870000}"/>
    <cellStyle name="Normal 5 2 2 3 3 4" xfId="45535" xr:uid="{00000000-0005-0000-0000-000018870000}"/>
    <cellStyle name="Normal 5 2 2 3 4" xfId="30875" xr:uid="{00000000-0005-0000-0000-000019870000}"/>
    <cellStyle name="Normal 5 2 2 3 4 2" xfId="30876" xr:uid="{00000000-0005-0000-0000-00001A870000}"/>
    <cellStyle name="Normal 5 2 2 3 4 2 2" xfId="40565" xr:uid="{00000000-0005-0000-0000-00001B870000}"/>
    <cellStyle name="Normal 5 2 2 3 4 3" xfId="30877" xr:uid="{00000000-0005-0000-0000-00001C870000}"/>
    <cellStyle name="Normal 5 2 2 3 5" xfId="30878" xr:uid="{00000000-0005-0000-0000-00001D870000}"/>
    <cellStyle name="Normal 5 2 2 3 5 2" xfId="40566" xr:uid="{00000000-0005-0000-0000-00001E870000}"/>
    <cellStyle name="Normal 5 2 2 3 6" xfId="30879" xr:uid="{00000000-0005-0000-0000-00001F870000}"/>
    <cellStyle name="Normal 5 2 2 3 7" xfId="45536" xr:uid="{00000000-0005-0000-0000-000020870000}"/>
    <cellStyle name="Normal 5 2 2 4" xfId="1687" xr:uid="{00000000-0005-0000-0000-000021870000}"/>
    <cellStyle name="Normal 5 2 2 4 2" xfId="1688" xr:uid="{00000000-0005-0000-0000-000022870000}"/>
    <cellStyle name="Normal 5 2 2 4 2 2" xfId="30880" xr:uid="{00000000-0005-0000-0000-000023870000}"/>
    <cellStyle name="Normal 5 2 2 4 2 2 2" xfId="40567" xr:uid="{00000000-0005-0000-0000-000024870000}"/>
    <cellStyle name="Normal 5 2 2 4 2 3" xfId="30881" xr:uid="{00000000-0005-0000-0000-000025870000}"/>
    <cellStyle name="Normal 5 2 2 4 2 4" xfId="45537" xr:uid="{00000000-0005-0000-0000-000026870000}"/>
    <cellStyle name="Normal 5 2 2 4 3" xfId="1689" xr:uid="{00000000-0005-0000-0000-000027870000}"/>
    <cellStyle name="Normal 5 2 2 4 3 2" xfId="30882" xr:uid="{00000000-0005-0000-0000-000028870000}"/>
    <cellStyle name="Normal 5 2 2 4 3 2 2" xfId="40568" xr:uid="{00000000-0005-0000-0000-000029870000}"/>
    <cellStyle name="Normal 5 2 2 4 3 3" xfId="30883" xr:uid="{00000000-0005-0000-0000-00002A870000}"/>
    <cellStyle name="Normal 5 2 2 4 3 4" xfId="45538" xr:uid="{00000000-0005-0000-0000-00002B870000}"/>
    <cellStyle name="Normal 5 2 2 4 4" xfId="30884" xr:uid="{00000000-0005-0000-0000-00002C870000}"/>
    <cellStyle name="Normal 5 2 2 4 4 2" xfId="40569" xr:uid="{00000000-0005-0000-0000-00002D870000}"/>
    <cellStyle name="Normal 5 2 2 4 5" xfId="30885" xr:uid="{00000000-0005-0000-0000-00002E870000}"/>
    <cellStyle name="Normal 5 2 2 4 6" xfId="45539" xr:uid="{00000000-0005-0000-0000-00002F870000}"/>
    <cellStyle name="Normal 5 2 2 5" xfId="1690" xr:uid="{00000000-0005-0000-0000-000030870000}"/>
    <cellStyle name="Normal 5 2 2 5 2" xfId="30886" xr:uid="{00000000-0005-0000-0000-000031870000}"/>
    <cellStyle name="Normal 5 2 2 5 2 2" xfId="40570" xr:uid="{00000000-0005-0000-0000-000032870000}"/>
    <cellStyle name="Normal 5 2 2 5 3" xfId="30887" xr:uid="{00000000-0005-0000-0000-000033870000}"/>
    <cellStyle name="Normal 5 2 2 5 4" xfId="45540" xr:uid="{00000000-0005-0000-0000-000034870000}"/>
    <cellStyle name="Normal 5 2 2 6" xfId="1691" xr:uid="{00000000-0005-0000-0000-000035870000}"/>
    <cellStyle name="Normal 5 2 2 6 2" xfId="30888" xr:uid="{00000000-0005-0000-0000-000036870000}"/>
    <cellStyle name="Normal 5 2 2 6 2 2" xfId="40571" xr:uid="{00000000-0005-0000-0000-000037870000}"/>
    <cellStyle name="Normal 5 2 2 6 3" xfId="30889" xr:uid="{00000000-0005-0000-0000-000038870000}"/>
    <cellStyle name="Normal 5 2 2 6 4" xfId="45541" xr:uid="{00000000-0005-0000-0000-000039870000}"/>
    <cellStyle name="Normal 5 2 2 7" xfId="30890" xr:uid="{00000000-0005-0000-0000-00003A870000}"/>
    <cellStyle name="Normal 5 2 2 7 2" xfId="40572" xr:uid="{00000000-0005-0000-0000-00003B870000}"/>
    <cellStyle name="Normal 5 2 2 8" xfId="30891" xr:uid="{00000000-0005-0000-0000-00003C870000}"/>
    <cellStyle name="Normal 5 2 2 9" xfId="45542" xr:uid="{00000000-0005-0000-0000-00003D870000}"/>
    <cellStyle name="Normal 5 2 3" xfId="635" xr:uid="{00000000-0005-0000-0000-00003E870000}"/>
    <cellStyle name="Normal 5 2 3 2" xfId="1692" xr:uid="{00000000-0005-0000-0000-00003F870000}"/>
    <cellStyle name="Normal 5 2 3 2 2" xfId="1693" xr:uid="{00000000-0005-0000-0000-000040870000}"/>
    <cellStyle name="Normal 5 2 3 2 2 2" xfId="30892" xr:uid="{00000000-0005-0000-0000-000041870000}"/>
    <cellStyle name="Normal 5 2 3 2 2 2 2" xfId="30893" xr:uid="{00000000-0005-0000-0000-000042870000}"/>
    <cellStyle name="Normal 5 2 3 2 2 2 2 2" xfId="40573" xr:uid="{00000000-0005-0000-0000-000043870000}"/>
    <cellStyle name="Normal 5 2 3 2 2 2 3" xfId="30894" xr:uid="{00000000-0005-0000-0000-000044870000}"/>
    <cellStyle name="Normal 5 2 3 2 2 3" xfId="30895" xr:uid="{00000000-0005-0000-0000-000045870000}"/>
    <cellStyle name="Normal 5 2 3 2 2 3 2" xfId="30896" xr:uid="{00000000-0005-0000-0000-000046870000}"/>
    <cellStyle name="Normal 5 2 3 2 2 3 2 2" xfId="40574" xr:uid="{00000000-0005-0000-0000-000047870000}"/>
    <cellStyle name="Normal 5 2 3 2 2 3 3" xfId="30897" xr:uid="{00000000-0005-0000-0000-000048870000}"/>
    <cellStyle name="Normal 5 2 3 2 2 4" xfId="30898" xr:uid="{00000000-0005-0000-0000-000049870000}"/>
    <cellStyle name="Normal 5 2 3 2 2 4 2" xfId="40575" xr:uid="{00000000-0005-0000-0000-00004A870000}"/>
    <cellStyle name="Normal 5 2 3 2 2 5" xfId="30899" xr:uid="{00000000-0005-0000-0000-00004B870000}"/>
    <cellStyle name="Normal 5 2 3 2 2 6" xfId="45543" xr:uid="{00000000-0005-0000-0000-00004C870000}"/>
    <cellStyle name="Normal 5 2 3 2 3" xfId="1694" xr:uid="{00000000-0005-0000-0000-00004D870000}"/>
    <cellStyle name="Normal 5 2 3 2 3 2" xfId="30900" xr:uid="{00000000-0005-0000-0000-00004E870000}"/>
    <cellStyle name="Normal 5 2 3 2 3 2 2" xfId="40576" xr:uid="{00000000-0005-0000-0000-00004F870000}"/>
    <cellStyle name="Normal 5 2 3 2 3 3" xfId="30901" xr:uid="{00000000-0005-0000-0000-000050870000}"/>
    <cellStyle name="Normal 5 2 3 2 3 4" xfId="45544" xr:uid="{00000000-0005-0000-0000-000051870000}"/>
    <cellStyle name="Normal 5 2 3 2 4" xfId="1695" xr:uid="{00000000-0005-0000-0000-000052870000}"/>
    <cellStyle name="Normal 5 2 3 2 4 2" xfId="30902" xr:uid="{00000000-0005-0000-0000-000053870000}"/>
    <cellStyle name="Normal 5 2 3 2 4 2 2" xfId="40577" xr:uid="{00000000-0005-0000-0000-000054870000}"/>
    <cellStyle name="Normal 5 2 3 2 4 3" xfId="30903" xr:uid="{00000000-0005-0000-0000-000055870000}"/>
    <cellStyle name="Normal 5 2 3 2 4 4" xfId="45545" xr:uid="{00000000-0005-0000-0000-000056870000}"/>
    <cellStyle name="Normal 5 2 3 2 5" xfId="1696" xr:uid="{00000000-0005-0000-0000-000057870000}"/>
    <cellStyle name="Normal 5 2 3 2 5 2" xfId="40578" xr:uid="{00000000-0005-0000-0000-000058870000}"/>
    <cellStyle name="Normal 5 2 3 2 5 3" xfId="45546" xr:uid="{00000000-0005-0000-0000-000059870000}"/>
    <cellStyle name="Normal 5 2 3 2 6" xfId="30904" xr:uid="{00000000-0005-0000-0000-00005A870000}"/>
    <cellStyle name="Normal 5 2 3 2 7" xfId="45547" xr:uid="{00000000-0005-0000-0000-00005B870000}"/>
    <cellStyle name="Normal 5 2 3 3" xfId="1697" xr:uid="{00000000-0005-0000-0000-00005C870000}"/>
    <cellStyle name="Normal 5 2 3 3 2" xfId="1698" xr:uid="{00000000-0005-0000-0000-00005D870000}"/>
    <cellStyle name="Normal 5 2 3 3 2 2" xfId="30905" xr:uid="{00000000-0005-0000-0000-00005E870000}"/>
    <cellStyle name="Normal 5 2 3 3 2 2 2" xfId="40579" xr:uid="{00000000-0005-0000-0000-00005F870000}"/>
    <cellStyle name="Normal 5 2 3 3 2 3" xfId="30906" xr:uid="{00000000-0005-0000-0000-000060870000}"/>
    <cellStyle name="Normal 5 2 3 3 2 4" xfId="45548" xr:uid="{00000000-0005-0000-0000-000061870000}"/>
    <cellStyle name="Normal 5 2 3 3 3" xfId="1699" xr:uid="{00000000-0005-0000-0000-000062870000}"/>
    <cellStyle name="Normal 5 2 3 3 3 2" xfId="30907" xr:uid="{00000000-0005-0000-0000-000063870000}"/>
    <cellStyle name="Normal 5 2 3 3 3 2 2" xfId="40580" xr:uid="{00000000-0005-0000-0000-000064870000}"/>
    <cellStyle name="Normal 5 2 3 3 3 3" xfId="30908" xr:uid="{00000000-0005-0000-0000-000065870000}"/>
    <cellStyle name="Normal 5 2 3 3 3 4" xfId="45549" xr:uid="{00000000-0005-0000-0000-000066870000}"/>
    <cellStyle name="Normal 5 2 3 3 4" xfId="30909" xr:uid="{00000000-0005-0000-0000-000067870000}"/>
    <cellStyle name="Normal 5 2 3 3 4 2" xfId="40581" xr:uid="{00000000-0005-0000-0000-000068870000}"/>
    <cellStyle name="Normal 5 2 3 3 5" xfId="30910" xr:uid="{00000000-0005-0000-0000-000069870000}"/>
    <cellStyle name="Normal 5 2 3 3 6" xfId="45550" xr:uid="{00000000-0005-0000-0000-00006A870000}"/>
    <cellStyle name="Normal 5 2 3 4" xfId="1700" xr:uid="{00000000-0005-0000-0000-00006B870000}"/>
    <cellStyle name="Normal 5 2 3 4 2" xfId="1701" xr:uid="{00000000-0005-0000-0000-00006C870000}"/>
    <cellStyle name="Normal 5 2 3 4 2 2" xfId="40582" xr:uid="{00000000-0005-0000-0000-00006D870000}"/>
    <cellStyle name="Normal 5 2 3 4 2 3" xfId="45551" xr:uid="{00000000-0005-0000-0000-00006E870000}"/>
    <cellStyle name="Normal 5 2 3 4 3" xfId="1702" xr:uid="{00000000-0005-0000-0000-00006F870000}"/>
    <cellStyle name="Normal 5 2 3 4 3 2" xfId="40583" xr:uid="{00000000-0005-0000-0000-000070870000}"/>
    <cellStyle name="Normal 5 2 3 4 3 3" xfId="45552" xr:uid="{00000000-0005-0000-0000-000071870000}"/>
    <cellStyle name="Normal 5 2 3 4 4" xfId="40584" xr:uid="{00000000-0005-0000-0000-000072870000}"/>
    <cellStyle name="Normal 5 2 3 4 5" xfId="45553" xr:uid="{00000000-0005-0000-0000-000073870000}"/>
    <cellStyle name="Normal 5 2 3 5" xfId="1703" xr:uid="{00000000-0005-0000-0000-000074870000}"/>
    <cellStyle name="Normal 5 2 3 5 2" xfId="30911" xr:uid="{00000000-0005-0000-0000-000075870000}"/>
    <cellStyle name="Normal 5 2 3 5 2 2" xfId="40585" xr:uid="{00000000-0005-0000-0000-000076870000}"/>
    <cellStyle name="Normal 5 2 3 5 3" xfId="30912" xr:uid="{00000000-0005-0000-0000-000077870000}"/>
    <cellStyle name="Normal 5 2 3 5 4" xfId="45554" xr:uid="{00000000-0005-0000-0000-000078870000}"/>
    <cellStyle name="Normal 5 2 3 6" xfId="1704" xr:uid="{00000000-0005-0000-0000-000079870000}"/>
    <cellStyle name="Normal 5 2 3 6 2" xfId="40586" xr:uid="{00000000-0005-0000-0000-00007A870000}"/>
    <cellStyle name="Normal 5 2 3 6 3" xfId="45555" xr:uid="{00000000-0005-0000-0000-00007B870000}"/>
    <cellStyle name="Normal 5 2 3 7" xfId="30913" xr:uid="{00000000-0005-0000-0000-00007C870000}"/>
    <cellStyle name="Normal 5 2 3 8" xfId="45556" xr:uid="{00000000-0005-0000-0000-00007D870000}"/>
    <cellStyle name="Normal 5 2 3 9" xfId="46262" xr:uid="{00000000-0005-0000-0000-00007E870000}"/>
    <cellStyle name="Normal 5 2 4" xfId="1705" xr:uid="{00000000-0005-0000-0000-00007F870000}"/>
    <cellStyle name="Normal 5 2 4 2" xfId="1706" xr:uid="{00000000-0005-0000-0000-000080870000}"/>
    <cellStyle name="Normal 5 2 4 2 2" xfId="1707" xr:uid="{00000000-0005-0000-0000-000081870000}"/>
    <cellStyle name="Normal 5 2 4 2 2 2" xfId="30914" xr:uid="{00000000-0005-0000-0000-000082870000}"/>
    <cellStyle name="Normal 5 2 4 2 2 2 2" xfId="40587" xr:uid="{00000000-0005-0000-0000-000083870000}"/>
    <cellStyle name="Normal 5 2 4 2 2 3" xfId="30915" xr:uid="{00000000-0005-0000-0000-000084870000}"/>
    <cellStyle name="Normal 5 2 4 2 2 4" xfId="45557" xr:uid="{00000000-0005-0000-0000-000085870000}"/>
    <cellStyle name="Normal 5 2 4 2 3" xfId="1708" xr:uid="{00000000-0005-0000-0000-000086870000}"/>
    <cellStyle name="Normal 5 2 4 2 3 2" xfId="30916" xr:uid="{00000000-0005-0000-0000-000087870000}"/>
    <cellStyle name="Normal 5 2 4 2 3 2 2" xfId="40588" xr:uid="{00000000-0005-0000-0000-000088870000}"/>
    <cellStyle name="Normal 5 2 4 2 3 3" xfId="30917" xr:uid="{00000000-0005-0000-0000-000089870000}"/>
    <cellStyle name="Normal 5 2 4 2 3 4" xfId="45558" xr:uid="{00000000-0005-0000-0000-00008A870000}"/>
    <cellStyle name="Normal 5 2 4 2 4" xfId="1709" xr:uid="{00000000-0005-0000-0000-00008B870000}"/>
    <cellStyle name="Normal 5 2 4 2 4 2" xfId="40589" xr:uid="{00000000-0005-0000-0000-00008C870000}"/>
    <cellStyle name="Normal 5 2 4 2 4 3" xfId="45559" xr:uid="{00000000-0005-0000-0000-00008D870000}"/>
    <cellStyle name="Normal 5 2 4 2 5" xfId="1710" xr:uid="{00000000-0005-0000-0000-00008E870000}"/>
    <cellStyle name="Normal 5 2 4 2 5 2" xfId="40590" xr:uid="{00000000-0005-0000-0000-00008F870000}"/>
    <cellStyle name="Normal 5 2 4 2 5 3" xfId="45560" xr:uid="{00000000-0005-0000-0000-000090870000}"/>
    <cellStyle name="Normal 5 2 4 2 6" xfId="40591" xr:uid="{00000000-0005-0000-0000-000091870000}"/>
    <cellStyle name="Normal 5 2 4 2 7" xfId="45561" xr:uid="{00000000-0005-0000-0000-000092870000}"/>
    <cellStyle name="Normal 5 2 4 3" xfId="1711" xr:uid="{00000000-0005-0000-0000-000093870000}"/>
    <cellStyle name="Normal 5 2 4 3 2" xfId="1712" xr:uid="{00000000-0005-0000-0000-000094870000}"/>
    <cellStyle name="Normal 5 2 4 3 2 2" xfId="40592" xr:uid="{00000000-0005-0000-0000-000095870000}"/>
    <cellStyle name="Normal 5 2 4 3 2 3" xfId="45562" xr:uid="{00000000-0005-0000-0000-000096870000}"/>
    <cellStyle name="Normal 5 2 4 3 3" xfId="1713" xr:uid="{00000000-0005-0000-0000-000097870000}"/>
    <cellStyle name="Normal 5 2 4 3 3 2" xfId="40593" xr:uid="{00000000-0005-0000-0000-000098870000}"/>
    <cellStyle name="Normal 5 2 4 3 3 3" xfId="45563" xr:uid="{00000000-0005-0000-0000-000099870000}"/>
    <cellStyle name="Normal 5 2 4 3 4" xfId="40594" xr:uid="{00000000-0005-0000-0000-00009A870000}"/>
    <cellStyle name="Normal 5 2 4 3 5" xfId="45564" xr:uid="{00000000-0005-0000-0000-00009B870000}"/>
    <cellStyle name="Normal 5 2 4 4" xfId="1714" xr:uid="{00000000-0005-0000-0000-00009C870000}"/>
    <cellStyle name="Normal 5 2 4 4 2" xfId="1715" xr:uid="{00000000-0005-0000-0000-00009D870000}"/>
    <cellStyle name="Normal 5 2 4 4 2 2" xfId="40595" xr:uid="{00000000-0005-0000-0000-00009E870000}"/>
    <cellStyle name="Normal 5 2 4 4 2 3" xfId="45565" xr:uid="{00000000-0005-0000-0000-00009F870000}"/>
    <cellStyle name="Normal 5 2 4 4 3" xfId="1716" xr:uid="{00000000-0005-0000-0000-0000A0870000}"/>
    <cellStyle name="Normal 5 2 4 4 3 2" xfId="40596" xr:uid="{00000000-0005-0000-0000-0000A1870000}"/>
    <cellStyle name="Normal 5 2 4 4 3 3" xfId="45566" xr:uid="{00000000-0005-0000-0000-0000A2870000}"/>
    <cellStyle name="Normal 5 2 4 4 4" xfId="40597" xr:uid="{00000000-0005-0000-0000-0000A3870000}"/>
    <cellStyle name="Normal 5 2 4 4 5" xfId="45567" xr:uid="{00000000-0005-0000-0000-0000A4870000}"/>
    <cellStyle name="Normal 5 2 4 5" xfId="1717" xr:uid="{00000000-0005-0000-0000-0000A5870000}"/>
    <cellStyle name="Normal 5 2 4 5 2" xfId="40598" xr:uid="{00000000-0005-0000-0000-0000A6870000}"/>
    <cellStyle name="Normal 5 2 4 5 3" xfId="45568" xr:uid="{00000000-0005-0000-0000-0000A7870000}"/>
    <cellStyle name="Normal 5 2 4 6" xfId="1718" xr:uid="{00000000-0005-0000-0000-0000A8870000}"/>
    <cellStyle name="Normal 5 2 4 6 2" xfId="40599" xr:uid="{00000000-0005-0000-0000-0000A9870000}"/>
    <cellStyle name="Normal 5 2 4 6 3" xfId="45569" xr:uid="{00000000-0005-0000-0000-0000AA870000}"/>
    <cellStyle name="Normal 5 2 4 7" xfId="40600" xr:uid="{00000000-0005-0000-0000-0000AB870000}"/>
    <cellStyle name="Normal 5 2 4 8" xfId="45570" xr:uid="{00000000-0005-0000-0000-0000AC870000}"/>
    <cellStyle name="Normal 5 2 5" xfId="1719" xr:uid="{00000000-0005-0000-0000-0000AD870000}"/>
    <cellStyle name="Normal 5 2 5 10" xfId="1720" xr:uid="{00000000-0005-0000-0000-0000AE870000}"/>
    <cellStyle name="Normal 5 2 5 10 2" xfId="1721" xr:uid="{00000000-0005-0000-0000-0000AF870000}"/>
    <cellStyle name="Normal 5 2 5 10 2 2" xfId="40601" xr:uid="{00000000-0005-0000-0000-0000B0870000}"/>
    <cellStyle name="Normal 5 2 5 10 2 3" xfId="45571" xr:uid="{00000000-0005-0000-0000-0000B1870000}"/>
    <cellStyle name="Normal 5 2 5 10 3" xfId="1722" xr:uid="{00000000-0005-0000-0000-0000B2870000}"/>
    <cellStyle name="Normal 5 2 5 10 3 2" xfId="40602" xr:uid="{00000000-0005-0000-0000-0000B3870000}"/>
    <cellStyle name="Normal 5 2 5 10 3 3" xfId="45572" xr:uid="{00000000-0005-0000-0000-0000B4870000}"/>
    <cellStyle name="Normal 5 2 5 10 4" xfId="40603" xr:uid="{00000000-0005-0000-0000-0000B5870000}"/>
    <cellStyle name="Normal 5 2 5 10 5" xfId="45573" xr:uid="{00000000-0005-0000-0000-0000B6870000}"/>
    <cellStyle name="Normal 5 2 5 11" xfId="1723" xr:uid="{00000000-0005-0000-0000-0000B7870000}"/>
    <cellStyle name="Normal 5 2 5 11 2" xfId="1724" xr:uid="{00000000-0005-0000-0000-0000B8870000}"/>
    <cellStyle name="Normal 5 2 5 11 2 2" xfId="40604" xr:uid="{00000000-0005-0000-0000-0000B9870000}"/>
    <cellStyle name="Normal 5 2 5 11 2 3" xfId="45574" xr:uid="{00000000-0005-0000-0000-0000BA870000}"/>
    <cellStyle name="Normal 5 2 5 11 3" xfId="40605" xr:uid="{00000000-0005-0000-0000-0000BB870000}"/>
    <cellStyle name="Normal 5 2 5 11 4" xfId="45575" xr:uid="{00000000-0005-0000-0000-0000BC870000}"/>
    <cellStyle name="Normal 5 2 5 12" xfId="1725" xr:uid="{00000000-0005-0000-0000-0000BD870000}"/>
    <cellStyle name="Normal 5 2 5 12 2" xfId="1726" xr:uid="{00000000-0005-0000-0000-0000BE870000}"/>
    <cellStyle name="Normal 5 2 5 12 2 2" xfId="40606" xr:uid="{00000000-0005-0000-0000-0000BF870000}"/>
    <cellStyle name="Normal 5 2 5 12 2 3" xfId="45576" xr:uid="{00000000-0005-0000-0000-0000C0870000}"/>
    <cellStyle name="Normal 5 2 5 12 3" xfId="40607" xr:uid="{00000000-0005-0000-0000-0000C1870000}"/>
    <cellStyle name="Normal 5 2 5 12 4" xfId="45577" xr:uid="{00000000-0005-0000-0000-0000C2870000}"/>
    <cellStyle name="Normal 5 2 5 13" xfId="1727" xr:uid="{00000000-0005-0000-0000-0000C3870000}"/>
    <cellStyle name="Normal 5 2 5 13 2" xfId="40608" xr:uid="{00000000-0005-0000-0000-0000C4870000}"/>
    <cellStyle name="Normal 5 2 5 13 3" xfId="45578" xr:uid="{00000000-0005-0000-0000-0000C5870000}"/>
    <cellStyle name="Normal 5 2 5 14" xfId="1728" xr:uid="{00000000-0005-0000-0000-0000C6870000}"/>
    <cellStyle name="Normal 5 2 5 14 2" xfId="40609" xr:uid="{00000000-0005-0000-0000-0000C7870000}"/>
    <cellStyle name="Normal 5 2 5 14 3" xfId="45579" xr:uid="{00000000-0005-0000-0000-0000C8870000}"/>
    <cellStyle name="Normal 5 2 5 15" xfId="1729" xr:uid="{00000000-0005-0000-0000-0000C9870000}"/>
    <cellStyle name="Normal 5 2 5 15 2" xfId="40610" xr:uid="{00000000-0005-0000-0000-0000CA870000}"/>
    <cellStyle name="Normal 5 2 5 15 3" xfId="45580" xr:uid="{00000000-0005-0000-0000-0000CB870000}"/>
    <cellStyle name="Normal 5 2 5 16" xfId="1730" xr:uid="{00000000-0005-0000-0000-0000CC870000}"/>
    <cellStyle name="Normal 5 2 5 16 2" xfId="40611" xr:uid="{00000000-0005-0000-0000-0000CD870000}"/>
    <cellStyle name="Normal 5 2 5 16 3" xfId="45581" xr:uid="{00000000-0005-0000-0000-0000CE870000}"/>
    <cellStyle name="Normal 5 2 5 17" xfId="1731" xr:uid="{00000000-0005-0000-0000-0000CF870000}"/>
    <cellStyle name="Normal 5 2 5 17 2" xfId="40612" xr:uid="{00000000-0005-0000-0000-0000D0870000}"/>
    <cellStyle name="Normal 5 2 5 17 3" xfId="45582" xr:uid="{00000000-0005-0000-0000-0000D1870000}"/>
    <cellStyle name="Normal 5 2 5 18" xfId="1732" xr:uid="{00000000-0005-0000-0000-0000D2870000}"/>
    <cellStyle name="Normal 5 2 5 18 2" xfId="40613" xr:uid="{00000000-0005-0000-0000-0000D3870000}"/>
    <cellStyle name="Normal 5 2 5 18 3" xfId="45583" xr:uid="{00000000-0005-0000-0000-0000D4870000}"/>
    <cellStyle name="Normal 5 2 5 19" xfId="1733" xr:uid="{00000000-0005-0000-0000-0000D5870000}"/>
    <cellStyle name="Normal 5 2 5 19 2" xfId="1734" xr:uid="{00000000-0005-0000-0000-0000D6870000}"/>
    <cellStyle name="Normal 5 2 5 19 2 2" xfId="40614" xr:uid="{00000000-0005-0000-0000-0000D7870000}"/>
    <cellStyle name="Normal 5 2 5 19 2 3" xfId="45584" xr:uid="{00000000-0005-0000-0000-0000D8870000}"/>
    <cellStyle name="Normal 5 2 5 19 3" xfId="1735" xr:uid="{00000000-0005-0000-0000-0000D9870000}"/>
    <cellStyle name="Normal 5 2 5 19 3 2" xfId="40615" xr:uid="{00000000-0005-0000-0000-0000DA870000}"/>
    <cellStyle name="Normal 5 2 5 19 3 3" xfId="45585" xr:uid="{00000000-0005-0000-0000-0000DB870000}"/>
    <cellStyle name="Normal 5 2 5 19 4" xfId="1736" xr:uid="{00000000-0005-0000-0000-0000DC870000}"/>
    <cellStyle name="Normal 5 2 5 19 4 2" xfId="40616" xr:uid="{00000000-0005-0000-0000-0000DD870000}"/>
    <cellStyle name="Normal 5 2 5 19 4 3" xfId="45586" xr:uid="{00000000-0005-0000-0000-0000DE870000}"/>
    <cellStyle name="Normal 5 2 5 19 5" xfId="1737" xr:uid="{00000000-0005-0000-0000-0000DF870000}"/>
    <cellStyle name="Normal 5 2 5 19 5 2" xfId="40617" xr:uid="{00000000-0005-0000-0000-0000E0870000}"/>
    <cellStyle name="Normal 5 2 5 19 5 3" xfId="45587" xr:uid="{00000000-0005-0000-0000-0000E1870000}"/>
    <cellStyle name="Normal 5 2 5 19 6" xfId="1738" xr:uid="{00000000-0005-0000-0000-0000E2870000}"/>
    <cellStyle name="Normal 5 2 5 19 6 2" xfId="40618" xr:uid="{00000000-0005-0000-0000-0000E3870000}"/>
    <cellStyle name="Normal 5 2 5 19 6 3" xfId="45588" xr:uid="{00000000-0005-0000-0000-0000E4870000}"/>
    <cellStyle name="Normal 5 2 5 19 7" xfId="1739" xr:uid="{00000000-0005-0000-0000-0000E5870000}"/>
    <cellStyle name="Normal 5 2 5 19 7 2" xfId="40619" xr:uid="{00000000-0005-0000-0000-0000E6870000}"/>
    <cellStyle name="Normal 5 2 5 19 7 3" xfId="45589" xr:uid="{00000000-0005-0000-0000-0000E7870000}"/>
    <cellStyle name="Normal 5 2 5 19 8" xfId="40620" xr:uid="{00000000-0005-0000-0000-0000E8870000}"/>
    <cellStyle name="Normal 5 2 5 19 9" xfId="45590" xr:uid="{00000000-0005-0000-0000-0000E9870000}"/>
    <cellStyle name="Normal 5 2 5 2" xfId="1740" xr:uid="{00000000-0005-0000-0000-0000EA870000}"/>
    <cellStyle name="Normal 5 2 5 2 2" xfId="1741" xr:uid="{00000000-0005-0000-0000-0000EB870000}"/>
    <cellStyle name="Normal 5 2 5 2 2 2" xfId="1742" xr:uid="{00000000-0005-0000-0000-0000EC870000}"/>
    <cellStyle name="Normal 5 2 5 2 2 2 2" xfId="40621" xr:uid="{00000000-0005-0000-0000-0000ED870000}"/>
    <cellStyle name="Normal 5 2 5 2 2 2 3" xfId="45591" xr:uid="{00000000-0005-0000-0000-0000EE870000}"/>
    <cellStyle name="Normal 5 2 5 2 2 3" xfId="1743" xr:uid="{00000000-0005-0000-0000-0000EF870000}"/>
    <cellStyle name="Normal 5 2 5 2 2 3 2" xfId="40622" xr:uid="{00000000-0005-0000-0000-0000F0870000}"/>
    <cellStyle name="Normal 5 2 5 2 2 3 3" xfId="45592" xr:uid="{00000000-0005-0000-0000-0000F1870000}"/>
    <cellStyle name="Normal 5 2 5 2 2 4" xfId="1744" xr:uid="{00000000-0005-0000-0000-0000F2870000}"/>
    <cellStyle name="Normal 5 2 5 2 2 4 2" xfId="40623" xr:uid="{00000000-0005-0000-0000-0000F3870000}"/>
    <cellStyle name="Normal 5 2 5 2 2 4 3" xfId="45593" xr:uid="{00000000-0005-0000-0000-0000F4870000}"/>
    <cellStyle name="Normal 5 2 5 2 2 5" xfId="1745" xr:uid="{00000000-0005-0000-0000-0000F5870000}"/>
    <cellStyle name="Normal 5 2 5 2 2 5 2" xfId="40624" xr:uid="{00000000-0005-0000-0000-0000F6870000}"/>
    <cellStyle name="Normal 5 2 5 2 2 5 3" xfId="45594" xr:uid="{00000000-0005-0000-0000-0000F7870000}"/>
    <cellStyle name="Normal 5 2 5 2 2 6" xfId="40625" xr:uid="{00000000-0005-0000-0000-0000F8870000}"/>
    <cellStyle name="Normal 5 2 5 2 2 7" xfId="45595" xr:uid="{00000000-0005-0000-0000-0000F9870000}"/>
    <cellStyle name="Normal 5 2 5 2 3" xfId="1746" xr:uid="{00000000-0005-0000-0000-0000FA870000}"/>
    <cellStyle name="Normal 5 2 5 2 3 2" xfId="1747" xr:uid="{00000000-0005-0000-0000-0000FB870000}"/>
    <cellStyle name="Normal 5 2 5 2 3 2 2" xfId="40626" xr:uid="{00000000-0005-0000-0000-0000FC870000}"/>
    <cellStyle name="Normal 5 2 5 2 3 2 3" xfId="45596" xr:uid="{00000000-0005-0000-0000-0000FD870000}"/>
    <cellStyle name="Normal 5 2 5 2 3 3" xfId="1748" xr:uid="{00000000-0005-0000-0000-0000FE870000}"/>
    <cellStyle name="Normal 5 2 5 2 3 3 2" xfId="40627" xr:uid="{00000000-0005-0000-0000-0000FF870000}"/>
    <cellStyle name="Normal 5 2 5 2 3 3 3" xfId="45597" xr:uid="{00000000-0005-0000-0000-000000880000}"/>
    <cellStyle name="Normal 5 2 5 2 3 4" xfId="40628" xr:uid="{00000000-0005-0000-0000-000001880000}"/>
    <cellStyle name="Normal 5 2 5 2 3 5" xfId="45598" xr:uid="{00000000-0005-0000-0000-000002880000}"/>
    <cellStyle name="Normal 5 2 5 2 4" xfId="1749" xr:uid="{00000000-0005-0000-0000-000003880000}"/>
    <cellStyle name="Normal 5 2 5 2 4 2" xfId="1750" xr:uid="{00000000-0005-0000-0000-000004880000}"/>
    <cellStyle name="Normal 5 2 5 2 4 2 2" xfId="40629" xr:uid="{00000000-0005-0000-0000-000005880000}"/>
    <cellStyle name="Normal 5 2 5 2 4 2 3" xfId="45599" xr:uid="{00000000-0005-0000-0000-000006880000}"/>
    <cellStyle name="Normal 5 2 5 2 4 3" xfId="1751" xr:uid="{00000000-0005-0000-0000-000007880000}"/>
    <cellStyle name="Normal 5 2 5 2 4 3 2" xfId="40630" xr:uid="{00000000-0005-0000-0000-000008880000}"/>
    <cellStyle name="Normal 5 2 5 2 4 3 3" xfId="45600" xr:uid="{00000000-0005-0000-0000-000009880000}"/>
    <cellStyle name="Normal 5 2 5 2 4 4" xfId="40631" xr:uid="{00000000-0005-0000-0000-00000A880000}"/>
    <cellStyle name="Normal 5 2 5 2 4 5" xfId="45601" xr:uid="{00000000-0005-0000-0000-00000B880000}"/>
    <cellStyle name="Normal 5 2 5 2 5" xfId="1752" xr:uid="{00000000-0005-0000-0000-00000C880000}"/>
    <cellStyle name="Normal 5 2 5 2 5 2" xfId="40632" xr:uid="{00000000-0005-0000-0000-00000D880000}"/>
    <cellStyle name="Normal 5 2 5 2 5 3" xfId="45602" xr:uid="{00000000-0005-0000-0000-00000E880000}"/>
    <cellStyle name="Normal 5 2 5 2 6" xfId="1753" xr:uid="{00000000-0005-0000-0000-00000F880000}"/>
    <cellStyle name="Normal 5 2 5 2 6 2" xfId="40633" xr:uid="{00000000-0005-0000-0000-000010880000}"/>
    <cellStyle name="Normal 5 2 5 2 6 3" xfId="45603" xr:uid="{00000000-0005-0000-0000-000011880000}"/>
    <cellStyle name="Normal 5 2 5 2 7" xfId="40634" xr:uid="{00000000-0005-0000-0000-000012880000}"/>
    <cellStyle name="Normal 5 2 5 2 8" xfId="45604" xr:uid="{00000000-0005-0000-0000-000013880000}"/>
    <cellStyle name="Normal 5 2 5 20" xfId="1754" xr:uid="{00000000-0005-0000-0000-000014880000}"/>
    <cellStyle name="Normal 5 2 5 20 2" xfId="40635" xr:uid="{00000000-0005-0000-0000-000015880000}"/>
    <cellStyle name="Normal 5 2 5 20 3" xfId="45605" xr:uid="{00000000-0005-0000-0000-000016880000}"/>
    <cellStyle name="Normal 5 2 5 21" xfId="1755" xr:uid="{00000000-0005-0000-0000-000017880000}"/>
    <cellStyle name="Normal 5 2 5 21 2" xfId="40636" xr:uid="{00000000-0005-0000-0000-000018880000}"/>
    <cellStyle name="Normal 5 2 5 21 3" xfId="45606" xr:uid="{00000000-0005-0000-0000-000019880000}"/>
    <cellStyle name="Normal 5 2 5 22" xfId="1756" xr:uid="{00000000-0005-0000-0000-00001A880000}"/>
    <cellStyle name="Normal 5 2 5 22 2" xfId="40637" xr:uid="{00000000-0005-0000-0000-00001B880000}"/>
    <cellStyle name="Normal 5 2 5 22 3" xfId="45607" xr:uid="{00000000-0005-0000-0000-00001C880000}"/>
    <cellStyle name="Normal 5 2 5 23" xfId="1757" xr:uid="{00000000-0005-0000-0000-00001D880000}"/>
    <cellStyle name="Normal 5 2 5 23 2" xfId="40638" xr:uid="{00000000-0005-0000-0000-00001E880000}"/>
    <cellStyle name="Normal 5 2 5 23 3" xfId="45608" xr:uid="{00000000-0005-0000-0000-00001F880000}"/>
    <cellStyle name="Normal 5 2 5 24" xfId="1758" xr:uid="{00000000-0005-0000-0000-000020880000}"/>
    <cellStyle name="Normal 5 2 5 24 2" xfId="40639" xr:uid="{00000000-0005-0000-0000-000021880000}"/>
    <cellStyle name="Normal 5 2 5 24 3" xfId="45609" xr:uid="{00000000-0005-0000-0000-000022880000}"/>
    <cellStyle name="Normal 5 2 5 25" xfId="1759" xr:uid="{00000000-0005-0000-0000-000023880000}"/>
    <cellStyle name="Normal 5 2 5 25 2" xfId="40640" xr:uid="{00000000-0005-0000-0000-000024880000}"/>
    <cellStyle name="Normal 5 2 5 25 3" xfId="45610" xr:uid="{00000000-0005-0000-0000-000025880000}"/>
    <cellStyle name="Normal 5 2 5 26" xfId="1760" xr:uid="{00000000-0005-0000-0000-000026880000}"/>
    <cellStyle name="Normal 5 2 5 26 2" xfId="40641" xr:uid="{00000000-0005-0000-0000-000027880000}"/>
    <cellStyle name="Normal 5 2 5 26 3" xfId="45611" xr:uid="{00000000-0005-0000-0000-000028880000}"/>
    <cellStyle name="Normal 5 2 5 27" xfId="1761" xr:uid="{00000000-0005-0000-0000-000029880000}"/>
    <cellStyle name="Normal 5 2 5 27 2" xfId="40642" xr:uid="{00000000-0005-0000-0000-00002A880000}"/>
    <cellStyle name="Normal 5 2 5 27 3" xfId="45612" xr:uid="{00000000-0005-0000-0000-00002B880000}"/>
    <cellStyle name="Normal 5 2 5 28" xfId="40643" xr:uid="{00000000-0005-0000-0000-00002C880000}"/>
    <cellStyle name="Normal 5 2 5 29" xfId="45613" xr:uid="{00000000-0005-0000-0000-00002D880000}"/>
    <cellStyle name="Normal 5 2 5 3" xfId="1762" xr:uid="{00000000-0005-0000-0000-00002E880000}"/>
    <cellStyle name="Normal 5 2 5 3 10" xfId="1763" xr:uid="{00000000-0005-0000-0000-00002F880000}"/>
    <cellStyle name="Normal 5 2 5 3 10 2" xfId="40644" xr:uid="{00000000-0005-0000-0000-000030880000}"/>
    <cellStyle name="Normal 5 2 5 3 10 3" xfId="45614" xr:uid="{00000000-0005-0000-0000-000031880000}"/>
    <cellStyle name="Normal 5 2 5 3 11" xfId="1764" xr:uid="{00000000-0005-0000-0000-000032880000}"/>
    <cellStyle name="Normal 5 2 5 3 11 2" xfId="40645" xr:uid="{00000000-0005-0000-0000-000033880000}"/>
    <cellStyle name="Normal 5 2 5 3 11 3" xfId="45615" xr:uid="{00000000-0005-0000-0000-000034880000}"/>
    <cellStyle name="Normal 5 2 5 3 12" xfId="1765" xr:uid="{00000000-0005-0000-0000-000035880000}"/>
    <cellStyle name="Normal 5 2 5 3 12 2" xfId="40646" xr:uid="{00000000-0005-0000-0000-000036880000}"/>
    <cellStyle name="Normal 5 2 5 3 12 3" xfId="45616" xr:uid="{00000000-0005-0000-0000-000037880000}"/>
    <cellStyle name="Normal 5 2 5 3 13" xfId="1766" xr:uid="{00000000-0005-0000-0000-000038880000}"/>
    <cellStyle name="Normal 5 2 5 3 13 2" xfId="40647" xr:uid="{00000000-0005-0000-0000-000039880000}"/>
    <cellStyle name="Normal 5 2 5 3 13 3" xfId="45617" xr:uid="{00000000-0005-0000-0000-00003A880000}"/>
    <cellStyle name="Normal 5 2 5 3 14" xfId="1767" xr:uid="{00000000-0005-0000-0000-00003B880000}"/>
    <cellStyle name="Normal 5 2 5 3 14 2" xfId="40648" xr:uid="{00000000-0005-0000-0000-00003C880000}"/>
    <cellStyle name="Normal 5 2 5 3 14 3" xfId="45618" xr:uid="{00000000-0005-0000-0000-00003D880000}"/>
    <cellStyle name="Normal 5 2 5 3 15" xfId="1768" xr:uid="{00000000-0005-0000-0000-00003E880000}"/>
    <cellStyle name="Normal 5 2 5 3 15 2" xfId="40649" xr:uid="{00000000-0005-0000-0000-00003F880000}"/>
    <cellStyle name="Normal 5 2 5 3 15 3" xfId="45619" xr:uid="{00000000-0005-0000-0000-000040880000}"/>
    <cellStyle name="Normal 5 2 5 3 16" xfId="1769" xr:uid="{00000000-0005-0000-0000-000041880000}"/>
    <cellStyle name="Normal 5 2 5 3 16 2" xfId="40650" xr:uid="{00000000-0005-0000-0000-000042880000}"/>
    <cellStyle name="Normal 5 2 5 3 16 3" xfId="45620" xr:uid="{00000000-0005-0000-0000-000043880000}"/>
    <cellStyle name="Normal 5 2 5 3 17" xfId="1770" xr:uid="{00000000-0005-0000-0000-000044880000}"/>
    <cellStyle name="Normal 5 2 5 3 17 2" xfId="40651" xr:uid="{00000000-0005-0000-0000-000045880000}"/>
    <cellStyle name="Normal 5 2 5 3 17 3" xfId="45621" xr:uid="{00000000-0005-0000-0000-000046880000}"/>
    <cellStyle name="Normal 5 2 5 3 18" xfId="1771" xr:uid="{00000000-0005-0000-0000-000047880000}"/>
    <cellStyle name="Normal 5 2 5 3 18 2" xfId="40652" xr:uid="{00000000-0005-0000-0000-000048880000}"/>
    <cellStyle name="Normal 5 2 5 3 18 3" xfId="45622" xr:uid="{00000000-0005-0000-0000-000049880000}"/>
    <cellStyle name="Normal 5 2 5 3 19" xfId="1772" xr:uid="{00000000-0005-0000-0000-00004A880000}"/>
    <cellStyle name="Normal 5 2 5 3 19 2" xfId="40653" xr:uid="{00000000-0005-0000-0000-00004B880000}"/>
    <cellStyle name="Normal 5 2 5 3 19 3" xfId="45623" xr:uid="{00000000-0005-0000-0000-00004C880000}"/>
    <cellStyle name="Normal 5 2 5 3 2" xfId="1773" xr:uid="{00000000-0005-0000-0000-00004D880000}"/>
    <cellStyle name="Normal 5 2 5 3 2 2" xfId="1774" xr:uid="{00000000-0005-0000-0000-00004E880000}"/>
    <cellStyle name="Normal 5 2 5 3 2 2 2" xfId="1775" xr:uid="{00000000-0005-0000-0000-00004F880000}"/>
    <cellStyle name="Normal 5 2 5 3 2 2 2 2" xfId="40654" xr:uid="{00000000-0005-0000-0000-000050880000}"/>
    <cellStyle name="Normal 5 2 5 3 2 2 2 3" xfId="45624" xr:uid="{00000000-0005-0000-0000-000051880000}"/>
    <cellStyle name="Normal 5 2 5 3 2 2 3" xfId="1776" xr:uid="{00000000-0005-0000-0000-000052880000}"/>
    <cellStyle name="Normal 5 2 5 3 2 2 3 2" xfId="40655" xr:uid="{00000000-0005-0000-0000-000053880000}"/>
    <cellStyle name="Normal 5 2 5 3 2 2 3 3" xfId="45625" xr:uid="{00000000-0005-0000-0000-000054880000}"/>
    <cellStyle name="Normal 5 2 5 3 2 2 4" xfId="40656" xr:uid="{00000000-0005-0000-0000-000055880000}"/>
    <cellStyle name="Normal 5 2 5 3 2 2 5" xfId="45626" xr:uid="{00000000-0005-0000-0000-000056880000}"/>
    <cellStyle name="Normal 5 2 5 3 2 3" xfId="1777" xr:uid="{00000000-0005-0000-0000-000057880000}"/>
    <cellStyle name="Normal 5 2 5 3 2 3 2" xfId="1778" xr:uid="{00000000-0005-0000-0000-000058880000}"/>
    <cellStyle name="Normal 5 2 5 3 2 3 2 2" xfId="40657" xr:uid="{00000000-0005-0000-0000-000059880000}"/>
    <cellStyle name="Normal 5 2 5 3 2 3 2 3" xfId="45627" xr:uid="{00000000-0005-0000-0000-00005A880000}"/>
    <cellStyle name="Normal 5 2 5 3 2 3 3" xfId="1779" xr:uid="{00000000-0005-0000-0000-00005B880000}"/>
    <cellStyle name="Normal 5 2 5 3 2 3 3 2" xfId="40658" xr:uid="{00000000-0005-0000-0000-00005C880000}"/>
    <cellStyle name="Normal 5 2 5 3 2 3 3 3" xfId="45628" xr:uid="{00000000-0005-0000-0000-00005D880000}"/>
    <cellStyle name="Normal 5 2 5 3 2 3 4" xfId="40659" xr:uid="{00000000-0005-0000-0000-00005E880000}"/>
    <cellStyle name="Normal 5 2 5 3 2 3 5" xfId="45629" xr:uid="{00000000-0005-0000-0000-00005F880000}"/>
    <cellStyle name="Normal 5 2 5 3 2 4" xfId="1780" xr:uid="{00000000-0005-0000-0000-000060880000}"/>
    <cellStyle name="Normal 5 2 5 3 2 4 2" xfId="40660" xr:uid="{00000000-0005-0000-0000-000061880000}"/>
    <cellStyle name="Normal 5 2 5 3 2 4 3" xfId="45630" xr:uid="{00000000-0005-0000-0000-000062880000}"/>
    <cellStyle name="Normal 5 2 5 3 2 5" xfId="1781" xr:uid="{00000000-0005-0000-0000-000063880000}"/>
    <cellStyle name="Normal 5 2 5 3 2 5 2" xfId="40661" xr:uid="{00000000-0005-0000-0000-000064880000}"/>
    <cellStyle name="Normal 5 2 5 3 2 5 3" xfId="45631" xr:uid="{00000000-0005-0000-0000-000065880000}"/>
    <cellStyle name="Normal 5 2 5 3 2 6" xfId="40662" xr:uid="{00000000-0005-0000-0000-000066880000}"/>
    <cellStyle name="Normal 5 2 5 3 2 7" xfId="45632" xr:uid="{00000000-0005-0000-0000-000067880000}"/>
    <cellStyle name="Normal 5 2 5 3 20" xfId="40663" xr:uid="{00000000-0005-0000-0000-000068880000}"/>
    <cellStyle name="Normal 5 2 5 3 21" xfId="45633" xr:uid="{00000000-0005-0000-0000-000069880000}"/>
    <cellStyle name="Normal 5 2 5 3 3" xfId="1782" xr:uid="{00000000-0005-0000-0000-00006A880000}"/>
    <cellStyle name="Normal 5 2 5 3 3 2" xfId="1783" xr:uid="{00000000-0005-0000-0000-00006B880000}"/>
    <cellStyle name="Normal 5 2 5 3 3 2 2" xfId="40664" xr:uid="{00000000-0005-0000-0000-00006C880000}"/>
    <cellStyle name="Normal 5 2 5 3 3 2 3" xfId="45634" xr:uid="{00000000-0005-0000-0000-00006D880000}"/>
    <cellStyle name="Normal 5 2 5 3 3 3" xfId="1784" xr:uid="{00000000-0005-0000-0000-00006E880000}"/>
    <cellStyle name="Normal 5 2 5 3 3 3 2" xfId="40665" xr:uid="{00000000-0005-0000-0000-00006F880000}"/>
    <cellStyle name="Normal 5 2 5 3 3 3 3" xfId="45635" xr:uid="{00000000-0005-0000-0000-000070880000}"/>
    <cellStyle name="Normal 5 2 5 3 3 4" xfId="1785" xr:uid="{00000000-0005-0000-0000-000071880000}"/>
    <cellStyle name="Normal 5 2 5 3 3 4 2" xfId="40666" xr:uid="{00000000-0005-0000-0000-000072880000}"/>
    <cellStyle name="Normal 5 2 5 3 3 4 3" xfId="45636" xr:uid="{00000000-0005-0000-0000-000073880000}"/>
    <cellStyle name="Normal 5 2 5 3 3 5" xfId="1786" xr:uid="{00000000-0005-0000-0000-000074880000}"/>
    <cellStyle name="Normal 5 2 5 3 3 5 2" xfId="40667" xr:uid="{00000000-0005-0000-0000-000075880000}"/>
    <cellStyle name="Normal 5 2 5 3 3 5 3" xfId="45637" xr:uid="{00000000-0005-0000-0000-000076880000}"/>
    <cellStyle name="Normal 5 2 5 3 3 6" xfId="40668" xr:uid="{00000000-0005-0000-0000-000077880000}"/>
    <cellStyle name="Normal 5 2 5 3 3 7" xfId="45638" xr:uid="{00000000-0005-0000-0000-000078880000}"/>
    <cellStyle name="Normal 5 2 5 3 4" xfId="1787" xr:uid="{00000000-0005-0000-0000-000079880000}"/>
    <cellStyle name="Normal 5 2 5 3 4 2" xfId="1788" xr:uid="{00000000-0005-0000-0000-00007A880000}"/>
    <cellStyle name="Normal 5 2 5 3 4 2 2" xfId="40669" xr:uid="{00000000-0005-0000-0000-00007B880000}"/>
    <cellStyle name="Normal 5 2 5 3 4 2 3" xfId="45639" xr:uid="{00000000-0005-0000-0000-00007C880000}"/>
    <cellStyle name="Normal 5 2 5 3 4 3" xfId="1789" xr:uid="{00000000-0005-0000-0000-00007D880000}"/>
    <cellStyle name="Normal 5 2 5 3 4 3 2" xfId="40670" xr:uid="{00000000-0005-0000-0000-00007E880000}"/>
    <cellStyle name="Normal 5 2 5 3 4 3 3" xfId="45640" xr:uid="{00000000-0005-0000-0000-00007F880000}"/>
    <cellStyle name="Normal 5 2 5 3 4 4" xfId="40671" xr:uid="{00000000-0005-0000-0000-000080880000}"/>
    <cellStyle name="Normal 5 2 5 3 4 5" xfId="45641" xr:uid="{00000000-0005-0000-0000-000081880000}"/>
    <cellStyle name="Normal 5 2 5 3 5" xfId="1790" xr:uid="{00000000-0005-0000-0000-000082880000}"/>
    <cellStyle name="Normal 5 2 5 3 5 2" xfId="1791" xr:uid="{00000000-0005-0000-0000-000083880000}"/>
    <cellStyle name="Normal 5 2 5 3 5 2 2" xfId="40672" xr:uid="{00000000-0005-0000-0000-000084880000}"/>
    <cellStyle name="Normal 5 2 5 3 5 2 3" xfId="45642" xr:uid="{00000000-0005-0000-0000-000085880000}"/>
    <cellStyle name="Normal 5 2 5 3 5 3" xfId="1792" xr:uid="{00000000-0005-0000-0000-000086880000}"/>
    <cellStyle name="Normal 5 2 5 3 5 3 2" xfId="40673" xr:uid="{00000000-0005-0000-0000-000087880000}"/>
    <cellStyle name="Normal 5 2 5 3 5 3 3" xfId="45643" xr:uid="{00000000-0005-0000-0000-000088880000}"/>
    <cellStyle name="Normal 5 2 5 3 5 4" xfId="40674" xr:uid="{00000000-0005-0000-0000-000089880000}"/>
    <cellStyle name="Normal 5 2 5 3 5 5" xfId="45644" xr:uid="{00000000-0005-0000-0000-00008A880000}"/>
    <cellStyle name="Normal 5 2 5 3 6" xfId="1793" xr:uid="{00000000-0005-0000-0000-00008B880000}"/>
    <cellStyle name="Normal 5 2 5 3 6 2" xfId="40675" xr:uid="{00000000-0005-0000-0000-00008C880000}"/>
    <cellStyle name="Normal 5 2 5 3 6 3" xfId="45645" xr:uid="{00000000-0005-0000-0000-00008D880000}"/>
    <cellStyle name="Normal 5 2 5 3 7" xfId="1794" xr:uid="{00000000-0005-0000-0000-00008E880000}"/>
    <cellStyle name="Normal 5 2 5 3 7 2" xfId="40676" xr:uid="{00000000-0005-0000-0000-00008F880000}"/>
    <cellStyle name="Normal 5 2 5 3 7 3" xfId="45646" xr:uid="{00000000-0005-0000-0000-000090880000}"/>
    <cellStyle name="Normal 5 2 5 3 8" xfId="1795" xr:uid="{00000000-0005-0000-0000-000091880000}"/>
    <cellStyle name="Normal 5 2 5 3 8 2" xfId="40677" xr:uid="{00000000-0005-0000-0000-000092880000}"/>
    <cellStyle name="Normal 5 2 5 3 8 3" xfId="45647" xr:uid="{00000000-0005-0000-0000-000093880000}"/>
    <cellStyle name="Normal 5 2 5 3 9" xfId="1796" xr:uid="{00000000-0005-0000-0000-000094880000}"/>
    <cellStyle name="Normal 5 2 5 3 9 2" xfId="40678" xr:uid="{00000000-0005-0000-0000-000095880000}"/>
    <cellStyle name="Normal 5 2 5 3 9 3" xfId="45648" xr:uid="{00000000-0005-0000-0000-000096880000}"/>
    <cellStyle name="Normal 5 2 5 4" xfId="1797" xr:uid="{00000000-0005-0000-0000-000097880000}"/>
    <cellStyle name="Normal 5 2 5 4 2" xfId="1798" xr:uid="{00000000-0005-0000-0000-000098880000}"/>
    <cellStyle name="Normal 5 2 5 4 2 2" xfId="1799" xr:uid="{00000000-0005-0000-0000-000099880000}"/>
    <cellStyle name="Normal 5 2 5 4 2 2 2" xfId="40679" xr:uid="{00000000-0005-0000-0000-00009A880000}"/>
    <cellStyle name="Normal 5 2 5 4 2 2 3" xfId="45649" xr:uid="{00000000-0005-0000-0000-00009B880000}"/>
    <cellStyle name="Normal 5 2 5 4 2 3" xfId="1800" xr:uid="{00000000-0005-0000-0000-00009C880000}"/>
    <cellStyle name="Normal 5 2 5 4 2 3 2" xfId="40680" xr:uid="{00000000-0005-0000-0000-00009D880000}"/>
    <cellStyle name="Normal 5 2 5 4 2 3 3" xfId="45650" xr:uid="{00000000-0005-0000-0000-00009E880000}"/>
    <cellStyle name="Normal 5 2 5 4 2 4" xfId="1801" xr:uid="{00000000-0005-0000-0000-00009F880000}"/>
    <cellStyle name="Normal 5 2 5 4 2 4 2" xfId="40681" xr:uid="{00000000-0005-0000-0000-0000A0880000}"/>
    <cellStyle name="Normal 5 2 5 4 2 4 3" xfId="45651" xr:uid="{00000000-0005-0000-0000-0000A1880000}"/>
    <cellStyle name="Normal 5 2 5 4 2 5" xfId="1802" xr:uid="{00000000-0005-0000-0000-0000A2880000}"/>
    <cellStyle name="Normal 5 2 5 4 2 5 2" xfId="40682" xr:uid="{00000000-0005-0000-0000-0000A3880000}"/>
    <cellStyle name="Normal 5 2 5 4 2 5 3" xfId="45652" xr:uid="{00000000-0005-0000-0000-0000A4880000}"/>
    <cellStyle name="Normal 5 2 5 4 2 6" xfId="40683" xr:uid="{00000000-0005-0000-0000-0000A5880000}"/>
    <cellStyle name="Normal 5 2 5 4 2 7" xfId="45653" xr:uid="{00000000-0005-0000-0000-0000A6880000}"/>
    <cellStyle name="Normal 5 2 5 4 3" xfId="1803" xr:uid="{00000000-0005-0000-0000-0000A7880000}"/>
    <cellStyle name="Normal 5 2 5 4 3 2" xfId="1804" xr:uid="{00000000-0005-0000-0000-0000A8880000}"/>
    <cellStyle name="Normal 5 2 5 4 3 2 2" xfId="40684" xr:uid="{00000000-0005-0000-0000-0000A9880000}"/>
    <cellStyle name="Normal 5 2 5 4 3 2 3" xfId="45654" xr:uid="{00000000-0005-0000-0000-0000AA880000}"/>
    <cellStyle name="Normal 5 2 5 4 3 3" xfId="1805" xr:uid="{00000000-0005-0000-0000-0000AB880000}"/>
    <cellStyle name="Normal 5 2 5 4 3 3 2" xfId="40685" xr:uid="{00000000-0005-0000-0000-0000AC880000}"/>
    <cellStyle name="Normal 5 2 5 4 3 3 3" xfId="45655" xr:uid="{00000000-0005-0000-0000-0000AD880000}"/>
    <cellStyle name="Normal 5 2 5 4 3 4" xfId="40686" xr:uid="{00000000-0005-0000-0000-0000AE880000}"/>
    <cellStyle name="Normal 5 2 5 4 3 5" xfId="45656" xr:uid="{00000000-0005-0000-0000-0000AF880000}"/>
    <cellStyle name="Normal 5 2 5 4 4" xfId="1806" xr:uid="{00000000-0005-0000-0000-0000B0880000}"/>
    <cellStyle name="Normal 5 2 5 4 4 2" xfId="1807" xr:uid="{00000000-0005-0000-0000-0000B1880000}"/>
    <cellStyle name="Normal 5 2 5 4 4 2 2" xfId="40687" xr:uid="{00000000-0005-0000-0000-0000B2880000}"/>
    <cellStyle name="Normal 5 2 5 4 4 2 3" xfId="45657" xr:uid="{00000000-0005-0000-0000-0000B3880000}"/>
    <cellStyle name="Normal 5 2 5 4 4 3" xfId="1808" xr:uid="{00000000-0005-0000-0000-0000B4880000}"/>
    <cellStyle name="Normal 5 2 5 4 4 3 2" xfId="40688" xr:uid="{00000000-0005-0000-0000-0000B5880000}"/>
    <cellStyle name="Normal 5 2 5 4 4 3 3" xfId="45658" xr:uid="{00000000-0005-0000-0000-0000B6880000}"/>
    <cellStyle name="Normal 5 2 5 4 4 4" xfId="40689" xr:uid="{00000000-0005-0000-0000-0000B7880000}"/>
    <cellStyle name="Normal 5 2 5 4 4 5" xfId="45659" xr:uid="{00000000-0005-0000-0000-0000B8880000}"/>
    <cellStyle name="Normal 5 2 5 4 5" xfId="1809" xr:uid="{00000000-0005-0000-0000-0000B9880000}"/>
    <cellStyle name="Normal 5 2 5 4 5 2" xfId="40690" xr:uid="{00000000-0005-0000-0000-0000BA880000}"/>
    <cellStyle name="Normal 5 2 5 4 5 3" xfId="45660" xr:uid="{00000000-0005-0000-0000-0000BB880000}"/>
    <cellStyle name="Normal 5 2 5 4 6" xfId="1810" xr:uid="{00000000-0005-0000-0000-0000BC880000}"/>
    <cellStyle name="Normal 5 2 5 4 6 2" xfId="40691" xr:uid="{00000000-0005-0000-0000-0000BD880000}"/>
    <cellStyle name="Normal 5 2 5 4 6 3" xfId="45661" xr:uid="{00000000-0005-0000-0000-0000BE880000}"/>
    <cellStyle name="Normal 5 2 5 4 7" xfId="40692" xr:uid="{00000000-0005-0000-0000-0000BF880000}"/>
    <cellStyle name="Normal 5 2 5 4 8" xfId="45662" xr:uid="{00000000-0005-0000-0000-0000C0880000}"/>
    <cellStyle name="Normal 5 2 5 5" xfId="1811" xr:uid="{00000000-0005-0000-0000-0000C1880000}"/>
    <cellStyle name="Normal 5 2 5 5 2" xfId="1812" xr:uid="{00000000-0005-0000-0000-0000C2880000}"/>
    <cellStyle name="Normal 5 2 5 5 2 2" xfId="1813" xr:uid="{00000000-0005-0000-0000-0000C3880000}"/>
    <cellStyle name="Normal 5 2 5 5 2 2 2" xfId="40693" xr:uid="{00000000-0005-0000-0000-0000C4880000}"/>
    <cellStyle name="Normal 5 2 5 5 2 2 3" xfId="45663" xr:uid="{00000000-0005-0000-0000-0000C5880000}"/>
    <cellStyle name="Normal 5 2 5 5 2 3" xfId="1814" xr:uid="{00000000-0005-0000-0000-0000C6880000}"/>
    <cellStyle name="Normal 5 2 5 5 2 3 2" xfId="40694" xr:uid="{00000000-0005-0000-0000-0000C7880000}"/>
    <cellStyle name="Normal 5 2 5 5 2 3 3" xfId="45664" xr:uid="{00000000-0005-0000-0000-0000C8880000}"/>
    <cellStyle name="Normal 5 2 5 5 2 4" xfId="1815" xr:uid="{00000000-0005-0000-0000-0000C9880000}"/>
    <cellStyle name="Normal 5 2 5 5 2 4 2" xfId="40695" xr:uid="{00000000-0005-0000-0000-0000CA880000}"/>
    <cellStyle name="Normal 5 2 5 5 2 4 3" xfId="45665" xr:uid="{00000000-0005-0000-0000-0000CB880000}"/>
    <cellStyle name="Normal 5 2 5 5 2 5" xfId="1816" xr:uid="{00000000-0005-0000-0000-0000CC880000}"/>
    <cellStyle name="Normal 5 2 5 5 2 5 2" xfId="40696" xr:uid="{00000000-0005-0000-0000-0000CD880000}"/>
    <cellStyle name="Normal 5 2 5 5 2 5 3" xfId="45666" xr:uid="{00000000-0005-0000-0000-0000CE880000}"/>
    <cellStyle name="Normal 5 2 5 5 2 6" xfId="40697" xr:uid="{00000000-0005-0000-0000-0000CF880000}"/>
    <cellStyle name="Normal 5 2 5 5 2 7" xfId="45667" xr:uid="{00000000-0005-0000-0000-0000D0880000}"/>
    <cellStyle name="Normal 5 2 5 5 3" xfId="1817" xr:uid="{00000000-0005-0000-0000-0000D1880000}"/>
    <cellStyle name="Normal 5 2 5 5 3 2" xfId="1818" xr:uid="{00000000-0005-0000-0000-0000D2880000}"/>
    <cellStyle name="Normal 5 2 5 5 3 2 2" xfId="40698" xr:uid="{00000000-0005-0000-0000-0000D3880000}"/>
    <cellStyle name="Normal 5 2 5 5 3 2 3" xfId="45668" xr:uid="{00000000-0005-0000-0000-0000D4880000}"/>
    <cellStyle name="Normal 5 2 5 5 3 3" xfId="1819" xr:uid="{00000000-0005-0000-0000-0000D5880000}"/>
    <cellStyle name="Normal 5 2 5 5 3 3 2" xfId="40699" xr:uid="{00000000-0005-0000-0000-0000D6880000}"/>
    <cellStyle name="Normal 5 2 5 5 3 3 3" xfId="45669" xr:uid="{00000000-0005-0000-0000-0000D7880000}"/>
    <cellStyle name="Normal 5 2 5 5 3 4" xfId="40700" xr:uid="{00000000-0005-0000-0000-0000D8880000}"/>
    <cellStyle name="Normal 5 2 5 5 3 5" xfId="45670" xr:uid="{00000000-0005-0000-0000-0000D9880000}"/>
    <cellStyle name="Normal 5 2 5 5 4" xfId="1820" xr:uid="{00000000-0005-0000-0000-0000DA880000}"/>
    <cellStyle name="Normal 5 2 5 5 4 2" xfId="1821" xr:uid="{00000000-0005-0000-0000-0000DB880000}"/>
    <cellStyle name="Normal 5 2 5 5 4 2 2" xfId="40701" xr:uid="{00000000-0005-0000-0000-0000DC880000}"/>
    <cellStyle name="Normal 5 2 5 5 4 2 3" xfId="45671" xr:uid="{00000000-0005-0000-0000-0000DD880000}"/>
    <cellStyle name="Normal 5 2 5 5 4 3" xfId="1822" xr:uid="{00000000-0005-0000-0000-0000DE880000}"/>
    <cellStyle name="Normal 5 2 5 5 4 3 2" xfId="40702" xr:uid="{00000000-0005-0000-0000-0000DF880000}"/>
    <cellStyle name="Normal 5 2 5 5 4 3 3" xfId="45672" xr:uid="{00000000-0005-0000-0000-0000E0880000}"/>
    <cellStyle name="Normal 5 2 5 5 4 4" xfId="40703" xr:uid="{00000000-0005-0000-0000-0000E1880000}"/>
    <cellStyle name="Normal 5 2 5 5 4 5" xfId="45673" xr:uid="{00000000-0005-0000-0000-0000E2880000}"/>
    <cellStyle name="Normal 5 2 5 5 5" xfId="1823" xr:uid="{00000000-0005-0000-0000-0000E3880000}"/>
    <cellStyle name="Normal 5 2 5 5 5 2" xfId="40704" xr:uid="{00000000-0005-0000-0000-0000E4880000}"/>
    <cellStyle name="Normal 5 2 5 5 5 3" xfId="45674" xr:uid="{00000000-0005-0000-0000-0000E5880000}"/>
    <cellStyle name="Normal 5 2 5 5 6" xfId="1824" xr:uid="{00000000-0005-0000-0000-0000E6880000}"/>
    <cellStyle name="Normal 5 2 5 5 6 2" xfId="40705" xr:uid="{00000000-0005-0000-0000-0000E7880000}"/>
    <cellStyle name="Normal 5 2 5 5 6 3" xfId="45675" xr:uid="{00000000-0005-0000-0000-0000E8880000}"/>
    <cellStyle name="Normal 5 2 5 5 7" xfId="40706" xr:uid="{00000000-0005-0000-0000-0000E9880000}"/>
    <cellStyle name="Normal 5 2 5 5 8" xfId="45676" xr:uid="{00000000-0005-0000-0000-0000EA880000}"/>
    <cellStyle name="Normal 5 2 5 6" xfId="1825" xr:uid="{00000000-0005-0000-0000-0000EB880000}"/>
    <cellStyle name="Normal 5 2 5 6 2" xfId="1826" xr:uid="{00000000-0005-0000-0000-0000EC880000}"/>
    <cellStyle name="Normal 5 2 5 6 2 2" xfId="1827" xr:uid="{00000000-0005-0000-0000-0000ED880000}"/>
    <cellStyle name="Normal 5 2 5 6 2 2 2" xfId="40707" xr:uid="{00000000-0005-0000-0000-0000EE880000}"/>
    <cellStyle name="Normal 5 2 5 6 2 2 3" xfId="45677" xr:uid="{00000000-0005-0000-0000-0000EF880000}"/>
    <cellStyle name="Normal 5 2 5 6 2 3" xfId="1828" xr:uid="{00000000-0005-0000-0000-0000F0880000}"/>
    <cellStyle name="Normal 5 2 5 6 2 3 2" xfId="40708" xr:uid="{00000000-0005-0000-0000-0000F1880000}"/>
    <cellStyle name="Normal 5 2 5 6 2 3 3" xfId="45678" xr:uid="{00000000-0005-0000-0000-0000F2880000}"/>
    <cellStyle name="Normal 5 2 5 6 2 4" xfId="1829" xr:uid="{00000000-0005-0000-0000-0000F3880000}"/>
    <cellStyle name="Normal 5 2 5 6 2 4 2" xfId="40709" xr:uid="{00000000-0005-0000-0000-0000F4880000}"/>
    <cellStyle name="Normal 5 2 5 6 2 4 3" xfId="45679" xr:uid="{00000000-0005-0000-0000-0000F5880000}"/>
    <cellStyle name="Normal 5 2 5 6 2 5" xfId="1830" xr:uid="{00000000-0005-0000-0000-0000F6880000}"/>
    <cellStyle name="Normal 5 2 5 6 2 5 2" xfId="40710" xr:uid="{00000000-0005-0000-0000-0000F7880000}"/>
    <cellStyle name="Normal 5 2 5 6 2 5 3" xfId="45680" xr:uid="{00000000-0005-0000-0000-0000F8880000}"/>
    <cellStyle name="Normal 5 2 5 6 2 6" xfId="40711" xr:uid="{00000000-0005-0000-0000-0000F9880000}"/>
    <cellStyle name="Normal 5 2 5 6 2 7" xfId="45681" xr:uid="{00000000-0005-0000-0000-0000FA880000}"/>
    <cellStyle name="Normal 5 2 5 6 3" xfId="1831" xr:uid="{00000000-0005-0000-0000-0000FB880000}"/>
    <cellStyle name="Normal 5 2 5 6 3 2" xfId="1832" xr:uid="{00000000-0005-0000-0000-0000FC880000}"/>
    <cellStyle name="Normal 5 2 5 6 3 2 2" xfId="40712" xr:uid="{00000000-0005-0000-0000-0000FD880000}"/>
    <cellStyle name="Normal 5 2 5 6 3 2 3" xfId="45682" xr:uid="{00000000-0005-0000-0000-0000FE880000}"/>
    <cellStyle name="Normal 5 2 5 6 3 3" xfId="1833" xr:uid="{00000000-0005-0000-0000-0000FF880000}"/>
    <cellStyle name="Normal 5 2 5 6 3 3 2" xfId="40713" xr:uid="{00000000-0005-0000-0000-000000890000}"/>
    <cellStyle name="Normal 5 2 5 6 3 3 3" xfId="45683" xr:uid="{00000000-0005-0000-0000-000001890000}"/>
    <cellStyle name="Normal 5 2 5 6 3 4" xfId="40714" xr:uid="{00000000-0005-0000-0000-000002890000}"/>
    <cellStyle name="Normal 5 2 5 6 3 5" xfId="45684" xr:uid="{00000000-0005-0000-0000-000003890000}"/>
    <cellStyle name="Normal 5 2 5 6 4" xfId="1834" xr:uid="{00000000-0005-0000-0000-000004890000}"/>
    <cellStyle name="Normal 5 2 5 6 4 2" xfId="1835" xr:uid="{00000000-0005-0000-0000-000005890000}"/>
    <cellStyle name="Normal 5 2 5 6 4 2 2" xfId="40715" xr:uid="{00000000-0005-0000-0000-000006890000}"/>
    <cellStyle name="Normal 5 2 5 6 4 2 3" xfId="45685" xr:uid="{00000000-0005-0000-0000-000007890000}"/>
    <cellStyle name="Normal 5 2 5 6 4 3" xfId="1836" xr:uid="{00000000-0005-0000-0000-000008890000}"/>
    <cellStyle name="Normal 5 2 5 6 4 3 2" xfId="40716" xr:uid="{00000000-0005-0000-0000-000009890000}"/>
    <cellStyle name="Normal 5 2 5 6 4 3 3" xfId="45686" xr:uid="{00000000-0005-0000-0000-00000A890000}"/>
    <cellStyle name="Normal 5 2 5 6 4 4" xfId="40717" xr:uid="{00000000-0005-0000-0000-00000B890000}"/>
    <cellStyle name="Normal 5 2 5 6 4 5" xfId="45687" xr:uid="{00000000-0005-0000-0000-00000C890000}"/>
    <cellStyle name="Normal 5 2 5 6 5" xfId="1837" xr:uid="{00000000-0005-0000-0000-00000D890000}"/>
    <cellStyle name="Normal 5 2 5 6 5 2" xfId="40718" xr:uid="{00000000-0005-0000-0000-00000E890000}"/>
    <cellStyle name="Normal 5 2 5 6 5 3" xfId="45688" xr:uid="{00000000-0005-0000-0000-00000F890000}"/>
    <cellStyle name="Normal 5 2 5 6 6" xfId="1838" xr:uid="{00000000-0005-0000-0000-000010890000}"/>
    <cellStyle name="Normal 5 2 5 6 6 2" xfId="40719" xr:uid="{00000000-0005-0000-0000-000011890000}"/>
    <cellStyle name="Normal 5 2 5 6 6 3" xfId="45689" xr:uid="{00000000-0005-0000-0000-000012890000}"/>
    <cellStyle name="Normal 5 2 5 6 7" xfId="40720" xr:uid="{00000000-0005-0000-0000-000013890000}"/>
    <cellStyle name="Normal 5 2 5 6 8" xfId="45690" xr:uid="{00000000-0005-0000-0000-000014890000}"/>
    <cellStyle name="Normal 5 2 5 7" xfId="1839" xr:uid="{00000000-0005-0000-0000-000015890000}"/>
    <cellStyle name="Normal 5 2 5 7 2" xfId="1840" xr:uid="{00000000-0005-0000-0000-000016890000}"/>
    <cellStyle name="Normal 5 2 5 7 2 2" xfId="1841" xr:uid="{00000000-0005-0000-0000-000017890000}"/>
    <cellStyle name="Normal 5 2 5 7 2 2 2" xfId="40721" xr:uid="{00000000-0005-0000-0000-000018890000}"/>
    <cellStyle name="Normal 5 2 5 7 2 2 3" xfId="45691" xr:uid="{00000000-0005-0000-0000-000019890000}"/>
    <cellStyle name="Normal 5 2 5 7 2 3" xfId="1842" xr:uid="{00000000-0005-0000-0000-00001A890000}"/>
    <cellStyle name="Normal 5 2 5 7 2 3 2" xfId="40722" xr:uid="{00000000-0005-0000-0000-00001B890000}"/>
    <cellStyle name="Normal 5 2 5 7 2 3 3" xfId="45692" xr:uid="{00000000-0005-0000-0000-00001C890000}"/>
    <cellStyle name="Normal 5 2 5 7 2 4" xfId="40723" xr:uid="{00000000-0005-0000-0000-00001D890000}"/>
    <cellStyle name="Normal 5 2 5 7 2 5" xfId="45693" xr:uid="{00000000-0005-0000-0000-00001E890000}"/>
    <cellStyle name="Normal 5 2 5 7 3" xfId="1843" xr:uid="{00000000-0005-0000-0000-00001F890000}"/>
    <cellStyle name="Normal 5 2 5 7 3 2" xfId="1844" xr:uid="{00000000-0005-0000-0000-000020890000}"/>
    <cellStyle name="Normal 5 2 5 7 3 2 2" xfId="40724" xr:uid="{00000000-0005-0000-0000-000021890000}"/>
    <cellStyle name="Normal 5 2 5 7 3 2 3" xfId="45694" xr:uid="{00000000-0005-0000-0000-000022890000}"/>
    <cellStyle name="Normal 5 2 5 7 3 3" xfId="1845" xr:uid="{00000000-0005-0000-0000-000023890000}"/>
    <cellStyle name="Normal 5 2 5 7 3 3 2" xfId="40725" xr:uid="{00000000-0005-0000-0000-000024890000}"/>
    <cellStyle name="Normal 5 2 5 7 3 3 3" xfId="45695" xr:uid="{00000000-0005-0000-0000-000025890000}"/>
    <cellStyle name="Normal 5 2 5 7 3 4" xfId="40726" xr:uid="{00000000-0005-0000-0000-000026890000}"/>
    <cellStyle name="Normal 5 2 5 7 3 5" xfId="45696" xr:uid="{00000000-0005-0000-0000-000027890000}"/>
    <cellStyle name="Normal 5 2 5 7 4" xfId="1846" xr:uid="{00000000-0005-0000-0000-000028890000}"/>
    <cellStyle name="Normal 5 2 5 7 4 2" xfId="1847" xr:uid="{00000000-0005-0000-0000-000029890000}"/>
    <cellStyle name="Normal 5 2 5 7 4 2 2" xfId="40727" xr:uid="{00000000-0005-0000-0000-00002A890000}"/>
    <cellStyle name="Normal 5 2 5 7 4 2 3" xfId="45697" xr:uid="{00000000-0005-0000-0000-00002B890000}"/>
    <cellStyle name="Normal 5 2 5 7 4 3" xfId="40728" xr:uid="{00000000-0005-0000-0000-00002C890000}"/>
    <cellStyle name="Normal 5 2 5 7 4 4" xfId="45698" xr:uid="{00000000-0005-0000-0000-00002D890000}"/>
    <cellStyle name="Normal 5 2 5 7 5" xfId="1848" xr:uid="{00000000-0005-0000-0000-00002E890000}"/>
    <cellStyle name="Normal 5 2 5 7 5 2" xfId="40729" xr:uid="{00000000-0005-0000-0000-00002F890000}"/>
    <cellStyle name="Normal 5 2 5 7 5 3" xfId="45699" xr:uid="{00000000-0005-0000-0000-000030890000}"/>
    <cellStyle name="Normal 5 2 5 7 6" xfId="1849" xr:uid="{00000000-0005-0000-0000-000031890000}"/>
    <cellStyle name="Normal 5 2 5 7 6 2" xfId="40730" xr:uid="{00000000-0005-0000-0000-000032890000}"/>
    <cellStyle name="Normal 5 2 5 7 6 3" xfId="45700" xr:uid="{00000000-0005-0000-0000-000033890000}"/>
    <cellStyle name="Normal 5 2 5 7 7" xfId="40731" xr:uid="{00000000-0005-0000-0000-000034890000}"/>
    <cellStyle name="Normal 5 2 5 7 8" xfId="45701" xr:uid="{00000000-0005-0000-0000-000035890000}"/>
    <cellStyle name="Normal 5 2 5 8" xfId="1850" xr:uid="{00000000-0005-0000-0000-000036890000}"/>
    <cellStyle name="Normal 5 2 5 8 2" xfId="1851" xr:uid="{00000000-0005-0000-0000-000037890000}"/>
    <cellStyle name="Normal 5 2 5 8 2 2" xfId="40732" xr:uid="{00000000-0005-0000-0000-000038890000}"/>
    <cellStyle name="Normal 5 2 5 8 2 3" xfId="45702" xr:uid="{00000000-0005-0000-0000-000039890000}"/>
    <cellStyle name="Normal 5 2 5 8 3" xfId="1852" xr:uid="{00000000-0005-0000-0000-00003A890000}"/>
    <cellStyle name="Normal 5 2 5 8 3 2" xfId="40733" xr:uid="{00000000-0005-0000-0000-00003B890000}"/>
    <cellStyle name="Normal 5 2 5 8 3 3" xfId="45703" xr:uid="{00000000-0005-0000-0000-00003C890000}"/>
    <cellStyle name="Normal 5 2 5 8 4" xfId="1853" xr:uid="{00000000-0005-0000-0000-00003D890000}"/>
    <cellStyle name="Normal 5 2 5 8 4 2" xfId="40734" xr:uid="{00000000-0005-0000-0000-00003E890000}"/>
    <cellStyle name="Normal 5 2 5 8 4 3" xfId="45704" xr:uid="{00000000-0005-0000-0000-00003F890000}"/>
    <cellStyle name="Normal 5 2 5 8 5" xfId="1854" xr:uid="{00000000-0005-0000-0000-000040890000}"/>
    <cellStyle name="Normal 5 2 5 8 5 2" xfId="40735" xr:uid="{00000000-0005-0000-0000-000041890000}"/>
    <cellStyle name="Normal 5 2 5 8 5 3" xfId="45705" xr:uid="{00000000-0005-0000-0000-000042890000}"/>
    <cellStyle name="Normal 5 2 5 8 6" xfId="40736" xr:uid="{00000000-0005-0000-0000-000043890000}"/>
    <cellStyle name="Normal 5 2 5 8 7" xfId="45706" xr:uid="{00000000-0005-0000-0000-000044890000}"/>
    <cellStyle name="Normal 5 2 5 9" xfId="1855" xr:uid="{00000000-0005-0000-0000-000045890000}"/>
    <cellStyle name="Normal 5 2 5 9 2" xfId="1856" xr:uid="{00000000-0005-0000-0000-000046890000}"/>
    <cellStyle name="Normal 5 2 5 9 2 2" xfId="40737" xr:uid="{00000000-0005-0000-0000-000047890000}"/>
    <cellStyle name="Normal 5 2 5 9 2 3" xfId="45707" xr:uid="{00000000-0005-0000-0000-000048890000}"/>
    <cellStyle name="Normal 5 2 5 9 3" xfId="1857" xr:uid="{00000000-0005-0000-0000-000049890000}"/>
    <cellStyle name="Normal 5 2 5 9 3 2" xfId="40738" xr:uid="{00000000-0005-0000-0000-00004A890000}"/>
    <cellStyle name="Normal 5 2 5 9 3 3" xfId="45708" xr:uid="{00000000-0005-0000-0000-00004B890000}"/>
    <cellStyle name="Normal 5 2 5 9 4" xfId="40739" xr:uid="{00000000-0005-0000-0000-00004C890000}"/>
    <cellStyle name="Normal 5 2 5 9 5" xfId="45709" xr:uid="{00000000-0005-0000-0000-00004D890000}"/>
    <cellStyle name="Normal 5 2 5_10070" xfId="1858" xr:uid="{00000000-0005-0000-0000-00004E890000}"/>
    <cellStyle name="Normal 5 2 6" xfId="1859" xr:uid="{00000000-0005-0000-0000-00004F890000}"/>
    <cellStyle name="Normal 5 2 6 2" xfId="1860" xr:uid="{00000000-0005-0000-0000-000050890000}"/>
    <cellStyle name="Normal 5 2 6 2 2" xfId="1861" xr:uid="{00000000-0005-0000-0000-000051890000}"/>
    <cellStyle name="Normal 5 2 6 2 2 2" xfId="40740" xr:uid="{00000000-0005-0000-0000-000052890000}"/>
    <cellStyle name="Normal 5 2 6 2 2 3" xfId="45710" xr:uid="{00000000-0005-0000-0000-000053890000}"/>
    <cellStyle name="Normal 5 2 6 2 3" xfId="1862" xr:uid="{00000000-0005-0000-0000-000054890000}"/>
    <cellStyle name="Normal 5 2 6 2 3 2" xfId="40741" xr:uid="{00000000-0005-0000-0000-000055890000}"/>
    <cellStyle name="Normal 5 2 6 2 3 3" xfId="45711" xr:uid="{00000000-0005-0000-0000-000056890000}"/>
    <cellStyle name="Normal 5 2 6 2 4" xfId="40742" xr:uid="{00000000-0005-0000-0000-000057890000}"/>
    <cellStyle name="Normal 5 2 6 2 5" xfId="45712" xr:uid="{00000000-0005-0000-0000-000058890000}"/>
    <cellStyle name="Normal 5 2 6 3" xfId="1863" xr:uid="{00000000-0005-0000-0000-000059890000}"/>
    <cellStyle name="Normal 5 2 6 3 2" xfId="1864" xr:uid="{00000000-0005-0000-0000-00005A890000}"/>
    <cellStyle name="Normal 5 2 6 3 2 2" xfId="40743" xr:uid="{00000000-0005-0000-0000-00005B890000}"/>
    <cellStyle name="Normal 5 2 6 3 2 3" xfId="45713" xr:uid="{00000000-0005-0000-0000-00005C890000}"/>
    <cellStyle name="Normal 5 2 6 3 3" xfId="1865" xr:uid="{00000000-0005-0000-0000-00005D890000}"/>
    <cellStyle name="Normal 5 2 6 3 3 2" xfId="40744" xr:uid="{00000000-0005-0000-0000-00005E890000}"/>
    <cellStyle name="Normal 5 2 6 3 3 3" xfId="45714" xr:uid="{00000000-0005-0000-0000-00005F890000}"/>
    <cellStyle name="Normal 5 2 6 3 4" xfId="40745" xr:uid="{00000000-0005-0000-0000-000060890000}"/>
    <cellStyle name="Normal 5 2 6 3 5" xfId="45715" xr:uid="{00000000-0005-0000-0000-000061890000}"/>
    <cellStyle name="Normal 5 2 6 4" xfId="1866" xr:uid="{00000000-0005-0000-0000-000062890000}"/>
    <cellStyle name="Normal 5 2 6 4 2" xfId="40746" xr:uid="{00000000-0005-0000-0000-000063890000}"/>
    <cellStyle name="Normal 5 2 6 4 3" xfId="45716" xr:uid="{00000000-0005-0000-0000-000064890000}"/>
    <cellStyle name="Normal 5 2 6 5" xfId="1867" xr:uid="{00000000-0005-0000-0000-000065890000}"/>
    <cellStyle name="Normal 5 2 6 5 2" xfId="40747" xr:uid="{00000000-0005-0000-0000-000066890000}"/>
    <cellStyle name="Normal 5 2 6 5 3" xfId="45717" xr:uid="{00000000-0005-0000-0000-000067890000}"/>
    <cellStyle name="Normal 5 2 6 6" xfId="40748" xr:uid="{00000000-0005-0000-0000-000068890000}"/>
    <cellStyle name="Normal 5 2 6 7" xfId="45718" xr:uid="{00000000-0005-0000-0000-000069890000}"/>
    <cellStyle name="Normal 5 2 7" xfId="1868" xr:uid="{00000000-0005-0000-0000-00006A890000}"/>
    <cellStyle name="Normal 5 2 7 2" xfId="1869" xr:uid="{00000000-0005-0000-0000-00006B890000}"/>
    <cellStyle name="Normal 5 2 7 2 2" xfId="40749" xr:uid="{00000000-0005-0000-0000-00006C890000}"/>
    <cellStyle name="Normal 5 2 7 2 3" xfId="45719" xr:uid="{00000000-0005-0000-0000-00006D890000}"/>
    <cellStyle name="Normal 5 2 7 3" xfId="1870" xr:uid="{00000000-0005-0000-0000-00006E890000}"/>
    <cellStyle name="Normal 5 2 7 3 2" xfId="40750" xr:uid="{00000000-0005-0000-0000-00006F890000}"/>
    <cellStyle name="Normal 5 2 7 3 3" xfId="45720" xr:uid="{00000000-0005-0000-0000-000070890000}"/>
    <cellStyle name="Normal 5 2 7 4" xfId="1871" xr:uid="{00000000-0005-0000-0000-000071890000}"/>
    <cellStyle name="Normal 5 2 7 4 2" xfId="40751" xr:uid="{00000000-0005-0000-0000-000072890000}"/>
    <cellStyle name="Normal 5 2 7 4 3" xfId="45721" xr:uid="{00000000-0005-0000-0000-000073890000}"/>
    <cellStyle name="Normal 5 2 7 5" xfId="1872" xr:uid="{00000000-0005-0000-0000-000074890000}"/>
    <cellStyle name="Normal 5 2 7 5 2" xfId="40752" xr:uid="{00000000-0005-0000-0000-000075890000}"/>
    <cellStyle name="Normal 5 2 7 5 3" xfId="45722" xr:uid="{00000000-0005-0000-0000-000076890000}"/>
    <cellStyle name="Normal 5 2 7 6" xfId="40753" xr:uid="{00000000-0005-0000-0000-000077890000}"/>
    <cellStyle name="Normal 5 2 7 7" xfId="45723" xr:uid="{00000000-0005-0000-0000-000078890000}"/>
    <cellStyle name="Normal 5 2 8" xfId="1873" xr:uid="{00000000-0005-0000-0000-000079890000}"/>
    <cellStyle name="Normal 5 2 8 2" xfId="40754" xr:uid="{00000000-0005-0000-0000-00007A890000}"/>
    <cellStyle name="Normal 5 2 8 3" xfId="45724" xr:uid="{00000000-0005-0000-0000-00007B890000}"/>
    <cellStyle name="Normal 5 2 9" xfId="1874" xr:uid="{00000000-0005-0000-0000-00007C890000}"/>
    <cellStyle name="Normal 5 2 9 2" xfId="40755" xr:uid="{00000000-0005-0000-0000-00007D890000}"/>
    <cellStyle name="Normal 5 2 9 3" xfId="45725" xr:uid="{00000000-0005-0000-0000-00007E890000}"/>
    <cellStyle name="Normal 5 2_TV" xfId="30918" xr:uid="{00000000-0005-0000-0000-00007F890000}"/>
    <cellStyle name="Normal 5 3" xfId="50" xr:uid="{00000000-0005-0000-0000-000080890000}"/>
    <cellStyle name="Normal 5 3 10" xfId="46303" xr:uid="{00000000-0005-0000-0000-000081890000}"/>
    <cellStyle name="Normal 5 3 2" xfId="1875" xr:uid="{00000000-0005-0000-0000-000082890000}"/>
    <cellStyle name="Normal 5 3 2 2" xfId="1876" xr:uid="{00000000-0005-0000-0000-000083890000}"/>
    <cellStyle name="Normal 5 3 2 2 2" xfId="30919" xr:uid="{00000000-0005-0000-0000-000084890000}"/>
    <cellStyle name="Normal 5 3 2 2 2 2" xfId="30920" xr:uid="{00000000-0005-0000-0000-000085890000}"/>
    <cellStyle name="Normal 5 3 2 2 2 2 2" xfId="30921" xr:uid="{00000000-0005-0000-0000-000086890000}"/>
    <cellStyle name="Normal 5 3 2 2 2 2 2 2" xfId="40756" xr:uid="{00000000-0005-0000-0000-000087890000}"/>
    <cellStyle name="Normal 5 3 2 2 2 2 3" xfId="30922" xr:uid="{00000000-0005-0000-0000-000088890000}"/>
    <cellStyle name="Normal 5 3 2 2 2 3" xfId="30923" xr:uid="{00000000-0005-0000-0000-000089890000}"/>
    <cellStyle name="Normal 5 3 2 2 2 3 2" xfId="30924" xr:uid="{00000000-0005-0000-0000-00008A890000}"/>
    <cellStyle name="Normal 5 3 2 2 2 3 2 2" xfId="40757" xr:uid="{00000000-0005-0000-0000-00008B890000}"/>
    <cellStyle name="Normal 5 3 2 2 2 3 3" xfId="30925" xr:uid="{00000000-0005-0000-0000-00008C890000}"/>
    <cellStyle name="Normal 5 3 2 2 2 4" xfId="30926" xr:uid="{00000000-0005-0000-0000-00008D890000}"/>
    <cellStyle name="Normal 5 3 2 2 2 4 2" xfId="40758" xr:uid="{00000000-0005-0000-0000-00008E890000}"/>
    <cellStyle name="Normal 5 3 2 2 2 5" xfId="30927" xr:uid="{00000000-0005-0000-0000-00008F890000}"/>
    <cellStyle name="Normal 5 3 2 2 3" xfId="30928" xr:uid="{00000000-0005-0000-0000-000090890000}"/>
    <cellStyle name="Normal 5 3 2 2 3 2" xfId="30929" xr:uid="{00000000-0005-0000-0000-000091890000}"/>
    <cellStyle name="Normal 5 3 2 2 3 2 2" xfId="40759" xr:uid="{00000000-0005-0000-0000-000092890000}"/>
    <cellStyle name="Normal 5 3 2 2 3 3" xfId="30930" xr:uid="{00000000-0005-0000-0000-000093890000}"/>
    <cellStyle name="Normal 5 3 2 2 4" xfId="30931" xr:uid="{00000000-0005-0000-0000-000094890000}"/>
    <cellStyle name="Normal 5 3 2 2 4 2" xfId="30932" xr:uid="{00000000-0005-0000-0000-000095890000}"/>
    <cellStyle name="Normal 5 3 2 2 4 2 2" xfId="40760" xr:uid="{00000000-0005-0000-0000-000096890000}"/>
    <cellStyle name="Normal 5 3 2 2 4 3" xfId="30933" xr:uid="{00000000-0005-0000-0000-000097890000}"/>
    <cellStyle name="Normal 5 3 2 2 5" xfId="30934" xr:uid="{00000000-0005-0000-0000-000098890000}"/>
    <cellStyle name="Normal 5 3 2 2 5 2" xfId="40761" xr:uid="{00000000-0005-0000-0000-000099890000}"/>
    <cellStyle name="Normal 5 3 2 2 6" xfId="30935" xr:uid="{00000000-0005-0000-0000-00009A890000}"/>
    <cellStyle name="Normal 5 3 2 2 7" xfId="45726" xr:uid="{00000000-0005-0000-0000-00009B890000}"/>
    <cellStyle name="Normal 5 3 2 3" xfId="1877" xr:uid="{00000000-0005-0000-0000-00009C890000}"/>
    <cellStyle name="Normal 5 3 2 3 2" xfId="30936" xr:uid="{00000000-0005-0000-0000-00009D890000}"/>
    <cellStyle name="Normal 5 3 2 3 2 2" xfId="30937" xr:uid="{00000000-0005-0000-0000-00009E890000}"/>
    <cellStyle name="Normal 5 3 2 3 2 2 2" xfId="40762" xr:uid="{00000000-0005-0000-0000-00009F890000}"/>
    <cellStyle name="Normal 5 3 2 3 2 3" xfId="30938" xr:uid="{00000000-0005-0000-0000-0000A0890000}"/>
    <cellStyle name="Normal 5 3 2 3 3" xfId="30939" xr:uid="{00000000-0005-0000-0000-0000A1890000}"/>
    <cellStyle name="Normal 5 3 2 3 3 2" xfId="30940" xr:uid="{00000000-0005-0000-0000-0000A2890000}"/>
    <cellStyle name="Normal 5 3 2 3 3 2 2" xfId="40763" xr:uid="{00000000-0005-0000-0000-0000A3890000}"/>
    <cellStyle name="Normal 5 3 2 3 3 3" xfId="30941" xr:uid="{00000000-0005-0000-0000-0000A4890000}"/>
    <cellStyle name="Normal 5 3 2 3 4" xfId="30942" xr:uid="{00000000-0005-0000-0000-0000A5890000}"/>
    <cellStyle name="Normal 5 3 2 3 4 2" xfId="40764" xr:uid="{00000000-0005-0000-0000-0000A6890000}"/>
    <cellStyle name="Normal 5 3 2 3 5" xfId="30943" xr:uid="{00000000-0005-0000-0000-0000A7890000}"/>
    <cellStyle name="Normal 5 3 2 3 6" xfId="45727" xr:uid="{00000000-0005-0000-0000-0000A8890000}"/>
    <cellStyle name="Normal 5 3 2 4" xfId="30944" xr:uid="{00000000-0005-0000-0000-0000A9890000}"/>
    <cellStyle name="Normal 5 3 2 4 2" xfId="30945" xr:uid="{00000000-0005-0000-0000-0000AA890000}"/>
    <cellStyle name="Normal 5 3 2 4 2 2" xfId="40765" xr:uid="{00000000-0005-0000-0000-0000AB890000}"/>
    <cellStyle name="Normal 5 3 2 4 3" xfId="30946" xr:uid="{00000000-0005-0000-0000-0000AC890000}"/>
    <cellStyle name="Normal 5 3 2 5" xfId="30947" xr:uid="{00000000-0005-0000-0000-0000AD890000}"/>
    <cellStyle name="Normal 5 3 2 5 2" xfId="30948" xr:uid="{00000000-0005-0000-0000-0000AE890000}"/>
    <cellStyle name="Normal 5 3 2 5 2 2" xfId="40766" xr:uid="{00000000-0005-0000-0000-0000AF890000}"/>
    <cellStyle name="Normal 5 3 2 5 3" xfId="30949" xr:uid="{00000000-0005-0000-0000-0000B0890000}"/>
    <cellStyle name="Normal 5 3 2 6" xfId="30950" xr:uid="{00000000-0005-0000-0000-0000B1890000}"/>
    <cellStyle name="Normal 5 3 2 6 2" xfId="40767" xr:uid="{00000000-0005-0000-0000-0000B2890000}"/>
    <cellStyle name="Normal 5 3 2 7" xfId="30951" xr:uid="{00000000-0005-0000-0000-0000B3890000}"/>
    <cellStyle name="Normal 5 3 2 8" xfId="45728" xr:uid="{00000000-0005-0000-0000-0000B4890000}"/>
    <cellStyle name="Normal 5 3 3" xfId="1878" xr:uid="{00000000-0005-0000-0000-0000B5890000}"/>
    <cellStyle name="Normal 5 3 3 2" xfId="1879" xr:uid="{00000000-0005-0000-0000-0000B6890000}"/>
    <cellStyle name="Normal 5 3 3 2 2" xfId="30952" xr:uid="{00000000-0005-0000-0000-0000B7890000}"/>
    <cellStyle name="Normal 5 3 3 2 2 2" xfId="30953" xr:uid="{00000000-0005-0000-0000-0000B8890000}"/>
    <cellStyle name="Normal 5 3 3 2 2 2 2" xfId="40768" xr:uid="{00000000-0005-0000-0000-0000B9890000}"/>
    <cellStyle name="Normal 5 3 3 2 2 3" xfId="30954" xr:uid="{00000000-0005-0000-0000-0000BA890000}"/>
    <cellStyle name="Normal 5 3 3 2 3" xfId="30955" xr:uid="{00000000-0005-0000-0000-0000BB890000}"/>
    <cellStyle name="Normal 5 3 3 2 3 2" xfId="30956" xr:uid="{00000000-0005-0000-0000-0000BC890000}"/>
    <cellStyle name="Normal 5 3 3 2 3 2 2" xfId="40769" xr:uid="{00000000-0005-0000-0000-0000BD890000}"/>
    <cellStyle name="Normal 5 3 3 2 3 3" xfId="30957" xr:uid="{00000000-0005-0000-0000-0000BE890000}"/>
    <cellStyle name="Normal 5 3 3 2 4" xfId="30958" xr:uid="{00000000-0005-0000-0000-0000BF890000}"/>
    <cellStyle name="Normal 5 3 3 2 4 2" xfId="40770" xr:uid="{00000000-0005-0000-0000-0000C0890000}"/>
    <cellStyle name="Normal 5 3 3 2 5" xfId="30959" xr:uid="{00000000-0005-0000-0000-0000C1890000}"/>
    <cellStyle name="Normal 5 3 3 2 6" xfId="45729" xr:uid="{00000000-0005-0000-0000-0000C2890000}"/>
    <cellStyle name="Normal 5 3 3 3" xfId="1880" xr:uid="{00000000-0005-0000-0000-0000C3890000}"/>
    <cellStyle name="Normal 5 3 3 3 2" xfId="30960" xr:uid="{00000000-0005-0000-0000-0000C4890000}"/>
    <cellStyle name="Normal 5 3 3 3 2 2" xfId="40771" xr:uid="{00000000-0005-0000-0000-0000C5890000}"/>
    <cellStyle name="Normal 5 3 3 3 3" xfId="30961" xr:uid="{00000000-0005-0000-0000-0000C6890000}"/>
    <cellStyle name="Normal 5 3 3 3 4" xfId="45730" xr:uid="{00000000-0005-0000-0000-0000C7890000}"/>
    <cellStyle name="Normal 5 3 3 4" xfId="30962" xr:uid="{00000000-0005-0000-0000-0000C8890000}"/>
    <cellStyle name="Normal 5 3 3 4 2" xfId="30963" xr:uid="{00000000-0005-0000-0000-0000C9890000}"/>
    <cellStyle name="Normal 5 3 3 4 2 2" xfId="40772" xr:uid="{00000000-0005-0000-0000-0000CA890000}"/>
    <cellStyle name="Normal 5 3 3 4 3" xfId="30964" xr:uid="{00000000-0005-0000-0000-0000CB890000}"/>
    <cellStyle name="Normal 5 3 3 5" xfId="30965" xr:uid="{00000000-0005-0000-0000-0000CC890000}"/>
    <cellStyle name="Normal 5 3 3 5 2" xfId="40773" xr:uid="{00000000-0005-0000-0000-0000CD890000}"/>
    <cellStyle name="Normal 5 3 3 6" xfId="30966" xr:uid="{00000000-0005-0000-0000-0000CE890000}"/>
    <cellStyle name="Normal 5 3 3 7" xfId="45731" xr:uid="{00000000-0005-0000-0000-0000CF890000}"/>
    <cellStyle name="Normal 5 3 4" xfId="1881" xr:uid="{00000000-0005-0000-0000-0000D0890000}"/>
    <cellStyle name="Normal 5 3 4 2" xfId="30967" xr:uid="{00000000-0005-0000-0000-0000D1890000}"/>
    <cellStyle name="Normal 5 3 4 2 2" xfId="30968" xr:uid="{00000000-0005-0000-0000-0000D2890000}"/>
    <cellStyle name="Normal 5 3 4 2 2 2" xfId="40774" xr:uid="{00000000-0005-0000-0000-0000D3890000}"/>
    <cellStyle name="Normal 5 3 4 2 3" xfId="30969" xr:uid="{00000000-0005-0000-0000-0000D4890000}"/>
    <cellStyle name="Normal 5 3 4 3" xfId="30970" xr:uid="{00000000-0005-0000-0000-0000D5890000}"/>
    <cellStyle name="Normal 5 3 4 3 2" xfId="30971" xr:uid="{00000000-0005-0000-0000-0000D6890000}"/>
    <cellStyle name="Normal 5 3 4 3 2 2" xfId="40775" xr:uid="{00000000-0005-0000-0000-0000D7890000}"/>
    <cellStyle name="Normal 5 3 4 3 3" xfId="30972" xr:uid="{00000000-0005-0000-0000-0000D8890000}"/>
    <cellStyle name="Normal 5 3 4 4" xfId="30973" xr:uid="{00000000-0005-0000-0000-0000D9890000}"/>
    <cellStyle name="Normal 5 3 4 4 2" xfId="40776" xr:uid="{00000000-0005-0000-0000-0000DA890000}"/>
    <cellStyle name="Normal 5 3 4 5" xfId="30974" xr:uid="{00000000-0005-0000-0000-0000DB890000}"/>
    <cellStyle name="Normal 5 3 4 6" xfId="45732" xr:uid="{00000000-0005-0000-0000-0000DC890000}"/>
    <cellStyle name="Normal 5 3 5" xfId="1882" xr:uid="{00000000-0005-0000-0000-0000DD890000}"/>
    <cellStyle name="Normal 5 3 5 2" xfId="30975" xr:uid="{00000000-0005-0000-0000-0000DE890000}"/>
    <cellStyle name="Normal 5 3 5 2 2" xfId="40777" xr:uid="{00000000-0005-0000-0000-0000DF890000}"/>
    <cellStyle name="Normal 5 3 5 3" xfId="30976" xr:uid="{00000000-0005-0000-0000-0000E0890000}"/>
    <cellStyle name="Normal 5 3 5 4" xfId="45733" xr:uid="{00000000-0005-0000-0000-0000E1890000}"/>
    <cellStyle name="Normal 5 3 6" xfId="30977" xr:uid="{00000000-0005-0000-0000-0000E2890000}"/>
    <cellStyle name="Normal 5 3 6 2" xfId="30978" xr:uid="{00000000-0005-0000-0000-0000E3890000}"/>
    <cellStyle name="Normal 5 3 6 2 2" xfId="40778" xr:uid="{00000000-0005-0000-0000-0000E4890000}"/>
    <cellStyle name="Normal 5 3 6 3" xfId="30979" xr:uid="{00000000-0005-0000-0000-0000E5890000}"/>
    <cellStyle name="Normal 5 3 7" xfId="30980" xr:uid="{00000000-0005-0000-0000-0000E6890000}"/>
    <cellStyle name="Normal 5 3 7 2" xfId="40779" xr:uid="{00000000-0005-0000-0000-0000E7890000}"/>
    <cellStyle name="Normal 5 3 8" xfId="30981" xr:uid="{00000000-0005-0000-0000-0000E8890000}"/>
    <cellStyle name="Normal 5 3 8 2" xfId="42523" xr:uid="{00000000-0005-0000-0000-0000E9890000}"/>
    <cellStyle name="Normal 5 3 8 3" xfId="45734" xr:uid="{00000000-0005-0000-0000-0000EA890000}"/>
    <cellStyle name="Normal 5 3 9" xfId="40780" xr:uid="{00000000-0005-0000-0000-0000EB890000}"/>
    <cellStyle name="Normal 5 4" xfId="476" xr:uid="{00000000-0005-0000-0000-0000EC890000}"/>
    <cellStyle name="Normal 5 4 10" xfId="45735" xr:uid="{00000000-0005-0000-0000-0000ED890000}"/>
    <cellStyle name="Normal 5 4 2" xfId="1883" xr:uid="{00000000-0005-0000-0000-0000EE890000}"/>
    <cellStyle name="Normal 5 4 2 2" xfId="30982" xr:uid="{00000000-0005-0000-0000-0000EF890000}"/>
    <cellStyle name="Normal 5 4 2 2 2" xfId="30983" xr:uid="{00000000-0005-0000-0000-0000F0890000}"/>
    <cellStyle name="Normal 5 4 2 2 2 2" xfId="30984" xr:uid="{00000000-0005-0000-0000-0000F1890000}"/>
    <cellStyle name="Normal 5 4 2 2 2 2 2" xfId="30985" xr:uid="{00000000-0005-0000-0000-0000F2890000}"/>
    <cellStyle name="Normal 5 4 2 2 2 2 2 2" xfId="40781" xr:uid="{00000000-0005-0000-0000-0000F3890000}"/>
    <cellStyle name="Normal 5 4 2 2 2 2 3" xfId="30986" xr:uid="{00000000-0005-0000-0000-0000F4890000}"/>
    <cellStyle name="Normal 5 4 2 2 2 3" xfId="30987" xr:uid="{00000000-0005-0000-0000-0000F5890000}"/>
    <cellStyle name="Normal 5 4 2 2 2 3 2" xfId="30988" xr:uid="{00000000-0005-0000-0000-0000F6890000}"/>
    <cellStyle name="Normal 5 4 2 2 2 3 2 2" xfId="40782" xr:uid="{00000000-0005-0000-0000-0000F7890000}"/>
    <cellStyle name="Normal 5 4 2 2 2 3 3" xfId="30989" xr:uid="{00000000-0005-0000-0000-0000F8890000}"/>
    <cellStyle name="Normal 5 4 2 2 2 4" xfId="30990" xr:uid="{00000000-0005-0000-0000-0000F9890000}"/>
    <cellStyle name="Normal 5 4 2 2 2 4 2" xfId="40783" xr:uid="{00000000-0005-0000-0000-0000FA890000}"/>
    <cellStyle name="Normal 5 4 2 2 2 5" xfId="30991" xr:uid="{00000000-0005-0000-0000-0000FB890000}"/>
    <cellStyle name="Normal 5 4 2 2 3" xfId="30992" xr:uid="{00000000-0005-0000-0000-0000FC890000}"/>
    <cellStyle name="Normal 5 4 2 2 3 2" xfId="30993" xr:uid="{00000000-0005-0000-0000-0000FD890000}"/>
    <cellStyle name="Normal 5 4 2 2 3 2 2" xfId="40784" xr:uid="{00000000-0005-0000-0000-0000FE890000}"/>
    <cellStyle name="Normal 5 4 2 2 3 3" xfId="30994" xr:uid="{00000000-0005-0000-0000-0000FF890000}"/>
    <cellStyle name="Normal 5 4 2 2 4" xfId="30995" xr:uid="{00000000-0005-0000-0000-0000008A0000}"/>
    <cellStyle name="Normal 5 4 2 2 4 2" xfId="30996" xr:uid="{00000000-0005-0000-0000-0000018A0000}"/>
    <cellStyle name="Normal 5 4 2 2 4 2 2" xfId="40785" xr:uid="{00000000-0005-0000-0000-0000028A0000}"/>
    <cellStyle name="Normal 5 4 2 2 4 3" xfId="30997" xr:uid="{00000000-0005-0000-0000-0000038A0000}"/>
    <cellStyle name="Normal 5 4 2 2 5" xfId="30998" xr:uid="{00000000-0005-0000-0000-0000048A0000}"/>
    <cellStyle name="Normal 5 4 2 2 5 2" xfId="40786" xr:uid="{00000000-0005-0000-0000-0000058A0000}"/>
    <cellStyle name="Normal 5 4 2 2 6" xfId="30999" xr:uid="{00000000-0005-0000-0000-0000068A0000}"/>
    <cellStyle name="Normal 5 4 2 3" xfId="31000" xr:uid="{00000000-0005-0000-0000-0000078A0000}"/>
    <cellStyle name="Normal 5 4 2 3 2" xfId="31001" xr:uid="{00000000-0005-0000-0000-0000088A0000}"/>
    <cellStyle name="Normal 5 4 2 3 2 2" xfId="31002" xr:uid="{00000000-0005-0000-0000-0000098A0000}"/>
    <cellStyle name="Normal 5 4 2 3 2 2 2" xfId="40787" xr:uid="{00000000-0005-0000-0000-00000A8A0000}"/>
    <cellStyle name="Normal 5 4 2 3 2 3" xfId="31003" xr:uid="{00000000-0005-0000-0000-00000B8A0000}"/>
    <cellStyle name="Normal 5 4 2 3 3" xfId="31004" xr:uid="{00000000-0005-0000-0000-00000C8A0000}"/>
    <cellStyle name="Normal 5 4 2 3 3 2" xfId="31005" xr:uid="{00000000-0005-0000-0000-00000D8A0000}"/>
    <cellStyle name="Normal 5 4 2 3 3 2 2" xfId="40788" xr:uid="{00000000-0005-0000-0000-00000E8A0000}"/>
    <cellStyle name="Normal 5 4 2 3 3 3" xfId="31006" xr:uid="{00000000-0005-0000-0000-00000F8A0000}"/>
    <cellStyle name="Normal 5 4 2 3 4" xfId="31007" xr:uid="{00000000-0005-0000-0000-0000108A0000}"/>
    <cellStyle name="Normal 5 4 2 3 4 2" xfId="40789" xr:uid="{00000000-0005-0000-0000-0000118A0000}"/>
    <cellStyle name="Normal 5 4 2 3 5" xfId="31008" xr:uid="{00000000-0005-0000-0000-0000128A0000}"/>
    <cellStyle name="Normal 5 4 2 4" xfId="31009" xr:uid="{00000000-0005-0000-0000-0000138A0000}"/>
    <cellStyle name="Normal 5 4 2 4 2" xfId="31010" xr:uid="{00000000-0005-0000-0000-0000148A0000}"/>
    <cellStyle name="Normal 5 4 2 4 2 2" xfId="40790" xr:uid="{00000000-0005-0000-0000-0000158A0000}"/>
    <cellStyle name="Normal 5 4 2 4 3" xfId="31011" xr:uid="{00000000-0005-0000-0000-0000168A0000}"/>
    <cellStyle name="Normal 5 4 2 5" xfId="31012" xr:uid="{00000000-0005-0000-0000-0000178A0000}"/>
    <cellStyle name="Normal 5 4 2 5 2" xfId="31013" xr:uid="{00000000-0005-0000-0000-0000188A0000}"/>
    <cellStyle name="Normal 5 4 2 5 2 2" xfId="40791" xr:uid="{00000000-0005-0000-0000-0000198A0000}"/>
    <cellStyle name="Normal 5 4 2 5 3" xfId="31014" xr:uid="{00000000-0005-0000-0000-00001A8A0000}"/>
    <cellStyle name="Normal 5 4 2 6" xfId="31015" xr:uid="{00000000-0005-0000-0000-00001B8A0000}"/>
    <cellStyle name="Normal 5 4 2 6 2" xfId="40792" xr:uid="{00000000-0005-0000-0000-00001C8A0000}"/>
    <cellStyle name="Normal 5 4 2 7" xfId="31016" xr:uid="{00000000-0005-0000-0000-00001D8A0000}"/>
    <cellStyle name="Normal 5 4 2 8" xfId="45736" xr:uid="{00000000-0005-0000-0000-00001E8A0000}"/>
    <cellStyle name="Normal 5 4 3" xfId="1884" xr:uid="{00000000-0005-0000-0000-00001F8A0000}"/>
    <cellStyle name="Normal 5 4 3 2" xfId="31017" xr:uid="{00000000-0005-0000-0000-0000208A0000}"/>
    <cellStyle name="Normal 5 4 3 2 2" xfId="31018" xr:uid="{00000000-0005-0000-0000-0000218A0000}"/>
    <cellStyle name="Normal 5 4 3 2 2 2" xfId="31019" xr:uid="{00000000-0005-0000-0000-0000228A0000}"/>
    <cellStyle name="Normal 5 4 3 2 2 2 2" xfId="40793" xr:uid="{00000000-0005-0000-0000-0000238A0000}"/>
    <cellStyle name="Normal 5 4 3 2 2 3" xfId="31020" xr:uid="{00000000-0005-0000-0000-0000248A0000}"/>
    <cellStyle name="Normal 5 4 3 2 3" xfId="31021" xr:uid="{00000000-0005-0000-0000-0000258A0000}"/>
    <cellStyle name="Normal 5 4 3 2 3 2" xfId="31022" xr:uid="{00000000-0005-0000-0000-0000268A0000}"/>
    <cellStyle name="Normal 5 4 3 2 3 2 2" xfId="40794" xr:uid="{00000000-0005-0000-0000-0000278A0000}"/>
    <cellStyle name="Normal 5 4 3 2 3 3" xfId="31023" xr:uid="{00000000-0005-0000-0000-0000288A0000}"/>
    <cellStyle name="Normal 5 4 3 2 4" xfId="31024" xr:uid="{00000000-0005-0000-0000-0000298A0000}"/>
    <cellStyle name="Normal 5 4 3 2 4 2" xfId="40795" xr:uid="{00000000-0005-0000-0000-00002A8A0000}"/>
    <cellStyle name="Normal 5 4 3 2 5" xfId="31025" xr:uid="{00000000-0005-0000-0000-00002B8A0000}"/>
    <cellStyle name="Normal 5 4 3 3" xfId="31026" xr:uid="{00000000-0005-0000-0000-00002C8A0000}"/>
    <cellStyle name="Normal 5 4 3 3 2" xfId="31027" xr:uid="{00000000-0005-0000-0000-00002D8A0000}"/>
    <cellStyle name="Normal 5 4 3 3 2 2" xfId="40796" xr:uid="{00000000-0005-0000-0000-00002E8A0000}"/>
    <cellStyle name="Normal 5 4 3 3 3" xfId="31028" xr:uid="{00000000-0005-0000-0000-00002F8A0000}"/>
    <cellStyle name="Normal 5 4 3 4" xfId="31029" xr:uid="{00000000-0005-0000-0000-0000308A0000}"/>
    <cellStyle name="Normal 5 4 3 4 2" xfId="31030" xr:uid="{00000000-0005-0000-0000-0000318A0000}"/>
    <cellStyle name="Normal 5 4 3 4 2 2" xfId="40797" xr:uid="{00000000-0005-0000-0000-0000328A0000}"/>
    <cellStyle name="Normal 5 4 3 4 3" xfId="31031" xr:uid="{00000000-0005-0000-0000-0000338A0000}"/>
    <cellStyle name="Normal 5 4 3 5" xfId="31032" xr:uid="{00000000-0005-0000-0000-0000348A0000}"/>
    <cellStyle name="Normal 5 4 3 5 2" xfId="40798" xr:uid="{00000000-0005-0000-0000-0000358A0000}"/>
    <cellStyle name="Normal 5 4 3 6" xfId="31033" xr:uid="{00000000-0005-0000-0000-0000368A0000}"/>
    <cellStyle name="Normal 5 4 3 7" xfId="45737" xr:uid="{00000000-0005-0000-0000-0000378A0000}"/>
    <cellStyle name="Normal 5 4 4" xfId="1885" xr:uid="{00000000-0005-0000-0000-0000388A0000}"/>
    <cellStyle name="Normal 5 4 4 2" xfId="31034" xr:uid="{00000000-0005-0000-0000-0000398A0000}"/>
    <cellStyle name="Normal 5 4 4 2 2" xfId="31035" xr:uid="{00000000-0005-0000-0000-00003A8A0000}"/>
    <cellStyle name="Normal 5 4 4 2 2 2" xfId="40799" xr:uid="{00000000-0005-0000-0000-00003B8A0000}"/>
    <cellStyle name="Normal 5 4 4 2 3" xfId="31036" xr:uid="{00000000-0005-0000-0000-00003C8A0000}"/>
    <cellStyle name="Normal 5 4 4 3" xfId="31037" xr:uid="{00000000-0005-0000-0000-00003D8A0000}"/>
    <cellStyle name="Normal 5 4 4 3 2" xfId="31038" xr:uid="{00000000-0005-0000-0000-00003E8A0000}"/>
    <cellStyle name="Normal 5 4 4 3 2 2" xfId="40800" xr:uid="{00000000-0005-0000-0000-00003F8A0000}"/>
    <cellStyle name="Normal 5 4 4 3 3" xfId="31039" xr:uid="{00000000-0005-0000-0000-0000408A0000}"/>
    <cellStyle name="Normal 5 4 4 4" xfId="31040" xr:uid="{00000000-0005-0000-0000-0000418A0000}"/>
    <cellStyle name="Normal 5 4 4 4 2" xfId="40801" xr:uid="{00000000-0005-0000-0000-0000428A0000}"/>
    <cellStyle name="Normal 5 4 4 5" xfId="31041" xr:uid="{00000000-0005-0000-0000-0000438A0000}"/>
    <cellStyle name="Normal 5 4 5" xfId="1886" xr:uid="{00000000-0005-0000-0000-0000448A0000}"/>
    <cellStyle name="Normal 5 4 5 2" xfId="31042" xr:uid="{00000000-0005-0000-0000-0000458A0000}"/>
    <cellStyle name="Normal 5 4 5 2 2" xfId="40802" xr:uid="{00000000-0005-0000-0000-0000468A0000}"/>
    <cellStyle name="Normal 5 4 5 3" xfId="31043" xr:uid="{00000000-0005-0000-0000-0000478A0000}"/>
    <cellStyle name="Normal 5 4 5 4" xfId="45738" xr:uid="{00000000-0005-0000-0000-0000488A0000}"/>
    <cellStyle name="Normal 5 4 6" xfId="1887" xr:uid="{00000000-0005-0000-0000-0000498A0000}"/>
    <cellStyle name="Normal 5 4 6 2" xfId="31044" xr:uid="{00000000-0005-0000-0000-00004A8A0000}"/>
    <cellStyle name="Normal 5 4 6 2 2" xfId="40803" xr:uid="{00000000-0005-0000-0000-00004B8A0000}"/>
    <cellStyle name="Normal 5 4 6 3" xfId="31045" xr:uid="{00000000-0005-0000-0000-00004C8A0000}"/>
    <cellStyle name="Normal 5 4 6 4" xfId="45739" xr:uid="{00000000-0005-0000-0000-00004D8A0000}"/>
    <cellStyle name="Normal 5 4 7" xfId="31046" xr:uid="{00000000-0005-0000-0000-00004E8A0000}"/>
    <cellStyle name="Normal 5 4 7 2" xfId="40804" xr:uid="{00000000-0005-0000-0000-00004F8A0000}"/>
    <cellStyle name="Normal 5 4 8" xfId="31047" xr:uid="{00000000-0005-0000-0000-0000508A0000}"/>
    <cellStyle name="Normal 5 4 9" xfId="40805" xr:uid="{00000000-0005-0000-0000-0000518A0000}"/>
    <cellStyle name="Normal 5 5" xfId="477" xr:uid="{00000000-0005-0000-0000-0000528A0000}"/>
    <cellStyle name="Normal 5 5 2" xfId="1888" xr:uid="{00000000-0005-0000-0000-0000538A0000}"/>
    <cellStyle name="Normal 5 5 2 2" xfId="31048" xr:uid="{00000000-0005-0000-0000-0000548A0000}"/>
    <cellStyle name="Normal 5 5 2 2 2" xfId="31049" xr:uid="{00000000-0005-0000-0000-0000558A0000}"/>
    <cellStyle name="Normal 5 5 2 2 2 2" xfId="31050" xr:uid="{00000000-0005-0000-0000-0000568A0000}"/>
    <cellStyle name="Normal 5 5 2 2 2 2 2" xfId="40806" xr:uid="{00000000-0005-0000-0000-0000578A0000}"/>
    <cellStyle name="Normal 5 5 2 2 2 3" xfId="31051" xr:uid="{00000000-0005-0000-0000-0000588A0000}"/>
    <cellStyle name="Normal 5 5 2 2 3" xfId="31052" xr:uid="{00000000-0005-0000-0000-0000598A0000}"/>
    <cellStyle name="Normal 5 5 2 2 3 2" xfId="31053" xr:uid="{00000000-0005-0000-0000-00005A8A0000}"/>
    <cellStyle name="Normal 5 5 2 2 3 2 2" xfId="40807" xr:uid="{00000000-0005-0000-0000-00005B8A0000}"/>
    <cellStyle name="Normal 5 5 2 2 3 3" xfId="31054" xr:uid="{00000000-0005-0000-0000-00005C8A0000}"/>
    <cellStyle name="Normal 5 5 2 2 4" xfId="31055" xr:uid="{00000000-0005-0000-0000-00005D8A0000}"/>
    <cellStyle name="Normal 5 5 2 2 4 2" xfId="40808" xr:uid="{00000000-0005-0000-0000-00005E8A0000}"/>
    <cellStyle name="Normal 5 5 2 2 5" xfId="31056" xr:uid="{00000000-0005-0000-0000-00005F8A0000}"/>
    <cellStyle name="Normal 5 5 2 3" xfId="31057" xr:uid="{00000000-0005-0000-0000-0000608A0000}"/>
    <cellStyle name="Normal 5 5 2 3 2" xfId="31058" xr:uid="{00000000-0005-0000-0000-0000618A0000}"/>
    <cellStyle name="Normal 5 5 2 3 2 2" xfId="40809" xr:uid="{00000000-0005-0000-0000-0000628A0000}"/>
    <cellStyle name="Normal 5 5 2 3 3" xfId="31059" xr:uid="{00000000-0005-0000-0000-0000638A0000}"/>
    <cellStyle name="Normal 5 5 2 4" xfId="31060" xr:uid="{00000000-0005-0000-0000-0000648A0000}"/>
    <cellStyle name="Normal 5 5 2 4 2" xfId="31061" xr:uid="{00000000-0005-0000-0000-0000658A0000}"/>
    <cellStyle name="Normal 5 5 2 4 2 2" xfId="40810" xr:uid="{00000000-0005-0000-0000-0000668A0000}"/>
    <cellStyle name="Normal 5 5 2 4 3" xfId="31062" xr:uid="{00000000-0005-0000-0000-0000678A0000}"/>
    <cellStyle name="Normal 5 5 2 5" xfId="31063" xr:uid="{00000000-0005-0000-0000-0000688A0000}"/>
    <cellStyle name="Normal 5 5 2 5 2" xfId="40811" xr:uid="{00000000-0005-0000-0000-0000698A0000}"/>
    <cellStyle name="Normal 5 5 2 6" xfId="31064" xr:uid="{00000000-0005-0000-0000-00006A8A0000}"/>
    <cellStyle name="Normal 5 5 2 7" xfId="45740" xr:uid="{00000000-0005-0000-0000-00006B8A0000}"/>
    <cellStyle name="Normal 5 5 3" xfId="1889" xr:uid="{00000000-0005-0000-0000-00006C8A0000}"/>
    <cellStyle name="Normal 5 5 3 2" xfId="31065" xr:uid="{00000000-0005-0000-0000-00006D8A0000}"/>
    <cellStyle name="Normal 5 5 3 2 2" xfId="31066" xr:uid="{00000000-0005-0000-0000-00006E8A0000}"/>
    <cellStyle name="Normal 5 5 3 2 2 2" xfId="40812" xr:uid="{00000000-0005-0000-0000-00006F8A0000}"/>
    <cellStyle name="Normal 5 5 3 2 3" xfId="31067" xr:uid="{00000000-0005-0000-0000-0000708A0000}"/>
    <cellStyle name="Normal 5 5 3 3" xfId="31068" xr:uid="{00000000-0005-0000-0000-0000718A0000}"/>
    <cellStyle name="Normal 5 5 3 3 2" xfId="31069" xr:uid="{00000000-0005-0000-0000-0000728A0000}"/>
    <cellStyle name="Normal 5 5 3 3 2 2" xfId="40813" xr:uid="{00000000-0005-0000-0000-0000738A0000}"/>
    <cellStyle name="Normal 5 5 3 3 3" xfId="31070" xr:uid="{00000000-0005-0000-0000-0000748A0000}"/>
    <cellStyle name="Normal 5 5 3 4" xfId="31071" xr:uid="{00000000-0005-0000-0000-0000758A0000}"/>
    <cellStyle name="Normal 5 5 3 4 2" xfId="40814" xr:uid="{00000000-0005-0000-0000-0000768A0000}"/>
    <cellStyle name="Normal 5 5 3 5" xfId="31072" xr:uid="{00000000-0005-0000-0000-0000778A0000}"/>
    <cellStyle name="Normal 5 5 3 6" xfId="45741" xr:uid="{00000000-0005-0000-0000-0000788A0000}"/>
    <cellStyle name="Normal 5 5 4" xfId="31073" xr:uid="{00000000-0005-0000-0000-0000798A0000}"/>
    <cellStyle name="Normal 5 5 4 2" xfId="31074" xr:uid="{00000000-0005-0000-0000-00007A8A0000}"/>
    <cellStyle name="Normal 5 5 4 2 2" xfId="40815" xr:uid="{00000000-0005-0000-0000-00007B8A0000}"/>
    <cellStyle name="Normal 5 5 4 3" xfId="31075" xr:uid="{00000000-0005-0000-0000-00007C8A0000}"/>
    <cellStyle name="Normal 5 5 4 4" xfId="31076" xr:uid="{00000000-0005-0000-0000-00007D8A0000}"/>
    <cellStyle name="Normal 5 5 4 5" xfId="44598" xr:uid="{00000000-0005-0000-0000-00007E8A0000}"/>
    <cellStyle name="Normal 5 5 4 6" xfId="45742" xr:uid="{00000000-0005-0000-0000-00007F8A0000}"/>
    <cellStyle name="Normal 5 5 5" xfId="31077" xr:uid="{00000000-0005-0000-0000-0000808A0000}"/>
    <cellStyle name="Normal 5 5 5 2" xfId="31078" xr:uid="{00000000-0005-0000-0000-0000818A0000}"/>
    <cellStyle name="Normal 5 5 5 2 2" xfId="40816" xr:uid="{00000000-0005-0000-0000-0000828A0000}"/>
    <cellStyle name="Normal 5 5 5 3" xfId="31079" xr:uid="{00000000-0005-0000-0000-0000838A0000}"/>
    <cellStyle name="Normal 5 5 6" xfId="31080" xr:uid="{00000000-0005-0000-0000-0000848A0000}"/>
    <cellStyle name="Normal 5 5 6 2" xfId="40817" xr:uid="{00000000-0005-0000-0000-0000858A0000}"/>
    <cellStyle name="Normal 5 5 7" xfId="31081" xr:uid="{00000000-0005-0000-0000-0000868A0000}"/>
    <cellStyle name="Normal 5 6" xfId="1890" xr:uid="{00000000-0005-0000-0000-0000878A0000}"/>
    <cellStyle name="Normal 5 6 2" xfId="31082" xr:uid="{00000000-0005-0000-0000-0000888A0000}"/>
    <cellStyle name="Normal 5 6 2 2" xfId="31083" xr:uid="{00000000-0005-0000-0000-0000898A0000}"/>
    <cellStyle name="Normal 5 6 2 2 2" xfId="31084" xr:uid="{00000000-0005-0000-0000-00008A8A0000}"/>
    <cellStyle name="Normal 5 6 2 2 2 2" xfId="40818" xr:uid="{00000000-0005-0000-0000-00008B8A0000}"/>
    <cellStyle name="Normal 5 6 2 2 3" xfId="31085" xr:uid="{00000000-0005-0000-0000-00008C8A0000}"/>
    <cellStyle name="Normal 5 6 2 3" xfId="31086" xr:uid="{00000000-0005-0000-0000-00008D8A0000}"/>
    <cellStyle name="Normal 5 6 2 3 2" xfId="31087" xr:uid="{00000000-0005-0000-0000-00008E8A0000}"/>
    <cellStyle name="Normal 5 6 2 3 2 2" xfId="40819" xr:uid="{00000000-0005-0000-0000-00008F8A0000}"/>
    <cellStyle name="Normal 5 6 2 3 3" xfId="31088" xr:uid="{00000000-0005-0000-0000-0000908A0000}"/>
    <cellStyle name="Normal 5 6 2 4" xfId="31089" xr:uid="{00000000-0005-0000-0000-0000918A0000}"/>
    <cellStyle name="Normal 5 6 2 4 2" xfId="40820" xr:uid="{00000000-0005-0000-0000-0000928A0000}"/>
    <cellStyle name="Normal 5 6 2 5" xfId="31090" xr:uid="{00000000-0005-0000-0000-0000938A0000}"/>
    <cellStyle name="Normal 5 6 3" xfId="31091" xr:uid="{00000000-0005-0000-0000-0000948A0000}"/>
    <cellStyle name="Normal 5 6 3 2" xfId="31092" xr:uid="{00000000-0005-0000-0000-0000958A0000}"/>
    <cellStyle name="Normal 5 6 3 2 2" xfId="40821" xr:uid="{00000000-0005-0000-0000-0000968A0000}"/>
    <cellStyle name="Normal 5 6 3 3" xfId="31093" xr:uid="{00000000-0005-0000-0000-0000978A0000}"/>
    <cellStyle name="Normal 5 6 4" xfId="31094" xr:uid="{00000000-0005-0000-0000-0000988A0000}"/>
    <cellStyle name="Normal 5 6 4 2" xfId="31095" xr:uid="{00000000-0005-0000-0000-0000998A0000}"/>
    <cellStyle name="Normal 5 6 4 2 2" xfId="40822" xr:uid="{00000000-0005-0000-0000-00009A8A0000}"/>
    <cellStyle name="Normal 5 6 4 3" xfId="31096" xr:uid="{00000000-0005-0000-0000-00009B8A0000}"/>
    <cellStyle name="Normal 5 6 5" xfId="31097" xr:uid="{00000000-0005-0000-0000-00009C8A0000}"/>
    <cellStyle name="Normal 5 6 5 2" xfId="40823" xr:uid="{00000000-0005-0000-0000-00009D8A0000}"/>
    <cellStyle name="Normal 5 6 6" xfId="31098" xr:uid="{00000000-0005-0000-0000-00009E8A0000}"/>
    <cellStyle name="Normal 5 6 7" xfId="45743" xr:uid="{00000000-0005-0000-0000-00009F8A0000}"/>
    <cellStyle name="Normal 5 7" xfId="1891" xr:uid="{00000000-0005-0000-0000-0000A08A0000}"/>
    <cellStyle name="Normal 5 7 2" xfId="31099" xr:uid="{00000000-0005-0000-0000-0000A18A0000}"/>
    <cellStyle name="Normal 5 7 2 2" xfId="31100" xr:uid="{00000000-0005-0000-0000-0000A28A0000}"/>
    <cellStyle name="Normal 5 7 2 2 2" xfId="40824" xr:uid="{00000000-0005-0000-0000-0000A38A0000}"/>
    <cellStyle name="Normal 5 7 2 3" xfId="31101" xr:uid="{00000000-0005-0000-0000-0000A48A0000}"/>
    <cellStyle name="Normal 5 7 3" xfId="31102" xr:uid="{00000000-0005-0000-0000-0000A58A0000}"/>
    <cellStyle name="Normal 5 7 3 2" xfId="31103" xr:uid="{00000000-0005-0000-0000-0000A68A0000}"/>
    <cellStyle name="Normal 5 7 3 2 2" xfId="40825" xr:uid="{00000000-0005-0000-0000-0000A78A0000}"/>
    <cellStyle name="Normal 5 7 3 3" xfId="31104" xr:uid="{00000000-0005-0000-0000-0000A88A0000}"/>
    <cellStyle name="Normal 5 7 4" xfId="31105" xr:uid="{00000000-0005-0000-0000-0000A98A0000}"/>
    <cellStyle name="Normal 5 7 4 2" xfId="40826" xr:uid="{00000000-0005-0000-0000-0000AA8A0000}"/>
    <cellStyle name="Normal 5 7 5" xfId="31106" xr:uid="{00000000-0005-0000-0000-0000AB8A0000}"/>
    <cellStyle name="Normal 5 7 6" xfId="45744" xr:uid="{00000000-0005-0000-0000-0000AC8A0000}"/>
    <cellStyle name="Normal 5 8" xfId="1892" xr:uid="{00000000-0005-0000-0000-0000AD8A0000}"/>
    <cellStyle name="Normal 5 8 2" xfId="31107" xr:uid="{00000000-0005-0000-0000-0000AE8A0000}"/>
    <cellStyle name="Normal 5 8 2 2" xfId="40827" xr:uid="{00000000-0005-0000-0000-0000AF8A0000}"/>
    <cellStyle name="Normal 5 8 3" xfId="31108" xr:uid="{00000000-0005-0000-0000-0000B08A0000}"/>
    <cellStyle name="Normal 5 8 3 2" xfId="43710" xr:uid="{00000000-0005-0000-0000-0000B18A0000}"/>
    <cellStyle name="Normal 5 8 4" xfId="43711" xr:uid="{00000000-0005-0000-0000-0000B28A0000}"/>
    <cellStyle name="Normal 5 8 4 2" xfId="43712" xr:uid="{00000000-0005-0000-0000-0000B38A0000}"/>
    <cellStyle name="Normal 5 8 5" xfId="43713" xr:uid="{00000000-0005-0000-0000-0000B48A0000}"/>
    <cellStyle name="Normal 5 8 6" xfId="45745" xr:uid="{00000000-0005-0000-0000-0000B58A0000}"/>
    <cellStyle name="Normal 5 9" xfId="1893" xr:uid="{00000000-0005-0000-0000-0000B68A0000}"/>
    <cellStyle name="Normal 5 9 2" xfId="31109" xr:uid="{00000000-0005-0000-0000-0000B78A0000}"/>
    <cellStyle name="Normal 5 9 2 2" xfId="40828" xr:uid="{00000000-0005-0000-0000-0000B88A0000}"/>
    <cellStyle name="Normal 5 9 3" xfId="31110" xr:uid="{00000000-0005-0000-0000-0000B98A0000}"/>
    <cellStyle name="Normal 5 9 3 2" xfId="43714" xr:uid="{00000000-0005-0000-0000-0000BA8A0000}"/>
    <cellStyle name="Normal 5 9 4" xfId="43715" xr:uid="{00000000-0005-0000-0000-0000BB8A0000}"/>
    <cellStyle name="Normal 5 9 4 2" xfId="43716" xr:uid="{00000000-0005-0000-0000-0000BC8A0000}"/>
    <cellStyle name="Normal 5 9 5" xfId="43717" xr:uid="{00000000-0005-0000-0000-0000BD8A0000}"/>
    <cellStyle name="Normal 5_10051" xfId="1894" xr:uid="{00000000-0005-0000-0000-0000BE8A0000}"/>
    <cellStyle name="Normal 50" xfId="478" xr:uid="{00000000-0005-0000-0000-0000BF8A0000}"/>
    <cellStyle name="Normal 50 2" xfId="1895" xr:uid="{00000000-0005-0000-0000-0000C08A0000}"/>
    <cellStyle name="Normal 50 2 2" xfId="31111" xr:uid="{00000000-0005-0000-0000-0000C18A0000}"/>
    <cellStyle name="Normal 50 2 2 2" xfId="31112" xr:uid="{00000000-0005-0000-0000-0000C28A0000}"/>
    <cellStyle name="Normal 50 2 2 2 2" xfId="31113" xr:uid="{00000000-0005-0000-0000-0000C38A0000}"/>
    <cellStyle name="Normal 50 2 2 2 2 2" xfId="31114" xr:uid="{00000000-0005-0000-0000-0000C48A0000}"/>
    <cellStyle name="Normal 50 2 2 2 2 2 2" xfId="40829" xr:uid="{00000000-0005-0000-0000-0000C58A0000}"/>
    <cellStyle name="Normal 50 2 2 2 2 3" xfId="31115" xr:uid="{00000000-0005-0000-0000-0000C68A0000}"/>
    <cellStyle name="Normal 50 2 2 2 3" xfId="31116" xr:uid="{00000000-0005-0000-0000-0000C78A0000}"/>
    <cellStyle name="Normal 50 2 2 2 3 2" xfId="31117" xr:uid="{00000000-0005-0000-0000-0000C88A0000}"/>
    <cellStyle name="Normal 50 2 2 2 3 2 2" xfId="40830" xr:uid="{00000000-0005-0000-0000-0000C98A0000}"/>
    <cellStyle name="Normal 50 2 2 2 3 3" xfId="31118" xr:uid="{00000000-0005-0000-0000-0000CA8A0000}"/>
    <cellStyle name="Normal 50 2 2 2 4" xfId="31119" xr:uid="{00000000-0005-0000-0000-0000CB8A0000}"/>
    <cellStyle name="Normal 50 2 2 2 4 2" xfId="40831" xr:uid="{00000000-0005-0000-0000-0000CC8A0000}"/>
    <cellStyle name="Normal 50 2 2 2 5" xfId="31120" xr:uid="{00000000-0005-0000-0000-0000CD8A0000}"/>
    <cellStyle name="Normal 50 2 2 3" xfId="31121" xr:uid="{00000000-0005-0000-0000-0000CE8A0000}"/>
    <cellStyle name="Normal 50 2 2 3 2" xfId="31122" xr:uid="{00000000-0005-0000-0000-0000CF8A0000}"/>
    <cellStyle name="Normal 50 2 2 3 2 2" xfId="40832" xr:uid="{00000000-0005-0000-0000-0000D08A0000}"/>
    <cellStyle name="Normal 50 2 2 3 3" xfId="31123" xr:uid="{00000000-0005-0000-0000-0000D18A0000}"/>
    <cellStyle name="Normal 50 2 2 4" xfId="31124" xr:uid="{00000000-0005-0000-0000-0000D28A0000}"/>
    <cellStyle name="Normal 50 2 2 4 2" xfId="31125" xr:uid="{00000000-0005-0000-0000-0000D38A0000}"/>
    <cellStyle name="Normal 50 2 2 4 2 2" xfId="40833" xr:uid="{00000000-0005-0000-0000-0000D48A0000}"/>
    <cellStyle name="Normal 50 2 2 4 3" xfId="31126" xr:uid="{00000000-0005-0000-0000-0000D58A0000}"/>
    <cellStyle name="Normal 50 2 2 5" xfId="31127" xr:uid="{00000000-0005-0000-0000-0000D68A0000}"/>
    <cellStyle name="Normal 50 2 2 5 2" xfId="40834" xr:uid="{00000000-0005-0000-0000-0000D78A0000}"/>
    <cellStyle name="Normal 50 2 2 6" xfId="31128" xr:uid="{00000000-0005-0000-0000-0000D88A0000}"/>
    <cellStyle name="Normal 50 2 3" xfId="31129" xr:uid="{00000000-0005-0000-0000-0000D98A0000}"/>
    <cellStyle name="Normal 50 2 3 2" xfId="31130" xr:uid="{00000000-0005-0000-0000-0000DA8A0000}"/>
    <cellStyle name="Normal 50 2 3 2 2" xfId="31131" xr:uid="{00000000-0005-0000-0000-0000DB8A0000}"/>
    <cellStyle name="Normal 50 2 3 2 2 2" xfId="40835" xr:uid="{00000000-0005-0000-0000-0000DC8A0000}"/>
    <cellStyle name="Normal 50 2 3 2 3" xfId="31132" xr:uid="{00000000-0005-0000-0000-0000DD8A0000}"/>
    <cellStyle name="Normal 50 2 3 3" xfId="31133" xr:uid="{00000000-0005-0000-0000-0000DE8A0000}"/>
    <cellStyle name="Normal 50 2 3 3 2" xfId="31134" xr:uid="{00000000-0005-0000-0000-0000DF8A0000}"/>
    <cellStyle name="Normal 50 2 3 3 2 2" xfId="40836" xr:uid="{00000000-0005-0000-0000-0000E08A0000}"/>
    <cellStyle name="Normal 50 2 3 3 3" xfId="31135" xr:uid="{00000000-0005-0000-0000-0000E18A0000}"/>
    <cellStyle name="Normal 50 2 3 4" xfId="31136" xr:uid="{00000000-0005-0000-0000-0000E28A0000}"/>
    <cellStyle name="Normal 50 2 3 4 2" xfId="40837" xr:uid="{00000000-0005-0000-0000-0000E38A0000}"/>
    <cellStyle name="Normal 50 2 3 5" xfId="31137" xr:uid="{00000000-0005-0000-0000-0000E48A0000}"/>
    <cellStyle name="Normal 50 2 4" xfId="31138" xr:uid="{00000000-0005-0000-0000-0000E58A0000}"/>
    <cellStyle name="Normal 50 2 4 2" xfId="31139" xr:uid="{00000000-0005-0000-0000-0000E68A0000}"/>
    <cellStyle name="Normal 50 2 4 2 2" xfId="40838" xr:uid="{00000000-0005-0000-0000-0000E78A0000}"/>
    <cellStyle name="Normal 50 2 4 3" xfId="31140" xr:uid="{00000000-0005-0000-0000-0000E88A0000}"/>
    <cellStyle name="Normal 50 2 5" xfId="31141" xr:uid="{00000000-0005-0000-0000-0000E98A0000}"/>
    <cellStyle name="Normal 50 2 5 2" xfId="31142" xr:uid="{00000000-0005-0000-0000-0000EA8A0000}"/>
    <cellStyle name="Normal 50 2 5 2 2" xfId="40839" xr:uid="{00000000-0005-0000-0000-0000EB8A0000}"/>
    <cellStyle name="Normal 50 2 5 3" xfId="31143" xr:uid="{00000000-0005-0000-0000-0000EC8A0000}"/>
    <cellStyle name="Normal 50 2 6" xfId="31144" xr:uid="{00000000-0005-0000-0000-0000ED8A0000}"/>
    <cellStyle name="Normal 50 2 6 2" xfId="40840" xr:uid="{00000000-0005-0000-0000-0000EE8A0000}"/>
    <cellStyle name="Normal 50 2 7" xfId="31145" xr:uid="{00000000-0005-0000-0000-0000EF8A0000}"/>
    <cellStyle name="Normal 50 3" xfId="1896" xr:uid="{00000000-0005-0000-0000-0000F08A0000}"/>
    <cellStyle name="Normal 50 3 2" xfId="31146" xr:uid="{00000000-0005-0000-0000-0000F18A0000}"/>
    <cellStyle name="Normal 50 3 2 2" xfId="31147" xr:uid="{00000000-0005-0000-0000-0000F28A0000}"/>
    <cellStyle name="Normal 50 3 2 2 2" xfId="31148" xr:uid="{00000000-0005-0000-0000-0000F38A0000}"/>
    <cellStyle name="Normal 50 3 2 2 2 2" xfId="40841" xr:uid="{00000000-0005-0000-0000-0000F48A0000}"/>
    <cellStyle name="Normal 50 3 2 2 3" xfId="31149" xr:uid="{00000000-0005-0000-0000-0000F58A0000}"/>
    <cellStyle name="Normal 50 3 2 3" xfId="31150" xr:uid="{00000000-0005-0000-0000-0000F68A0000}"/>
    <cellStyle name="Normal 50 3 2 3 2" xfId="31151" xr:uid="{00000000-0005-0000-0000-0000F78A0000}"/>
    <cellStyle name="Normal 50 3 2 3 2 2" xfId="40842" xr:uid="{00000000-0005-0000-0000-0000F88A0000}"/>
    <cellStyle name="Normal 50 3 2 3 3" xfId="31152" xr:uid="{00000000-0005-0000-0000-0000F98A0000}"/>
    <cellStyle name="Normal 50 3 2 4" xfId="31153" xr:uid="{00000000-0005-0000-0000-0000FA8A0000}"/>
    <cellStyle name="Normal 50 3 2 4 2" xfId="40843" xr:uid="{00000000-0005-0000-0000-0000FB8A0000}"/>
    <cellStyle name="Normal 50 3 2 5" xfId="31154" xr:uid="{00000000-0005-0000-0000-0000FC8A0000}"/>
    <cellStyle name="Normal 50 3 3" xfId="31155" xr:uid="{00000000-0005-0000-0000-0000FD8A0000}"/>
    <cellStyle name="Normal 50 3 3 2" xfId="31156" xr:uid="{00000000-0005-0000-0000-0000FE8A0000}"/>
    <cellStyle name="Normal 50 3 3 2 2" xfId="40844" xr:uid="{00000000-0005-0000-0000-0000FF8A0000}"/>
    <cellStyle name="Normal 50 3 3 3" xfId="31157" xr:uid="{00000000-0005-0000-0000-0000008B0000}"/>
    <cellStyle name="Normal 50 3 4" xfId="31158" xr:uid="{00000000-0005-0000-0000-0000018B0000}"/>
    <cellStyle name="Normal 50 3 4 2" xfId="31159" xr:uid="{00000000-0005-0000-0000-0000028B0000}"/>
    <cellStyle name="Normal 50 3 4 2 2" xfId="40845" xr:uid="{00000000-0005-0000-0000-0000038B0000}"/>
    <cellStyle name="Normal 50 3 4 3" xfId="31160" xr:uid="{00000000-0005-0000-0000-0000048B0000}"/>
    <cellStyle name="Normal 50 3 5" xfId="31161" xr:uid="{00000000-0005-0000-0000-0000058B0000}"/>
    <cellStyle name="Normal 50 3 5 2" xfId="40846" xr:uid="{00000000-0005-0000-0000-0000068B0000}"/>
    <cellStyle name="Normal 50 3 6" xfId="31162" xr:uid="{00000000-0005-0000-0000-0000078B0000}"/>
    <cellStyle name="Normal 50 4" xfId="31163" xr:uid="{00000000-0005-0000-0000-0000088B0000}"/>
    <cellStyle name="Normal 50 4 2" xfId="31164" xr:uid="{00000000-0005-0000-0000-0000098B0000}"/>
    <cellStyle name="Normal 50 4 2 2" xfId="31165" xr:uid="{00000000-0005-0000-0000-00000A8B0000}"/>
    <cellStyle name="Normal 50 4 2 2 2" xfId="40847" xr:uid="{00000000-0005-0000-0000-00000B8B0000}"/>
    <cellStyle name="Normal 50 4 2 3" xfId="31166" xr:uid="{00000000-0005-0000-0000-00000C8B0000}"/>
    <cellStyle name="Normal 50 4 3" xfId="31167" xr:uid="{00000000-0005-0000-0000-00000D8B0000}"/>
    <cellStyle name="Normal 50 4 3 2" xfId="31168" xr:uid="{00000000-0005-0000-0000-00000E8B0000}"/>
    <cellStyle name="Normal 50 4 3 2 2" xfId="40848" xr:uid="{00000000-0005-0000-0000-00000F8B0000}"/>
    <cellStyle name="Normal 50 4 3 3" xfId="31169" xr:uid="{00000000-0005-0000-0000-0000108B0000}"/>
    <cellStyle name="Normal 50 4 4" xfId="31170" xr:uid="{00000000-0005-0000-0000-0000118B0000}"/>
    <cellStyle name="Normal 50 4 4 2" xfId="40849" xr:uid="{00000000-0005-0000-0000-0000128B0000}"/>
    <cellStyle name="Normal 50 4 5" xfId="31171" xr:uid="{00000000-0005-0000-0000-0000138B0000}"/>
    <cellStyle name="Normal 50 5" xfId="31172" xr:uid="{00000000-0005-0000-0000-0000148B0000}"/>
    <cellStyle name="Normal 50 5 2" xfId="31173" xr:uid="{00000000-0005-0000-0000-0000158B0000}"/>
    <cellStyle name="Normal 50 5 2 2" xfId="40850" xr:uid="{00000000-0005-0000-0000-0000168B0000}"/>
    <cellStyle name="Normal 50 5 3" xfId="31174" xr:uid="{00000000-0005-0000-0000-0000178B0000}"/>
    <cellStyle name="Normal 50 6" xfId="31175" xr:uid="{00000000-0005-0000-0000-0000188B0000}"/>
    <cellStyle name="Normal 50 6 2" xfId="31176" xr:uid="{00000000-0005-0000-0000-0000198B0000}"/>
    <cellStyle name="Normal 50 6 2 2" xfId="40851" xr:uid="{00000000-0005-0000-0000-00001A8B0000}"/>
    <cellStyle name="Normal 50 6 3" xfId="31177" xr:uid="{00000000-0005-0000-0000-00001B8B0000}"/>
    <cellStyle name="Normal 50 7" xfId="31178" xr:uid="{00000000-0005-0000-0000-00001C8B0000}"/>
    <cellStyle name="Normal 50 7 2" xfId="40852" xr:uid="{00000000-0005-0000-0000-00001D8B0000}"/>
    <cellStyle name="Normal 50 8" xfId="31179" xr:uid="{00000000-0005-0000-0000-00001E8B0000}"/>
    <cellStyle name="Normal 50 9" xfId="40853" xr:uid="{00000000-0005-0000-0000-00001F8B0000}"/>
    <cellStyle name="Normal 51" xfId="479" xr:uid="{00000000-0005-0000-0000-0000208B0000}"/>
    <cellStyle name="Normal 51 2" xfId="1897" xr:uid="{00000000-0005-0000-0000-0000218B0000}"/>
    <cellStyle name="Normal 51 2 2" xfId="31180" xr:uid="{00000000-0005-0000-0000-0000228B0000}"/>
    <cellStyle name="Normal 51 2 2 2" xfId="31181" xr:uid="{00000000-0005-0000-0000-0000238B0000}"/>
    <cellStyle name="Normal 51 2 2 2 2" xfId="31182" xr:uid="{00000000-0005-0000-0000-0000248B0000}"/>
    <cellStyle name="Normal 51 2 2 2 2 2" xfId="31183" xr:uid="{00000000-0005-0000-0000-0000258B0000}"/>
    <cellStyle name="Normal 51 2 2 2 2 2 2" xfId="40854" xr:uid="{00000000-0005-0000-0000-0000268B0000}"/>
    <cellStyle name="Normal 51 2 2 2 2 3" xfId="31184" xr:uid="{00000000-0005-0000-0000-0000278B0000}"/>
    <cellStyle name="Normal 51 2 2 2 3" xfId="31185" xr:uid="{00000000-0005-0000-0000-0000288B0000}"/>
    <cellStyle name="Normal 51 2 2 2 3 2" xfId="31186" xr:uid="{00000000-0005-0000-0000-0000298B0000}"/>
    <cellStyle name="Normal 51 2 2 2 3 2 2" xfId="40855" xr:uid="{00000000-0005-0000-0000-00002A8B0000}"/>
    <cellStyle name="Normal 51 2 2 2 3 3" xfId="31187" xr:uid="{00000000-0005-0000-0000-00002B8B0000}"/>
    <cellStyle name="Normal 51 2 2 2 4" xfId="31188" xr:uid="{00000000-0005-0000-0000-00002C8B0000}"/>
    <cellStyle name="Normal 51 2 2 2 4 2" xfId="40856" xr:uid="{00000000-0005-0000-0000-00002D8B0000}"/>
    <cellStyle name="Normal 51 2 2 2 5" xfId="31189" xr:uid="{00000000-0005-0000-0000-00002E8B0000}"/>
    <cellStyle name="Normal 51 2 2 3" xfId="31190" xr:uid="{00000000-0005-0000-0000-00002F8B0000}"/>
    <cellStyle name="Normal 51 2 2 3 2" xfId="31191" xr:uid="{00000000-0005-0000-0000-0000308B0000}"/>
    <cellStyle name="Normal 51 2 2 3 2 2" xfId="40857" xr:uid="{00000000-0005-0000-0000-0000318B0000}"/>
    <cellStyle name="Normal 51 2 2 3 3" xfId="31192" xr:uid="{00000000-0005-0000-0000-0000328B0000}"/>
    <cellStyle name="Normal 51 2 2 4" xfId="31193" xr:uid="{00000000-0005-0000-0000-0000338B0000}"/>
    <cellStyle name="Normal 51 2 2 4 2" xfId="31194" xr:uid="{00000000-0005-0000-0000-0000348B0000}"/>
    <cellStyle name="Normal 51 2 2 4 2 2" xfId="40858" xr:uid="{00000000-0005-0000-0000-0000358B0000}"/>
    <cellStyle name="Normal 51 2 2 4 3" xfId="31195" xr:uid="{00000000-0005-0000-0000-0000368B0000}"/>
    <cellStyle name="Normal 51 2 2 5" xfId="31196" xr:uid="{00000000-0005-0000-0000-0000378B0000}"/>
    <cellStyle name="Normal 51 2 2 5 2" xfId="40859" xr:uid="{00000000-0005-0000-0000-0000388B0000}"/>
    <cellStyle name="Normal 51 2 2 6" xfId="31197" xr:uid="{00000000-0005-0000-0000-0000398B0000}"/>
    <cellStyle name="Normal 51 2 3" xfId="31198" xr:uid="{00000000-0005-0000-0000-00003A8B0000}"/>
    <cellStyle name="Normal 51 2 3 2" xfId="31199" xr:uid="{00000000-0005-0000-0000-00003B8B0000}"/>
    <cellStyle name="Normal 51 2 3 2 2" xfId="31200" xr:uid="{00000000-0005-0000-0000-00003C8B0000}"/>
    <cellStyle name="Normal 51 2 3 2 2 2" xfId="40860" xr:uid="{00000000-0005-0000-0000-00003D8B0000}"/>
    <cellStyle name="Normal 51 2 3 2 3" xfId="31201" xr:uid="{00000000-0005-0000-0000-00003E8B0000}"/>
    <cellStyle name="Normal 51 2 3 3" xfId="31202" xr:uid="{00000000-0005-0000-0000-00003F8B0000}"/>
    <cellStyle name="Normal 51 2 3 3 2" xfId="31203" xr:uid="{00000000-0005-0000-0000-0000408B0000}"/>
    <cellStyle name="Normal 51 2 3 3 2 2" xfId="40861" xr:uid="{00000000-0005-0000-0000-0000418B0000}"/>
    <cellStyle name="Normal 51 2 3 3 3" xfId="31204" xr:uid="{00000000-0005-0000-0000-0000428B0000}"/>
    <cellStyle name="Normal 51 2 3 4" xfId="31205" xr:uid="{00000000-0005-0000-0000-0000438B0000}"/>
    <cellStyle name="Normal 51 2 3 4 2" xfId="40862" xr:uid="{00000000-0005-0000-0000-0000448B0000}"/>
    <cellStyle name="Normal 51 2 3 5" xfId="31206" xr:uid="{00000000-0005-0000-0000-0000458B0000}"/>
    <cellStyle name="Normal 51 2 4" xfId="31207" xr:uid="{00000000-0005-0000-0000-0000468B0000}"/>
    <cellStyle name="Normal 51 2 4 2" xfId="31208" xr:uid="{00000000-0005-0000-0000-0000478B0000}"/>
    <cellStyle name="Normal 51 2 4 2 2" xfId="40863" xr:uid="{00000000-0005-0000-0000-0000488B0000}"/>
    <cellStyle name="Normal 51 2 4 3" xfId="31209" xr:uid="{00000000-0005-0000-0000-0000498B0000}"/>
    <cellStyle name="Normal 51 2 5" xfId="31210" xr:uid="{00000000-0005-0000-0000-00004A8B0000}"/>
    <cellStyle name="Normal 51 2 5 2" xfId="31211" xr:uid="{00000000-0005-0000-0000-00004B8B0000}"/>
    <cellStyle name="Normal 51 2 5 2 2" xfId="40864" xr:uid="{00000000-0005-0000-0000-00004C8B0000}"/>
    <cellStyle name="Normal 51 2 5 3" xfId="31212" xr:uid="{00000000-0005-0000-0000-00004D8B0000}"/>
    <cellStyle name="Normal 51 2 6" xfId="31213" xr:uid="{00000000-0005-0000-0000-00004E8B0000}"/>
    <cellStyle name="Normal 51 2 6 2" xfId="40865" xr:uid="{00000000-0005-0000-0000-00004F8B0000}"/>
    <cellStyle name="Normal 51 2 7" xfId="31214" xr:uid="{00000000-0005-0000-0000-0000508B0000}"/>
    <cellStyle name="Normal 51 3" xfId="1898" xr:uid="{00000000-0005-0000-0000-0000518B0000}"/>
    <cellStyle name="Normal 51 3 2" xfId="31215" xr:uid="{00000000-0005-0000-0000-0000528B0000}"/>
    <cellStyle name="Normal 51 3 2 2" xfId="31216" xr:uid="{00000000-0005-0000-0000-0000538B0000}"/>
    <cellStyle name="Normal 51 3 2 2 2" xfId="31217" xr:uid="{00000000-0005-0000-0000-0000548B0000}"/>
    <cellStyle name="Normal 51 3 2 2 2 2" xfId="40866" xr:uid="{00000000-0005-0000-0000-0000558B0000}"/>
    <cellStyle name="Normal 51 3 2 2 3" xfId="31218" xr:uid="{00000000-0005-0000-0000-0000568B0000}"/>
    <cellStyle name="Normal 51 3 2 3" xfId="31219" xr:uid="{00000000-0005-0000-0000-0000578B0000}"/>
    <cellStyle name="Normal 51 3 2 3 2" xfId="31220" xr:uid="{00000000-0005-0000-0000-0000588B0000}"/>
    <cellStyle name="Normal 51 3 2 3 2 2" xfId="40867" xr:uid="{00000000-0005-0000-0000-0000598B0000}"/>
    <cellStyle name="Normal 51 3 2 3 3" xfId="31221" xr:uid="{00000000-0005-0000-0000-00005A8B0000}"/>
    <cellStyle name="Normal 51 3 2 4" xfId="31222" xr:uid="{00000000-0005-0000-0000-00005B8B0000}"/>
    <cellStyle name="Normal 51 3 2 4 2" xfId="40868" xr:uid="{00000000-0005-0000-0000-00005C8B0000}"/>
    <cellStyle name="Normal 51 3 2 5" xfId="31223" xr:uid="{00000000-0005-0000-0000-00005D8B0000}"/>
    <cellStyle name="Normal 51 3 3" xfId="31224" xr:uid="{00000000-0005-0000-0000-00005E8B0000}"/>
    <cellStyle name="Normal 51 3 3 2" xfId="31225" xr:uid="{00000000-0005-0000-0000-00005F8B0000}"/>
    <cellStyle name="Normal 51 3 3 2 2" xfId="40869" xr:uid="{00000000-0005-0000-0000-0000608B0000}"/>
    <cellStyle name="Normal 51 3 3 3" xfId="31226" xr:uid="{00000000-0005-0000-0000-0000618B0000}"/>
    <cellStyle name="Normal 51 3 4" xfId="31227" xr:uid="{00000000-0005-0000-0000-0000628B0000}"/>
    <cellStyle name="Normal 51 3 4 2" xfId="31228" xr:uid="{00000000-0005-0000-0000-0000638B0000}"/>
    <cellStyle name="Normal 51 3 4 2 2" xfId="40870" xr:uid="{00000000-0005-0000-0000-0000648B0000}"/>
    <cellStyle name="Normal 51 3 4 3" xfId="31229" xr:uid="{00000000-0005-0000-0000-0000658B0000}"/>
    <cellStyle name="Normal 51 3 5" xfId="31230" xr:uid="{00000000-0005-0000-0000-0000668B0000}"/>
    <cellStyle name="Normal 51 3 5 2" xfId="40871" xr:uid="{00000000-0005-0000-0000-0000678B0000}"/>
    <cellStyle name="Normal 51 3 6" xfId="31231" xr:uid="{00000000-0005-0000-0000-0000688B0000}"/>
    <cellStyle name="Normal 51 4" xfId="31232" xr:uid="{00000000-0005-0000-0000-0000698B0000}"/>
    <cellStyle name="Normal 51 4 2" xfId="31233" xr:uid="{00000000-0005-0000-0000-00006A8B0000}"/>
    <cellStyle name="Normal 51 4 2 2" xfId="31234" xr:uid="{00000000-0005-0000-0000-00006B8B0000}"/>
    <cellStyle name="Normal 51 4 2 2 2" xfId="40872" xr:uid="{00000000-0005-0000-0000-00006C8B0000}"/>
    <cellStyle name="Normal 51 4 2 3" xfId="31235" xr:uid="{00000000-0005-0000-0000-00006D8B0000}"/>
    <cellStyle name="Normal 51 4 3" xfId="31236" xr:uid="{00000000-0005-0000-0000-00006E8B0000}"/>
    <cellStyle name="Normal 51 4 3 2" xfId="31237" xr:uid="{00000000-0005-0000-0000-00006F8B0000}"/>
    <cellStyle name="Normal 51 4 3 2 2" xfId="40873" xr:uid="{00000000-0005-0000-0000-0000708B0000}"/>
    <cellStyle name="Normal 51 4 3 3" xfId="31238" xr:uid="{00000000-0005-0000-0000-0000718B0000}"/>
    <cellStyle name="Normal 51 4 4" xfId="31239" xr:uid="{00000000-0005-0000-0000-0000728B0000}"/>
    <cellStyle name="Normal 51 4 4 2" xfId="40874" xr:uid="{00000000-0005-0000-0000-0000738B0000}"/>
    <cellStyle name="Normal 51 4 5" xfId="31240" xr:uid="{00000000-0005-0000-0000-0000748B0000}"/>
    <cellStyle name="Normal 51 5" xfId="31241" xr:uid="{00000000-0005-0000-0000-0000758B0000}"/>
    <cellStyle name="Normal 51 5 2" xfId="31242" xr:uid="{00000000-0005-0000-0000-0000768B0000}"/>
    <cellStyle name="Normal 51 5 2 2" xfId="40875" xr:uid="{00000000-0005-0000-0000-0000778B0000}"/>
    <cellStyle name="Normal 51 5 3" xfId="31243" xr:uid="{00000000-0005-0000-0000-0000788B0000}"/>
    <cellStyle name="Normal 51 6" xfId="31244" xr:uid="{00000000-0005-0000-0000-0000798B0000}"/>
    <cellStyle name="Normal 51 6 2" xfId="31245" xr:uid="{00000000-0005-0000-0000-00007A8B0000}"/>
    <cellStyle name="Normal 51 6 2 2" xfId="40876" xr:uid="{00000000-0005-0000-0000-00007B8B0000}"/>
    <cellStyle name="Normal 51 6 3" xfId="31246" xr:uid="{00000000-0005-0000-0000-00007C8B0000}"/>
    <cellStyle name="Normal 51 7" xfId="31247" xr:uid="{00000000-0005-0000-0000-00007D8B0000}"/>
    <cellStyle name="Normal 51 7 2" xfId="40877" xr:uid="{00000000-0005-0000-0000-00007E8B0000}"/>
    <cellStyle name="Normal 51 8" xfId="31248" xr:uid="{00000000-0005-0000-0000-00007F8B0000}"/>
    <cellStyle name="Normal 51 9" xfId="40878" xr:uid="{00000000-0005-0000-0000-0000808B0000}"/>
    <cellStyle name="Normal 52" xfId="480" xr:uid="{00000000-0005-0000-0000-0000818B0000}"/>
    <cellStyle name="Normal 52 2" xfId="1899" xr:uid="{00000000-0005-0000-0000-0000828B0000}"/>
    <cellStyle name="Normal 52 2 2" xfId="31249" xr:uid="{00000000-0005-0000-0000-0000838B0000}"/>
    <cellStyle name="Normal 52 2 2 2" xfId="31250" xr:uid="{00000000-0005-0000-0000-0000848B0000}"/>
    <cellStyle name="Normal 52 2 2 2 2" xfId="31251" xr:uid="{00000000-0005-0000-0000-0000858B0000}"/>
    <cellStyle name="Normal 52 2 2 2 2 2" xfId="31252" xr:uid="{00000000-0005-0000-0000-0000868B0000}"/>
    <cellStyle name="Normal 52 2 2 2 2 2 2" xfId="40879" xr:uid="{00000000-0005-0000-0000-0000878B0000}"/>
    <cellStyle name="Normal 52 2 2 2 2 3" xfId="31253" xr:uid="{00000000-0005-0000-0000-0000888B0000}"/>
    <cellStyle name="Normal 52 2 2 2 3" xfId="31254" xr:uid="{00000000-0005-0000-0000-0000898B0000}"/>
    <cellStyle name="Normal 52 2 2 2 3 2" xfId="31255" xr:uid="{00000000-0005-0000-0000-00008A8B0000}"/>
    <cellStyle name="Normal 52 2 2 2 3 2 2" xfId="40880" xr:uid="{00000000-0005-0000-0000-00008B8B0000}"/>
    <cellStyle name="Normal 52 2 2 2 3 3" xfId="31256" xr:uid="{00000000-0005-0000-0000-00008C8B0000}"/>
    <cellStyle name="Normal 52 2 2 2 4" xfId="31257" xr:uid="{00000000-0005-0000-0000-00008D8B0000}"/>
    <cellStyle name="Normal 52 2 2 2 4 2" xfId="40881" xr:uid="{00000000-0005-0000-0000-00008E8B0000}"/>
    <cellStyle name="Normal 52 2 2 2 5" xfId="31258" xr:uid="{00000000-0005-0000-0000-00008F8B0000}"/>
    <cellStyle name="Normal 52 2 2 3" xfId="31259" xr:uid="{00000000-0005-0000-0000-0000908B0000}"/>
    <cellStyle name="Normal 52 2 2 3 2" xfId="31260" xr:uid="{00000000-0005-0000-0000-0000918B0000}"/>
    <cellStyle name="Normal 52 2 2 3 2 2" xfId="40882" xr:uid="{00000000-0005-0000-0000-0000928B0000}"/>
    <cellStyle name="Normal 52 2 2 3 3" xfId="31261" xr:uid="{00000000-0005-0000-0000-0000938B0000}"/>
    <cellStyle name="Normal 52 2 2 4" xfId="31262" xr:uid="{00000000-0005-0000-0000-0000948B0000}"/>
    <cellStyle name="Normal 52 2 2 4 2" xfId="31263" xr:uid="{00000000-0005-0000-0000-0000958B0000}"/>
    <cellStyle name="Normal 52 2 2 4 2 2" xfId="40883" xr:uid="{00000000-0005-0000-0000-0000968B0000}"/>
    <cellStyle name="Normal 52 2 2 4 3" xfId="31264" xr:uid="{00000000-0005-0000-0000-0000978B0000}"/>
    <cellStyle name="Normal 52 2 2 5" xfId="31265" xr:uid="{00000000-0005-0000-0000-0000988B0000}"/>
    <cellStyle name="Normal 52 2 2 5 2" xfId="40884" xr:uid="{00000000-0005-0000-0000-0000998B0000}"/>
    <cellStyle name="Normal 52 2 2 6" xfId="31266" xr:uid="{00000000-0005-0000-0000-00009A8B0000}"/>
    <cellStyle name="Normal 52 2 3" xfId="31267" xr:uid="{00000000-0005-0000-0000-00009B8B0000}"/>
    <cellStyle name="Normal 52 2 3 2" xfId="31268" xr:uid="{00000000-0005-0000-0000-00009C8B0000}"/>
    <cellStyle name="Normal 52 2 3 2 2" xfId="31269" xr:uid="{00000000-0005-0000-0000-00009D8B0000}"/>
    <cellStyle name="Normal 52 2 3 2 2 2" xfId="40885" xr:uid="{00000000-0005-0000-0000-00009E8B0000}"/>
    <cellStyle name="Normal 52 2 3 2 3" xfId="31270" xr:uid="{00000000-0005-0000-0000-00009F8B0000}"/>
    <cellStyle name="Normal 52 2 3 3" xfId="31271" xr:uid="{00000000-0005-0000-0000-0000A08B0000}"/>
    <cellStyle name="Normal 52 2 3 3 2" xfId="31272" xr:uid="{00000000-0005-0000-0000-0000A18B0000}"/>
    <cellStyle name="Normal 52 2 3 3 2 2" xfId="40886" xr:uid="{00000000-0005-0000-0000-0000A28B0000}"/>
    <cellStyle name="Normal 52 2 3 3 3" xfId="31273" xr:uid="{00000000-0005-0000-0000-0000A38B0000}"/>
    <cellStyle name="Normal 52 2 3 4" xfId="31274" xr:uid="{00000000-0005-0000-0000-0000A48B0000}"/>
    <cellStyle name="Normal 52 2 3 4 2" xfId="40887" xr:uid="{00000000-0005-0000-0000-0000A58B0000}"/>
    <cellStyle name="Normal 52 2 3 5" xfId="31275" xr:uid="{00000000-0005-0000-0000-0000A68B0000}"/>
    <cellStyle name="Normal 52 2 4" xfId="31276" xr:uid="{00000000-0005-0000-0000-0000A78B0000}"/>
    <cellStyle name="Normal 52 2 4 2" xfId="31277" xr:uid="{00000000-0005-0000-0000-0000A88B0000}"/>
    <cellStyle name="Normal 52 2 4 2 2" xfId="40888" xr:uid="{00000000-0005-0000-0000-0000A98B0000}"/>
    <cellStyle name="Normal 52 2 4 3" xfId="31278" xr:uid="{00000000-0005-0000-0000-0000AA8B0000}"/>
    <cellStyle name="Normal 52 2 5" xfId="31279" xr:uid="{00000000-0005-0000-0000-0000AB8B0000}"/>
    <cellStyle name="Normal 52 2 5 2" xfId="31280" xr:uid="{00000000-0005-0000-0000-0000AC8B0000}"/>
    <cellStyle name="Normal 52 2 5 2 2" xfId="40889" xr:uid="{00000000-0005-0000-0000-0000AD8B0000}"/>
    <cellStyle name="Normal 52 2 5 3" xfId="31281" xr:uid="{00000000-0005-0000-0000-0000AE8B0000}"/>
    <cellStyle name="Normal 52 2 6" xfId="31282" xr:uid="{00000000-0005-0000-0000-0000AF8B0000}"/>
    <cellStyle name="Normal 52 2 6 2" xfId="40890" xr:uid="{00000000-0005-0000-0000-0000B08B0000}"/>
    <cellStyle name="Normal 52 2 7" xfId="31283" xr:uid="{00000000-0005-0000-0000-0000B18B0000}"/>
    <cellStyle name="Normal 52 3" xfId="1900" xr:uid="{00000000-0005-0000-0000-0000B28B0000}"/>
    <cellStyle name="Normal 52 3 2" xfId="31284" xr:uid="{00000000-0005-0000-0000-0000B38B0000}"/>
    <cellStyle name="Normal 52 3 2 2" xfId="31285" xr:uid="{00000000-0005-0000-0000-0000B48B0000}"/>
    <cellStyle name="Normal 52 3 2 2 2" xfId="31286" xr:uid="{00000000-0005-0000-0000-0000B58B0000}"/>
    <cellStyle name="Normal 52 3 2 2 2 2" xfId="40891" xr:uid="{00000000-0005-0000-0000-0000B68B0000}"/>
    <cellStyle name="Normal 52 3 2 2 3" xfId="31287" xr:uid="{00000000-0005-0000-0000-0000B78B0000}"/>
    <cellStyle name="Normal 52 3 2 3" xfId="31288" xr:uid="{00000000-0005-0000-0000-0000B88B0000}"/>
    <cellStyle name="Normal 52 3 2 3 2" xfId="31289" xr:uid="{00000000-0005-0000-0000-0000B98B0000}"/>
    <cellStyle name="Normal 52 3 2 3 2 2" xfId="40892" xr:uid="{00000000-0005-0000-0000-0000BA8B0000}"/>
    <cellStyle name="Normal 52 3 2 3 3" xfId="31290" xr:uid="{00000000-0005-0000-0000-0000BB8B0000}"/>
    <cellStyle name="Normal 52 3 2 4" xfId="31291" xr:uid="{00000000-0005-0000-0000-0000BC8B0000}"/>
    <cellStyle name="Normal 52 3 2 4 2" xfId="40893" xr:uid="{00000000-0005-0000-0000-0000BD8B0000}"/>
    <cellStyle name="Normal 52 3 2 5" xfId="31292" xr:uid="{00000000-0005-0000-0000-0000BE8B0000}"/>
    <cellStyle name="Normal 52 3 3" xfId="31293" xr:uid="{00000000-0005-0000-0000-0000BF8B0000}"/>
    <cellStyle name="Normal 52 3 3 2" xfId="31294" xr:uid="{00000000-0005-0000-0000-0000C08B0000}"/>
    <cellStyle name="Normal 52 3 3 2 2" xfId="40894" xr:uid="{00000000-0005-0000-0000-0000C18B0000}"/>
    <cellStyle name="Normal 52 3 3 3" xfId="31295" xr:uid="{00000000-0005-0000-0000-0000C28B0000}"/>
    <cellStyle name="Normal 52 3 4" xfId="31296" xr:uid="{00000000-0005-0000-0000-0000C38B0000}"/>
    <cellStyle name="Normal 52 3 4 2" xfId="31297" xr:uid="{00000000-0005-0000-0000-0000C48B0000}"/>
    <cellStyle name="Normal 52 3 4 2 2" xfId="40895" xr:uid="{00000000-0005-0000-0000-0000C58B0000}"/>
    <cellStyle name="Normal 52 3 4 3" xfId="31298" xr:uid="{00000000-0005-0000-0000-0000C68B0000}"/>
    <cellStyle name="Normal 52 3 5" xfId="31299" xr:uid="{00000000-0005-0000-0000-0000C78B0000}"/>
    <cellStyle name="Normal 52 3 5 2" xfId="40896" xr:uid="{00000000-0005-0000-0000-0000C88B0000}"/>
    <cellStyle name="Normal 52 3 6" xfId="31300" xr:uid="{00000000-0005-0000-0000-0000C98B0000}"/>
    <cellStyle name="Normal 52 4" xfId="31301" xr:uid="{00000000-0005-0000-0000-0000CA8B0000}"/>
    <cellStyle name="Normal 52 4 2" xfId="31302" xr:uid="{00000000-0005-0000-0000-0000CB8B0000}"/>
    <cellStyle name="Normal 52 4 2 2" xfId="31303" xr:uid="{00000000-0005-0000-0000-0000CC8B0000}"/>
    <cellStyle name="Normal 52 4 2 2 2" xfId="40897" xr:uid="{00000000-0005-0000-0000-0000CD8B0000}"/>
    <cellStyle name="Normal 52 4 2 3" xfId="31304" xr:uid="{00000000-0005-0000-0000-0000CE8B0000}"/>
    <cellStyle name="Normal 52 4 3" xfId="31305" xr:uid="{00000000-0005-0000-0000-0000CF8B0000}"/>
    <cellStyle name="Normal 52 4 3 2" xfId="31306" xr:uid="{00000000-0005-0000-0000-0000D08B0000}"/>
    <cellStyle name="Normal 52 4 3 2 2" xfId="40898" xr:uid="{00000000-0005-0000-0000-0000D18B0000}"/>
    <cellStyle name="Normal 52 4 3 3" xfId="31307" xr:uid="{00000000-0005-0000-0000-0000D28B0000}"/>
    <cellStyle name="Normal 52 4 4" xfId="31308" xr:uid="{00000000-0005-0000-0000-0000D38B0000}"/>
    <cellStyle name="Normal 52 4 4 2" xfId="40899" xr:uid="{00000000-0005-0000-0000-0000D48B0000}"/>
    <cellStyle name="Normal 52 4 5" xfId="31309" xr:uid="{00000000-0005-0000-0000-0000D58B0000}"/>
    <cellStyle name="Normal 52 5" xfId="31310" xr:uid="{00000000-0005-0000-0000-0000D68B0000}"/>
    <cellStyle name="Normal 52 5 2" xfId="31311" xr:uid="{00000000-0005-0000-0000-0000D78B0000}"/>
    <cellStyle name="Normal 52 5 2 2" xfId="40900" xr:uid="{00000000-0005-0000-0000-0000D88B0000}"/>
    <cellStyle name="Normal 52 5 3" xfId="31312" xr:uid="{00000000-0005-0000-0000-0000D98B0000}"/>
    <cellStyle name="Normal 52 6" xfId="31313" xr:uid="{00000000-0005-0000-0000-0000DA8B0000}"/>
    <cellStyle name="Normal 52 6 2" xfId="31314" xr:uid="{00000000-0005-0000-0000-0000DB8B0000}"/>
    <cellStyle name="Normal 52 6 2 2" xfId="40901" xr:uid="{00000000-0005-0000-0000-0000DC8B0000}"/>
    <cellStyle name="Normal 52 6 3" xfId="31315" xr:uid="{00000000-0005-0000-0000-0000DD8B0000}"/>
    <cellStyle name="Normal 52 7" xfId="31316" xr:uid="{00000000-0005-0000-0000-0000DE8B0000}"/>
    <cellStyle name="Normal 52 7 2" xfId="40902" xr:uid="{00000000-0005-0000-0000-0000DF8B0000}"/>
    <cellStyle name="Normal 52 8" xfId="31317" xr:uid="{00000000-0005-0000-0000-0000E08B0000}"/>
    <cellStyle name="Normal 52 9" xfId="40903" xr:uid="{00000000-0005-0000-0000-0000E18B0000}"/>
    <cellStyle name="Normal 53" xfId="481" xr:uid="{00000000-0005-0000-0000-0000E28B0000}"/>
    <cellStyle name="Normal 53 2" xfId="1901" xr:uid="{00000000-0005-0000-0000-0000E38B0000}"/>
    <cellStyle name="Normal 53 2 2" xfId="31318" xr:uid="{00000000-0005-0000-0000-0000E48B0000}"/>
    <cellStyle name="Normal 53 2 2 2" xfId="31319" xr:uid="{00000000-0005-0000-0000-0000E58B0000}"/>
    <cellStyle name="Normal 53 2 2 2 2" xfId="31320" xr:uid="{00000000-0005-0000-0000-0000E68B0000}"/>
    <cellStyle name="Normal 53 2 2 2 2 2" xfId="31321" xr:uid="{00000000-0005-0000-0000-0000E78B0000}"/>
    <cellStyle name="Normal 53 2 2 2 2 2 2" xfId="40904" xr:uid="{00000000-0005-0000-0000-0000E88B0000}"/>
    <cellStyle name="Normal 53 2 2 2 2 3" xfId="31322" xr:uid="{00000000-0005-0000-0000-0000E98B0000}"/>
    <cellStyle name="Normal 53 2 2 2 3" xfId="31323" xr:uid="{00000000-0005-0000-0000-0000EA8B0000}"/>
    <cellStyle name="Normal 53 2 2 2 3 2" xfId="31324" xr:uid="{00000000-0005-0000-0000-0000EB8B0000}"/>
    <cellStyle name="Normal 53 2 2 2 3 2 2" xfId="40905" xr:uid="{00000000-0005-0000-0000-0000EC8B0000}"/>
    <cellStyle name="Normal 53 2 2 2 3 3" xfId="31325" xr:uid="{00000000-0005-0000-0000-0000ED8B0000}"/>
    <cellStyle name="Normal 53 2 2 2 4" xfId="31326" xr:uid="{00000000-0005-0000-0000-0000EE8B0000}"/>
    <cellStyle name="Normal 53 2 2 2 4 2" xfId="40906" xr:uid="{00000000-0005-0000-0000-0000EF8B0000}"/>
    <cellStyle name="Normal 53 2 2 2 5" xfId="31327" xr:uid="{00000000-0005-0000-0000-0000F08B0000}"/>
    <cellStyle name="Normal 53 2 2 3" xfId="31328" xr:uid="{00000000-0005-0000-0000-0000F18B0000}"/>
    <cellStyle name="Normal 53 2 2 3 2" xfId="31329" xr:uid="{00000000-0005-0000-0000-0000F28B0000}"/>
    <cellStyle name="Normal 53 2 2 3 2 2" xfId="40907" xr:uid="{00000000-0005-0000-0000-0000F38B0000}"/>
    <cellStyle name="Normal 53 2 2 3 3" xfId="31330" xr:uid="{00000000-0005-0000-0000-0000F48B0000}"/>
    <cellStyle name="Normal 53 2 2 4" xfId="31331" xr:uid="{00000000-0005-0000-0000-0000F58B0000}"/>
    <cellStyle name="Normal 53 2 2 4 2" xfId="31332" xr:uid="{00000000-0005-0000-0000-0000F68B0000}"/>
    <cellStyle name="Normal 53 2 2 4 2 2" xfId="40908" xr:uid="{00000000-0005-0000-0000-0000F78B0000}"/>
    <cellStyle name="Normal 53 2 2 4 3" xfId="31333" xr:uid="{00000000-0005-0000-0000-0000F88B0000}"/>
    <cellStyle name="Normal 53 2 2 5" xfId="31334" xr:uid="{00000000-0005-0000-0000-0000F98B0000}"/>
    <cellStyle name="Normal 53 2 2 5 2" xfId="40909" xr:uid="{00000000-0005-0000-0000-0000FA8B0000}"/>
    <cellStyle name="Normal 53 2 2 6" xfId="31335" xr:uid="{00000000-0005-0000-0000-0000FB8B0000}"/>
    <cellStyle name="Normal 53 2 3" xfId="31336" xr:uid="{00000000-0005-0000-0000-0000FC8B0000}"/>
    <cellStyle name="Normal 53 2 3 2" xfId="31337" xr:uid="{00000000-0005-0000-0000-0000FD8B0000}"/>
    <cellStyle name="Normal 53 2 3 2 2" xfId="31338" xr:uid="{00000000-0005-0000-0000-0000FE8B0000}"/>
    <cellStyle name="Normal 53 2 3 2 2 2" xfId="40910" xr:uid="{00000000-0005-0000-0000-0000FF8B0000}"/>
    <cellStyle name="Normal 53 2 3 2 3" xfId="31339" xr:uid="{00000000-0005-0000-0000-0000008C0000}"/>
    <cellStyle name="Normal 53 2 3 3" xfId="31340" xr:uid="{00000000-0005-0000-0000-0000018C0000}"/>
    <cellStyle name="Normal 53 2 3 3 2" xfId="31341" xr:uid="{00000000-0005-0000-0000-0000028C0000}"/>
    <cellStyle name="Normal 53 2 3 3 2 2" xfId="40911" xr:uid="{00000000-0005-0000-0000-0000038C0000}"/>
    <cellStyle name="Normal 53 2 3 3 3" xfId="31342" xr:uid="{00000000-0005-0000-0000-0000048C0000}"/>
    <cellStyle name="Normal 53 2 3 4" xfId="31343" xr:uid="{00000000-0005-0000-0000-0000058C0000}"/>
    <cellStyle name="Normal 53 2 3 4 2" xfId="40912" xr:uid="{00000000-0005-0000-0000-0000068C0000}"/>
    <cellStyle name="Normal 53 2 3 5" xfId="31344" xr:uid="{00000000-0005-0000-0000-0000078C0000}"/>
    <cellStyle name="Normal 53 2 4" xfId="31345" xr:uid="{00000000-0005-0000-0000-0000088C0000}"/>
    <cellStyle name="Normal 53 2 4 2" xfId="31346" xr:uid="{00000000-0005-0000-0000-0000098C0000}"/>
    <cellStyle name="Normal 53 2 4 2 2" xfId="40913" xr:uid="{00000000-0005-0000-0000-00000A8C0000}"/>
    <cellStyle name="Normal 53 2 4 3" xfId="31347" xr:uid="{00000000-0005-0000-0000-00000B8C0000}"/>
    <cellStyle name="Normal 53 2 5" xfId="31348" xr:uid="{00000000-0005-0000-0000-00000C8C0000}"/>
    <cellStyle name="Normal 53 2 5 2" xfId="31349" xr:uid="{00000000-0005-0000-0000-00000D8C0000}"/>
    <cellStyle name="Normal 53 2 5 2 2" xfId="40914" xr:uid="{00000000-0005-0000-0000-00000E8C0000}"/>
    <cellStyle name="Normal 53 2 5 3" xfId="31350" xr:uid="{00000000-0005-0000-0000-00000F8C0000}"/>
    <cellStyle name="Normal 53 2 6" xfId="31351" xr:uid="{00000000-0005-0000-0000-0000108C0000}"/>
    <cellStyle name="Normal 53 2 6 2" xfId="40915" xr:uid="{00000000-0005-0000-0000-0000118C0000}"/>
    <cellStyle name="Normal 53 2 7" xfId="31352" xr:uid="{00000000-0005-0000-0000-0000128C0000}"/>
    <cellStyle name="Normal 53 3" xfId="1902" xr:uid="{00000000-0005-0000-0000-0000138C0000}"/>
    <cellStyle name="Normal 53 3 2" xfId="31353" xr:uid="{00000000-0005-0000-0000-0000148C0000}"/>
    <cellStyle name="Normal 53 3 2 2" xfId="31354" xr:uid="{00000000-0005-0000-0000-0000158C0000}"/>
    <cellStyle name="Normal 53 3 2 2 2" xfId="31355" xr:uid="{00000000-0005-0000-0000-0000168C0000}"/>
    <cellStyle name="Normal 53 3 2 2 2 2" xfId="40916" xr:uid="{00000000-0005-0000-0000-0000178C0000}"/>
    <cellStyle name="Normal 53 3 2 2 3" xfId="31356" xr:uid="{00000000-0005-0000-0000-0000188C0000}"/>
    <cellStyle name="Normal 53 3 2 3" xfId="31357" xr:uid="{00000000-0005-0000-0000-0000198C0000}"/>
    <cellStyle name="Normal 53 3 2 3 2" xfId="31358" xr:uid="{00000000-0005-0000-0000-00001A8C0000}"/>
    <cellStyle name="Normal 53 3 2 3 2 2" xfId="40917" xr:uid="{00000000-0005-0000-0000-00001B8C0000}"/>
    <cellStyle name="Normal 53 3 2 3 3" xfId="31359" xr:uid="{00000000-0005-0000-0000-00001C8C0000}"/>
    <cellStyle name="Normal 53 3 2 4" xfId="31360" xr:uid="{00000000-0005-0000-0000-00001D8C0000}"/>
    <cellStyle name="Normal 53 3 2 4 2" xfId="40918" xr:uid="{00000000-0005-0000-0000-00001E8C0000}"/>
    <cellStyle name="Normal 53 3 2 5" xfId="31361" xr:uid="{00000000-0005-0000-0000-00001F8C0000}"/>
    <cellStyle name="Normal 53 3 3" xfId="31362" xr:uid="{00000000-0005-0000-0000-0000208C0000}"/>
    <cellStyle name="Normal 53 3 3 2" xfId="31363" xr:uid="{00000000-0005-0000-0000-0000218C0000}"/>
    <cellStyle name="Normal 53 3 3 2 2" xfId="40919" xr:uid="{00000000-0005-0000-0000-0000228C0000}"/>
    <cellStyle name="Normal 53 3 3 3" xfId="31364" xr:uid="{00000000-0005-0000-0000-0000238C0000}"/>
    <cellStyle name="Normal 53 3 4" xfId="31365" xr:uid="{00000000-0005-0000-0000-0000248C0000}"/>
    <cellStyle name="Normal 53 3 4 2" xfId="31366" xr:uid="{00000000-0005-0000-0000-0000258C0000}"/>
    <cellStyle name="Normal 53 3 4 2 2" xfId="40920" xr:uid="{00000000-0005-0000-0000-0000268C0000}"/>
    <cellStyle name="Normal 53 3 4 3" xfId="31367" xr:uid="{00000000-0005-0000-0000-0000278C0000}"/>
    <cellStyle name="Normal 53 3 5" xfId="31368" xr:uid="{00000000-0005-0000-0000-0000288C0000}"/>
    <cellStyle name="Normal 53 3 5 2" xfId="40921" xr:uid="{00000000-0005-0000-0000-0000298C0000}"/>
    <cellStyle name="Normal 53 3 6" xfId="31369" xr:uid="{00000000-0005-0000-0000-00002A8C0000}"/>
    <cellStyle name="Normal 53 4" xfId="31370" xr:uid="{00000000-0005-0000-0000-00002B8C0000}"/>
    <cellStyle name="Normal 53 4 2" xfId="31371" xr:uid="{00000000-0005-0000-0000-00002C8C0000}"/>
    <cellStyle name="Normal 53 4 2 2" xfId="31372" xr:uid="{00000000-0005-0000-0000-00002D8C0000}"/>
    <cellStyle name="Normal 53 4 2 2 2" xfId="40922" xr:uid="{00000000-0005-0000-0000-00002E8C0000}"/>
    <cellStyle name="Normal 53 4 2 3" xfId="31373" xr:uid="{00000000-0005-0000-0000-00002F8C0000}"/>
    <cellStyle name="Normal 53 4 3" xfId="31374" xr:uid="{00000000-0005-0000-0000-0000308C0000}"/>
    <cellStyle name="Normal 53 4 3 2" xfId="31375" xr:uid="{00000000-0005-0000-0000-0000318C0000}"/>
    <cellStyle name="Normal 53 4 3 2 2" xfId="40923" xr:uid="{00000000-0005-0000-0000-0000328C0000}"/>
    <cellStyle name="Normal 53 4 3 3" xfId="31376" xr:uid="{00000000-0005-0000-0000-0000338C0000}"/>
    <cellStyle name="Normal 53 4 4" xfId="31377" xr:uid="{00000000-0005-0000-0000-0000348C0000}"/>
    <cellStyle name="Normal 53 4 4 2" xfId="40924" xr:uid="{00000000-0005-0000-0000-0000358C0000}"/>
    <cellStyle name="Normal 53 4 5" xfId="31378" xr:uid="{00000000-0005-0000-0000-0000368C0000}"/>
    <cellStyle name="Normal 53 5" xfId="31379" xr:uid="{00000000-0005-0000-0000-0000378C0000}"/>
    <cellStyle name="Normal 53 5 2" xfId="31380" xr:uid="{00000000-0005-0000-0000-0000388C0000}"/>
    <cellStyle name="Normal 53 5 2 2" xfId="40925" xr:uid="{00000000-0005-0000-0000-0000398C0000}"/>
    <cellStyle name="Normal 53 5 3" xfId="31381" xr:uid="{00000000-0005-0000-0000-00003A8C0000}"/>
    <cellStyle name="Normal 53 6" xfId="31382" xr:uid="{00000000-0005-0000-0000-00003B8C0000}"/>
    <cellStyle name="Normal 53 6 2" xfId="31383" xr:uid="{00000000-0005-0000-0000-00003C8C0000}"/>
    <cellStyle name="Normal 53 6 2 2" xfId="40926" xr:uid="{00000000-0005-0000-0000-00003D8C0000}"/>
    <cellStyle name="Normal 53 6 3" xfId="31384" xr:uid="{00000000-0005-0000-0000-00003E8C0000}"/>
    <cellStyle name="Normal 53 7" xfId="31385" xr:uid="{00000000-0005-0000-0000-00003F8C0000}"/>
    <cellStyle name="Normal 53 7 2" xfId="40927" xr:uid="{00000000-0005-0000-0000-0000408C0000}"/>
    <cellStyle name="Normal 53 8" xfId="31386" xr:uid="{00000000-0005-0000-0000-0000418C0000}"/>
    <cellStyle name="Normal 53 9" xfId="40928" xr:uid="{00000000-0005-0000-0000-0000428C0000}"/>
    <cellStyle name="Normal 54" xfId="482" xr:uid="{00000000-0005-0000-0000-0000438C0000}"/>
    <cellStyle name="Normal 54 2" xfId="1903" xr:uid="{00000000-0005-0000-0000-0000448C0000}"/>
    <cellStyle name="Normal 54 2 2" xfId="31387" xr:uid="{00000000-0005-0000-0000-0000458C0000}"/>
    <cellStyle name="Normal 54 2 2 2" xfId="31388" xr:uid="{00000000-0005-0000-0000-0000468C0000}"/>
    <cellStyle name="Normal 54 2 2 2 2" xfId="31389" xr:uid="{00000000-0005-0000-0000-0000478C0000}"/>
    <cellStyle name="Normal 54 2 2 2 2 2" xfId="31390" xr:uid="{00000000-0005-0000-0000-0000488C0000}"/>
    <cellStyle name="Normal 54 2 2 2 2 2 2" xfId="40929" xr:uid="{00000000-0005-0000-0000-0000498C0000}"/>
    <cellStyle name="Normal 54 2 2 2 2 3" xfId="31391" xr:uid="{00000000-0005-0000-0000-00004A8C0000}"/>
    <cellStyle name="Normal 54 2 2 2 3" xfId="31392" xr:uid="{00000000-0005-0000-0000-00004B8C0000}"/>
    <cellStyle name="Normal 54 2 2 2 3 2" xfId="31393" xr:uid="{00000000-0005-0000-0000-00004C8C0000}"/>
    <cellStyle name="Normal 54 2 2 2 3 2 2" xfId="40930" xr:uid="{00000000-0005-0000-0000-00004D8C0000}"/>
    <cellStyle name="Normal 54 2 2 2 3 3" xfId="31394" xr:uid="{00000000-0005-0000-0000-00004E8C0000}"/>
    <cellStyle name="Normal 54 2 2 2 4" xfId="31395" xr:uid="{00000000-0005-0000-0000-00004F8C0000}"/>
    <cellStyle name="Normal 54 2 2 2 4 2" xfId="40931" xr:uid="{00000000-0005-0000-0000-0000508C0000}"/>
    <cellStyle name="Normal 54 2 2 2 5" xfId="31396" xr:uid="{00000000-0005-0000-0000-0000518C0000}"/>
    <cellStyle name="Normal 54 2 2 3" xfId="31397" xr:uid="{00000000-0005-0000-0000-0000528C0000}"/>
    <cellStyle name="Normal 54 2 2 3 2" xfId="31398" xr:uid="{00000000-0005-0000-0000-0000538C0000}"/>
    <cellStyle name="Normal 54 2 2 3 2 2" xfId="40932" xr:uid="{00000000-0005-0000-0000-0000548C0000}"/>
    <cellStyle name="Normal 54 2 2 3 3" xfId="31399" xr:uid="{00000000-0005-0000-0000-0000558C0000}"/>
    <cellStyle name="Normal 54 2 2 4" xfId="31400" xr:uid="{00000000-0005-0000-0000-0000568C0000}"/>
    <cellStyle name="Normal 54 2 2 4 2" xfId="31401" xr:uid="{00000000-0005-0000-0000-0000578C0000}"/>
    <cellStyle name="Normal 54 2 2 4 2 2" xfId="40933" xr:uid="{00000000-0005-0000-0000-0000588C0000}"/>
    <cellStyle name="Normal 54 2 2 4 3" xfId="31402" xr:uid="{00000000-0005-0000-0000-0000598C0000}"/>
    <cellStyle name="Normal 54 2 2 5" xfId="31403" xr:uid="{00000000-0005-0000-0000-00005A8C0000}"/>
    <cellStyle name="Normal 54 2 2 5 2" xfId="40934" xr:uid="{00000000-0005-0000-0000-00005B8C0000}"/>
    <cellStyle name="Normal 54 2 2 6" xfId="31404" xr:uid="{00000000-0005-0000-0000-00005C8C0000}"/>
    <cellStyle name="Normal 54 2 3" xfId="31405" xr:uid="{00000000-0005-0000-0000-00005D8C0000}"/>
    <cellStyle name="Normal 54 2 3 2" xfId="31406" xr:uid="{00000000-0005-0000-0000-00005E8C0000}"/>
    <cellStyle name="Normal 54 2 3 2 2" xfId="31407" xr:uid="{00000000-0005-0000-0000-00005F8C0000}"/>
    <cellStyle name="Normal 54 2 3 2 2 2" xfId="40935" xr:uid="{00000000-0005-0000-0000-0000608C0000}"/>
    <cellStyle name="Normal 54 2 3 2 3" xfId="31408" xr:uid="{00000000-0005-0000-0000-0000618C0000}"/>
    <cellStyle name="Normal 54 2 3 3" xfId="31409" xr:uid="{00000000-0005-0000-0000-0000628C0000}"/>
    <cellStyle name="Normal 54 2 3 3 2" xfId="31410" xr:uid="{00000000-0005-0000-0000-0000638C0000}"/>
    <cellStyle name="Normal 54 2 3 3 2 2" xfId="40936" xr:uid="{00000000-0005-0000-0000-0000648C0000}"/>
    <cellStyle name="Normal 54 2 3 3 3" xfId="31411" xr:uid="{00000000-0005-0000-0000-0000658C0000}"/>
    <cellStyle name="Normal 54 2 3 4" xfId="31412" xr:uid="{00000000-0005-0000-0000-0000668C0000}"/>
    <cellStyle name="Normal 54 2 3 4 2" xfId="40937" xr:uid="{00000000-0005-0000-0000-0000678C0000}"/>
    <cellStyle name="Normal 54 2 3 5" xfId="31413" xr:uid="{00000000-0005-0000-0000-0000688C0000}"/>
    <cellStyle name="Normal 54 2 4" xfId="31414" xr:uid="{00000000-0005-0000-0000-0000698C0000}"/>
    <cellStyle name="Normal 54 2 4 2" xfId="31415" xr:uid="{00000000-0005-0000-0000-00006A8C0000}"/>
    <cellStyle name="Normal 54 2 4 2 2" xfId="40938" xr:uid="{00000000-0005-0000-0000-00006B8C0000}"/>
    <cellStyle name="Normal 54 2 4 3" xfId="31416" xr:uid="{00000000-0005-0000-0000-00006C8C0000}"/>
    <cellStyle name="Normal 54 2 5" xfId="31417" xr:uid="{00000000-0005-0000-0000-00006D8C0000}"/>
    <cellStyle name="Normal 54 2 5 2" xfId="31418" xr:uid="{00000000-0005-0000-0000-00006E8C0000}"/>
    <cellStyle name="Normal 54 2 5 2 2" xfId="40939" xr:uid="{00000000-0005-0000-0000-00006F8C0000}"/>
    <cellStyle name="Normal 54 2 5 3" xfId="31419" xr:uid="{00000000-0005-0000-0000-0000708C0000}"/>
    <cellStyle name="Normal 54 2 6" xfId="31420" xr:uid="{00000000-0005-0000-0000-0000718C0000}"/>
    <cellStyle name="Normal 54 2 6 2" xfId="40940" xr:uid="{00000000-0005-0000-0000-0000728C0000}"/>
    <cellStyle name="Normal 54 2 7" xfId="31421" xr:uid="{00000000-0005-0000-0000-0000738C0000}"/>
    <cellStyle name="Normal 54 3" xfId="1904" xr:uid="{00000000-0005-0000-0000-0000748C0000}"/>
    <cellStyle name="Normal 54 3 2" xfId="31422" xr:uid="{00000000-0005-0000-0000-0000758C0000}"/>
    <cellStyle name="Normal 54 3 2 2" xfId="31423" xr:uid="{00000000-0005-0000-0000-0000768C0000}"/>
    <cellStyle name="Normal 54 3 2 2 2" xfId="31424" xr:uid="{00000000-0005-0000-0000-0000778C0000}"/>
    <cellStyle name="Normal 54 3 2 2 2 2" xfId="40941" xr:uid="{00000000-0005-0000-0000-0000788C0000}"/>
    <cellStyle name="Normal 54 3 2 2 3" xfId="31425" xr:uid="{00000000-0005-0000-0000-0000798C0000}"/>
    <cellStyle name="Normal 54 3 2 3" xfId="31426" xr:uid="{00000000-0005-0000-0000-00007A8C0000}"/>
    <cellStyle name="Normal 54 3 2 3 2" xfId="31427" xr:uid="{00000000-0005-0000-0000-00007B8C0000}"/>
    <cellStyle name="Normal 54 3 2 3 2 2" xfId="40942" xr:uid="{00000000-0005-0000-0000-00007C8C0000}"/>
    <cellStyle name="Normal 54 3 2 3 3" xfId="31428" xr:uid="{00000000-0005-0000-0000-00007D8C0000}"/>
    <cellStyle name="Normal 54 3 2 4" xfId="31429" xr:uid="{00000000-0005-0000-0000-00007E8C0000}"/>
    <cellStyle name="Normal 54 3 2 4 2" xfId="40943" xr:uid="{00000000-0005-0000-0000-00007F8C0000}"/>
    <cellStyle name="Normal 54 3 2 5" xfId="31430" xr:uid="{00000000-0005-0000-0000-0000808C0000}"/>
    <cellStyle name="Normal 54 3 3" xfId="31431" xr:uid="{00000000-0005-0000-0000-0000818C0000}"/>
    <cellStyle name="Normal 54 3 3 2" xfId="31432" xr:uid="{00000000-0005-0000-0000-0000828C0000}"/>
    <cellStyle name="Normal 54 3 3 2 2" xfId="40944" xr:uid="{00000000-0005-0000-0000-0000838C0000}"/>
    <cellStyle name="Normal 54 3 3 3" xfId="31433" xr:uid="{00000000-0005-0000-0000-0000848C0000}"/>
    <cellStyle name="Normal 54 3 4" xfId="31434" xr:uid="{00000000-0005-0000-0000-0000858C0000}"/>
    <cellStyle name="Normal 54 3 4 2" xfId="31435" xr:uid="{00000000-0005-0000-0000-0000868C0000}"/>
    <cellStyle name="Normal 54 3 4 2 2" xfId="40945" xr:uid="{00000000-0005-0000-0000-0000878C0000}"/>
    <cellStyle name="Normal 54 3 4 3" xfId="31436" xr:uid="{00000000-0005-0000-0000-0000888C0000}"/>
    <cellStyle name="Normal 54 3 5" xfId="31437" xr:uid="{00000000-0005-0000-0000-0000898C0000}"/>
    <cellStyle name="Normal 54 3 5 2" xfId="40946" xr:uid="{00000000-0005-0000-0000-00008A8C0000}"/>
    <cellStyle name="Normal 54 3 6" xfId="31438" xr:uid="{00000000-0005-0000-0000-00008B8C0000}"/>
    <cellStyle name="Normal 54 4" xfId="31439" xr:uid="{00000000-0005-0000-0000-00008C8C0000}"/>
    <cellStyle name="Normal 54 4 2" xfId="31440" xr:uid="{00000000-0005-0000-0000-00008D8C0000}"/>
    <cellStyle name="Normal 54 4 2 2" xfId="31441" xr:uid="{00000000-0005-0000-0000-00008E8C0000}"/>
    <cellStyle name="Normal 54 4 2 2 2" xfId="40947" xr:uid="{00000000-0005-0000-0000-00008F8C0000}"/>
    <cellStyle name="Normal 54 4 2 3" xfId="31442" xr:uid="{00000000-0005-0000-0000-0000908C0000}"/>
    <cellStyle name="Normal 54 4 3" xfId="31443" xr:uid="{00000000-0005-0000-0000-0000918C0000}"/>
    <cellStyle name="Normal 54 4 3 2" xfId="31444" xr:uid="{00000000-0005-0000-0000-0000928C0000}"/>
    <cellStyle name="Normal 54 4 3 2 2" xfId="40948" xr:uid="{00000000-0005-0000-0000-0000938C0000}"/>
    <cellStyle name="Normal 54 4 3 3" xfId="31445" xr:uid="{00000000-0005-0000-0000-0000948C0000}"/>
    <cellStyle name="Normal 54 4 4" xfId="31446" xr:uid="{00000000-0005-0000-0000-0000958C0000}"/>
    <cellStyle name="Normal 54 4 4 2" xfId="40949" xr:uid="{00000000-0005-0000-0000-0000968C0000}"/>
    <cellStyle name="Normal 54 4 5" xfId="31447" xr:uid="{00000000-0005-0000-0000-0000978C0000}"/>
    <cellStyle name="Normal 54 5" xfId="31448" xr:uid="{00000000-0005-0000-0000-0000988C0000}"/>
    <cellStyle name="Normal 54 5 2" xfId="31449" xr:uid="{00000000-0005-0000-0000-0000998C0000}"/>
    <cellStyle name="Normal 54 5 2 2" xfId="40950" xr:uid="{00000000-0005-0000-0000-00009A8C0000}"/>
    <cellStyle name="Normal 54 5 3" xfId="31450" xr:uid="{00000000-0005-0000-0000-00009B8C0000}"/>
    <cellStyle name="Normal 54 6" xfId="31451" xr:uid="{00000000-0005-0000-0000-00009C8C0000}"/>
    <cellStyle name="Normal 54 6 2" xfId="31452" xr:uid="{00000000-0005-0000-0000-00009D8C0000}"/>
    <cellStyle name="Normal 54 6 2 2" xfId="40951" xr:uid="{00000000-0005-0000-0000-00009E8C0000}"/>
    <cellStyle name="Normal 54 6 3" xfId="31453" xr:uid="{00000000-0005-0000-0000-00009F8C0000}"/>
    <cellStyle name="Normal 54 7" xfId="31454" xr:uid="{00000000-0005-0000-0000-0000A08C0000}"/>
    <cellStyle name="Normal 54 7 2" xfId="40952" xr:uid="{00000000-0005-0000-0000-0000A18C0000}"/>
    <cellStyle name="Normal 54 8" xfId="31455" xr:uid="{00000000-0005-0000-0000-0000A28C0000}"/>
    <cellStyle name="Normal 54 9" xfId="40953" xr:uid="{00000000-0005-0000-0000-0000A38C0000}"/>
    <cellStyle name="Normal 55" xfId="483" xr:uid="{00000000-0005-0000-0000-0000A48C0000}"/>
    <cellStyle name="Normal 55 2" xfId="1905" xr:uid="{00000000-0005-0000-0000-0000A58C0000}"/>
    <cellStyle name="Normal 55 2 2" xfId="31456" xr:uid="{00000000-0005-0000-0000-0000A68C0000}"/>
    <cellStyle name="Normal 55 2 2 2" xfId="31457" xr:uid="{00000000-0005-0000-0000-0000A78C0000}"/>
    <cellStyle name="Normal 55 2 2 2 2" xfId="31458" xr:uid="{00000000-0005-0000-0000-0000A88C0000}"/>
    <cellStyle name="Normal 55 2 2 2 2 2" xfId="31459" xr:uid="{00000000-0005-0000-0000-0000A98C0000}"/>
    <cellStyle name="Normal 55 2 2 2 2 2 2" xfId="40954" xr:uid="{00000000-0005-0000-0000-0000AA8C0000}"/>
    <cellStyle name="Normal 55 2 2 2 2 3" xfId="31460" xr:uid="{00000000-0005-0000-0000-0000AB8C0000}"/>
    <cellStyle name="Normal 55 2 2 2 3" xfId="31461" xr:uid="{00000000-0005-0000-0000-0000AC8C0000}"/>
    <cellStyle name="Normal 55 2 2 2 3 2" xfId="31462" xr:uid="{00000000-0005-0000-0000-0000AD8C0000}"/>
    <cellStyle name="Normal 55 2 2 2 3 2 2" xfId="40955" xr:uid="{00000000-0005-0000-0000-0000AE8C0000}"/>
    <cellStyle name="Normal 55 2 2 2 3 3" xfId="31463" xr:uid="{00000000-0005-0000-0000-0000AF8C0000}"/>
    <cellStyle name="Normal 55 2 2 2 4" xfId="31464" xr:uid="{00000000-0005-0000-0000-0000B08C0000}"/>
    <cellStyle name="Normal 55 2 2 2 4 2" xfId="40956" xr:uid="{00000000-0005-0000-0000-0000B18C0000}"/>
    <cellStyle name="Normal 55 2 2 2 5" xfId="31465" xr:uid="{00000000-0005-0000-0000-0000B28C0000}"/>
    <cellStyle name="Normal 55 2 2 3" xfId="31466" xr:uid="{00000000-0005-0000-0000-0000B38C0000}"/>
    <cellStyle name="Normal 55 2 2 3 2" xfId="31467" xr:uid="{00000000-0005-0000-0000-0000B48C0000}"/>
    <cellStyle name="Normal 55 2 2 3 2 2" xfId="40957" xr:uid="{00000000-0005-0000-0000-0000B58C0000}"/>
    <cellStyle name="Normal 55 2 2 3 3" xfId="31468" xr:uid="{00000000-0005-0000-0000-0000B68C0000}"/>
    <cellStyle name="Normal 55 2 2 4" xfId="31469" xr:uid="{00000000-0005-0000-0000-0000B78C0000}"/>
    <cellStyle name="Normal 55 2 2 4 2" xfId="31470" xr:uid="{00000000-0005-0000-0000-0000B88C0000}"/>
    <cellStyle name="Normal 55 2 2 4 2 2" xfId="40958" xr:uid="{00000000-0005-0000-0000-0000B98C0000}"/>
    <cellStyle name="Normal 55 2 2 4 3" xfId="31471" xr:uid="{00000000-0005-0000-0000-0000BA8C0000}"/>
    <cellStyle name="Normal 55 2 2 5" xfId="31472" xr:uid="{00000000-0005-0000-0000-0000BB8C0000}"/>
    <cellStyle name="Normal 55 2 2 5 2" xfId="40959" xr:uid="{00000000-0005-0000-0000-0000BC8C0000}"/>
    <cellStyle name="Normal 55 2 2 6" xfId="31473" xr:uid="{00000000-0005-0000-0000-0000BD8C0000}"/>
    <cellStyle name="Normal 55 2 3" xfId="31474" xr:uid="{00000000-0005-0000-0000-0000BE8C0000}"/>
    <cellStyle name="Normal 55 2 3 2" xfId="31475" xr:uid="{00000000-0005-0000-0000-0000BF8C0000}"/>
    <cellStyle name="Normal 55 2 3 2 2" xfId="31476" xr:uid="{00000000-0005-0000-0000-0000C08C0000}"/>
    <cellStyle name="Normal 55 2 3 2 2 2" xfId="40960" xr:uid="{00000000-0005-0000-0000-0000C18C0000}"/>
    <cellStyle name="Normal 55 2 3 2 3" xfId="31477" xr:uid="{00000000-0005-0000-0000-0000C28C0000}"/>
    <cellStyle name="Normal 55 2 3 3" xfId="31478" xr:uid="{00000000-0005-0000-0000-0000C38C0000}"/>
    <cellStyle name="Normal 55 2 3 3 2" xfId="31479" xr:uid="{00000000-0005-0000-0000-0000C48C0000}"/>
    <cellStyle name="Normal 55 2 3 3 2 2" xfId="40961" xr:uid="{00000000-0005-0000-0000-0000C58C0000}"/>
    <cellStyle name="Normal 55 2 3 3 3" xfId="31480" xr:uid="{00000000-0005-0000-0000-0000C68C0000}"/>
    <cellStyle name="Normal 55 2 3 4" xfId="31481" xr:uid="{00000000-0005-0000-0000-0000C78C0000}"/>
    <cellStyle name="Normal 55 2 3 4 2" xfId="40962" xr:uid="{00000000-0005-0000-0000-0000C88C0000}"/>
    <cellStyle name="Normal 55 2 3 5" xfId="31482" xr:uid="{00000000-0005-0000-0000-0000C98C0000}"/>
    <cellStyle name="Normal 55 2 4" xfId="31483" xr:uid="{00000000-0005-0000-0000-0000CA8C0000}"/>
    <cellStyle name="Normal 55 2 4 2" xfId="31484" xr:uid="{00000000-0005-0000-0000-0000CB8C0000}"/>
    <cellStyle name="Normal 55 2 4 2 2" xfId="40963" xr:uid="{00000000-0005-0000-0000-0000CC8C0000}"/>
    <cellStyle name="Normal 55 2 4 3" xfId="31485" xr:uid="{00000000-0005-0000-0000-0000CD8C0000}"/>
    <cellStyle name="Normal 55 2 5" xfId="31486" xr:uid="{00000000-0005-0000-0000-0000CE8C0000}"/>
    <cellStyle name="Normal 55 2 5 2" xfId="31487" xr:uid="{00000000-0005-0000-0000-0000CF8C0000}"/>
    <cellStyle name="Normal 55 2 5 2 2" xfId="40964" xr:uid="{00000000-0005-0000-0000-0000D08C0000}"/>
    <cellStyle name="Normal 55 2 5 3" xfId="31488" xr:uid="{00000000-0005-0000-0000-0000D18C0000}"/>
    <cellStyle name="Normal 55 2 6" xfId="31489" xr:uid="{00000000-0005-0000-0000-0000D28C0000}"/>
    <cellStyle name="Normal 55 2 6 2" xfId="40965" xr:uid="{00000000-0005-0000-0000-0000D38C0000}"/>
    <cellStyle name="Normal 55 2 7" xfId="31490" xr:uid="{00000000-0005-0000-0000-0000D48C0000}"/>
    <cellStyle name="Normal 55 3" xfId="1906" xr:uid="{00000000-0005-0000-0000-0000D58C0000}"/>
    <cellStyle name="Normal 55 3 2" xfId="31491" xr:uid="{00000000-0005-0000-0000-0000D68C0000}"/>
    <cellStyle name="Normal 55 3 2 2" xfId="31492" xr:uid="{00000000-0005-0000-0000-0000D78C0000}"/>
    <cellStyle name="Normal 55 3 2 2 2" xfId="31493" xr:uid="{00000000-0005-0000-0000-0000D88C0000}"/>
    <cellStyle name="Normal 55 3 2 2 2 2" xfId="40966" xr:uid="{00000000-0005-0000-0000-0000D98C0000}"/>
    <cellStyle name="Normal 55 3 2 2 3" xfId="31494" xr:uid="{00000000-0005-0000-0000-0000DA8C0000}"/>
    <cellStyle name="Normal 55 3 2 3" xfId="31495" xr:uid="{00000000-0005-0000-0000-0000DB8C0000}"/>
    <cellStyle name="Normal 55 3 2 3 2" xfId="31496" xr:uid="{00000000-0005-0000-0000-0000DC8C0000}"/>
    <cellStyle name="Normal 55 3 2 3 2 2" xfId="40967" xr:uid="{00000000-0005-0000-0000-0000DD8C0000}"/>
    <cellStyle name="Normal 55 3 2 3 3" xfId="31497" xr:uid="{00000000-0005-0000-0000-0000DE8C0000}"/>
    <cellStyle name="Normal 55 3 2 4" xfId="31498" xr:uid="{00000000-0005-0000-0000-0000DF8C0000}"/>
    <cellStyle name="Normal 55 3 2 4 2" xfId="40968" xr:uid="{00000000-0005-0000-0000-0000E08C0000}"/>
    <cellStyle name="Normal 55 3 2 5" xfId="31499" xr:uid="{00000000-0005-0000-0000-0000E18C0000}"/>
    <cellStyle name="Normal 55 3 3" xfId="31500" xr:uid="{00000000-0005-0000-0000-0000E28C0000}"/>
    <cellStyle name="Normal 55 3 3 2" xfId="31501" xr:uid="{00000000-0005-0000-0000-0000E38C0000}"/>
    <cellStyle name="Normal 55 3 3 2 2" xfId="40969" xr:uid="{00000000-0005-0000-0000-0000E48C0000}"/>
    <cellStyle name="Normal 55 3 3 3" xfId="31502" xr:uid="{00000000-0005-0000-0000-0000E58C0000}"/>
    <cellStyle name="Normal 55 3 4" xfId="31503" xr:uid="{00000000-0005-0000-0000-0000E68C0000}"/>
    <cellStyle name="Normal 55 3 4 2" xfId="31504" xr:uid="{00000000-0005-0000-0000-0000E78C0000}"/>
    <cellStyle name="Normal 55 3 4 2 2" xfId="40970" xr:uid="{00000000-0005-0000-0000-0000E88C0000}"/>
    <cellStyle name="Normal 55 3 4 3" xfId="31505" xr:uid="{00000000-0005-0000-0000-0000E98C0000}"/>
    <cellStyle name="Normal 55 3 5" xfId="31506" xr:uid="{00000000-0005-0000-0000-0000EA8C0000}"/>
    <cellStyle name="Normal 55 3 5 2" xfId="40971" xr:uid="{00000000-0005-0000-0000-0000EB8C0000}"/>
    <cellStyle name="Normal 55 3 6" xfId="31507" xr:uid="{00000000-0005-0000-0000-0000EC8C0000}"/>
    <cellStyle name="Normal 55 4" xfId="31508" xr:uid="{00000000-0005-0000-0000-0000ED8C0000}"/>
    <cellStyle name="Normal 55 4 2" xfId="31509" xr:uid="{00000000-0005-0000-0000-0000EE8C0000}"/>
    <cellStyle name="Normal 55 4 2 2" xfId="31510" xr:uid="{00000000-0005-0000-0000-0000EF8C0000}"/>
    <cellStyle name="Normal 55 4 2 2 2" xfId="40972" xr:uid="{00000000-0005-0000-0000-0000F08C0000}"/>
    <cellStyle name="Normal 55 4 2 3" xfId="31511" xr:uid="{00000000-0005-0000-0000-0000F18C0000}"/>
    <cellStyle name="Normal 55 4 3" xfId="31512" xr:uid="{00000000-0005-0000-0000-0000F28C0000}"/>
    <cellStyle name="Normal 55 4 3 2" xfId="31513" xr:uid="{00000000-0005-0000-0000-0000F38C0000}"/>
    <cellStyle name="Normal 55 4 3 2 2" xfId="40973" xr:uid="{00000000-0005-0000-0000-0000F48C0000}"/>
    <cellStyle name="Normal 55 4 3 3" xfId="31514" xr:uid="{00000000-0005-0000-0000-0000F58C0000}"/>
    <cellStyle name="Normal 55 4 4" xfId="31515" xr:uid="{00000000-0005-0000-0000-0000F68C0000}"/>
    <cellStyle name="Normal 55 4 4 2" xfId="40974" xr:uid="{00000000-0005-0000-0000-0000F78C0000}"/>
    <cellStyle name="Normal 55 4 5" xfId="31516" xr:uid="{00000000-0005-0000-0000-0000F88C0000}"/>
    <cellStyle name="Normal 55 5" xfId="31517" xr:uid="{00000000-0005-0000-0000-0000F98C0000}"/>
    <cellStyle name="Normal 55 5 2" xfId="31518" xr:uid="{00000000-0005-0000-0000-0000FA8C0000}"/>
    <cellStyle name="Normal 55 5 2 2" xfId="40975" xr:uid="{00000000-0005-0000-0000-0000FB8C0000}"/>
    <cellStyle name="Normal 55 5 3" xfId="31519" xr:uid="{00000000-0005-0000-0000-0000FC8C0000}"/>
    <cellStyle name="Normal 55 6" xfId="31520" xr:uid="{00000000-0005-0000-0000-0000FD8C0000}"/>
    <cellStyle name="Normal 55 6 2" xfId="31521" xr:uid="{00000000-0005-0000-0000-0000FE8C0000}"/>
    <cellStyle name="Normal 55 6 2 2" xfId="40976" xr:uid="{00000000-0005-0000-0000-0000FF8C0000}"/>
    <cellStyle name="Normal 55 6 3" xfId="31522" xr:uid="{00000000-0005-0000-0000-0000008D0000}"/>
    <cellStyle name="Normal 55 7" xfId="31523" xr:uid="{00000000-0005-0000-0000-0000018D0000}"/>
    <cellStyle name="Normal 55 7 2" xfId="40977" xr:uid="{00000000-0005-0000-0000-0000028D0000}"/>
    <cellStyle name="Normal 55 8" xfId="31524" xr:uid="{00000000-0005-0000-0000-0000038D0000}"/>
    <cellStyle name="Normal 55 9" xfId="40978" xr:uid="{00000000-0005-0000-0000-0000048D0000}"/>
    <cellStyle name="Normal 56" xfId="484" xr:uid="{00000000-0005-0000-0000-0000058D0000}"/>
    <cellStyle name="Normal 56 2" xfId="1907" xr:uid="{00000000-0005-0000-0000-0000068D0000}"/>
    <cellStyle name="Normal 56 2 2" xfId="31525" xr:uid="{00000000-0005-0000-0000-0000078D0000}"/>
    <cellStyle name="Normal 56 2 2 2" xfId="31526" xr:uid="{00000000-0005-0000-0000-0000088D0000}"/>
    <cellStyle name="Normal 56 2 2 2 2" xfId="31527" xr:uid="{00000000-0005-0000-0000-0000098D0000}"/>
    <cellStyle name="Normal 56 2 2 2 2 2" xfId="31528" xr:uid="{00000000-0005-0000-0000-00000A8D0000}"/>
    <cellStyle name="Normal 56 2 2 2 2 2 2" xfId="40979" xr:uid="{00000000-0005-0000-0000-00000B8D0000}"/>
    <cellStyle name="Normal 56 2 2 2 2 3" xfId="31529" xr:uid="{00000000-0005-0000-0000-00000C8D0000}"/>
    <cellStyle name="Normal 56 2 2 2 3" xfId="31530" xr:uid="{00000000-0005-0000-0000-00000D8D0000}"/>
    <cellStyle name="Normal 56 2 2 2 3 2" xfId="31531" xr:uid="{00000000-0005-0000-0000-00000E8D0000}"/>
    <cellStyle name="Normal 56 2 2 2 3 2 2" xfId="40980" xr:uid="{00000000-0005-0000-0000-00000F8D0000}"/>
    <cellStyle name="Normal 56 2 2 2 3 3" xfId="31532" xr:uid="{00000000-0005-0000-0000-0000108D0000}"/>
    <cellStyle name="Normal 56 2 2 2 4" xfId="31533" xr:uid="{00000000-0005-0000-0000-0000118D0000}"/>
    <cellStyle name="Normal 56 2 2 2 4 2" xfId="40981" xr:uid="{00000000-0005-0000-0000-0000128D0000}"/>
    <cellStyle name="Normal 56 2 2 2 5" xfId="31534" xr:uid="{00000000-0005-0000-0000-0000138D0000}"/>
    <cellStyle name="Normal 56 2 2 3" xfId="31535" xr:uid="{00000000-0005-0000-0000-0000148D0000}"/>
    <cellStyle name="Normal 56 2 2 3 2" xfId="31536" xr:uid="{00000000-0005-0000-0000-0000158D0000}"/>
    <cellStyle name="Normal 56 2 2 3 2 2" xfId="40982" xr:uid="{00000000-0005-0000-0000-0000168D0000}"/>
    <cellStyle name="Normal 56 2 2 3 3" xfId="31537" xr:uid="{00000000-0005-0000-0000-0000178D0000}"/>
    <cellStyle name="Normal 56 2 2 4" xfId="31538" xr:uid="{00000000-0005-0000-0000-0000188D0000}"/>
    <cellStyle name="Normal 56 2 2 4 2" xfId="31539" xr:uid="{00000000-0005-0000-0000-0000198D0000}"/>
    <cellStyle name="Normal 56 2 2 4 2 2" xfId="40983" xr:uid="{00000000-0005-0000-0000-00001A8D0000}"/>
    <cellStyle name="Normal 56 2 2 4 3" xfId="31540" xr:uid="{00000000-0005-0000-0000-00001B8D0000}"/>
    <cellStyle name="Normal 56 2 2 5" xfId="31541" xr:uid="{00000000-0005-0000-0000-00001C8D0000}"/>
    <cellStyle name="Normal 56 2 2 5 2" xfId="40984" xr:uid="{00000000-0005-0000-0000-00001D8D0000}"/>
    <cellStyle name="Normal 56 2 2 6" xfId="31542" xr:uid="{00000000-0005-0000-0000-00001E8D0000}"/>
    <cellStyle name="Normal 56 2 3" xfId="31543" xr:uid="{00000000-0005-0000-0000-00001F8D0000}"/>
    <cellStyle name="Normal 56 2 3 2" xfId="31544" xr:uid="{00000000-0005-0000-0000-0000208D0000}"/>
    <cellStyle name="Normal 56 2 3 2 2" xfId="31545" xr:uid="{00000000-0005-0000-0000-0000218D0000}"/>
    <cellStyle name="Normal 56 2 3 2 2 2" xfId="40985" xr:uid="{00000000-0005-0000-0000-0000228D0000}"/>
    <cellStyle name="Normal 56 2 3 2 3" xfId="31546" xr:uid="{00000000-0005-0000-0000-0000238D0000}"/>
    <cellStyle name="Normal 56 2 3 3" xfId="31547" xr:uid="{00000000-0005-0000-0000-0000248D0000}"/>
    <cellStyle name="Normal 56 2 3 3 2" xfId="31548" xr:uid="{00000000-0005-0000-0000-0000258D0000}"/>
    <cellStyle name="Normal 56 2 3 3 2 2" xfId="40986" xr:uid="{00000000-0005-0000-0000-0000268D0000}"/>
    <cellStyle name="Normal 56 2 3 3 3" xfId="31549" xr:uid="{00000000-0005-0000-0000-0000278D0000}"/>
    <cellStyle name="Normal 56 2 3 4" xfId="31550" xr:uid="{00000000-0005-0000-0000-0000288D0000}"/>
    <cellStyle name="Normal 56 2 3 4 2" xfId="40987" xr:uid="{00000000-0005-0000-0000-0000298D0000}"/>
    <cellStyle name="Normal 56 2 3 5" xfId="31551" xr:uid="{00000000-0005-0000-0000-00002A8D0000}"/>
    <cellStyle name="Normal 56 2 4" xfId="31552" xr:uid="{00000000-0005-0000-0000-00002B8D0000}"/>
    <cellStyle name="Normal 56 2 4 2" xfId="31553" xr:uid="{00000000-0005-0000-0000-00002C8D0000}"/>
    <cellStyle name="Normal 56 2 4 2 2" xfId="40988" xr:uid="{00000000-0005-0000-0000-00002D8D0000}"/>
    <cellStyle name="Normal 56 2 4 3" xfId="31554" xr:uid="{00000000-0005-0000-0000-00002E8D0000}"/>
    <cellStyle name="Normal 56 2 5" xfId="31555" xr:uid="{00000000-0005-0000-0000-00002F8D0000}"/>
    <cellStyle name="Normal 56 2 5 2" xfId="31556" xr:uid="{00000000-0005-0000-0000-0000308D0000}"/>
    <cellStyle name="Normal 56 2 5 2 2" xfId="40989" xr:uid="{00000000-0005-0000-0000-0000318D0000}"/>
    <cellStyle name="Normal 56 2 5 3" xfId="31557" xr:uid="{00000000-0005-0000-0000-0000328D0000}"/>
    <cellStyle name="Normal 56 2 6" xfId="31558" xr:uid="{00000000-0005-0000-0000-0000338D0000}"/>
    <cellStyle name="Normal 56 2 6 2" xfId="40990" xr:uid="{00000000-0005-0000-0000-0000348D0000}"/>
    <cellStyle name="Normal 56 2 7" xfId="31559" xr:uid="{00000000-0005-0000-0000-0000358D0000}"/>
    <cellStyle name="Normal 56 3" xfId="1908" xr:uid="{00000000-0005-0000-0000-0000368D0000}"/>
    <cellStyle name="Normal 56 3 2" xfId="31560" xr:uid="{00000000-0005-0000-0000-0000378D0000}"/>
    <cellStyle name="Normal 56 3 2 2" xfId="31561" xr:uid="{00000000-0005-0000-0000-0000388D0000}"/>
    <cellStyle name="Normal 56 3 2 2 2" xfId="31562" xr:uid="{00000000-0005-0000-0000-0000398D0000}"/>
    <cellStyle name="Normal 56 3 2 2 2 2" xfId="40991" xr:uid="{00000000-0005-0000-0000-00003A8D0000}"/>
    <cellStyle name="Normal 56 3 2 2 3" xfId="31563" xr:uid="{00000000-0005-0000-0000-00003B8D0000}"/>
    <cellStyle name="Normal 56 3 2 3" xfId="31564" xr:uid="{00000000-0005-0000-0000-00003C8D0000}"/>
    <cellStyle name="Normal 56 3 2 3 2" xfId="31565" xr:uid="{00000000-0005-0000-0000-00003D8D0000}"/>
    <cellStyle name="Normal 56 3 2 3 2 2" xfId="40992" xr:uid="{00000000-0005-0000-0000-00003E8D0000}"/>
    <cellStyle name="Normal 56 3 2 3 3" xfId="31566" xr:uid="{00000000-0005-0000-0000-00003F8D0000}"/>
    <cellStyle name="Normal 56 3 2 4" xfId="31567" xr:uid="{00000000-0005-0000-0000-0000408D0000}"/>
    <cellStyle name="Normal 56 3 2 4 2" xfId="40993" xr:uid="{00000000-0005-0000-0000-0000418D0000}"/>
    <cellStyle name="Normal 56 3 2 5" xfId="31568" xr:uid="{00000000-0005-0000-0000-0000428D0000}"/>
    <cellStyle name="Normal 56 3 3" xfId="31569" xr:uid="{00000000-0005-0000-0000-0000438D0000}"/>
    <cellStyle name="Normal 56 3 3 2" xfId="31570" xr:uid="{00000000-0005-0000-0000-0000448D0000}"/>
    <cellStyle name="Normal 56 3 3 2 2" xfId="40994" xr:uid="{00000000-0005-0000-0000-0000458D0000}"/>
    <cellStyle name="Normal 56 3 3 3" xfId="31571" xr:uid="{00000000-0005-0000-0000-0000468D0000}"/>
    <cellStyle name="Normal 56 3 4" xfId="31572" xr:uid="{00000000-0005-0000-0000-0000478D0000}"/>
    <cellStyle name="Normal 56 3 4 2" xfId="31573" xr:uid="{00000000-0005-0000-0000-0000488D0000}"/>
    <cellStyle name="Normal 56 3 4 2 2" xfId="40995" xr:uid="{00000000-0005-0000-0000-0000498D0000}"/>
    <cellStyle name="Normal 56 3 4 3" xfId="31574" xr:uid="{00000000-0005-0000-0000-00004A8D0000}"/>
    <cellStyle name="Normal 56 3 5" xfId="31575" xr:uid="{00000000-0005-0000-0000-00004B8D0000}"/>
    <cellStyle name="Normal 56 3 5 2" xfId="40996" xr:uid="{00000000-0005-0000-0000-00004C8D0000}"/>
    <cellStyle name="Normal 56 3 6" xfId="31576" xr:uid="{00000000-0005-0000-0000-00004D8D0000}"/>
    <cellStyle name="Normal 56 4" xfId="31577" xr:uid="{00000000-0005-0000-0000-00004E8D0000}"/>
    <cellStyle name="Normal 56 4 2" xfId="31578" xr:uid="{00000000-0005-0000-0000-00004F8D0000}"/>
    <cellStyle name="Normal 56 4 2 2" xfId="31579" xr:uid="{00000000-0005-0000-0000-0000508D0000}"/>
    <cellStyle name="Normal 56 4 2 2 2" xfId="40997" xr:uid="{00000000-0005-0000-0000-0000518D0000}"/>
    <cellStyle name="Normal 56 4 2 3" xfId="31580" xr:uid="{00000000-0005-0000-0000-0000528D0000}"/>
    <cellStyle name="Normal 56 4 3" xfId="31581" xr:uid="{00000000-0005-0000-0000-0000538D0000}"/>
    <cellStyle name="Normal 56 4 3 2" xfId="31582" xr:uid="{00000000-0005-0000-0000-0000548D0000}"/>
    <cellStyle name="Normal 56 4 3 2 2" xfId="40998" xr:uid="{00000000-0005-0000-0000-0000558D0000}"/>
    <cellStyle name="Normal 56 4 3 3" xfId="31583" xr:uid="{00000000-0005-0000-0000-0000568D0000}"/>
    <cellStyle name="Normal 56 4 4" xfId="31584" xr:uid="{00000000-0005-0000-0000-0000578D0000}"/>
    <cellStyle name="Normal 56 4 4 2" xfId="40999" xr:uid="{00000000-0005-0000-0000-0000588D0000}"/>
    <cellStyle name="Normal 56 4 5" xfId="31585" xr:uid="{00000000-0005-0000-0000-0000598D0000}"/>
    <cellStyle name="Normal 56 5" xfId="31586" xr:uid="{00000000-0005-0000-0000-00005A8D0000}"/>
    <cellStyle name="Normal 56 5 2" xfId="31587" xr:uid="{00000000-0005-0000-0000-00005B8D0000}"/>
    <cellStyle name="Normal 56 5 2 2" xfId="41000" xr:uid="{00000000-0005-0000-0000-00005C8D0000}"/>
    <cellStyle name="Normal 56 5 3" xfId="31588" xr:uid="{00000000-0005-0000-0000-00005D8D0000}"/>
    <cellStyle name="Normal 56 6" xfId="31589" xr:uid="{00000000-0005-0000-0000-00005E8D0000}"/>
    <cellStyle name="Normal 56 6 2" xfId="31590" xr:uid="{00000000-0005-0000-0000-00005F8D0000}"/>
    <cellStyle name="Normal 56 6 2 2" xfId="41001" xr:uid="{00000000-0005-0000-0000-0000608D0000}"/>
    <cellStyle name="Normal 56 6 3" xfId="31591" xr:uid="{00000000-0005-0000-0000-0000618D0000}"/>
    <cellStyle name="Normal 56 7" xfId="31592" xr:uid="{00000000-0005-0000-0000-0000628D0000}"/>
    <cellStyle name="Normal 56 7 2" xfId="41002" xr:uid="{00000000-0005-0000-0000-0000638D0000}"/>
    <cellStyle name="Normal 56 8" xfId="31593" xr:uid="{00000000-0005-0000-0000-0000648D0000}"/>
    <cellStyle name="Normal 56 9" xfId="41003" xr:uid="{00000000-0005-0000-0000-0000658D0000}"/>
    <cellStyle name="Normal 57" xfId="485" xr:uid="{00000000-0005-0000-0000-0000668D0000}"/>
    <cellStyle name="Normal 57 2" xfId="1909" xr:uid="{00000000-0005-0000-0000-0000678D0000}"/>
    <cellStyle name="Normal 57 2 2" xfId="31594" xr:uid="{00000000-0005-0000-0000-0000688D0000}"/>
    <cellStyle name="Normal 57 2 2 2" xfId="31595" xr:uid="{00000000-0005-0000-0000-0000698D0000}"/>
    <cellStyle name="Normal 57 2 2 2 2" xfId="31596" xr:uid="{00000000-0005-0000-0000-00006A8D0000}"/>
    <cellStyle name="Normal 57 2 2 2 2 2" xfId="31597" xr:uid="{00000000-0005-0000-0000-00006B8D0000}"/>
    <cellStyle name="Normal 57 2 2 2 2 2 2" xfId="41004" xr:uid="{00000000-0005-0000-0000-00006C8D0000}"/>
    <cellStyle name="Normal 57 2 2 2 2 3" xfId="31598" xr:uid="{00000000-0005-0000-0000-00006D8D0000}"/>
    <cellStyle name="Normal 57 2 2 2 3" xfId="31599" xr:uid="{00000000-0005-0000-0000-00006E8D0000}"/>
    <cellStyle name="Normal 57 2 2 2 3 2" xfId="31600" xr:uid="{00000000-0005-0000-0000-00006F8D0000}"/>
    <cellStyle name="Normal 57 2 2 2 3 2 2" xfId="41005" xr:uid="{00000000-0005-0000-0000-0000708D0000}"/>
    <cellStyle name="Normal 57 2 2 2 3 3" xfId="31601" xr:uid="{00000000-0005-0000-0000-0000718D0000}"/>
    <cellStyle name="Normal 57 2 2 2 4" xfId="31602" xr:uid="{00000000-0005-0000-0000-0000728D0000}"/>
    <cellStyle name="Normal 57 2 2 2 4 2" xfId="41006" xr:uid="{00000000-0005-0000-0000-0000738D0000}"/>
    <cellStyle name="Normal 57 2 2 2 5" xfId="31603" xr:uid="{00000000-0005-0000-0000-0000748D0000}"/>
    <cellStyle name="Normal 57 2 2 3" xfId="31604" xr:uid="{00000000-0005-0000-0000-0000758D0000}"/>
    <cellStyle name="Normal 57 2 2 3 2" xfId="31605" xr:uid="{00000000-0005-0000-0000-0000768D0000}"/>
    <cellStyle name="Normal 57 2 2 3 2 2" xfId="41007" xr:uid="{00000000-0005-0000-0000-0000778D0000}"/>
    <cellStyle name="Normal 57 2 2 3 3" xfId="31606" xr:uid="{00000000-0005-0000-0000-0000788D0000}"/>
    <cellStyle name="Normal 57 2 2 4" xfId="31607" xr:uid="{00000000-0005-0000-0000-0000798D0000}"/>
    <cellStyle name="Normal 57 2 2 4 2" xfId="31608" xr:uid="{00000000-0005-0000-0000-00007A8D0000}"/>
    <cellStyle name="Normal 57 2 2 4 2 2" xfId="41008" xr:uid="{00000000-0005-0000-0000-00007B8D0000}"/>
    <cellStyle name="Normal 57 2 2 4 3" xfId="31609" xr:uid="{00000000-0005-0000-0000-00007C8D0000}"/>
    <cellStyle name="Normal 57 2 2 5" xfId="31610" xr:uid="{00000000-0005-0000-0000-00007D8D0000}"/>
    <cellStyle name="Normal 57 2 2 5 2" xfId="41009" xr:uid="{00000000-0005-0000-0000-00007E8D0000}"/>
    <cellStyle name="Normal 57 2 2 6" xfId="31611" xr:uid="{00000000-0005-0000-0000-00007F8D0000}"/>
    <cellStyle name="Normal 57 2 3" xfId="31612" xr:uid="{00000000-0005-0000-0000-0000808D0000}"/>
    <cellStyle name="Normal 57 2 3 2" xfId="31613" xr:uid="{00000000-0005-0000-0000-0000818D0000}"/>
    <cellStyle name="Normal 57 2 3 2 2" xfId="31614" xr:uid="{00000000-0005-0000-0000-0000828D0000}"/>
    <cellStyle name="Normal 57 2 3 2 2 2" xfId="41010" xr:uid="{00000000-0005-0000-0000-0000838D0000}"/>
    <cellStyle name="Normal 57 2 3 2 3" xfId="31615" xr:uid="{00000000-0005-0000-0000-0000848D0000}"/>
    <cellStyle name="Normal 57 2 3 3" xfId="31616" xr:uid="{00000000-0005-0000-0000-0000858D0000}"/>
    <cellStyle name="Normal 57 2 3 3 2" xfId="31617" xr:uid="{00000000-0005-0000-0000-0000868D0000}"/>
    <cellStyle name="Normal 57 2 3 3 2 2" xfId="41011" xr:uid="{00000000-0005-0000-0000-0000878D0000}"/>
    <cellStyle name="Normal 57 2 3 3 3" xfId="31618" xr:uid="{00000000-0005-0000-0000-0000888D0000}"/>
    <cellStyle name="Normal 57 2 3 4" xfId="31619" xr:uid="{00000000-0005-0000-0000-0000898D0000}"/>
    <cellStyle name="Normal 57 2 3 4 2" xfId="41012" xr:uid="{00000000-0005-0000-0000-00008A8D0000}"/>
    <cellStyle name="Normal 57 2 3 5" xfId="31620" xr:uid="{00000000-0005-0000-0000-00008B8D0000}"/>
    <cellStyle name="Normal 57 2 4" xfId="31621" xr:uid="{00000000-0005-0000-0000-00008C8D0000}"/>
    <cellStyle name="Normal 57 2 4 2" xfId="31622" xr:uid="{00000000-0005-0000-0000-00008D8D0000}"/>
    <cellStyle name="Normal 57 2 4 2 2" xfId="41013" xr:uid="{00000000-0005-0000-0000-00008E8D0000}"/>
    <cellStyle name="Normal 57 2 4 3" xfId="31623" xr:uid="{00000000-0005-0000-0000-00008F8D0000}"/>
    <cellStyle name="Normal 57 2 5" xfId="31624" xr:uid="{00000000-0005-0000-0000-0000908D0000}"/>
    <cellStyle name="Normal 57 2 5 2" xfId="31625" xr:uid="{00000000-0005-0000-0000-0000918D0000}"/>
    <cellStyle name="Normal 57 2 5 2 2" xfId="41014" xr:uid="{00000000-0005-0000-0000-0000928D0000}"/>
    <cellStyle name="Normal 57 2 5 3" xfId="31626" xr:uid="{00000000-0005-0000-0000-0000938D0000}"/>
    <cellStyle name="Normal 57 2 6" xfId="31627" xr:uid="{00000000-0005-0000-0000-0000948D0000}"/>
    <cellStyle name="Normal 57 2 6 2" xfId="41015" xr:uid="{00000000-0005-0000-0000-0000958D0000}"/>
    <cellStyle name="Normal 57 2 7" xfId="31628" xr:uid="{00000000-0005-0000-0000-0000968D0000}"/>
    <cellStyle name="Normal 57 3" xfId="1910" xr:uid="{00000000-0005-0000-0000-0000978D0000}"/>
    <cellStyle name="Normal 57 3 2" xfId="31629" xr:uid="{00000000-0005-0000-0000-0000988D0000}"/>
    <cellStyle name="Normal 57 3 2 2" xfId="31630" xr:uid="{00000000-0005-0000-0000-0000998D0000}"/>
    <cellStyle name="Normal 57 3 2 2 2" xfId="31631" xr:uid="{00000000-0005-0000-0000-00009A8D0000}"/>
    <cellStyle name="Normal 57 3 2 2 2 2" xfId="41016" xr:uid="{00000000-0005-0000-0000-00009B8D0000}"/>
    <cellStyle name="Normal 57 3 2 2 3" xfId="31632" xr:uid="{00000000-0005-0000-0000-00009C8D0000}"/>
    <cellStyle name="Normal 57 3 2 3" xfId="31633" xr:uid="{00000000-0005-0000-0000-00009D8D0000}"/>
    <cellStyle name="Normal 57 3 2 3 2" xfId="31634" xr:uid="{00000000-0005-0000-0000-00009E8D0000}"/>
    <cellStyle name="Normal 57 3 2 3 2 2" xfId="41017" xr:uid="{00000000-0005-0000-0000-00009F8D0000}"/>
    <cellStyle name="Normal 57 3 2 3 3" xfId="31635" xr:uid="{00000000-0005-0000-0000-0000A08D0000}"/>
    <cellStyle name="Normal 57 3 2 4" xfId="31636" xr:uid="{00000000-0005-0000-0000-0000A18D0000}"/>
    <cellStyle name="Normal 57 3 2 4 2" xfId="41018" xr:uid="{00000000-0005-0000-0000-0000A28D0000}"/>
    <cellStyle name="Normal 57 3 2 5" xfId="31637" xr:uid="{00000000-0005-0000-0000-0000A38D0000}"/>
    <cellStyle name="Normal 57 3 3" xfId="31638" xr:uid="{00000000-0005-0000-0000-0000A48D0000}"/>
    <cellStyle name="Normal 57 3 3 2" xfId="31639" xr:uid="{00000000-0005-0000-0000-0000A58D0000}"/>
    <cellStyle name="Normal 57 3 3 2 2" xfId="41019" xr:uid="{00000000-0005-0000-0000-0000A68D0000}"/>
    <cellStyle name="Normal 57 3 3 3" xfId="31640" xr:uid="{00000000-0005-0000-0000-0000A78D0000}"/>
    <cellStyle name="Normal 57 3 4" xfId="31641" xr:uid="{00000000-0005-0000-0000-0000A88D0000}"/>
    <cellStyle name="Normal 57 3 4 2" xfId="31642" xr:uid="{00000000-0005-0000-0000-0000A98D0000}"/>
    <cellStyle name="Normal 57 3 4 2 2" xfId="41020" xr:uid="{00000000-0005-0000-0000-0000AA8D0000}"/>
    <cellStyle name="Normal 57 3 4 3" xfId="31643" xr:uid="{00000000-0005-0000-0000-0000AB8D0000}"/>
    <cellStyle name="Normal 57 3 5" xfId="31644" xr:uid="{00000000-0005-0000-0000-0000AC8D0000}"/>
    <cellStyle name="Normal 57 3 5 2" xfId="41021" xr:uid="{00000000-0005-0000-0000-0000AD8D0000}"/>
    <cellStyle name="Normal 57 3 6" xfId="31645" xr:uid="{00000000-0005-0000-0000-0000AE8D0000}"/>
    <cellStyle name="Normal 57 4" xfId="31646" xr:uid="{00000000-0005-0000-0000-0000AF8D0000}"/>
    <cellStyle name="Normal 57 4 2" xfId="31647" xr:uid="{00000000-0005-0000-0000-0000B08D0000}"/>
    <cellStyle name="Normal 57 4 2 2" xfId="31648" xr:uid="{00000000-0005-0000-0000-0000B18D0000}"/>
    <cellStyle name="Normal 57 4 2 2 2" xfId="41022" xr:uid="{00000000-0005-0000-0000-0000B28D0000}"/>
    <cellStyle name="Normal 57 4 2 3" xfId="31649" xr:uid="{00000000-0005-0000-0000-0000B38D0000}"/>
    <cellStyle name="Normal 57 4 3" xfId="31650" xr:uid="{00000000-0005-0000-0000-0000B48D0000}"/>
    <cellStyle name="Normal 57 4 3 2" xfId="31651" xr:uid="{00000000-0005-0000-0000-0000B58D0000}"/>
    <cellStyle name="Normal 57 4 3 2 2" xfId="41023" xr:uid="{00000000-0005-0000-0000-0000B68D0000}"/>
    <cellStyle name="Normal 57 4 3 3" xfId="31652" xr:uid="{00000000-0005-0000-0000-0000B78D0000}"/>
    <cellStyle name="Normal 57 4 4" xfId="31653" xr:uid="{00000000-0005-0000-0000-0000B88D0000}"/>
    <cellStyle name="Normal 57 4 4 2" xfId="41024" xr:uid="{00000000-0005-0000-0000-0000B98D0000}"/>
    <cellStyle name="Normal 57 4 5" xfId="31654" xr:uid="{00000000-0005-0000-0000-0000BA8D0000}"/>
    <cellStyle name="Normal 57 5" xfId="31655" xr:uid="{00000000-0005-0000-0000-0000BB8D0000}"/>
    <cellStyle name="Normal 57 5 2" xfId="31656" xr:uid="{00000000-0005-0000-0000-0000BC8D0000}"/>
    <cellStyle name="Normal 57 5 2 2" xfId="41025" xr:uid="{00000000-0005-0000-0000-0000BD8D0000}"/>
    <cellStyle name="Normal 57 5 3" xfId="31657" xr:uid="{00000000-0005-0000-0000-0000BE8D0000}"/>
    <cellStyle name="Normal 57 6" xfId="31658" xr:uid="{00000000-0005-0000-0000-0000BF8D0000}"/>
    <cellStyle name="Normal 57 6 2" xfId="31659" xr:uid="{00000000-0005-0000-0000-0000C08D0000}"/>
    <cellStyle name="Normal 57 6 2 2" xfId="41026" xr:uid="{00000000-0005-0000-0000-0000C18D0000}"/>
    <cellStyle name="Normal 57 6 3" xfId="31660" xr:uid="{00000000-0005-0000-0000-0000C28D0000}"/>
    <cellStyle name="Normal 57 7" xfId="31661" xr:uid="{00000000-0005-0000-0000-0000C38D0000}"/>
    <cellStyle name="Normal 57 7 2" xfId="41027" xr:uid="{00000000-0005-0000-0000-0000C48D0000}"/>
    <cellStyle name="Normal 57 8" xfId="31662" xr:uid="{00000000-0005-0000-0000-0000C58D0000}"/>
    <cellStyle name="Normal 57 9" xfId="41028" xr:uid="{00000000-0005-0000-0000-0000C68D0000}"/>
    <cellStyle name="Normal 58" xfId="486" xr:uid="{00000000-0005-0000-0000-0000C78D0000}"/>
    <cellStyle name="Normal 58 2" xfId="1911" xr:uid="{00000000-0005-0000-0000-0000C88D0000}"/>
    <cellStyle name="Normal 58 2 2" xfId="31663" xr:uid="{00000000-0005-0000-0000-0000C98D0000}"/>
    <cellStyle name="Normal 58 2 2 2" xfId="31664" xr:uid="{00000000-0005-0000-0000-0000CA8D0000}"/>
    <cellStyle name="Normal 58 2 2 2 2" xfId="31665" xr:uid="{00000000-0005-0000-0000-0000CB8D0000}"/>
    <cellStyle name="Normal 58 2 2 2 2 2" xfId="31666" xr:uid="{00000000-0005-0000-0000-0000CC8D0000}"/>
    <cellStyle name="Normal 58 2 2 2 2 2 2" xfId="41029" xr:uid="{00000000-0005-0000-0000-0000CD8D0000}"/>
    <cellStyle name="Normal 58 2 2 2 2 3" xfId="31667" xr:uid="{00000000-0005-0000-0000-0000CE8D0000}"/>
    <cellStyle name="Normal 58 2 2 2 3" xfId="31668" xr:uid="{00000000-0005-0000-0000-0000CF8D0000}"/>
    <cellStyle name="Normal 58 2 2 2 3 2" xfId="31669" xr:uid="{00000000-0005-0000-0000-0000D08D0000}"/>
    <cellStyle name="Normal 58 2 2 2 3 2 2" xfId="41030" xr:uid="{00000000-0005-0000-0000-0000D18D0000}"/>
    <cellStyle name="Normal 58 2 2 2 3 3" xfId="31670" xr:uid="{00000000-0005-0000-0000-0000D28D0000}"/>
    <cellStyle name="Normal 58 2 2 2 4" xfId="31671" xr:uid="{00000000-0005-0000-0000-0000D38D0000}"/>
    <cellStyle name="Normal 58 2 2 2 4 2" xfId="41031" xr:uid="{00000000-0005-0000-0000-0000D48D0000}"/>
    <cellStyle name="Normal 58 2 2 2 5" xfId="31672" xr:uid="{00000000-0005-0000-0000-0000D58D0000}"/>
    <cellStyle name="Normal 58 2 2 3" xfId="31673" xr:uid="{00000000-0005-0000-0000-0000D68D0000}"/>
    <cellStyle name="Normal 58 2 2 3 2" xfId="31674" xr:uid="{00000000-0005-0000-0000-0000D78D0000}"/>
    <cellStyle name="Normal 58 2 2 3 2 2" xfId="41032" xr:uid="{00000000-0005-0000-0000-0000D88D0000}"/>
    <cellStyle name="Normal 58 2 2 3 3" xfId="31675" xr:uid="{00000000-0005-0000-0000-0000D98D0000}"/>
    <cellStyle name="Normal 58 2 2 4" xfId="31676" xr:uid="{00000000-0005-0000-0000-0000DA8D0000}"/>
    <cellStyle name="Normal 58 2 2 4 2" xfId="31677" xr:uid="{00000000-0005-0000-0000-0000DB8D0000}"/>
    <cellStyle name="Normal 58 2 2 4 2 2" xfId="41033" xr:uid="{00000000-0005-0000-0000-0000DC8D0000}"/>
    <cellStyle name="Normal 58 2 2 4 3" xfId="31678" xr:uid="{00000000-0005-0000-0000-0000DD8D0000}"/>
    <cellStyle name="Normal 58 2 2 5" xfId="31679" xr:uid="{00000000-0005-0000-0000-0000DE8D0000}"/>
    <cellStyle name="Normal 58 2 2 5 2" xfId="41034" xr:uid="{00000000-0005-0000-0000-0000DF8D0000}"/>
    <cellStyle name="Normal 58 2 2 6" xfId="31680" xr:uid="{00000000-0005-0000-0000-0000E08D0000}"/>
    <cellStyle name="Normal 58 2 3" xfId="31681" xr:uid="{00000000-0005-0000-0000-0000E18D0000}"/>
    <cellStyle name="Normal 58 2 3 2" xfId="31682" xr:uid="{00000000-0005-0000-0000-0000E28D0000}"/>
    <cellStyle name="Normal 58 2 3 2 2" xfId="31683" xr:uid="{00000000-0005-0000-0000-0000E38D0000}"/>
    <cellStyle name="Normal 58 2 3 2 2 2" xfId="41035" xr:uid="{00000000-0005-0000-0000-0000E48D0000}"/>
    <cellStyle name="Normal 58 2 3 2 3" xfId="31684" xr:uid="{00000000-0005-0000-0000-0000E58D0000}"/>
    <cellStyle name="Normal 58 2 3 3" xfId="31685" xr:uid="{00000000-0005-0000-0000-0000E68D0000}"/>
    <cellStyle name="Normal 58 2 3 3 2" xfId="31686" xr:uid="{00000000-0005-0000-0000-0000E78D0000}"/>
    <cellStyle name="Normal 58 2 3 3 2 2" xfId="41036" xr:uid="{00000000-0005-0000-0000-0000E88D0000}"/>
    <cellStyle name="Normal 58 2 3 3 3" xfId="31687" xr:uid="{00000000-0005-0000-0000-0000E98D0000}"/>
    <cellStyle name="Normal 58 2 3 4" xfId="31688" xr:uid="{00000000-0005-0000-0000-0000EA8D0000}"/>
    <cellStyle name="Normal 58 2 3 4 2" xfId="41037" xr:uid="{00000000-0005-0000-0000-0000EB8D0000}"/>
    <cellStyle name="Normal 58 2 3 5" xfId="31689" xr:uid="{00000000-0005-0000-0000-0000EC8D0000}"/>
    <cellStyle name="Normal 58 2 4" xfId="31690" xr:uid="{00000000-0005-0000-0000-0000ED8D0000}"/>
    <cellStyle name="Normal 58 2 4 2" xfId="31691" xr:uid="{00000000-0005-0000-0000-0000EE8D0000}"/>
    <cellStyle name="Normal 58 2 4 2 2" xfId="41038" xr:uid="{00000000-0005-0000-0000-0000EF8D0000}"/>
    <cellStyle name="Normal 58 2 4 3" xfId="31692" xr:uid="{00000000-0005-0000-0000-0000F08D0000}"/>
    <cellStyle name="Normal 58 2 5" xfId="31693" xr:uid="{00000000-0005-0000-0000-0000F18D0000}"/>
    <cellStyle name="Normal 58 2 5 2" xfId="31694" xr:uid="{00000000-0005-0000-0000-0000F28D0000}"/>
    <cellStyle name="Normal 58 2 5 2 2" xfId="41039" xr:uid="{00000000-0005-0000-0000-0000F38D0000}"/>
    <cellStyle name="Normal 58 2 5 3" xfId="31695" xr:uid="{00000000-0005-0000-0000-0000F48D0000}"/>
    <cellStyle name="Normal 58 2 6" xfId="31696" xr:uid="{00000000-0005-0000-0000-0000F58D0000}"/>
    <cellStyle name="Normal 58 2 6 2" xfId="41040" xr:uid="{00000000-0005-0000-0000-0000F68D0000}"/>
    <cellStyle name="Normal 58 2 7" xfId="31697" xr:uid="{00000000-0005-0000-0000-0000F78D0000}"/>
    <cellStyle name="Normal 58 3" xfId="1912" xr:uid="{00000000-0005-0000-0000-0000F88D0000}"/>
    <cellStyle name="Normal 58 3 2" xfId="31698" xr:uid="{00000000-0005-0000-0000-0000F98D0000}"/>
    <cellStyle name="Normal 58 3 2 2" xfId="31699" xr:uid="{00000000-0005-0000-0000-0000FA8D0000}"/>
    <cellStyle name="Normal 58 3 2 2 2" xfId="31700" xr:uid="{00000000-0005-0000-0000-0000FB8D0000}"/>
    <cellStyle name="Normal 58 3 2 2 2 2" xfId="41041" xr:uid="{00000000-0005-0000-0000-0000FC8D0000}"/>
    <cellStyle name="Normal 58 3 2 2 3" xfId="31701" xr:uid="{00000000-0005-0000-0000-0000FD8D0000}"/>
    <cellStyle name="Normal 58 3 2 3" xfId="31702" xr:uid="{00000000-0005-0000-0000-0000FE8D0000}"/>
    <cellStyle name="Normal 58 3 2 3 2" xfId="31703" xr:uid="{00000000-0005-0000-0000-0000FF8D0000}"/>
    <cellStyle name="Normal 58 3 2 3 2 2" xfId="41042" xr:uid="{00000000-0005-0000-0000-0000008E0000}"/>
    <cellStyle name="Normal 58 3 2 3 3" xfId="31704" xr:uid="{00000000-0005-0000-0000-0000018E0000}"/>
    <cellStyle name="Normal 58 3 2 4" xfId="31705" xr:uid="{00000000-0005-0000-0000-0000028E0000}"/>
    <cellStyle name="Normal 58 3 2 4 2" xfId="41043" xr:uid="{00000000-0005-0000-0000-0000038E0000}"/>
    <cellStyle name="Normal 58 3 2 5" xfId="31706" xr:uid="{00000000-0005-0000-0000-0000048E0000}"/>
    <cellStyle name="Normal 58 3 3" xfId="31707" xr:uid="{00000000-0005-0000-0000-0000058E0000}"/>
    <cellStyle name="Normal 58 3 3 2" xfId="31708" xr:uid="{00000000-0005-0000-0000-0000068E0000}"/>
    <cellStyle name="Normal 58 3 3 2 2" xfId="41044" xr:uid="{00000000-0005-0000-0000-0000078E0000}"/>
    <cellStyle name="Normal 58 3 3 3" xfId="31709" xr:uid="{00000000-0005-0000-0000-0000088E0000}"/>
    <cellStyle name="Normal 58 3 4" xfId="31710" xr:uid="{00000000-0005-0000-0000-0000098E0000}"/>
    <cellStyle name="Normal 58 3 4 2" xfId="31711" xr:uid="{00000000-0005-0000-0000-00000A8E0000}"/>
    <cellStyle name="Normal 58 3 4 2 2" xfId="41045" xr:uid="{00000000-0005-0000-0000-00000B8E0000}"/>
    <cellStyle name="Normal 58 3 4 3" xfId="31712" xr:uid="{00000000-0005-0000-0000-00000C8E0000}"/>
    <cellStyle name="Normal 58 3 5" xfId="31713" xr:uid="{00000000-0005-0000-0000-00000D8E0000}"/>
    <cellStyle name="Normal 58 3 5 2" xfId="41046" xr:uid="{00000000-0005-0000-0000-00000E8E0000}"/>
    <cellStyle name="Normal 58 3 6" xfId="31714" xr:uid="{00000000-0005-0000-0000-00000F8E0000}"/>
    <cellStyle name="Normal 58 4" xfId="31715" xr:uid="{00000000-0005-0000-0000-0000108E0000}"/>
    <cellStyle name="Normal 58 4 2" xfId="31716" xr:uid="{00000000-0005-0000-0000-0000118E0000}"/>
    <cellStyle name="Normal 58 4 2 2" xfId="31717" xr:uid="{00000000-0005-0000-0000-0000128E0000}"/>
    <cellStyle name="Normal 58 4 2 2 2" xfId="41047" xr:uid="{00000000-0005-0000-0000-0000138E0000}"/>
    <cellStyle name="Normal 58 4 2 3" xfId="31718" xr:uid="{00000000-0005-0000-0000-0000148E0000}"/>
    <cellStyle name="Normal 58 4 3" xfId="31719" xr:uid="{00000000-0005-0000-0000-0000158E0000}"/>
    <cellStyle name="Normal 58 4 3 2" xfId="31720" xr:uid="{00000000-0005-0000-0000-0000168E0000}"/>
    <cellStyle name="Normal 58 4 3 2 2" xfId="41048" xr:uid="{00000000-0005-0000-0000-0000178E0000}"/>
    <cellStyle name="Normal 58 4 3 3" xfId="31721" xr:uid="{00000000-0005-0000-0000-0000188E0000}"/>
    <cellStyle name="Normal 58 4 4" xfId="31722" xr:uid="{00000000-0005-0000-0000-0000198E0000}"/>
    <cellStyle name="Normal 58 4 4 2" xfId="41049" xr:uid="{00000000-0005-0000-0000-00001A8E0000}"/>
    <cellStyle name="Normal 58 4 5" xfId="31723" xr:uid="{00000000-0005-0000-0000-00001B8E0000}"/>
    <cellStyle name="Normal 58 5" xfId="31724" xr:uid="{00000000-0005-0000-0000-00001C8E0000}"/>
    <cellStyle name="Normal 58 5 2" xfId="31725" xr:uid="{00000000-0005-0000-0000-00001D8E0000}"/>
    <cellStyle name="Normal 58 5 2 2" xfId="41050" xr:uid="{00000000-0005-0000-0000-00001E8E0000}"/>
    <cellStyle name="Normal 58 5 3" xfId="31726" xr:uid="{00000000-0005-0000-0000-00001F8E0000}"/>
    <cellStyle name="Normal 58 6" xfId="31727" xr:uid="{00000000-0005-0000-0000-0000208E0000}"/>
    <cellStyle name="Normal 58 6 2" xfId="31728" xr:uid="{00000000-0005-0000-0000-0000218E0000}"/>
    <cellStyle name="Normal 58 6 2 2" xfId="41051" xr:uid="{00000000-0005-0000-0000-0000228E0000}"/>
    <cellStyle name="Normal 58 6 3" xfId="31729" xr:uid="{00000000-0005-0000-0000-0000238E0000}"/>
    <cellStyle name="Normal 58 7" xfId="31730" xr:uid="{00000000-0005-0000-0000-0000248E0000}"/>
    <cellStyle name="Normal 58 7 2" xfId="41052" xr:uid="{00000000-0005-0000-0000-0000258E0000}"/>
    <cellStyle name="Normal 58 8" xfId="31731" xr:uid="{00000000-0005-0000-0000-0000268E0000}"/>
    <cellStyle name="Normal 58 9" xfId="41053" xr:uid="{00000000-0005-0000-0000-0000278E0000}"/>
    <cellStyle name="Normal 59" xfId="487" xr:uid="{00000000-0005-0000-0000-0000288E0000}"/>
    <cellStyle name="Normal 59 2" xfId="1913" xr:uid="{00000000-0005-0000-0000-0000298E0000}"/>
    <cellStyle name="Normal 59 2 2" xfId="31732" xr:uid="{00000000-0005-0000-0000-00002A8E0000}"/>
    <cellStyle name="Normal 59 2 2 2" xfId="31733" xr:uid="{00000000-0005-0000-0000-00002B8E0000}"/>
    <cellStyle name="Normal 59 2 2 2 2" xfId="31734" xr:uid="{00000000-0005-0000-0000-00002C8E0000}"/>
    <cellStyle name="Normal 59 2 2 2 2 2" xfId="31735" xr:uid="{00000000-0005-0000-0000-00002D8E0000}"/>
    <cellStyle name="Normal 59 2 2 2 2 2 2" xfId="41054" xr:uid="{00000000-0005-0000-0000-00002E8E0000}"/>
    <cellStyle name="Normal 59 2 2 2 2 3" xfId="31736" xr:uid="{00000000-0005-0000-0000-00002F8E0000}"/>
    <cellStyle name="Normal 59 2 2 2 3" xfId="31737" xr:uid="{00000000-0005-0000-0000-0000308E0000}"/>
    <cellStyle name="Normal 59 2 2 2 3 2" xfId="31738" xr:uid="{00000000-0005-0000-0000-0000318E0000}"/>
    <cellStyle name="Normal 59 2 2 2 3 2 2" xfId="41055" xr:uid="{00000000-0005-0000-0000-0000328E0000}"/>
    <cellStyle name="Normal 59 2 2 2 3 3" xfId="31739" xr:uid="{00000000-0005-0000-0000-0000338E0000}"/>
    <cellStyle name="Normal 59 2 2 2 4" xfId="31740" xr:uid="{00000000-0005-0000-0000-0000348E0000}"/>
    <cellStyle name="Normal 59 2 2 2 4 2" xfId="41056" xr:uid="{00000000-0005-0000-0000-0000358E0000}"/>
    <cellStyle name="Normal 59 2 2 2 5" xfId="31741" xr:uid="{00000000-0005-0000-0000-0000368E0000}"/>
    <cellStyle name="Normal 59 2 2 3" xfId="31742" xr:uid="{00000000-0005-0000-0000-0000378E0000}"/>
    <cellStyle name="Normal 59 2 2 3 2" xfId="31743" xr:uid="{00000000-0005-0000-0000-0000388E0000}"/>
    <cellStyle name="Normal 59 2 2 3 2 2" xfId="41057" xr:uid="{00000000-0005-0000-0000-0000398E0000}"/>
    <cellStyle name="Normal 59 2 2 3 3" xfId="31744" xr:uid="{00000000-0005-0000-0000-00003A8E0000}"/>
    <cellStyle name="Normal 59 2 2 4" xfId="31745" xr:uid="{00000000-0005-0000-0000-00003B8E0000}"/>
    <cellStyle name="Normal 59 2 2 4 2" xfId="31746" xr:uid="{00000000-0005-0000-0000-00003C8E0000}"/>
    <cellStyle name="Normal 59 2 2 4 2 2" xfId="41058" xr:uid="{00000000-0005-0000-0000-00003D8E0000}"/>
    <cellStyle name="Normal 59 2 2 4 3" xfId="31747" xr:uid="{00000000-0005-0000-0000-00003E8E0000}"/>
    <cellStyle name="Normal 59 2 2 5" xfId="31748" xr:uid="{00000000-0005-0000-0000-00003F8E0000}"/>
    <cellStyle name="Normal 59 2 2 5 2" xfId="41059" xr:uid="{00000000-0005-0000-0000-0000408E0000}"/>
    <cellStyle name="Normal 59 2 2 6" xfId="31749" xr:uid="{00000000-0005-0000-0000-0000418E0000}"/>
    <cellStyle name="Normal 59 2 3" xfId="31750" xr:uid="{00000000-0005-0000-0000-0000428E0000}"/>
    <cellStyle name="Normal 59 2 3 2" xfId="31751" xr:uid="{00000000-0005-0000-0000-0000438E0000}"/>
    <cellStyle name="Normal 59 2 3 2 2" xfId="31752" xr:uid="{00000000-0005-0000-0000-0000448E0000}"/>
    <cellStyle name="Normal 59 2 3 2 2 2" xfId="41060" xr:uid="{00000000-0005-0000-0000-0000458E0000}"/>
    <cellStyle name="Normal 59 2 3 2 3" xfId="31753" xr:uid="{00000000-0005-0000-0000-0000468E0000}"/>
    <cellStyle name="Normal 59 2 3 3" xfId="31754" xr:uid="{00000000-0005-0000-0000-0000478E0000}"/>
    <cellStyle name="Normal 59 2 3 3 2" xfId="31755" xr:uid="{00000000-0005-0000-0000-0000488E0000}"/>
    <cellStyle name="Normal 59 2 3 3 2 2" xfId="41061" xr:uid="{00000000-0005-0000-0000-0000498E0000}"/>
    <cellStyle name="Normal 59 2 3 3 3" xfId="31756" xr:uid="{00000000-0005-0000-0000-00004A8E0000}"/>
    <cellStyle name="Normal 59 2 3 4" xfId="31757" xr:uid="{00000000-0005-0000-0000-00004B8E0000}"/>
    <cellStyle name="Normal 59 2 3 4 2" xfId="41062" xr:uid="{00000000-0005-0000-0000-00004C8E0000}"/>
    <cellStyle name="Normal 59 2 3 5" xfId="31758" xr:uid="{00000000-0005-0000-0000-00004D8E0000}"/>
    <cellStyle name="Normal 59 2 4" xfId="31759" xr:uid="{00000000-0005-0000-0000-00004E8E0000}"/>
    <cellStyle name="Normal 59 2 4 2" xfId="31760" xr:uid="{00000000-0005-0000-0000-00004F8E0000}"/>
    <cellStyle name="Normal 59 2 4 2 2" xfId="41063" xr:uid="{00000000-0005-0000-0000-0000508E0000}"/>
    <cellStyle name="Normal 59 2 4 3" xfId="31761" xr:uid="{00000000-0005-0000-0000-0000518E0000}"/>
    <cellStyle name="Normal 59 2 5" xfId="31762" xr:uid="{00000000-0005-0000-0000-0000528E0000}"/>
    <cellStyle name="Normal 59 2 5 2" xfId="31763" xr:uid="{00000000-0005-0000-0000-0000538E0000}"/>
    <cellStyle name="Normal 59 2 5 2 2" xfId="41064" xr:uid="{00000000-0005-0000-0000-0000548E0000}"/>
    <cellStyle name="Normal 59 2 5 3" xfId="31764" xr:uid="{00000000-0005-0000-0000-0000558E0000}"/>
    <cellStyle name="Normal 59 2 6" xfId="31765" xr:uid="{00000000-0005-0000-0000-0000568E0000}"/>
    <cellStyle name="Normal 59 2 6 2" xfId="41065" xr:uid="{00000000-0005-0000-0000-0000578E0000}"/>
    <cellStyle name="Normal 59 2 7" xfId="31766" xr:uid="{00000000-0005-0000-0000-0000588E0000}"/>
    <cellStyle name="Normal 59 3" xfId="1914" xr:uid="{00000000-0005-0000-0000-0000598E0000}"/>
    <cellStyle name="Normal 59 3 2" xfId="31767" xr:uid="{00000000-0005-0000-0000-00005A8E0000}"/>
    <cellStyle name="Normal 59 3 2 2" xfId="31768" xr:uid="{00000000-0005-0000-0000-00005B8E0000}"/>
    <cellStyle name="Normal 59 3 2 2 2" xfId="31769" xr:uid="{00000000-0005-0000-0000-00005C8E0000}"/>
    <cellStyle name="Normal 59 3 2 2 2 2" xfId="41066" xr:uid="{00000000-0005-0000-0000-00005D8E0000}"/>
    <cellStyle name="Normal 59 3 2 2 3" xfId="31770" xr:uid="{00000000-0005-0000-0000-00005E8E0000}"/>
    <cellStyle name="Normal 59 3 2 3" xfId="31771" xr:uid="{00000000-0005-0000-0000-00005F8E0000}"/>
    <cellStyle name="Normal 59 3 2 3 2" xfId="31772" xr:uid="{00000000-0005-0000-0000-0000608E0000}"/>
    <cellStyle name="Normal 59 3 2 3 2 2" xfId="41067" xr:uid="{00000000-0005-0000-0000-0000618E0000}"/>
    <cellStyle name="Normal 59 3 2 3 3" xfId="31773" xr:uid="{00000000-0005-0000-0000-0000628E0000}"/>
    <cellStyle name="Normal 59 3 2 4" xfId="31774" xr:uid="{00000000-0005-0000-0000-0000638E0000}"/>
    <cellStyle name="Normal 59 3 2 4 2" xfId="41068" xr:uid="{00000000-0005-0000-0000-0000648E0000}"/>
    <cellStyle name="Normal 59 3 2 5" xfId="31775" xr:uid="{00000000-0005-0000-0000-0000658E0000}"/>
    <cellStyle name="Normal 59 3 3" xfId="31776" xr:uid="{00000000-0005-0000-0000-0000668E0000}"/>
    <cellStyle name="Normal 59 3 3 2" xfId="31777" xr:uid="{00000000-0005-0000-0000-0000678E0000}"/>
    <cellStyle name="Normal 59 3 3 2 2" xfId="41069" xr:uid="{00000000-0005-0000-0000-0000688E0000}"/>
    <cellStyle name="Normal 59 3 3 3" xfId="31778" xr:uid="{00000000-0005-0000-0000-0000698E0000}"/>
    <cellStyle name="Normal 59 3 4" xfId="31779" xr:uid="{00000000-0005-0000-0000-00006A8E0000}"/>
    <cellStyle name="Normal 59 3 4 2" xfId="31780" xr:uid="{00000000-0005-0000-0000-00006B8E0000}"/>
    <cellStyle name="Normal 59 3 4 2 2" xfId="41070" xr:uid="{00000000-0005-0000-0000-00006C8E0000}"/>
    <cellStyle name="Normal 59 3 4 3" xfId="31781" xr:uid="{00000000-0005-0000-0000-00006D8E0000}"/>
    <cellStyle name="Normal 59 3 5" xfId="31782" xr:uid="{00000000-0005-0000-0000-00006E8E0000}"/>
    <cellStyle name="Normal 59 3 5 2" xfId="41071" xr:uid="{00000000-0005-0000-0000-00006F8E0000}"/>
    <cellStyle name="Normal 59 3 6" xfId="31783" xr:uid="{00000000-0005-0000-0000-0000708E0000}"/>
    <cellStyle name="Normal 59 4" xfId="31784" xr:uid="{00000000-0005-0000-0000-0000718E0000}"/>
    <cellStyle name="Normal 59 4 2" xfId="31785" xr:uid="{00000000-0005-0000-0000-0000728E0000}"/>
    <cellStyle name="Normal 59 4 2 2" xfId="31786" xr:uid="{00000000-0005-0000-0000-0000738E0000}"/>
    <cellStyle name="Normal 59 4 2 2 2" xfId="41072" xr:uid="{00000000-0005-0000-0000-0000748E0000}"/>
    <cellStyle name="Normal 59 4 2 3" xfId="31787" xr:uid="{00000000-0005-0000-0000-0000758E0000}"/>
    <cellStyle name="Normal 59 4 3" xfId="31788" xr:uid="{00000000-0005-0000-0000-0000768E0000}"/>
    <cellStyle name="Normal 59 4 3 2" xfId="31789" xr:uid="{00000000-0005-0000-0000-0000778E0000}"/>
    <cellStyle name="Normal 59 4 3 2 2" xfId="41073" xr:uid="{00000000-0005-0000-0000-0000788E0000}"/>
    <cellStyle name="Normal 59 4 3 3" xfId="31790" xr:uid="{00000000-0005-0000-0000-0000798E0000}"/>
    <cellStyle name="Normal 59 4 4" xfId="31791" xr:uid="{00000000-0005-0000-0000-00007A8E0000}"/>
    <cellStyle name="Normal 59 4 4 2" xfId="41074" xr:uid="{00000000-0005-0000-0000-00007B8E0000}"/>
    <cellStyle name="Normal 59 4 5" xfId="31792" xr:uid="{00000000-0005-0000-0000-00007C8E0000}"/>
    <cellStyle name="Normal 59 5" xfId="31793" xr:uid="{00000000-0005-0000-0000-00007D8E0000}"/>
    <cellStyle name="Normal 59 5 2" xfId="31794" xr:uid="{00000000-0005-0000-0000-00007E8E0000}"/>
    <cellStyle name="Normal 59 5 2 2" xfId="41075" xr:uid="{00000000-0005-0000-0000-00007F8E0000}"/>
    <cellStyle name="Normal 59 5 3" xfId="31795" xr:uid="{00000000-0005-0000-0000-0000808E0000}"/>
    <cellStyle name="Normal 59 6" xfId="31796" xr:uid="{00000000-0005-0000-0000-0000818E0000}"/>
    <cellStyle name="Normal 59 6 2" xfId="31797" xr:uid="{00000000-0005-0000-0000-0000828E0000}"/>
    <cellStyle name="Normal 59 6 2 2" xfId="41076" xr:uid="{00000000-0005-0000-0000-0000838E0000}"/>
    <cellStyle name="Normal 59 6 3" xfId="31798" xr:uid="{00000000-0005-0000-0000-0000848E0000}"/>
    <cellStyle name="Normal 59 7" xfId="31799" xr:uid="{00000000-0005-0000-0000-0000858E0000}"/>
    <cellStyle name="Normal 59 7 2" xfId="41077" xr:uid="{00000000-0005-0000-0000-0000868E0000}"/>
    <cellStyle name="Normal 59 8" xfId="31800" xr:uid="{00000000-0005-0000-0000-0000878E0000}"/>
    <cellStyle name="Normal 59 9" xfId="41078" xr:uid="{00000000-0005-0000-0000-0000888E0000}"/>
    <cellStyle name="Normal 6" xfId="9" xr:uid="{00000000-0005-0000-0000-0000898E0000}"/>
    <cellStyle name="Normal 6 10" xfId="31801" xr:uid="{00000000-0005-0000-0000-00008A8E0000}"/>
    <cellStyle name="Normal 6 10 2" xfId="41079" xr:uid="{00000000-0005-0000-0000-00008B8E0000}"/>
    <cellStyle name="Normal 6 10 2 2" xfId="43718" xr:uid="{00000000-0005-0000-0000-00008C8E0000}"/>
    <cellStyle name="Normal 6 10 3" xfId="43719" xr:uid="{00000000-0005-0000-0000-00008D8E0000}"/>
    <cellStyle name="Normal 6 10 3 2" xfId="43720" xr:uid="{00000000-0005-0000-0000-00008E8E0000}"/>
    <cellStyle name="Normal 6 10 4" xfId="43721" xr:uid="{00000000-0005-0000-0000-00008F8E0000}"/>
    <cellStyle name="Normal 6 10 4 2" xfId="43722" xr:uid="{00000000-0005-0000-0000-0000908E0000}"/>
    <cellStyle name="Normal 6 10 5" xfId="43723" xr:uid="{00000000-0005-0000-0000-0000918E0000}"/>
    <cellStyle name="Normal 6 11" xfId="31802" xr:uid="{00000000-0005-0000-0000-0000928E0000}"/>
    <cellStyle name="Normal 6 11 2" xfId="43724" xr:uid="{00000000-0005-0000-0000-0000938E0000}"/>
    <cellStyle name="Normal 6 11 2 2" xfId="43725" xr:uid="{00000000-0005-0000-0000-0000948E0000}"/>
    <cellStyle name="Normal 6 11 3" xfId="43726" xr:uid="{00000000-0005-0000-0000-0000958E0000}"/>
    <cellStyle name="Normal 6 11 3 2" xfId="43727" xr:uid="{00000000-0005-0000-0000-0000968E0000}"/>
    <cellStyle name="Normal 6 11 4" xfId="43728" xr:uid="{00000000-0005-0000-0000-0000978E0000}"/>
    <cellStyle name="Normal 6 11 4 2" xfId="43729" xr:uid="{00000000-0005-0000-0000-0000988E0000}"/>
    <cellStyle name="Normal 6 11 5" xfId="43730" xr:uid="{00000000-0005-0000-0000-0000998E0000}"/>
    <cellStyle name="Normal 6 12" xfId="41080" xr:uid="{00000000-0005-0000-0000-00009A8E0000}"/>
    <cellStyle name="Normal 6 12 2" xfId="43731" xr:uid="{00000000-0005-0000-0000-00009B8E0000}"/>
    <cellStyle name="Normal 6 13" xfId="43732" xr:uid="{00000000-0005-0000-0000-00009C8E0000}"/>
    <cellStyle name="Normal 6 13 2" xfId="43733" xr:uid="{00000000-0005-0000-0000-00009D8E0000}"/>
    <cellStyle name="Normal 6 14" xfId="43734" xr:uid="{00000000-0005-0000-0000-00009E8E0000}"/>
    <cellStyle name="Normal 6 14 2" xfId="43735" xr:uid="{00000000-0005-0000-0000-00009F8E0000}"/>
    <cellStyle name="Normal 6 14 3" xfId="43736" xr:uid="{00000000-0005-0000-0000-0000A08E0000}"/>
    <cellStyle name="Normal 6 15" xfId="43737" xr:uid="{00000000-0005-0000-0000-0000A18E0000}"/>
    <cellStyle name="Normal 6 16" xfId="46304" xr:uid="{00000000-0005-0000-0000-0000A28E0000}"/>
    <cellStyle name="Normal 6 2" xfId="51" xr:uid="{00000000-0005-0000-0000-0000A38E0000}"/>
    <cellStyle name="Normal 6 2 10" xfId="41081" xr:uid="{00000000-0005-0000-0000-0000A48E0000}"/>
    <cellStyle name="Normal 6 2 10 2" xfId="43738" xr:uid="{00000000-0005-0000-0000-0000A58E0000}"/>
    <cellStyle name="Normal 6 2 11" xfId="43739" xr:uid="{00000000-0005-0000-0000-0000A68E0000}"/>
    <cellStyle name="Normal 6 2 11 2" xfId="43740" xr:uid="{00000000-0005-0000-0000-0000A78E0000}"/>
    <cellStyle name="Normal 6 2 12" xfId="43741" xr:uid="{00000000-0005-0000-0000-0000A88E0000}"/>
    <cellStyle name="Normal 6 2 13" xfId="42483" xr:uid="{00000000-0005-0000-0000-0000A98E0000}"/>
    <cellStyle name="Normal 6 2 2" xfId="488" xr:uid="{00000000-0005-0000-0000-0000AA8E0000}"/>
    <cellStyle name="Normal 6 2 2 2" xfId="1915" xr:uid="{00000000-0005-0000-0000-0000AB8E0000}"/>
    <cellStyle name="Normal 6 2 2 2 10" xfId="46263" xr:uid="{00000000-0005-0000-0000-0000AC8E0000}"/>
    <cellStyle name="Normal 6 2 2 2 2" xfId="1916" xr:uid="{00000000-0005-0000-0000-0000AD8E0000}"/>
    <cellStyle name="Normal 6 2 2 2 2 2" xfId="31803" xr:uid="{00000000-0005-0000-0000-0000AE8E0000}"/>
    <cellStyle name="Normal 6 2 2 2 2 2 2" xfId="31804" xr:uid="{00000000-0005-0000-0000-0000AF8E0000}"/>
    <cellStyle name="Normal 6 2 2 2 2 2 2 2" xfId="31805" xr:uid="{00000000-0005-0000-0000-0000B08E0000}"/>
    <cellStyle name="Normal 6 2 2 2 2 2 2 2 2" xfId="41082" xr:uid="{00000000-0005-0000-0000-0000B18E0000}"/>
    <cellStyle name="Normal 6 2 2 2 2 2 2 3" xfId="31806" xr:uid="{00000000-0005-0000-0000-0000B28E0000}"/>
    <cellStyle name="Normal 6 2 2 2 2 2 3" xfId="31807" xr:uid="{00000000-0005-0000-0000-0000B38E0000}"/>
    <cellStyle name="Normal 6 2 2 2 2 2 3 2" xfId="31808" xr:uid="{00000000-0005-0000-0000-0000B48E0000}"/>
    <cellStyle name="Normal 6 2 2 2 2 2 3 2 2" xfId="41083" xr:uid="{00000000-0005-0000-0000-0000B58E0000}"/>
    <cellStyle name="Normal 6 2 2 2 2 2 3 3" xfId="31809" xr:uid="{00000000-0005-0000-0000-0000B68E0000}"/>
    <cellStyle name="Normal 6 2 2 2 2 2 4" xfId="31810" xr:uid="{00000000-0005-0000-0000-0000B78E0000}"/>
    <cellStyle name="Normal 6 2 2 2 2 2 4 2" xfId="41084" xr:uid="{00000000-0005-0000-0000-0000B88E0000}"/>
    <cellStyle name="Normal 6 2 2 2 2 2 5" xfId="31811" xr:uid="{00000000-0005-0000-0000-0000B98E0000}"/>
    <cellStyle name="Normal 6 2 2 2 2 3" xfId="31812" xr:uid="{00000000-0005-0000-0000-0000BA8E0000}"/>
    <cellStyle name="Normal 6 2 2 2 2 3 2" xfId="31813" xr:uid="{00000000-0005-0000-0000-0000BB8E0000}"/>
    <cellStyle name="Normal 6 2 2 2 2 3 2 2" xfId="41085" xr:uid="{00000000-0005-0000-0000-0000BC8E0000}"/>
    <cellStyle name="Normal 6 2 2 2 2 3 3" xfId="31814" xr:uid="{00000000-0005-0000-0000-0000BD8E0000}"/>
    <cellStyle name="Normal 6 2 2 2 2 4" xfId="31815" xr:uid="{00000000-0005-0000-0000-0000BE8E0000}"/>
    <cellStyle name="Normal 6 2 2 2 2 4 2" xfId="31816" xr:uid="{00000000-0005-0000-0000-0000BF8E0000}"/>
    <cellStyle name="Normal 6 2 2 2 2 4 2 2" xfId="41086" xr:uid="{00000000-0005-0000-0000-0000C08E0000}"/>
    <cellStyle name="Normal 6 2 2 2 2 4 3" xfId="31817" xr:uid="{00000000-0005-0000-0000-0000C18E0000}"/>
    <cellStyle name="Normal 6 2 2 2 2 5" xfId="31818" xr:uid="{00000000-0005-0000-0000-0000C28E0000}"/>
    <cellStyle name="Normal 6 2 2 2 2 5 2" xfId="41087" xr:uid="{00000000-0005-0000-0000-0000C38E0000}"/>
    <cellStyle name="Normal 6 2 2 2 2 6" xfId="31819" xr:uid="{00000000-0005-0000-0000-0000C48E0000}"/>
    <cellStyle name="Normal 6 2 2 2 2 7" xfId="45746" xr:uid="{00000000-0005-0000-0000-0000C58E0000}"/>
    <cellStyle name="Normal 6 2 2 2 3" xfId="31820" xr:uid="{00000000-0005-0000-0000-0000C68E0000}"/>
    <cellStyle name="Normal 6 2 2 2 3 2" xfId="31821" xr:uid="{00000000-0005-0000-0000-0000C78E0000}"/>
    <cellStyle name="Normal 6 2 2 2 3 2 2" xfId="31822" xr:uid="{00000000-0005-0000-0000-0000C88E0000}"/>
    <cellStyle name="Normal 6 2 2 2 3 2 2 2" xfId="41088" xr:uid="{00000000-0005-0000-0000-0000C98E0000}"/>
    <cellStyle name="Normal 6 2 2 2 3 2 3" xfId="31823" xr:uid="{00000000-0005-0000-0000-0000CA8E0000}"/>
    <cellStyle name="Normal 6 2 2 2 3 3" xfId="31824" xr:uid="{00000000-0005-0000-0000-0000CB8E0000}"/>
    <cellStyle name="Normal 6 2 2 2 3 3 2" xfId="31825" xr:uid="{00000000-0005-0000-0000-0000CC8E0000}"/>
    <cellStyle name="Normal 6 2 2 2 3 3 2 2" xfId="41089" xr:uid="{00000000-0005-0000-0000-0000CD8E0000}"/>
    <cellStyle name="Normal 6 2 2 2 3 3 3" xfId="31826" xr:uid="{00000000-0005-0000-0000-0000CE8E0000}"/>
    <cellStyle name="Normal 6 2 2 2 3 4" xfId="31827" xr:uid="{00000000-0005-0000-0000-0000CF8E0000}"/>
    <cellStyle name="Normal 6 2 2 2 3 4 2" xfId="41090" xr:uid="{00000000-0005-0000-0000-0000D08E0000}"/>
    <cellStyle name="Normal 6 2 2 2 3 5" xfId="31828" xr:uid="{00000000-0005-0000-0000-0000D18E0000}"/>
    <cellStyle name="Normal 6 2 2 2 4" xfId="31829" xr:uid="{00000000-0005-0000-0000-0000D28E0000}"/>
    <cellStyle name="Normal 6 2 2 2 4 2" xfId="31830" xr:uid="{00000000-0005-0000-0000-0000D38E0000}"/>
    <cellStyle name="Normal 6 2 2 2 4 2 2" xfId="41091" xr:uid="{00000000-0005-0000-0000-0000D48E0000}"/>
    <cellStyle name="Normal 6 2 2 2 4 3" xfId="31831" xr:uid="{00000000-0005-0000-0000-0000D58E0000}"/>
    <cellStyle name="Normal 6 2 2 2 5" xfId="31832" xr:uid="{00000000-0005-0000-0000-0000D68E0000}"/>
    <cellStyle name="Normal 6 2 2 2 5 2" xfId="31833" xr:uid="{00000000-0005-0000-0000-0000D78E0000}"/>
    <cellStyle name="Normal 6 2 2 2 5 2 2" xfId="41092" xr:uid="{00000000-0005-0000-0000-0000D88E0000}"/>
    <cellStyle name="Normal 6 2 2 2 5 3" xfId="31834" xr:uid="{00000000-0005-0000-0000-0000D98E0000}"/>
    <cellStyle name="Normal 6 2 2 2 6" xfId="31835" xr:uid="{00000000-0005-0000-0000-0000DA8E0000}"/>
    <cellStyle name="Normal 6 2 2 2 6 2" xfId="41093" xr:uid="{00000000-0005-0000-0000-0000DB8E0000}"/>
    <cellStyle name="Normal 6 2 2 2 7" xfId="31836" xr:uid="{00000000-0005-0000-0000-0000DC8E0000}"/>
    <cellStyle name="Normal 6 2 2 2 8" xfId="31837" xr:uid="{00000000-0005-0000-0000-0000DD8E0000}"/>
    <cellStyle name="Normal 6 2 2 2 9" xfId="45747" xr:uid="{00000000-0005-0000-0000-0000DE8E0000}"/>
    <cellStyle name="Normal 6 2 2 3" xfId="1917" xr:uid="{00000000-0005-0000-0000-0000DF8E0000}"/>
    <cellStyle name="Normal 6 2 2 3 2" xfId="31838" xr:uid="{00000000-0005-0000-0000-0000E08E0000}"/>
    <cellStyle name="Normal 6 2 2 3 2 2" xfId="31839" xr:uid="{00000000-0005-0000-0000-0000E18E0000}"/>
    <cellStyle name="Normal 6 2 2 3 2 2 2" xfId="31840" xr:uid="{00000000-0005-0000-0000-0000E28E0000}"/>
    <cellStyle name="Normal 6 2 2 3 2 2 2 2" xfId="41094" xr:uid="{00000000-0005-0000-0000-0000E38E0000}"/>
    <cellStyle name="Normal 6 2 2 3 2 2 3" xfId="31841" xr:uid="{00000000-0005-0000-0000-0000E48E0000}"/>
    <cellStyle name="Normal 6 2 2 3 2 3" xfId="31842" xr:uid="{00000000-0005-0000-0000-0000E58E0000}"/>
    <cellStyle name="Normal 6 2 2 3 2 3 2" xfId="31843" xr:uid="{00000000-0005-0000-0000-0000E68E0000}"/>
    <cellStyle name="Normal 6 2 2 3 2 3 2 2" xfId="41095" xr:uid="{00000000-0005-0000-0000-0000E78E0000}"/>
    <cellStyle name="Normal 6 2 2 3 2 3 3" xfId="31844" xr:uid="{00000000-0005-0000-0000-0000E88E0000}"/>
    <cellStyle name="Normal 6 2 2 3 2 4" xfId="31845" xr:uid="{00000000-0005-0000-0000-0000E98E0000}"/>
    <cellStyle name="Normal 6 2 2 3 2 4 2" xfId="41096" xr:uid="{00000000-0005-0000-0000-0000EA8E0000}"/>
    <cellStyle name="Normal 6 2 2 3 2 5" xfId="31846" xr:uid="{00000000-0005-0000-0000-0000EB8E0000}"/>
    <cellStyle name="Normal 6 2 2 3 3" xfId="31847" xr:uid="{00000000-0005-0000-0000-0000EC8E0000}"/>
    <cellStyle name="Normal 6 2 2 3 3 2" xfId="31848" xr:uid="{00000000-0005-0000-0000-0000ED8E0000}"/>
    <cellStyle name="Normal 6 2 2 3 3 2 2" xfId="41097" xr:uid="{00000000-0005-0000-0000-0000EE8E0000}"/>
    <cellStyle name="Normal 6 2 2 3 3 3" xfId="31849" xr:uid="{00000000-0005-0000-0000-0000EF8E0000}"/>
    <cellStyle name="Normal 6 2 2 3 4" xfId="31850" xr:uid="{00000000-0005-0000-0000-0000F08E0000}"/>
    <cellStyle name="Normal 6 2 2 3 4 2" xfId="31851" xr:uid="{00000000-0005-0000-0000-0000F18E0000}"/>
    <cellStyle name="Normal 6 2 2 3 4 2 2" xfId="41098" xr:uid="{00000000-0005-0000-0000-0000F28E0000}"/>
    <cellStyle name="Normal 6 2 2 3 4 3" xfId="31852" xr:uid="{00000000-0005-0000-0000-0000F38E0000}"/>
    <cellStyle name="Normal 6 2 2 3 5" xfId="31853" xr:uid="{00000000-0005-0000-0000-0000F48E0000}"/>
    <cellStyle name="Normal 6 2 2 3 5 2" xfId="41099" xr:uid="{00000000-0005-0000-0000-0000F58E0000}"/>
    <cellStyle name="Normal 6 2 2 3 6" xfId="31854" xr:uid="{00000000-0005-0000-0000-0000F68E0000}"/>
    <cellStyle name="Normal 6 2 2 3 7" xfId="45748" xr:uid="{00000000-0005-0000-0000-0000F78E0000}"/>
    <cellStyle name="Normal 6 2 2 4" xfId="31855" xr:uid="{00000000-0005-0000-0000-0000F88E0000}"/>
    <cellStyle name="Normal 6 2 2 4 2" xfId="31856" xr:uid="{00000000-0005-0000-0000-0000F98E0000}"/>
    <cellStyle name="Normal 6 2 2 4 2 2" xfId="31857" xr:uid="{00000000-0005-0000-0000-0000FA8E0000}"/>
    <cellStyle name="Normal 6 2 2 4 2 2 2" xfId="41100" xr:uid="{00000000-0005-0000-0000-0000FB8E0000}"/>
    <cellStyle name="Normal 6 2 2 4 2 3" xfId="31858" xr:uid="{00000000-0005-0000-0000-0000FC8E0000}"/>
    <cellStyle name="Normal 6 2 2 4 3" xfId="31859" xr:uid="{00000000-0005-0000-0000-0000FD8E0000}"/>
    <cellStyle name="Normal 6 2 2 4 3 2" xfId="31860" xr:uid="{00000000-0005-0000-0000-0000FE8E0000}"/>
    <cellStyle name="Normal 6 2 2 4 3 2 2" xfId="41101" xr:uid="{00000000-0005-0000-0000-0000FF8E0000}"/>
    <cellStyle name="Normal 6 2 2 4 3 3" xfId="31861" xr:uid="{00000000-0005-0000-0000-0000008F0000}"/>
    <cellStyle name="Normal 6 2 2 4 4" xfId="31862" xr:uid="{00000000-0005-0000-0000-0000018F0000}"/>
    <cellStyle name="Normal 6 2 2 4 4 2" xfId="41102" xr:uid="{00000000-0005-0000-0000-0000028F0000}"/>
    <cellStyle name="Normal 6 2 2 4 5" xfId="31863" xr:uid="{00000000-0005-0000-0000-0000038F0000}"/>
    <cellStyle name="Normal 6 2 2 5" xfId="31864" xr:uid="{00000000-0005-0000-0000-0000048F0000}"/>
    <cellStyle name="Normal 6 2 2 5 2" xfId="31865" xr:uid="{00000000-0005-0000-0000-0000058F0000}"/>
    <cellStyle name="Normal 6 2 2 5 2 2" xfId="41103" xr:uid="{00000000-0005-0000-0000-0000068F0000}"/>
    <cellStyle name="Normal 6 2 2 5 3" xfId="31866" xr:uid="{00000000-0005-0000-0000-0000078F0000}"/>
    <cellStyle name="Normal 6 2 2 6" xfId="31867" xr:uid="{00000000-0005-0000-0000-0000088F0000}"/>
    <cellStyle name="Normal 6 2 2 6 2" xfId="31868" xr:uid="{00000000-0005-0000-0000-0000098F0000}"/>
    <cellStyle name="Normal 6 2 2 6 2 2" xfId="41104" xr:uid="{00000000-0005-0000-0000-00000A8F0000}"/>
    <cellStyle name="Normal 6 2 2 6 3" xfId="31869" xr:uid="{00000000-0005-0000-0000-00000B8F0000}"/>
    <cellStyle name="Normal 6 2 2 7" xfId="31870" xr:uid="{00000000-0005-0000-0000-00000C8F0000}"/>
    <cellStyle name="Normal 6 2 2 7 2" xfId="41105" xr:uid="{00000000-0005-0000-0000-00000D8F0000}"/>
    <cellStyle name="Normal 6 2 2 8" xfId="31871" xr:uid="{00000000-0005-0000-0000-00000E8F0000}"/>
    <cellStyle name="Normal 6 2 2 9" xfId="41106" xr:uid="{00000000-0005-0000-0000-00000F8F0000}"/>
    <cellStyle name="Normal 6 2 3" xfId="489" xr:uid="{00000000-0005-0000-0000-0000108F0000}"/>
    <cellStyle name="Normal 6 2 3 2" xfId="1918" xr:uid="{00000000-0005-0000-0000-0000118F0000}"/>
    <cellStyle name="Normal 6 2 3 2 2" xfId="31872" xr:uid="{00000000-0005-0000-0000-0000128F0000}"/>
    <cellStyle name="Normal 6 2 3 2 2 2" xfId="31873" xr:uid="{00000000-0005-0000-0000-0000138F0000}"/>
    <cellStyle name="Normal 6 2 3 2 2 2 2" xfId="31874" xr:uid="{00000000-0005-0000-0000-0000148F0000}"/>
    <cellStyle name="Normal 6 2 3 2 2 2 2 2" xfId="41107" xr:uid="{00000000-0005-0000-0000-0000158F0000}"/>
    <cellStyle name="Normal 6 2 3 2 2 2 3" xfId="31875" xr:uid="{00000000-0005-0000-0000-0000168F0000}"/>
    <cellStyle name="Normal 6 2 3 2 2 3" xfId="31876" xr:uid="{00000000-0005-0000-0000-0000178F0000}"/>
    <cellStyle name="Normal 6 2 3 2 2 3 2" xfId="31877" xr:uid="{00000000-0005-0000-0000-0000188F0000}"/>
    <cellStyle name="Normal 6 2 3 2 2 3 2 2" xfId="41108" xr:uid="{00000000-0005-0000-0000-0000198F0000}"/>
    <cellStyle name="Normal 6 2 3 2 2 3 3" xfId="31878" xr:uid="{00000000-0005-0000-0000-00001A8F0000}"/>
    <cellStyle name="Normal 6 2 3 2 2 4" xfId="31879" xr:uid="{00000000-0005-0000-0000-00001B8F0000}"/>
    <cellStyle name="Normal 6 2 3 2 2 4 2" xfId="41109" xr:uid="{00000000-0005-0000-0000-00001C8F0000}"/>
    <cellStyle name="Normal 6 2 3 2 2 5" xfId="31880" xr:uid="{00000000-0005-0000-0000-00001D8F0000}"/>
    <cellStyle name="Normal 6 2 3 2 3" xfId="31881" xr:uid="{00000000-0005-0000-0000-00001E8F0000}"/>
    <cellStyle name="Normal 6 2 3 2 3 2" xfId="31882" xr:uid="{00000000-0005-0000-0000-00001F8F0000}"/>
    <cellStyle name="Normal 6 2 3 2 3 2 2" xfId="41110" xr:uid="{00000000-0005-0000-0000-0000208F0000}"/>
    <cellStyle name="Normal 6 2 3 2 3 3" xfId="31883" xr:uid="{00000000-0005-0000-0000-0000218F0000}"/>
    <cellStyle name="Normal 6 2 3 2 4" xfId="31884" xr:uid="{00000000-0005-0000-0000-0000228F0000}"/>
    <cellStyle name="Normal 6 2 3 2 4 2" xfId="31885" xr:uid="{00000000-0005-0000-0000-0000238F0000}"/>
    <cellStyle name="Normal 6 2 3 2 4 2 2" xfId="41111" xr:uid="{00000000-0005-0000-0000-0000248F0000}"/>
    <cellStyle name="Normal 6 2 3 2 4 3" xfId="31886" xr:uid="{00000000-0005-0000-0000-0000258F0000}"/>
    <cellStyle name="Normal 6 2 3 2 5" xfId="31887" xr:uid="{00000000-0005-0000-0000-0000268F0000}"/>
    <cellStyle name="Normal 6 2 3 2 5 2" xfId="41112" xr:uid="{00000000-0005-0000-0000-0000278F0000}"/>
    <cellStyle name="Normal 6 2 3 2 6" xfId="31888" xr:uid="{00000000-0005-0000-0000-0000288F0000}"/>
    <cellStyle name="Normal 6 2 3 2 7" xfId="45749" xr:uid="{00000000-0005-0000-0000-0000298F0000}"/>
    <cellStyle name="Normal 6 2 3 3" xfId="1919" xr:uid="{00000000-0005-0000-0000-00002A8F0000}"/>
    <cellStyle name="Normal 6 2 3 3 2" xfId="31889" xr:uid="{00000000-0005-0000-0000-00002B8F0000}"/>
    <cellStyle name="Normal 6 2 3 3 2 2" xfId="31890" xr:uid="{00000000-0005-0000-0000-00002C8F0000}"/>
    <cellStyle name="Normal 6 2 3 3 2 2 2" xfId="41113" xr:uid="{00000000-0005-0000-0000-00002D8F0000}"/>
    <cellStyle name="Normal 6 2 3 3 2 3" xfId="31891" xr:uid="{00000000-0005-0000-0000-00002E8F0000}"/>
    <cellStyle name="Normal 6 2 3 3 3" xfId="31892" xr:uid="{00000000-0005-0000-0000-00002F8F0000}"/>
    <cellStyle name="Normal 6 2 3 3 3 2" xfId="31893" xr:uid="{00000000-0005-0000-0000-0000308F0000}"/>
    <cellStyle name="Normal 6 2 3 3 3 2 2" xfId="41114" xr:uid="{00000000-0005-0000-0000-0000318F0000}"/>
    <cellStyle name="Normal 6 2 3 3 3 3" xfId="31894" xr:uid="{00000000-0005-0000-0000-0000328F0000}"/>
    <cellStyle name="Normal 6 2 3 3 4" xfId="31895" xr:uid="{00000000-0005-0000-0000-0000338F0000}"/>
    <cellStyle name="Normal 6 2 3 3 4 2" xfId="41115" xr:uid="{00000000-0005-0000-0000-0000348F0000}"/>
    <cellStyle name="Normal 6 2 3 3 5" xfId="31896" xr:uid="{00000000-0005-0000-0000-0000358F0000}"/>
    <cellStyle name="Normal 6 2 3 3 6" xfId="45750" xr:uid="{00000000-0005-0000-0000-0000368F0000}"/>
    <cellStyle name="Normal 6 2 3 4" xfId="31897" xr:uid="{00000000-0005-0000-0000-0000378F0000}"/>
    <cellStyle name="Normal 6 2 3 4 2" xfId="31898" xr:uid="{00000000-0005-0000-0000-0000388F0000}"/>
    <cellStyle name="Normal 6 2 3 4 2 2" xfId="41116" xr:uid="{00000000-0005-0000-0000-0000398F0000}"/>
    <cellStyle name="Normal 6 2 3 4 3" xfId="31899" xr:uid="{00000000-0005-0000-0000-00003A8F0000}"/>
    <cellStyle name="Normal 6 2 3 4 4" xfId="31900" xr:uid="{00000000-0005-0000-0000-00003B8F0000}"/>
    <cellStyle name="Normal 6 2 3 4 5" xfId="44599" xr:uid="{00000000-0005-0000-0000-00003C8F0000}"/>
    <cellStyle name="Normal 6 2 3 4 6" xfId="45751" xr:uid="{00000000-0005-0000-0000-00003D8F0000}"/>
    <cellStyle name="Normal 6 2 3 5" xfId="31901" xr:uid="{00000000-0005-0000-0000-00003E8F0000}"/>
    <cellStyle name="Normal 6 2 3 5 2" xfId="31902" xr:uid="{00000000-0005-0000-0000-00003F8F0000}"/>
    <cellStyle name="Normal 6 2 3 5 2 2" xfId="41117" xr:uid="{00000000-0005-0000-0000-0000408F0000}"/>
    <cellStyle name="Normal 6 2 3 5 3" xfId="31903" xr:uid="{00000000-0005-0000-0000-0000418F0000}"/>
    <cellStyle name="Normal 6 2 3 6" xfId="31904" xr:uid="{00000000-0005-0000-0000-0000428F0000}"/>
    <cellStyle name="Normal 6 2 3 6 2" xfId="41118" xr:uid="{00000000-0005-0000-0000-0000438F0000}"/>
    <cellStyle name="Normal 6 2 3 7" xfId="31905" xr:uid="{00000000-0005-0000-0000-0000448F0000}"/>
    <cellStyle name="Normal 6 2 4" xfId="1920" xr:uid="{00000000-0005-0000-0000-0000458F0000}"/>
    <cellStyle name="Normal 6 2 4 2" xfId="31906" xr:uid="{00000000-0005-0000-0000-0000468F0000}"/>
    <cellStyle name="Normal 6 2 4 2 2" xfId="31907" xr:uid="{00000000-0005-0000-0000-0000478F0000}"/>
    <cellStyle name="Normal 6 2 4 2 2 2" xfId="31908" xr:uid="{00000000-0005-0000-0000-0000488F0000}"/>
    <cellStyle name="Normal 6 2 4 2 2 2 2" xfId="41119" xr:uid="{00000000-0005-0000-0000-0000498F0000}"/>
    <cellStyle name="Normal 6 2 4 2 2 3" xfId="31909" xr:uid="{00000000-0005-0000-0000-00004A8F0000}"/>
    <cellStyle name="Normal 6 2 4 2 3" xfId="31910" xr:uid="{00000000-0005-0000-0000-00004B8F0000}"/>
    <cellStyle name="Normal 6 2 4 2 3 2" xfId="31911" xr:uid="{00000000-0005-0000-0000-00004C8F0000}"/>
    <cellStyle name="Normal 6 2 4 2 3 2 2" xfId="41120" xr:uid="{00000000-0005-0000-0000-00004D8F0000}"/>
    <cellStyle name="Normal 6 2 4 2 3 3" xfId="31912" xr:uid="{00000000-0005-0000-0000-00004E8F0000}"/>
    <cellStyle name="Normal 6 2 4 2 4" xfId="31913" xr:uid="{00000000-0005-0000-0000-00004F8F0000}"/>
    <cellStyle name="Normal 6 2 4 2 4 2" xfId="41121" xr:uid="{00000000-0005-0000-0000-0000508F0000}"/>
    <cellStyle name="Normal 6 2 4 2 5" xfId="31914" xr:uid="{00000000-0005-0000-0000-0000518F0000}"/>
    <cellStyle name="Normal 6 2 4 3" xfId="31915" xr:uid="{00000000-0005-0000-0000-0000528F0000}"/>
    <cellStyle name="Normal 6 2 4 3 2" xfId="31916" xr:uid="{00000000-0005-0000-0000-0000538F0000}"/>
    <cellStyle name="Normal 6 2 4 3 2 2" xfId="41122" xr:uid="{00000000-0005-0000-0000-0000548F0000}"/>
    <cellStyle name="Normal 6 2 4 3 3" xfId="31917" xr:uid="{00000000-0005-0000-0000-0000558F0000}"/>
    <cellStyle name="Normal 6 2 4 4" xfId="31918" xr:uid="{00000000-0005-0000-0000-0000568F0000}"/>
    <cellStyle name="Normal 6 2 4 4 2" xfId="31919" xr:uid="{00000000-0005-0000-0000-0000578F0000}"/>
    <cellStyle name="Normal 6 2 4 4 2 2" xfId="41123" xr:uid="{00000000-0005-0000-0000-0000588F0000}"/>
    <cellStyle name="Normal 6 2 4 4 3" xfId="31920" xr:uid="{00000000-0005-0000-0000-0000598F0000}"/>
    <cellStyle name="Normal 6 2 4 5" xfId="31921" xr:uid="{00000000-0005-0000-0000-00005A8F0000}"/>
    <cellStyle name="Normal 6 2 4 5 2" xfId="41124" xr:uid="{00000000-0005-0000-0000-00005B8F0000}"/>
    <cellStyle name="Normal 6 2 4 6" xfId="31922" xr:uid="{00000000-0005-0000-0000-00005C8F0000}"/>
    <cellStyle name="Normal 6 2 4 7" xfId="45752" xr:uid="{00000000-0005-0000-0000-00005D8F0000}"/>
    <cellStyle name="Normal 6 2 5" xfId="1921" xr:uid="{00000000-0005-0000-0000-00005E8F0000}"/>
    <cellStyle name="Normal 6 2 5 2" xfId="31923" xr:uid="{00000000-0005-0000-0000-00005F8F0000}"/>
    <cellStyle name="Normal 6 2 5 2 2" xfId="31924" xr:uid="{00000000-0005-0000-0000-0000608F0000}"/>
    <cellStyle name="Normal 6 2 5 2 2 2" xfId="41125" xr:uid="{00000000-0005-0000-0000-0000618F0000}"/>
    <cellStyle name="Normal 6 2 5 2 3" xfId="31925" xr:uid="{00000000-0005-0000-0000-0000628F0000}"/>
    <cellStyle name="Normal 6 2 5 2 3 2" xfId="43742" xr:uid="{00000000-0005-0000-0000-0000638F0000}"/>
    <cellStyle name="Normal 6 2 5 2 4" xfId="43743" xr:uid="{00000000-0005-0000-0000-0000648F0000}"/>
    <cellStyle name="Normal 6 2 5 2 4 2" xfId="43744" xr:uid="{00000000-0005-0000-0000-0000658F0000}"/>
    <cellStyle name="Normal 6 2 5 2 5" xfId="43745" xr:uid="{00000000-0005-0000-0000-0000668F0000}"/>
    <cellStyle name="Normal 6 2 5 3" xfId="31926" xr:uid="{00000000-0005-0000-0000-0000678F0000}"/>
    <cellStyle name="Normal 6 2 5 3 2" xfId="31927" xr:uid="{00000000-0005-0000-0000-0000688F0000}"/>
    <cellStyle name="Normal 6 2 5 3 2 2" xfId="41126" xr:uid="{00000000-0005-0000-0000-0000698F0000}"/>
    <cellStyle name="Normal 6 2 5 3 3" xfId="31928" xr:uid="{00000000-0005-0000-0000-00006A8F0000}"/>
    <cellStyle name="Normal 6 2 5 4" xfId="31929" xr:uid="{00000000-0005-0000-0000-00006B8F0000}"/>
    <cellStyle name="Normal 6 2 5 4 2" xfId="41127" xr:uid="{00000000-0005-0000-0000-00006C8F0000}"/>
    <cellStyle name="Normal 6 2 5 5" xfId="31930" xr:uid="{00000000-0005-0000-0000-00006D8F0000}"/>
    <cellStyle name="Normal 6 2 5 5 2" xfId="43746" xr:uid="{00000000-0005-0000-0000-00006E8F0000}"/>
    <cellStyle name="Normal 6 2 5 6" xfId="43747" xr:uid="{00000000-0005-0000-0000-00006F8F0000}"/>
    <cellStyle name="Normal 6 2 5 7" xfId="45753" xr:uid="{00000000-0005-0000-0000-0000708F0000}"/>
    <cellStyle name="Normal 6 2 6" xfId="1922" xr:uid="{00000000-0005-0000-0000-0000718F0000}"/>
    <cellStyle name="Normal 6 2 6 2" xfId="31931" xr:uid="{00000000-0005-0000-0000-0000728F0000}"/>
    <cellStyle name="Normal 6 2 6 2 2" xfId="41128" xr:uid="{00000000-0005-0000-0000-0000738F0000}"/>
    <cellStyle name="Normal 6 2 6 3" xfId="31932" xr:uid="{00000000-0005-0000-0000-0000748F0000}"/>
    <cellStyle name="Normal 6 2 6 3 2" xfId="43748" xr:uid="{00000000-0005-0000-0000-0000758F0000}"/>
    <cellStyle name="Normal 6 2 6 4" xfId="43749" xr:uid="{00000000-0005-0000-0000-0000768F0000}"/>
    <cellStyle name="Normal 6 2 6 4 2" xfId="43750" xr:uid="{00000000-0005-0000-0000-0000778F0000}"/>
    <cellStyle name="Normal 6 2 6 5" xfId="43751" xr:uid="{00000000-0005-0000-0000-0000788F0000}"/>
    <cellStyle name="Normal 6 2 7" xfId="31933" xr:uid="{00000000-0005-0000-0000-0000798F0000}"/>
    <cellStyle name="Normal 6 2 7 2" xfId="31934" xr:uid="{00000000-0005-0000-0000-00007A8F0000}"/>
    <cellStyle name="Normal 6 2 7 2 2" xfId="41129" xr:uid="{00000000-0005-0000-0000-00007B8F0000}"/>
    <cellStyle name="Normal 6 2 7 3" xfId="31935" xr:uid="{00000000-0005-0000-0000-00007C8F0000}"/>
    <cellStyle name="Normal 6 2 7 3 2" xfId="43752" xr:uid="{00000000-0005-0000-0000-00007D8F0000}"/>
    <cellStyle name="Normal 6 2 7 4" xfId="43753" xr:uid="{00000000-0005-0000-0000-00007E8F0000}"/>
    <cellStyle name="Normal 6 2 7 4 2" xfId="43754" xr:uid="{00000000-0005-0000-0000-00007F8F0000}"/>
    <cellStyle name="Normal 6 2 7 5" xfId="43755" xr:uid="{00000000-0005-0000-0000-0000808F0000}"/>
    <cellStyle name="Normal 6 2 8" xfId="31936" xr:uid="{00000000-0005-0000-0000-0000818F0000}"/>
    <cellStyle name="Normal 6 2 8 2" xfId="41130" xr:uid="{00000000-0005-0000-0000-0000828F0000}"/>
    <cellStyle name="Normal 6 2 8 2 2" xfId="43756" xr:uid="{00000000-0005-0000-0000-0000838F0000}"/>
    <cellStyle name="Normal 6 2 8 3" xfId="43757" xr:uid="{00000000-0005-0000-0000-0000848F0000}"/>
    <cellStyle name="Normal 6 2 8 3 2" xfId="43758" xr:uid="{00000000-0005-0000-0000-0000858F0000}"/>
    <cellStyle name="Normal 6 2 8 4" xfId="43759" xr:uid="{00000000-0005-0000-0000-0000868F0000}"/>
    <cellStyle name="Normal 6 2 8 4 2" xfId="43760" xr:uid="{00000000-0005-0000-0000-0000878F0000}"/>
    <cellStyle name="Normal 6 2 8 5" xfId="43761" xr:uid="{00000000-0005-0000-0000-0000888F0000}"/>
    <cellStyle name="Normal 6 2 9" xfId="31937" xr:uid="{00000000-0005-0000-0000-0000898F0000}"/>
    <cellStyle name="Normal 6 2 9 2" xfId="43762" xr:uid="{00000000-0005-0000-0000-00008A8F0000}"/>
    <cellStyle name="Normal 6 2_Net Zero &amp; QRP Award" xfId="43763" xr:uid="{00000000-0005-0000-0000-00008B8F0000}"/>
    <cellStyle name="Normal 6 3" xfId="52" xr:uid="{00000000-0005-0000-0000-00008C8F0000}"/>
    <cellStyle name="Normal 6 3 10" xfId="41131" xr:uid="{00000000-0005-0000-0000-00008D8F0000}"/>
    <cellStyle name="Normal 6 3 10 2" xfId="43764" xr:uid="{00000000-0005-0000-0000-00008E8F0000}"/>
    <cellStyle name="Normal 6 3 11" xfId="43765" xr:uid="{00000000-0005-0000-0000-00008F8F0000}"/>
    <cellStyle name="Normal 6 3 11 2" xfId="43766" xr:uid="{00000000-0005-0000-0000-0000908F0000}"/>
    <cellStyle name="Normal 6 3 12" xfId="43767" xr:uid="{00000000-0005-0000-0000-0000918F0000}"/>
    <cellStyle name="Normal 6 3 13" xfId="45754" xr:uid="{00000000-0005-0000-0000-0000928F0000}"/>
    <cellStyle name="Normal 6 3 14" xfId="46264" xr:uid="{00000000-0005-0000-0000-0000938F0000}"/>
    <cellStyle name="Normal 6 3 2" xfId="1923" xr:uid="{00000000-0005-0000-0000-0000948F0000}"/>
    <cellStyle name="Normal 6 3 2 2" xfId="1924" xr:uid="{00000000-0005-0000-0000-0000958F0000}"/>
    <cellStyle name="Normal 6 3 2 2 2" xfId="31938" xr:uid="{00000000-0005-0000-0000-0000968F0000}"/>
    <cellStyle name="Normal 6 3 2 2 2 2" xfId="31939" xr:uid="{00000000-0005-0000-0000-0000978F0000}"/>
    <cellStyle name="Normal 6 3 2 2 2 2 2" xfId="31940" xr:uid="{00000000-0005-0000-0000-0000988F0000}"/>
    <cellStyle name="Normal 6 3 2 2 2 2 2 2" xfId="41132" xr:uid="{00000000-0005-0000-0000-0000998F0000}"/>
    <cellStyle name="Normal 6 3 2 2 2 2 3" xfId="31941" xr:uid="{00000000-0005-0000-0000-00009A8F0000}"/>
    <cellStyle name="Normal 6 3 2 2 2 3" xfId="31942" xr:uid="{00000000-0005-0000-0000-00009B8F0000}"/>
    <cellStyle name="Normal 6 3 2 2 2 3 2" xfId="31943" xr:uid="{00000000-0005-0000-0000-00009C8F0000}"/>
    <cellStyle name="Normal 6 3 2 2 2 3 2 2" xfId="41133" xr:uid="{00000000-0005-0000-0000-00009D8F0000}"/>
    <cellStyle name="Normal 6 3 2 2 2 3 3" xfId="31944" xr:uid="{00000000-0005-0000-0000-00009E8F0000}"/>
    <cellStyle name="Normal 6 3 2 2 2 4" xfId="31945" xr:uid="{00000000-0005-0000-0000-00009F8F0000}"/>
    <cellStyle name="Normal 6 3 2 2 2 4 2" xfId="41134" xr:uid="{00000000-0005-0000-0000-0000A08F0000}"/>
    <cellStyle name="Normal 6 3 2 2 2 5" xfId="31946" xr:uid="{00000000-0005-0000-0000-0000A18F0000}"/>
    <cellStyle name="Normal 6 3 2 2 3" xfId="31947" xr:uid="{00000000-0005-0000-0000-0000A28F0000}"/>
    <cellStyle name="Normal 6 3 2 2 3 2" xfId="31948" xr:uid="{00000000-0005-0000-0000-0000A38F0000}"/>
    <cellStyle name="Normal 6 3 2 2 3 2 2" xfId="41135" xr:uid="{00000000-0005-0000-0000-0000A48F0000}"/>
    <cellStyle name="Normal 6 3 2 2 3 3" xfId="31949" xr:uid="{00000000-0005-0000-0000-0000A58F0000}"/>
    <cellStyle name="Normal 6 3 2 2 4" xfId="31950" xr:uid="{00000000-0005-0000-0000-0000A68F0000}"/>
    <cellStyle name="Normal 6 3 2 2 4 2" xfId="31951" xr:uid="{00000000-0005-0000-0000-0000A78F0000}"/>
    <cellStyle name="Normal 6 3 2 2 4 2 2" xfId="41136" xr:uid="{00000000-0005-0000-0000-0000A88F0000}"/>
    <cellStyle name="Normal 6 3 2 2 4 3" xfId="31952" xr:uid="{00000000-0005-0000-0000-0000A98F0000}"/>
    <cellStyle name="Normal 6 3 2 2 5" xfId="31953" xr:uid="{00000000-0005-0000-0000-0000AA8F0000}"/>
    <cellStyle name="Normal 6 3 2 2 5 2" xfId="41137" xr:uid="{00000000-0005-0000-0000-0000AB8F0000}"/>
    <cellStyle name="Normal 6 3 2 2 6" xfId="31954" xr:uid="{00000000-0005-0000-0000-0000AC8F0000}"/>
    <cellStyle name="Normal 6 3 2 2 7" xfId="45755" xr:uid="{00000000-0005-0000-0000-0000AD8F0000}"/>
    <cellStyle name="Normal 6 3 2 3" xfId="31955" xr:uid="{00000000-0005-0000-0000-0000AE8F0000}"/>
    <cellStyle name="Normal 6 3 2 3 2" xfId="31956" xr:uid="{00000000-0005-0000-0000-0000AF8F0000}"/>
    <cellStyle name="Normal 6 3 2 3 2 2" xfId="31957" xr:uid="{00000000-0005-0000-0000-0000B08F0000}"/>
    <cellStyle name="Normal 6 3 2 3 2 2 2" xfId="41138" xr:uid="{00000000-0005-0000-0000-0000B18F0000}"/>
    <cellStyle name="Normal 6 3 2 3 2 3" xfId="31958" xr:uid="{00000000-0005-0000-0000-0000B28F0000}"/>
    <cellStyle name="Normal 6 3 2 3 3" xfId="31959" xr:uid="{00000000-0005-0000-0000-0000B38F0000}"/>
    <cellStyle name="Normal 6 3 2 3 3 2" xfId="31960" xr:uid="{00000000-0005-0000-0000-0000B48F0000}"/>
    <cellStyle name="Normal 6 3 2 3 3 2 2" xfId="41139" xr:uid="{00000000-0005-0000-0000-0000B58F0000}"/>
    <cellStyle name="Normal 6 3 2 3 3 3" xfId="31961" xr:uid="{00000000-0005-0000-0000-0000B68F0000}"/>
    <cellStyle name="Normal 6 3 2 3 4" xfId="31962" xr:uid="{00000000-0005-0000-0000-0000B78F0000}"/>
    <cellStyle name="Normal 6 3 2 3 4 2" xfId="41140" xr:uid="{00000000-0005-0000-0000-0000B88F0000}"/>
    <cellStyle name="Normal 6 3 2 3 5" xfId="31963" xr:uid="{00000000-0005-0000-0000-0000B98F0000}"/>
    <cellStyle name="Normal 6 3 2 4" xfId="31964" xr:uid="{00000000-0005-0000-0000-0000BA8F0000}"/>
    <cellStyle name="Normal 6 3 2 4 2" xfId="31965" xr:uid="{00000000-0005-0000-0000-0000BB8F0000}"/>
    <cellStyle name="Normal 6 3 2 4 2 2" xfId="41141" xr:uid="{00000000-0005-0000-0000-0000BC8F0000}"/>
    <cellStyle name="Normal 6 3 2 4 3" xfId="31966" xr:uid="{00000000-0005-0000-0000-0000BD8F0000}"/>
    <cellStyle name="Normal 6 3 2 5" xfId="31967" xr:uid="{00000000-0005-0000-0000-0000BE8F0000}"/>
    <cellStyle name="Normal 6 3 2 5 2" xfId="31968" xr:uid="{00000000-0005-0000-0000-0000BF8F0000}"/>
    <cellStyle name="Normal 6 3 2 5 2 2" xfId="41142" xr:uid="{00000000-0005-0000-0000-0000C08F0000}"/>
    <cellStyle name="Normal 6 3 2 5 3" xfId="31969" xr:uid="{00000000-0005-0000-0000-0000C18F0000}"/>
    <cellStyle name="Normal 6 3 2 6" xfId="31970" xr:uid="{00000000-0005-0000-0000-0000C28F0000}"/>
    <cellStyle name="Normal 6 3 2 6 2" xfId="41143" xr:uid="{00000000-0005-0000-0000-0000C38F0000}"/>
    <cellStyle name="Normal 6 3 2 7" xfId="31971" xr:uid="{00000000-0005-0000-0000-0000C48F0000}"/>
    <cellStyle name="Normal 6 3 2 8" xfId="41144" xr:uid="{00000000-0005-0000-0000-0000C58F0000}"/>
    <cellStyle name="Normal 6 3 2 9" xfId="45756" xr:uid="{00000000-0005-0000-0000-0000C68F0000}"/>
    <cellStyle name="Normal 6 3 3" xfId="1925" xr:uid="{00000000-0005-0000-0000-0000C78F0000}"/>
    <cellStyle name="Normal 6 3 3 2" xfId="31972" xr:uid="{00000000-0005-0000-0000-0000C88F0000}"/>
    <cellStyle name="Normal 6 3 3 2 2" xfId="31973" xr:uid="{00000000-0005-0000-0000-0000C98F0000}"/>
    <cellStyle name="Normal 6 3 3 2 2 2" xfId="31974" xr:uid="{00000000-0005-0000-0000-0000CA8F0000}"/>
    <cellStyle name="Normal 6 3 3 2 2 2 2" xfId="41145" xr:uid="{00000000-0005-0000-0000-0000CB8F0000}"/>
    <cellStyle name="Normal 6 3 3 2 2 3" xfId="31975" xr:uid="{00000000-0005-0000-0000-0000CC8F0000}"/>
    <cellStyle name="Normal 6 3 3 2 3" xfId="31976" xr:uid="{00000000-0005-0000-0000-0000CD8F0000}"/>
    <cellStyle name="Normal 6 3 3 2 3 2" xfId="31977" xr:uid="{00000000-0005-0000-0000-0000CE8F0000}"/>
    <cellStyle name="Normal 6 3 3 2 3 2 2" xfId="41146" xr:uid="{00000000-0005-0000-0000-0000CF8F0000}"/>
    <cellStyle name="Normal 6 3 3 2 3 3" xfId="31978" xr:uid="{00000000-0005-0000-0000-0000D08F0000}"/>
    <cellStyle name="Normal 6 3 3 2 4" xfId="31979" xr:uid="{00000000-0005-0000-0000-0000D18F0000}"/>
    <cellStyle name="Normal 6 3 3 2 4 2" xfId="41147" xr:uid="{00000000-0005-0000-0000-0000D28F0000}"/>
    <cellStyle name="Normal 6 3 3 2 5" xfId="31980" xr:uid="{00000000-0005-0000-0000-0000D38F0000}"/>
    <cellStyle name="Normal 6 3 3 3" xfId="31981" xr:uid="{00000000-0005-0000-0000-0000D48F0000}"/>
    <cellStyle name="Normal 6 3 3 3 2" xfId="31982" xr:uid="{00000000-0005-0000-0000-0000D58F0000}"/>
    <cellStyle name="Normal 6 3 3 3 2 2" xfId="41148" xr:uid="{00000000-0005-0000-0000-0000D68F0000}"/>
    <cellStyle name="Normal 6 3 3 3 3" xfId="31983" xr:uid="{00000000-0005-0000-0000-0000D78F0000}"/>
    <cellStyle name="Normal 6 3 3 4" xfId="31984" xr:uid="{00000000-0005-0000-0000-0000D88F0000}"/>
    <cellStyle name="Normal 6 3 3 4 2" xfId="31985" xr:uid="{00000000-0005-0000-0000-0000D98F0000}"/>
    <cellStyle name="Normal 6 3 3 4 2 2" xfId="41149" xr:uid="{00000000-0005-0000-0000-0000DA8F0000}"/>
    <cellStyle name="Normal 6 3 3 4 3" xfId="31986" xr:uid="{00000000-0005-0000-0000-0000DB8F0000}"/>
    <cellStyle name="Normal 6 3 3 5" xfId="31987" xr:uid="{00000000-0005-0000-0000-0000DC8F0000}"/>
    <cellStyle name="Normal 6 3 3 5 2" xfId="41150" xr:uid="{00000000-0005-0000-0000-0000DD8F0000}"/>
    <cellStyle name="Normal 6 3 3 6" xfId="31988" xr:uid="{00000000-0005-0000-0000-0000DE8F0000}"/>
    <cellStyle name="Normal 6 3 3 7" xfId="45757" xr:uid="{00000000-0005-0000-0000-0000DF8F0000}"/>
    <cellStyle name="Normal 6 3 4" xfId="1926" xr:uid="{00000000-0005-0000-0000-0000E08F0000}"/>
    <cellStyle name="Normal 6 3 4 2" xfId="31989" xr:uid="{00000000-0005-0000-0000-0000E18F0000}"/>
    <cellStyle name="Normal 6 3 4 2 2" xfId="31990" xr:uid="{00000000-0005-0000-0000-0000E28F0000}"/>
    <cellStyle name="Normal 6 3 4 2 2 2" xfId="41151" xr:uid="{00000000-0005-0000-0000-0000E38F0000}"/>
    <cellStyle name="Normal 6 3 4 2 3" xfId="31991" xr:uid="{00000000-0005-0000-0000-0000E48F0000}"/>
    <cellStyle name="Normal 6 3 4 2 3 2" xfId="43768" xr:uid="{00000000-0005-0000-0000-0000E58F0000}"/>
    <cellStyle name="Normal 6 3 4 2 4" xfId="43769" xr:uid="{00000000-0005-0000-0000-0000E68F0000}"/>
    <cellStyle name="Normal 6 3 4 2 4 2" xfId="43770" xr:uid="{00000000-0005-0000-0000-0000E78F0000}"/>
    <cellStyle name="Normal 6 3 4 2 5" xfId="43771" xr:uid="{00000000-0005-0000-0000-0000E88F0000}"/>
    <cellStyle name="Normal 6 3 4 3" xfId="31992" xr:uid="{00000000-0005-0000-0000-0000E98F0000}"/>
    <cellStyle name="Normal 6 3 4 3 2" xfId="31993" xr:uid="{00000000-0005-0000-0000-0000EA8F0000}"/>
    <cellStyle name="Normal 6 3 4 3 2 2" xfId="41152" xr:uid="{00000000-0005-0000-0000-0000EB8F0000}"/>
    <cellStyle name="Normal 6 3 4 3 3" xfId="31994" xr:uid="{00000000-0005-0000-0000-0000EC8F0000}"/>
    <cellStyle name="Normal 6 3 4 4" xfId="31995" xr:uid="{00000000-0005-0000-0000-0000ED8F0000}"/>
    <cellStyle name="Normal 6 3 4 4 2" xfId="41153" xr:uid="{00000000-0005-0000-0000-0000EE8F0000}"/>
    <cellStyle name="Normal 6 3 4 5" xfId="31996" xr:uid="{00000000-0005-0000-0000-0000EF8F0000}"/>
    <cellStyle name="Normal 6 3 4 5 2" xfId="43772" xr:uid="{00000000-0005-0000-0000-0000F08F0000}"/>
    <cellStyle name="Normal 6 3 4 6" xfId="43773" xr:uid="{00000000-0005-0000-0000-0000F18F0000}"/>
    <cellStyle name="Normal 6 3 5" xfId="1927" xr:uid="{00000000-0005-0000-0000-0000F28F0000}"/>
    <cellStyle name="Normal 6 3 5 2" xfId="31997" xr:uid="{00000000-0005-0000-0000-0000F38F0000}"/>
    <cellStyle name="Normal 6 3 5 2 2" xfId="41154" xr:uid="{00000000-0005-0000-0000-0000F48F0000}"/>
    <cellStyle name="Normal 6 3 5 2 2 2" xfId="43774" xr:uid="{00000000-0005-0000-0000-0000F58F0000}"/>
    <cellStyle name="Normal 6 3 5 2 3" xfId="43775" xr:uid="{00000000-0005-0000-0000-0000F68F0000}"/>
    <cellStyle name="Normal 6 3 5 2 3 2" xfId="43776" xr:uid="{00000000-0005-0000-0000-0000F78F0000}"/>
    <cellStyle name="Normal 6 3 5 2 4" xfId="43777" xr:uid="{00000000-0005-0000-0000-0000F88F0000}"/>
    <cellStyle name="Normal 6 3 5 2 4 2" xfId="43778" xr:uid="{00000000-0005-0000-0000-0000F98F0000}"/>
    <cellStyle name="Normal 6 3 5 2 5" xfId="43779" xr:uid="{00000000-0005-0000-0000-0000FA8F0000}"/>
    <cellStyle name="Normal 6 3 5 3" xfId="31998" xr:uid="{00000000-0005-0000-0000-0000FB8F0000}"/>
    <cellStyle name="Normal 6 3 5 3 2" xfId="43780" xr:uid="{00000000-0005-0000-0000-0000FC8F0000}"/>
    <cellStyle name="Normal 6 3 5 4" xfId="43781" xr:uid="{00000000-0005-0000-0000-0000FD8F0000}"/>
    <cellStyle name="Normal 6 3 5 4 2" xfId="43782" xr:uid="{00000000-0005-0000-0000-0000FE8F0000}"/>
    <cellStyle name="Normal 6 3 5 5" xfId="43783" xr:uid="{00000000-0005-0000-0000-0000FF8F0000}"/>
    <cellStyle name="Normal 6 3 5 5 2" xfId="43784" xr:uid="{00000000-0005-0000-0000-000000900000}"/>
    <cellStyle name="Normal 6 3 5 6" xfId="43785" xr:uid="{00000000-0005-0000-0000-000001900000}"/>
    <cellStyle name="Normal 6 3 5 7" xfId="45758" xr:uid="{00000000-0005-0000-0000-000002900000}"/>
    <cellStyle name="Normal 6 3 6" xfId="31999" xr:uid="{00000000-0005-0000-0000-000003900000}"/>
    <cellStyle name="Normal 6 3 6 2" xfId="32000" xr:uid="{00000000-0005-0000-0000-000004900000}"/>
    <cellStyle name="Normal 6 3 6 2 2" xfId="41155" xr:uid="{00000000-0005-0000-0000-000005900000}"/>
    <cellStyle name="Normal 6 3 6 3" xfId="32001" xr:uid="{00000000-0005-0000-0000-000006900000}"/>
    <cellStyle name="Normal 6 3 6 3 2" xfId="43786" xr:uid="{00000000-0005-0000-0000-000007900000}"/>
    <cellStyle name="Normal 6 3 6 4" xfId="43787" xr:uid="{00000000-0005-0000-0000-000008900000}"/>
    <cellStyle name="Normal 6 3 6 4 2" xfId="43788" xr:uid="{00000000-0005-0000-0000-000009900000}"/>
    <cellStyle name="Normal 6 3 6 5" xfId="43789" xr:uid="{00000000-0005-0000-0000-00000A900000}"/>
    <cellStyle name="Normal 6 3 7" xfId="32002" xr:uid="{00000000-0005-0000-0000-00000B900000}"/>
    <cellStyle name="Normal 6 3 7 2" xfId="41156" xr:uid="{00000000-0005-0000-0000-00000C900000}"/>
    <cellStyle name="Normal 6 3 7 2 2" xfId="43790" xr:uid="{00000000-0005-0000-0000-00000D900000}"/>
    <cellStyle name="Normal 6 3 7 3" xfId="43791" xr:uid="{00000000-0005-0000-0000-00000E900000}"/>
    <cellStyle name="Normal 6 3 7 3 2" xfId="43792" xr:uid="{00000000-0005-0000-0000-00000F900000}"/>
    <cellStyle name="Normal 6 3 7 4" xfId="43793" xr:uid="{00000000-0005-0000-0000-000010900000}"/>
    <cellStyle name="Normal 6 3 7 4 2" xfId="43794" xr:uid="{00000000-0005-0000-0000-000011900000}"/>
    <cellStyle name="Normal 6 3 7 5" xfId="43795" xr:uid="{00000000-0005-0000-0000-000012900000}"/>
    <cellStyle name="Normal 6 3 8" xfId="32003" xr:uid="{00000000-0005-0000-0000-000013900000}"/>
    <cellStyle name="Normal 6 3 8 2" xfId="41157" xr:uid="{00000000-0005-0000-0000-000014900000}"/>
    <cellStyle name="Normal 6 3 8 2 2" xfId="43796" xr:uid="{00000000-0005-0000-0000-000015900000}"/>
    <cellStyle name="Normal 6 3 8 3" xfId="43797" xr:uid="{00000000-0005-0000-0000-000016900000}"/>
    <cellStyle name="Normal 6 3 8 3 2" xfId="43798" xr:uid="{00000000-0005-0000-0000-000017900000}"/>
    <cellStyle name="Normal 6 3 8 4" xfId="43799" xr:uid="{00000000-0005-0000-0000-000018900000}"/>
    <cellStyle name="Normal 6 3 8 4 2" xfId="43800" xr:uid="{00000000-0005-0000-0000-000019900000}"/>
    <cellStyle name="Normal 6 3 8 5" xfId="43801" xr:uid="{00000000-0005-0000-0000-00001A900000}"/>
    <cellStyle name="Normal 6 3 9" xfId="41158" xr:uid="{00000000-0005-0000-0000-00001B900000}"/>
    <cellStyle name="Normal 6 3 9 2" xfId="43802" xr:uid="{00000000-0005-0000-0000-00001C900000}"/>
    <cellStyle name="Normal 6 3_Net Zero &amp; QRP Award" xfId="43803" xr:uid="{00000000-0005-0000-0000-00001D900000}"/>
    <cellStyle name="Normal 6 4" xfId="636" xr:uid="{00000000-0005-0000-0000-00001E900000}"/>
    <cellStyle name="Normal 6 4 10" xfId="43804" xr:uid="{00000000-0005-0000-0000-00001F900000}"/>
    <cellStyle name="Normal 6 4 10 2" xfId="43805" xr:uid="{00000000-0005-0000-0000-000020900000}"/>
    <cellStyle name="Normal 6 4 11" xfId="43806" xr:uid="{00000000-0005-0000-0000-000021900000}"/>
    <cellStyle name="Normal 6 4 11 2" xfId="43807" xr:uid="{00000000-0005-0000-0000-000022900000}"/>
    <cellStyle name="Normal 6 4 12" xfId="43808" xr:uid="{00000000-0005-0000-0000-000023900000}"/>
    <cellStyle name="Normal 6 4 12 2" xfId="43809" xr:uid="{00000000-0005-0000-0000-000024900000}"/>
    <cellStyle name="Normal 6 4 13" xfId="43810" xr:uid="{00000000-0005-0000-0000-000025900000}"/>
    <cellStyle name="Normal 6 4 14" xfId="45759" xr:uid="{00000000-0005-0000-0000-000026900000}"/>
    <cellStyle name="Normal 6 4 15" xfId="46265" xr:uid="{00000000-0005-0000-0000-000027900000}"/>
    <cellStyle name="Normal 6 4 2" xfId="1928" xr:uid="{00000000-0005-0000-0000-000028900000}"/>
    <cellStyle name="Normal 6 4 2 2" xfId="32004" xr:uid="{00000000-0005-0000-0000-000029900000}"/>
    <cellStyle name="Normal 6 4 2 2 2" xfId="32005" xr:uid="{00000000-0005-0000-0000-00002A900000}"/>
    <cellStyle name="Normal 6 4 2 2 2 2" xfId="32006" xr:uid="{00000000-0005-0000-0000-00002B900000}"/>
    <cellStyle name="Normal 6 4 2 2 2 2 2" xfId="32007" xr:uid="{00000000-0005-0000-0000-00002C900000}"/>
    <cellStyle name="Normal 6 4 2 2 2 2 2 2" xfId="41159" xr:uid="{00000000-0005-0000-0000-00002D900000}"/>
    <cellStyle name="Normal 6 4 2 2 2 2 3" xfId="32008" xr:uid="{00000000-0005-0000-0000-00002E900000}"/>
    <cellStyle name="Normal 6 4 2 2 2 3" xfId="32009" xr:uid="{00000000-0005-0000-0000-00002F900000}"/>
    <cellStyle name="Normal 6 4 2 2 2 3 2" xfId="32010" xr:uid="{00000000-0005-0000-0000-000030900000}"/>
    <cellStyle name="Normal 6 4 2 2 2 3 2 2" xfId="41160" xr:uid="{00000000-0005-0000-0000-000031900000}"/>
    <cellStyle name="Normal 6 4 2 2 2 3 3" xfId="32011" xr:uid="{00000000-0005-0000-0000-000032900000}"/>
    <cellStyle name="Normal 6 4 2 2 2 4" xfId="32012" xr:uid="{00000000-0005-0000-0000-000033900000}"/>
    <cellStyle name="Normal 6 4 2 2 2 4 2" xfId="41161" xr:uid="{00000000-0005-0000-0000-000034900000}"/>
    <cellStyle name="Normal 6 4 2 2 2 5" xfId="32013" xr:uid="{00000000-0005-0000-0000-000035900000}"/>
    <cellStyle name="Normal 6 4 2 2 3" xfId="32014" xr:uid="{00000000-0005-0000-0000-000036900000}"/>
    <cellStyle name="Normal 6 4 2 2 3 2" xfId="32015" xr:uid="{00000000-0005-0000-0000-000037900000}"/>
    <cellStyle name="Normal 6 4 2 2 3 2 2" xfId="41162" xr:uid="{00000000-0005-0000-0000-000038900000}"/>
    <cellStyle name="Normal 6 4 2 2 3 3" xfId="32016" xr:uid="{00000000-0005-0000-0000-000039900000}"/>
    <cellStyle name="Normal 6 4 2 2 4" xfId="32017" xr:uid="{00000000-0005-0000-0000-00003A900000}"/>
    <cellStyle name="Normal 6 4 2 2 4 2" xfId="32018" xr:uid="{00000000-0005-0000-0000-00003B900000}"/>
    <cellStyle name="Normal 6 4 2 2 4 2 2" xfId="41163" xr:uid="{00000000-0005-0000-0000-00003C900000}"/>
    <cellStyle name="Normal 6 4 2 2 4 3" xfId="32019" xr:uid="{00000000-0005-0000-0000-00003D900000}"/>
    <cellStyle name="Normal 6 4 2 2 5" xfId="32020" xr:uid="{00000000-0005-0000-0000-00003E900000}"/>
    <cellStyle name="Normal 6 4 2 2 5 2" xfId="41164" xr:uid="{00000000-0005-0000-0000-00003F900000}"/>
    <cellStyle name="Normal 6 4 2 2 6" xfId="32021" xr:uid="{00000000-0005-0000-0000-000040900000}"/>
    <cellStyle name="Normal 6 4 2 3" xfId="32022" xr:uid="{00000000-0005-0000-0000-000041900000}"/>
    <cellStyle name="Normal 6 4 2 3 2" xfId="32023" xr:uid="{00000000-0005-0000-0000-000042900000}"/>
    <cellStyle name="Normal 6 4 2 3 2 2" xfId="32024" xr:uid="{00000000-0005-0000-0000-000043900000}"/>
    <cellStyle name="Normal 6 4 2 3 2 2 2" xfId="41165" xr:uid="{00000000-0005-0000-0000-000044900000}"/>
    <cellStyle name="Normal 6 4 2 3 2 3" xfId="32025" xr:uid="{00000000-0005-0000-0000-000045900000}"/>
    <cellStyle name="Normal 6 4 2 3 3" xfId="32026" xr:uid="{00000000-0005-0000-0000-000046900000}"/>
    <cellStyle name="Normal 6 4 2 3 3 2" xfId="32027" xr:uid="{00000000-0005-0000-0000-000047900000}"/>
    <cellStyle name="Normal 6 4 2 3 3 2 2" xfId="41166" xr:uid="{00000000-0005-0000-0000-000048900000}"/>
    <cellStyle name="Normal 6 4 2 3 3 3" xfId="32028" xr:uid="{00000000-0005-0000-0000-000049900000}"/>
    <cellStyle name="Normal 6 4 2 3 4" xfId="32029" xr:uid="{00000000-0005-0000-0000-00004A900000}"/>
    <cellStyle name="Normal 6 4 2 3 4 2" xfId="41167" xr:uid="{00000000-0005-0000-0000-00004B900000}"/>
    <cellStyle name="Normal 6 4 2 3 5" xfId="32030" xr:uid="{00000000-0005-0000-0000-00004C900000}"/>
    <cellStyle name="Normal 6 4 2 4" xfId="32031" xr:uid="{00000000-0005-0000-0000-00004D900000}"/>
    <cellStyle name="Normal 6 4 2 4 2" xfId="32032" xr:uid="{00000000-0005-0000-0000-00004E900000}"/>
    <cellStyle name="Normal 6 4 2 4 2 2" xfId="41168" xr:uid="{00000000-0005-0000-0000-00004F900000}"/>
    <cellStyle name="Normal 6 4 2 4 3" xfId="32033" xr:uid="{00000000-0005-0000-0000-000050900000}"/>
    <cellStyle name="Normal 6 4 2 5" xfId="32034" xr:uid="{00000000-0005-0000-0000-000051900000}"/>
    <cellStyle name="Normal 6 4 2 5 2" xfId="32035" xr:uid="{00000000-0005-0000-0000-000052900000}"/>
    <cellStyle name="Normal 6 4 2 5 2 2" xfId="41169" xr:uid="{00000000-0005-0000-0000-000053900000}"/>
    <cellStyle name="Normal 6 4 2 5 3" xfId="32036" xr:uid="{00000000-0005-0000-0000-000054900000}"/>
    <cellStyle name="Normal 6 4 2 6" xfId="32037" xr:uid="{00000000-0005-0000-0000-000055900000}"/>
    <cellStyle name="Normal 6 4 2 6 2" xfId="41170" xr:uid="{00000000-0005-0000-0000-000056900000}"/>
    <cellStyle name="Normal 6 4 2 7" xfId="32038" xr:uid="{00000000-0005-0000-0000-000057900000}"/>
    <cellStyle name="Normal 6 4 2 8" xfId="45760" xr:uid="{00000000-0005-0000-0000-000058900000}"/>
    <cellStyle name="Normal 6 4 3" xfId="1929" xr:uid="{00000000-0005-0000-0000-000059900000}"/>
    <cellStyle name="Normal 6 4 3 2" xfId="32039" xr:uid="{00000000-0005-0000-0000-00005A900000}"/>
    <cellStyle name="Normal 6 4 3 2 2" xfId="32040" xr:uid="{00000000-0005-0000-0000-00005B900000}"/>
    <cellStyle name="Normal 6 4 3 2 2 2" xfId="32041" xr:uid="{00000000-0005-0000-0000-00005C900000}"/>
    <cellStyle name="Normal 6 4 3 2 2 2 2" xfId="41171" xr:uid="{00000000-0005-0000-0000-00005D900000}"/>
    <cellStyle name="Normal 6 4 3 2 2 3" xfId="32042" xr:uid="{00000000-0005-0000-0000-00005E900000}"/>
    <cellStyle name="Normal 6 4 3 2 3" xfId="32043" xr:uid="{00000000-0005-0000-0000-00005F900000}"/>
    <cellStyle name="Normal 6 4 3 2 3 2" xfId="32044" xr:uid="{00000000-0005-0000-0000-000060900000}"/>
    <cellStyle name="Normal 6 4 3 2 3 2 2" xfId="41172" xr:uid="{00000000-0005-0000-0000-000061900000}"/>
    <cellStyle name="Normal 6 4 3 2 3 3" xfId="32045" xr:uid="{00000000-0005-0000-0000-000062900000}"/>
    <cellStyle name="Normal 6 4 3 2 4" xfId="32046" xr:uid="{00000000-0005-0000-0000-000063900000}"/>
    <cellStyle name="Normal 6 4 3 2 4 2" xfId="41173" xr:uid="{00000000-0005-0000-0000-000064900000}"/>
    <cellStyle name="Normal 6 4 3 2 5" xfId="32047" xr:uid="{00000000-0005-0000-0000-000065900000}"/>
    <cellStyle name="Normal 6 4 3 3" xfId="32048" xr:uid="{00000000-0005-0000-0000-000066900000}"/>
    <cellStyle name="Normal 6 4 3 3 2" xfId="32049" xr:uid="{00000000-0005-0000-0000-000067900000}"/>
    <cellStyle name="Normal 6 4 3 3 2 2" xfId="41174" xr:uid="{00000000-0005-0000-0000-000068900000}"/>
    <cellStyle name="Normal 6 4 3 3 3" xfId="32050" xr:uid="{00000000-0005-0000-0000-000069900000}"/>
    <cellStyle name="Normal 6 4 3 4" xfId="32051" xr:uid="{00000000-0005-0000-0000-00006A900000}"/>
    <cellStyle name="Normal 6 4 3 4 2" xfId="32052" xr:uid="{00000000-0005-0000-0000-00006B900000}"/>
    <cellStyle name="Normal 6 4 3 4 2 2" xfId="41175" xr:uid="{00000000-0005-0000-0000-00006C900000}"/>
    <cellStyle name="Normal 6 4 3 4 3" xfId="32053" xr:uid="{00000000-0005-0000-0000-00006D900000}"/>
    <cellStyle name="Normal 6 4 3 5" xfId="32054" xr:uid="{00000000-0005-0000-0000-00006E900000}"/>
    <cellStyle name="Normal 6 4 3 5 2" xfId="41176" xr:uid="{00000000-0005-0000-0000-00006F900000}"/>
    <cellStyle name="Normal 6 4 3 6" xfId="32055" xr:uid="{00000000-0005-0000-0000-000070900000}"/>
    <cellStyle name="Normal 6 4 3 7" xfId="45761" xr:uid="{00000000-0005-0000-0000-000071900000}"/>
    <cellStyle name="Normal 6 4 4" xfId="32056" xr:uid="{00000000-0005-0000-0000-000072900000}"/>
    <cellStyle name="Normal 6 4 4 2" xfId="32057" xr:uid="{00000000-0005-0000-0000-000073900000}"/>
    <cellStyle name="Normal 6 4 4 2 2" xfId="32058" xr:uid="{00000000-0005-0000-0000-000074900000}"/>
    <cellStyle name="Normal 6 4 4 2 2 2" xfId="41177" xr:uid="{00000000-0005-0000-0000-000075900000}"/>
    <cellStyle name="Normal 6 4 4 2 3" xfId="32059" xr:uid="{00000000-0005-0000-0000-000076900000}"/>
    <cellStyle name="Normal 6 4 4 2 3 2" xfId="43811" xr:uid="{00000000-0005-0000-0000-000077900000}"/>
    <cellStyle name="Normal 6 4 4 2 4" xfId="43812" xr:uid="{00000000-0005-0000-0000-000078900000}"/>
    <cellStyle name="Normal 6 4 4 2 4 2" xfId="43813" xr:uid="{00000000-0005-0000-0000-000079900000}"/>
    <cellStyle name="Normal 6 4 4 2 5" xfId="43814" xr:uid="{00000000-0005-0000-0000-00007A900000}"/>
    <cellStyle name="Normal 6 4 4 3" xfId="32060" xr:uid="{00000000-0005-0000-0000-00007B900000}"/>
    <cellStyle name="Normal 6 4 4 3 2" xfId="32061" xr:uid="{00000000-0005-0000-0000-00007C900000}"/>
    <cellStyle name="Normal 6 4 4 3 2 2" xfId="41178" xr:uid="{00000000-0005-0000-0000-00007D900000}"/>
    <cellStyle name="Normal 6 4 4 3 3" xfId="32062" xr:uid="{00000000-0005-0000-0000-00007E900000}"/>
    <cellStyle name="Normal 6 4 4 4" xfId="32063" xr:uid="{00000000-0005-0000-0000-00007F900000}"/>
    <cellStyle name="Normal 6 4 4 4 2" xfId="41179" xr:uid="{00000000-0005-0000-0000-000080900000}"/>
    <cellStyle name="Normal 6 4 4 5" xfId="32064" xr:uid="{00000000-0005-0000-0000-000081900000}"/>
    <cellStyle name="Normal 6 4 4 5 2" xfId="43815" xr:uid="{00000000-0005-0000-0000-000082900000}"/>
    <cellStyle name="Normal 6 4 4 6" xfId="43816" xr:uid="{00000000-0005-0000-0000-000083900000}"/>
    <cellStyle name="Normal 6 4 5" xfId="32065" xr:uid="{00000000-0005-0000-0000-000084900000}"/>
    <cellStyle name="Normal 6 4 5 2" xfId="32066" xr:uid="{00000000-0005-0000-0000-000085900000}"/>
    <cellStyle name="Normal 6 4 5 2 2" xfId="41180" xr:uid="{00000000-0005-0000-0000-000086900000}"/>
    <cellStyle name="Normal 6 4 5 2 2 2" xfId="43817" xr:uid="{00000000-0005-0000-0000-000087900000}"/>
    <cellStyle name="Normal 6 4 5 2 3" xfId="43818" xr:uid="{00000000-0005-0000-0000-000088900000}"/>
    <cellStyle name="Normal 6 4 5 2 3 2" xfId="43819" xr:uid="{00000000-0005-0000-0000-000089900000}"/>
    <cellStyle name="Normal 6 4 5 2 4" xfId="43820" xr:uid="{00000000-0005-0000-0000-00008A900000}"/>
    <cellStyle name="Normal 6 4 5 2 4 2" xfId="43821" xr:uid="{00000000-0005-0000-0000-00008B900000}"/>
    <cellStyle name="Normal 6 4 5 2 5" xfId="43822" xr:uid="{00000000-0005-0000-0000-00008C900000}"/>
    <cellStyle name="Normal 6 4 5 3" xfId="32067" xr:uid="{00000000-0005-0000-0000-00008D900000}"/>
    <cellStyle name="Normal 6 4 5 3 2" xfId="43823" xr:uid="{00000000-0005-0000-0000-00008E900000}"/>
    <cellStyle name="Normal 6 4 5 4" xfId="43824" xr:uid="{00000000-0005-0000-0000-00008F900000}"/>
    <cellStyle name="Normal 6 4 5 4 2" xfId="43825" xr:uid="{00000000-0005-0000-0000-000090900000}"/>
    <cellStyle name="Normal 6 4 5 5" xfId="43826" xr:uid="{00000000-0005-0000-0000-000091900000}"/>
    <cellStyle name="Normal 6 4 5 5 2" xfId="43827" xr:uid="{00000000-0005-0000-0000-000092900000}"/>
    <cellStyle name="Normal 6 4 5 6" xfId="43828" xr:uid="{00000000-0005-0000-0000-000093900000}"/>
    <cellStyle name="Normal 6 4 6" xfId="32068" xr:uid="{00000000-0005-0000-0000-000094900000}"/>
    <cellStyle name="Normal 6 4 6 2" xfId="32069" xr:uid="{00000000-0005-0000-0000-000095900000}"/>
    <cellStyle name="Normal 6 4 6 2 2" xfId="41181" xr:uid="{00000000-0005-0000-0000-000096900000}"/>
    <cellStyle name="Normal 6 4 6 3" xfId="32070" xr:uid="{00000000-0005-0000-0000-000097900000}"/>
    <cellStyle name="Normal 6 4 6 3 2" xfId="43829" xr:uid="{00000000-0005-0000-0000-000098900000}"/>
    <cellStyle name="Normal 6 4 6 4" xfId="43830" xr:uid="{00000000-0005-0000-0000-000099900000}"/>
    <cellStyle name="Normal 6 4 6 4 2" xfId="43831" xr:uid="{00000000-0005-0000-0000-00009A900000}"/>
    <cellStyle name="Normal 6 4 6 5" xfId="43832" xr:uid="{00000000-0005-0000-0000-00009B900000}"/>
    <cellStyle name="Normal 6 4 7" xfId="32071" xr:uid="{00000000-0005-0000-0000-00009C900000}"/>
    <cellStyle name="Normal 6 4 7 2" xfId="41182" xr:uid="{00000000-0005-0000-0000-00009D900000}"/>
    <cellStyle name="Normal 6 4 7 2 2" xfId="43833" xr:uid="{00000000-0005-0000-0000-00009E900000}"/>
    <cellStyle name="Normal 6 4 7 3" xfId="43834" xr:uid="{00000000-0005-0000-0000-00009F900000}"/>
    <cellStyle name="Normal 6 4 7 3 2" xfId="43835" xr:uid="{00000000-0005-0000-0000-0000A0900000}"/>
    <cellStyle name="Normal 6 4 7 4" xfId="43836" xr:uid="{00000000-0005-0000-0000-0000A1900000}"/>
    <cellStyle name="Normal 6 4 7 4 2" xfId="43837" xr:uid="{00000000-0005-0000-0000-0000A2900000}"/>
    <cellStyle name="Normal 6 4 7 5" xfId="43838" xr:uid="{00000000-0005-0000-0000-0000A3900000}"/>
    <cellStyle name="Normal 6 4 8" xfId="32072" xr:uid="{00000000-0005-0000-0000-0000A4900000}"/>
    <cellStyle name="Normal 6 4 8 2" xfId="43839" xr:uid="{00000000-0005-0000-0000-0000A5900000}"/>
    <cellStyle name="Normal 6 4 8 2 2" xfId="43840" xr:uid="{00000000-0005-0000-0000-0000A6900000}"/>
    <cellStyle name="Normal 6 4 8 3" xfId="43841" xr:uid="{00000000-0005-0000-0000-0000A7900000}"/>
    <cellStyle name="Normal 6 4 8 3 2" xfId="43842" xr:uid="{00000000-0005-0000-0000-0000A8900000}"/>
    <cellStyle name="Normal 6 4 8 4" xfId="43843" xr:uid="{00000000-0005-0000-0000-0000A9900000}"/>
    <cellStyle name="Normal 6 4 8 4 2" xfId="43844" xr:uid="{00000000-0005-0000-0000-0000AA900000}"/>
    <cellStyle name="Normal 6 4 8 5" xfId="43845" xr:uid="{00000000-0005-0000-0000-0000AB900000}"/>
    <cellStyle name="Normal 6 4 9" xfId="41183" xr:uid="{00000000-0005-0000-0000-0000AC900000}"/>
    <cellStyle name="Normal 6 4 9 2" xfId="43846" xr:uid="{00000000-0005-0000-0000-0000AD900000}"/>
    <cellStyle name="Normal 6 4 9 2 2" xfId="43847" xr:uid="{00000000-0005-0000-0000-0000AE900000}"/>
    <cellStyle name="Normal 6 4 9 3" xfId="43848" xr:uid="{00000000-0005-0000-0000-0000AF900000}"/>
    <cellStyle name="Normal 6 4 9 3 2" xfId="43849" xr:uid="{00000000-0005-0000-0000-0000B0900000}"/>
    <cellStyle name="Normal 6 4 9 4" xfId="43850" xr:uid="{00000000-0005-0000-0000-0000B1900000}"/>
    <cellStyle name="Normal 6 4 9 4 2" xfId="43851" xr:uid="{00000000-0005-0000-0000-0000B2900000}"/>
    <cellStyle name="Normal 6 4 9 5" xfId="43852" xr:uid="{00000000-0005-0000-0000-0000B3900000}"/>
    <cellStyle name="Normal 6 4_Net Zero &amp; QRP Award" xfId="43853" xr:uid="{00000000-0005-0000-0000-0000B4900000}"/>
    <cellStyle name="Normal 6 5" xfId="1930" xr:uid="{00000000-0005-0000-0000-0000B5900000}"/>
    <cellStyle name="Normal 6 5 2" xfId="1931" xr:uid="{00000000-0005-0000-0000-0000B6900000}"/>
    <cellStyle name="Normal 6 5 2 2" xfId="32073" xr:uid="{00000000-0005-0000-0000-0000B7900000}"/>
    <cellStyle name="Normal 6 5 2 2 2" xfId="32074" xr:uid="{00000000-0005-0000-0000-0000B8900000}"/>
    <cellStyle name="Normal 6 5 2 2 2 2" xfId="32075" xr:uid="{00000000-0005-0000-0000-0000B9900000}"/>
    <cellStyle name="Normal 6 5 2 2 2 2 2" xfId="41184" xr:uid="{00000000-0005-0000-0000-0000BA900000}"/>
    <cellStyle name="Normal 6 5 2 2 2 3" xfId="32076" xr:uid="{00000000-0005-0000-0000-0000BB900000}"/>
    <cellStyle name="Normal 6 5 2 2 3" xfId="32077" xr:uid="{00000000-0005-0000-0000-0000BC900000}"/>
    <cellStyle name="Normal 6 5 2 2 3 2" xfId="32078" xr:uid="{00000000-0005-0000-0000-0000BD900000}"/>
    <cellStyle name="Normal 6 5 2 2 3 2 2" xfId="41185" xr:uid="{00000000-0005-0000-0000-0000BE900000}"/>
    <cellStyle name="Normal 6 5 2 2 3 3" xfId="32079" xr:uid="{00000000-0005-0000-0000-0000BF900000}"/>
    <cellStyle name="Normal 6 5 2 2 4" xfId="32080" xr:uid="{00000000-0005-0000-0000-0000C0900000}"/>
    <cellStyle name="Normal 6 5 2 2 4 2" xfId="41186" xr:uid="{00000000-0005-0000-0000-0000C1900000}"/>
    <cellStyle name="Normal 6 5 2 2 5" xfId="32081" xr:uid="{00000000-0005-0000-0000-0000C2900000}"/>
    <cellStyle name="Normal 6 5 2 3" xfId="32082" xr:uid="{00000000-0005-0000-0000-0000C3900000}"/>
    <cellStyle name="Normal 6 5 2 3 2" xfId="32083" xr:uid="{00000000-0005-0000-0000-0000C4900000}"/>
    <cellStyle name="Normal 6 5 2 3 2 2" xfId="41187" xr:uid="{00000000-0005-0000-0000-0000C5900000}"/>
    <cellStyle name="Normal 6 5 2 3 3" xfId="32084" xr:uid="{00000000-0005-0000-0000-0000C6900000}"/>
    <cellStyle name="Normal 6 5 2 4" xfId="32085" xr:uid="{00000000-0005-0000-0000-0000C7900000}"/>
    <cellStyle name="Normal 6 5 2 4 2" xfId="32086" xr:uid="{00000000-0005-0000-0000-0000C8900000}"/>
    <cellStyle name="Normal 6 5 2 4 2 2" xfId="41188" xr:uid="{00000000-0005-0000-0000-0000C9900000}"/>
    <cellStyle name="Normal 6 5 2 4 3" xfId="32087" xr:uid="{00000000-0005-0000-0000-0000CA900000}"/>
    <cellStyle name="Normal 6 5 2 5" xfId="32088" xr:uid="{00000000-0005-0000-0000-0000CB900000}"/>
    <cellStyle name="Normal 6 5 2 5 2" xfId="41189" xr:uid="{00000000-0005-0000-0000-0000CC900000}"/>
    <cellStyle name="Normal 6 5 2 6" xfId="32089" xr:uid="{00000000-0005-0000-0000-0000CD900000}"/>
    <cellStyle name="Normal 6 5 2 7" xfId="45762" xr:uid="{00000000-0005-0000-0000-0000CE900000}"/>
    <cellStyle name="Normal 6 5 3" xfId="1932" xr:uid="{00000000-0005-0000-0000-0000CF900000}"/>
    <cellStyle name="Normal 6 5 3 2" xfId="32090" xr:uid="{00000000-0005-0000-0000-0000D0900000}"/>
    <cellStyle name="Normal 6 5 3 2 2" xfId="32091" xr:uid="{00000000-0005-0000-0000-0000D1900000}"/>
    <cellStyle name="Normal 6 5 3 2 2 2" xfId="41190" xr:uid="{00000000-0005-0000-0000-0000D2900000}"/>
    <cellStyle name="Normal 6 5 3 2 3" xfId="32092" xr:uid="{00000000-0005-0000-0000-0000D3900000}"/>
    <cellStyle name="Normal 6 5 3 3" xfId="32093" xr:uid="{00000000-0005-0000-0000-0000D4900000}"/>
    <cellStyle name="Normal 6 5 3 3 2" xfId="32094" xr:uid="{00000000-0005-0000-0000-0000D5900000}"/>
    <cellStyle name="Normal 6 5 3 3 2 2" xfId="41191" xr:uid="{00000000-0005-0000-0000-0000D6900000}"/>
    <cellStyle name="Normal 6 5 3 3 3" xfId="32095" xr:uid="{00000000-0005-0000-0000-0000D7900000}"/>
    <cellStyle name="Normal 6 5 3 4" xfId="32096" xr:uid="{00000000-0005-0000-0000-0000D8900000}"/>
    <cellStyle name="Normal 6 5 3 4 2" xfId="41192" xr:uid="{00000000-0005-0000-0000-0000D9900000}"/>
    <cellStyle name="Normal 6 5 3 5" xfId="32097" xr:uid="{00000000-0005-0000-0000-0000DA900000}"/>
    <cellStyle name="Normal 6 5 3 6" xfId="45763" xr:uid="{00000000-0005-0000-0000-0000DB900000}"/>
    <cellStyle name="Normal 6 5 4" xfId="32098" xr:uid="{00000000-0005-0000-0000-0000DC900000}"/>
    <cellStyle name="Normal 6 5 4 2" xfId="32099" xr:uid="{00000000-0005-0000-0000-0000DD900000}"/>
    <cellStyle name="Normal 6 5 4 2 2" xfId="41193" xr:uid="{00000000-0005-0000-0000-0000DE900000}"/>
    <cellStyle name="Normal 6 5 4 3" xfId="32100" xr:uid="{00000000-0005-0000-0000-0000DF900000}"/>
    <cellStyle name="Normal 6 5 5" xfId="32101" xr:uid="{00000000-0005-0000-0000-0000E0900000}"/>
    <cellStyle name="Normal 6 5 5 2" xfId="32102" xr:uid="{00000000-0005-0000-0000-0000E1900000}"/>
    <cellStyle name="Normal 6 5 5 2 2" xfId="41194" xr:uid="{00000000-0005-0000-0000-0000E2900000}"/>
    <cellStyle name="Normal 6 5 5 3" xfId="32103" xr:uid="{00000000-0005-0000-0000-0000E3900000}"/>
    <cellStyle name="Normal 6 5 6" xfId="32104" xr:uid="{00000000-0005-0000-0000-0000E4900000}"/>
    <cellStyle name="Normal 6 5 6 2" xfId="41195" xr:uid="{00000000-0005-0000-0000-0000E5900000}"/>
    <cellStyle name="Normal 6 5 7" xfId="32105" xr:uid="{00000000-0005-0000-0000-0000E6900000}"/>
    <cellStyle name="Normal 6 5 8" xfId="45764" xr:uid="{00000000-0005-0000-0000-0000E7900000}"/>
    <cellStyle name="Normal 6 6" xfId="1933" xr:uid="{00000000-0005-0000-0000-0000E8900000}"/>
    <cellStyle name="Normal 6 6 2" xfId="32106" xr:uid="{00000000-0005-0000-0000-0000E9900000}"/>
    <cellStyle name="Normal 6 6 2 2" xfId="32107" xr:uid="{00000000-0005-0000-0000-0000EA900000}"/>
    <cellStyle name="Normal 6 6 2 2 2" xfId="32108" xr:uid="{00000000-0005-0000-0000-0000EB900000}"/>
    <cellStyle name="Normal 6 6 2 2 2 2" xfId="41196" xr:uid="{00000000-0005-0000-0000-0000EC900000}"/>
    <cellStyle name="Normal 6 6 2 2 3" xfId="32109" xr:uid="{00000000-0005-0000-0000-0000ED900000}"/>
    <cellStyle name="Normal 6 6 2 3" xfId="32110" xr:uid="{00000000-0005-0000-0000-0000EE900000}"/>
    <cellStyle name="Normal 6 6 2 3 2" xfId="32111" xr:uid="{00000000-0005-0000-0000-0000EF900000}"/>
    <cellStyle name="Normal 6 6 2 3 2 2" xfId="41197" xr:uid="{00000000-0005-0000-0000-0000F0900000}"/>
    <cellStyle name="Normal 6 6 2 3 3" xfId="32112" xr:uid="{00000000-0005-0000-0000-0000F1900000}"/>
    <cellStyle name="Normal 6 6 2 4" xfId="32113" xr:uid="{00000000-0005-0000-0000-0000F2900000}"/>
    <cellStyle name="Normal 6 6 2 4 2" xfId="41198" xr:uid="{00000000-0005-0000-0000-0000F3900000}"/>
    <cellStyle name="Normal 6 6 2 5" xfId="32114" xr:uid="{00000000-0005-0000-0000-0000F4900000}"/>
    <cellStyle name="Normal 6 6 2 6" xfId="45765" xr:uid="{00000000-0005-0000-0000-0000F5900000}"/>
    <cellStyle name="Normal 6 6 3" xfId="32115" xr:uid="{00000000-0005-0000-0000-0000F6900000}"/>
    <cellStyle name="Normal 6 6 3 2" xfId="32116" xr:uid="{00000000-0005-0000-0000-0000F7900000}"/>
    <cellStyle name="Normal 6 6 3 2 2" xfId="41199" xr:uid="{00000000-0005-0000-0000-0000F8900000}"/>
    <cellStyle name="Normal 6 6 3 3" xfId="32117" xr:uid="{00000000-0005-0000-0000-0000F9900000}"/>
    <cellStyle name="Normal 6 6 4" xfId="32118" xr:uid="{00000000-0005-0000-0000-0000FA900000}"/>
    <cellStyle name="Normal 6 6 4 2" xfId="32119" xr:uid="{00000000-0005-0000-0000-0000FB900000}"/>
    <cellStyle name="Normal 6 6 4 2 2" xfId="41200" xr:uid="{00000000-0005-0000-0000-0000FC900000}"/>
    <cellStyle name="Normal 6 6 4 3" xfId="32120" xr:uid="{00000000-0005-0000-0000-0000FD900000}"/>
    <cellStyle name="Normal 6 6 5" xfId="32121" xr:uid="{00000000-0005-0000-0000-0000FE900000}"/>
    <cellStyle name="Normal 6 6 5 2" xfId="41201" xr:uid="{00000000-0005-0000-0000-0000FF900000}"/>
    <cellStyle name="Normal 6 6 6" xfId="32122" xr:uid="{00000000-0005-0000-0000-000000910000}"/>
    <cellStyle name="Normal 6 6 7" xfId="32123" xr:uid="{00000000-0005-0000-0000-000001910000}"/>
    <cellStyle name="Normal 6 6 8" xfId="45766" xr:uid="{00000000-0005-0000-0000-000002910000}"/>
    <cellStyle name="Normal 6 7" xfId="1934" xr:uid="{00000000-0005-0000-0000-000003910000}"/>
    <cellStyle name="Normal 6 7 2" xfId="32124" xr:uid="{00000000-0005-0000-0000-000004910000}"/>
    <cellStyle name="Normal 6 7 2 2" xfId="32125" xr:uid="{00000000-0005-0000-0000-000005910000}"/>
    <cellStyle name="Normal 6 7 2 2 2" xfId="41202" xr:uid="{00000000-0005-0000-0000-000006910000}"/>
    <cellStyle name="Normal 6 7 2 3" xfId="32126" xr:uid="{00000000-0005-0000-0000-000007910000}"/>
    <cellStyle name="Normal 6 7 2 3 2" xfId="43854" xr:uid="{00000000-0005-0000-0000-000008910000}"/>
    <cellStyle name="Normal 6 7 2 4" xfId="43855" xr:uid="{00000000-0005-0000-0000-000009910000}"/>
    <cellStyle name="Normal 6 7 2 4 2" xfId="43856" xr:uid="{00000000-0005-0000-0000-00000A910000}"/>
    <cellStyle name="Normal 6 7 2 5" xfId="43857" xr:uid="{00000000-0005-0000-0000-00000B910000}"/>
    <cellStyle name="Normal 6 7 3" xfId="32127" xr:uid="{00000000-0005-0000-0000-00000C910000}"/>
    <cellStyle name="Normal 6 7 3 2" xfId="32128" xr:uid="{00000000-0005-0000-0000-00000D910000}"/>
    <cellStyle name="Normal 6 7 3 2 2" xfId="41203" xr:uid="{00000000-0005-0000-0000-00000E910000}"/>
    <cellStyle name="Normal 6 7 3 3" xfId="32129" xr:uid="{00000000-0005-0000-0000-00000F910000}"/>
    <cellStyle name="Normal 6 7 4" xfId="32130" xr:uid="{00000000-0005-0000-0000-000010910000}"/>
    <cellStyle name="Normal 6 7 4 2" xfId="41204" xr:uid="{00000000-0005-0000-0000-000011910000}"/>
    <cellStyle name="Normal 6 7 5" xfId="32131" xr:uid="{00000000-0005-0000-0000-000012910000}"/>
    <cellStyle name="Normal 6 7 5 2" xfId="43858" xr:uid="{00000000-0005-0000-0000-000013910000}"/>
    <cellStyle name="Normal 6 7 6" xfId="43859" xr:uid="{00000000-0005-0000-0000-000014910000}"/>
    <cellStyle name="Normal 6 7 7" xfId="45767" xr:uid="{00000000-0005-0000-0000-000015910000}"/>
    <cellStyle name="Normal 6 8" xfId="1935" xr:uid="{00000000-0005-0000-0000-000016910000}"/>
    <cellStyle name="Normal 6 8 2" xfId="32132" xr:uid="{00000000-0005-0000-0000-000017910000}"/>
    <cellStyle name="Normal 6 8 2 2" xfId="41205" xr:uid="{00000000-0005-0000-0000-000018910000}"/>
    <cellStyle name="Normal 6 8 3" xfId="32133" xr:uid="{00000000-0005-0000-0000-000019910000}"/>
    <cellStyle name="Normal 6 9" xfId="1936" xr:uid="{00000000-0005-0000-0000-00001A910000}"/>
    <cellStyle name="Normal 6 9 2" xfId="32134" xr:uid="{00000000-0005-0000-0000-00001B910000}"/>
    <cellStyle name="Normal 6 9 2 2" xfId="41206" xr:uid="{00000000-0005-0000-0000-00001C910000}"/>
    <cellStyle name="Normal 6 9 3" xfId="32135" xr:uid="{00000000-0005-0000-0000-00001D910000}"/>
    <cellStyle name="Normal 6 9 3 2" xfId="43860" xr:uid="{00000000-0005-0000-0000-00001E910000}"/>
    <cellStyle name="Normal 6 9 4" xfId="43861" xr:uid="{00000000-0005-0000-0000-00001F910000}"/>
    <cellStyle name="Normal 6 9 4 2" xfId="43862" xr:uid="{00000000-0005-0000-0000-000020910000}"/>
    <cellStyle name="Normal 6 9 5" xfId="43863" xr:uid="{00000000-0005-0000-0000-000021910000}"/>
    <cellStyle name="Normal 6_2112 Salary" xfId="32136" xr:uid="{00000000-0005-0000-0000-000022910000}"/>
    <cellStyle name="Normal 60" xfId="490" xr:uid="{00000000-0005-0000-0000-000023910000}"/>
    <cellStyle name="Normal 60 2" xfId="1937" xr:uid="{00000000-0005-0000-0000-000024910000}"/>
    <cellStyle name="Normal 60 2 2" xfId="32137" xr:uid="{00000000-0005-0000-0000-000025910000}"/>
    <cellStyle name="Normal 60 2 2 2" xfId="32138" xr:uid="{00000000-0005-0000-0000-000026910000}"/>
    <cellStyle name="Normal 60 2 2 2 2" xfId="32139" xr:uid="{00000000-0005-0000-0000-000027910000}"/>
    <cellStyle name="Normal 60 2 2 2 2 2" xfId="32140" xr:uid="{00000000-0005-0000-0000-000028910000}"/>
    <cellStyle name="Normal 60 2 2 2 2 2 2" xfId="41207" xr:uid="{00000000-0005-0000-0000-000029910000}"/>
    <cellStyle name="Normal 60 2 2 2 2 3" xfId="32141" xr:uid="{00000000-0005-0000-0000-00002A910000}"/>
    <cellStyle name="Normal 60 2 2 2 3" xfId="32142" xr:uid="{00000000-0005-0000-0000-00002B910000}"/>
    <cellStyle name="Normal 60 2 2 2 3 2" xfId="32143" xr:uid="{00000000-0005-0000-0000-00002C910000}"/>
    <cellStyle name="Normal 60 2 2 2 3 2 2" xfId="41208" xr:uid="{00000000-0005-0000-0000-00002D910000}"/>
    <cellStyle name="Normal 60 2 2 2 3 3" xfId="32144" xr:uid="{00000000-0005-0000-0000-00002E910000}"/>
    <cellStyle name="Normal 60 2 2 2 4" xfId="32145" xr:uid="{00000000-0005-0000-0000-00002F910000}"/>
    <cellStyle name="Normal 60 2 2 2 4 2" xfId="41209" xr:uid="{00000000-0005-0000-0000-000030910000}"/>
    <cellStyle name="Normal 60 2 2 2 5" xfId="32146" xr:uid="{00000000-0005-0000-0000-000031910000}"/>
    <cellStyle name="Normal 60 2 2 3" xfId="32147" xr:uid="{00000000-0005-0000-0000-000032910000}"/>
    <cellStyle name="Normal 60 2 2 3 2" xfId="32148" xr:uid="{00000000-0005-0000-0000-000033910000}"/>
    <cellStyle name="Normal 60 2 2 3 2 2" xfId="41210" xr:uid="{00000000-0005-0000-0000-000034910000}"/>
    <cellStyle name="Normal 60 2 2 3 3" xfId="32149" xr:uid="{00000000-0005-0000-0000-000035910000}"/>
    <cellStyle name="Normal 60 2 2 4" xfId="32150" xr:uid="{00000000-0005-0000-0000-000036910000}"/>
    <cellStyle name="Normal 60 2 2 4 2" xfId="32151" xr:uid="{00000000-0005-0000-0000-000037910000}"/>
    <cellStyle name="Normal 60 2 2 4 2 2" xfId="41211" xr:uid="{00000000-0005-0000-0000-000038910000}"/>
    <cellStyle name="Normal 60 2 2 4 3" xfId="32152" xr:uid="{00000000-0005-0000-0000-000039910000}"/>
    <cellStyle name="Normal 60 2 2 5" xfId="32153" xr:uid="{00000000-0005-0000-0000-00003A910000}"/>
    <cellStyle name="Normal 60 2 2 5 2" xfId="41212" xr:uid="{00000000-0005-0000-0000-00003B910000}"/>
    <cellStyle name="Normal 60 2 2 6" xfId="32154" xr:uid="{00000000-0005-0000-0000-00003C910000}"/>
    <cellStyle name="Normal 60 2 3" xfId="32155" xr:uid="{00000000-0005-0000-0000-00003D910000}"/>
    <cellStyle name="Normal 60 2 3 2" xfId="32156" xr:uid="{00000000-0005-0000-0000-00003E910000}"/>
    <cellStyle name="Normal 60 2 3 2 2" xfId="32157" xr:uid="{00000000-0005-0000-0000-00003F910000}"/>
    <cellStyle name="Normal 60 2 3 2 2 2" xfId="41213" xr:uid="{00000000-0005-0000-0000-000040910000}"/>
    <cellStyle name="Normal 60 2 3 2 3" xfId="32158" xr:uid="{00000000-0005-0000-0000-000041910000}"/>
    <cellStyle name="Normal 60 2 3 3" xfId="32159" xr:uid="{00000000-0005-0000-0000-000042910000}"/>
    <cellStyle name="Normal 60 2 3 3 2" xfId="32160" xr:uid="{00000000-0005-0000-0000-000043910000}"/>
    <cellStyle name="Normal 60 2 3 3 2 2" xfId="41214" xr:uid="{00000000-0005-0000-0000-000044910000}"/>
    <cellStyle name="Normal 60 2 3 3 3" xfId="32161" xr:uid="{00000000-0005-0000-0000-000045910000}"/>
    <cellStyle name="Normal 60 2 3 4" xfId="32162" xr:uid="{00000000-0005-0000-0000-000046910000}"/>
    <cellStyle name="Normal 60 2 3 4 2" xfId="41215" xr:uid="{00000000-0005-0000-0000-000047910000}"/>
    <cellStyle name="Normal 60 2 3 5" xfId="32163" xr:uid="{00000000-0005-0000-0000-000048910000}"/>
    <cellStyle name="Normal 60 2 4" xfId="32164" xr:uid="{00000000-0005-0000-0000-000049910000}"/>
    <cellStyle name="Normal 60 2 4 2" xfId="32165" xr:uid="{00000000-0005-0000-0000-00004A910000}"/>
    <cellStyle name="Normal 60 2 4 2 2" xfId="41216" xr:uid="{00000000-0005-0000-0000-00004B910000}"/>
    <cellStyle name="Normal 60 2 4 3" xfId="32166" xr:uid="{00000000-0005-0000-0000-00004C910000}"/>
    <cellStyle name="Normal 60 2 5" xfId="32167" xr:uid="{00000000-0005-0000-0000-00004D910000}"/>
    <cellStyle name="Normal 60 2 5 2" xfId="32168" xr:uid="{00000000-0005-0000-0000-00004E910000}"/>
    <cellStyle name="Normal 60 2 5 2 2" xfId="41217" xr:uid="{00000000-0005-0000-0000-00004F910000}"/>
    <cellStyle name="Normal 60 2 5 3" xfId="32169" xr:uid="{00000000-0005-0000-0000-000050910000}"/>
    <cellStyle name="Normal 60 2 6" xfId="32170" xr:uid="{00000000-0005-0000-0000-000051910000}"/>
    <cellStyle name="Normal 60 2 6 2" xfId="41218" xr:uid="{00000000-0005-0000-0000-000052910000}"/>
    <cellStyle name="Normal 60 2 7" xfId="32171" xr:uid="{00000000-0005-0000-0000-000053910000}"/>
    <cellStyle name="Normal 60 3" xfId="1938" xr:uid="{00000000-0005-0000-0000-000054910000}"/>
    <cellStyle name="Normal 60 3 2" xfId="32172" xr:uid="{00000000-0005-0000-0000-000055910000}"/>
    <cellStyle name="Normal 60 3 2 2" xfId="32173" xr:uid="{00000000-0005-0000-0000-000056910000}"/>
    <cellStyle name="Normal 60 3 2 2 2" xfId="32174" xr:uid="{00000000-0005-0000-0000-000057910000}"/>
    <cellStyle name="Normal 60 3 2 2 2 2" xfId="41219" xr:uid="{00000000-0005-0000-0000-000058910000}"/>
    <cellStyle name="Normal 60 3 2 2 3" xfId="32175" xr:uid="{00000000-0005-0000-0000-000059910000}"/>
    <cellStyle name="Normal 60 3 2 3" xfId="32176" xr:uid="{00000000-0005-0000-0000-00005A910000}"/>
    <cellStyle name="Normal 60 3 2 3 2" xfId="32177" xr:uid="{00000000-0005-0000-0000-00005B910000}"/>
    <cellStyle name="Normal 60 3 2 3 2 2" xfId="41220" xr:uid="{00000000-0005-0000-0000-00005C910000}"/>
    <cellStyle name="Normal 60 3 2 3 3" xfId="32178" xr:uid="{00000000-0005-0000-0000-00005D910000}"/>
    <cellStyle name="Normal 60 3 2 4" xfId="32179" xr:uid="{00000000-0005-0000-0000-00005E910000}"/>
    <cellStyle name="Normal 60 3 2 4 2" xfId="41221" xr:uid="{00000000-0005-0000-0000-00005F910000}"/>
    <cellStyle name="Normal 60 3 2 5" xfId="32180" xr:uid="{00000000-0005-0000-0000-000060910000}"/>
    <cellStyle name="Normal 60 3 3" xfId="32181" xr:uid="{00000000-0005-0000-0000-000061910000}"/>
    <cellStyle name="Normal 60 3 3 2" xfId="32182" xr:uid="{00000000-0005-0000-0000-000062910000}"/>
    <cellStyle name="Normal 60 3 3 2 2" xfId="41222" xr:uid="{00000000-0005-0000-0000-000063910000}"/>
    <cellStyle name="Normal 60 3 3 3" xfId="32183" xr:uid="{00000000-0005-0000-0000-000064910000}"/>
    <cellStyle name="Normal 60 3 4" xfId="32184" xr:uid="{00000000-0005-0000-0000-000065910000}"/>
    <cellStyle name="Normal 60 3 4 2" xfId="32185" xr:uid="{00000000-0005-0000-0000-000066910000}"/>
    <cellStyle name="Normal 60 3 4 2 2" xfId="41223" xr:uid="{00000000-0005-0000-0000-000067910000}"/>
    <cellStyle name="Normal 60 3 4 3" xfId="32186" xr:uid="{00000000-0005-0000-0000-000068910000}"/>
    <cellStyle name="Normal 60 3 5" xfId="32187" xr:uid="{00000000-0005-0000-0000-000069910000}"/>
    <cellStyle name="Normal 60 3 5 2" xfId="41224" xr:uid="{00000000-0005-0000-0000-00006A910000}"/>
    <cellStyle name="Normal 60 3 6" xfId="32188" xr:uid="{00000000-0005-0000-0000-00006B910000}"/>
    <cellStyle name="Normal 60 4" xfId="32189" xr:uid="{00000000-0005-0000-0000-00006C910000}"/>
    <cellStyle name="Normal 60 4 2" xfId="32190" xr:uid="{00000000-0005-0000-0000-00006D910000}"/>
    <cellStyle name="Normal 60 4 2 2" xfId="32191" xr:uid="{00000000-0005-0000-0000-00006E910000}"/>
    <cellStyle name="Normal 60 4 2 2 2" xfId="41225" xr:uid="{00000000-0005-0000-0000-00006F910000}"/>
    <cellStyle name="Normal 60 4 2 3" xfId="32192" xr:uid="{00000000-0005-0000-0000-000070910000}"/>
    <cellStyle name="Normal 60 4 3" xfId="32193" xr:uid="{00000000-0005-0000-0000-000071910000}"/>
    <cellStyle name="Normal 60 4 3 2" xfId="32194" xr:uid="{00000000-0005-0000-0000-000072910000}"/>
    <cellStyle name="Normal 60 4 3 2 2" xfId="41226" xr:uid="{00000000-0005-0000-0000-000073910000}"/>
    <cellStyle name="Normal 60 4 3 3" xfId="32195" xr:uid="{00000000-0005-0000-0000-000074910000}"/>
    <cellStyle name="Normal 60 4 4" xfId="32196" xr:uid="{00000000-0005-0000-0000-000075910000}"/>
    <cellStyle name="Normal 60 4 4 2" xfId="41227" xr:uid="{00000000-0005-0000-0000-000076910000}"/>
    <cellStyle name="Normal 60 4 5" xfId="32197" xr:uid="{00000000-0005-0000-0000-000077910000}"/>
    <cellStyle name="Normal 60 5" xfId="32198" xr:uid="{00000000-0005-0000-0000-000078910000}"/>
    <cellStyle name="Normal 60 5 2" xfId="32199" xr:uid="{00000000-0005-0000-0000-000079910000}"/>
    <cellStyle name="Normal 60 5 2 2" xfId="41228" xr:uid="{00000000-0005-0000-0000-00007A910000}"/>
    <cellStyle name="Normal 60 5 3" xfId="32200" xr:uid="{00000000-0005-0000-0000-00007B910000}"/>
    <cellStyle name="Normal 60 6" xfId="32201" xr:uid="{00000000-0005-0000-0000-00007C910000}"/>
    <cellStyle name="Normal 60 6 2" xfId="32202" xr:uid="{00000000-0005-0000-0000-00007D910000}"/>
    <cellStyle name="Normal 60 6 2 2" xfId="41229" xr:uid="{00000000-0005-0000-0000-00007E910000}"/>
    <cellStyle name="Normal 60 6 3" xfId="32203" xr:uid="{00000000-0005-0000-0000-00007F910000}"/>
    <cellStyle name="Normal 60 7" xfId="32204" xr:uid="{00000000-0005-0000-0000-000080910000}"/>
    <cellStyle name="Normal 60 7 2" xfId="41230" xr:uid="{00000000-0005-0000-0000-000081910000}"/>
    <cellStyle name="Normal 60 8" xfId="32205" xr:uid="{00000000-0005-0000-0000-000082910000}"/>
    <cellStyle name="Normal 60 9" xfId="41231" xr:uid="{00000000-0005-0000-0000-000083910000}"/>
    <cellStyle name="Normal 61" xfId="491" xr:uid="{00000000-0005-0000-0000-000084910000}"/>
    <cellStyle name="Normal 61 2" xfId="1939" xr:uid="{00000000-0005-0000-0000-000085910000}"/>
    <cellStyle name="Normal 61 2 2" xfId="32206" xr:uid="{00000000-0005-0000-0000-000086910000}"/>
    <cellStyle name="Normal 61 2 2 2" xfId="32207" xr:uid="{00000000-0005-0000-0000-000087910000}"/>
    <cellStyle name="Normal 61 2 2 2 2" xfId="32208" xr:uid="{00000000-0005-0000-0000-000088910000}"/>
    <cellStyle name="Normal 61 2 2 2 2 2" xfId="32209" xr:uid="{00000000-0005-0000-0000-000089910000}"/>
    <cellStyle name="Normal 61 2 2 2 2 2 2" xfId="41232" xr:uid="{00000000-0005-0000-0000-00008A910000}"/>
    <cellStyle name="Normal 61 2 2 2 2 3" xfId="32210" xr:uid="{00000000-0005-0000-0000-00008B910000}"/>
    <cellStyle name="Normal 61 2 2 2 3" xfId="32211" xr:uid="{00000000-0005-0000-0000-00008C910000}"/>
    <cellStyle name="Normal 61 2 2 2 3 2" xfId="32212" xr:uid="{00000000-0005-0000-0000-00008D910000}"/>
    <cellStyle name="Normal 61 2 2 2 3 2 2" xfId="41233" xr:uid="{00000000-0005-0000-0000-00008E910000}"/>
    <cellStyle name="Normal 61 2 2 2 3 3" xfId="32213" xr:uid="{00000000-0005-0000-0000-00008F910000}"/>
    <cellStyle name="Normal 61 2 2 2 4" xfId="32214" xr:uid="{00000000-0005-0000-0000-000090910000}"/>
    <cellStyle name="Normal 61 2 2 2 4 2" xfId="41234" xr:uid="{00000000-0005-0000-0000-000091910000}"/>
    <cellStyle name="Normal 61 2 2 2 5" xfId="32215" xr:uid="{00000000-0005-0000-0000-000092910000}"/>
    <cellStyle name="Normal 61 2 2 3" xfId="32216" xr:uid="{00000000-0005-0000-0000-000093910000}"/>
    <cellStyle name="Normal 61 2 2 3 2" xfId="32217" xr:uid="{00000000-0005-0000-0000-000094910000}"/>
    <cellStyle name="Normal 61 2 2 3 2 2" xfId="41235" xr:uid="{00000000-0005-0000-0000-000095910000}"/>
    <cellStyle name="Normal 61 2 2 3 3" xfId="32218" xr:uid="{00000000-0005-0000-0000-000096910000}"/>
    <cellStyle name="Normal 61 2 2 4" xfId="32219" xr:uid="{00000000-0005-0000-0000-000097910000}"/>
    <cellStyle name="Normal 61 2 2 4 2" xfId="32220" xr:uid="{00000000-0005-0000-0000-000098910000}"/>
    <cellStyle name="Normal 61 2 2 4 2 2" xfId="41236" xr:uid="{00000000-0005-0000-0000-000099910000}"/>
    <cellStyle name="Normal 61 2 2 4 3" xfId="32221" xr:uid="{00000000-0005-0000-0000-00009A910000}"/>
    <cellStyle name="Normal 61 2 2 5" xfId="32222" xr:uid="{00000000-0005-0000-0000-00009B910000}"/>
    <cellStyle name="Normal 61 2 2 5 2" xfId="41237" xr:uid="{00000000-0005-0000-0000-00009C910000}"/>
    <cellStyle name="Normal 61 2 2 6" xfId="32223" xr:uid="{00000000-0005-0000-0000-00009D910000}"/>
    <cellStyle name="Normal 61 2 3" xfId="32224" xr:uid="{00000000-0005-0000-0000-00009E910000}"/>
    <cellStyle name="Normal 61 2 3 2" xfId="32225" xr:uid="{00000000-0005-0000-0000-00009F910000}"/>
    <cellStyle name="Normal 61 2 3 2 2" xfId="32226" xr:uid="{00000000-0005-0000-0000-0000A0910000}"/>
    <cellStyle name="Normal 61 2 3 2 2 2" xfId="41238" xr:uid="{00000000-0005-0000-0000-0000A1910000}"/>
    <cellStyle name="Normal 61 2 3 2 3" xfId="32227" xr:uid="{00000000-0005-0000-0000-0000A2910000}"/>
    <cellStyle name="Normal 61 2 3 3" xfId="32228" xr:uid="{00000000-0005-0000-0000-0000A3910000}"/>
    <cellStyle name="Normal 61 2 3 3 2" xfId="32229" xr:uid="{00000000-0005-0000-0000-0000A4910000}"/>
    <cellStyle name="Normal 61 2 3 3 2 2" xfId="41239" xr:uid="{00000000-0005-0000-0000-0000A5910000}"/>
    <cellStyle name="Normal 61 2 3 3 3" xfId="32230" xr:uid="{00000000-0005-0000-0000-0000A6910000}"/>
    <cellStyle name="Normal 61 2 3 4" xfId="32231" xr:uid="{00000000-0005-0000-0000-0000A7910000}"/>
    <cellStyle name="Normal 61 2 3 4 2" xfId="41240" xr:uid="{00000000-0005-0000-0000-0000A8910000}"/>
    <cellStyle name="Normal 61 2 3 5" xfId="32232" xr:uid="{00000000-0005-0000-0000-0000A9910000}"/>
    <cellStyle name="Normal 61 2 4" xfId="32233" xr:uid="{00000000-0005-0000-0000-0000AA910000}"/>
    <cellStyle name="Normal 61 2 4 2" xfId="32234" xr:uid="{00000000-0005-0000-0000-0000AB910000}"/>
    <cellStyle name="Normal 61 2 4 2 2" xfId="41241" xr:uid="{00000000-0005-0000-0000-0000AC910000}"/>
    <cellStyle name="Normal 61 2 4 3" xfId="32235" xr:uid="{00000000-0005-0000-0000-0000AD910000}"/>
    <cellStyle name="Normal 61 2 5" xfId="32236" xr:uid="{00000000-0005-0000-0000-0000AE910000}"/>
    <cellStyle name="Normal 61 2 5 2" xfId="32237" xr:uid="{00000000-0005-0000-0000-0000AF910000}"/>
    <cellStyle name="Normal 61 2 5 2 2" xfId="41242" xr:uid="{00000000-0005-0000-0000-0000B0910000}"/>
    <cellStyle name="Normal 61 2 5 3" xfId="32238" xr:uid="{00000000-0005-0000-0000-0000B1910000}"/>
    <cellStyle name="Normal 61 2 6" xfId="32239" xr:uid="{00000000-0005-0000-0000-0000B2910000}"/>
    <cellStyle name="Normal 61 2 6 2" xfId="41243" xr:uid="{00000000-0005-0000-0000-0000B3910000}"/>
    <cellStyle name="Normal 61 2 7" xfId="32240" xr:uid="{00000000-0005-0000-0000-0000B4910000}"/>
    <cellStyle name="Normal 61 3" xfId="1940" xr:uid="{00000000-0005-0000-0000-0000B5910000}"/>
    <cellStyle name="Normal 61 3 2" xfId="32241" xr:uid="{00000000-0005-0000-0000-0000B6910000}"/>
    <cellStyle name="Normal 61 3 2 2" xfId="32242" xr:uid="{00000000-0005-0000-0000-0000B7910000}"/>
    <cellStyle name="Normal 61 3 2 2 2" xfId="32243" xr:uid="{00000000-0005-0000-0000-0000B8910000}"/>
    <cellStyle name="Normal 61 3 2 2 2 2" xfId="41244" xr:uid="{00000000-0005-0000-0000-0000B9910000}"/>
    <cellStyle name="Normal 61 3 2 2 3" xfId="32244" xr:uid="{00000000-0005-0000-0000-0000BA910000}"/>
    <cellStyle name="Normal 61 3 2 3" xfId="32245" xr:uid="{00000000-0005-0000-0000-0000BB910000}"/>
    <cellStyle name="Normal 61 3 2 3 2" xfId="32246" xr:uid="{00000000-0005-0000-0000-0000BC910000}"/>
    <cellStyle name="Normal 61 3 2 3 2 2" xfId="41245" xr:uid="{00000000-0005-0000-0000-0000BD910000}"/>
    <cellStyle name="Normal 61 3 2 3 3" xfId="32247" xr:uid="{00000000-0005-0000-0000-0000BE910000}"/>
    <cellStyle name="Normal 61 3 2 4" xfId="32248" xr:uid="{00000000-0005-0000-0000-0000BF910000}"/>
    <cellStyle name="Normal 61 3 2 4 2" xfId="41246" xr:uid="{00000000-0005-0000-0000-0000C0910000}"/>
    <cellStyle name="Normal 61 3 2 5" xfId="32249" xr:uid="{00000000-0005-0000-0000-0000C1910000}"/>
    <cellStyle name="Normal 61 3 3" xfId="32250" xr:uid="{00000000-0005-0000-0000-0000C2910000}"/>
    <cellStyle name="Normal 61 3 3 2" xfId="32251" xr:uid="{00000000-0005-0000-0000-0000C3910000}"/>
    <cellStyle name="Normal 61 3 3 2 2" xfId="41247" xr:uid="{00000000-0005-0000-0000-0000C4910000}"/>
    <cellStyle name="Normal 61 3 3 3" xfId="32252" xr:uid="{00000000-0005-0000-0000-0000C5910000}"/>
    <cellStyle name="Normal 61 3 4" xfId="32253" xr:uid="{00000000-0005-0000-0000-0000C6910000}"/>
    <cellStyle name="Normal 61 3 4 2" xfId="32254" xr:uid="{00000000-0005-0000-0000-0000C7910000}"/>
    <cellStyle name="Normal 61 3 4 2 2" xfId="41248" xr:uid="{00000000-0005-0000-0000-0000C8910000}"/>
    <cellStyle name="Normal 61 3 4 3" xfId="32255" xr:uid="{00000000-0005-0000-0000-0000C9910000}"/>
    <cellStyle name="Normal 61 3 5" xfId="32256" xr:uid="{00000000-0005-0000-0000-0000CA910000}"/>
    <cellStyle name="Normal 61 3 5 2" xfId="41249" xr:uid="{00000000-0005-0000-0000-0000CB910000}"/>
    <cellStyle name="Normal 61 3 6" xfId="32257" xr:uid="{00000000-0005-0000-0000-0000CC910000}"/>
    <cellStyle name="Normal 61 4" xfId="32258" xr:uid="{00000000-0005-0000-0000-0000CD910000}"/>
    <cellStyle name="Normal 61 4 2" xfId="32259" xr:uid="{00000000-0005-0000-0000-0000CE910000}"/>
    <cellStyle name="Normal 61 4 2 2" xfId="32260" xr:uid="{00000000-0005-0000-0000-0000CF910000}"/>
    <cellStyle name="Normal 61 4 2 2 2" xfId="41250" xr:uid="{00000000-0005-0000-0000-0000D0910000}"/>
    <cellStyle name="Normal 61 4 2 3" xfId="32261" xr:uid="{00000000-0005-0000-0000-0000D1910000}"/>
    <cellStyle name="Normal 61 4 3" xfId="32262" xr:uid="{00000000-0005-0000-0000-0000D2910000}"/>
    <cellStyle name="Normal 61 4 3 2" xfId="32263" xr:uid="{00000000-0005-0000-0000-0000D3910000}"/>
    <cellStyle name="Normal 61 4 3 2 2" xfId="41251" xr:uid="{00000000-0005-0000-0000-0000D4910000}"/>
    <cellStyle name="Normal 61 4 3 3" xfId="32264" xr:uid="{00000000-0005-0000-0000-0000D5910000}"/>
    <cellStyle name="Normal 61 4 4" xfId="32265" xr:uid="{00000000-0005-0000-0000-0000D6910000}"/>
    <cellStyle name="Normal 61 4 4 2" xfId="41252" xr:uid="{00000000-0005-0000-0000-0000D7910000}"/>
    <cellStyle name="Normal 61 4 5" xfId="32266" xr:uid="{00000000-0005-0000-0000-0000D8910000}"/>
    <cellStyle name="Normal 61 5" xfId="32267" xr:uid="{00000000-0005-0000-0000-0000D9910000}"/>
    <cellStyle name="Normal 61 5 2" xfId="32268" xr:uid="{00000000-0005-0000-0000-0000DA910000}"/>
    <cellStyle name="Normal 61 5 2 2" xfId="41253" xr:uid="{00000000-0005-0000-0000-0000DB910000}"/>
    <cellStyle name="Normal 61 5 3" xfId="32269" xr:uid="{00000000-0005-0000-0000-0000DC910000}"/>
    <cellStyle name="Normal 61 6" xfId="32270" xr:uid="{00000000-0005-0000-0000-0000DD910000}"/>
    <cellStyle name="Normal 61 6 2" xfId="32271" xr:uid="{00000000-0005-0000-0000-0000DE910000}"/>
    <cellStyle name="Normal 61 6 2 2" xfId="41254" xr:uid="{00000000-0005-0000-0000-0000DF910000}"/>
    <cellStyle name="Normal 61 6 3" xfId="32272" xr:uid="{00000000-0005-0000-0000-0000E0910000}"/>
    <cellStyle name="Normal 61 7" xfId="32273" xr:uid="{00000000-0005-0000-0000-0000E1910000}"/>
    <cellStyle name="Normal 61 7 2" xfId="41255" xr:uid="{00000000-0005-0000-0000-0000E2910000}"/>
    <cellStyle name="Normal 61 8" xfId="32274" xr:uid="{00000000-0005-0000-0000-0000E3910000}"/>
    <cellStyle name="Normal 61 9" xfId="41256" xr:uid="{00000000-0005-0000-0000-0000E4910000}"/>
    <cellStyle name="Normal 62" xfId="492" xr:uid="{00000000-0005-0000-0000-0000E5910000}"/>
    <cellStyle name="Normal 62 2" xfId="1941" xr:uid="{00000000-0005-0000-0000-0000E6910000}"/>
    <cellStyle name="Normal 62 2 2" xfId="32275" xr:uid="{00000000-0005-0000-0000-0000E7910000}"/>
    <cellStyle name="Normal 62 2 2 2" xfId="32276" xr:uid="{00000000-0005-0000-0000-0000E8910000}"/>
    <cellStyle name="Normal 62 2 2 2 2" xfId="32277" xr:uid="{00000000-0005-0000-0000-0000E9910000}"/>
    <cellStyle name="Normal 62 2 2 2 2 2" xfId="32278" xr:uid="{00000000-0005-0000-0000-0000EA910000}"/>
    <cellStyle name="Normal 62 2 2 2 2 2 2" xfId="41257" xr:uid="{00000000-0005-0000-0000-0000EB910000}"/>
    <cellStyle name="Normal 62 2 2 2 2 3" xfId="32279" xr:uid="{00000000-0005-0000-0000-0000EC910000}"/>
    <cellStyle name="Normal 62 2 2 2 3" xfId="32280" xr:uid="{00000000-0005-0000-0000-0000ED910000}"/>
    <cellStyle name="Normal 62 2 2 2 3 2" xfId="32281" xr:uid="{00000000-0005-0000-0000-0000EE910000}"/>
    <cellStyle name="Normal 62 2 2 2 3 2 2" xfId="41258" xr:uid="{00000000-0005-0000-0000-0000EF910000}"/>
    <cellStyle name="Normal 62 2 2 2 3 3" xfId="32282" xr:uid="{00000000-0005-0000-0000-0000F0910000}"/>
    <cellStyle name="Normal 62 2 2 2 4" xfId="32283" xr:uid="{00000000-0005-0000-0000-0000F1910000}"/>
    <cellStyle name="Normal 62 2 2 2 4 2" xfId="41259" xr:uid="{00000000-0005-0000-0000-0000F2910000}"/>
    <cellStyle name="Normal 62 2 2 2 5" xfId="32284" xr:uid="{00000000-0005-0000-0000-0000F3910000}"/>
    <cellStyle name="Normal 62 2 2 3" xfId="32285" xr:uid="{00000000-0005-0000-0000-0000F4910000}"/>
    <cellStyle name="Normal 62 2 2 3 2" xfId="32286" xr:uid="{00000000-0005-0000-0000-0000F5910000}"/>
    <cellStyle name="Normal 62 2 2 3 2 2" xfId="41260" xr:uid="{00000000-0005-0000-0000-0000F6910000}"/>
    <cellStyle name="Normal 62 2 2 3 3" xfId="32287" xr:uid="{00000000-0005-0000-0000-0000F7910000}"/>
    <cellStyle name="Normal 62 2 2 4" xfId="32288" xr:uid="{00000000-0005-0000-0000-0000F8910000}"/>
    <cellStyle name="Normal 62 2 2 4 2" xfId="32289" xr:uid="{00000000-0005-0000-0000-0000F9910000}"/>
    <cellStyle name="Normal 62 2 2 4 2 2" xfId="41261" xr:uid="{00000000-0005-0000-0000-0000FA910000}"/>
    <cellStyle name="Normal 62 2 2 4 3" xfId="32290" xr:uid="{00000000-0005-0000-0000-0000FB910000}"/>
    <cellStyle name="Normal 62 2 2 5" xfId="32291" xr:uid="{00000000-0005-0000-0000-0000FC910000}"/>
    <cellStyle name="Normal 62 2 2 5 2" xfId="41262" xr:uid="{00000000-0005-0000-0000-0000FD910000}"/>
    <cellStyle name="Normal 62 2 2 6" xfId="32292" xr:uid="{00000000-0005-0000-0000-0000FE910000}"/>
    <cellStyle name="Normal 62 2 3" xfId="32293" xr:uid="{00000000-0005-0000-0000-0000FF910000}"/>
    <cellStyle name="Normal 62 2 3 2" xfId="32294" xr:uid="{00000000-0005-0000-0000-000000920000}"/>
    <cellStyle name="Normal 62 2 3 2 2" xfId="32295" xr:uid="{00000000-0005-0000-0000-000001920000}"/>
    <cellStyle name="Normal 62 2 3 2 2 2" xfId="41263" xr:uid="{00000000-0005-0000-0000-000002920000}"/>
    <cellStyle name="Normal 62 2 3 2 3" xfId="32296" xr:uid="{00000000-0005-0000-0000-000003920000}"/>
    <cellStyle name="Normal 62 2 3 3" xfId="32297" xr:uid="{00000000-0005-0000-0000-000004920000}"/>
    <cellStyle name="Normal 62 2 3 3 2" xfId="32298" xr:uid="{00000000-0005-0000-0000-000005920000}"/>
    <cellStyle name="Normal 62 2 3 3 2 2" xfId="41264" xr:uid="{00000000-0005-0000-0000-000006920000}"/>
    <cellStyle name="Normal 62 2 3 3 3" xfId="32299" xr:uid="{00000000-0005-0000-0000-000007920000}"/>
    <cellStyle name="Normal 62 2 3 4" xfId="32300" xr:uid="{00000000-0005-0000-0000-000008920000}"/>
    <cellStyle name="Normal 62 2 3 4 2" xfId="41265" xr:uid="{00000000-0005-0000-0000-000009920000}"/>
    <cellStyle name="Normal 62 2 3 5" xfId="32301" xr:uid="{00000000-0005-0000-0000-00000A920000}"/>
    <cellStyle name="Normal 62 2 4" xfId="32302" xr:uid="{00000000-0005-0000-0000-00000B920000}"/>
    <cellStyle name="Normal 62 2 4 2" xfId="32303" xr:uid="{00000000-0005-0000-0000-00000C920000}"/>
    <cellStyle name="Normal 62 2 4 2 2" xfId="41266" xr:uid="{00000000-0005-0000-0000-00000D920000}"/>
    <cellStyle name="Normal 62 2 4 3" xfId="32304" xr:uid="{00000000-0005-0000-0000-00000E920000}"/>
    <cellStyle name="Normal 62 2 5" xfId="32305" xr:uid="{00000000-0005-0000-0000-00000F920000}"/>
    <cellStyle name="Normal 62 2 5 2" xfId="32306" xr:uid="{00000000-0005-0000-0000-000010920000}"/>
    <cellStyle name="Normal 62 2 5 2 2" xfId="41267" xr:uid="{00000000-0005-0000-0000-000011920000}"/>
    <cellStyle name="Normal 62 2 5 3" xfId="32307" xr:uid="{00000000-0005-0000-0000-000012920000}"/>
    <cellStyle name="Normal 62 2 6" xfId="32308" xr:uid="{00000000-0005-0000-0000-000013920000}"/>
    <cellStyle name="Normal 62 2 6 2" xfId="41268" xr:uid="{00000000-0005-0000-0000-000014920000}"/>
    <cellStyle name="Normal 62 2 7" xfId="32309" xr:uid="{00000000-0005-0000-0000-000015920000}"/>
    <cellStyle name="Normal 62 3" xfId="1942" xr:uid="{00000000-0005-0000-0000-000016920000}"/>
    <cellStyle name="Normal 62 3 2" xfId="32310" xr:uid="{00000000-0005-0000-0000-000017920000}"/>
    <cellStyle name="Normal 62 3 2 2" xfId="32311" xr:uid="{00000000-0005-0000-0000-000018920000}"/>
    <cellStyle name="Normal 62 3 2 2 2" xfId="32312" xr:uid="{00000000-0005-0000-0000-000019920000}"/>
    <cellStyle name="Normal 62 3 2 2 2 2" xfId="41269" xr:uid="{00000000-0005-0000-0000-00001A920000}"/>
    <cellStyle name="Normal 62 3 2 2 3" xfId="32313" xr:uid="{00000000-0005-0000-0000-00001B920000}"/>
    <cellStyle name="Normal 62 3 2 3" xfId="32314" xr:uid="{00000000-0005-0000-0000-00001C920000}"/>
    <cellStyle name="Normal 62 3 2 3 2" xfId="32315" xr:uid="{00000000-0005-0000-0000-00001D920000}"/>
    <cellStyle name="Normal 62 3 2 3 2 2" xfId="41270" xr:uid="{00000000-0005-0000-0000-00001E920000}"/>
    <cellStyle name="Normal 62 3 2 3 3" xfId="32316" xr:uid="{00000000-0005-0000-0000-00001F920000}"/>
    <cellStyle name="Normal 62 3 2 4" xfId="32317" xr:uid="{00000000-0005-0000-0000-000020920000}"/>
    <cellStyle name="Normal 62 3 2 4 2" xfId="41271" xr:uid="{00000000-0005-0000-0000-000021920000}"/>
    <cellStyle name="Normal 62 3 2 5" xfId="32318" xr:uid="{00000000-0005-0000-0000-000022920000}"/>
    <cellStyle name="Normal 62 3 3" xfId="32319" xr:uid="{00000000-0005-0000-0000-000023920000}"/>
    <cellStyle name="Normal 62 3 3 2" xfId="32320" xr:uid="{00000000-0005-0000-0000-000024920000}"/>
    <cellStyle name="Normal 62 3 3 2 2" xfId="41272" xr:uid="{00000000-0005-0000-0000-000025920000}"/>
    <cellStyle name="Normal 62 3 3 3" xfId="32321" xr:uid="{00000000-0005-0000-0000-000026920000}"/>
    <cellStyle name="Normal 62 3 4" xfId="32322" xr:uid="{00000000-0005-0000-0000-000027920000}"/>
    <cellStyle name="Normal 62 3 4 2" xfId="32323" xr:uid="{00000000-0005-0000-0000-000028920000}"/>
    <cellStyle name="Normal 62 3 4 2 2" xfId="41273" xr:uid="{00000000-0005-0000-0000-000029920000}"/>
    <cellStyle name="Normal 62 3 4 3" xfId="32324" xr:uid="{00000000-0005-0000-0000-00002A920000}"/>
    <cellStyle name="Normal 62 3 5" xfId="32325" xr:uid="{00000000-0005-0000-0000-00002B920000}"/>
    <cellStyle name="Normal 62 3 5 2" xfId="41274" xr:uid="{00000000-0005-0000-0000-00002C920000}"/>
    <cellStyle name="Normal 62 3 6" xfId="32326" xr:uid="{00000000-0005-0000-0000-00002D920000}"/>
    <cellStyle name="Normal 62 4" xfId="32327" xr:uid="{00000000-0005-0000-0000-00002E920000}"/>
    <cellStyle name="Normal 62 4 2" xfId="32328" xr:uid="{00000000-0005-0000-0000-00002F920000}"/>
    <cellStyle name="Normal 62 4 2 2" xfId="32329" xr:uid="{00000000-0005-0000-0000-000030920000}"/>
    <cellStyle name="Normal 62 4 2 2 2" xfId="41275" xr:uid="{00000000-0005-0000-0000-000031920000}"/>
    <cellStyle name="Normal 62 4 2 3" xfId="32330" xr:uid="{00000000-0005-0000-0000-000032920000}"/>
    <cellStyle name="Normal 62 4 3" xfId="32331" xr:uid="{00000000-0005-0000-0000-000033920000}"/>
    <cellStyle name="Normal 62 4 3 2" xfId="32332" xr:uid="{00000000-0005-0000-0000-000034920000}"/>
    <cellStyle name="Normal 62 4 3 2 2" xfId="41276" xr:uid="{00000000-0005-0000-0000-000035920000}"/>
    <cellStyle name="Normal 62 4 3 3" xfId="32333" xr:uid="{00000000-0005-0000-0000-000036920000}"/>
    <cellStyle name="Normal 62 4 4" xfId="32334" xr:uid="{00000000-0005-0000-0000-000037920000}"/>
    <cellStyle name="Normal 62 4 4 2" xfId="41277" xr:uid="{00000000-0005-0000-0000-000038920000}"/>
    <cellStyle name="Normal 62 4 5" xfId="32335" xr:uid="{00000000-0005-0000-0000-000039920000}"/>
    <cellStyle name="Normal 62 5" xfId="32336" xr:uid="{00000000-0005-0000-0000-00003A920000}"/>
    <cellStyle name="Normal 62 5 2" xfId="32337" xr:uid="{00000000-0005-0000-0000-00003B920000}"/>
    <cellStyle name="Normal 62 5 2 2" xfId="41278" xr:uid="{00000000-0005-0000-0000-00003C920000}"/>
    <cellStyle name="Normal 62 5 3" xfId="32338" xr:uid="{00000000-0005-0000-0000-00003D920000}"/>
    <cellStyle name="Normal 62 6" xfId="32339" xr:uid="{00000000-0005-0000-0000-00003E920000}"/>
    <cellStyle name="Normal 62 6 2" xfId="32340" xr:uid="{00000000-0005-0000-0000-00003F920000}"/>
    <cellStyle name="Normal 62 6 2 2" xfId="41279" xr:uid="{00000000-0005-0000-0000-000040920000}"/>
    <cellStyle name="Normal 62 6 3" xfId="32341" xr:uid="{00000000-0005-0000-0000-000041920000}"/>
    <cellStyle name="Normal 62 7" xfId="32342" xr:uid="{00000000-0005-0000-0000-000042920000}"/>
    <cellStyle name="Normal 62 7 2" xfId="41280" xr:uid="{00000000-0005-0000-0000-000043920000}"/>
    <cellStyle name="Normal 62 8" xfId="32343" xr:uid="{00000000-0005-0000-0000-000044920000}"/>
    <cellStyle name="Normal 62 9" xfId="41281" xr:uid="{00000000-0005-0000-0000-000045920000}"/>
    <cellStyle name="Normal 63" xfId="493" xr:uid="{00000000-0005-0000-0000-000046920000}"/>
    <cellStyle name="Normal 63 2" xfId="1943" xr:uid="{00000000-0005-0000-0000-000047920000}"/>
    <cellStyle name="Normal 63 2 2" xfId="32344" xr:uid="{00000000-0005-0000-0000-000048920000}"/>
    <cellStyle name="Normal 63 2 2 2" xfId="32345" xr:uid="{00000000-0005-0000-0000-000049920000}"/>
    <cellStyle name="Normal 63 2 2 2 2" xfId="32346" xr:uid="{00000000-0005-0000-0000-00004A920000}"/>
    <cellStyle name="Normal 63 2 2 2 2 2" xfId="32347" xr:uid="{00000000-0005-0000-0000-00004B920000}"/>
    <cellStyle name="Normal 63 2 2 2 2 2 2" xfId="41282" xr:uid="{00000000-0005-0000-0000-00004C920000}"/>
    <cellStyle name="Normal 63 2 2 2 2 3" xfId="32348" xr:uid="{00000000-0005-0000-0000-00004D920000}"/>
    <cellStyle name="Normal 63 2 2 2 3" xfId="32349" xr:uid="{00000000-0005-0000-0000-00004E920000}"/>
    <cellStyle name="Normal 63 2 2 2 3 2" xfId="32350" xr:uid="{00000000-0005-0000-0000-00004F920000}"/>
    <cellStyle name="Normal 63 2 2 2 3 2 2" xfId="41283" xr:uid="{00000000-0005-0000-0000-000050920000}"/>
    <cellStyle name="Normal 63 2 2 2 3 3" xfId="32351" xr:uid="{00000000-0005-0000-0000-000051920000}"/>
    <cellStyle name="Normal 63 2 2 2 4" xfId="32352" xr:uid="{00000000-0005-0000-0000-000052920000}"/>
    <cellStyle name="Normal 63 2 2 2 4 2" xfId="41284" xr:uid="{00000000-0005-0000-0000-000053920000}"/>
    <cellStyle name="Normal 63 2 2 2 5" xfId="32353" xr:uid="{00000000-0005-0000-0000-000054920000}"/>
    <cellStyle name="Normal 63 2 2 3" xfId="32354" xr:uid="{00000000-0005-0000-0000-000055920000}"/>
    <cellStyle name="Normal 63 2 2 3 2" xfId="32355" xr:uid="{00000000-0005-0000-0000-000056920000}"/>
    <cellStyle name="Normal 63 2 2 3 2 2" xfId="41285" xr:uid="{00000000-0005-0000-0000-000057920000}"/>
    <cellStyle name="Normal 63 2 2 3 3" xfId="32356" xr:uid="{00000000-0005-0000-0000-000058920000}"/>
    <cellStyle name="Normal 63 2 2 4" xfId="32357" xr:uid="{00000000-0005-0000-0000-000059920000}"/>
    <cellStyle name="Normal 63 2 2 4 2" xfId="32358" xr:uid="{00000000-0005-0000-0000-00005A920000}"/>
    <cellStyle name="Normal 63 2 2 4 2 2" xfId="41286" xr:uid="{00000000-0005-0000-0000-00005B920000}"/>
    <cellStyle name="Normal 63 2 2 4 3" xfId="32359" xr:uid="{00000000-0005-0000-0000-00005C920000}"/>
    <cellStyle name="Normal 63 2 2 5" xfId="32360" xr:uid="{00000000-0005-0000-0000-00005D920000}"/>
    <cellStyle name="Normal 63 2 2 5 2" xfId="41287" xr:uid="{00000000-0005-0000-0000-00005E920000}"/>
    <cellStyle name="Normal 63 2 2 6" xfId="32361" xr:uid="{00000000-0005-0000-0000-00005F920000}"/>
    <cellStyle name="Normal 63 2 3" xfId="32362" xr:uid="{00000000-0005-0000-0000-000060920000}"/>
    <cellStyle name="Normal 63 2 3 2" xfId="32363" xr:uid="{00000000-0005-0000-0000-000061920000}"/>
    <cellStyle name="Normal 63 2 3 2 2" xfId="32364" xr:uid="{00000000-0005-0000-0000-000062920000}"/>
    <cellStyle name="Normal 63 2 3 2 2 2" xfId="41288" xr:uid="{00000000-0005-0000-0000-000063920000}"/>
    <cellStyle name="Normal 63 2 3 2 3" xfId="32365" xr:uid="{00000000-0005-0000-0000-000064920000}"/>
    <cellStyle name="Normal 63 2 3 3" xfId="32366" xr:uid="{00000000-0005-0000-0000-000065920000}"/>
    <cellStyle name="Normal 63 2 3 3 2" xfId="32367" xr:uid="{00000000-0005-0000-0000-000066920000}"/>
    <cellStyle name="Normal 63 2 3 3 2 2" xfId="41289" xr:uid="{00000000-0005-0000-0000-000067920000}"/>
    <cellStyle name="Normal 63 2 3 3 3" xfId="32368" xr:uid="{00000000-0005-0000-0000-000068920000}"/>
    <cellStyle name="Normal 63 2 3 4" xfId="32369" xr:uid="{00000000-0005-0000-0000-000069920000}"/>
    <cellStyle name="Normal 63 2 3 4 2" xfId="41290" xr:uid="{00000000-0005-0000-0000-00006A920000}"/>
    <cellStyle name="Normal 63 2 3 5" xfId="32370" xr:uid="{00000000-0005-0000-0000-00006B920000}"/>
    <cellStyle name="Normal 63 2 4" xfId="32371" xr:uid="{00000000-0005-0000-0000-00006C920000}"/>
    <cellStyle name="Normal 63 2 4 2" xfId="32372" xr:uid="{00000000-0005-0000-0000-00006D920000}"/>
    <cellStyle name="Normal 63 2 4 2 2" xfId="41291" xr:uid="{00000000-0005-0000-0000-00006E920000}"/>
    <cellStyle name="Normal 63 2 4 3" xfId="32373" xr:uid="{00000000-0005-0000-0000-00006F920000}"/>
    <cellStyle name="Normal 63 2 5" xfId="32374" xr:uid="{00000000-0005-0000-0000-000070920000}"/>
    <cellStyle name="Normal 63 2 5 2" xfId="32375" xr:uid="{00000000-0005-0000-0000-000071920000}"/>
    <cellStyle name="Normal 63 2 5 2 2" xfId="41292" xr:uid="{00000000-0005-0000-0000-000072920000}"/>
    <cellStyle name="Normal 63 2 5 3" xfId="32376" xr:uid="{00000000-0005-0000-0000-000073920000}"/>
    <cellStyle name="Normal 63 2 6" xfId="32377" xr:uid="{00000000-0005-0000-0000-000074920000}"/>
    <cellStyle name="Normal 63 2 6 2" xfId="41293" xr:uid="{00000000-0005-0000-0000-000075920000}"/>
    <cellStyle name="Normal 63 2 7" xfId="32378" xr:uid="{00000000-0005-0000-0000-000076920000}"/>
    <cellStyle name="Normal 63 3" xfId="1944" xr:uid="{00000000-0005-0000-0000-000077920000}"/>
    <cellStyle name="Normal 63 3 2" xfId="32379" xr:uid="{00000000-0005-0000-0000-000078920000}"/>
    <cellStyle name="Normal 63 3 2 2" xfId="32380" xr:uid="{00000000-0005-0000-0000-000079920000}"/>
    <cellStyle name="Normal 63 3 2 2 2" xfId="32381" xr:uid="{00000000-0005-0000-0000-00007A920000}"/>
    <cellStyle name="Normal 63 3 2 2 2 2" xfId="41294" xr:uid="{00000000-0005-0000-0000-00007B920000}"/>
    <cellStyle name="Normal 63 3 2 2 3" xfId="32382" xr:uid="{00000000-0005-0000-0000-00007C920000}"/>
    <cellStyle name="Normal 63 3 2 3" xfId="32383" xr:uid="{00000000-0005-0000-0000-00007D920000}"/>
    <cellStyle name="Normal 63 3 2 3 2" xfId="32384" xr:uid="{00000000-0005-0000-0000-00007E920000}"/>
    <cellStyle name="Normal 63 3 2 3 2 2" xfId="41295" xr:uid="{00000000-0005-0000-0000-00007F920000}"/>
    <cellStyle name="Normal 63 3 2 3 3" xfId="32385" xr:uid="{00000000-0005-0000-0000-000080920000}"/>
    <cellStyle name="Normal 63 3 2 4" xfId="32386" xr:uid="{00000000-0005-0000-0000-000081920000}"/>
    <cellStyle name="Normal 63 3 2 4 2" xfId="41296" xr:uid="{00000000-0005-0000-0000-000082920000}"/>
    <cellStyle name="Normal 63 3 2 5" xfId="32387" xr:uid="{00000000-0005-0000-0000-000083920000}"/>
    <cellStyle name="Normal 63 3 3" xfId="32388" xr:uid="{00000000-0005-0000-0000-000084920000}"/>
    <cellStyle name="Normal 63 3 3 2" xfId="32389" xr:uid="{00000000-0005-0000-0000-000085920000}"/>
    <cellStyle name="Normal 63 3 3 2 2" xfId="41297" xr:uid="{00000000-0005-0000-0000-000086920000}"/>
    <cellStyle name="Normal 63 3 3 3" xfId="32390" xr:uid="{00000000-0005-0000-0000-000087920000}"/>
    <cellStyle name="Normal 63 3 4" xfId="32391" xr:uid="{00000000-0005-0000-0000-000088920000}"/>
    <cellStyle name="Normal 63 3 4 2" xfId="32392" xr:uid="{00000000-0005-0000-0000-000089920000}"/>
    <cellStyle name="Normal 63 3 4 2 2" xfId="41298" xr:uid="{00000000-0005-0000-0000-00008A920000}"/>
    <cellStyle name="Normal 63 3 4 3" xfId="32393" xr:uid="{00000000-0005-0000-0000-00008B920000}"/>
    <cellStyle name="Normal 63 3 5" xfId="32394" xr:uid="{00000000-0005-0000-0000-00008C920000}"/>
    <cellStyle name="Normal 63 3 5 2" xfId="41299" xr:uid="{00000000-0005-0000-0000-00008D920000}"/>
    <cellStyle name="Normal 63 3 6" xfId="32395" xr:uid="{00000000-0005-0000-0000-00008E920000}"/>
    <cellStyle name="Normal 63 4" xfId="32396" xr:uid="{00000000-0005-0000-0000-00008F920000}"/>
    <cellStyle name="Normal 63 4 2" xfId="32397" xr:uid="{00000000-0005-0000-0000-000090920000}"/>
    <cellStyle name="Normal 63 4 2 2" xfId="32398" xr:uid="{00000000-0005-0000-0000-000091920000}"/>
    <cellStyle name="Normal 63 4 2 2 2" xfId="41300" xr:uid="{00000000-0005-0000-0000-000092920000}"/>
    <cellStyle name="Normal 63 4 2 3" xfId="32399" xr:uid="{00000000-0005-0000-0000-000093920000}"/>
    <cellStyle name="Normal 63 4 3" xfId="32400" xr:uid="{00000000-0005-0000-0000-000094920000}"/>
    <cellStyle name="Normal 63 4 3 2" xfId="32401" xr:uid="{00000000-0005-0000-0000-000095920000}"/>
    <cellStyle name="Normal 63 4 3 2 2" xfId="41301" xr:uid="{00000000-0005-0000-0000-000096920000}"/>
    <cellStyle name="Normal 63 4 3 3" xfId="32402" xr:uid="{00000000-0005-0000-0000-000097920000}"/>
    <cellStyle name="Normal 63 4 4" xfId="32403" xr:uid="{00000000-0005-0000-0000-000098920000}"/>
    <cellStyle name="Normal 63 4 4 2" xfId="41302" xr:uid="{00000000-0005-0000-0000-000099920000}"/>
    <cellStyle name="Normal 63 4 5" xfId="32404" xr:uid="{00000000-0005-0000-0000-00009A920000}"/>
    <cellStyle name="Normal 63 5" xfId="32405" xr:uid="{00000000-0005-0000-0000-00009B920000}"/>
    <cellStyle name="Normal 63 5 2" xfId="32406" xr:uid="{00000000-0005-0000-0000-00009C920000}"/>
    <cellStyle name="Normal 63 5 2 2" xfId="41303" xr:uid="{00000000-0005-0000-0000-00009D920000}"/>
    <cellStyle name="Normal 63 5 3" xfId="32407" xr:uid="{00000000-0005-0000-0000-00009E920000}"/>
    <cellStyle name="Normal 63 6" xfId="32408" xr:uid="{00000000-0005-0000-0000-00009F920000}"/>
    <cellStyle name="Normal 63 6 2" xfId="32409" xr:uid="{00000000-0005-0000-0000-0000A0920000}"/>
    <cellStyle name="Normal 63 6 2 2" xfId="41304" xr:uid="{00000000-0005-0000-0000-0000A1920000}"/>
    <cellStyle name="Normal 63 6 3" xfId="32410" xr:uid="{00000000-0005-0000-0000-0000A2920000}"/>
    <cellStyle name="Normal 63 7" xfId="32411" xr:uid="{00000000-0005-0000-0000-0000A3920000}"/>
    <cellStyle name="Normal 63 7 2" xfId="41305" xr:uid="{00000000-0005-0000-0000-0000A4920000}"/>
    <cellStyle name="Normal 63 8" xfId="32412" xr:uid="{00000000-0005-0000-0000-0000A5920000}"/>
    <cellStyle name="Normal 63 9" xfId="41306" xr:uid="{00000000-0005-0000-0000-0000A6920000}"/>
    <cellStyle name="Normal 64" xfId="494" xr:uid="{00000000-0005-0000-0000-0000A7920000}"/>
    <cellStyle name="Normal 64 2" xfId="1945" xr:uid="{00000000-0005-0000-0000-0000A8920000}"/>
    <cellStyle name="Normal 64 2 2" xfId="41307" xr:uid="{00000000-0005-0000-0000-0000A9920000}"/>
    <cellStyle name="Normal 64 3" xfId="1946" xr:uid="{00000000-0005-0000-0000-0000AA920000}"/>
    <cellStyle name="Normal 64 3 2" xfId="41308" xr:uid="{00000000-0005-0000-0000-0000AB920000}"/>
    <cellStyle name="Normal 64 4" xfId="41309" xr:uid="{00000000-0005-0000-0000-0000AC920000}"/>
    <cellStyle name="Normal 64 5" xfId="41310" xr:uid="{00000000-0005-0000-0000-0000AD920000}"/>
    <cellStyle name="Normal 65" xfId="495" xr:uid="{00000000-0005-0000-0000-0000AE920000}"/>
    <cellStyle name="Normal 65 2" xfId="1947" xr:uid="{00000000-0005-0000-0000-0000AF920000}"/>
    <cellStyle name="Normal 65 2 2" xfId="32413" xr:uid="{00000000-0005-0000-0000-0000B0920000}"/>
    <cellStyle name="Normal 65 2 2 2" xfId="32414" xr:uid="{00000000-0005-0000-0000-0000B1920000}"/>
    <cellStyle name="Normal 65 2 2 2 2" xfId="32415" xr:uid="{00000000-0005-0000-0000-0000B2920000}"/>
    <cellStyle name="Normal 65 2 2 2 2 2" xfId="32416" xr:uid="{00000000-0005-0000-0000-0000B3920000}"/>
    <cellStyle name="Normal 65 2 2 2 2 2 2" xfId="41311" xr:uid="{00000000-0005-0000-0000-0000B4920000}"/>
    <cellStyle name="Normal 65 2 2 2 2 3" xfId="32417" xr:uid="{00000000-0005-0000-0000-0000B5920000}"/>
    <cellStyle name="Normal 65 2 2 2 3" xfId="32418" xr:uid="{00000000-0005-0000-0000-0000B6920000}"/>
    <cellStyle name="Normal 65 2 2 2 3 2" xfId="32419" xr:uid="{00000000-0005-0000-0000-0000B7920000}"/>
    <cellStyle name="Normal 65 2 2 2 3 2 2" xfId="41312" xr:uid="{00000000-0005-0000-0000-0000B8920000}"/>
    <cellStyle name="Normal 65 2 2 2 3 3" xfId="32420" xr:uid="{00000000-0005-0000-0000-0000B9920000}"/>
    <cellStyle name="Normal 65 2 2 2 4" xfId="32421" xr:uid="{00000000-0005-0000-0000-0000BA920000}"/>
    <cellStyle name="Normal 65 2 2 2 4 2" xfId="41313" xr:uid="{00000000-0005-0000-0000-0000BB920000}"/>
    <cellStyle name="Normal 65 2 2 2 5" xfId="32422" xr:uid="{00000000-0005-0000-0000-0000BC920000}"/>
    <cellStyle name="Normal 65 2 2 3" xfId="32423" xr:uid="{00000000-0005-0000-0000-0000BD920000}"/>
    <cellStyle name="Normal 65 2 2 3 2" xfId="32424" xr:uid="{00000000-0005-0000-0000-0000BE920000}"/>
    <cellStyle name="Normal 65 2 2 3 2 2" xfId="41314" xr:uid="{00000000-0005-0000-0000-0000BF920000}"/>
    <cellStyle name="Normal 65 2 2 3 3" xfId="32425" xr:uid="{00000000-0005-0000-0000-0000C0920000}"/>
    <cellStyle name="Normal 65 2 2 4" xfId="32426" xr:uid="{00000000-0005-0000-0000-0000C1920000}"/>
    <cellStyle name="Normal 65 2 2 4 2" xfId="32427" xr:uid="{00000000-0005-0000-0000-0000C2920000}"/>
    <cellStyle name="Normal 65 2 2 4 2 2" xfId="41315" xr:uid="{00000000-0005-0000-0000-0000C3920000}"/>
    <cellStyle name="Normal 65 2 2 4 3" xfId="32428" xr:uid="{00000000-0005-0000-0000-0000C4920000}"/>
    <cellStyle name="Normal 65 2 2 5" xfId="32429" xr:uid="{00000000-0005-0000-0000-0000C5920000}"/>
    <cellStyle name="Normal 65 2 2 5 2" xfId="41316" xr:uid="{00000000-0005-0000-0000-0000C6920000}"/>
    <cellStyle name="Normal 65 2 2 6" xfId="32430" xr:uid="{00000000-0005-0000-0000-0000C7920000}"/>
    <cellStyle name="Normal 65 2 3" xfId="32431" xr:uid="{00000000-0005-0000-0000-0000C8920000}"/>
    <cellStyle name="Normal 65 2 3 2" xfId="32432" xr:uid="{00000000-0005-0000-0000-0000C9920000}"/>
    <cellStyle name="Normal 65 2 3 2 2" xfId="32433" xr:uid="{00000000-0005-0000-0000-0000CA920000}"/>
    <cellStyle name="Normal 65 2 3 2 2 2" xfId="41317" xr:uid="{00000000-0005-0000-0000-0000CB920000}"/>
    <cellStyle name="Normal 65 2 3 2 3" xfId="32434" xr:uid="{00000000-0005-0000-0000-0000CC920000}"/>
    <cellStyle name="Normal 65 2 3 3" xfId="32435" xr:uid="{00000000-0005-0000-0000-0000CD920000}"/>
    <cellStyle name="Normal 65 2 3 3 2" xfId="32436" xr:uid="{00000000-0005-0000-0000-0000CE920000}"/>
    <cellStyle name="Normal 65 2 3 3 2 2" xfId="41318" xr:uid="{00000000-0005-0000-0000-0000CF920000}"/>
    <cellStyle name="Normal 65 2 3 3 3" xfId="32437" xr:uid="{00000000-0005-0000-0000-0000D0920000}"/>
    <cellStyle name="Normal 65 2 3 4" xfId="32438" xr:uid="{00000000-0005-0000-0000-0000D1920000}"/>
    <cellStyle name="Normal 65 2 3 4 2" xfId="41319" xr:uid="{00000000-0005-0000-0000-0000D2920000}"/>
    <cellStyle name="Normal 65 2 3 5" xfId="32439" xr:uid="{00000000-0005-0000-0000-0000D3920000}"/>
    <cellStyle name="Normal 65 2 4" xfId="32440" xr:uid="{00000000-0005-0000-0000-0000D4920000}"/>
    <cellStyle name="Normal 65 2 4 2" xfId="32441" xr:uid="{00000000-0005-0000-0000-0000D5920000}"/>
    <cellStyle name="Normal 65 2 4 2 2" xfId="41320" xr:uid="{00000000-0005-0000-0000-0000D6920000}"/>
    <cellStyle name="Normal 65 2 4 3" xfId="32442" xr:uid="{00000000-0005-0000-0000-0000D7920000}"/>
    <cellStyle name="Normal 65 2 5" xfId="32443" xr:uid="{00000000-0005-0000-0000-0000D8920000}"/>
    <cellStyle name="Normal 65 2 5 2" xfId="32444" xr:uid="{00000000-0005-0000-0000-0000D9920000}"/>
    <cellStyle name="Normal 65 2 5 2 2" xfId="41321" xr:uid="{00000000-0005-0000-0000-0000DA920000}"/>
    <cellStyle name="Normal 65 2 5 3" xfId="32445" xr:uid="{00000000-0005-0000-0000-0000DB920000}"/>
    <cellStyle name="Normal 65 2 6" xfId="32446" xr:uid="{00000000-0005-0000-0000-0000DC920000}"/>
    <cellStyle name="Normal 65 2 6 2" xfId="41322" xr:uid="{00000000-0005-0000-0000-0000DD920000}"/>
    <cellStyle name="Normal 65 2 7" xfId="32447" xr:uid="{00000000-0005-0000-0000-0000DE920000}"/>
    <cellStyle name="Normal 65 3" xfId="1948" xr:uid="{00000000-0005-0000-0000-0000DF920000}"/>
    <cellStyle name="Normal 65 3 2" xfId="32448" xr:uid="{00000000-0005-0000-0000-0000E0920000}"/>
    <cellStyle name="Normal 65 3 2 2" xfId="32449" xr:uid="{00000000-0005-0000-0000-0000E1920000}"/>
    <cellStyle name="Normal 65 3 2 2 2" xfId="32450" xr:uid="{00000000-0005-0000-0000-0000E2920000}"/>
    <cellStyle name="Normal 65 3 2 2 2 2" xfId="41323" xr:uid="{00000000-0005-0000-0000-0000E3920000}"/>
    <cellStyle name="Normal 65 3 2 2 3" xfId="32451" xr:uid="{00000000-0005-0000-0000-0000E4920000}"/>
    <cellStyle name="Normal 65 3 2 3" xfId="32452" xr:uid="{00000000-0005-0000-0000-0000E5920000}"/>
    <cellStyle name="Normal 65 3 2 3 2" xfId="32453" xr:uid="{00000000-0005-0000-0000-0000E6920000}"/>
    <cellStyle name="Normal 65 3 2 3 2 2" xfId="41324" xr:uid="{00000000-0005-0000-0000-0000E7920000}"/>
    <cellStyle name="Normal 65 3 2 3 3" xfId="32454" xr:uid="{00000000-0005-0000-0000-0000E8920000}"/>
    <cellStyle name="Normal 65 3 2 4" xfId="32455" xr:uid="{00000000-0005-0000-0000-0000E9920000}"/>
    <cellStyle name="Normal 65 3 2 4 2" xfId="41325" xr:uid="{00000000-0005-0000-0000-0000EA920000}"/>
    <cellStyle name="Normal 65 3 2 5" xfId="32456" xr:uid="{00000000-0005-0000-0000-0000EB920000}"/>
    <cellStyle name="Normal 65 3 3" xfId="32457" xr:uid="{00000000-0005-0000-0000-0000EC920000}"/>
    <cellStyle name="Normal 65 3 3 2" xfId="32458" xr:uid="{00000000-0005-0000-0000-0000ED920000}"/>
    <cellStyle name="Normal 65 3 3 2 2" xfId="41326" xr:uid="{00000000-0005-0000-0000-0000EE920000}"/>
    <cellStyle name="Normal 65 3 3 3" xfId="32459" xr:uid="{00000000-0005-0000-0000-0000EF920000}"/>
    <cellStyle name="Normal 65 3 4" xfId="32460" xr:uid="{00000000-0005-0000-0000-0000F0920000}"/>
    <cellStyle name="Normal 65 3 4 2" xfId="32461" xr:uid="{00000000-0005-0000-0000-0000F1920000}"/>
    <cellStyle name="Normal 65 3 4 2 2" xfId="41327" xr:uid="{00000000-0005-0000-0000-0000F2920000}"/>
    <cellStyle name="Normal 65 3 4 3" xfId="32462" xr:uid="{00000000-0005-0000-0000-0000F3920000}"/>
    <cellStyle name="Normal 65 3 5" xfId="32463" xr:uid="{00000000-0005-0000-0000-0000F4920000}"/>
    <cellStyle name="Normal 65 3 5 2" xfId="41328" xr:uid="{00000000-0005-0000-0000-0000F5920000}"/>
    <cellStyle name="Normal 65 3 6" xfId="32464" xr:uid="{00000000-0005-0000-0000-0000F6920000}"/>
    <cellStyle name="Normal 65 4" xfId="32465" xr:uid="{00000000-0005-0000-0000-0000F7920000}"/>
    <cellStyle name="Normal 65 4 2" xfId="32466" xr:uid="{00000000-0005-0000-0000-0000F8920000}"/>
    <cellStyle name="Normal 65 4 2 2" xfId="32467" xr:uid="{00000000-0005-0000-0000-0000F9920000}"/>
    <cellStyle name="Normal 65 4 2 2 2" xfId="41329" xr:uid="{00000000-0005-0000-0000-0000FA920000}"/>
    <cellStyle name="Normal 65 4 2 3" xfId="32468" xr:uid="{00000000-0005-0000-0000-0000FB920000}"/>
    <cellStyle name="Normal 65 4 3" xfId="32469" xr:uid="{00000000-0005-0000-0000-0000FC920000}"/>
    <cellStyle name="Normal 65 4 3 2" xfId="32470" xr:uid="{00000000-0005-0000-0000-0000FD920000}"/>
    <cellStyle name="Normal 65 4 3 2 2" xfId="41330" xr:uid="{00000000-0005-0000-0000-0000FE920000}"/>
    <cellStyle name="Normal 65 4 3 3" xfId="32471" xr:uid="{00000000-0005-0000-0000-0000FF920000}"/>
    <cellStyle name="Normal 65 4 4" xfId="32472" xr:uid="{00000000-0005-0000-0000-000000930000}"/>
    <cellStyle name="Normal 65 4 4 2" xfId="41331" xr:uid="{00000000-0005-0000-0000-000001930000}"/>
    <cellStyle name="Normal 65 4 5" xfId="32473" xr:uid="{00000000-0005-0000-0000-000002930000}"/>
    <cellStyle name="Normal 65 5" xfId="32474" xr:uid="{00000000-0005-0000-0000-000003930000}"/>
    <cellStyle name="Normal 65 5 2" xfId="32475" xr:uid="{00000000-0005-0000-0000-000004930000}"/>
    <cellStyle name="Normal 65 5 2 2" xfId="41332" xr:uid="{00000000-0005-0000-0000-000005930000}"/>
    <cellStyle name="Normal 65 5 3" xfId="32476" xr:uid="{00000000-0005-0000-0000-000006930000}"/>
    <cellStyle name="Normal 65 6" xfId="32477" xr:uid="{00000000-0005-0000-0000-000007930000}"/>
    <cellStyle name="Normal 65 6 2" xfId="32478" xr:uid="{00000000-0005-0000-0000-000008930000}"/>
    <cellStyle name="Normal 65 6 2 2" xfId="41333" xr:uid="{00000000-0005-0000-0000-000009930000}"/>
    <cellStyle name="Normal 65 6 3" xfId="32479" xr:uid="{00000000-0005-0000-0000-00000A930000}"/>
    <cellStyle name="Normal 65 7" xfId="32480" xr:uid="{00000000-0005-0000-0000-00000B930000}"/>
    <cellStyle name="Normal 65 7 2" xfId="41334" xr:uid="{00000000-0005-0000-0000-00000C930000}"/>
    <cellStyle name="Normal 65 8" xfId="32481" xr:uid="{00000000-0005-0000-0000-00000D930000}"/>
    <cellStyle name="Normal 65 9" xfId="41335" xr:uid="{00000000-0005-0000-0000-00000E930000}"/>
    <cellStyle name="Normal 66" xfId="496" xr:uid="{00000000-0005-0000-0000-00000F930000}"/>
    <cellStyle name="Normal 66 2" xfId="1949" xr:uid="{00000000-0005-0000-0000-000010930000}"/>
    <cellStyle name="Normal 66 2 2" xfId="3886" xr:uid="{00000000-0005-0000-0000-000011930000}"/>
    <cellStyle name="Normal 66 2 3" xfId="3371" xr:uid="{00000000-0005-0000-0000-000012930000}"/>
    <cellStyle name="Normal 66 2 4" xfId="2856" xr:uid="{00000000-0005-0000-0000-000013930000}"/>
    <cellStyle name="Normal 66 3" xfId="1950" xr:uid="{00000000-0005-0000-0000-000014930000}"/>
    <cellStyle name="Normal 66 3 2" xfId="3630" xr:uid="{00000000-0005-0000-0000-000015930000}"/>
    <cellStyle name="Normal 66 4" xfId="3114" xr:uid="{00000000-0005-0000-0000-000016930000}"/>
    <cellStyle name="Normal 66 5" xfId="2592" xr:uid="{00000000-0005-0000-0000-000017930000}"/>
    <cellStyle name="Normal 67" xfId="497" xr:uid="{00000000-0005-0000-0000-000018930000}"/>
    <cellStyle name="Normal 67 2" xfId="1951" xr:uid="{00000000-0005-0000-0000-000019930000}"/>
    <cellStyle name="Normal 67 2 2" xfId="3887" xr:uid="{00000000-0005-0000-0000-00001A930000}"/>
    <cellStyle name="Normal 67 2 3" xfId="3372" xr:uid="{00000000-0005-0000-0000-00001B930000}"/>
    <cellStyle name="Normal 67 2 4" xfId="2857" xr:uid="{00000000-0005-0000-0000-00001C930000}"/>
    <cellStyle name="Normal 67 3" xfId="1952" xr:uid="{00000000-0005-0000-0000-00001D930000}"/>
    <cellStyle name="Normal 67 3 2" xfId="3631" xr:uid="{00000000-0005-0000-0000-00001E930000}"/>
    <cellStyle name="Normal 67 4" xfId="3115" xr:uid="{00000000-0005-0000-0000-00001F930000}"/>
    <cellStyle name="Normal 67 5" xfId="2593" xr:uid="{00000000-0005-0000-0000-000020930000}"/>
    <cellStyle name="Normal 68" xfId="498" xr:uid="{00000000-0005-0000-0000-000021930000}"/>
    <cellStyle name="Normal 68 2" xfId="1953" xr:uid="{00000000-0005-0000-0000-000022930000}"/>
    <cellStyle name="Normal 68 2 2" xfId="41336" xr:uid="{00000000-0005-0000-0000-000023930000}"/>
    <cellStyle name="Normal 68 3" xfId="1954" xr:uid="{00000000-0005-0000-0000-000024930000}"/>
    <cellStyle name="Normal 68 3 2" xfId="41337" xr:uid="{00000000-0005-0000-0000-000025930000}"/>
    <cellStyle name="Normal 68 4" xfId="41338" xr:uid="{00000000-0005-0000-0000-000026930000}"/>
    <cellStyle name="Normal 68 5" xfId="41339" xr:uid="{00000000-0005-0000-0000-000027930000}"/>
    <cellStyle name="Normal 69" xfId="499" xr:uid="{00000000-0005-0000-0000-000028930000}"/>
    <cellStyle name="Normal 69 2" xfId="1955" xr:uid="{00000000-0005-0000-0000-000029930000}"/>
    <cellStyle name="Normal 69 2 2" xfId="41340" xr:uid="{00000000-0005-0000-0000-00002A930000}"/>
    <cellStyle name="Normal 69 3" xfId="1956" xr:uid="{00000000-0005-0000-0000-00002B930000}"/>
    <cellStyle name="Normal 69 3 2" xfId="41341" xr:uid="{00000000-0005-0000-0000-00002C930000}"/>
    <cellStyle name="Normal 69 4" xfId="41342" xr:uid="{00000000-0005-0000-0000-00002D930000}"/>
    <cellStyle name="Normal 69 5" xfId="41343" xr:uid="{00000000-0005-0000-0000-00002E930000}"/>
    <cellStyle name="Normal 7" xfId="53" xr:uid="{00000000-0005-0000-0000-00002F930000}"/>
    <cellStyle name="Normal 7 10" xfId="32482" xr:uid="{00000000-0005-0000-0000-000030930000}"/>
    <cellStyle name="Normal 7 10 2" xfId="32483" xr:uid="{00000000-0005-0000-0000-000031930000}"/>
    <cellStyle name="Normal 7 10 2 2" xfId="41344" xr:uid="{00000000-0005-0000-0000-000032930000}"/>
    <cellStyle name="Normal 7 10 3" xfId="32484" xr:uid="{00000000-0005-0000-0000-000033930000}"/>
    <cellStyle name="Normal 7 11" xfId="32485" xr:uid="{00000000-0005-0000-0000-000034930000}"/>
    <cellStyle name="Normal 7 11 2" xfId="41345" xr:uid="{00000000-0005-0000-0000-000035930000}"/>
    <cellStyle name="Normal 7 12" xfId="32486" xr:uid="{00000000-0005-0000-0000-000036930000}"/>
    <cellStyle name="Normal 7 13" xfId="41346" xr:uid="{00000000-0005-0000-0000-000037930000}"/>
    <cellStyle name="Normal 7 2" xfId="500" xr:uid="{00000000-0005-0000-0000-000038930000}"/>
    <cellStyle name="Normal 7 2 10" xfId="32487" xr:uid="{00000000-0005-0000-0000-000039930000}"/>
    <cellStyle name="Normal 7 2 10 2" xfId="41347" xr:uid="{00000000-0005-0000-0000-00003A930000}"/>
    <cellStyle name="Normal 7 2 11" xfId="32488" xr:uid="{00000000-0005-0000-0000-00003B930000}"/>
    <cellStyle name="Normal 7 2 12" xfId="41348" xr:uid="{00000000-0005-0000-0000-00003C930000}"/>
    <cellStyle name="Normal 7 2 13" xfId="42484" xr:uid="{00000000-0005-0000-0000-00003D930000}"/>
    <cellStyle name="Normal 7 2 2" xfId="501" xr:uid="{00000000-0005-0000-0000-00003E930000}"/>
    <cellStyle name="Normal 7 2 2 10" xfId="41349" xr:uid="{00000000-0005-0000-0000-00003F930000}"/>
    <cellStyle name="Normal 7 2 2 2" xfId="502" xr:uid="{00000000-0005-0000-0000-000040930000}"/>
    <cellStyle name="Normal 7 2 2 2 2" xfId="1957" xr:uid="{00000000-0005-0000-0000-000041930000}"/>
    <cellStyle name="Normal 7 2 2 2 2 2" xfId="1958" xr:uid="{00000000-0005-0000-0000-000042930000}"/>
    <cellStyle name="Normal 7 2 2 2 2 2 2" xfId="32489" xr:uid="{00000000-0005-0000-0000-000043930000}"/>
    <cellStyle name="Normal 7 2 2 2 2 2 2 2" xfId="32490" xr:uid="{00000000-0005-0000-0000-000044930000}"/>
    <cellStyle name="Normal 7 2 2 2 2 2 2 2 2" xfId="32491" xr:uid="{00000000-0005-0000-0000-000045930000}"/>
    <cellStyle name="Normal 7 2 2 2 2 2 2 2 2 2" xfId="41350" xr:uid="{00000000-0005-0000-0000-000046930000}"/>
    <cellStyle name="Normal 7 2 2 2 2 2 2 2 3" xfId="32492" xr:uid="{00000000-0005-0000-0000-000047930000}"/>
    <cellStyle name="Normal 7 2 2 2 2 2 2 3" xfId="32493" xr:uid="{00000000-0005-0000-0000-000048930000}"/>
    <cellStyle name="Normal 7 2 2 2 2 2 2 3 2" xfId="32494" xr:uid="{00000000-0005-0000-0000-000049930000}"/>
    <cellStyle name="Normal 7 2 2 2 2 2 2 3 2 2" xfId="41351" xr:uid="{00000000-0005-0000-0000-00004A930000}"/>
    <cellStyle name="Normal 7 2 2 2 2 2 2 3 3" xfId="32495" xr:uid="{00000000-0005-0000-0000-00004B930000}"/>
    <cellStyle name="Normal 7 2 2 2 2 2 2 4" xfId="32496" xr:uid="{00000000-0005-0000-0000-00004C930000}"/>
    <cellStyle name="Normal 7 2 2 2 2 2 2 4 2" xfId="41352" xr:uid="{00000000-0005-0000-0000-00004D930000}"/>
    <cellStyle name="Normal 7 2 2 2 2 2 2 5" xfId="32497" xr:uid="{00000000-0005-0000-0000-00004E930000}"/>
    <cellStyle name="Normal 7 2 2 2 2 2 3" xfId="32498" xr:uid="{00000000-0005-0000-0000-00004F930000}"/>
    <cellStyle name="Normal 7 2 2 2 2 2 3 2" xfId="32499" xr:uid="{00000000-0005-0000-0000-000050930000}"/>
    <cellStyle name="Normal 7 2 2 2 2 2 3 2 2" xfId="41353" xr:uid="{00000000-0005-0000-0000-000051930000}"/>
    <cellStyle name="Normal 7 2 2 2 2 2 3 3" xfId="32500" xr:uid="{00000000-0005-0000-0000-000052930000}"/>
    <cellStyle name="Normal 7 2 2 2 2 2 4" xfId="32501" xr:uid="{00000000-0005-0000-0000-000053930000}"/>
    <cellStyle name="Normal 7 2 2 2 2 2 4 2" xfId="32502" xr:uid="{00000000-0005-0000-0000-000054930000}"/>
    <cellStyle name="Normal 7 2 2 2 2 2 4 2 2" xfId="41354" xr:uid="{00000000-0005-0000-0000-000055930000}"/>
    <cellStyle name="Normal 7 2 2 2 2 2 4 3" xfId="32503" xr:uid="{00000000-0005-0000-0000-000056930000}"/>
    <cellStyle name="Normal 7 2 2 2 2 2 5" xfId="32504" xr:uid="{00000000-0005-0000-0000-000057930000}"/>
    <cellStyle name="Normal 7 2 2 2 2 2 5 2" xfId="41355" xr:uid="{00000000-0005-0000-0000-000058930000}"/>
    <cellStyle name="Normal 7 2 2 2 2 2 6" xfId="32505" xr:uid="{00000000-0005-0000-0000-000059930000}"/>
    <cellStyle name="Normal 7 2 2 2 2 2 7" xfId="45768" xr:uid="{00000000-0005-0000-0000-00005A930000}"/>
    <cellStyle name="Normal 7 2 2 2 2 3" xfId="32506" xr:uid="{00000000-0005-0000-0000-00005B930000}"/>
    <cellStyle name="Normal 7 2 2 2 2 3 2" xfId="32507" xr:uid="{00000000-0005-0000-0000-00005C930000}"/>
    <cellStyle name="Normal 7 2 2 2 2 3 2 2" xfId="32508" xr:uid="{00000000-0005-0000-0000-00005D930000}"/>
    <cellStyle name="Normal 7 2 2 2 2 3 2 2 2" xfId="41356" xr:uid="{00000000-0005-0000-0000-00005E930000}"/>
    <cellStyle name="Normal 7 2 2 2 2 3 2 3" xfId="32509" xr:uid="{00000000-0005-0000-0000-00005F930000}"/>
    <cellStyle name="Normal 7 2 2 2 2 3 3" xfId="32510" xr:uid="{00000000-0005-0000-0000-000060930000}"/>
    <cellStyle name="Normal 7 2 2 2 2 3 3 2" xfId="32511" xr:uid="{00000000-0005-0000-0000-000061930000}"/>
    <cellStyle name="Normal 7 2 2 2 2 3 3 2 2" xfId="41357" xr:uid="{00000000-0005-0000-0000-000062930000}"/>
    <cellStyle name="Normal 7 2 2 2 2 3 3 3" xfId="32512" xr:uid="{00000000-0005-0000-0000-000063930000}"/>
    <cellStyle name="Normal 7 2 2 2 2 3 4" xfId="32513" xr:uid="{00000000-0005-0000-0000-000064930000}"/>
    <cellStyle name="Normal 7 2 2 2 2 3 4 2" xfId="41358" xr:uid="{00000000-0005-0000-0000-000065930000}"/>
    <cellStyle name="Normal 7 2 2 2 2 3 5" xfId="32514" xr:uid="{00000000-0005-0000-0000-000066930000}"/>
    <cellStyle name="Normal 7 2 2 2 2 4" xfId="32515" xr:uid="{00000000-0005-0000-0000-000067930000}"/>
    <cellStyle name="Normal 7 2 2 2 2 4 2" xfId="32516" xr:uid="{00000000-0005-0000-0000-000068930000}"/>
    <cellStyle name="Normal 7 2 2 2 2 4 2 2" xfId="41359" xr:uid="{00000000-0005-0000-0000-000069930000}"/>
    <cellStyle name="Normal 7 2 2 2 2 4 3" xfId="32517" xr:uid="{00000000-0005-0000-0000-00006A930000}"/>
    <cellStyle name="Normal 7 2 2 2 2 5" xfId="32518" xr:uid="{00000000-0005-0000-0000-00006B930000}"/>
    <cellStyle name="Normal 7 2 2 2 2 5 2" xfId="32519" xr:uid="{00000000-0005-0000-0000-00006C930000}"/>
    <cellStyle name="Normal 7 2 2 2 2 5 2 2" xfId="41360" xr:uid="{00000000-0005-0000-0000-00006D930000}"/>
    <cellStyle name="Normal 7 2 2 2 2 5 3" xfId="32520" xr:uid="{00000000-0005-0000-0000-00006E930000}"/>
    <cellStyle name="Normal 7 2 2 2 2 6" xfId="32521" xr:uid="{00000000-0005-0000-0000-00006F930000}"/>
    <cellStyle name="Normal 7 2 2 2 2 6 2" xfId="41361" xr:uid="{00000000-0005-0000-0000-000070930000}"/>
    <cellStyle name="Normal 7 2 2 2 2 7" xfId="32522" xr:uid="{00000000-0005-0000-0000-000071930000}"/>
    <cellStyle name="Normal 7 2 2 2 2 8" xfId="45769" xr:uid="{00000000-0005-0000-0000-000072930000}"/>
    <cellStyle name="Normal 7 2 2 2 3" xfId="1959" xr:uid="{00000000-0005-0000-0000-000073930000}"/>
    <cellStyle name="Normal 7 2 2 2 3 2" xfId="32523" xr:uid="{00000000-0005-0000-0000-000074930000}"/>
    <cellStyle name="Normal 7 2 2 2 3 2 2" xfId="32524" xr:uid="{00000000-0005-0000-0000-000075930000}"/>
    <cellStyle name="Normal 7 2 2 2 3 2 2 2" xfId="32525" xr:uid="{00000000-0005-0000-0000-000076930000}"/>
    <cellStyle name="Normal 7 2 2 2 3 2 2 2 2" xfId="41362" xr:uid="{00000000-0005-0000-0000-000077930000}"/>
    <cellStyle name="Normal 7 2 2 2 3 2 2 3" xfId="32526" xr:uid="{00000000-0005-0000-0000-000078930000}"/>
    <cellStyle name="Normal 7 2 2 2 3 2 3" xfId="32527" xr:uid="{00000000-0005-0000-0000-000079930000}"/>
    <cellStyle name="Normal 7 2 2 2 3 2 3 2" xfId="32528" xr:uid="{00000000-0005-0000-0000-00007A930000}"/>
    <cellStyle name="Normal 7 2 2 2 3 2 3 2 2" xfId="41363" xr:uid="{00000000-0005-0000-0000-00007B930000}"/>
    <cellStyle name="Normal 7 2 2 2 3 2 3 3" xfId="32529" xr:uid="{00000000-0005-0000-0000-00007C930000}"/>
    <cellStyle name="Normal 7 2 2 2 3 2 4" xfId="32530" xr:uid="{00000000-0005-0000-0000-00007D930000}"/>
    <cellStyle name="Normal 7 2 2 2 3 2 4 2" xfId="41364" xr:uid="{00000000-0005-0000-0000-00007E930000}"/>
    <cellStyle name="Normal 7 2 2 2 3 2 5" xfId="32531" xr:uid="{00000000-0005-0000-0000-00007F930000}"/>
    <cellStyle name="Normal 7 2 2 2 3 3" xfId="32532" xr:uid="{00000000-0005-0000-0000-000080930000}"/>
    <cellStyle name="Normal 7 2 2 2 3 3 2" xfId="32533" xr:uid="{00000000-0005-0000-0000-000081930000}"/>
    <cellStyle name="Normal 7 2 2 2 3 3 2 2" xfId="41365" xr:uid="{00000000-0005-0000-0000-000082930000}"/>
    <cellStyle name="Normal 7 2 2 2 3 3 3" xfId="32534" xr:uid="{00000000-0005-0000-0000-000083930000}"/>
    <cellStyle name="Normal 7 2 2 2 3 4" xfId="32535" xr:uid="{00000000-0005-0000-0000-000084930000}"/>
    <cellStyle name="Normal 7 2 2 2 3 4 2" xfId="32536" xr:uid="{00000000-0005-0000-0000-000085930000}"/>
    <cellStyle name="Normal 7 2 2 2 3 4 2 2" xfId="41366" xr:uid="{00000000-0005-0000-0000-000086930000}"/>
    <cellStyle name="Normal 7 2 2 2 3 4 3" xfId="32537" xr:uid="{00000000-0005-0000-0000-000087930000}"/>
    <cellStyle name="Normal 7 2 2 2 3 5" xfId="32538" xr:uid="{00000000-0005-0000-0000-000088930000}"/>
    <cellStyle name="Normal 7 2 2 2 3 5 2" xfId="41367" xr:uid="{00000000-0005-0000-0000-000089930000}"/>
    <cellStyle name="Normal 7 2 2 2 3 6" xfId="32539" xr:uid="{00000000-0005-0000-0000-00008A930000}"/>
    <cellStyle name="Normal 7 2 2 2 3 7" xfId="45770" xr:uid="{00000000-0005-0000-0000-00008B930000}"/>
    <cellStyle name="Normal 7 2 2 2 4" xfId="32540" xr:uid="{00000000-0005-0000-0000-00008C930000}"/>
    <cellStyle name="Normal 7 2 2 2 4 2" xfId="32541" xr:uid="{00000000-0005-0000-0000-00008D930000}"/>
    <cellStyle name="Normal 7 2 2 2 4 2 2" xfId="32542" xr:uid="{00000000-0005-0000-0000-00008E930000}"/>
    <cellStyle name="Normal 7 2 2 2 4 2 2 2" xfId="41368" xr:uid="{00000000-0005-0000-0000-00008F930000}"/>
    <cellStyle name="Normal 7 2 2 2 4 2 3" xfId="32543" xr:uid="{00000000-0005-0000-0000-000090930000}"/>
    <cellStyle name="Normal 7 2 2 2 4 3" xfId="32544" xr:uid="{00000000-0005-0000-0000-000091930000}"/>
    <cellStyle name="Normal 7 2 2 2 4 3 2" xfId="32545" xr:uid="{00000000-0005-0000-0000-000092930000}"/>
    <cellStyle name="Normal 7 2 2 2 4 3 2 2" xfId="41369" xr:uid="{00000000-0005-0000-0000-000093930000}"/>
    <cellStyle name="Normal 7 2 2 2 4 3 3" xfId="32546" xr:uid="{00000000-0005-0000-0000-000094930000}"/>
    <cellStyle name="Normal 7 2 2 2 4 4" xfId="32547" xr:uid="{00000000-0005-0000-0000-000095930000}"/>
    <cellStyle name="Normal 7 2 2 2 4 4 2" xfId="41370" xr:uid="{00000000-0005-0000-0000-000096930000}"/>
    <cellStyle name="Normal 7 2 2 2 4 5" xfId="32548" xr:uid="{00000000-0005-0000-0000-000097930000}"/>
    <cellStyle name="Normal 7 2 2 2 5" xfId="32549" xr:uid="{00000000-0005-0000-0000-000098930000}"/>
    <cellStyle name="Normal 7 2 2 2 5 2" xfId="32550" xr:uid="{00000000-0005-0000-0000-000099930000}"/>
    <cellStyle name="Normal 7 2 2 2 5 2 2" xfId="41371" xr:uid="{00000000-0005-0000-0000-00009A930000}"/>
    <cellStyle name="Normal 7 2 2 2 5 3" xfId="32551" xr:uid="{00000000-0005-0000-0000-00009B930000}"/>
    <cellStyle name="Normal 7 2 2 2 6" xfId="32552" xr:uid="{00000000-0005-0000-0000-00009C930000}"/>
    <cellStyle name="Normal 7 2 2 2 6 2" xfId="32553" xr:uid="{00000000-0005-0000-0000-00009D930000}"/>
    <cellStyle name="Normal 7 2 2 2 6 2 2" xfId="41372" xr:uid="{00000000-0005-0000-0000-00009E930000}"/>
    <cellStyle name="Normal 7 2 2 2 6 3" xfId="32554" xr:uid="{00000000-0005-0000-0000-00009F930000}"/>
    <cellStyle name="Normal 7 2 2 2 7" xfId="32555" xr:uid="{00000000-0005-0000-0000-0000A0930000}"/>
    <cellStyle name="Normal 7 2 2 2 7 2" xfId="41373" xr:uid="{00000000-0005-0000-0000-0000A1930000}"/>
    <cellStyle name="Normal 7 2 2 2 8" xfId="32556" xr:uid="{00000000-0005-0000-0000-0000A2930000}"/>
    <cellStyle name="Normal 7 2 2 2 9" xfId="45771" xr:uid="{00000000-0005-0000-0000-0000A3930000}"/>
    <cellStyle name="Normal 7 2 2 3" xfId="1960" xr:uid="{00000000-0005-0000-0000-0000A4930000}"/>
    <cellStyle name="Normal 7 2 2 3 10" xfId="46266" xr:uid="{00000000-0005-0000-0000-0000A5930000}"/>
    <cellStyle name="Normal 7 2 2 3 2" xfId="1961" xr:uid="{00000000-0005-0000-0000-0000A6930000}"/>
    <cellStyle name="Normal 7 2 2 3 2 2" xfId="32557" xr:uid="{00000000-0005-0000-0000-0000A7930000}"/>
    <cellStyle name="Normal 7 2 2 3 2 2 2" xfId="32558" xr:uid="{00000000-0005-0000-0000-0000A8930000}"/>
    <cellStyle name="Normal 7 2 2 3 2 2 2 2" xfId="32559" xr:uid="{00000000-0005-0000-0000-0000A9930000}"/>
    <cellStyle name="Normal 7 2 2 3 2 2 2 2 2" xfId="41374" xr:uid="{00000000-0005-0000-0000-0000AA930000}"/>
    <cellStyle name="Normal 7 2 2 3 2 2 2 3" xfId="32560" xr:uid="{00000000-0005-0000-0000-0000AB930000}"/>
    <cellStyle name="Normal 7 2 2 3 2 2 3" xfId="32561" xr:uid="{00000000-0005-0000-0000-0000AC930000}"/>
    <cellStyle name="Normal 7 2 2 3 2 2 3 2" xfId="32562" xr:uid="{00000000-0005-0000-0000-0000AD930000}"/>
    <cellStyle name="Normal 7 2 2 3 2 2 3 2 2" xfId="41375" xr:uid="{00000000-0005-0000-0000-0000AE930000}"/>
    <cellStyle name="Normal 7 2 2 3 2 2 3 3" xfId="32563" xr:uid="{00000000-0005-0000-0000-0000AF930000}"/>
    <cellStyle name="Normal 7 2 2 3 2 2 4" xfId="32564" xr:uid="{00000000-0005-0000-0000-0000B0930000}"/>
    <cellStyle name="Normal 7 2 2 3 2 2 4 2" xfId="41376" xr:uid="{00000000-0005-0000-0000-0000B1930000}"/>
    <cellStyle name="Normal 7 2 2 3 2 2 5" xfId="32565" xr:uid="{00000000-0005-0000-0000-0000B2930000}"/>
    <cellStyle name="Normal 7 2 2 3 2 3" xfId="32566" xr:uid="{00000000-0005-0000-0000-0000B3930000}"/>
    <cellStyle name="Normal 7 2 2 3 2 3 2" xfId="32567" xr:uid="{00000000-0005-0000-0000-0000B4930000}"/>
    <cellStyle name="Normal 7 2 2 3 2 3 2 2" xfId="41377" xr:uid="{00000000-0005-0000-0000-0000B5930000}"/>
    <cellStyle name="Normal 7 2 2 3 2 3 3" xfId="32568" xr:uid="{00000000-0005-0000-0000-0000B6930000}"/>
    <cellStyle name="Normal 7 2 2 3 2 4" xfId="32569" xr:uid="{00000000-0005-0000-0000-0000B7930000}"/>
    <cellStyle name="Normal 7 2 2 3 2 4 2" xfId="32570" xr:uid="{00000000-0005-0000-0000-0000B8930000}"/>
    <cellStyle name="Normal 7 2 2 3 2 4 2 2" xfId="41378" xr:uid="{00000000-0005-0000-0000-0000B9930000}"/>
    <cellStyle name="Normal 7 2 2 3 2 4 3" xfId="32571" xr:uid="{00000000-0005-0000-0000-0000BA930000}"/>
    <cellStyle name="Normal 7 2 2 3 2 5" xfId="32572" xr:uid="{00000000-0005-0000-0000-0000BB930000}"/>
    <cellStyle name="Normal 7 2 2 3 2 5 2" xfId="41379" xr:uid="{00000000-0005-0000-0000-0000BC930000}"/>
    <cellStyle name="Normal 7 2 2 3 2 6" xfId="32573" xr:uid="{00000000-0005-0000-0000-0000BD930000}"/>
    <cellStyle name="Normal 7 2 2 3 2 7" xfId="45772" xr:uid="{00000000-0005-0000-0000-0000BE930000}"/>
    <cellStyle name="Normal 7 2 2 3 3" xfId="32574" xr:uid="{00000000-0005-0000-0000-0000BF930000}"/>
    <cellStyle name="Normal 7 2 2 3 3 2" xfId="32575" xr:uid="{00000000-0005-0000-0000-0000C0930000}"/>
    <cellStyle name="Normal 7 2 2 3 3 2 2" xfId="32576" xr:uid="{00000000-0005-0000-0000-0000C1930000}"/>
    <cellStyle name="Normal 7 2 2 3 3 2 2 2" xfId="41380" xr:uid="{00000000-0005-0000-0000-0000C2930000}"/>
    <cellStyle name="Normal 7 2 2 3 3 2 3" xfId="32577" xr:uid="{00000000-0005-0000-0000-0000C3930000}"/>
    <cellStyle name="Normal 7 2 2 3 3 3" xfId="32578" xr:uid="{00000000-0005-0000-0000-0000C4930000}"/>
    <cellStyle name="Normal 7 2 2 3 3 3 2" xfId="32579" xr:uid="{00000000-0005-0000-0000-0000C5930000}"/>
    <cellStyle name="Normal 7 2 2 3 3 3 2 2" xfId="41381" xr:uid="{00000000-0005-0000-0000-0000C6930000}"/>
    <cellStyle name="Normal 7 2 2 3 3 3 3" xfId="32580" xr:uid="{00000000-0005-0000-0000-0000C7930000}"/>
    <cellStyle name="Normal 7 2 2 3 3 4" xfId="32581" xr:uid="{00000000-0005-0000-0000-0000C8930000}"/>
    <cellStyle name="Normal 7 2 2 3 3 4 2" xfId="41382" xr:uid="{00000000-0005-0000-0000-0000C9930000}"/>
    <cellStyle name="Normal 7 2 2 3 3 5" xfId="32582" xr:uid="{00000000-0005-0000-0000-0000CA930000}"/>
    <cellStyle name="Normal 7 2 2 3 4" xfId="32583" xr:uid="{00000000-0005-0000-0000-0000CB930000}"/>
    <cellStyle name="Normal 7 2 2 3 4 2" xfId="32584" xr:uid="{00000000-0005-0000-0000-0000CC930000}"/>
    <cellStyle name="Normal 7 2 2 3 4 2 2" xfId="41383" xr:uid="{00000000-0005-0000-0000-0000CD930000}"/>
    <cellStyle name="Normal 7 2 2 3 4 3" xfId="32585" xr:uid="{00000000-0005-0000-0000-0000CE930000}"/>
    <cellStyle name="Normal 7 2 2 3 5" xfId="32586" xr:uid="{00000000-0005-0000-0000-0000CF930000}"/>
    <cellStyle name="Normal 7 2 2 3 5 2" xfId="32587" xr:uid="{00000000-0005-0000-0000-0000D0930000}"/>
    <cellStyle name="Normal 7 2 2 3 5 2 2" xfId="41384" xr:uid="{00000000-0005-0000-0000-0000D1930000}"/>
    <cellStyle name="Normal 7 2 2 3 5 3" xfId="32588" xr:uid="{00000000-0005-0000-0000-0000D2930000}"/>
    <cellStyle name="Normal 7 2 2 3 6" xfId="32589" xr:uid="{00000000-0005-0000-0000-0000D3930000}"/>
    <cellStyle name="Normal 7 2 2 3 6 2" xfId="41385" xr:uid="{00000000-0005-0000-0000-0000D4930000}"/>
    <cellStyle name="Normal 7 2 2 3 7" xfId="32590" xr:uid="{00000000-0005-0000-0000-0000D5930000}"/>
    <cellStyle name="Normal 7 2 2 3 8" xfId="32591" xr:uid="{00000000-0005-0000-0000-0000D6930000}"/>
    <cellStyle name="Normal 7 2 2 3 9" xfId="45773" xr:uid="{00000000-0005-0000-0000-0000D7930000}"/>
    <cellStyle name="Normal 7 2 2 4" xfId="1962" xr:uid="{00000000-0005-0000-0000-0000D8930000}"/>
    <cellStyle name="Normal 7 2 2 4 2" xfId="32592" xr:uid="{00000000-0005-0000-0000-0000D9930000}"/>
    <cellStyle name="Normal 7 2 2 4 2 2" xfId="32593" xr:uid="{00000000-0005-0000-0000-0000DA930000}"/>
    <cellStyle name="Normal 7 2 2 4 2 2 2" xfId="32594" xr:uid="{00000000-0005-0000-0000-0000DB930000}"/>
    <cellStyle name="Normal 7 2 2 4 2 2 2 2" xfId="41386" xr:uid="{00000000-0005-0000-0000-0000DC930000}"/>
    <cellStyle name="Normal 7 2 2 4 2 2 3" xfId="32595" xr:uid="{00000000-0005-0000-0000-0000DD930000}"/>
    <cellStyle name="Normal 7 2 2 4 2 3" xfId="32596" xr:uid="{00000000-0005-0000-0000-0000DE930000}"/>
    <cellStyle name="Normal 7 2 2 4 2 3 2" xfId="32597" xr:uid="{00000000-0005-0000-0000-0000DF930000}"/>
    <cellStyle name="Normal 7 2 2 4 2 3 2 2" xfId="41387" xr:uid="{00000000-0005-0000-0000-0000E0930000}"/>
    <cellStyle name="Normal 7 2 2 4 2 3 3" xfId="32598" xr:uid="{00000000-0005-0000-0000-0000E1930000}"/>
    <cellStyle name="Normal 7 2 2 4 2 4" xfId="32599" xr:uid="{00000000-0005-0000-0000-0000E2930000}"/>
    <cellStyle name="Normal 7 2 2 4 2 4 2" xfId="41388" xr:uid="{00000000-0005-0000-0000-0000E3930000}"/>
    <cellStyle name="Normal 7 2 2 4 2 5" xfId="32600" xr:uid="{00000000-0005-0000-0000-0000E4930000}"/>
    <cellStyle name="Normal 7 2 2 4 3" xfId="32601" xr:uid="{00000000-0005-0000-0000-0000E5930000}"/>
    <cellStyle name="Normal 7 2 2 4 3 2" xfId="32602" xr:uid="{00000000-0005-0000-0000-0000E6930000}"/>
    <cellStyle name="Normal 7 2 2 4 3 2 2" xfId="41389" xr:uid="{00000000-0005-0000-0000-0000E7930000}"/>
    <cellStyle name="Normal 7 2 2 4 3 3" xfId="32603" xr:uid="{00000000-0005-0000-0000-0000E8930000}"/>
    <cellStyle name="Normal 7 2 2 4 4" xfId="32604" xr:uid="{00000000-0005-0000-0000-0000E9930000}"/>
    <cellStyle name="Normal 7 2 2 4 4 2" xfId="32605" xr:uid="{00000000-0005-0000-0000-0000EA930000}"/>
    <cellStyle name="Normal 7 2 2 4 4 2 2" xfId="41390" xr:uid="{00000000-0005-0000-0000-0000EB930000}"/>
    <cellStyle name="Normal 7 2 2 4 4 3" xfId="32606" xr:uid="{00000000-0005-0000-0000-0000EC930000}"/>
    <cellStyle name="Normal 7 2 2 4 5" xfId="32607" xr:uid="{00000000-0005-0000-0000-0000ED930000}"/>
    <cellStyle name="Normal 7 2 2 4 5 2" xfId="41391" xr:uid="{00000000-0005-0000-0000-0000EE930000}"/>
    <cellStyle name="Normal 7 2 2 4 6" xfId="32608" xr:uid="{00000000-0005-0000-0000-0000EF930000}"/>
    <cellStyle name="Normal 7 2 2 4 7" xfId="45774" xr:uid="{00000000-0005-0000-0000-0000F0930000}"/>
    <cellStyle name="Normal 7 2 2 5" xfId="32609" xr:uid="{00000000-0005-0000-0000-0000F1930000}"/>
    <cellStyle name="Normal 7 2 2 5 2" xfId="32610" xr:uid="{00000000-0005-0000-0000-0000F2930000}"/>
    <cellStyle name="Normal 7 2 2 5 2 2" xfId="32611" xr:uid="{00000000-0005-0000-0000-0000F3930000}"/>
    <cellStyle name="Normal 7 2 2 5 2 2 2" xfId="41392" xr:uid="{00000000-0005-0000-0000-0000F4930000}"/>
    <cellStyle name="Normal 7 2 2 5 2 3" xfId="32612" xr:uid="{00000000-0005-0000-0000-0000F5930000}"/>
    <cellStyle name="Normal 7 2 2 5 3" xfId="32613" xr:uid="{00000000-0005-0000-0000-0000F6930000}"/>
    <cellStyle name="Normal 7 2 2 5 3 2" xfId="32614" xr:uid="{00000000-0005-0000-0000-0000F7930000}"/>
    <cellStyle name="Normal 7 2 2 5 3 2 2" xfId="41393" xr:uid="{00000000-0005-0000-0000-0000F8930000}"/>
    <cellStyle name="Normal 7 2 2 5 3 3" xfId="32615" xr:uid="{00000000-0005-0000-0000-0000F9930000}"/>
    <cellStyle name="Normal 7 2 2 5 4" xfId="32616" xr:uid="{00000000-0005-0000-0000-0000FA930000}"/>
    <cellStyle name="Normal 7 2 2 5 4 2" xfId="41394" xr:uid="{00000000-0005-0000-0000-0000FB930000}"/>
    <cellStyle name="Normal 7 2 2 5 5" xfId="32617" xr:uid="{00000000-0005-0000-0000-0000FC930000}"/>
    <cellStyle name="Normal 7 2 2 6" xfId="32618" xr:uid="{00000000-0005-0000-0000-0000FD930000}"/>
    <cellStyle name="Normal 7 2 2 6 2" xfId="32619" xr:uid="{00000000-0005-0000-0000-0000FE930000}"/>
    <cellStyle name="Normal 7 2 2 6 2 2" xfId="41395" xr:uid="{00000000-0005-0000-0000-0000FF930000}"/>
    <cellStyle name="Normal 7 2 2 6 3" xfId="32620" xr:uid="{00000000-0005-0000-0000-000000940000}"/>
    <cellStyle name="Normal 7 2 2 7" xfId="32621" xr:uid="{00000000-0005-0000-0000-000001940000}"/>
    <cellStyle name="Normal 7 2 2 7 2" xfId="32622" xr:uid="{00000000-0005-0000-0000-000002940000}"/>
    <cellStyle name="Normal 7 2 2 7 2 2" xfId="41396" xr:uid="{00000000-0005-0000-0000-000003940000}"/>
    <cellStyle name="Normal 7 2 2 7 3" xfId="32623" xr:uid="{00000000-0005-0000-0000-000004940000}"/>
    <cellStyle name="Normal 7 2 2 8" xfId="32624" xr:uid="{00000000-0005-0000-0000-000005940000}"/>
    <cellStyle name="Normal 7 2 2 8 2" xfId="41397" xr:uid="{00000000-0005-0000-0000-000006940000}"/>
    <cellStyle name="Normal 7 2 2 9" xfId="32625" xr:uid="{00000000-0005-0000-0000-000007940000}"/>
    <cellStyle name="Normal 7 2 3" xfId="503" xr:uid="{00000000-0005-0000-0000-000008940000}"/>
    <cellStyle name="Normal 7 2 3 2" xfId="1963" xr:uid="{00000000-0005-0000-0000-000009940000}"/>
    <cellStyle name="Normal 7 2 3 2 2" xfId="1964" xr:uid="{00000000-0005-0000-0000-00000A940000}"/>
    <cellStyle name="Normal 7 2 3 2 2 2" xfId="32626" xr:uid="{00000000-0005-0000-0000-00000B940000}"/>
    <cellStyle name="Normal 7 2 3 2 2 2 2" xfId="32627" xr:uid="{00000000-0005-0000-0000-00000C940000}"/>
    <cellStyle name="Normal 7 2 3 2 2 2 2 2" xfId="32628" xr:uid="{00000000-0005-0000-0000-00000D940000}"/>
    <cellStyle name="Normal 7 2 3 2 2 2 2 2 2" xfId="41398" xr:uid="{00000000-0005-0000-0000-00000E940000}"/>
    <cellStyle name="Normal 7 2 3 2 2 2 2 3" xfId="32629" xr:uid="{00000000-0005-0000-0000-00000F940000}"/>
    <cellStyle name="Normal 7 2 3 2 2 2 3" xfId="32630" xr:uid="{00000000-0005-0000-0000-000010940000}"/>
    <cellStyle name="Normal 7 2 3 2 2 2 3 2" xfId="32631" xr:uid="{00000000-0005-0000-0000-000011940000}"/>
    <cellStyle name="Normal 7 2 3 2 2 2 3 2 2" xfId="41399" xr:uid="{00000000-0005-0000-0000-000012940000}"/>
    <cellStyle name="Normal 7 2 3 2 2 2 3 3" xfId="32632" xr:uid="{00000000-0005-0000-0000-000013940000}"/>
    <cellStyle name="Normal 7 2 3 2 2 2 4" xfId="32633" xr:uid="{00000000-0005-0000-0000-000014940000}"/>
    <cellStyle name="Normal 7 2 3 2 2 2 4 2" xfId="41400" xr:uid="{00000000-0005-0000-0000-000015940000}"/>
    <cellStyle name="Normal 7 2 3 2 2 2 5" xfId="32634" xr:uid="{00000000-0005-0000-0000-000016940000}"/>
    <cellStyle name="Normal 7 2 3 2 2 3" xfId="32635" xr:uid="{00000000-0005-0000-0000-000017940000}"/>
    <cellStyle name="Normal 7 2 3 2 2 3 2" xfId="32636" xr:uid="{00000000-0005-0000-0000-000018940000}"/>
    <cellStyle name="Normal 7 2 3 2 2 3 2 2" xfId="41401" xr:uid="{00000000-0005-0000-0000-000019940000}"/>
    <cellStyle name="Normal 7 2 3 2 2 3 3" xfId="32637" xr:uid="{00000000-0005-0000-0000-00001A940000}"/>
    <cellStyle name="Normal 7 2 3 2 2 4" xfId="32638" xr:uid="{00000000-0005-0000-0000-00001B940000}"/>
    <cellStyle name="Normal 7 2 3 2 2 4 2" xfId="32639" xr:uid="{00000000-0005-0000-0000-00001C940000}"/>
    <cellStyle name="Normal 7 2 3 2 2 4 2 2" xfId="41402" xr:uid="{00000000-0005-0000-0000-00001D940000}"/>
    <cellStyle name="Normal 7 2 3 2 2 4 3" xfId="32640" xr:uid="{00000000-0005-0000-0000-00001E940000}"/>
    <cellStyle name="Normal 7 2 3 2 2 5" xfId="32641" xr:uid="{00000000-0005-0000-0000-00001F940000}"/>
    <cellStyle name="Normal 7 2 3 2 2 5 2" xfId="41403" xr:uid="{00000000-0005-0000-0000-000020940000}"/>
    <cellStyle name="Normal 7 2 3 2 2 6" xfId="32642" xr:uid="{00000000-0005-0000-0000-000021940000}"/>
    <cellStyle name="Normal 7 2 3 2 2 7" xfId="45775" xr:uid="{00000000-0005-0000-0000-000022940000}"/>
    <cellStyle name="Normal 7 2 3 2 3" xfId="32643" xr:uid="{00000000-0005-0000-0000-000023940000}"/>
    <cellStyle name="Normal 7 2 3 2 3 2" xfId="32644" xr:uid="{00000000-0005-0000-0000-000024940000}"/>
    <cellStyle name="Normal 7 2 3 2 3 2 2" xfId="32645" xr:uid="{00000000-0005-0000-0000-000025940000}"/>
    <cellStyle name="Normal 7 2 3 2 3 2 2 2" xfId="41404" xr:uid="{00000000-0005-0000-0000-000026940000}"/>
    <cellStyle name="Normal 7 2 3 2 3 2 3" xfId="32646" xr:uid="{00000000-0005-0000-0000-000027940000}"/>
    <cellStyle name="Normal 7 2 3 2 3 3" xfId="32647" xr:uid="{00000000-0005-0000-0000-000028940000}"/>
    <cellStyle name="Normal 7 2 3 2 3 3 2" xfId="32648" xr:uid="{00000000-0005-0000-0000-000029940000}"/>
    <cellStyle name="Normal 7 2 3 2 3 3 2 2" xfId="41405" xr:uid="{00000000-0005-0000-0000-00002A940000}"/>
    <cellStyle name="Normal 7 2 3 2 3 3 3" xfId="32649" xr:uid="{00000000-0005-0000-0000-00002B940000}"/>
    <cellStyle name="Normal 7 2 3 2 3 4" xfId="32650" xr:uid="{00000000-0005-0000-0000-00002C940000}"/>
    <cellStyle name="Normal 7 2 3 2 3 4 2" xfId="41406" xr:uid="{00000000-0005-0000-0000-00002D940000}"/>
    <cellStyle name="Normal 7 2 3 2 3 5" xfId="32651" xr:uid="{00000000-0005-0000-0000-00002E940000}"/>
    <cellStyle name="Normal 7 2 3 2 4" xfId="32652" xr:uid="{00000000-0005-0000-0000-00002F940000}"/>
    <cellStyle name="Normal 7 2 3 2 4 2" xfId="32653" xr:uid="{00000000-0005-0000-0000-000030940000}"/>
    <cellStyle name="Normal 7 2 3 2 4 2 2" xfId="41407" xr:uid="{00000000-0005-0000-0000-000031940000}"/>
    <cellStyle name="Normal 7 2 3 2 4 3" xfId="32654" xr:uid="{00000000-0005-0000-0000-000032940000}"/>
    <cellStyle name="Normal 7 2 3 2 5" xfId="32655" xr:uid="{00000000-0005-0000-0000-000033940000}"/>
    <cellStyle name="Normal 7 2 3 2 5 2" xfId="32656" xr:uid="{00000000-0005-0000-0000-000034940000}"/>
    <cellStyle name="Normal 7 2 3 2 5 2 2" xfId="41408" xr:uid="{00000000-0005-0000-0000-000035940000}"/>
    <cellStyle name="Normal 7 2 3 2 5 3" xfId="32657" xr:uid="{00000000-0005-0000-0000-000036940000}"/>
    <cellStyle name="Normal 7 2 3 2 6" xfId="32658" xr:uid="{00000000-0005-0000-0000-000037940000}"/>
    <cellStyle name="Normal 7 2 3 2 6 2" xfId="41409" xr:uid="{00000000-0005-0000-0000-000038940000}"/>
    <cellStyle name="Normal 7 2 3 2 7" xfId="32659" xr:uid="{00000000-0005-0000-0000-000039940000}"/>
    <cellStyle name="Normal 7 2 3 2 8" xfId="45776" xr:uid="{00000000-0005-0000-0000-00003A940000}"/>
    <cellStyle name="Normal 7 2 3 3" xfId="1965" xr:uid="{00000000-0005-0000-0000-00003B940000}"/>
    <cellStyle name="Normal 7 2 3 3 2" xfId="32660" xr:uid="{00000000-0005-0000-0000-00003C940000}"/>
    <cellStyle name="Normal 7 2 3 3 2 2" xfId="32661" xr:uid="{00000000-0005-0000-0000-00003D940000}"/>
    <cellStyle name="Normal 7 2 3 3 2 2 2" xfId="32662" xr:uid="{00000000-0005-0000-0000-00003E940000}"/>
    <cellStyle name="Normal 7 2 3 3 2 2 2 2" xfId="41410" xr:uid="{00000000-0005-0000-0000-00003F940000}"/>
    <cellStyle name="Normal 7 2 3 3 2 2 3" xfId="32663" xr:uid="{00000000-0005-0000-0000-000040940000}"/>
    <cellStyle name="Normal 7 2 3 3 2 3" xfId="32664" xr:uid="{00000000-0005-0000-0000-000041940000}"/>
    <cellStyle name="Normal 7 2 3 3 2 3 2" xfId="32665" xr:uid="{00000000-0005-0000-0000-000042940000}"/>
    <cellStyle name="Normal 7 2 3 3 2 3 2 2" xfId="41411" xr:uid="{00000000-0005-0000-0000-000043940000}"/>
    <cellStyle name="Normal 7 2 3 3 2 3 3" xfId="32666" xr:uid="{00000000-0005-0000-0000-000044940000}"/>
    <cellStyle name="Normal 7 2 3 3 2 4" xfId="32667" xr:uid="{00000000-0005-0000-0000-000045940000}"/>
    <cellStyle name="Normal 7 2 3 3 2 4 2" xfId="41412" xr:uid="{00000000-0005-0000-0000-000046940000}"/>
    <cellStyle name="Normal 7 2 3 3 2 5" xfId="32668" xr:uid="{00000000-0005-0000-0000-000047940000}"/>
    <cellStyle name="Normal 7 2 3 3 3" xfId="32669" xr:uid="{00000000-0005-0000-0000-000048940000}"/>
    <cellStyle name="Normal 7 2 3 3 3 2" xfId="32670" xr:uid="{00000000-0005-0000-0000-000049940000}"/>
    <cellStyle name="Normal 7 2 3 3 3 2 2" xfId="41413" xr:uid="{00000000-0005-0000-0000-00004A940000}"/>
    <cellStyle name="Normal 7 2 3 3 3 3" xfId="32671" xr:uid="{00000000-0005-0000-0000-00004B940000}"/>
    <cellStyle name="Normal 7 2 3 3 4" xfId="32672" xr:uid="{00000000-0005-0000-0000-00004C940000}"/>
    <cellStyle name="Normal 7 2 3 3 4 2" xfId="32673" xr:uid="{00000000-0005-0000-0000-00004D940000}"/>
    <cellStyle name="Normal 7 2 3 3 4 2 2" xfId="41414" xr:uid="{00000000-0005-0000-0000-00004E940000}"/>
    <cellStyle name="Normal 7 2 3 3 4 3" xfId="32674" xr:uid="{00000000-0005-0000-0000-00004F940000}"/>
    <cellStyle name="Normal 7 2 3 3 5" xfId="32675" xr:uid="{00000000-0005-0000-0000-000050940000}"/>
    <cellStyle name="Normal 7 2 3 3 5 2" xfId="41415" xr:uid="{00000000-0005-0000-0000-000051940000}"/>
    <cellStyle name="Normal 7 2 3 3 6" xfId="32676" xr:uid="{00000000-0005-0000-0000-000052940000}"/>
    <cellStyle name="Normal 7 2 3 3 7" xfId="45777" xr:uid="{00000000-0005-0000-0000-000053940000}"/>
    <cellStyle name="Normal 7 2 3 4" xfId="32677" xr:uid="{00000000-0005-0000-0000-000054940000}"/>
    <cellStyle name="Normal 7 2 3 4 2" xfId="32678" xr:uid="{00000000-0005-0000-0000-000055940000}"/>
    <cellStyle name="Normal 7 2 3 4 2 2" xfId="32679" xr:uid="{00000000-0005-0000-0000-000056940000}"/>
    <cellStyle name="Normal 7 2 3 4 2 2 2" xfId="41416" xr:uid="{00000000-0005-0000-0000-000057940000}"/>
    <cellStyle name="Normal 7 2 3 4 2 3" xfId="32680" xr:uid="{00000000-0005-0000-0000-000058940000}"/>
    <cellStyle name="Normal 7 2 3 4 3" xfId="32681" xr:uid="{00000000-0005-0000-0000-000059940000}"/>
    <cellStyle name="Normal 7 2 3 4 3 2" xfId="32682" xr:uid="{00000000-0005-0000-0000-00005A940000}"/>
    <cellStyle name="Normal 7 2 3 4 3 2 2" xfId="41417" xr:uid="{00000000-0005-0000-0000-00005B940000}"/>
    <cellStyle name="Normal 7 2 3 4 3 3" xfId="32683" xr:uid="{00000000-0005-0000-0000-00005C940000}"/>
    <cellStyle name="Normal 7 2 3 4 4" xfId="32684" xr:uid="{00000000-0005-0000-0000-00005D940000}"/>
    <cellStyle name="Normal 7 2 3 4 4 2" xfId="41418" xr:uid="{00000000-0005-0000-0000-00005E940000}"/>
    <cellStyle name="Normal 7 2 3 4 5" xfId="32685" xr:uid="{00000000-0005-0000-0000-00005F940000}"/>
    <cellStyle name="Normal 7 2 3 5" xfId="32686" xr:uid="{00000000-0005-0000-0000-000060940000}"/>
    <cellStyle name="Normal 7 2 3 5 2" xfId="32687" xr:uid="{00000000-0005-0000-0000-000061940000}"/>
    <cellStyle name="Normal 7 2 3 5 2 2" xfId="41419" xr:uid="{00000000-0005-0000-0000-000062940000}"/>
    <cellStyle name="Normal 7 2 3 5 3" xfId="32688" xr:uid="{00000000-0005-0000-0000-000063940000}"/>
    <cellStyle name="Normal 7 2 3 6" xfId="32689" xr:uid="{00000000-0005-0000-0000-000064940000}"/>
    <cellStyle name="Normal 7 2 3 6 2" xfId="32690" xr:uid="{00000000-0005-0000-0000-000065940000}"/>
    <cellStyle name="Normal 7 2 3 6 2 2" xfId="41420" xr:uid="{00000000-0005-0000-0000-000066940000}"/>
    <cellStyle name="Normal 7 2 3 6 3" xfId="32691" xr:uid="{00000000-0005-0000-0000-000067940000}"/>
    <cellStyle name="Normal 7 2 3 7" xfId="32692" xr:uid="{00000000-0005-0000-0000-000068940000}"/>
    <cellStyle name="Normal 7 2 3 7 2" xfId="41421" xr:uid="{00000000-0005-0000-0000-000069940000}"/>
    <cellStyle name="Normal 7 2 3 8" xfId="32693" xr:uid="{00000000-0005-0000-0000-00006A940000}"/>
    <cellStyle name="Normal 7 2 4" xfId="1966" xr:uid="{00000000-0005-0000-0000-00006B940000}"/>
    <cellStyle name="Normal 7 2 4 2" xfId="1967" xr:uid="{00000000-0005-0000-0000-00006C940000}"/>
    <cellStyle name="Normal 7 2 4 2 2" xfId="32694" xr:uid="{00000000-0005-0000-0000-00006D940000}"/>
    <cellStyle name="Normal 7 2 4 2 2 2" xfId="32695" xr:uid="{00000000-0005-0000-0000-00006E940000}"/>
    <cellStyle name="Normal 7 2 4 2 2 2 2" xfId="32696" xr:uid="{00000000-0005-0000-0000-00006F940000}"/>
    <cellStyle name="Normal 7 2 4 2 2 2 2 2" xfId="32697" xr:uid="{00000000-0005-0000-0000-000070940000}"/>
    <cellStyle name="Normal 7 2 4 2 2 2 2 2 2" xfId="41422" xr:uid="{00000000-0005-0000-0000-000071940000}"/>
    <cellStyle name="Normal 7 2 4 2 2 2 2 3" xfId="32698" xr:uid="{00000000-0005-0000-0000-000072940000}"/>
    <cellStyle name="Normal 7 2 4 2 2 2 3" xfId="32699" xr:uid="{00000000-0005-0000-0000-000073940000}"/>
    <cellStyle name="Normal 7 2 4 2 2 2 3 2" xfId="32700" xr:uid="{00000000-0005-0000-0000-000074940000}"/>
    <cellStyle name="Normal 7 2 4 2 2 2 3 2 2" xfId="41423" xr:uid="{00000000-0005-0000-0000-000075940000}"/>
    <cellStyle name="Normal 7 2 4 2 2 2 3 3" xfId="32701" xr:uid="{00000000-0005-0000-0000-000076940000}"/>
    <cellStyle name="Normal 7 2 4 2 2 2 4" xfId="32702" xr:uid="{00000000-0005-0000-0000-000077940000}"/>
    <cellStyle name="Normal 7 2 4 2 2 2 4 2" xfId="41424" xr:uid="{00000000-0005-0000-0000-000078940000}"/>
    <cellStyle name="Normal 7 2 4 2 2 2 5" xfId="32703" xr:uid="{00000000-0005-0000-0000-000079940000}"/>
    <cellStyle name="Normal 7 2 4 2 2 3" xfId="32704" xr:uid="{00000000-0005-0000-0000-00007A940000}"/>
    <cellStyle name="Normal 7 2 4 2 2 3 2" xfId="32705" xr:uid="{00000000-0005-0000-0000-00007B940000}"/>
    <cellStyle name="Normal 7 2 4 2 2 3 2 2" xfId="41425" xr:uid="{00000000-0005-0000-0000-00007C940000}"/>
    <cellStyle name="Normal 7 2 4 2 2 3 3" xfId="32706" xr:uid="{00000000-0005-0000-0000-00007D940000}"/>
    <cellStyle name="Normal 7 2 4 2 2 4" xfId="32707" xr:uid="{00000000-0005-0000-0000-00007E940000}"/>
    <cellStyle name="Normal 7 2 4 2 2 4 2" xfId="32708" xr:uid="{00000000-0005-0000-0000-00007F940000}"/>
    <cellStyle name="Normal 7 2 4 2 2 4 2 2" xfId="41426" xr:uid="{00000000-0005-0000-0000-000080940000}"/>
    <cellStyle name="Normal 7 2 4 2 2 4 3" xfId="32709" xr:uid="{00000000-0005-0000-0000-000081940000}"/>
    <cellStyle name="Normal 7 2 4 2 2 5" xfId="32710" xr:uid="{00000000-0005-0000-0000-000082940000}"/>
    <cellStyle name="Normal 7 2 4 2 2 5 2" xfId="41427" xr:uid="{00000000-0005-0000-0000-000083940000}"/>
    <cellStyle name="Normal 7 2 4 2 2 6" xfId="32711" xr:uid="{00000000-0005-0000-0000-000084940000}"/>
    <cellStyle name="Normal 7 2 4 2 3" xfId="32712" xr:uid="{00000000-0005-0000-0000-000085940000}"/>
    <cellStyle name="Normal 7 2 4 2 3 2" xfId="32713" xr:uid="{00000000-0005-0000-0000-000086940000}"/>
    <cellStyle name="Normal 7 2 4 2 3 2 2" xfId="32714" xr:uid="{00000000-0005-0000-0000-000087940000}"/>
    <cellStyle name="Normal 7 2 4 2 3 2 2 2" xfId="41428" xr:uid="{00000000-0005-0000-0000-000088940000}"/>
    <cellStyle name="Normal 7 2 4 2 3 2 3" xfId="32715" xr:uid="{00000000-0005-0000-0000-000089940000}"/>
    <cellStyle name="Normal 7 2 4 2 3 3" xfId="32716" xr:uid="{00000000-0005-0000-0000-00008A940000}"/>
    <cellStyle name="Normal 7 2 4 2 3 3 2" xfId="32717" xr:uid="{00000000-0005-0000-0000-00008B940000}"/>
    <cellStyle name="Normal 7 2 4 2 3 3 2 2" xfId="41429" xr:uid="{00000000-0005-0000-0000-00008C940000}"/>
    <cellStyle name="Normal 7 2 4 2 3 3 3" xfId="32718" xr:uid="{00000000-0005-0000-0000-00008D940000}"/>
    <cellStyle name="Normal 7 2 4 2 3 4" xfId="32719" xr:uid="{00000000-0005-0000-0000-00008E940000}"/>
    <cellStyle name="Normal 7 2 4 2 3 4 2" xfId="41430" xr:uid="{00000000-0005-0000-0000-00008F940000}"/>
    <cellStyle name="Normal 7 2 4 2 3 5" xfId="32720" xr:uid="{00000000-0005-0000-0000-000090940000}"/>
    <cellStyle name="Normal 7 2 4 2 4" xfId="32721" xr:uid="{00000000-0005-0000-0000-000091940000}"/>
    <cellStyle name="Normal 7 2 4 2 4 2" xfId="32722" xr:uid="{00000000-0005-0000-0000-000092940000}"/>
    <cellStyle name="Normal 7 2 4 2 4 2 2" xfId="41431" xr:uid="{00000000-0005-0000-0000-000093940000}"/>
    <cellStyle name="Normal 7 2 4 2 4 3" xfId="32723" xr:uid="{00000000-0005-0000-0000-000094940000}"/>
    <cellStyle name="Normal 7 2 4 2 5" xfId="32724" xr:uid="{00000000-0005-0000-0000-000095940000}"/>
    <cellStyle name="Normal 7 2 4 2 5 2" xfId="32725" xr:uid="{00000000-0005-0000-0000-000096940000}"/>
    <cellStyle name="Normal 7 2 4 2 5 2 2" xfId="41432" xr:uid="{00000000-0005-0000-0000-000097940000}"/>
    <cellStyle name="Normal 7 2 4 2 5 3" xfId="32726" xr:uid="{00000000-0005-0000-0000-000098940000}"/>
    <cellStyle name="Normal 7 2 4 2 6" xfId="32727" xr:uid="{00000000-0005-0000-0000-000099940000}"/>
    <cellStyle name="Normal 7 2 4 2 6 2" xfId="41433" xr:uid="{00000000-0005-0000-0000-00009A940000}"/>
    <cellStyle name="Normal 7 2 4 2 7" xfId="32728" xr:uid="{00000000-0005-0000-0000-00009B940000}"/>
    <cellStyle name="Normal 7 2 4 2 8" xfId="45778" xr:uid="{00000000-0005-0000-0000-00009C940000}"/>
    <cellStyle name="Normal 7 2 4 3" xfId="32729" xr:uid="{00000000-0005-0000-0000-00009D940000}"/>
    <cellStyle name="Normal 7 2 4 3 2" xfId="32730" xr:uid="{00000000-0005-0000-0000-00009E940000}"/>
    <cellStyle name="Normal 7 2 4 3 2 2" xfId="32731" xr:uid="{00000000-0005-0000-0000-00009F940000}"/>
    <cellStyle name="Normal 7 2 4 3 2 2 2" xfId="32732" xr:uid="{00000000-0005-0000-0000-0000A0940000}"/>
    <cellStyle name="Normal 7 2 4 3 2 2 2 2" xfId="41434" xr:uid="{00000000-0005-0000-0000-0000A1940000}"/>
    <cellStyle name="Normal 7 2 4 3 2 2 3" xfId="32733" xr:uid="{00000000-0005-0000-0000-0000A2940000}"/>
    <cellStyle name="Normal 7 2 4 3 2 3" xfId="32734" xr:uid="{00000000-0005-0000-0000-0000A3940000}"/>
    <cellStyle name="Normal 7 2 4 3 2 3 2" xfId="32735" xr:uid="{00000000-0005-0000-0000-0000A4940000}"/>
    <cellStyle name="Normal 7 2 4 3 2 3 2 2" xfId="41435" xr:uid="{00000000-0005-0000-0000-0000A5940000}"/>
    <cellStyle name="Normal 7 2 4 3 2 3 3" xfId="32736" xr:uid="{00000000-0005-0000-0000-0000A6940000}"/>
    <cellStyle name="Normal 7 2 4 3 2 4" xfId="32737" xr:uid="{00000000-0005-0000-0000-0000A7940000}"/>
    <cellStyle name="Normal 7 2 4 3 2 4 2" xfId="41436" xr:uid="{00000000-0005-0000-0000-0000A8940000}"/>
    <cellStyle name="Normal 7 2 4 3 2 5" xfId="32738" xr:uid="{00000000-0005-0000-0000-0000A9940000}"/>
    <cellStyle name="Normal 7 2 4 3 3" xfId="32739" xr:uid="{00000000-0005-0000-0000-0000AA940000}"/>
    <cellStyle name="Normal 7 2 4 3 3 2" xfId="32740" xr:uid="{00000000-0005-0000-0000-0000AB940000}"/>
    <cellStyle name="Normal 7 2 4 3 3 2 2" xfId="41437" xr:uid="{00000000-0005-0000-0000-0000AC940000}"/>
    <cellStyle name="Normal 7 2 4 3 3 3" xfId="32741" xr:uid="{00000000-0005-0000-0000-0000AD940000}"/>
    <cellStyle name="Normal 7 2 4 3 4" xfId="32742" xr:uid="{00000000-0005-0000-0000-0000AE940000}"/>
    <cellStyle name="Normal 7 2 4 3 4 2" xfId="32743" xr:uid="{00000000-0005-0000-0000-0000AF940000}"/>
    <cellStyle name="Normal 7 2 4 3 4 2 2" xfId="41438" xr:uid="{00000000-0005-0000-0000-0000B0940000}"/>
    <cellStyle name="Normal 7 2 4 3 4 3" xfId="32744" xr:uid="{00000000-0005-0000-0000-0000B1940000}"/>
    <cellStyle name="Normal 7 2 4 3 5" xfId="32745" xr:uid="{00000000-0005-0000-0000-0000B2940000}"/>
    <cellStyle name="Normal 7 2 4 3 5 2" xfId="41439" xr:uid="{00000000-0005-0000-0000-0000B3940000}"/>
    <cellStyle name="Normal 7 2 4 3 6" xfId="32746" xr:uid="{00000000-0005-0000-0000-0000B4940000}"/>
    <cellStyle name="Normal 7 2 4 4" xfId="32747" xr:uid="{00000000-0005-0000-0000-0000B5940000}"/>
    <cellStyle name="Normal 7 2 4 4 2" xfId="32748" xr:uid="{00000000-0005-0000-0000-0000B6940000}"/>
    <cellStyle name="Normal 7 2 4 4 2 2" xfId="32749" xr:uid="{00000000-0005-0000-0000-0000B7940000}"/>
    <cellStyle name="Normal 7 2 4 4 2 2 2" xfId="41440" xr:uid="{00000000-0005-0000-0000-0000B8940000}"/>
    <cellStyle name="Normal 7 2 4 4 2 3" xfId="32750" xr:uid="{00000000-0005-0000-0000-0000B9940000}"/>
    <cellStyle name="Normal 7 2 4 4 3" xfId="32751" xr:uid="{00000000-0005-0000-0000-0000BA940000}"/>
    <cellStyle name="Normal 7 2 4 4 3 2" xfId="32752" xr:uid="{00000000-0005-0000-0000-0000BB940000}"/>
    <cellStyle name="Normal 7 2 4 4 3 2 2" xfId="41441" xr:uid="{00000000-0005-0000-0000-0000BC940000}"/>
    <cellStyle name="Normal 7 2 4 4 3 3" xfId="32753" xr:uid="{00000000-0005-0000-0000-0000BD940000}"/>
    <cellStyle name="Normal 7 2 4 4 4" xfId="32754" xr:uid="{00000000-0005-0000-0000-0000BE940000}"/>
    <cellStyle name="Normal 7 2 4 4 4 2" xfId="41442" xr:uid="{00000000-0005-0000-0000-0000BF940000}"/>
    <cellStyle name="Normal 7 2 4 4 5" xfId="32755" xr:uid="{00000000-0005-0000-0000-0000C0940000}"/>
    <cellStyle name="Normal 7 2 4 5" xfId="32756" xr:uid="{00000000-0005-0000-0000-0000C1940000}"/>
    <cellStyle name="Normal 7 2 4 5 2" xfId="32757" xr:uid="{00000000-0005-0000-0000-0000C2940000}"/>
    <cellStyle name="Normal 7 2 4 5 2 2" xfId="41443" xr:uid="{00000000-0005-0000-0000-0000C3940000}"/>
    <cellStyle name="Normal 7 2 4 5 3" xfId="32758" xr:uid="{00000000-0005-0000-0000-0000C4940000}"/>
    <cellStyle name="Normal 7 2 4 6" xfId="32759" xr:uid="{00000000-0005-0000-0000-0000C5940000}"/>
    <cellStyle name="Normal 7 2 4 6 2" xfId="32760" xr:uid="{00000000-0005-0000-0000-0000C6940000}"/>
    <cellStyle name="Normal 7 2 4 6 2 2" xfId="41444" xr:uid="{00000000-0005-0000-0000-0000C7940000}"/>
    <cellStyle name="Normal 7 2 4 6 3" xfId="32761" xr:uid="{00000000-0005-0000-0000-0000C8940000}"/>
    <cellStyle name="Normal 7 2 4 7" xfId="32762" xr:uid="{00000000-0005-0000-0000-0000C9940000}"/>
    <cellStyle name="Normal 7 2 4 7 2" xfId="41445" xr:uid="{00000000-0005-0000-0000-0000CA940000}"/>
    <cellStyle name="Normal 7 2 4 8" xfId="32763" xr:uid="{00000000-0005-0000-0000-0000CB940000}"/>
    <cellStyle name="Normal 7 2 4 9" xfId="45779" xr:uid="{00000000-0005-0000-0000-0000CC940000}"/>
    <cellStyle name="Normal 7 2 5" xfId="1968" xr:uid="{00000000-0005-0000-0000-0000CD940000}"/>
    <cellStyle name="Normal 7 2 5 2" xfId="32764" xr:uid="{00000000-0005-0000-0000-0000CE940000}"/>
    <cellStyle name="Normal 7 2 5 2 2" xfId="32765" xr:uid="{00000000-0005-0000-0000-0000CF940000}"/>
    <cellStyle name="Normal 7 2 5 2 2 2" xfId="32766" xr:uid="{00000000-0005-0000-0000-0000D0940000}"/>
    <cellStyle name="Normal 7 2 5 2 2 2 2" xfId="32767" xr:uid="{00000000-0005-0000-0000-0000D1940000}"/>
    <cellStyle name="Normal 7 2 5 2 2 2 2 2" xfId="41446" xr:uid="{00000000-0005-0000-0000-0000D2940000}"/>
    <cellStyle name="Normal 7 2 5 2 2 2 3" xfId="32768" xr:uid="{00000000-0005-0000-0000-0000D3940000}"/>
    <cellStyle name="Normal 7 2 5 2 2 3" xfId="32769" xr:uid="{00000000-0005-0000-0000-0000D4940000}"/>
    <cellStyle name="Normal 7 2 5 2 2 3 2" xfId="32770" xr:uid="{00000000-0005-0000-0000-0000D5940000}"/>
    <cellStyle name="Normal 7 2 5 2 2 3 2 2" xfId="41447" xr:uid="{00000000-0005-0000-0000-0000D6940000}"/>
    <cellStyle name="Normal 7 2 5 2 2 3 3" xfId="32771" xr:uid="{00000000-0005-0000-0000-0000D7940000}"/>
    <cellStyle name="Normal 7 2 5 2 2 4" xfId="32772" xr:uid="{00000000-0005-0000-0000-0000D8940000}"/>
    <cellStyle name="Normal 7 2 5 2 2 4 2" xfId="41448" xr:uid="{00000000-0005-0000-0000-0000D9940000}"/>
    <cellStyle name="Normal 7 2 5 2 2 5" xfId="32773" xr:uid="{00000000-0005-0000-0000-0000DA940000}"/>
    <cellStyle name="Normal 7 2 5 2 3" xfId="32774" xr:uid="{00000000-0005-0000-0000-0000DB940000}"/>
    <cellStyle name="Normal 7 2 5 2 3 2" xfId="32775" xr:uid="{00000000-0005-0000-0000-0000DC940000}"/>
    <cellStyle name="Normal 7 2 5 2 3 2 2" xfId="41449" xr:uid="{00000000-0005-0000-0000-0000DD940000}"/>
    <cellStyle name="Normal 7 2 5 2 3 3" xfId="32776" xr:uid="{00000000-0005-0000-0000-0000DE940000}"/>
    <cellStyle name="Normal 7 2 5 2 4" xfId="32777" xr:uid="{00000000-0005-0000-0000-0000DF940000}"/>
    <cellStyle name="Normal 7 2 5 2 4 2" xfId="32778" xr:uid="{00000000-0005-0000-0000-0000E0940000}"/>
    <cellStyle name="Normal 7 2 5 2 4 2 2" xfId="41450" xr:uid="{00000000-0005-0000-0000-0000E1940000}"/>
    <cellStyle name="Normal 7 2 5 2 4 3" xfId="32779" xr:uid="{00000000-0005-0000-0000-0000E2940000}"/>
    <cellStyle name="Normal 7 2 5 2 5" xfId="32780" xr:uid="{00000000-0005-0000-0000-0000E3940000}"/>
    <cellStyle name="Normal 7 2 5 2 5 2" xfId="41451" xr:uid="{00000000-0005-0000-0000-0000E4940000}"/>
    <cellStyle name="Normal 7 2 5 2 6" xfId="32781" xr:uid="{00000000-0005-0000-0000-0000E5940000}"/>
    <cellStyle name="Normal 7 2 5 3" xfId="32782" xr:uid="{00000000-0005-0000-0000-0000E6940000}"/>
    <cellStyle name="Normal 7 2 5 3 2" xfId="32783" xr:uid="{00000000-0005-0000-0000-0000E7940000}"/>
    <cellStyle name="Normal 7 2 5 3 2 2" xfId="32784" xr:uid="{00000000-0005-0000-0000-0000E8940000}"/>
    <cellStyle name="Normal 7 2 5 3 2 2 2" xfId="41452" xr:uid="{00000000-0005-0000-0000-0000E9940000}"/>
    <cellStyle name="Normal 7 2 5 3 2 3" xfId="32785" xr:uid="{00000000-0005-0000-0000-0000EA940000}"/>
    <cellStyle name="Normal 7 2 5 3 3" xfId="32786" xr:uid="{00000000-0005-0000-0000-0000EB940000}"/>
    <cellStyle name="Normal 7 2 5 3 3 2" xfId="32787" xr:uid="{00000000-0005-0000-0000-0000EC940000}"/>
    <cellStyle name="Normal 7 2 5 3 3 2 2" xfId="41453" xr:uid="{00000000-0005-0000-0000-0000ED940000}"/>
    <cellStyle name="Normal 7 2 5 3 3 3" xfId="32788" xr:uid="{00000000-0005-0000-0000-0000EE940000}"/>
    <cellStyle name="Normal 7 2 5 3 4" xfId="32789" xr:uid="{00000000-0005-0000-0000-0000EF940000}"/>
    <cellStyle name="Normal 7 2 5 3 4 2" xfId="41454" xr:uid="{00000000-0005-0000-0000-0000F0940000}"/>
    <cellStyle name="Normal 7 2 5 3 5" xfId="32790" xr:uid="{00000000-0005-0000-0000-0000F1940000}"/>
    <cellStyle name="Normal 7 2 5 4" xfId="32791" xr:uid="{00000000-0005-0000-0000-0000F2940000}"/>
    <cellStyle name="Normal 7 2 5 4 2" xfId="32792" xr:uid="{00000000-0005-0000-0000-0000F3940000}"/>
    <cellStyle name="Normal 7 2 5 4 2 2" xfId="41455" xr:uid="{00000000-0005-0000-0000-0000F4940000}"/>
    <cellStyle name="Normal 7 2 5 4 3" xfId="32793" xr:uid="{00000000-0005-0000-0000-0000F5940000}"/>
    <cellStyle name="Normal 7 2 5 5" xfId="32794" xr:uid="{00000000-0005-0000-0000-0000F6940000}"/>
    <cellStyle name="Normal 7 2 5 5 2" xfId="32795" xr:uid="{00000000-0005-0000-0000-0000F7940000}"/>
    <cellStyle name="Normal 7 2 5 5 2 2" xfId="41456" xr:uid="{00000000-0005-0000-0000-0000F8940000}"/>
    <cellStyle name="Normal 7 2 5 5 3" xfId="32796" xr:uid="{00000000-0005-0000-0000-0000F9940000}"/>
    <cellStyle name="Normal 7 2 5 6" xfId="32797" xr:uid="{00000000-0005-0000-0000-0000FA940000}"/>
    <cellStyle name="Normal 7 2 5 6 2" xfId="41457" xr:uid="{00000000-0005-0000-0000-0000FB940000}"/>
    <cellStyle name="Normal 7 2 5 7" xfId="32798" xr:uid="{00000000-0005-0000-0000-0000FC940000}"/>
    <cellStyle name="Normal 7 2 5 8" xfId="45780" xr:uid="{00000000-0005-0000-0000-0000FD940000}"/>
    <cellStyle name="Normal 7 2 6" xfId="1969" xr:uid="{00000000-0005-0000-0000-0000FE940000}"/>
    <cellStyle name="Normal 7 2 6 2" xfId="32799" xr:uid="{00000000-0005-0000-0000-0000FF940000}"/>
    <cellStyle name="Normal 7 2 6 2 2" xfId="32800" xr:uid="{00000000-0005-0000-0000-000000950000}"/>
    <cellStyle name="Normal 7 2 6 2 2 2" xfId="32801" xr:uid="{00000000-0005-0000-0000-000001950000}"/>
    <cellStyle name="Normal 7 2 6 2 2 2 2" xfId="41458" xr:uid="{00000000-0005-0000-0000-000002950000}"/>
    <cellStyle name="Normal 7 2 6 2 2 3" xfId="32802" xr:uid="{00000000-0005-0000-0000-000003950000}"/>
    <cellStyle name="Normal 7 2 6 2 3" xfId="32803" xr:uid="{00000000-0005-0000-0000-000004950000}"/>
    <cellStyle name="Normal 7 2 6 2 3 2" xfId="32804" xr:uid="{00000000-0005-0000-0000-000005950000}"/>
    <cellStyle name="Normal 7 2 6 2 3 2 2" xfId="41459" xr:uid="{00000000-0005-0000-0000-000006950000}"/>
    <cellStyle name="Normal 7 2 6 2 3 3" xfId="32805" xr:uid="{00000000-0005-0000-0000-000007950000}"/>
    <cellStyle name="Normal 7 2 6 2 4" xfId="32806" xr:uid="{00000000-0005-0000-0000-000008950000}"/>
    <cellStyle name="Normal 7 2 6 2 4 2" xfId="41460" xr:uid="{00000000-0005-0000-0000-000009950000}"/>
    <cellStyle name="Normal 7 2 6 2 5" xfId="32807" xr:uid="{00000000-0005-0000-0000-00000A950000}"/>
    <cellStyle name="Normal 7 2 6 2 6" xfId="45781" xr:uid="{00000000-0005-0000-0000-00000B950000}"/>
    <cellStyle name="Normal 7 2 6 3" xfId="32808" xr:uid="{00000000-0005-0000-0000-00000C950000}"/>
    <cellStyle name="Normal 7 2 6 3 2" xfId="32809" xr:uid="{00000000-0005-0000-0000-00000D950000}"/>
    <cellStyle name="Normal 7 2 6 3 2 2" xfId="41461" xr:uid="{00000000-0005-0000-0000-00000E950000}"/>
    <cellStyle name="Normal 7 2 6 3 3" xfId="32810" xr:uid="{00000000-0005-0000-0000-00000F950000}"/>
    <cellStyle name="Normal 7 2 6 4" xfId="32811" xr:uid="{00000000-0005-0000-0000-000010950000}"/>
    <cellStyle name="Normal 7 2 6 4 2" xfId="32812" xr:uid="{00000000-0005-0000-0000-000011950000}"/>
    <cellStyle name="Normal 7 2 6 4 2 2" xfId="41462" xr:uid="{00000000-0005-0000-0000-000012950000}"/>
    <cellStyle name="Normal 7 2 6 4 3" xfId="32813" xr:uid="{00000000-0005-0000-0000-000013950000}"/>
    <cellStyle name="Normal 7 2 6 5" xfId="32814" xr:uid="{00000000-0005-0000-0000-000014950000}"/>
    <cellStyle name="Normal 7 2 6 5 2" xfId="41463" xr:uid="{00000000-0005-0000-0000-000015950000}"/>
    <cellStyle name="Normal 7 2 6 6" xfId="32815" xr:uid="{00000000-0005-0000-0000-000016950000}"/>
    <cellStyle name="Normal 7 2 6 7" xfId="32816" xr:uid="{00000000-0005-0000-0000-000017950000}"/>
    <cellStyle name="Normal 7 2 6 8" xfId="45782" xr:uid="{00000000-0005-0000-0000-000018950000}"/>
    <cellStyle name="Normal 7 2 7" xfId="32817" xr:uid="{00000000-0005-0000-0000-000019950000}"/>
    <cellStyle name="Normal 7 2 7 2" xfId="32818" xr:uid="{00000000-0005-0000-0000-00001A950000}"/>
    <cellStyle name="Normal 7 2 7 2 2" xfId="32819" xr:uid="{00000000-0005-0000-0000-00001B950000}"/>
    <cellStyle name="Normal 7 2 7 2 2 2" xfId="41464" xr:uid="{00000000-0005-0000-0000-00001C950000}"/>
    <cellStyle name="Normal 7 2 7 2 3" xfId="32820" xr:uid="{00000000-0005-0000-0000-00001D950000}"/>
    <cellStyle name="Normal 7 2 7 3" xfId="32821" xr:uid="{00000000-0005-0000-0000-00001E950000}"/>
    <cellStyle name="Normal 7 2 7 3 2" xfId="32822" xr:uid="{00000000-0005-0000-0000-00001F950000}"/>
    <cellStyle name="Normal 7 2 7 3 2 2" xfId="41465" xr:uid="{00000000-0005-0000-0000-000020950000}"/>
    <cellStyle name="Normal 7 2 7 3 3" xfId="32823" xr:uid="{00000000-0005-0000-0000-000021950000}"/>
    <cellStyle name="Normal 7 2 7 4" xfId="32824" xr:uid="{00000000-0005-0000-0000-000022950000}"/>
    <cellStyle name="Normal 7 2 7 4 2" xfId="41466" xr:uid="{00000000-0005-0000-0000-000023950000}"/>
    <cellStyle name="Normal 7 2 7 5" xfId="32825" xr:uid="{00000000-0005-0000-0000-000024950000}"/>
    <cellStyle name="Normal 7 2 7 6" xfId="45783" xr:uid="{00000000-0005-0000-0000-000025950000}"/>
    <cellStyle name="Normal 7 2 8" xfId="32826" xr:uid="{00000000-0005-0000-0000-000026950000}"/>
    <cellStyle name="Normal 7 2 8 2" xfId="32827" xr:uid="{00000000-0005-0000-0000-000027950000}"/>
    <cellStyle name="Normal 7 2 8 2 2" xfId="41467" xr:uid="{00000000-0005-0000-0000-000028950000}"/>
    <cellStyle name="Normal 7 2 8 3" xfId="32828" xr:uid="{00000000-0005-0000-0000-000029950000}"/>
    <cellStyle name="Normal 7 2 9" xfId="32829" xr:uid="{00000000-0005-0000-0000-00002A950000}"/>
    <cellStyle name="Normal 7 2 9 2" xfId="32830" xr:uid="{00000000-0005-0000-0000-00002B950000}"/>
    <cellStyle name="Normal 7 2 9 2 2" xfId="41468" xr:uid="{00000000-0005-0000-0000-00002C950000}"/>
    <cellStyle name="Normal 7 2 9 3" xfId="32831" xr:uid="{00000000-0005-0000-0000-00002D950000}"/>
    <cellStyle name="Normal 7 3" xfId="504" xr:uid="{00000000-0005-0000-0000-00002E950000}"/>
    <cellStyle name="Normal 7 3 10" xfId="41469" xr:uid="{00000000-0005-0000-0000-00002F950000}"/>
    <cellStyle name="Normal 7 3 11" xfId="41470" xr:uid="{00000000-0005-0000-0000-000030950000}"/>
    <cellStyle name="Normal 7 3 12" xfId="45784" xr:uid="{00000000-0005-0000-0000-000031950000}"/>
    <cellStyle name="Normal 7 3 2" xfId="505" xr:uid="{00000000-0005-0000-0000-000032950000}"/>
    <cellStyle name="Normal 7 3 2 2" xfId="1970" xr:uid="{00000000-0005-0000-0000-000033950000}"/>
    <cellStyle name="Normal 7 3 2 2 2" xfId="1971" xr:uid="{00000000-0005-0000-0000-000034950000}"/>
    <cellStyle name="Normal 7 3 2 2 2 2" xfId="32832" xr:uid="{00000000-0005-0000-0000-000035950000}"/>
    <cellStyle name="Normal 7 3 2 2 2 2 2" xfId="32833" xr:uid="{00000000-0005-0000-0000-000036950000}"/>
    <cellStyle name="Normal 7 3 2 2 2 2 2 2" xfId="32834" xr:uid="{00000000-0005-0000-0000-000037950000}"/>
    <cellStyle name="Normal 7 3 2 2 2 2 2 2 2" xfId="41471" xr:uid="{00000000-0005-0000-0000-000038950000}"/>
    <cellStyle name="Normal 7 3 2 2 2 2 2 3" xfId="32835" xr:uid="{00000000-0005-0000-0000-000039950000}"/>
    <cellStyle name="Normal 7 3 2 2 2 2 3" xfId="32836" xr:uid="{00000000-0005-0000-0000-00003A950000}"/>
    <cellStyle name="Normal 7 3 2 2 2 2 3 2" xfId="32837" xr:uid="{00000000-0005-0000-0000-00003B950000}"/>
    <cellStyle name="Normal 7 3 2 2 2 2 3 2 2" xfId="41472" xr:uid="{00000000-0005-0000-0000-00003C950000}"/>
    <cellStyle name="Normal 7 3 2 2 2 2 3 3" xfId="32838" xr:uid="{00000000-0005-0000-0000-00003D950000}"/>
    <cellStyle name="Normal 7 3 2 2 2 2 4" xfId="32839" xr:uid="{00000000-0005-0000-0000-00003E950000}"/>
    <cellStyle name="Normal 7 3 2 2 2 2 4 2" xfId="41473" xr:uid="{00000000-0005-0000-0000-00003F950000}"/>
    <cellStyle name="Normal 7 3 2 2 2 2 5" xfId="32840" xr:uid="{00000000-0005-0000-0000-000040950000}"/>
    <cellStyle name="Normal 7 3 2 2 2 3" xfId="32841" xr:uid="{00000000-0005-0000-0000-000041950000}"/>
    <cellStyle name="Normal 7 3 2 2 2 3 2" xfId="32842" xr:uid="{00000000-0005-0000-0000-000042950000}"/>
    <cellStyle name="Normal 7 3 2 2 2 3 2 2" xfId="41474" xr:uid="{00000000-0005-0000-0000-000043950000}"/>
    <cellStyle name="Normal 7 3 2 2 2 3 3" xfId="32843" xr:uid="{00000000-0005-0000-0000-000044950000}"/>
    <cellStyle name="Normal 7 3 2 2 2 4" xfId="32844" xr:uid="{00000000-0005-0000-0000-000045950000}"/>
    <cellStyle name="Normal 7 3 2 2 2 4 2" xfId="32845" xr:uid="{00000000-0005-0000-0000-000046950000}"/>
    <cellStyle name="Normal 7 3 2 2 2 4 2 2" xfId="41475" xr:uid="{00000000-0005-0000-0000-000047950000}"/>
    <cellStyle name="Normal 7 3 2 2 2 4 3" xfId="32846" xr:uid="{00000000-0005-0000-0000-000048950000}"/>
    <cellStyle name="Normal 7 3 2 2 2 5" xfId="32847" xr:uid="{00000000-0005-0000-0000-000049950000}"/>
    <cellStyle name="Normal 7 3 2 2 2 5 2" xfId="41476" xr:uid="{00000000-0005-0000-0000-00004A950000}"/>
    <cellStyle name="Normal 7 3 2 2 2 6" xfId="32848" xr:uid="{00000000-0005-0000-0000-00004B950000}"/>
    <cellStyle name="Normal 7 3 2 2 2 7" xfId="45785" xr:uid="{00000000-0005-0000-0000-00004C950000}"/>
    <cellStyle name="Normal 7 3 2 2 3" xfId="32849" xr:uid="{00000000-0005-0000-0000-00004D950000}"/>
    <cellStyle name="Normal 7 3 2 2 3 2" xfId="32850" xr:uid="{00000000-0005-0000-0000-00004E950000}"/>
    <cellStyle name="Normal 7 3 2 2 3 2 2" xfId="32851" xr:uid="{00000000-0005-0000-0000-00004F950000}"/>
    <cellStyle name="Normal 7 3 2 2 3 2 2 2" xfId="41477" xr:uid="{00000000-0005-0000-0000-000050950000}"/>
    <cellStyle name="Normal 7 3 2 2 3 2 3" xfId="32852" xr:uid="{00000000-0005-0000-0000-000051950000}"/>
    <cellStyle name="Normal 7 3 2 2 3 3" xfId="32853" xr:uid="{00000000-0005-0000-0000-000052950000}"/>
    <cellStyle name="Normal 7 3 2 2 3 3 2" xfId="32854" xr:uid="{00000000-0005-0000-0000-000053950000}"/>
    <cellStyle name="Normal 7 3 2 2 3 3 2 2" xfId="41478" xr:uid="{00000000-0005-0000-0000-000054950000}"/>
    <cellStyle name="Normal 7 3 2 2 3 3 3" xfId="32855" xr:uid="{00000000-0005-0000-0000-000055950000}"/>
    <cellStyle name="Normal 7 3 2 2 3 4" xfId="32856" xr:uid="{00000000-0005-0000-0000-000056950000}"/>
    <cellStyle name="Normal 7 3 2 2 3 4 2" xfId="41479" xr:uid="{00000000-0005-0000-0000-000057950000}"/>
    <cellStyle name="Normal 7 3 2 2 3 5" xfId="32857" xr:uid="{00000000-0005-0000-0000-000058950000}"/>
    <cellStyle name="Normal 7 3 2 2 4" xfId="32858" xr:uid="{00000000-0005-0000-0000-000059950000}"/>
    <cellStyle name="Normal 7 3 2 2 4 2" xfId="32859" xr:uid="{00000000-0005-0000-0000-00005A950000}"/>
    <cellStyle name="Normal 7 3 2 2 4 2 2" xfId="41480" xr:uid="{00000000-0005-0000-0000-00005B950000}"/>
    <cellStyle name="Normal 7 3 2 2 4 3" xfId="32860" xr:uid="{00000000-0005-0000-0000-00005C950000}"/>
    <cellStyle name="Normal 7 3 2 2 5" xfId="32861" xr:uid="{00000000-0005-0000-0000-00005D950000}"/>
    <cellStyle name="Normal 7 3 2 2 5 2" xfId="32862" xr:uid="{00000000-0005-0000-0000-00005E950000}"/>
    <cellStyle name="Normal 7 3 2 2 5 2 2" xfId="41481" xr:uid="{00000000-0005-0000-0000-00005F950000}"/>
    <cellStyle name="Normal 7 3 2 2 5 3" xfId="32863" xr:uid="{00000000-0005-0000-0000-000060950000}"/>
    <cellStyle name="Normal 7 3 2 2 6" xfId="32864" xr:uid="{00000000-0005-0000-0000-000061950000}"/>
    <cellStyle name="Normal 7 3 2 2 6 2" xfId="41482" xr:uid="{00000000-0005-0000-0000-000062950000}"/>
    <cellStyle name="Normal 7 3 2 2 7" xfId="32865" xr:uid="{00000000-0005-0000-0000-000063950000}"/>
    <cellStyle name="Normal 7 3 2 2 8" xfId="45786" xr:uid="{00000000-0005-0000-0000-000064950000}"/>
    <cellStyle name="Normal 7 3 2 3" xfId="1972" xr:uid="{00000000-0005-0000-0000-000065950000}"/>
    <cellStyle name="Normal 7 3 2 3 2" xfId="32866" xr:uid="{00000000-0005-0000-0000-000066950000}"/>
    <cellStyle name="Normal 7 3 2 3 2 2" xfId="32867" xr:uid="{00000000-0005-0000-0000-000067950000}"/>
    <cellStyle name="Normal 7 3 2 3 2 2 2" xfId="32868" xr:uid="{00000000-0005-0000-0000-000068950000}"/>
    <cellStyle name="Normal 7 3 2 3 2 2 2 2" xfId="41483" xr:uid="{00000000-0005-0000-0000-000069950000}"/>
    <cellStyle name="Normal 7 3 2 3 2 2 3" xfId="32869" xr:uid="{00000000-0005-0000-0000-00006A950000}"/>
    <cellStyle name="Normal 7 3 2 3 2 3" xfId="32870" xr:uid="{00000000-0005-0000-0000-00006B950000}"/>
    <cellStyle name="Normal 7 3 2 3 2 3 2" xfId="32871" xr:uid="{00000000-0005-0000-0000-00006C950000}"/>
    <cellStyle name="Normal 7 3 2 3 2 3 2 2" xfId="41484" xr:uid="{00000000-0005-0000-0000-00006D950000}"/>
    <cellStyle name="Normal 7 3 2 3 2 3 3" xfId="32872" xr:uid="{00000000-0005-0000-0000-00006E950000}"/>
    <cellStyle name="Normal 7 3 2 3 2 4" xfId="32873" xr:uid="{00000000-0005-0000-0000-00006F950000}"/>
    <cellStyle name="Normal 7 3 2 3 2 4 2" xfId="41485" xr:uid="{00000000-0005-0000-0000-000070950000}"/>
    <cellStyle name="Normal 7 3 2 3 2 5" xfId="32874" xr:uid="{00000000-0005-0000-0000-000071950000}"/>
    <cellStyle name="Normal 7 3 2 3 3" xfId="32875" xr:uid="{00000000-0005-0000-0000-000072950000}"/>
    <cellStyle name="Normal 7 3 2 3 3 2" xfId="32876" xr:uid="{00000000-0005-0000-0000-000073950000}"/>
    <cellStyle name="Normal 7 3 2 3 3 2 2" xfId="41486" xr:uid="{00000000-0005-0000-0000-000074950000}"/>
    <cellStyle name="Normal 7 3 2 3 3 3" xfId="32877" xr:uid="{00000000-0005-0000-0000-000075950000}"/>
    <cellStyle name="Normal 7 3 2 3 4" xfId="32878" xr:uid="{00000000-0005-0000-0000-000076950000}"/>
    <cellStyle name="Normal 7 3 2 3 4 2" xfId="32879" xr:uid="{00000000-0005-0000-0000-000077950000}"/>
    <cellStyle name="Normal 7 3 2 3 4 2 2" xfId="41487" xr:uid="{00000000-0005-0000-0000-000078950000}"/>
    <cellStyle name="Normal 7 3 2 3 4 3" xfId="32880" xr:uid="{00000000-0005-0000-0000-000079950000}"/>
    <cellStyle name="Normal 7 3 2 3 5" xfId="32881" xr:uid="{00000000-0005-0000-0000-00007A950000}"/>
    <cellStyle name="Normal 7 3 2 3 5 2" xfId="41488" xr:uid="{00000000-0005-0000-0000-00007B950000}"/>
    <cellStyle name="Normal 7 3 2 3 6" xfId="32882" xr:uid="{00000000-0005-0000-0000-00007C950000}"/>
    <cellStyle name="Normal 7 3 2 3 7" xfId="45787" xr:uid="{00000000-0005-0000-0000-00007D950000}"/>
    <cellStyle name="Normal 7 3 2 4" xfId="32883" xr:uid="{00000000-0005-0000-0000-00007E950000}"/>
    <cellStyle name="Normal 7 3 2 4 2" xfId="32884" xr:uid="{00000000-0005-0000-0000-00007F950000}"/>
    <cellStyle name="Normal 7 3 2 4 2 2" xfId="32885" xr:uid="{00000000-0005-0000-0000-000080950000}"/>
    <cellStyle name="Normal 7 3 2 4 2 2 2" xfId="41489" xr:uid="{00000000-0005-0000-0000-000081950000}"/>
    <cellStyle name="Normal 7 3 2 4 2 3" xfId="32886" xr:uid="{00000000-0005-0000-0000-000082950000}"/>
    <cellStyle name="Normal 7 3 2 4 3" xfId="32887" xr:uid="{00000000-0005-0000-0000-000083950000}"/>
    <cellStyle name="Normal 7 3 2 4 3 2" xfId="32888" xr:uid="{00000000-0005-0000-0000-000084950000}"/>
    <cellStyle name="Normal 7 3 2 4 3 2 2" xfId="41490" xr:uid="{00000000-0005-0000-0000-000085950000}"/>
    <cellStyle name="Normal 7 3 2 4 3 3" xfId="32889" xr:uid="{00000000-0005-0000-0000-000086950000}"/>
    <cellStyle name="Normal 7 3 2 4 4" xfId="32890" xr:uid="{00000000-0005-0000-0000-000087950000}"/>
    <cellStyle name="Normal 7 3 2 4 4 2" xfId="41491" xr:uid="{00000000-0005-0000-0000-000088950000}"/>
    <cellStyle name="Normal 7 3 2 4 5" xfId="32891" xr:uid="{00000000-0005-0000-0000-000089950000}"/>
    <cellStyle name="Normal 7 3 2 5" xfId="32892" xr:uid="{00000000-0005-0000-0000-00008A950000}"/>
    <cellStyle name="Normal 7 3 2 5 2" xfId="32893" xr:uid="{00000000-0005-0000-0000-00008B950000}"/>
    <cellStyle name="Normal 7 3 2 5 2 2" xfId="41492" xr:uid="{00000000-0005-0000-0000-00008C950000}"/>
    <cellStyle name="Normal 7 3 2 5 3" xfId="32894" xr:uid="{00000000-0005-0000-0000-00008D950000}"/>
    <cellStyle name="Normal 7 3 2 6" xfId="32895" xr:uid="{00000000-0005-0000-0000-00008E950000}"/>
    <cellStyle name="Normal 7 3 2 6 2" xfId="32896" xr:uid="{00000000-0005-0000-0000-00008F950000}"/>
    <cellStyle name="Normal 7 3 2 6 2 2" xfId="41493" xr:uid="{00000000-0005-0000-0000-000090950000}"/>
    <cellStyle name="Normal 7 3 2 6 3" xfId="32897" xr:uid="{00000000-0005-0000-0000-000091950000}"/>
    <cellStyle name="Normal 7 3 2 7" xfId="32898" xr:uid="{00000000-0005-0000-0000-000092950000}"/>
    <cellStyle name="Normal 7 3 2 7 2" xfId="41494" xr:uid="{00000000-0005-0000-0000-000093950000}"/>
    <cellStyle name="Normal 7 3 2 8" xfId="32899" xr:uid="{00000000-0005-0000-0000-000094950000}"/>
    <cellStyle name="Normal 7 3 2 9" xfId="45788" xr:uid="{00000000-0005-0000-0000-000095950000}"/>
    <cellStyle name="Normal 7 3 3" xfId="1973" xr:uid="{00000000-0005-0000-0000-000096950000}"/>
    <cellStyle name="Normal 7 3 3 2" xfId="1974" xr:uid="{00000000-0005-0000-0000-000097950000}"/>
    <cellStyle name="Normal 7 3 3 2 2" xfId="32900" xr:uid="{00000000-0005-0000-0000-000098950000}"/>
    <cellStyle name="Normal 7 3 3 2 2 2" xfId="32901" xr:uid="{00000000-0005-0000-0000-000099950000}"/>
    <cellStyle name="Normal 7 3 3 2 2 2 2" xfId="32902" xr:uid="{00000000-0005-0000-0000-00009A950000}"/>
    <cellStyle name="Normal 7 3 3 2 2 2 2 2" xfId="41495" xr:uid="{00000000-0005-0000-0000-00009B950000}"/>
    <cellStyle name="Normal 7 3 3 2 2 2 3" xfId="32903" xr:uid="{00000000-0005-0000-0000-00009C950000}"/>
    <cellStyle name="Normal 7 3 3 2 2 3" xfId="32904" xr:uid="{00000000-0005-0000-0000-00009D950000}"/>
    <cellStyle name="Normal 7 3 3 2 2 3 2" xfId="32905" xr:uid="{00000000-0005-0000-0000-00009E950000}"/>
    <cellStyle name="Normal 7 3 3 2 2 3 2 2" xfId="41496" xr:uid="{00000000-0005-0000-0000-00009F950000}"/>
    <cellStyle name="Normal 7 3 3 2 2 3 3" xfId="32906" xr:uid="{00000000-0005-0000-0000-0000A0950000}"/>
    <cellStyle name="Normal 7 3 3 2 2 4" xfId="32907" xr:uid="{00000000-0005-0000-0000-0000A1950000}"/>
    <cellStyle name="Normal 7 3 3 2 2 4 2" xfId="41497" xr:uid="{00000000-0005-0000-0000-0000A2950000}"/>
    <cellStyle name="Normal 7 3 3 2 2 5" xfId="32908" xr:uid="{00000000-0005-0000-0000-0000A3950000}"/>
    <cellStyle name="Normal 7 3 3 2 3" xfId="32909" xr:uid="{00000000-0005-0000-0000-0000A4950000}"/>
    <cellStyle name="Normal 7 3 3 2 3 2" xfId="32910" xr:uid="{00000000-0005-0000-0000-0000A5950000}"/>
    <cellStyle name="Normal 7 3 3 2 3 2 2" xfId="41498" xr:uid="{00000000-0005-0000-0000-0000A6950000}"/>
    <cellStyle name="Normal 7 3 3 2 3 3" xfId="32911" xr:uid="{00000000-0005-0000-0000-0000A7950000}"/>
    <cellStyle name="Normal 7 3 3 2 4" xfId="32912" xr:uid="{00000000-0005-0000-0000-0000A8950000}"/>
    <cellStyle name="Normal 7 3 3 2 4 2" xfId="32913" xr:uid="{00000000-0005-0000-0000-0000A9950000}"/>
    <cellStyle name="Normal 7 3 3 2 4 2 2" xfId="41499" xr:uid="{00000000-0005-0000-0000-0000AA950000}"/>
    <cellStyle name="Normal 7 3 3 2 4 3" xfId="32914" xr:uid="{00000000-0005-0000-0000-0000AB950000}"/>
    <cellStyle name="Normal 7 3 3 2 5" xfId="32915" xr:uid="{00000000-0005-0000-0000-0000AC950000}"/>
    <cellStyle name="Normal 7 3 3 2 5 2" xfId="41500" xr:uid="{00000000-0005-0000-0000-0000AD950000}"/>
    <cellStyle name="Normal 7 3 3 2 6" xfId="32916" xr:uid="{00000000-0005-0000-0000-0000AE950000}"/>
    <cellStyle name="Normal 7 3 3 2 7" xfId="45789" xr:uid="{00000000-0005-0000-0000-0000AF950000}"/>
    <cellStyle name="Normal 7 3 3 3" xfId="32917" xr:uid="{00000000-0005-0000-0000-0000B0950000}"/>
    <cellStyle name="Normal 7 3 3 3 2" xfId="32918" xr:uid="{00000000-0005-0000-0000-0000B1950000}"/>
    <cellStyle name="Normal 7 3 3 3 2 2" xfId="32919" xr:uid="{00000000-0005-0000-0000-0000B2950000}"/>
    <cellStyle name="Normal 7 3 3 3 2 2 2" xfId="41501" xr:uid="{00000000-0005-0000-0000-0000B3950000}"/>
    <cellStyle name="Normal 7 3 3 3 2 3" xfId="32920" xr:uid="{00000000-0005-0000-0000-0000B4950000}"/>
    <cellStyle name="Normal 7 3 3 3 3" xfId="32921" xr:uid="{00000000-0005-0000-0000-0000B5950000}"/>
    <cellStyle name="Normal 7 3 3 3 3 2" xfId="32922" xr:uid="{00000000-0005-0000-0000-0000B6950000}"/>
    <cellStyle name="Normal 7 3 3 3 3 2 2" xfId="41502" xr:uid="{00000000-0005-0000-0000-0000B7950000}"/>
    <cellStyle name="Normal 7 3 3 3 3 3" xfId="32923" xr:uid="{00000000-0005-0000-0000-0000B8950000}"/>
    <cellStyle name="Normal 7 3 3 3 4" xfId="32924" xr:uid="{00000000-0005-0000-0000-0000B9950000}"/>
    <cellStyle name="Normal 7 3 3 3 4 2" xfId="41503" xr:uid="{00000000-0005-0000-0000-0000BA950000}"/>
    <cellStyle name="Normal 7 3 3 3 5" xfId="32925" xr:uid="{00000000-0005-0000-0000-0000BB950000}"/>
    <cellStyle name="Normal 7 3 3 4" xfId="32926" xr:uid="{00000000-0005-0000-0000-0000BC950000}"/>
    <cellStyle name="Normal 7 3 3 4 2" xfId="32927" xr:uid="{00000000-0005-0000-0000-0000BD950000}"/>
    <cellStyle name="Normal 7 3 3 4 2 2" xfId="41504" xr:uid="{00000000-0005-0000-0000-0000BE950000}"/>
    <cellStyle name="Normal 7 3 3 4 3" xfId="32928" xr:uid="{00000000-0005-0000-0000-0000BF950000}"/>
    <cellStyle name="Normal 7 3 3 5" xfId="32929" xr:uid="{00000000-0005-0000-0000-0000C0950000}"/>
    <cellStyle name="Normal 7 3 3 5 2" xfId="32930" xr:uid="{00000000-0005-0000-0000-0000C1950000}"/>
    <cellStyle name="Normal 7 3 3 5 2 2" xfId="41505" xr:uid="{00000000-0005-0000-0000-0000C2950000}"/>
    <cellStyle name="Normal 7 3 3 5 3" xfId="32931" xr:uid="{00000000-0005-0000-0000-0000C3950000}"/>
    <cellStyle name="Normal 7 3 3 6" xfId="32932" xr:uid="{00000000-0005-0000-0000-0000C4950000}"/>
    <cellStyle name="Normal 7 3 3 6 2" xfId="41506" xr:uid="{00000000-0005-0000-0000-0000C5950000}"/>
    <cellStyle name="Normal 7 3 3 7" xfId="32933" xr:uid="{00000000-0005-0000-0000-0000C6950000}"/>
    <cellStyle name="Normal 7 3 3 8" xfId="45790" xr:uid="{00000000-0005-0000-0000-0000C7950000}"/>
    <cellStyle name="Normal 7 3 4" xfId="1975" xr:uid="{00000000-0005-0000-0000-0000C8950000}"/>
    <cellStyle name="Normal 7 3 4 2" xfId="32934" xr:uid="{00000000-0005-0000-0000-0000C9950000}"/>
    <cellStyle name="Normal 7 3 4 2 2" xfId="32935" xr:uid="{00000000-0005-0000-0000-0000CA950000}"/>
    <cellStyle name="Normal 7 3 4 2 2 2" xfId="32936" xr:uid="{00000000-0005-0000-0000-0000CB950000}"/>
    <cellStyle name="Normal 7 3 4 2 2 2 2" xfId="41507" xr:uid="{00000000-0005-0000-0000-0000CC950000}"/>
    <cellStyle name="Normal 7 3 4 2 2 3" xfId="32937" xr:uid="{00000000-0005-0000-0000-0000CD950000}"/>
    <cellStyle name="Normal 7 3 4 2 3" xfId="32938" xr:uid="{00000000-0005-0000-0000-0000CE950000}"/>
    <cellStyle name="Normal 7 3 4 2 3 2" xfId="32939" xr:uid="{00000000-0005-0000-0000-0000CF950000}"/>
    <cellStyle name="Normal 7 3 4 2 3 2 2" xfId="41508" xr:uid="{00000000-0005-0000-0000-0000D0950000}"/>
    <cellStyle name="Normal 7 3 4 2 3 3" xfId="32940" xr:uid="{00000000-0005-0000-0000-0000D1950000}"/>
    <cellStyle name="Normal 7 3 4 2 4" xfId="32941" xr:uid="{00000000-0005-0000-0000-0000D2950000}"/>
    <cellStyle name="Normal 7 3 4 2 4 2" xfId="41509" xr:uid="{00000000-0005-0000-0000-0000D3950000}"/>
    <cellStyle name="Normal 7 3 4 2 5" xfId="32942" xr:uid="{00000000-0005-0000-0000-0000D4950000}"/>
    <cellStyle name="Normal 7 3 4 3" xfId="32943" xr:uid="{00000000-0005-0000-0000-0000D5950000}"/>
    <cellStyle name="Normal 7 3 4 3 2" xfId="32944" xr:uid="{00000000-0005-0000-0000-0000D6950000}"/>
    <cellStyle name="Normal 7 3 4 3 2 2" xfId="41510" xr:uid="{00000000-0005-0000-0000-0000D7950000}"/>
    <cellStyle name="Normal 7 3 4 3 3" xfId="32945" xr:uid="{00000000-0005-0000-0000-0000D8950000}"/>
    <cellStyle name="Normal 7 3 4 4" xfId="32946" xr:uid="{00000000-0005-0000-0000-0000D9950000}"/>
    <cellStyle name="Normal 7 3 4 4 2" xfId="32947" xr:uid="{00000000-0005-0000-0000-0000DA950000}"/>
    <cellStyle name="Normal 7 3 4 4 2 2" xfId="41511" xr:uid="{00000000-0005-0000-0000-0000DB950000}"/>
    <cellStyle name="Normal 7 3 4 4 3" xfId="32948" xr:uid="{00000000-0005-0000-0000-0000DC950000}"/>
    <cellStyle name="Normal 7 3 4 5" xfId="32949" xr:uid="{00000000-0005-0000-0000-0000DD950000}"/>
    <cellStyle name="Normal 7 3 4 5 2" xfId="41512" xr:uid="{00000000-0005-0000-0000-0000DE950000}"/>
    <cellStyle name="Normal 7 3 4 6" xfId="32950" xr:uid="{00000000-0005-0000-0000-0000DF950000}"/>
    <cellStyle name="Normal 7 3 4 7" xfId="45791" xr:uid="{00000000-0005-0000-0000-0000E0950000}"/>
    <cellStyle name="Normal 7 3 5" xfId="1976" xr:uid="{00000000-0005-0000-0000-0000E1950000}"/>
    <cellStyle name="Normal 7 3 5 2" xfId="32951" xr:uid="{00000000-0005-0000-0000-0000E2950000}"/>
    <cellStyle name="Normal 7 3 5 2 2" xfId="32952" xr:uid="{00000000-0005-0000-0000-0000E3950000}"/>
    <cellStyle name="Normal 7 3 5 2 2 2" xfId="41513" xr:uid="{00000000-0005-0000-0000-0000E4950000}"/>
    <cellStyle name="Normal 7 3 5 2 3" xfId="32953" xr:uid="{00000000-0005-0000-0000-0000E5950000}"/>
    <cellStyle name="Normal 7 3 5 3" xfId="32954" xr:uid="{00000000-0005-0000-0000-0000E6950000}"/>
    <cellStyle name="Normal 7 3 5 3 2" xfId="32955" xr:uid="{00000000-0005-0000-0000-0000E7950000}"/>
    <cellStyle name="Normal 7 3 5 3 2 2" xfId="41514" xr:uid="{00000000-0005-0000-0000-0000E8950000}"/>
    <cellStyle name="Normal 7 3 5 3 3" xfId="32956" xr:uid="{00000000-0005-0000-0000-0000E9950000}"/>
    <cellStyle name="Normal 7 3 5 4" xfId="32957" xr:uid="{00000000-0005-0000-0000-0000EA950000}"/>
    <cellStyle name="Normal 7 3 5 4 2" xfId="41515" xr:uid="{00000000-0005-0000-0000-0000EB950000}"/>
    <cellStyle name="Normal 7 3 5 5" xfId="32958" xr:uid="{00000000-0005-0000-0000-0000EC950000}"/>
    <cellStyle name="Normal 7 3 6" xfId="32959" xr:uid="{00000000-0005-0000-0000-0000ED950000}"/>
    <cellStyle name="Normal 7 3 6 2" xfId="32960" xr:uid="{00000000-0005-0000-0000-0000EE950000}"/>
    <cellStyle name="Normal 7 3 6 2 2" xfId="41516" xr:uid="{00000000-0005-0000-0000-0000EF950000}"/>
    <cellStyle name="Normal 7 3 6 3" xfId="32961" xr:uid="{00000000-0005-0000-0000-0000F0950000}"/>
    <cellStyle name="Normal 7 3 7" xfId="32962" xr:uid="{00000000-0005-0000-0000-0000F1950000}"/>
    <cellStyle name="Normal 7 3 7 2" xfId="32963" xr:uid="{00000000-0005-0000-0000-0000F2950000}"/>
    <cellStyle name="Normal 7 3 7 2 2" xfId="41517" xr:uid="{00000000-0005-0000-0000-0000F3950000}"/>
    <cellStyle name="Normal 7 3 7 3" xfId="32964" xr:uid="{00000000-0005-0000-0000-0000F4950000}"/>
    <cellStyle name="Normal 7 3 8" xfId="32965" xr:uid="{00000000-0005-0000-0000-0000F5950000}"/>
    <cellStyle name="Normal 7 3 8 2" xfId="41518" xr:uid="{00000000-0005-0000-0000-0000F6950000}"/>
    <cellStyle name="Normal 7 3 9" xfId="32966" xr:uid="{00000000-0005-0000-0000-0000F7950000}"/>
    <cellStyle name="Normal 7 3 9 2" xfId="41519" xr:uid="{00000000-0005-0000-0000-0000F8950000}"/>
    <cellStyle name="Normal 7 4" xfId="506" xr:uid="{00000000-0005-0000-0000-0000F9950000}"/>
    <cellStyle name="Normal 7 4 2" xfId="1977" xr:uid="{00000000-0005-0000-0000-0000FA950000}"/>
    <cellStyle name="Normal 7 4 2 2" xfId="1978" xr:uid="{00000000-0005-0000-0000-0000FB950000}"/>
    <cellStyle name="Normal 7 4 2 2 2" xfId="32967" xr:uid="{00000000-0005-0000-0000-0000FC950000}"/>
    <cellStyle name="Normal 7 4 2 2 2 2" xfId="32968" xr:uid="{00000000-0005-0000-0000-0000FD950000}"/>
    <cellStyle name="Normal 7 4 2 2 2 2 2" xfId="32969" xr:uid="{00000000-0005-0000-0000-0000FE950000}"/>
    <cellStyle name="Normal 7 4 2 2 2 2 2 2" xfId="41520" xr:uid="{00000000-0005-0000-0000-0000FF950000}"/>
    <cellStyle name="Normal 7 4 2 2 2 2 3" xfId="32970" xr:uid="{00000000-0005-0000-0000-000000960000}"/>
    <cellStyle name="Normal 7 4 2 2 2 3" xfId="32971" xr:uid="{00000000-0005-0000-0000-000001960000}"/>
    <cellStyle name="Normal 7 4 2 2 2 3 2" xfId="32972" xr:uid="{00000000-0005-0000-0000-000002960000}"/>
    <cellStyle name="Normal 7 4 2 2 2 3 2 2" xfId="41521" xr:uid="{00000000-0005-0000-0000-000003960000}"/>
    <cellStyle name="Normal 7 4 2 2 2 3 3" xfId="32973" xr:uid="{00000000-0005-0000-0000-000004960000}"/>
    <cellStyle name="Normal 7 4 2 2 2 4" xfId="32974" xr:uid="{00000000-0005-0000-0000-000005960000}"/>
    <cellStyle name="Normal 7 4 2 2 2 4 2" xfId="41522" xr:uid="{00000000-0005-0000-0000-000006960000}"/>
    <cellStyle name="Normal 7 4 2 2 2 5" xfId="32975" xr:uid="{00000000-0005-0000-0000-000007960000}"/>
    <cellStyle name="Normal 7 4 2 2 3" xfId="32976" xr:uid="{00000000-0005-0000-0000-000008960000}"/>
    <cellStyle name="Normal 7 4 2 2 3 2" xfId="32977" xr:uid="{00000000-0005-0000-0000-000009960000}"/>
    <cellStyle name="Normal 7 4 2 2 3 2 2" xfId="41523" xr:uid="{00000000-0005-0000-0000-00000A960000}"/>
    <cellStyle name="Normal 7 4 2 2 3 3" xfId="32978" xr:uid="{00000000-0005-0000-0000-00000B960000}"/>
    <cellStyle name="Normal 7 4 2 2 4" xfId="32979" xr:uid="{00000000-0005-0000-0000-00000C960000}"/>
    <cellStyle name="Normal 7 4 2 2 4 2" xfId="32980" xr:uid="{00000000-0005-0000-0000-00000D960000}"/>
    <cellStyle name="Normal 7 4 2 2 4 2 2" xfId="41524" xr:uid="{00000000-0005-0000-0000-00000E960000}"/>
    <cellStyle name="Normal 7 4 2 2 4 3" xfId="32981" xr:uid="{00000000-0005-0000-0000-00000F960000}"/>
    <cellStyle name="Normal 7 4 2 2 5" xfId="32982" xr:uid="{00000000-0005-0000-0000-000010960000}"/>
    <cellStyle name="Normal 7 4 2 2 5 2" xfId="41525" xr:uid="{00000000-0005-0000-0000-000011960000}"/>
    <cellStyle name="Normal 7 4 2 2 6" xfId="32983" xr:uid="{00000000-0005-0000-0000-000012960000}"/>
    <cellStyle name="Normal 7 4 2 2 7" xfId="45792" xr:uid="{00000000-0005-0000-0000-000013960000}"/>
    <cellStyle name="Normal 7 4 2 3" xfId="32984" xr:uid="{00000000-0005-0000-0000-000014960000}"/>
    <cellStyle name="Normal 7 4 2 3 2" xfId="32985" xr:uid="{00000000-0005-0000-0000-000015960000}"/>
    <cellStyle name="Normal 7 4 2 3 2 2" xfId="32986" xr:uid="{00000000-0005-0000-0000-000016960000}"/>
    <cellStyle name="Normal 7 4 2 3 2 2 2" xfId="41526" xr:uid="{00000000-0005-0000-0000-000017960000}"/>
    <cellStyle name="Normal 7 4 2 3 2 3" xfId="32987" xr:uid="{00000000-0005-0000-0000-000018960000}"/>
    <cellStyle name="Normal 7 4 2 3 3" xfId="32988" xr:uid="{00000000-0005-0000-0000-000019960000}"/>
    <cellStyle name="Normal 7 4 2 3 3 2" xfId="32989" xr:uid="{00000000-0005-0000-0000-00001A960000}"/>
    <cellStyle name="Normal 7 4 2 3 3 2 2" xfId="41527" xr:uid="{00000000-0005-0000-0000-00001B960000}"/>
    <cellStyle name="Normal 7 4 2 3 3 3" xfId="32990" xr:uid="{00000000-0005-0000-0000-00001C960000}"/>
    <cellStyle name="Normal 7 4 2 3 4" xfId="32991" xr:uid="{00000000-0005-0000-0000-00001D960000}"/>
    <cellStyle name="Normal 7 4 2 3 4 2" xfId="41528" xr:uid="{00000000-0005-0000-0000-00001E960000}"/>
    <cellStyle name="Normal 7 4 2 3 5" xfId="32992" xr:uid="{00000000-0005-0000-0000-00001F960000}"/>
    <cellStyle name="Normal 7 4 2 4" xfId="32993" xr:uid="{00000000-0005-0000-0000-000020960000}"/>
    <cellStyle name="Normal 7 4 2 4 2" xfId="32994" xr:uid="{00000000-0005-0000-0000-000021960000}"/>
    <cellStyle name="Normal 7 4 2 4 2 2" xfId="41529" xr:uid="{00000000-0005-0000-0000-000022960000}"/>
    <cellStyle name="Normal 7 4 2 4 3" xfId="32995" xr:uid="{00000000-0005-0000-0000-000023960000}"/>
    <cellStyle name="Normal 7 4 2 5" xfId="32996" xr:uid="{00000000-0005-0000-0000-000024960000}"/>
    <cellStyle name="Normal 7 4 2 5 2" xfId="32997" xr:uid="{00000000-0005-0000-0000-000025960000}"/>
    <cellStyle name="Normal 7 4 2 5 2 2" xfId="41530" xr:uid="{00000000-0005-0000-0000-000026960000}"/>
    <cellStyle name="Normal 7 4 2 5 3" xfId="32998" xr:uid="{00000000-0005-0000-0000-000027960000}"/>
    <cellStyle name="Normal 7 4 2 6" xfId="32999" xr:uid="{00000000-0005-0000-0000-000028960000}"/>
    <cellStyle name="Normal 7 4 2 6 2" xfId="41531" xr:uid="{00000000-0005-0000-0000-000029960000}"/>
    <cellStyle name="Normal 7 4 2 7" xfId="33000" xr:uid="{00000000-0005-0000-0000-00002A960000}"/>
    <cellStyle name="Normal 7 4 2 8" xfId="45793" xr:uid="{00000000-0005-0000-0000-00002B960000}"/>
    <cellStyle name="Normal 7 4 3" xfId="1979" xr:uid="{00000000-0005-0000-0000-00002C960000}"/>
    <cellStyle name="Normal 7 4 3 2" xfId="33001" xr:uid="{00000000-0005-0000-0000-00002D960000}"/>
    <cellStyle name="Normal 7 4 3 2 2" xfId="33002" xr:uid="{00000000-0005-0000-0000-00002E960000}"/>
    <cellStyle name="Normal 7 4 3 2 2 2" xfId="33003" xr:uid="{00000000-0005-0000-0000-00002F960000}"/>
    <cellStyle name="Normal 7 4 3 2 2 2 2" xfId="41532" xr:uid="{00000000-0005-0000-0000-000030960000}"/>
    <cellStyle name="Normal 7 4 3 2 2 3" xfId="33004" xr:uid="{00000000-0005-0000-0000-000031960000}"/>
    <cellStyle name="Normal 7 4 3 2 3" xfId="33005" xr:uid="{00000000-0005-0000-0000-000032960000}"/>
    <cellStyle name="Normal 7 4 3 2 3 2" xfId="33006" xr:uid="{00000000-0005-0000-0000-000033960000}"/>
    <cellStyle name="Normal 7 4 3 2 3 2 2" xfId="41533" xr:uid="{00000000-0005-0000-0000-000034960000}"/>
    <cellStyle name="Normal 7 4 3 2 3 3" xfId="33007" xr:uid="{00000000-0005-0000-0000-000035960000}"/>
    <cellStyle name="Normal 7 4 3 2 4" xfId="33008" xr:uid="{00000000-0005-0000-0000-000036960000}"/>
    <cellStyle name="Normal 7 4 3 2 4 2" xfId="41534" xr:uid="{00000000-0005-0000-0000-000037960000}"/>
    <cellStyle name="Normal 7 4 3 2 5" xfId="33009" xr:uid="{00000000-0005-0000-0000-000038960000}"/>
    <cellStyle name="Normal 7 4 3 3" xfId="33010" xr:uid="{00000000-0005-0000-0000-000039960000}"/>
    <cellStyle name="Normal 7 4 3 3 2" xfId="33011" xr:uid="{00000000-0005-0000-0000-00003A960000}"/>
    <cellStyle name="Normal 7 4 3 3 2 2" xfId="41535" xr:uid="{00000000-0005-0000-0000-00003B960000}"/>
    <cellStyle name="Normal 7 4 3 3 3" xfId="33012" xr:uid="{00000000-0005-0000-0000-00003C960000}"/>
    <cellStyle name="Normal 7 4 3 4" xfId="33013" xr:uid="{00000000-0005-0000-0000-00003D960000}"/>
    <cellStyle name="Normal 7 4 3 4 2" xfId="33014" xr:uid="{00000000-0005-0000-0000-00003E960000}"/>
    <cellStyle name="Normal 7 4 3 4 2 2" xfId="41536" xr:uid="{00000000-0005-0000-0000-00003F960000}"/>
    <cellStyle name="Normal 7 4 3 4 3" xfId="33015" xr:uid="{00000000-0005-0000-0000-000040960000}"/>
    <cellStyle name="Normal 7 4 3 5" xfId="33016" xr:uid="{00000000-0005-0000-0000-000041960000}"/>
    <cellStyle name="Normal 7 4 3 5 2" xfId="41537" xr:uid="{00000000-0005-0000-0000-000042960000}"/>
    <cellStyle name="Normal 7 4 3 6" xfId="33017" xr:uid="{00000000-0005-0000-0000-000043960000}"/>
    <cellStyle name="Normal 7 4 3 7" xfId="45794" xr:uid="{00000000-0005-0000-0000-000044960000}"/>
    <cellStyle name="Normal 7 4 4" xfId="33018" xr:uid="{00000000-0005-0000-0000-000045960000}"/>
    <cellStyle name="Normal 7 4 4 2" xfId="33019" xr:uid="{00000000-0005-0000-0000-000046960000}"/>
    <cellStyle name="Normal 7 4 4 2 2" xfId="33020" xr:uid="{00000000-0005-0000-0000-000047960000}"/>
    <cellStyle name="Normal 7 4 4 2 2 2" xfId="41538" xr:uid="{00000000-0005-0000-0000-000048960000}"/>
    <cellStyle name="Normal 7 4 4 2 3" xfId="33021" xr:uid="{00000000-0005-0000-0000-000049960000}"/>
    <cellStyle name="Normal 7 4 4 3" xfId="33022" xr:uid="{00000000-0005-0000-0000-00004A960000}"/>
    <cellStyle name="Normal 7 4 4 3 2" xfId="33023" xr:uid="{00000000-0005-0000-0000-00004B960000}"/>
    <cellStyle name="Normal 7 4 4 3 2 2" xfId="41539" xr:uid="{00000000-0005-0000-0000-00004C960000}"/>
    <cellStyle name="Normal 7 4 4 3 3" xfId="33024" xr:uid="{00000000-0005-0000-0000-00004D960000}"/>
    <cellStyle name="Normal 7 4 4 4" xfId="33025" xr:uid="{00000000-0005-0000-0000-00004E960000}"/>
    <cellStyle name="Normal 7 4 4 4 2" xfId="41540" xr:uid="{00000000-0005-0000-0000-00004F960000}"/>
    <cellStyle name="Normal 7 4 4 5" xfId="33026" xr:uid="{00000000-0005-0000-0000-000050960000}"/>
    <cellStyle name="Normal 7 4 4 6" xfId="33027" xr:uid="{00000000-0005-0000-0000-000051960000}"/>
    <cellStyle name="Normal 7 4 4 7" xfId="44600" xr:uid="{00000000-0005-0000-0000-000052960000}"/>
    <cellStyle name="Normal 7 4 4 8" xfId="45795" xr:uid="{00000000-0005-0000-0000-000053960000}"/>
    <cellStyle name="Normal 7 4 5" xfId="33028" xr:uid="{00000000-0005-0000-0000-000054960000}"/>
    <cellStyle name="Normal 7 4 5 2" xfId="33029" xr:uid="{00000000-0005-0000-0000-000055960000}"/>
    <cellStyle name="Normal 7 4 5 2 2" xfId="41541" xr:uid="{00000000-0005-0000-0000-000056960000}"/>
    <cellStyle name="Normal 7 4 5 3" xfId="33030" xr:uid="{00000000-0005-0000-0000-000057960000}"/>
    <cellStyle name="Normal 7 4 6" xfId="33031" xr:uid="{00000000-0005-0000-0000-000058960000}"/>
    <cellStyle name="Normal 7 4 6 2" xfId="33032" xr:uid="{00000000-0005-0000-0000-000059960000}"/>
    <cellStyle name="Normal 7 4 6 2 2" xfId="41542" xr:uid="{00000000-0005-0000-0000-00005A960000}"/>
    <cellStyle name="Normal 7 4 6 3" xfId="33033" xr:uid="{00000000-0005-0000-0000-00005B960000}"/>
    <cellStyle name="Normal 7 4 7" xfId="33034" xr:uid="{00000000-0005-0000-0000-00005C960000}"/>
    <cellStyle name="Normal 7 4 7 2" xfId="41543" xr:uid="{00000000-0005-0000-0000-00005D960000}"/>
    <cellStyle name="Normal 7 4 8" xfId="33035" xr:uid="{00000000-0005-0000-0000-00005E960000}"/>
    <cellStyle name="Normal 7 5" xfId="1980" xr:uid="{00000000-0005-0000-0000-00005F960000}"/>
    <cellStyle name="Normal 7 5 2" xfId="1981" xr:uid="{00000000-0005-0000-0000-000060960000}"/>
    <cellStyle name="Normal 7 5 2 2" xfId="33036" xr:uid="{00000000-0005-0000-0000-000061960000}"/>
    <cellStyle name="Normal 7 5 2 2 2" xfId="33037" xr:uid="{00000000-0005-0000-0000-000062960000}"/>
    <cellStyle name="Normal 7 5 2 2 2 2" xfId="33038" xr:uid="{00000000-0005-0000-0000-000063960000}"/>
    <cellStyle name="Normal 7 5 2 2 2 2 2" xfId="33039" xr:uid="{00000000-0005-0000-0000-000064960000}"/>
    <cellStyle name="Normal 7 5 2 2 2 2 2 2" xfId="41544" xr:uid="{00000000-0005-0000-0000-000065960000}"/>
    <cellStyle name="Normal 7 5 2 2 2 2 3" xfId="33040" xr:uid="{00000000-0005-0000-0000-000066960000}"/>
    <cellStyle name="Normal 7 5 2 2 2 3" xfId="33041" xr:uid="{00000000-0005-0000-0000-000067960000}"/>
    <cellStyle name="Normal 7 5 2 2 2 3 2" xfId="33042" xr:uid="{00000000-0005-0000-0000-000068960000}"/>
    <cellStyle name="Normal 7 5 2 2 2 3 2 2" xfId="41545" xr:uid="{00000000-0005-0000-0000-000069960000}"/>
    <cellStyle name="Normal 7 5 2 2 2 3 3" xfId="33043" xr:uid="{00000000-0005-0000-0000-00006A960000}"/>
    <cellStyle name="Normal 7 5 2 2 2 4" xfId="33044" xr:uid="{00000000-0005-0000-0000-00006B960000}"/>
    <cellStyle name="Normal 7 5 2 2 2 4 2" xfId="41546" xr:uid="{00000000-0005-0000-0000-00006C960000}"/>
    <cellStyle name="Normal 7 5 2 2 2 5" xfId="33045" xr:uid="{00000000-0005-0000-0000-00006D960000}"/>
    <cellStyle name="Normal 7 5 2 2 3" xfId="33046" xr:uid="{00000000-0005-0000-0000-00006E960000}"/>
    <cellStyle name="Normal 7 5 2 2 3 2" xfId="33047" xr:uid="{00000000-0005-0000-0000-00006F960000}"/>
    <cellStyle name="Normal 7 5 2 2 3 2 2" xfId="41547" xr:uid="{00000000-0005-0000-0000-000070960000}"/>
    <cellStyle name="Normal 7 5 2 2 3 3" xfId="33048" xr:uid="{00000000-0005-0000-0000-000071960000}"/>
    <cellStyle name="Normal 7 5 2 2 4" xfId="33049" xr:uid="{00000000-0005-0000-0000-000072960000}"/>
    <cellStyle name="Normal 7 5 2 2 4 2" xfId="33050" xr:uid="{00000000-0005-0000-0000-000073960000}"/>
    <cellStyle name="Normal 7 5 2 2 4 2 2" xfId="41548" xr:uid="{00000000-0005-0000-0000-000074960000}"/>
    <cellStyle name="Normal 7 5 2 2 4 3" xfId="33051" xr:uid="{00000000-0005-0000-0000-000075960000}"/>
    <cellStyle name="Normal 7 5 2 2 5" xfId="33052" xr:uid="{00000000-0005-0000-0000-000076960000}"/>
    <cellStyle name="Normal 7 5 2 2 5 2" xfId="41549" xr:uid="{00000000-0005-0000-0000-000077960000}"/>
    <cellStyle name="Normal 7 5 2 2 6" xfId="33053" xr:uid="{00000000-0005-0000-0000-000078960000}"/>
    <cellStyle name="Normal 7 5 2 3" xfId="33054" xr:uid="{00000000-0005-0000-0000-000079960000}"/>
    <cellStyle name="Normal 7 5 2 3 2" xfId="33055" xr:uid="{00000000-0005-0000-0000-00007A960000}"/>
    <cellStyle name="Normal 7 5 2 3 2 2" xfId="33056" xr:uid="{00000000-0005-0000-0000-00007B960000}"/>
    <cellStyle name="Normal 7 5 2 3 2 2 2" xfId="41550" xr:uid="{00000000-0005-0000-0000-00007C960000}"/>
    <cellStyle name="Normal 7 5 2 3 2 3" xfId="33057" xr:uid="{00000000-0005-0000-0000-00007D960000}"/>
    <cellStyle name="Normal 7 5 2 3 3" xfId="33058" xr:uid="{00000000-0005-0000-0000-00007E960000}"/>
    <cellStyle name="Normal 7 5 2 3 3 2" xfId="33059" xr:uid="{00000000-0005-0000-0000-00007F960000}"/>
    <cellStyle name="Normal 7 5 2 3 3 2 2" xfId="41551" xr:uid="{00000000-0005-0000-0000-000080960000}"/>
    <cellStyle name="Normal 7 5 2 3 3 3" xfId="33060" xr:uid="{00000000-0005-0000-0000-000081960000}"/>
    <cellStyle name="Normal 7 5 2 3 4" xfId="33061" xr:uid="{00000000-0005-0000-0000-000082960000}"/>
    <cellStyle name="Normal 7 5 2 3 4 2" xfId="41552" xr:uid="{00000000-0005-0000-0000-000083960000}"/>
    <cellStyle name="Normal 7 5 2 3 5" xfId="33062" xr:uid="{00000000-0005-0000-0000-000084960000}"/>
    <cellStyle name="Normal 7 5 2 4" xfId="33063" xr:uid="{00000000-0005-0000-0000-000085960000}"/>
    <cellStyle name="Normal 7 5 2 4 2" xfId="33064" xr:uid="{00000000-0005-0000-0000-000086960000}"/>
    <cellStyle name="Normal 7 5 2 4 2 2" xfId="41553" xr:uid="{00000000-0005-0000-0000-000087960000}"/>
    <cellStyle name="Normal 7 5 2 4 3" xfId="33065" xr:uid="{00000000-0005-0000-0000-000088960000}"/>
    <cellStyle name="Normal 7 5 2 5" xfId="33066" xr:uid="{00000000-0005-0000-0000-000089960000}"/>
    <cellStyle name="Normal 7 5 2 5 2" xfId="33067" xr:uid="{00000000-0005-0000-0000-00008A960000}"/>
    <cellStyle name="Normal 7 5 2 5 2 2" xfId="41554" xr:uid="{00000000-0005-0000-0000-00008B960000}"/>
    <cellStyle name="Normal 7 5 2 5 3" xfId="33068" xr:uid="{00000000-0005-0000-0000-00008C960000}"/>
    <cellStyle name="Normal 7 5 2 6" xfId="33069" xr:uid="{00000000-0005-0000-0000-00008D960000}"/>
    <cellStyle name="Normal 7 5 2 6 2" xfId="41555" xr:uid="{00000000-0005-0000-0000-00008E960000}"/>
    <cellStyle name="Normal 7 5 2 7" xfId="33070" xr:uid="{00000000-0005-0000-0000-00008F960000}"/>
    <cellStyle name="Normal 7 5 2 8" xfId="45796" xr:uid="{00000000-0005-0000-0000-000090960000}"/>
    <cellStyle name="Normal 7 5 3" xfId="1982" xr:uid="{00000000-0005-0000-0000-000091960000}"/>
    <cellStyle name="Normal 7 5 3 2" xfId="33071" xr:uid="{00000000-0005-0000-0000-000092960000}"/>
    <cellStyle name="Normal 7 5 3 2 2" xfId="33072" xr:uid="{00000000-0005-0000-0000-000093960000}"/>
    <cellStyle name="Normal 7 5 3 2 2 2" xfId="33073" xr:uid="{00000000-0005-0000-0000-000094960000}"/>
    <cellStyle name="Normal 7 5 3 2 2 2 2" xfId="41556" xr:uid="{00000000-0005-0000-0000-000095960000}"/>
    <cellStyle name="Normal 7 5 3 2 2 3" xfId="33074" xr:uid="{00000000-0005-0000-0000-000096960000}"/>
    <cellStyle name="Normal 7 5 3 2 3" xfId="33075" xr:uid="{00000000-0005-0000-0000-000097960000}"/>
    <cellStyle name="Normal 7 5 3 2 3 2" xfId="33076" xr:uid="{00000000-0005-0000-0000-000098960000}"/>
    <cellStyle name="Normal 7 5 3 2 3 2 2" xfId="41557" xr:uid="{00000000-0005-0000-0000-000099960000}"/>
    <cellStyle name="Normal 7 5 3 2 3 3" xfId="33077" xr:uid="{00000000-0005-0000-0000-00009A960000}"/>
    <cellStyle name="Normal 7 5 3 2 4" xfId="33078" xr:uid="{00000000-0005-0000-0000-00009B960000}"/>
    <cellStyle name="Normal 7 5 3 2 4 2" xfId="41558" xr:uid="{00000000-0005-0000-0000-00009C960000}"/>
    <cellStyle name="Normal 7 5 3 2 5" xfId="33079" xr:uid="{00000000-0005-0000-0000-00009D960000}"/>
    <cellStyle name="Normal 7 5 3 3" xfId="33080" xr:uid="{00000000-0005-0000-0000-00009E960000}"/>
    <cellStyle name="Normal 7 5 3 3 2" xfId="33081" xr:uid="{00000000-0005-0000-0000-00009F960000}"/>
    <cellStyle name="Normal 7 5 3 3 2 2" xfId="41559" xr:uid="{00000000-0005-0000-0000-0000A0960000}"/>
    <cellStyle name="Normal 7 5 3 3 3" xfId="33082" xr:uid="{00000000-0005-0000-0000-0000A1960000}"/>
    <cellStyle name="Normal 7 5 3 4" xfId="33083" xr:uid="{00000000-0005-0000-0000-0000A2960000}"/>
    <cellStyle name="Normal 7 5 3 4 2" xfId="33084" xr:uid="{00000000-0005-0000-0000-0000A3960000}"/>
    <cellStyle name="Normal 7 5 3 4 2 2" xfId="41560" xr:uid="{00000000-0005-0000-0000-0000A4960000}"/>
    <cellStyle name="Normal 7 5 3 4 3" xfId="33085" xr:uid="{00000000-0005-0000-0000-0000A5960000}"/>
    <cellStyle name="Normal 7 5 3 5" xfId="33086" xr:uid="{00000000-0005-0000-0000-0000A6960000}"/>
    <cellStyle name="Normal 7 5 3 5 2" xfId="41561" xr:uid="{00000000-0005-0000-0000-0000A7960000}"/>
    <cellStyle name="Normal 7 5 3 6" xfId="33087" xr:uid="{00000000-0005-0000-0000-0000A8960000}"/>
    <cellStyle name="Normal 7 5 3 7" xfId="45797" xr:uid="{00000000-0005-0000-0000-0000A9960000}"/>
    <cellStyle name="Normal 7 5 4" xfId="33088" xr:uid="{00000000-0005-0000-0000-0000AA960000}"/>
    <cellStyle name="Normal 7 5 4 2" xfId="33089" xr:uid="{00000000-0005-0000-0000-0000AB960000}"/>
    <cellStyle name="Normal 7 5 4 2 2" xfId="33090" xr:uid="{00000000-0005-0000-0000-0000AC960000}"/>
    <cellStyle name="Normal 7 5 4 2 2 2" xfId="41562" xr:uid="{00000000-0005-0000-0000-0000AD960000}"/>
    <cellStyle name="Normal 7 5 4 2 3" xfId="33091" xr:uid="{00000000-0005-0000-0000-0000AE960000}"/>
    <cellStyle name="Normal 7 5 4 3" xfId="33092" xr:uid="{00000000-0005-0000-0000-0000AF960000}"/>
    <cellStyle name="Normal 7 5 4 3 2" xfId="33093" xr:uid="{00000000-0005-0000-0000-0000B0960000}"/>
    <cellStyle name="Normal 7 5 4 3 2 2" xfId="41563" xr:uid="{00000000-0005-0000-0000-0000B1960000}"/>
    <cellStyle name="Normal 7 5 4 3 3" xfId="33094" xr:uid="{00000000-0005-0000-0000-0000B2960000}"/>
    <cellStyle name="Normal 7 5 4 4" xfId="33095" xr:uid="{00000000-0005-0000-0000-0000B3960000}"/>
    <cellStyle name="Normal 7 5 4 4 2" xfId="41564" xr:uid="{00000000-0005-0000-0000-0000B4960000}"/>
    <cellStyle name="Normal 7 5 4 5" xfId="33096" xr:uid="{00000000-0005-0000-0000-0000B5960000}"/>
    <cellStyle name="Normal 7 5 5" xfId="33097" xr:uid="{00000000-0005-0000-0000-0000B6960000}"/>
    <cellStyle name="Normal 7 5 5 2" xfId="33098" xr:uid="{00000000-0005-0000-0000-0000B7960000}"/>
    <cellStyle name="Normal 7 5 5 2 2" xfId="41565" xr:uid="{00000000-0005-0000-0000-0000B8960000}"/>
    <cellStyle name="Normal 7 5 5 3" xfId="33099" xr:uid="{00000000-0005-0000-0000-0000B9960000}"/>
    <cellStyle name="Normal 7 5 6" xfId="33100" xr:uid="{00000000-0005-0000-0000-0000BA960000}"/>
    <cellStyle name="Normal 7 5 6 2" xfId="33101" xr:uid="{00000000-0005-0000-0000-0000BB960000}"/>
    <cellStyle name="Normal 7 5 6 2 2" xfId="41566" xr:uid="{00000000-0005-0000-0000-0000BC960000}"/>
    <cellStyle name="Normal 7 5 6 3" xfId="33102" xr:uid="{00000000-0005-0000-0000-0000BD960000}"/>
    <cellStyle name="Normal 7 5 7" xfId="33103" xr:uid="{00000000-0005-0000-0000-0000BE960000}"/>
    <cellStyle name="Normal 7 5 7 2" xfId="41567" xr:uid="{00000000-0005-0000-0000-0000BF960000}"/>
    <cellStyle name="Normal 7 5 8" xfId="33104" xr:uid="{00000000-0005-0000-0000-0000C0960000}"/>
    <cellStyle name="Normal 7 5 9" xfId="45798" xr:uid="{00000000-0005-0000-0000-0000C1960000}"/>
    <cellStyle name="Normal 7 6" xfId="1983" xr:uid="{00000000-0005-0000-0000-0000C2960000}"/>
    <cellStyle name="Normal 7 6 2" xfId="33105" xr:uid="{00000000-0005-0000-0000-0000C3960000}"/>
    <cellStyle name="Normal 7 6 2 2" xfId="33106" xr:uid="{00000000-0005-0000-0000-0000C4960000}"/>
    <cellStyle name="Normal 7 6 2 2 2" xfId="33107" xr:uid="{00000000-0005-0000-0000-0000C5960000}"/>
    <cellStyle name="Normal 7 6 2 2 2 2" xfId="33108" xr:uid="{00000000-0005-0000-0000-0000C6960000}"/>
    <cellStyle name="Normal 7 6 2 2 2 2 2" xfId="41568" xr:uid="{00000000-0005-0000-0000-0000C7960000}"/>
    <cellStyle name="Normal 7 6 2 2 2 3" xfId="33109" xr:uid="{00000000-0005-0000-0000-0000C8960000}"/>
    <cellStyle name="Normal 7 6 2 2 3" xfId="33110" xr:uid="{00000000-0005-0000-0000-0000C9960000}"/>
    <cellStyle name="Normal 7 6 2 2 3 2" xfId="33111" xr:uid="{00000000-0005-0000-0000-0000CA960000}"/>
    <cellStyle name="Normal 7 6 2 2 3 2 2" xfId="41569" xr:uid="{00000000-0005-0000-0000-0000CB960000}"/>
    <cellStyle name="Normal 7 6 2 2 3 3" xfId="33112" xr:uid="{00000000-0005-0000-0000-0000CC960000}"/>
    <cellStyle name="Normal 7 6 2 2 4" xfId="33113" xr:uid="{00000000-0005-0000-0000-0000CD960000}"/>
    <cellStyle name="Normal 7 6 2 2 4 2" xfId="41570" xr:uid="{00000000-0005-0000-0000-0000CE960000}"/>
    <cellStyle name="Normal 7 6 2 2 5" xfId="33114" xr:uid="{00000000-0005-0000-0000-0000CF960000}"/>
    <cellStyle name="Normal 7 6 2 3" xfId="33115" xr:uid="{00000000-0005-0000-0000-0000D0960000}"/>
    <cellStyle name="Normal 7 6 2 3 2" xfId="33116" xr:uid="{00000000-0005-0000-0000-0000D1960000}"/>
    <cellStyle name="Normal 7 6 2 3 2 2" xfId="41571" xr:uid="{00000000-0005-0000-0000-0000D2960000}"/>
    <cellStyle name="Normal 7 6 2 3 3" xfId="33117" xr:uid="{00000000-0005-0000-0000-0000D3960000}"/>
    <cellStyle name="Normal 7 6 2 4" xfId="33118" xr:uid="{00000000-0005-0000-0000-0000D4960000}"/>
    <cellStyle name="Normal 7 6 2 4 2" xfId="33119" xr:uid="{00000000-0005-0000-0000-0000D5960000}"/>
    <cellStyle name="Normal 7 6 2 4 2 2" xfId="41572" xr:uid="{00000000-0005-0000-0000-0000D6960000}"/>
    <cellStyle name="Normal 7 6 2 4 3" xfId="33120" xr:uid="{00000000-0005-0000-0000-0000D7960000}"/>
    <cellStyle name="Normal 7 6 2 5" xfId="33121" xr:uid="{00000000-0005-0000-0000-0000D8960000}"/>
    <cellStyle name="Normal 7 6 2 5 2" xfId="41573" xr:uid="{00000000-0005-0000-0000-0000D9960000}"/>
    <cellStyle name="Normal 7 6 2 6" xfId="33122" xr:uid="{00000000-0005-0000-0000-0000DA960000}"/>
    <cellStyle name="Normal 7 6 3" xfId="33123" xr:uid="{00000000-0005-0000-0000-0000DB960000}"/>
    <cellStyle name="Normal 7 6 3 2" xfId="33124" xr:uid="{00000000-0005-0000-0000-0000DC960000}"/>
    <cellStyle name="Normal 7 6 3 2 2" xfId="33125" xr:uid="{00000000-0005-0000-0000-0000DD960000}"/>
    <cellStyle name="Normal 7 6 3 2 2 2" xfId="41574" xr:uid="{00000000-0005-0000-0000-0000DE960000}"/>
    <cellStyle name="Normal 7 6 3 2 3" xfId="33126" xr:uid="{00000000-0005-0000-0000-0000DF960000}"/>
    <cellStyle name="Normal 7 6 3 3" xfId="33127" xr:uid="{00000000-0005-0000-0000-0000E0960000}"/>
    <cellStyle name="Normal 7 6 3 3 2" xfId="33128" xr:uid="{00000000-0005-0000-0000-0000E1960000}"/>
    <cellStyle name="Normal 7 6 3 3 2 2" xfId="41575" xr:uid="{00000000-0005-0000-0000-0000E2960000}"/>
    <cellStyle name="Normal 7 6 3 3 3" xfId="33129" xr:uid="{00000000-0005-0000-0000-0000E3960000}"/>
    <cellStyle name="Normal 7 6 3 4" xfId="33130" xr:uid="{00000000-0005-0000-0000-0000E4960000}"/>
    <cellStyle name="Normal 7 6 3 4 2" xfId="41576" xr:uid="{00000000-0005-0000-0000-0000E5960000}"/>
    <cellStyle name="Normal 7 6 3 5" xfId="33131" xr:uid="{00000000-0005-0000-0000-0000E6960000}"/>
    <cellStyle name="Normal 7 6 4" xfId="33132" xr:uid="{00000000-0005-0000-0000-0000E7960000}"/>
    <cellStyle name="Normal 7 6 4 2" xfId="33133" xr:uid="{00000000-0005-0000-0000-0000E8960000}"/>
    <cellStyle name="Normal 7 6 4 2 2" xfId="41577" xr:uid="{00000000-0005-0000-0000-0000E9960000}"/>
    <cellStyle name="Normal 7 6 4 3" xfId="33134" xr:uid="{00000000-0005-0000-0000-0000EA960000}"/>
    <cellStyle name="Normal 7 6 5" xfId="33135" xr:uid="{00000000-0005-0000-0000-0000EB960000}"/>
    <cellStyle name="Normal 7 6 5 2" xfId="33136" xr:uid="{00000000-0005-0000-0000-0000EC960000}"/>
    <cellStyle name="Normal 7 6 5 2 2" xfId="41578" xr:uid="{00000000-0005-0000-0000-0000ED960000}"/>
    <cellStyle name="Normal 7 6 5 3" xfId="33137" xr:uid="{00000000-0005-0000-0000-0000EE960000}"/>
    <cellStyle name="Normal 7 6 6" xfId="33138" xr:uid="{00000000-0005-0000-0000-0000EF960000}"/>
    <cellStyle name="Normal 7 6 6 2" xfId="41579" xr:uid="{00000000-0005-0000-0000-0000F0960000}"/>
    <cellStyle name="Normal 7 6 7" xfId="33139" xr:uid="{00000000-0005-0000-0000-0000F1960000}"/>
    <cellStyle name="Normal 7 6 8" xfId="45799" xr:uid="{00000000-0005-0000-0000-0000F2960000}"/>
    <cellStyle name="Normal 7 7" xfId="1984" xr:uid="{00000000-0005-0000-0000-0000F3960000}"/>
    <cellStyle name="Normal 7 7 2" xfId="33140" xr:uid="{00000000-0005-0000-0000-0000F4960000}"/>
    <cellStyle name="Normal 7 7 2 2" xfId="33141" xr:uid="{00000000-0005-0000-0000-0000F5960000}"/>
    <cellStyle name="Normal 7 7 2 2 2" xfId="33142" xr:uid="{00000000-0005-0000-0000-0000F6960000}"/>
    <cellStyle name="Normal 7 7 2 2 2 2" xfId="41580" xr:uid="{00000000-0005-0000-0000-0000F7960000}"/>
    <cellStyle name="Normal 7 7 2 2 3" xfId="33143" xr:uid="{00000000-0005-0000-0000-0000F8960000}"/>
    <cellStyle name="Normal 7 7 2 3" xfId="33144" xr:uid="{00000000-0005-0000-0000-0000F9960000}"/>
    <cellStyle name="Normal 7 7 2 3 2" xfId="33145" xr:uid="{00000000-0005-0000-0000-0000FA960000}"/>
    <cellStyle name="Normal 7 7 2 3 2 2" xfId="41581" xr:uid="{00000000-0005-0000-0000-0000FB960000}"/>
    <cellStyle name="Normal 7 7 2 3 3" xfId="33146" xr:uid="{00000000-0005-0000-0000-0000FC960000}"/>
    <cellStyle name="Normal 7 7 2 4" xfId="33147" xr:uid="{00000000-0005-0000-0000-0000FD960000}"/>
    <cellStyle name="Normal 7 7 2 4 2" xfId="41582" xr:uid="{00000000-0005-0000-0000-0000FE960000}"/>
    <cellStyle name="Normal 7 7 2 5" xfId="33148" xr:uid="{00000000-0005-0000-0000-0000FF960000}"/>
    <cellStyle name="Normal 7 7 3" xfId="33149" xr:uid="{00000000-0005-0000-0000-000000970000}"/>
    <cellStyle name="Normal 7 7 3 2" xfId="33150" xr:uid="{00000000-0005-0000-0000-000001970000}"/>
    <cellStyle name="Normal 7 7 3 2 2" xfId="41583" xr:uid="{00000000-0005-0000-0000-000002970000}"/>
    <cellStyle name="Normal 7 7 3 3" xfId="33151" xr:uid="{00000000-0005-0000-0000-000003970000}"/>
    <cellStyle name="Normal 7 7 4" xfId="33152" xr:uid="{00000000-0005-0000-0000-000004970000}"/>
    <cellStyle name="Normal 7 7 4 2" xfId="33153" xr:uid="{00000000-0005-0000-0000-000005970000}"/>
    <cellStyle name="Normal 7 7 4 2 2" xfId="41584" xr:uid="{00000000-0005-0000-0000-000006970000}"/>
    <cellStyle name="Normal 7 7 4 3" xfId="33154" xr:uid="{00000000-0005-0000-0000-000007970000}"/>
    <cellStyle name="Normal 7 7 5" xfId="33155" xr:uid="{00000000-0005-0000-0000-000008970000}"/>
    <cellStyle name="Normal 7 7 5 2" xfId="41585" xr:uid="{00000000-0005-0000-0000-000009970000}"/>
    <cellStyle name="Normal 7 7 6" xfId="33156" xr:uid="{00000000-0005-0000-0000-00000A970000}"/>
    <cellStyle name="Normal 7 7 7" xfId="45800" xr:uid="{00000000-0005-0000-0000-00000B970000}"/>
    <cellStyle name="Normal 7 8" xfId="1985" xr:uid="{00000000-0005-0000-0000-00000C970000}"/>
    <cellStyle name="Normal 7 8 2" xfId="33157" xr:uid="{00000000-0005-0000-0000-00000D970000}"/>
    <cellStyle name="Normal 7 8 2 2" xfId="33158" xr:uid="{00000000-0005-0000-0000-00000E970000}"/>
    <cellStyle name="Normal 7 8 2 2 2" xfId="41586" xr:uid="{00000000-0005-0000-0000-00000F970000}"/>
    <cellStyle name="Normal 7 8 2 3" xfId="33159" xr:uid="{00000000-0005-0000-0000-000010970000}"/>
    <cellStyle name="Normal 7 8 3" xfId="33160" xr:uid="{00000000-0005-0000-0000-000011970000}"/>
    <cellStyle name="Normal 7 8 3 2" xfId="33161" xr:uid="{00000000-0005-0000-0000-000012970000}"/>
    <cellStyle name="Normal 7 8 3 2 2" xfId="41587" xr:uid="{00000000-0005-0000-0000-000013970000}"/>
    <cellStyle name="Normal 7 8 3 3" xfId="33162" xr:uid="{00000000-0005-0000-0000-000014970000}"/>
    <cellStyle name="Normal 7 8 4" xfId="33163" xr:uid="{00000000-0005-0000-0000-000015970000}"/>
    <cellStyle name="Normal 7 8 4 2" xfId="41588" xr:uid="{00000000-0005-0000-0000-000016970000}"/>
    <cellStyle name="Normal 7 8 5" xfId="33164" xr:uid="{00000000-0005-0000-0000-000017970000}"/>
    <cellStyle name="Normal 7 9" xfId="1986" xr:uid="{00000000-0005-0000-0000-000018970000}"/>
    <cellStyle name="Normal 7 9 2" xfId="33165" xr:uid="{00000000-0005-0000-0000-000019970000}"/>
    <cellStyle name="Normal 7 9 2 2" xfId="41589" xr:uid="{00000000-0005-0000-0000-00001A970000}"/>
    <cellStyle name="Normal 7 9 3" xfId="33166" xr:uid="{00000000-0005-0000-0000-00001B970000}"/>
    <cellStyle name="Normal 7_2112 Salary" xfId="33167" xr:uid="{00000000-0005-0000-0000-00001C970000}"/>
    <cellStyle name="Normal 70" xfId="507" xr:uid="{00000000-0005-0000-0000-00001D970000}"/>
    <cellStyle name="Normal 70 2" xfId="1987" xr:uid="{00000000-0005-0000-0000-00001E970000}"/>
    <cellStyle name="Normal 70 2 2" xfId="41590" xr:uid="{00000000-0005-0000-0000-00001F970000}"/>
    <cellStyle name="Normal 70 3" xfId="1988" xr:uid="{00000000-0005-0000-0000-000020970000}"/>
    <cellStyle name="Normal 70 3 2" xfId="41591" xr:uid="{00000000-0005-0000-0000-000021970000}"/>
    <cellStyle name="Normal 70 4" xfId="41592" xr:uid="{00000000-0005-0000-0000-000022970000}"/>
    <cellStyle name="Normal 70 5" xfId="41593" xr:uid="{00000000-0005-0000-0000-000023970000}"/>
    <cellStyle name="Normal 71" xfId="508" xr:uid="{00000000-0005-0000-0000-000024970000}"/>
    <cellStyle name="Normal 71 2" xfId="2606" xr:uid="{00000000-0005-0000-0000-000025970000}"/>
    <cellStyle name="Normal 71 2 2" xfId="3633" xr:uid="{00000000-0005-0000-0000-000026970000}"/>
    <cellStyle name="Normal 71 2 3" xfId="3374" xr:uid="{00000000-0005-0000-0000-000027970000}"/>
    <cellStyle name="Normal 71 3" xfId="3632" xr:uid="{00000000-0005-0000-0000-000028970000}"/>
    <cellStyle name="Normal 71 4" xfId="3116" xr:uid="{00000000-0005-0000-0000-000029970000}"/>
    <cellStyle name="Normal 71 5" xfId="2594" xr:uid="{00000000-0005-0000-0000-00002A970000}"/>
    <cellStyle name="Normal 72" xfId="509" xr:uid="{00000000-0005-0000-0000-00002B970000}"/>
    <cellStyle name="Normal 72 2" xfId="3375" xr:uid="{00000000-0005-0000-0000-00002C970000}"/>
    <cellStyle name="Normal 72 2 2" xfId="33168" xr:uid="{00000000-0005-0000-0000-00002D970000}"/>
    <cellStyle name="Normal 72 2 2 2" xfId="33169" xr:uid="{00000000-0005-0000-0000-00002E970000}"/>
    <cellStyle name="Normal 72 2 2 2 2" xfId="33170" xr:uid="{00000000-0005-0000-0000-00002F970000}"/>
    <cellStyle name="Normal 72 2 2 2 2 2" xfId="41594" xr:uid="{00000000-0005-0000-0000-000030970000}"/>
    <cellStyle name="Normal 72 2 2 2 3" xfId="33171" xr:uid="{00000000-0005-0000-0000-000031970000}"/>
    <cellStyle name="Normal 72 2 2 3" xfId="33172" xr:uid="{00000000-0005-0000-0000-000032970000}"/>
    <cellStyle name="Normal 72 2 2 3 2" xfId="33173" xr:uid="{00000000-0005-0000-0000-000033970000}"/>
    <cellStyle name="Normal 72 2 2 3 2 2" xfId="41595" xr:uid="{00000000-0005-0000-0000-000034970000}"/>
    <cellStyle name="Normal 72 2 2 3 3" xfId="33174" xr:uid="{00000000-0005-0000-0000-000035970000}"/>
    <cellStyle name="Normal 72 2 2 4" xfId="33175" xr:uid="{00000000-0005-0000-0000-000036970000}"/>
    <cellStyle name="Normal 72 2 2 4 2" xfId="41596" xr:uid="{00000000-0005-0000-0000-000037970000}"/>
    <cellStyle name="Normal 72 2 2 5" xfId="33176" xr:uid="{00000000-0005-0000-0000-000038970000}"/>
    <cellStyle name="Normal 72 2 3" xfId="33177" xr:uid="{00000000-0005-0000-0000-000039970000}"/>
    <cellStyle name="Normal 72 2 3 2" xfId="33178" xr:uid="{00000000-0005-0000-0000-00003A970000}"/>
    <cellStyle name="Normal 72 2 3 2 2" xfId="41597" xr:uid="{00000000-0005-0000-0000-00003B970000}"/>
    <cellStyle name="Normal 72 2 3 3" xfId="33179" xr:uid="{00000000-0005-0000-0000-00003C970000}"/>
    <cellStyle name="Normal 72 2 4" xfId="33180" xr:uid="{00000000-0005-0000-0000-00003D970000}"/>
    <cellStyle name="Normal 72 2 4 2" xfId="33181" xr:uid="{00000000-0005-0000-0000-00003E970000}"/>
    <cellStyle name="Normal 72 2 4 2 2" xfId="41598" xr:uid="{00000000-0005-0000-0000-00003F970000}"/>
    <cellStyle name="Normal 72 2 4 3" xfId="33182" xr:uid="{00000000-0005-0000-0000-000040970000}"/>
    <cellStyle name="Normal 72 2 5" xfId="33183" xr:uid="{00000000-0005-0000-0000-000041970000}"/>
    <cellStyle name="Normal 72 2 5 2" xfId="41599" xr:uid="{00000000-0005-0000-0000-000042970000}"/>
    <cellStyle name="Normal 72 2 6" xfId="33184" xr:uid="{00000000-0005-0000-0000-000043970000}"/>
    <cellStyle name="Normal 72 3" xfId="33185" xr:uid="{00000000-0005-0000-0000-000044970000}"/>
    <cellStyle name="Normal 72 3 2" xfId="33186" xr:uid="{00000000-0005-0000-0000-000045970000}"/>
    <cellStyle name="Normal 72 3 2 2" xfId="33187" xr:uid="{00000000-0005-0000-0000-000046970000}"/>
    <cellStyle name="Normal 72 3 2 2 2" xfId="41600" xr:uid="{00000000-0005-0000-0000-000047970000}"/>
    <cellStyle name="Normal 72 3 2 3" xfId="33188" xr:uid="{00000000-0005-0000-0000-000048970000}"/>
    <cellStyle name="Normal 72 3 3" xfId="33189" xr:uid="{00000000-0005-0000-0000-000049970000}"/>
    <cellStyle name="Normal 72 3 3 2" xfId="33190" xr:uid="{00000000-0005-0000-0000-00004A970000}"/>
    <cellStyle name="Normal 72 3 3 2 2" xfId="41601" xr:uid="{00000000-0005-0000-0000-00004B970000}"/>
    <cellStyle name="Normal 72 3 3 3" xfId="33191" xr:uid="{00000000-0005-0000-0000-00004C970000}"/>
    <cellStyle name="Normal 72 3 4" xfId="33192" xr:uid="{00000000-0005-0000-0000-00004D970000}"/>
    <cellStyle name="Normal 72 3 4 2" xfId="41602" xr:uid="{00000000-0005-0000-0000-00004E970000}"/>
    <cellStyle name="Normal 72 3 5" xfId="33193" xr:uid="{00000000-0005-0000-0000-00004F970000}"/>
    <cellStyle name="Normal 72 4" xfId="33194" xr:uid="{00000000-0005-0000-0000-000050970000}"/>
    <cellStyle name="Normal 72 4 2" xfId="33195" xr:uid="{00000000-0005-0000-0000-000051970000}"/>
    <cellStyle name="Normal 72 4 2 2" xfId="41603" xr:uid="{00000000-0005-0000-0000-000052970000}"/>
    <cellStyle name="Normal 72 4 3" xfId="33196" xr:uid="{00000000-0005-0000-0000-000053970000}"/>
    <cellStyle name="Normal 72 5" xfId="33197" xr:uid="{00000000-0005-0000-0000-000054970000}"/>
    <cellStyle name="Normal 72 5 2" xfId="33198" xr:uid="{00000000-0005-0000-0000-000055970000}"/>
    <cellStyle name="Normal 72 5 2 2" xfId="41604" xr:uid="{00000000-0005-0000-0000-000056970000}"/>
    <cellStyle name="Normal 72 5 3" xfId="33199" xr:uid="{00000000-0005-0000-0000-000057970000}"/>
    <cellStyle name="Normal 72 6" xfId="33200" xr:uid="{00000000-0005-0000-0000-000058970000}"/>
    <cellStyle name="Normal 72 6 2" xfId="41605" xr:uid="{00000000-0005-0000-0000-000059970000}"/>
    <cellStyle name="Normal 72 7" xfId="33201" xr:uid="{00000000-0005-0000-0000-00005A970000}"/>
    <cellStyle name="Normal 72 8" xfId="41606" xr:uid="{00000000-0005-0000-0000-00005B970000}"/>
    <cellStyle name="Normal 73" xfId="510" xr:uid="{00000000-0005-0000-0000-00005C970000}"/>
    <cellStyle name="Normal 73 2" xfId="33202" xr:uid="{00000000-0005-0000-0000-00005D970000}"/>
    <cellStyle name="Normal 73 2 2" xfId="41607" xr:uid="{00000000-0005-0000-0000-00005E970000}"/>
    <cellStyle name="Normal 73 3" xfId="41608" xr:uid="{00000000-0005-0000-0000-00005F970000}"/>
    <cellStyle name="Normal 73 4" xfId="41609" xr:uid="{00000000-0005-0000-0000-000060970000}"/>
    <cellStyle name="Normal 74" xfId="511" xr:uid="{00000000-0005-0000-0000-000061970000}"/>
    <cellStyle name="Normal 74 2" xfId="41610" xr:uid="{00000000-0005-0000-0000-000062970000}"/>
    <cellStyle name="Normal 74 3" xfId="41611" xr:uid="{00000000-0005-0000-0000-000063970000}"/>
    <cellStyle name="Normal 75" xfId="512" xr:uid="{00000000-0005-0000-0000-000064970000}"/>
    <cellStyle name="Normal 75 2" xfId="41612" xr:uid="{00000000-0005-0000-0000-000065970000}"/>
    <cellStyle name="Normal 75 3" xfId="41613" xr:uid="{00000000-0005-0000-0000-000066970000}"/>
    <cellStyle name="Normal 76" xfId="513" xr:uid="{00000000-0005-0000-0000-000067970000}"/>
    <cellStyle name="Normal 76 2" xfId="41614" xr:uid="{00000000-0005-0000-0000-000068970000}"/>
    <cellStyle name="Normal 76 3" xfId="41615" xr:uid="{00000000-0005-0000-0000-000069970000}"/>
    <cellStyle name="Normal 77" xfId="514" xr:uid="{00000000-0005-0000-0000-00006A970000}"/>
    <cellStyle name="Normal 77 2" xfId="41616" xr:uid="{00000000-0005-0000-0000-00006B970000}"/>
    <cellStyle name="Normal 77 3" xfId="41617" xr:uid="{00000000-0005-0000-0000-00006C970000}"/>
    <cellStyle name="Normal 78" xfId="515" xr:uid="{00000000-0005-0000-0000-00006D970000}"/>
    <cellStyle name="Normal 78 2" xfId="41618" xr:uid="{00000000-0005-0000-0000-00006E970000}"/>
    <cellStyle name="Normal 78 3" xfId="41619" xr:uid="{00000000-0005-0000-0000-00006F970000}"/>
    <cellStyle name="Normal 79" xfId="516" xr:uid="{00000000-0005-0000-0000-000070970000}"/>
    <cellStyle name="Normal 79 2" xfId="41620" xr:uid="{00000000-0005-0000-0000-000071970000}"/>
    <cellStyle name="Normal 79 3" xfId="41621" xr:uid="{00000000-0005-0000-0000-000072970000}"/>
    <cellStyle name="Normal 8" xfId="54" xr:uid="{00000000-0005-0000-0000-000073970000}"/>
    <cellStyle name="Normal 8 10" xfId="33203" xr:uid="{00000000-0005-0000-0000-000074970000}"/>
    <cellStyle name="Normal 8 10 2" xfId="41622" xr:uid="{00000000-0005-0000-0000-000075970000}"/>
    <cellStyle name="Normal 8 11" xfId="33204" xr:uid="{00000000-0005-0000-0000-000076970000}"/>
    <cellStyle name="Normal 8 11 2" xfId="43864" xr:uid="{00000000-0005-0000-0000-000077970000}"/>
    <cellStyle name="Normal 8 12" xfId="41623" xr:uid="{00000000-0005-0000-0000-000078970000}"/>
    <cellStyle name="Normal 8 2" xfId="517" xr:uid="{00000000-0005-0000-0000-000079970000}"/>
    <cellStyle name="Normal 8 2 10" xfId="41624" xr:uid="{00000000-0005-0000-0000-00007A970000}"/>
    <cellStyle name="Normal 8 2 11" xfId="41625" xr:uid="{00000000-0005-0000-0000-00007B970000}"/>
    <cellStyle name="Normal 8 2 2" xfId="518" xr:uid="{00000000-0005-0000-0000-00007C970000}"/>
    <cellStyle name="Normal 8 2 2 2" xfId="1989" xr:uid="{00000000-0005-0000-0000-00007D970000}"/>
    <cellStyle name="Normal 8 2 2 2 10" xfId="46267" xr:uid="{00000000-0005-0000-0000-00007E970000}"/>
    <cellStyle name="Normal 8 2 2 2 2" xfId="1990" xr:uid="{00000000-0005-0000-0000-00007F970000}"/>
    <cellStyle name="Normal 8 2 2 2 2 2" xfId="33205" xr:uid="{00000000-0005-0000-0000-000080970000}"/>
    <cellStyle name="Normal 8 2 2 2 2 2 2" xfId="33206" xr:uid="{00000000-0005-0000-0000-000081970000}"/>
    <cellStyle name="Normal 8 2 2 2 2 2 2 2" xfId="33207" xr:uid="{00000000-0005-0000-0000-000082970000}"/>
    <cellStyle name="Normal 8 2 2 2 2 2 2 2 2" xfId="41626" xr:uid="{00000000-0005-0000-0000-000083970000}"/>
    <cellStyle name="Normal 8 2 2 2 2 2 2 3" xfId="33208" xr:uid="{00000000-0005-0000-0000-000084970000}"/>
    <cellStyle name="Normal 8 2 2 2 2 2 3" xfId="33209" xr:uid="{00000000-0005-0000-0000-000085970000}"/>
    <cellStyle name="Normal 8 2 2 2 2 2 3 2" xfId="33210" xr:uid="{00000000-0005-0000-0000-000086970000}"/>
    <cellStyle name="Normal 8 2 2 2 2 2 3 2 2" xfId="41627" xr:uid="{00000000-0005-0000-0000-000087970000}"/>
    <cellStyle name="Normal 8 2 2 2 2 2 3 3" xfId="33211" xr:uid="{00000000-0005-0000-0000-000088970000}"/>
    <cellStyle name="Normal 8 2 2 2 2 2 4" xfId="33212" xr:uid="{00000000-0005-0000-0000-000089970000}"/>
    <cellStyle name="Normal 8 2 2 2 2 2 4 2" xfId="41628" xr:uid="{00000000-0005-0000-0000-00008A970000}"/>
    <cellStyle name="Normal 8 2 2 2 2 2 5" xfId="33213" xr:uid="{00000000-0005-0000-0000-00008B970000}"/>
    <cellStyle name="Normal 8 2 2 2 2 3" xfId="33214" xr:uid="{00000000-0005-0000-0000-00008C970000}"/>
    <cellStyle name="Normal 8 2 2 2 2 3 2" xfId="33215" xr:uid="{00000000-0005-0000-0000-00008D970000}"/>
    <cellStyle name="Normal 8 2 2 2 2 3 2 2" xfId="41629" xr:uid="{00000000-0005-0000-0000-00008E970000}"/>
    <cellStyle name="Normal 8 2 2 2 2 3 3" xfId="33216" xr:uid="{00000000-0005-0000-0000-00008F970000}"/>
    <cellStyle name="Normal 8 2 2 2 2 4" xfId="33217" xr:uid="{00000000-0005-0000-0000-000090970000}"/>
    <cellStyle name="Normal 8 2 2 2 2 4 2" xfId="33218" xr:uid="{00000000-0005-0000-0000-000091970000}"/>
    <cellStyle name="Normal 8 2 2 2 2 4 2 2" xfId="41630" xr:uid="{00000000-0005-0000-0000-000092970000}"/>
    <cellStyle name="Normal 8 2 2 2 2 4 3" xfId="33219" xr:uid="{00000000-0005-0000-0000-000093970000}"/>
    <cellStyle name="Normal 8 2 2 2 2 5" xfId="33220" xr:uid="{00000000-0005-0000-0000-000094970000}"/>
    <cellStyle name="Normal 8 2 2 2 2 5 2" xfId="41631" xr:uid="{00000000-0005-0000-0000-000095970000}"/>
    <cellStyle name="Normal 8 2 2 2 2 6" xfId="33221" xr:uid="{00000000-0005-0000-0000-000096970000}"/>
    <cellStyle name="Normal 8 2 2 2 2 7" xfId="45801" xr:uid="{00000000-0005-0000-0000-000097970000}"/>
    <cellStyle name="Normal 8 2 2 2 3" xfId="33222" xr:uid="{00000000-0005-0000-0000-000098970000}"/>
    <cellStyle name="Normal 8 2 2 2 3 2" xfId="33223" xr:uid="{00000000-0005-0000-0000-000099970000}"/>
    <cellStyle name="Normal 8 2 2 2 3 2 2" xfId="33224" xr:uid="{00000000-0005-0000-0000-00009A970000}"/>
    <cellStyle name="Normal 8 2 2 2 3 2 2 2" xfId="41632" xr:uid="{00000000-0005-0000-0000-00009B970000}"/>
    <cellStyle name="Normal 8 2 2 2 3 2 3" xfId="33225" xr:uid="{00000000-0005-0000-0000-00009C970000}"/>
    <cellStyle name="Normal 8 2 2 2 3 3" xfId="33226" xr:uid="{00000000-0005-0000-0000-00009D970000}"/>
    <cellStyle name="Normal 8 2 2 2 3 3 2" xfId="33227" xr:uid="{00000000-0005-0000-0000-00009E970000}"/>
    <cellStyle name="Normal 8 2 2 2 3 3 2 2" xfId="41633" xr:uid="{00000000-0005-0000-0000-00009F970000}"/>
    <cellStyle name="Normal 8 2 2 2 3 3 3" xfId="33228" xr:uid="{00000000-0005-0000-0000-0000A0970000}"/>
    <cellStyle name="Normal 8 2 2 2 3 4" xfId="33229" xr:uid="{00000000-0005-0000-0000-0000A1970000}"/>
    <cellStyle name="Normal 8 2 2 2 3 4 2" xfId="41634" xr:uid="{00000000-0005-0000-0000-0000A2970000}"/>
    <cellStyle name="Normal 8 2 2 2 3 5" xfId="33230" xr:uid="{00000000-0005-0000-0000-0000A3970000}"/>
    <cellStyle name="Normal 8 2 2 2 4" xfId="33231" xr:uid="{00000000-0005-0000-0000-0000A4970000}"/>
    <cellStyle name="Normal 8 2 2 2 4 2" xfId="33232" xr:uid="{00000000-0005-0000-0000-0000A5970000}"/>
    <cellStyle name="Normal 8 2 2 2 4 2 2" xfId="41635" xr:uid="{00000000-0005-0000-0000-0000A6970000}"/>
    <cellStyle name="Normal 8 2 2 2 4 3" xfId="33233" xr:uid="{00000000-0005-0000-0000-0000A7970000}"/>
    <cellStyle name="Normal 8 2 2 2 5" xfId="33234" xr:uid="{00000000-0005-0000-0000-0000A8970000}"/>
    <cellStyle name="Normal 8 2 2 2 5 2" xfId="33235" xr:uid="{00000000-0005-0000-0000-0000A9970000}"/>
    <cellStyle name="Normal 8 2 2 2 5 2 2" xfId="41636" xr:uid="{00000000-0005-0000-0000-0000AA970000}"/>
    <cellStyle name="Normal 8 2 2 2 5 3" xfId="33236" xr:uid="{00000000-0005-0000-0000-0000AB970000}"/>
    <cellStyle name="Normal 8 2 2 2 6" xfId="33237" xr:uid="{00000000-0005-0000-0000-0000AC970000}"/>
    <cellStyle name="Normal 8 2 2 2 6 2" xfId="41637" xr:uid="{00000000-0005-0000-0000-0000AD970000}"/>
    <cellStyle name="Normal 8 2 2 2 7" xfId="33238" xr:uid="{00000000-0005-0000-0000-0000AE970000}"/>
    <cellStyle name="Normal 8 2 2 2 8" xfId="33239" xr:uid="{00000000-0005-0000-0000-0000AF970000}"/>
    <cellStyle name="Normal 8 2 2 2 9" xfId="45802" xr:uid="{00000000-0005-0000-0000-0000B0970000}"/>
    <cellStyle name="Normal 8 2 2 3" xfId="1991" xr:uid="{00000000-0005-0000-0000-0000B1970000}"/>
    <cellStyle name="Normal 8 2 2 3 2" xfId="33240" xr:uid="{00000000-0005-0000-0000-0000B2970000}"/>
    <cellStyle name="Normal 8 2 2 3 2 2" xfId="33241" xr:uid="{00000000-0005-0000-0000-0000B3970000}"/>
    <cellStyle name="Normal 8 2 2 3 2 2 2" xfId="33242" xr:uid="{00000000-0005-0000-0000-0000B4970000}"/>
    <cellStyle name="Normal 8 2 2 3 2 2 2 2" xfId="41638" xr:uid="{00000000-0005-0000-0000-0000B5970000}"/>
    <cellStyle name="Normal 8 2 2 3 2 2 3" xfId="33243" xr:uid="{00000000-0005-0000-0000-0000B6970000}"/>
    <cellStyle name="Normal 8 2 2 3 2 3" xfId="33244" xr:uid="{00000000-0005-0000-0000-0000B7970000}"/>
    <cellStyle name="Normal 8 2 2 3 2 3 2" xfId="33245" xr:uid="{00000000-0005-0000-0000-0000B8970000}"/>
    <cellStyle name="Normal 8 2 2 3 2 3 2 2" xfId="41639" xr:uid="{00000000-0005-0000-0000-0000B9970000}"/>
    <cellStyle name="Normal 8 2 2 3 2 3 3" xfId="33246" xr:uid="{00000000-0005-0000-0000-0000BA970000}"/>
    <cellStyle name="Normal 8 2 2 3 2 4" xfId="33247" xr:uid="{00000000-0005-0000-0000-0000BB970000}"/>
    <cellStyle name="Normal 8 2 2 3 2 4 2" xfId="41640" xr:uid="{00000000-0005-0000-0000-0000BC970000}"/>
    <cellStyle name="Normal 8 2 2 3 2 5" xfId="33248" xr:uid="{00000000-0005-0000-0000-0000BD970000}"/>
    <cellStyle name="Normal 8 2 2 3 3" xfId="33249" xr:uid="{00000000-0005-0000-0000-0000BE970000}"/>
    <cellStyle name="Normal 8 2 2 3 3 2" xfId="33250" xr:uid="{00000000-0005-0000-0000-0000BF970000}"/>
    <cellStyle name="Normal 8 2 2 3 3 2 2" xfId="41641" xr:uid="{00000000-0005-0000-0000-0000C0970000}"/>
    <cellStyle name="Normal 8 2 2 3 3 3" xfId="33251" xr:uid="{00000000-0005-0000-0000-0000C1970000}"/>
    <cellStyle name="Normal 8 2 2 3 4" xfId="33252" xr:uid="{00000000-0005-0000-0000-0000C2970000}"/>
    <cellStyle name="Normal 8 2 2 3 4 2" xfId="33253" xr:uid="{00000000-0005-0000-0000-0000C3970000}"/>
    <cellStyle name="Normal 8 2 2 3 4 2 2" xfId="41642" xr:uid="{00000000-0005-0000-0000-0000C4970000}"/>
    <cellStyle name="Normal 8 2 2 3 4 3" xfId="33254" xr:uid="{00000000-0005-0000-0000-0000C5970000}"/>
    <cellStyle name="Normal 8 2 2 3 5" xfId="33255" xr:uid="{00000000-0005-0000-0000-0000C6970000}"/>
    <cellStyle name="Normal 8 2 2 3 5 2" xfId="41643" xr:uid="{00000000-0005-0000-0000-0000C7970000}"/>
    <cellStyle name="Normal 8 2 2 3 6" xfId="33256" xr:uid="{00000000-0005-0000-0000-0000C8970000}"/>
    <cellStyle name="Normal 8 2 2 3 7" xfId="45803" xr:uid="{00000000-0005-0000-0000-0000C9970000}"/>
    <cellStyle name="Normal 8 2 2 4" xfId="33257" xr:uid="{00000000-0005-0000-0000-0000CA970000}"/>
    <cellStyle name="Normal 8 2 2 4 2" xfId="33258" xr:uid="{00000000-0005-0000-0000-0000CB970000}"/>
    <cellStyle name="Normal 8 2 2 4 2 2" xfId="33259" xr:uid="{00000000-0005-0000-0000-0000CC970000}"/>
    <cellStyle name="Normal 8 2 2 4 2 2 2" xfId="41644" xr:uid="{00000000-0005-0000-0000-0000CD970000}"/>
    <cellStyle name="Normal 8 2 2 4 2 3" xfId="33260" xr:uid="{00000000-0005-0000-0000-0000CE970000}"/>
    <cellStyle name="Normal 8 2 2 4 3" xfId="33261" xr:uid="{00000000-0005-0000-0000-0000CF970000}"/>
    <cellStyle name="Normal 8 2 2 4 3 2" xfId="33262" xr:uid="{00000000-0005-0000-0000-0000D0970000}"/>
    <cellStyle name="Normal 8 2 2 4 3 2 2" xfId="41645" xr:uid="{00000000-0005-0000-0000-0000D1970000}"/>
    <cellStyle name="Normal 8 2 2 4 3 3" xfId="33263" xr:uid="{00000000-0005-0000-0000-0000D2970000}"/>
    <cellStyle name="Normal 8 2 2 4 4" xfId="33264" xr:uid="{00000000-0005-0000-0000-0000D3970000}"/>
    <cellStyle name="Normal 8 2 2 4 4 2" xfId="41646" xr:uid="{00000000-0005-0000-0000-0000D4970000}"/>
    <cellStyle name="Normal 8 2 2 4 5" xfId="33265" xr:uid="{00000000-0005-0000-0000-0000D5970000}"/>
    <cellStyle name="Normal 8 2 2 5" xfId="33266" xr:uid="{00000000-0005-0000-0000-0000D6970000}"/>
    <cellStyle name="Normal 8 2 2 5 2" xfId="33267" xr:uid="{00000000-0005-0000-0000-0000D7970000}"/>
    <cellStyle name="Normal 8 2 2 5 2 2" xfId="41647" xr:uid="{00000000-0005-0000-0000-0000D8970000}"/>
    <cellStyle name="Normal 8 2 2 5 3" xfId="33268" xr:uid="{00000000-0005-0000-0000-0000D9970000}"/>
    <cellStyle name="Normal 8 2 2 6" xfId="33269" xr:uid="{00000000-0005-0000-0000-0000DA970000}"/>
    <cellStyle name="Normal 8 2 2 6 2" xfId="33270" xr:uid="{00000000-0005-0000-0000-0000DB970000}"/>
    <cellStyle name="Normal 8 2 2 6 2 2" xfId="41648" xr:uid="{00000000-0005-0000-0000-0000DC970000}"/>
    <cellStyle name="Normal 8 2 2 6 3" xfId="33271" xr:uid="{00000000-0005-0000-0000-0000DD970000}"/>
    <cellStyle name="Normal 8 2 2 7" xfId="33272" xr:uid="{00000000-0005-0000-0000-0000DE970000}"/>
    <cellStyle name="Normal 8 2 2 7 2" xfId="41649" xr:uid="{00000000-0005-0000-0000-0000DF970000}"/>
    <cellStyle name="Normal 8 2 2 8" xfId="33273" xr:uid="{00000000-0005-0000-0000-0000E0970000}"/>
    <cellStyle name="Normal 8 2 2 9" xfId="41650" xr:uid="{00000000-0005-0000-0000-0000E1970000}"/>
    <cellStyle name="Normal 8 2 3" xfId="519" xr:uid="{00000000-0005-0000-0000-0000E2970000}"/>
    <cellStyle name="Normal 8 2 3 2" xfId="1992" xr:uid="{00000000-0005-0000-0000-0000E3970000}"/>
    <cellStyle name="Normal 8 2 3 2 2" xfId="33274" xr:uid="{00000000-0005-0000-0000-0000E4970000}"/>
    <cellStyle name="Normal 8 2 3 2 2 2" xfId="33275" xr:uid="{00000000-0005-0000-0000-0000E5970000}"/>
    <cellStyle name="Normal 8 2 3 2 2 2 2" xfId="33276" xr:uid="{00000000-0005-0000-0000-0000E6970000}"/>
    <cellStyle name="Normal 8 2 3 2 2 2 2 2" xfId="41651" xr:uid="{00000000-0005-0000-0000-0000E7970000}"/>
    <cellStyle name="Normal 8 2 3 2 2 2 3" xfId="33277" xr:uid="{00000000-0005-0000-0000-0000E8970000}"/>
    <cellStyle name="Normal 8 2 3 2 2 3" xfId="33278" xr:uid="{00000000-0005-0000-0000-0000E9970000}"/>
    <cellStyle name="Normal 8 2 3 2 2 3 2" xfId="33279" xr:uid="{00000000-0005-0000-0000-0000EA970000}"/>
    <cellStyle name="Normal 8 2 3 2 2 3 2 2" xfId="41652" xr:uid="{00000000-0005-0000-0000-0000EB970000}"/>
    <cellStyle name="Normal 8 2 3 2 2 3 3" xfId="33280" xr:uid="{00000000-0005-0000-0000-0000EC970000}"/>
    <cellStyle name="Normal 8 2 3 2 2 4" xfId="33281" xr:uid="{00000000-0005-0000-0000-0000ED970000}"/>
    <cellStyle name="Normal 8 2 3 2 2 4 2" xfId="41653" xr:uid="{00000000-0005-0000-0000-0000EE970000}"/>
    <cellStyle name="Normal 8 2 3 2 2 5" xfId="33282" xr:uid="{00000000-0005-0000-0000-0000EF970000}"/>
    <cellStyle name="Normal 8 2 3 2 3" xfId="33283" xr:uid="{00000000-0005-0000-0000-0000F0970000}"/>
    <cellStyle name="Normal 8 2 3 2 3 2" xfId="33284" xr:uid="{00000000-0005-0000-0000-0000F1970000}"/>
    <cellStyle name="Normal 8 2 3 2 3 2 2" xfId="41654" xr:uid="{00000000-0005-0000-0000-0000F2970000}"/>
    <cellStyle name="Normal 8 2 3 2 3 3" xfId="33285" xr:uid="{00000000-0005-0000-0000-0000F3970000}"/>
    <cellStyle name="Normal 8 2 3 2 4" xfId="33286" xr:uid="{00000000-0005-0000-0000-0000F4970000}"/>
    <cellStyle name="Normal 8 2 3 2 4 2" xfId="33287" xr:uid="{00000000-0005-0000-0000-0000F5970000}"/>
    <cellStyle name="Normal 8 2 3 2 4 2 2" xfId="41655" xr:uid="{00000000-0005-0000-0000-0000F6970000}"/>
    <cellStyle name="Normal 8 2 3 2 4 3" xfId="33288" xr:uid="{00000000-0005-0000-0000-0000F7970000}"/>
    <cellStyle name="Normal 8 2 3 2 5" xfId="33289" xr:uid="{00000000-0005-0000-0000-0000F8970000}"/>
    <cellStyle name="Normal 8 2 3 2 5 2" xfId="41656" xr:uid="{00000000-0005-0000-0000-0000F9970000}"/>
    <cellStyle name="Normal 8 2 3 2 6" xfId="33290" xr:uid="{00000000-0005-0000-0000-0000FA970000}"/>
    <cellStyle name="Normal 8 2 3 2 7" xfId="45804" xr:uid="{00000000-0005-0000-0000-0000FB970000}"/>
    <cellStyle name="Normal 8 2 3 3" xfId="1993" xr:uid="{00000000-0005-0000-0000-0000FC970000}"/>
    <cellStyle name="Normal 8 2 3 3 2" xfId="33291" xr:uid="{00000000-0005-0000-0000-0000FD970000}"/>
    <cellStyle name="Normal 8 2 3 3 2 2" xfId="33292" xr:uid="{00000000-0005-0000-0000-0000FE970000}"/>
    <cellStyle name="Normal 8 2 3 3 2 2 2" xfId="41657" xr:uid="{00000000-0005-0000-0000-0000FF970000}"/>
    <cellStyle name="Normal 8 2 3 3 2 3" xfId="33293" xr:uid="{00000000-0005-0000-0000-000000980000}"/>
    <cellStyle name="Normal 8 2 3 3 3" xfId="33294" xr:uid="{00000000-0005-0000-0000-000001980000}"/>
    <cellStyle name="Normal 8 2 3 3 3 2" xfId="33295" xr:uid="{00000000-0005-0000-0000-000002980000}"/>
    <cellStyle name="Normal 8 2 3 3 3 2 2" xfId="41658" xr:uid="{00000000-0005-0000-0000-000003980000}"/>
    <cellStyle name="Normal 8 2 3 3 3 3" xfId="33296" xr:uid="{00000000-0005-0000-0000-000004980000}"/>
    <cellStyle name="Normal 8 2 3 3 4" xfId="33297" xr:uid="{00000000-0005-0000-0000-000005980000}"/>
    <cellStyle name="Normal 8 2 3 3 4 2" xfId="41659" xr:uid="{00000000-0005-0000-0000-000006980000}"/>
    <cellStyle name="Normal 8 2 3 3 5" xfId="33298" xr:uid="{00000000-0005-0000-0000-000007980000}"/>
    <cellStyle name="Normal 8 2 3 3 6" xfId="45805" xr:uid="{00000000-0005-0000-0000-000008980000}"/>
    <cellStyle name="Normal 8 2 3 4" xfId="33299" xr:uid="{00000000-0005-0000-0000-000009980000}"/>
    <cellStyle name="Normal 8 2 3 4 2" xfId="33300" xr:uid="{00000000-0005-0000-0000-00000A980000}"/>
    <cellStyle name="Normal 8 2 3 4 2 2" xfId="41660" xr:uid="{00000000-0005-0000-0000-00000B980000}"/>
    <cellStyle name="Normal 8 2 3 4 3" xfId="33301" xr:uid="{00000000-0005-0000-0000-00000C980000}"/>
    <cellStyle name="Normal 8 2 3 4 4" xfId="33302" xr:uid="{00000000-0005-0000-0000-00000D980000}"/>
    <cellStyle name="Normal 8 2 3 4 5" xfId="44601" xr:uid="{00000000-0005-0000-0000-00000E980000}"/>
    <cellStyle name="Normal 8 2 3 4 6" xfId="45806" xr:uid="{00000000-0005-0000-0000-00000F980000}"/>
    <cellStyle name="Normal 8 2 3 5" xfId="33303" xr:uid="{00000000-0005-0000-0000-000010980000}"/>
    <cellStyle name="Normal 8 2 3 5 2" xfId="33304" xr:uid="{00000000-0005-0000-0000-000011980000}"/>
    <cellStyle name="Normal 8 2 3 5 2 2" xfId="41661" xr:uid="{00000000-0005-0000-0000-000012980000}"/>
    <cellStyle name="Normal 8 2 3 5 3" xfId="33305" xr:uid="{00000000-0005-0000-0000-000013980000}"/>
    <cellStyle name="Normal 8 2 3 6" xfId="33306" xr:uid="{00000000-0005-0000-0000-000014980000}"/>
    <cellStyle name="Normal 8 2 3 6 2" xfId="41662" xr:uid="{00000000-0005-0000-0000-000015980000}"/>
    <cellStyle name="Normal 8 2 3 7" xfId="33307" xr:uid="{00000000-0005-0000-0000-000016980000}"/>
    <cellStyle name="Normal 8 2 4" xfId="1994" xr:uid="{00000000-0005-0000-0000-000017980000}"/>
    <cellStyle name="Normal 8 2 4 2" xfId="33308" xr:uid="{00000000-0005-0000-0000-000018980000}"/>
    <cellStyle name="Normal 8 2 4 2 2" xfId="33309" xr:uid="{00000000-0005-0000-0000-000019980000}"/>
    <cellStyle name="Normal 8 2 4 2 2 2" xfId="33310" xr:uid="{00000000-0005-0000-0000-00001A980000}"/>
    <cellStyle name="Normal 8 2 4 2 2 2 2" xfId="41663" xr:uid="{00000000-0005-0000-0000-00001B980000}"/>
    <cellStyle name="Normal 8 2 4 2 2 3" xfId="33311" xr:uid="{00000000-0005-0000-0000-00001C980000}"/>
    <cellStyle name="Normal 8 2 4 2 3" xfId="33312" xr:uid="{00000000-0005-0000-0000-00001D980000}"/>
    <cellStyle name="Normal 8 2 4 2 3 2" xfId="33313" xr:uid="{00000000-0005-0000-0000-00001E980000}"/>
    <cellStyle name="Normal 8 2 4 2 3 2 2" xfId="41664" xr:uid="{00000000-0005-0000-0000-00001F980000}"/>
    <cellStyle name="Normal 8 2 4 2 3 3" xfId="33314" xr:uid="{00000000-0005-0000-0000-000020980000}"/>
    <cellStyle name="Normal 8 2 4 2 4" xfId="33315" xr:uid="{00000000-0005-0000-0000-000021980000}"/>
    <cellStyle name="Normal 8 2 4 2 4 2" xfId="41665" xr:uid="{00000000-0005-0000-0000-000022980000}"/>
    <cellStyle name="Normal 8 2 4 2 5" xfId="33316" xr:uid="{00000000-0005-0000-0000-000023980000}"/>
    <cellStyle name="Normal 8 2 4 3" xfId="33317" xr:uid="{00000000-0005-0000-0000-000024980000}"/>
    <cellStyle name="Normal 8 2 4 3 2" xfId="33318" xr:uid="{00000000-0005-0000-0000-000025980000}"/>
    <cellStyle name="Normal 8 2 4 3 2 2" xfId="41666" xr:uid="{00000000-0005-0000-0000-000026980000}"/>
    <cellStyle name="Normal 8 2 4 3 3" xfId="33319" xr:uid="{00000000-0005-0000-0000-000027980000}"/>
    <cellStyle name="Normal 8 2 4 4" xfId="33320" xr:uid="{00000000-0005-0000-0000-000028980000}"/>
    <cellStyle name="Normal 8 2 4 4 2" xfId="33321" xr:uid="{00000000-0005-0000-0000-000029980000}"/>
    <cellStyle name="Normal 8 2 4 4 2 2" xfId="41667" xr:uid="{00000000-0005-0000-0000-00002A980000}"/>
    <cellStyle name="Normal 8 2 4 4 3" xfId="33322" xr:uid="{00000000-0005-0000-0000-00002B980000}"/>
    <cellStyle name="Normal 8 2 4 5" xfId="33323" xr:uid="{00000000-0005-0000-0000-00002C980000}"/>
    <cellStyle name="Normal 8 2 4 5 2" xfId="41668" xr:uid="{00000000-0005-0000-0000-00002D980000}"/>
    <cellStyle name="Normal 8 2 4 6" xfId="33324" xr:uid="{00000000-0005-0000-0000-00002E980000}"/>
    <cellStyle name="Normal 8 2 4 7" xfId="45807" xr:uid="{00000000-0005-0000-0000-00002F980000}"/>
    <cellStyle name="Normal 8 2 5" xfId="1995" xr:uid="{00000000-0005-0000-0000-000030980000}"/>
    <cellStyle name="Normal 8 2 5 2" xfId="33325" xr:uid="{00000000-0005-0000-0000-000031980000}"/>
    <cellStyle name="Normal 8 2 5 2 2" xfId="33326" xr:uid="{00000000-0005-0000-0000-000032980000}"/>
    <cellStyle name="Normal 8 2 5 2 2 2" xfId="41669" xr:uid="{00000000-0005-0000-0000-000033980000}"/>
    <cellStyle name="Normal 8 2 5 2 3" xfId="33327" xr:uid="{00000000-0005-0000-0000-000034980000}"/>
    <cellStyle name="Normal 8 2 5 3" xfId="33328" xr:uid="{00000000-0005-0000-0000-000035980000}"/>
    <cellStyle name="Normal 8 2 5 3 2" xfId="33329" xr:uid="{00000000-0005-0000-0000-000036980000}"/>
    <cellStyle name="Normal 8 2 5 3 2 2" xfId="41670" xr:uid="{00000000-0005-0000-0000-000037980000}"/>
    <cellStyle name="Normal 8 2 5 3 3" xfId="33330" xr:uid="{00000000-0005-0000-0000-000038980000}"/>
    <cellStyle name="Normal 8 2 5 4" xfId="33331" xr:uid="{00000000-0005-0000-0000-000039980000}"/>
    <cellStyle name="Normal 8 2 5 4 2" xfId="41671" xr:uid="{00000000-0005-0000-0000-00003A980000}"/>
    <cellStyle name="Normal 8 2 5 5" xfId="33332" xr:uid="{00000000-0005-0000-0000-00003B980000}"/>
    <cellStyle name="Normal 8 2 5 6" xfId="45808" xr:uid="{00000000-0005-0000-0000-00003C980000}"/>
    <cellStyle name="Normal 8 2 6" xfId="1996" xr:uid="{00000000-0005-0000-0000-00003D980000}"/>
    <cellStyle name="Normal 8 2 6 2" xfId="33333" xr:uid="{00000000-0005-0000-0000-00003E980000}"/>
    <cellStyle name="Normal 8 2 6 2 2" xfId="41672" xr:uid="{00000000-0005-0000-0000-00003F980000}"/>
    <cellStyle name="Normal 8 2 6 3" xfId="33334" xr:uid="{00000000-0005-0000-0000-000040980000}"/>
    <cellStyle name="Normal 8 2 7" xfId="33335" xr:uid="{00000000-0005-0000-0000-000041980000}"/>
    <cellStyle name="Normal 8 2 7 2" xfId="33336" xr:uid="{00000000-0005-0000-0000-000042980000}"/>
    <cellStyle name="Normal 8 2 7 2 2" xfId="41673" xr:uid="{00000000-0005-0000-0000-000043980000}"/>
    <cellStyle name="Normal 8 2 7 3" xfId="33337" xr:uid="{00000000-0005-0000-0000-000044980000}"/>
    <cellStyle name="Normal 8 2 8" xfId="33338" xr:uid="{00000000-0005-0000-0000-000045980000}"/>
    <cellStyle name="Normal 8 2 8 2" xfId="41674" xr:uid="{00000000-0005-0000-0000-000046980000}"/>
    <cellStyle name="Normal 8 2 9" xfId="33339" xr:uid="{00000000-0005-0000-0000-000047980000}"/>
    <cellStyle name="Normal 8 2 9 2" xfId="41675" xr:uid="{00000000-0005-0000-0000-000048980000}"/>
    <cellStyle name="Normal 8 3" xfId="520" xr:uid="{00000000-0005-0000-0000-000049980000}"/>
    <cellStyle name="Normal 8 3 10" xfId="45809" xr:uid="{00000000-0005-0000-0000-00004A980000}"/>
    <cellStyle name="Normal 8 3 2" xfId="1997" xr:uid="{00000000-0005-0000-0000-00004B980000}"/>
    <cellStyle name="Normal 8 3 2 2" xfId="1998" xr:uid="{00000000-0005-0000-0000-00004C980000}"/>
    <cellStyle name="Normal 8 3 2 2 2" xfId="33340" xr:uid="{00000000-0005-0000-0000-00004D980000}"/>
    <cellStyle name="Normal 8 3 2 2 2 2" xfId="33341" xr:uid="{00000000-0005-0000-0000-00004E980000}"/>
    <cellStyle name="Normal 8 3 2 2 2 2 2" xfId="33342" xr:uid="{00000000-0005-0000-0000-00004F980000}"/>
    <cellStyle name="Normal 8 3 2 2 2 2 2 2" xfId="41676" xr:uid="{00000000-0005-0000-0000-000050980000}"/>
    <cellStyle name="Normal 8 3 2 2 2 2 3" xfId="33343" xr:uid="{00000000-0005-0000-0000-000051980000}"/>
    <cellStyle name="Normal 8 3 2 2 2 3" xfId="33344" xr:uid="{00000000-0005-0000-0000-000052980000}"/>
    <cellStyle name="Normal 8 3 2 2 2 3 2" xfId="33345" xr:uid="{00000000-0005-0000-0000-000053980000}"/>
    <cellStyle name="Normal 8 3 2 2 2 3 2 2" xfId="41677" xr:uid="{00000000-0005-0000-0000-000054980000}"/>
    <cellStyle name="Normal 8 3 2 2 2 3 3" xfId="33346" xr:uid="{00000000-0005-0000-0000-000055980000}"/>
    <cellStyle name="Normal 8 3 2 2 2 4" xfId="33347" xr:uid="{00000000-0005-0000-0000-000056980000}"/>
    <cellStyle name="Normal 8 3 2 2 2 4 2" xfId="41678" xr:uid="{00000000-0005-0000-0000-000057980000}"/>
    <cellStyle name="Normal 8 3 2 2 2 5" xfId="33348" xr:uid="{00000000-0005-0000-0000-000058980000}"/>
    <cellStyle name="Normal 8 3 2 2 3" xfId="33349" xr:uid="{00000000-0005-0000-0000-000059980000}"/>
    <cellStyle name="Normal 8 3 2 2 3 2" xfId="33350" xr:uid="{00000000-0005-0000-0000-00005A980000}"/>
    <cellStyle name="Normal 8 3 2 2 3 2 2" xfId="41679" xr:uid="{00000000-0005-0000-0000-00005B980000}"/>
    <cellStyle name="Normal 8 3 2 2 3 3" xfId="33351" xr:uid="{00000000-0005-0000-0000-00005C980000}"/>
    <cellStyle name="Normal 8 3 2 2 4" xfId="33352" xr:uid="{00000000-0005-0000-0000-00005D980000}"/>
    <cellStyle name="Normal 8 3 2 2 4 2" xfId="33353" xr:uid="{00000000-0005-0000-0000-00005E980000}"/>
    <cellStyle name="Normal 8 3 2 2 4 2 2" xfId="41680" xr:uid="{00000000-0005-0000-0000-00005F980000}"/>
    <cellStyle name="Normal 8 3 2 2 4 3" xfId="33354" xr:uid="{00000000-0005-0000-0000-000060980000}"/>
    <cellStyle name="Normal 8 3 2 2 5" xfId="33355" xr:uid="{00000000-0005-0000-0000-000061980000}"/>
    <cellStyle name="Normal 8 3 2 2 5 2" xfId="41681" xr:uid="{00000000-0005-0000-0000-000062980000}"/>
    <cellStyle name="Normal 8 3 2 2 6" xfId="33356" xr:uid="{00000000-0005-0000-0000-000063980000}"/>
    <cellStyle name="Normal 8 3 2 2 7" xfId="45810" xr:uid="{00000000-0005-0000-0000-000064980000}"/>
    <cellStyle name="Normal 8 3 2 3" xfId="33357" xr:uid="{00000000-0005-0000-0000-000065980000}"/>
    <cellStyle name="Normal 8 3 2 3 2" xfId="33358" xr:uid="{00000000-0005-0000-0000-000066980000}"/>
    <cellStyle name="Normal 8 3 2 3 2 2" xfId="33359" xr:uid="{00000000-0005-0000-0000-000067980000}"/>
    <cellStyle name="Normal 8 3 2 3 2 2 2" xfId="41682" xr:uid="{00000000-0005-0000-0000-000068980000}"/>
    <cellStyle name="Normal 8 3 2 3 2 3" xfId="33360" xr:uid="{00000000-0005-0000-0000-000069980000}"/>
    <cellStyle name="Normal 8 3 2 3 3" xfId="33361" xr:uid="{00000000-0005-0000-0000-00006A980000}"/>
    <cellStyle name="Normal 8 3 2 3 3 2" xfId="33362" xr:uid="{00000000-0005-0000-0000-00006B980000}"/>
    <cellStyle name="Normal 8 3 2 3 3 2 2" xfId="41683" xr:uid="{00000000-0005-0000-0000-00006C980000}"/>
    <cellStyle name="Normal 8 3 2 3 3 3" xfId="33363" xr:uid="{00000000-0005-0000-0000-00006D980000}"/>
    <cellStyle name="Normal 8 3 2 3 4" xfId="33364" xr:uid="{00000000-0005-0000-0000-00006E980000}"/>
    <cellStyle name="Normal 8 3 2 3 4 2" xfId="41684" xr:uid="{00000000-0005-0000-0000-00006F980000}"/>
    <cellStyle name="Normal 8 3 2 3 5" xfId="33365" xr:uid="{00000000-0005-0000-0000-000070980000}"/>
    <cellStyle name="Normal 8 3 2 4" xfId="33366" xr:uid="{00000000-0005-0000-0000-000071980000}"/>
    <cellStyle name="Normal 8 3 2 4 2" xfId="33367" xr:uid="{00000000-0005-0000-0000-000072980000}"/>
    <cellStyle name="Normal 8 3 2 4 2 2" xfId="41685" xr:uid="{00000000-0005-0000-0000-000073980000}"/>
    <cellStyle name="Normal 8 3 2 4 3" xfId="33368" xr:uid="{00000000-0005-0000-0000-000074980000}"/>
    <cellStyle name="Normal 8 3 2 5" xfId="33369" xr:uid="{00000000-0005-0000-0000-000075980000}"/>
    <cellStyle name="Normal 8 3 2 5 2" xfId="33370" xr:uid="{00000000-0005-0000-0000-000076980000}"/>
    <cellStyle name="Normal 8 3 2 5 2 2" xfId="41686" xr:uid="{00000000-0005-0000-0000-000077980000}"/>
    <cellStyle name="Normal 8 3 2 5 3" xfId="33371" xr:uid="{00000000-0005-0000-0000-000078980000}"/>
    <cellStyle name="Normal 8 3 2 6" xfId="33372" xr:uid="{00000000-0005-0000-0000-000079980000}"/>
    <cellStyle name="Normal 8 3 2 6 2" xfId="41687" xr:uid="{00000000-0005-0000-0000-00007A980000}"/>
    <cellStyle name="Normal 8 3 2 7" xfId="33373" xr:uid="{00000000-0005-0000-0000-00007B980000}"/>
    <cellStyle name="Normal 8 3 2 8" xfId="45811" xr:uid="{00000000-0005-0000-0000-00007C980000}"/>
    <cellStyle name="Normal 8 3 3" xfId="1999" xr:uid="{00000000-0005-0000-0000-00007D980000}"/>
    <cellStyle name="Normal 8 3 3 2" xfId="33374" xr:uid="{00000000-0005-0000-0000-00007E980000}"/>
    <cellStyle name="Normal 8 3 3 2 2" xfId="33375" xr:uid="{00000000-0005-0000-0000-00007F980000}"/>
    <cellStyle name="Normal 8 3 3 2 2 2" xfId="33376" xr:uid="{00000000-0005-0000-0000-000080980000}"/>
    <cellStyle name="Normal 8 3 3 2 2 2 2" xfId="41688" xr:uid="{00000000-0005-0000-0000-000081980000}"/>
    <cellStyle name="Normal 8 3 3 2 2 3" xfId="33377" xr:uid="{00000000-0005-0000-0000-000082980000}"/>
    <cellStyle name="Normal 8 3 3 2 3" xfId="33378" xr:uid="{00000000-0005-0000-0000-000083980000}"/>
    <cellStyle name="Normal 8 3 3 2 3 2" xfId="33379" xr:uid="{00000000-0005-0000-0000-000084980000}"/>
    <cellStyle name="Normal 8 3 3 2 3 2 2" xfId="41689" xr:uid="{00000000-0005-0000-0000-000085980000}"/>
    <cellStyle name="Normal 8 3 3 2 3 3" xfId="33380" xr:uid="{00000000-0005-0000-0000-000086980000}"/>
    <cellStyle name="Normal 8 3 3 2 4" xfId="33381" xr:uid="{00000000-0005-0000-0000-000087980000}"/>
    <cellStyle name="Normal 8 3 3 2 4 2" xfId="41690" xr:uid="{00000000-0005-0000-0000-000088980000}"/>
    <cellStyle name="Normal 8 3 3 2 5" xfId="33382" xr:uid="{00000000-0005-0000-0000-000089980000}"/>
    <cellStyle name="Normal 8 3 3 3" xfId="33383" xr:uid="{00000000-0005-0000-0000-00008A980000}"/>
    <cellStyle name="Normal 8 3 3 3 2" xfId="33384" xr:uid="{00000000-0005-0000-0000-00008B980000}"/>
    <cellStyle name="Normal 8 3 3 3 2 2" xfId="41691" xr:uid="{00000000-0005-0000-0000-00008C980000}"/>
    <cellStyle name="Normal 8 3 3 3 3" xfId="33385" xr:uid="{00000000-0005-0000-0000-00008D980000}"/>
    <cellStyle name="Normal 8 3 3 4" xfId="33386" xr:uid="{00000000-0005-0000-0000-00008E980000}"/>
    <cellStyle name="Normal 8 3 3 4 2" xfId="33387" xr:uid="{00000000-0005-0000-0000-00008F980000}"/>
    <cellStyle name="Normal 8 3 3 4 2 2" xfId="41692" xr:uid="{00000000-0005-0000-0000-000090980000}"/>
    <cellStyle name="Normal 8 3 3 4 3" xfId="33388" xr:uid="{00000000-0005-0000-0000-000091980000}"/>
    <cellStyle name="Normal 8 3 3 5" xfId="33389" xr:uid="{00000000-0005-0000-0000-000092980000}"/>
    <cellStyle name="Normal 8 3 3 5 2" xfId="41693" xr:uid="{00000000-0005-0000-0000-000093980000}"/>
    <cellStyle name="Normal 8 3 3 6" xfId="33390" xr:uid="{00000000-0005-0000-0000-000094980000}"/>
    <cellStyle name="Normal 8 3 3 7" xfId="45812" xr:uid="{00000000-0005-0000-0000-000095980000}"/>
    <cellStyle name="Normal 8 3 4" xfId="2000" xr:uid="{00000000-0005-0000-0000-000096980000}"/>
    <cellStyle name="Normal 8 3 4 2" xfId="33391" xr:uid="{00000000-0005-0000-0000-000097980000}"/>
    <cellStyle name="Normal 8 3 4 2 2" xfId="33392" xr:uid="{00000000-0005-0000-0000-000098980000}"/>
    <cellStyle name="Normal 8 3 4 2 2 2" xfId="41694" xr:uid="{00000000-0005-0000-0000-000099980000}"/>
    <cellStyle name="Normal 8 3 4 2 3" xfId="33393" xr:uid="{00000000-0005-0000-0000-00009A980000}"/>
    <cellStyle name="Normal 8 3 4 3" xfId="33394" xr:uid="{00000000-0005-0000-0000-00009B980000}"/>
    <cellStyle name="Normal 8 3 4 3 2" xfId="33395" xr:uid="{00000000-0005-0000-0000-00009C980000}"/>
    <cellStyle name="Normal 8 3 4 3 2 2" xfId="41695" xr:uid="{00000000-0005-0000-0000-00009D980000}"/>
    <cellStyle name="Normal 8 3 4 3 3" xfId="33396" xr:uid="{00000000-0005-0000-0000-00009E980000}"/>
    <cellStyle name="Normal 8 3 4 4" xfId="33397" xr:uid="{00000000-0005-0000-0000-00009F980000}"/>
    <cellStyle name="Normal 8 3 4 4 2" xfId="41696" xr:uid="{00000000-0005-0000-0000-0000A0980000}"/>
    <cellStyle name="Normal 8 3 4 5" xfId="33398" xr:uid="{00000000-0005-0000-0000-0000A1980000}"/>
    <cellStyle name="Normal 8 3 4 6" xfId="45813" xr:uid="{00000000-0005-0000-0000-0000A2980000}"/>
    <cellStyle name="Normal 8 3 5" xfId="2001" xr:uid="{00000000-0005-0000-0000-0000A3980000}"/>
    <cellStyle name="Normal 8 3 5 2" xfId="33399" xr:uid="{00000000-0005-0000-0000-0000A4980000}"/>
    <cellStyle name="Normal 8 3 5 2 2" xfId="41697" xr:uid="{00000000-0005-0000-0000-0000A5980000}"/>
    <cellStyle name="Normal 8 3 5 3" xfId="33400" xr:uid="{00000000-0005-0000-0000-0000A6980000}"/>
    <cellStyle name="Normal 8 3 5 4" xfId="45814" xr:uid="{00000000-0005-0000-0000-0000A7980000}"/>
    <cellStyle name="Normal 8 3 6" xfId="33401" xr:uid="{00000000-0005-0000-0000-0000A8980000}"/>
    <cellStyle name="Normal 8 3 6 2" xfId="33402" xr:uid="{00000000-0005-0000-0000-0000A9980000}"/>
    <cellStyle name="Normal 8 3 6 2 2" xfId="41698" xr:uid="{00000000-0005-0000-0000-0000AA980000}"/>
    <cellStyle name="Normal 8 3 6 3" xfId="33403" xr:uid="{00000000-0005-0000-0000-0000AB980000}"/>
    <cellStyle name="Normal 8 3 7" xfId="33404" xr:uid="{00000000-0005-0000-0000-0000AC980000}"/>
    <cellStyle name="Normal 8 3 7 2" xfId="41699" xr:uid="{00000000-0005-0000-0000-0000AD980000}"/>
    <cellStyle name="Normal 8 3 8" xfId="33405" xr:uid="{00000000-0005-0000-0000-0000AE980000}"/>
    <cellStyle name="Normal 8 3 9" xfId="41700" xr:uid="{00000000-0005-0000-0000-0000AF980000}"/>
    <cellStyle name="Normal 8 4" xfId="521" xr:uid="{00000000-0005-0000-0000-0000B0980000}"/>
    <cellStyle name="Normal 8 4 2" xfId="2002" xr:uid="{00000000-0005-0000-0000-0000B1980000}"/>
    <cellStyle name="Normal 8 4 2 2" xfId="33406" xr:uid="{00000000-0005-0000-0000-0000B2980000}"/>
    <cellStyle name="Normal 8 4 2 2 2" xfId="33407" xr:uid="{00000000-0005-0000-0000-0000B3980000}"/>
    <cellStyle name="Normal 8 4 2 2 2 2" xfId="33408" xr:uid="{00000000-0005-0000-0000-0000B4980000}"/>
    <cellStyle name="Normal 8 4 2 2 2 2 2" xfId="33409" xr:uid="{00000000-0005-0000-0000-0000B5980000}"/>
    <cellStyle name="Normal 8 4 2 2 2 2 2 2" xfId="41701" xr:uid="{00000000-0005-0000-0000-0000B6980000}"/>
    <cellStyle name="Normal 8 4 2 2 2 2 3" xfId="33410" xr:uid="{00000000-0005-0000-0000-0000B7980000}"/>
    <cellStyle name="Normal 8 4 2 2 2 3" xfId="33411" xr:uid="{00000000-0005-0000-0000-0000B8980000}"/>
    <cellStyle name="Normal 8 4 2 2 2 3 2" xfId="33412" xr:uid="{00000000-0005-0000-0000-0000B9980000}"/>
    <cellStyle name="Normal 8 4 2 2 2 3 2 2" xfId="41702" xr:uid="{00000000-0005-0000-0000-0000BA980000}"/>
    <cellStyle name="Normal 8 4 2 2 2 3 3" xfId="33413" xr:uid="{00000000-0005-0000-0000-0000BB980000}"/>
    <cellStyle name="Normal 8 4 2 2 2 4" xfId="33414" xr:uid="{00000000-0005-0000-0000-0000BC980000}"/>
    <cellStyle name="Normal 8 4 2 2 2 4 2" xfId="41703" xr:uid="{00000000-0005-0000-0000-0000BD980000}"/>
    <cellStyle name="Normal 8 4 2 2 2 5" xfId="33415" xr:uid="{00000000-0005-0000-0000-0000BE980000}"/>
    <cellStyle name="Normal 8 4 2 2 3" xfId="33416" xr:uid="{00000000-0005-0000-0000-0000BF980000}"/>
    <cellStyle name="Normal 8 4 2 2 3 2" xfId="33417" xr:uid="{00000000-0005-0000-0000-0000C0980000}"/>
    <cellStyle name="Normal 8 4 2 2 3 2 2" xfId="41704" xr:uid="{00000000-0005-0000-0000-0000C1980000}"/>
    <cellStyle name="Normal 8 4 2 2 3 3" xfId="33418" xr:uid="{00000000-0005-0000-0000-0000C2980000}"/>
    <cellStyle name="Normal 8 4 2 2 4" xfId="33419" xr:uid="{00000000-0005-0000-0000-0000C3980000}"/>
    <cellStyle name="Normal 8 4 2 2 4 2" xfId="33420" xr:uid="{00000000-0005-0000-0000-0000C4980000}"/>
    <cellStyle name="Normal 8 4 2 2 4 2 2" xfId="41705" xr:uid="{00000000-0005-0000-0000-0000C5980000}"/>
    <cellStyle name="Normal 8 4 2 2 4 3" xfId="33421" xr:uid="{00000000-0005-0000-0000-0000C6980000}"/>
    <cellStyle name="Normal 8 4 2 2 5" xfId="33422" xr:uid="{00000000-0005-0000-0000-0000C7980000}"/>
    <cellStyle name="Normal 8 4 2 2 5 2" xfId="41706" xr:uid="{00000000-0005-0000-0000-0000C8980000}"/>
    <cellStyle name="Normal 8 4 2 2 6" xfId="33423" xr:uid="{00000000-0005-0000-0000-0000C9980000}"/>
    <cellStyle name="Normal 8 4 2 3" xfId="33424" xr:uid="{00000000-0005-0000-0000-0000CA980000}"/>
    <cellStyle name="Normal 8 4 2 3 2" xfId="33425" xr:uid="{00000000-0005-0000-0000-0000CB980000}"/>
    <cellStyle name="Normal 8 4 2 3 2 2" xfId="33426" xr:uid="{00000000-0005-0000-0000-0000CC980000}"/>
    <cellStyle name="Normal 8 4 2 3 2 2 2" xfId="41707" xr:uid="{00000000-0005-0000-0000-0000CD980000}"/>
    <cellStyle name="Normal 8 4 2 3 2 3" xfId="33427" xr:uid="{00000000-0005-0000-0000-0000CE980000}"/>
    <cellStyle name="Normal 8 4 2 3 3" xfId="33428" xr:uid="{00000000-0005-0000-0000-0000CF980000}"/>
    <cellStyle name="Normal 8 4 2 3 3 2" xfId="33429" xr:uid="{00000000-0005-0000-0000-0000D0980000}"/>
    <cellStyle name="Normal 8 4 2 3 3 2 2" xfId="41708" xr:uid="{00000000-0005-0000-0000-0000D1980000}"/>
    <cellStyle name="Normal 8 4 2 3 3 3" xfId="33430" xr:uid="{00000000-0005-0000-0000-0000D2980000}"/>
    <cellStyle name="Normal 8 4 2 3 4" xfId="33431" xr:uid="{00000000-0005-0000-0000-0000D3980000}"/>
    <cellStyle name="Normal 8 4 2 3 4 2" xfId="41709" xr:uid="{00000000-0005-0000-0000-0000D4980000}"/>
    <cellStyle name="Normal 8 4 2 3 5" xfId="33432" xr:uid="{00000000-0005-0000-0000-0000D5980000}"/>
    <cellStyle name="Normal 8 4 2 4" xfId="33433" xr:uid="{00000000-0005-0000-0000-0000D6980000}"/>
    <cellStyle name="Normal 8 4 2 4 2" xfId="33434" xr:uid="{00000000-0005-0000-0000-0000D7980000}"/>
    <cellStyle name="Normal 8 4 2 4 2 2" xfId="41710" xr:uid="{00000000-0005-0000-0000-0000D8980000}"/>
    <cellStyle name="Normal 8 4 2 4 3" xfId="33435" xr:uid="{00000000-0005-0000-0000-0000D9980000}"/>
    <cellStyle name="Normal 8 4 2 5" xfId="33436" xr:uid="{00000000-0005-0000-0000-0000DA980000}"/>
    <cellStyle name="Normal 8 4 2 5 2" xfId="33437" xr:uid="{00000000-0005-0000-0000-0000DB980000}"/>
    <cellStyle name="Normal 8 4 2 5 2 2" xfId="41711" xr:uid="{00000000-0005-0000-0000-0000DC980000}"/>
    <cellStyle name="Normal 8 4 2 5 3" xfId="33438" xr:uid="{00000000-0005-0000-0000-0000DD980000}"/>
    <cellStyle name="Normal 8 4 2 6" xfId="33439" xr:uid="{00000000-0005-0000-0000-0000DE980000}"/>
    <cellStyle name="Normal 8 4 2 6 2" xfId="41712" xr:uid="{00000000-0005-0000-0000-0000DF980000}"/>
    <cellStyle name="Normal 8 4 2 7" xfId="33440" xr:uid="{00000000-0005-0000-0000-0000E0980000}"/>
    <cellStyle name="Normal 8 4 2 8" xfId="45815" xr:uid="{00000000-0005-0000-0000-0000E1980000}"/>
    <cellStyle name="Normal 8 4 3" xfId="2003" xr:uid="{00000000-0005-0000-0000-0000E2980000}"/>
    <cellStyle name="Normal 8 4 3 2" xfId="33441" xr:uid="{00000000-0005-0000-0000-0000E3980000}"/>
    <cellStyle name="Normal 8 4 3 2 2" xfId="33442" xr:uid="{00000000-0005-0000-0000-0000E4980000}"/>
    <cellStyle name="Normal 8 4 3 2 2 2" xfId="33443" xr:uid="{00000000-0005-0000-0000-0000E5980000}"/>
    <cellStyle name="Normal 8 4 3 2 2 2 2" xfId="41713" xr:uid="{00000000-0005-0000-0000-0000E6980000}"/>
    <cellStyle name="Normal 8 4 3 2 2 3" xfId="33444" xr:uid="{00000000-0005-0000-0000-0000E7980000}"/>
    <cellStyle name="Normal 8 4 3 2 3" xfId="33445" xr:uid="{00000000-0005-0000-0000-0000E8980000}"/>
    <cellStyle name="Normal 8 4 3 2 3 2" xfId="33446" xr:uid="{00000000-0005-0000-0000-0000E9980000}"/>
    <cellStyle name="Normal 8 4 3 2 3 2 2" xfId="41714" xr:uid="{00000000-0005-0000-0000-0000EA980000}"/>
    <cellStyle name="Normal 8 4 3 2 3 3" xfId="33447" xr:uid="{00000000-0005-0000-0000-0000EB980000}"/>
    <cellStyle name="Normal 8 4 3 2 4" xfId="33448" xr:uid="{00000000-0005-0000-0000-0000EC980000}"/>
    <cellStyle name="Normal 8 4 3 2 4 2" xfId="41715" xr:uid="{00000000-0005-0000-0000-0000ED980000}"/>
    <cellStyle name="Normal 8 4 3 2 5" xfId="33449" xr:uid="{00000000-0005-0000-0000-0000EE980000}"/>
    <cellStyle name="Normal 8 4 3 3" xfId="33450" xr:uid="{00000000-0005-0000-0000-0000EF980000}"/>
    <cellStyle name="Normal 8 4 3 3 2" xfId="33451" xr:uid="{00000000-0005-0000-0000-0000F0980000}"/>
    <cellStyle name="Normal 8 4 3 3 2 2" xfId="41716" xr:uid="{00000000-0005-0000-0000-0000F1980000}"/>
    <cellStyle name="Normal 8 4 3 3 3" xfId="33452" xr:uid="{00000000-0005-0000-0000-0000F2980000}"/>
    <cellStyle name="Normal 8 4 3 4" xfId="33453" xr:uid="{00000000-0005-0000-0000-0000F3980000}"/>
    <cellStyle name="Normal 8 4 3 4 2" xfId="33454" xr:uid="{00000000-0005-0000-0000-0000F4980000}"/>
    <cellStyle name="Normal 8 4 3 4 2 2" xfId="41717" xr:uid="{00000000-0005-0000-0000-0000F5980000}"/>
    <cellStyle name="Normal 8 4 3 4 3" xfId="33455" xr:uid="{00000000-0005-0000-0000-0000F6980000}"/>
    <cellStyle name="Normal 8 4 3 5" xfId="33456" xr:uid="{00000000-0005-0000-0000-0000F7980000}"/>
    <cellStyle name="Normal 8 4 3 5 2" xfId="41718" xr:uid="{00000000-0005-0000-0000-0000F8980000}"/>
    <cellStyle name="Normal 8 4 3 6" xfId="33457" xr:uid="{00000000-0005-0000-0000-0000F9980000}"/>
    <cellStyle name="Normal 8 4 3 7" xfId="45816" xr:uid="{00000000-0005-0000-0000-0000FA980000}"/>
    <cellStyle name="Normal 8 4 4" xfId="33458" xr:uid="{00000000-0005-0000-0000-0000FB980000}"/>
    <cellStyle name="Normal 8 4 4 2" xfId="33459" xr:uid="{00000000-0005-0000-0000-0000FC980000}"/>
    <cellStyle name="Normal 8 4 4 2 2" xfId="33460" xr:uid="{00000000-0005-0000-0000-0000FD980000}"/>
    <cellStyle name="Normal 8 4 4 2 2 2" xfId="41719" xr:uid="{00000000-0005-0000-0000-0000FE980000}"/>
    <cellStyle name="Normal 8 4 4 2 3" xfId="33461" xr:uid="{00000000-0005-0000-0000-0000FF980000}"/>
    <cellStyle name="Normal 8 4 4 3" xfId="33462" xr:uid="{00000000-0005-0000-0000-000000990000}"/>
    <cellStyle name="Normal 8 4 4 3 2" xfId="33463" xr:uid="{00000000-0005-0000-0000-000001990000}"/>
    <cellStyle name="Normal 8 4 4 3 2 2" xfId="41720" xr:uid="{00000000-0005-0000-0000-000002990000}"/>
    <cellStyle name="Normal 8 4 4 3 3" xfId="33464" xr:uid="{00000000-0005-0000-0000-000003990000}"/>
    <cellStyle name="Normal 8 4 4 4" xfId="33465" xr:uid="{00000000-0005-0000-0000-000004990000}"/>
    <cellStyle name="Normal 8 4 4 4 2" xfId="41721" xr:uid="{00000000-0005-0000-0000-000005990000}"/>
    <cellStyle name="Normal 8 4 4 5" xfId="33466" xr:uid="{00000000-0005-0000-0000-000006990000}"/>
    <cellStyle name="Normal 8 4 4 6" xfId="33467" xr:uid="{00000000-0005-0000-0000-000007990000}"/>
    <cellStyle name="Normal 8 4 4 7" xfId="44602" xr:uid="{00000000-0005-0000-0000-000008990000}"/>
    <cellStyle name="Normal 8 4 4 8" xfId="45817" xr:uid="{00000000-0005-0000-0000-000009990000}"/>
    <cellStyle name="Normal 8 4 5" xfId="33468" xr:uid="{00000000-0005-0000-0000-00000A990000}"/>
    <cellStyle name="Normal 8 4 5 2" xfId="33469" xr:uid="{00000000-0005-0000-0000-00000B990000}"/>
    <cellStyle name="Normal 8 4 5 2 2" xfId="41722" xr:uid="{00000000-0005-0000-0000-00000C990000}"/>
    <cellStyle name="Normal 8 4 5 3" xfId="33470" xr:uid="{00000000-0005-0000-0000-00000D990000}"/>
    <cellStyle name="Normal 8 4 6" xfId="33471" xr:uid="{00000000-0005-0000-0000-00000E990000}"/>
    <cellStyle name="Normal 8 4 6 2" xfId="33472" xr:uid="{00000000-0005-0000-0000-00000F990000}"/>
    <cellStyle name="Normal 8 4 6 2 2" xfId="41723" xr:uid="{00000000-0005-0000-0000-000010990000}"/>
    <cellStyle name="Normal 8 4 6 3" xfId="33473" xr:uid="{00000000-0005-0000-0000-000011990000}"/>
    <cellStyle name="Normal 8 4 7" xfId="33474" xr:uid="{00000000-0005-0000-0000-000012990000}"/>
    <cellStyle name="Normal 8 4 7 2" xfId="41724" xr:uid="{00000000-0005-0000-0000-000013990000}"/>
    <cellStyle name="Normal 8 4 8" xfId="33475" xr:uid="{00000000-0005-0000-0000-000014990000}"/>
    <cellStyle name="Normal 8 5" xfId="2004" xr:uid="{00000000-0005-0000-0000-000015990000}"/>
    <cellStyle name="Normal 8 5 2" xfId="2005" xr:uid="{00000000-0005-0000-0000-000016990000}"/>
    <cellStyle name="Normal 8 5 2 2" xfId="33476" xr:uid="{00000000-0005-0000-0000-000017990000}"/>
    <cellStyle name="Normal 8 5 2 2 2" xfId="33477" xr:uid="{00000000-0005-0000-0000-000018990000}"/>
    <cellStyle name="Normal 8 5 2 2 2 2" xfId="33478" xr:uid="{00000000-0005-0000-0000-000019990000}"/>
    <cellStyle name="Normal 8 5 2 2 2 2 2" xfId="41725" xr:uid="{00000000-0005-0000-0000-00001A990000}"/>
    <cellStyle name="Normal 8 5 2 2 2 3" xfId="33479" xr:uid="{00000000-0005-0000-0000-00001B990000}"/>
    <cellStyle name="Normal 8 5 2 2 3" xfId="33480" xr:uid="{00000000-0005-0000-0000-00001C990000}"/>
    <cellStyle name="Normal 8 5 2 2 3 2" xfId="33481" xr:uid="{00000000-0005-0000-0000-00001D990000}"/>
    <cellStyle name="Normal 8 5 2 2 3 2 2" xfId="41726" xr:uid="{00000000-0005-0000-0000-00001E990000}"/>
    <cellStyle name="Normal 8 5 2 2 3 3" xfId="33482" xr:uid="{00000000-0005-0000-0000-00001F990000}"/>
    <cellStyle name="Normal 8 5 2 2 4" xfId="33483" xr:uid="{00000000-0005-0000-0000-000020990000}"/>
    <cellStyle name="Normal 8 5 2 2 4 2" xfId="41727" xr:uid="{00000000-0005-0000-0000-000021990000}"/>
    <cellStyle name="Normal 8 5 2 2 5" xfId="33484" xr:uid="{00000000-0005-0000-0000-000022990000}"/>
    <cellStyle name="Normal 8 5 2 3" xfId="33485" xr:uid="{00000000-0005-0000-0000-000023990000}"/>
    <cellStyle name="Normal 8 5 2 3 2" xfId="33486" xr:uid="{00000000-0005-0000-0000-000024990000}"/>
    <cellStyle name="Normal 8 5 2 3 2 2" xfId="41728" xr:uid="{00000000-0005-0000-0000-000025990000}"/>
    <cellStyle name="Normal 8 5 2 3 3" xfId="33487" xr:uid="{00000000-0005-0000-0000-000026990000}"/>
    <cellStyle name="Normal 8 5 2 4" xfId="33488" xr:uid="{00000000-0005-0000-0000-000027990000}"/>
    <cellStyle name="Normal 8 5 2 4 2" xfId="33489" xr:uid="{00000000-0005-0000-0000-000028990000}"/>
    <cellStyle name="Normal 8 5 2 4 2 2" xfId="41729" xr:uid="{00000000-0005-0000-0000-000029990000}"/>
    <cellStyle name="Normal 8 5 2 4 3" xfId="33490" xr:uid="{00000000-0005-0000-0000-00002A990000}"/>
    <cellStyle name="Normal 8 5 2 5" xfId="33491" xr:uid="{00000000-0005-0000-0000-00002B990000}"/>
    <cellStyle name="Normal 8 5 2 5 2" xfId="41730" xr:uid="{00000000-0005-0000-0000-00002C990000}"/>
    <cellStyle name="Normal 8 5 2 6" xfId="33492" xr:uid="{00000000-0005-0000-0000-00002D990000}"/>
    <cellStyle name="Normal 8 5 2 7" xfId="45818" xr:uid="{00000000-0005-0000-0000-00002E990000}"/>
    <cellStyle name="Normal 8 5 3" xfId="2006" xr:uid="{00000000-0005-0000-0000-00002F990000}"/>
    <cellStyle name="Normal 8 5 3 2" xfId="33493" xr:uid="{00000000-0005-0000-0000-000030990000}"/>
    <cellStyle name="Normal 8 5 3 2 2" xfId="33494" xr:uid="{00000000-0005-0000-0000-000031990000}"/>
    <cellStyle name="Normal 8 5 3 2 2 2" xfId="41731" xr:uid="{00000000-0005-0000-0000-000032990000}"/>
    <cellStyle name="Normal 8 5 3 2 3" xfId="33495" xr:uid="{00000000-0005-0000-0000-000033990000}"/>
    <cellStyle name="Normal 8 5 3 3" xfId="33496" xr:uid="{00000000-0005-0000-0000-000034990000}"/>
    <cellStyle name="Normal 8 5 3 3 2" xfId="33497" xr:uid="{00000000-0005-0000-0000-000035990000}"/>
    <cellStyle name="Normal 8 5 3 3 2 2" xfId="41732" xr:uid="{00000000-0005-0000-0000-000036990000}"/>
    <cellStyle name="Normal 8 5 3 3 3" xfId="33498" xr:uid="{00000000-0005-0000-0000-000037990000}"/>
    <cellStyle name="Normal 8 5 3 4" xfId="33499" xr:uid="{00000000-0005-0000-0000-000038990000}"/>
    <cellStyle name="Normal 8 5 3 4 2" xfId="41733" xr:uid="{00000000-0005-0000-0000-000039990000}"/>
    <cellStyle name="Normal 8 5 3 5" xfId="33500" xr:uid="{00000000-0005-0000-0000-00003A990000}"/>
    <cellStyle name="Normal 8 5 3 6" xfId="45819" xr:uid="{00000000-0005-0000-0000-00003B990000}"/>
    <cellStyle name="Normal 8 5 4" xfId="33501" xr:uid="{00000000-0005-0000-0000-00003C990000}"/>
    <cellStyle name="Normal 8 5 4 2" xfId="33502" xr:uid="{00000000-0005-0000-0000-00003D990000}"/>
    <cellStyle name="Normal 8 5 4 2 2" xfId="41734" xr:uid="{00000000-0005-0000-0000-00003E990000}"/>
    <cellStyle name="Normal 8 5 4 3" xfId="33503" xr:uid="{00000000-0005-0000-0000-00003F990000}"/>
    <cellStyle name="Normal 8 5 5" xfId="33504" xr:uid="{00000000-0005-0000-0000-000040990000}"/>
    <cellStyle name="Normal 8 5 5 2" xfId="33505" xr:uid="{00000000-0005-0000-0000-000041990000}"/>
    <cellStyle name="Normal 8 5 5 2 2" xfId="41735" xr:uid="{00000000-0005-0000-0000-000042990000}"/>
    <cellStyle name="Normal 8 5 5 3" xfId="33506" xr:uid="{00000000-0005-0000-0000-000043990000}"/>
    <cellStyle name="Normal 8 5 6" xfId="33507" xr:uid="{00000000-0005-0000-0000-000044990000}"/>
    <cellStyle name="Normal 8 5 6 2" xfId="41736" xr:uid="{00000000-0005-0000-0000-000045990000}"/>
    <cellStyle name="Normal 8 5 7" xfId="33508" xr:uid="{00000000-0005-0000-0000-000046990000}"/>
    <cellStyle name="Normal 8 5 8" xfId="45820" xr:uid="{00000000-0005-0000-0000-000047990000}"/>
    <cellStyle name="Normal 8 6" xfId="2007" xr:uid="{00000000-0005-0000-0000-000048990000}"/>
    <cellStyle name="Normal 8 6 2" xfId="33509" xr:uid="{00000000-0005-0000-0000-000049990000}"/>
    <cellStyle name="Normal 8 6 2 2" xfId="33510" xr:uid="{00000000-0005-0000-0000-00004A990000}"/>
    <cellStyle name="Normal 8 6 2 2 2" xfId="33511" xr:uid="{00000000-0005-0000-0000-00004B990000}"/>
    <cellStyle name="Normal 8 6 2 2 2 2" xfId="41737" xr:uid="{00000000-0005-0000-0000-00004C990000}"/>
    <cellStyle name="Normal 8 6 2 2 3" xfId="33512" xr:uid="{00000000-0005-0000-0000-00004D990000}"/>
    <cellStyle name="Normal 8 6 2 3" xfId="33513" xr:uid="{00000000-0005-0000-0000-00004E990000}"/>
    <cellStyle name="Normal 8 6 2 3 2" xfId="33514" xr:uid="{00000000-0005-0000-0000-00004F990000}"/>
    <cellStyle name="Normal 8 6 2 3 2 2" xfId="41738" xr:uid="{00000000-0005-0000-0000-000050990000}"/>
    <cellStyle name="Normal 8 6 2 3 3" xfId="33515" xr:uid="{00000000-0005-0000-0000-000051990000}"/>
    <cellStyle name="Normal 8 6 2 4" xfId="33516" xr:uid="{00000000-0005-0000-0000-000052990000}"/>
    <cellStyle name="Normal 8 6 2 4 2" xfId="41739" xr:uid="{00000000-0005-0000-0000-000053990000}"/>
    <cellStyle name="Normal 8 6 2 5" xfId="33517" xr:uid="{00000000-0005-0000-0000-000054990000}"/>
    <cellStyle name="Normal 8 6 3" xfId="33518" xr:uid="{00000000-0005-0000-0000-000055990000}"/>
    <cellStyle name="Normal 8 6 3 2" xfId="33519" xr:uid="{00000000-0005-0000-0000-000056990000}"/>
    <cellStyle name="Normal 8 6 3 2 2" xfId="41740" xr:uid="{00000000-0005-0000-0000-000057990000}"/>
    <cellStyle name="Normal 8 6 3 3" xfId="33520" xr:uid="{00000000-0005-0000-0000-000058990000}"/>
    <cellStyle name="Normal 8 6 4" xfId="33521" xr:uid="{00000000-0005-0000-0000-000059990000}"/>
    <cellStyle name="Normal 8 6 4 2" xfId="33522" xr:uid="{00000000-0005-0000-0000-00005A990000}"/>
    <cellStyle name="Normal 8 6 4 2 2" xfId="41741" xr:uid="{00000000-0005-0000-0000-00005B990000}"/>
    <cellStyle name="Normal 8 6 4 3" xfId="33523" xr:uid="{00000000-0005-0000-0000-00005C990000}"/>
    <cellStyle name="Normal 8 6 5" xfId="33524" xr:uid="{00000000-0005-0000-0000-00005D990000}"/>
    <cellStyle name="Normal 8 6 5 2" xfId="41742" xr:uid="{00000000-0005-0000-0000-00005E990000}"/>
    <cellStyle name="Normal 8 6 6" xfId="33525" xr:uid="{00000000-0005-0000-0000-00005F990000}"/>
    <cellStyle name="Normal 8 6 7" xfId="45821" xr:uid="{00000000-0005-0000-0000-000060990000}"/>
    <cellStyle name="Normal 8 7" xfId="2008" xr:uid="{00000000-0005-0000-0000-000061990000}"/>
    <cellStyle name="Normal 8 7 2" xfId="33526" xr:uid="{00000000-0005-0000-0000-000062990000}"/>
    <cellStyle name="Normal 8 7 2 2" xfId="33527" xr:uid="{00000000-0005-0000-0000-000063990000}"/>
    <cellStyle name="Normal 8 7 2 2 2" xfId="41743" xr:uid="{00000000-0005-0000-0000-000064990000}"/>
    <cellStyle name="Normal 8 7 2 3" xfId="33528" xr:uid="{00000000-0005-0000-0000-000065990000}"/>
    <cellStyle name="Normal 8 7 3" xfId="33529" xr:uid="{00000000-0005-0000-0000-000066990000}"/>
    <cellStyle name="Normal 8 7 3 2" xfId="33530" xr:uid="{00000000-0005-0000-0000-000067990000}"/>
    <cellStyle name="Normal 8 7 3 2 2" xfId="41744" xr:uid="{00000000-0005-0000-0000-000068990000}"/>
    <cellStyle name="Normal 8 7 3 3" xfId="33531" xr:uid="{00000000-0005-0000-0000-000069990000}"/>
    <cellStyle name="Normal 8 7 4" xfId="33532" xr:uid="{00000000-0005-0000-0000-00006A990000}"/>
    <cellStyle name="Normal 8 7 4 2" xfId="41745" xr:uid="{00000000-0005-0000-0000-00006B990000}"/>
    <cellStyle name="Normal 8 7 5" xfId="33533" xr:uid="{00000000-0005-0000-0000-00006C990000}"/>
    <cellStyle name="Normal 8 7 6" xfId="45822" xr:uid="{00000000-0005-0000-0000-00006D990000}"/>
    <cellStyle name="Normal 8 8" xfId="2009" xr:uid="{00000000-0005-0000-0000-00006E990000}"/>
    <cellStyle name="Normal 8 8 2" xfId="33534" xr:uid="{00000000-0005-0000-0000-00006F990000}"/>
    <cellStyle name="Normal 8 8 2 2" xfId="41746" xr:uid="{00000000-0005-0000-0000-000070990000}"/>
    <cellStyle name="Normal 8 8 3" xfId="33535" xr:uid="{00000000-0005-0000-0000-000071990000}"/>
    <cellStyle name="Normal 8 8 3 2" xfId="43865" xr:uid="{00000000-0005-0000-0000-000072990000}"/>
    <cellStyle name="Normal 8 8 4" xfId="43866" xr:uid="{00000000-0005-0000-0000-000073990000}"/>
    <cellStyle name="Normal 8 8 4 2" xfId="43867" xr:uid="{00000000-0005-0000-0000-000074990000}"/>
    <cellStyle name="Normal 8 8 5" xfId="43868" xr:uid="{00000000-0005-0000-0000-000075990000}"/>
    <cellStyle name="Normal 8 9" xfId="2010" xr:uid="{00000000-0005-0000-0000-000076990000}"/>
    <cellStyle name="Normal 8 9 2" xfId="33536" xr:uid="{00000000-0005-0000-0000-000077990000}"/>
    <cellStyle name="Normal 8 9 2 2" xfId="41747" xr:uid="{00000000-0005-0000-0000-000078990000}"/>
    <cellStyle name="Normal 8 9 3" xfId="33537" xr:uid="{00000000-0005-0000-0000-000079990000}"/>
    <cellStyle name="Normal 8 9 4" xfId="45823" xr:uid="{00000000-0005-0000-0000-00007A990000}"/>
    <cellStyle name="Normal 8_2112 Salary" xfId="33538" xr:uid="{00000000-0005-0000-0000-00007B990000}"/>
    <cellStyle name="Normal 80" xfId="522" xr:uid="{00000000-0005-0000-0000-00007C990000}"/>
    <cellStyle name="Normal 80 2" xfId="41748" xr:uid="{00000000-0005-0000-0000-00007D990000}"/>
    <cellStyle name="Normal 80 3" xfId="41749" xr:uid="{00000000-0005-0000-0000-00007E990000}"/>
    <cellStyle name="Normal 81" xfId="523" xr:uid="{00000000-0005-0000-0000-00007F990000}"/>
    <cellStyle name="Normal 81 2" xfId="33539" xr:uid="{00000000-0005-0000-0000-000080990000}"/>
    <cellStyle name="Normal 81 2 2" xfId="33540" xr:uid="{00000000-0005-0000-0000-000081990000}"/>
    <cellStyle name="Normal 81 2 2 2" xfId="33541" xr:uid="{00000000-0005-0000-0000-000082990000}"/>
    <cellStyle name="Normal 81 2 2 2 2" xfId="41750" xr:uid="{00000000-0005-0000-0000-000083990000}"/>
    <cellStyle name="Normal 81 2 2 3" xfId="33542" xr:uid="{00000000-0005-0000-0000-000084990000}"/>
    <cellStyle name="Normal 81 2 3" xfId="33543" xr:uid="{00000000-0005-0000-0000-000085990000}"/>
    <cellStyle name="Normal 81 2 3 2" xfId="33544" xr:uid="{00000000-0005-0000-0000-000086990000}"/>
    <cellStyle name="Normal 81 2 3 2 2" xfId="41751" xr:uid="{00000000-0005-0000-0000-000087990000}"/>
    <cellStyle name="Normal 81 2 3 3" xfId="33545" xr:uid="{00000000-0005-0000-0000-000088990000}"/>
    <cellStyle name="Normal 81 2 4" xfId="33546" xr:uid="{00000000-0005-0000-0000-000089990000}"/>
    <cellStyle name="Normal 81 2 4 2" xfId="41752" xr:uid="{00000000-0005-0000-0000-00008A990000}"/>
    <cellStyle name="Normal 81 2 5" xfId="33547" xr:uid="{00000000-0005-0000-0000-00008B990000}"/>
    <cellStyle name="Normal 81 3" xfId="33548" xr:uid="{00000000-0005-0000-0000-00008C990000}"/>
    <cellStyle name="Normal 81 3 2" xfId="33549" xr:uid="{00000000-0005-0000-0000-00008D990000}"/>
    <cellStyle name="Normal 81 3 2 2" xfId="41753" xr:uid="{00000000-0005-0000-0000-00008E990000}"/>
    <cellStyle name="Normal 81 3 3" xfId="33550" xr:uid="{00000000-0005-0000-0000-00008F990000}"/>
    <cellStyle name="Normal 81 4" xfId="33551" xr:uid="{00000000-0005-0000-0000-000090990000}"/>
    <cellStyle name="Normal 81 4 2" xfId="33552" xr:uid="{00000000-0005-0000-0000-000091990000}"/>
    <cellStyle name="Normal 81 4 2 2" xfId="41754" xr:uid="{00000000-0005-0000-0000-000092990000}"/>
    <cellStyle name="Normal 81 4 3" xfId="33553" xr:uid="{00000000-0005-0000-0000-000093990000}"/>
    <cellStyle name="Normal 81 5" xfId="33554" xr:uid="{00000000-0005-0000-0000-000094990000}"/>
    <cellStyle name="Normal 81 5 2" xfId="41755" xr:uid="{00000000-0005-0000-0000-000095990000}"/>
    <cellStyle name="Normal 81 6" xfId="33555" xr:uid="{00000000-0005-0000-0000-000096990000}"/>
    <cellStyle name="Normal 81 7" xfId="41756" xr:uid="{00000000-0005-0000-0000-000097990000}"/>
    <cellStyle name="Normal 82" xfId="524" xr:uid="{00000000-0005-0000-0000-000098990000}"/>
    <cellStyle name="Normal 82 2" xfId="33556" xr:uid="{00000000-0005-0000-0000-000099990000}"/>
    <cellStyle name="Normal 82 2 2" xfId="33557" xr:uid="{00000000-0005-0000-0000-00009A990000}"/>
    <cellStyle name="Normal 82 2 2 2" xfId="33558" xr:uid="{00000000-0005-0000-0000-00009B990000}"/>
    <cellStyle name="Normal 82 2 2 2 2" xfId="41757" xr:uid="{00000000-0005-0000-0000-00009C990000}"/>
    <cellStyle name="Normal 82 2 2 3" xfId="33559" xr:uid="{00000000-0005-0000-0000-00009D990000}"/>
    <cellStyle name="Normal 82 2 3" xfId="33560" xr:uid="{00000000-0005-0000-0000-00009E990000}"/>
    <cellStyle name="Normal 82 2 3 2" xfId="33561" xr:uid="{00000000-0005-0000-0000-00009F990000}"/>
    <cellStyle name="Normal 82 2 3 2 2" xfId="41758" xr:uid="{00000000-0005-0000-0000-0000A0990000}"/>
    <cellStyle name="Normal 82 2 3 3" xfId="33562" xr:uid="{00000000-0005-0000-0000-0000A1990000}"/>
    <cellStyle name="Normal 82 2 4" xfId="33563" xr:uid="{00000000-0005-0000-0000-0000A2990000}"/>
    <cellStyle name="Normal 82 2 4 2" xfId="41759" xr:uid="{00000000-0005-0000-0000-0000A3990000}"/>
    <cellStyle name="Normal 82 2 5" xfId="33564" xr:uid="{00000000-0005-0000-0000-0000A4990000}"/>
    <cellStyle name="Normal 82 3" xfId="33565" xr:uid="{00000000-0005-0000-0000-0000A5990000}"/>
    <cellStyle name="Normal 82 3 2" xfId="33566" xr:uid="{00000000-0005-0000-0000-0000A6990000}"/>
    <cellStyle name="Normal 82 3 2 2" xfId="41760" xr:uid="{00000000-0005-0000-0000-0000A7990000}"/>
    <cellStyle name="Normal 82 3 3" xfId="33567" xr:uid="{00000000-0005-0000-0000-0000A8990000}"/>
    <cellStyle name="Normal 82 4" xfId="33568" xr:uid="{00000000-0005-0000-0000-0000A9990000}"/>
    <cellStyle name="Normal 82 4 2" xfId="33569" xr:uid="{00000000-0005-0000-0000-0000AA990000}"/>
    <cellStyle name="Normal 82 4 2 2" xfId="41761" xr:uid="{00000000-0005-0000-0000-0000AB990000}"/>
    <cellStyle name="Normal 82 4 3" xfId="33570" xr:uid="{00000000-0005-0000-0000-0000AC990000}"/>
    <cellStyle name="Normal 82 5" xfId="33571" xr:uid="{00000000-0005-0000-0000-0000AD990000}"/>
    <cellStyle name="Normal 82 5 2" xfId="41762" xr:uid="{00000000-0005-0000-0000-0000AE990000}"/>
    <cellStyle name="Normal 82 6" xfId="33572" xr:uid="{00000000-0005-0000-0000-0000AF990000}"/>
    <cellStyle name="Normal 82 7" xfId="41763" xr:uid="{00000000-0005-0000-0000-0000B0990000}"/>
    <cellStyle name="Normal 83" xfId="525" xr:uid="{00000000-0005-0000-0000-0000B1990000}"/>
    <cellStyle name="Normal 83 2" xfId="41764" xr:uid="{00000000-0005-0000-0000-0000B2990000}"/>
    <cellStyle name="Normal 83 3" xfId="41765" xr:uid="{00000000-0005-0000-0000-0000B3990000}"/>
    <cellStyle name="Normal 84" xfId="526" xr:uid="{00000000-0005-0000-0000-0000B4990000}"/>
    <cellStyle name="Normal 84 2" xfId="527" xr:uid="{00000000-0005-0000-0000-0000B5990000}"/>
    <cellStyle name="Normal 84 2 2" xfId="2011" xr:uid="{00000000-0005-0000-0000-0000B6990000}"/>
    <cellStyle name="Normal 84 2 2 2" xfId="33573" xr:uid="{00000000-0005-0000-0000-0000B7990000}"/>
    <cellStyle name="Normal 84 2 2 2 2" xfId="41766" xr:uid="{00000000-0005-0000-0000-0000B8990000}"/>
    <cellStyle name="Normal 84 2 2 3" xfId="33574" xr:uid="{00000000-0005-0000-0000-0000B9990000}"/>
    <cellStyle name="Normal 84 2 3" xfId="33575" xr:uid="{00000000-0005-0000-0000-0000BA990000}"/>
    <cellStyle name="Normal 84 2 3 2" xfId="33576" xr:uid="{00000000-0005-0000-0000-0000BB990000}"/>
    <cellStyle name="Normal 84 2 3 2 2" xfId="41767" xr:uid="{00000000-0005-0000-0000-0000BC990000}"/>
    <cellStyle name="Normal 84 2 3 3" xfId="33577" xr:uid="{00000000-0005-0000-0000-0000BD990000}"/>
    <cellStyle name="Normal 84 2 4" xfId="33578" xr:uid="{00000000-0005-0000-0000-0000BE990000}"/>
    <cellStyle name="Normal 84 2 4 2" xfId="41768" xr:uid="{00000000-0005-0000-0000-0000BF990000}"/>
    <cellStyle name="Normal 84 2 5" xfId="33579" xr:uid="{00000000-0005-0000-0000-0000C0990000}"/>
    <cellStyle name="Normal 84 2 6" xfId="41769" xr:uid="{00000000-0005-0000-0000-0000C1990000}"/>
    <cellStyle name="Normal 84 3" xfId="528" xr:uid="{00000000-0005-0000-0000-0000C2990000}"/>
    <cellStyle name="Normal 84 3 2" xfId="33580" xr:uid="{00000000-0005-0000-0000-0000C3990000}"/>
    <cellStyle name="Normal 84 3 2 2" xfId="41770" xr:uid="{00000000-0005-0000-0000-0000C4990000}"/>
    <cellStyle name="Normal 84 3 3" xfId="33581" xr:uid="{00000000-0005-0000-0000-0000C5990000}"/>
    <cellStyle name="Normal 84 3 4" xfId="41771" xr:uid="{00000000-0005-0000-0000-0000C6990000}"/>
    <cellStyle name="Normal 84 4" xfId="2012" xr:uid="{00000000-0005-0000-0000-0000C7990000}"/>
    <cellStyle name="Normal 84 4 2" xfId="33582" xr:uid="{00000000-0005-0000-0000-0000C8990000}"/>
    <cellStyle name="Normal 84 4 2 2" xfId="41772" xr:uid="{00000000-0005-0000-0000-0000C9990000}"/>
    <cellStyle name="Normal 84 4 3" xfId="33583" xr:uid="{00000000-0005-0000-0000-0000CA990000}"/>
    <cellStyle name="Normal 84 5" xfId="2013" xr:uid="{00000000-0005-0000-0000-0000CB990000}"/>
    <cellStyle name="Normal 84 5 2" xfId="41773" xr:uid="{00000000-0005-0000-0000-0000CC990000}"/>
    <cellStyle name="Normal 84 5 3" xfId="45824" xr:uid="{00000000-0005-0000-0000-0000CD990000}"/>
    <cellStyle name="Normal 84 6" xfId="33584" xr:uid="{00000000-0005-0000-0000-0000CE990000}"/>
    <cellStyle name="Normal 84 7" xfId="41774" xr:uid="{00000000-0005-0000-0000-0000CF990000}"/>
    <cellStyle name="Normal 84 8" xfId="46268" xr:uid="{00000000-0005-0000-0000-0000D0990000}"/>
    <cellStyle name="Normal 85" xfId="529" xr:uid="{00000000-0005-0000-0000-0000D1990000}"/>
    <cellStyle name="Normal 85 2" xfId="530" xr:uid="{00000000-0005-0000-0000-0000D2990000}"/>
    <cellStyle name="Normal 85 2 2" xfId="2014" xr:uid="{00000000-0005-0000-0000-0000D3990000}"/>
    <cellStyle name="Normal 85 2 2 2" xfId="41775" xr:uid="{00000000-0005-0000-0000-0000D4990000}"/>
    <cellStyle name="Normal 85 2 3" xfId="33585" xr:uid="{00000000-0005-0000-0000-0000D5990000}"/>
    <cellStyle name="Normal 85 2 4" xfId="41776" xr:uid="{00000000-0005-0000-0000-0000D6990000}"/>
    <cellStyle name="Normal 85 3" xfId="531" xr:uid="{00000000-0005-0000-0000-0000D7990000}"/>
    <cellStyle name="Normal 85 3 2" xfId="33586" xr:uid="{00000000-0005-0000-0000-0000D8990000}"/>
    <cellStyle name="Normal 85 3 2 2" xfId="41777" xr:uid="{00000000-0005-0000-0000-0000D9990000}"/>
    <cellStyle name="Normal 85 3 3" xfId="33587" xr:uid="{00000000-0005-0000-0000-0000DA990000}"/>
    <cellStyle name="Normal 85 3 4" xfId="41778" xr:uid="{00000000-0005-0000-0000-0000DB990000}"/>
    <cellStyle name="Normal 85 4" xfId="33588" xr:uid="{00000000-0005-0000-0000-0000DC990000}"/>
    <cellStyle name="Normal 85 4 2" xfId="41779" xr:uid="{00000000-0005-0000-0000-0000DD990000}"/>
    <cellStyle name="Normal 85 5" xfId="33589" xr:uid="{00000000-0005-0000-0000-0000DE990000}"/>
    <cellStyle name="Normal 85 6" xfId="41780" xr:uid="{00000000-0005-0000-0000-0000DF990000}"/>
    <cellStyle name="Normal 86" xfId="532" xr:uid="{00000000-0005-0000-0000-0000E0990000}"/>
    <cellStyle name="Normal 86 2" xfId="2015" xr:uid="{00000000-0005-0000-0000-0000E1990000}"/>
    <cellStyle name="Normal 86 2 2" xfId="41781" xr:uid="{00000000-0005-0000-0000-0000E2990000}"/>
    <cellStyle name="Normal 86 2 3" xfId="45825" xr:uid="{00000000-0005-0000-0000-0000E3990000}"/>
    <cellStyle name="Normal 86 3" xfId="2016" xr:uid="{00000000-0005-0000-0000-0000E4990000}"/>
    <cellStyle name="Normal 86 3 2" xfId="41782" xr:uid="{00000000-0005-0000-0000-0000E5990000}"/>
    <cellStyle name="Normal 86 4" xfId="41783" xr:uid="{00000000-0005-0000-0000-0000E6990000}"/>
    <cellStyle name="Normal 86 5" xfId="41784" xr:uid="{00000000-0005-0000-0000-0000E7990000}"/>
    <cellStyle name="Normal 87" xfId="533" xr:uid="{00000000-0005-0000-0000-0000E8990000}"/>
    <cellStyle name="Normal 87 2" xfId="2017" xr:uid="{00000000-0005-0000-0000-0000E9990000}"/>
    <cellStyle name="Normal 87 2 2" xfId="41785" xr:uid="{00000000-0005-0000-0000-0000EA990000}"/>
    <cellStyle name="Normal 87 3" xfId="41786" xr:uid="{00000000-0005-0000-0000-0000EB990000}"/>
    <cellStyle name="Normal 87 4" xfId="41787" xr:uid="{00000000-0005-0000-0000-0000EC990000}"/>
    <cellStyle name="Normal 88" xfId="534" xr:uid="{00000000-0005-0000-0000-0000ED990000}"/>
    <cellStyle name="Normal 88 2" xfId="2018" xr:uid="{00000000-0005-0000-0000-0000EE990000}"/>
    <cellStyle name="Normal 88 2 2" xfId="41788" xr:uid="{00000000-0005-0000-0000-0000EF990000}"/>
    <cellStyle name="Normal 88 3" xfId="41789" xr:uid="{00000000-0005-0000-0000-0000F0990000}"/>
    <cellStyle name="Normal 88 4" xfId="41790" xr:uid="{00000000-0005-0000-0000-0000F1990000}"/>
    <cellStyle name="Normal 89" xfId="535" xr:uid="{00000000-0005-0000-0000-0000F2990000}"/>
    <cellStyle name="Normal 89 2" xfId="41791" xr:uid="{00000000-0005-0000-0000-0000F3990000}"/>
    <cellStyle name="Normal 89 3" xfId="41792" xr:uid="{00000000-0005-0000-0000-0000F4990000}"/>
    <cellStyle name="Normal 9" xfId="55" xr:uid="{00000000-0005-0000-0000-0000F5990000}"/>
    <cellStyle name="Normal 9 10" xfId="2019" xr:uid="{00000000-0005-0000-0000-0000F6990000}"/>
    <cellStyle name="Normal 9 10 2" xfId="41793" xr:uid="{00000000-0005-0000-0000-0000F7990000}"/>
    <cellStyle name="Normal 9 10 3" xfId="45826" xr:uid="{00000000-0005-0000-0000-0000F8990000}"/>
    <cellStyle name="Normal 9 11" xfId="2020" xr:uid="{00000000-0005-0000-0000-0000F9990000}"/>
    <cellStyle name="Normal 9 11 2" xfId="41794" xr:uid="{00000000-0005-0000-0000-0000FA990000}"/>
    <cellStyle name="Normal 9 11 3" xfId="45827" xr:uid="{00000000-0005-0000-0000-0000FB990000}"/>
    <cellStyle name="Normal 9 12" xfId="2021" xr:uid="{00000000-0005-0000-0000-0000FC990000}"/>
    <cellStyle name="Normal 9 12 2" xfId="41795" xr:uid="{00000000-0005-0000-0000-0000FD990000}"/>
    <cellStyle name="Normal 9 13" xfId="2022" xr:uid="{00000000-0005-0000-0000-0000FE990000}"/>
    <cellStyle name="Normal 9 13 2" xfId="41796" xr:uid="{00000000-0005-0000-0000-0000FF990000}"/>
    <cellStyle name="Normal 9 13 3" xfId="45828" xr:uid="{00000000-0005-0000-0000-0000009A0000}"/>
    <cellStyle name="Normal 9 14" xfId="33590" xr:uid="{00000000-0005-0000-0000-0000019A0000}"/>
    <cellStyle name="Normal 9 15" xfId="41797" xr:uid="{00000000-0005-0000-0000-0000029A0000}"/>
    <cellStyle name="Normal 9 2" xfId="536" xr:uid="{00000000-0005-0000-0000-0000039A0000}"/>
    <cellStyle name="Normal 9 2 10" xfId="2023" xr:uid="{00000000-0005-0000-0000-0000049A0000}"/>
    <cellStyle name="Normal 9 2 10 2" xfId="41798" xr:uid="{00000000-0005-0000-0000-0000059A0000}"/>
    <cellStyle name="Normal 9 2 10 3" xfId="45829" xr:uid="{00000000-0005-0000-0000-0000069A0000}"/>
    <cellStyle name="Normal 9 2 11" xfId="2024" xr:uid="{00000000-0005-0000-0000-0000079A0000}"/>
    <cellStyle name="Normal 9 2 11 2" xfId="41799" xr:uid="{00000000-0005-0000-0000-0000089A0000}"/>
    <cellStyle name="Normal 9 2 12" xfId="33591" xr:uid="{00000000-0005-0000-0000-0000099A0000}"/>
    <cellStyle name="Normal 9 2 12 2" xfId="41800" xr:uid="{00000000-0005-0000-0000-00000A9A0000}"/>
    <cellStyle name="Normal 9 2 12 3" xfId="45830" xr:uid="{00000000-0005-0000-0000-00000B9A0000}"/>
    <cellStyle name="Normal 9 2 13" xfId="41801" xr:uid="{00000000-0005-0000-0000-00000C9A0000}"/>
    <cellStyle name="Normal 9 2 14" xfId="41802" xr:uid="{00000000-0005-0000-0000-00000D9A0000}"/>
    <cellStyle name="Normal 9 2 2" xfId="537" xr:uid="{00000000-0005-0000-0000-00000E9A0000}"/>
    <cellStyle name="Normal 9 2 2 2" xfId="2025" xr:uid="{00000000-0005-0000-0000-00000F9A0000}"/>
    <cellStyle name="Normal 9 2 2 2 10" xfId="46269" xr:uid="{00000000-0005-0000-0000-0000109A0000}"/>
    <cellStyle name="Normal 9 2 2 2 2" xfId="2026" xr:uid="{00000000-0005-0000-0000-0000119A0000}"/>
    <cellStyle name="Normal 9 2 2 2 2 2" xfId="33592" xr:uid="{00000000-0005-0000-0000-0000129A0000}"/>
    <cellStyle name="Normal 9 2 2 2 2 2 2" xfId="33593" xr:uid="{00000000-0005-0000-0000-0000139A0000}"/>
    <cellStyle name="Normal 9 2 2 2 2 2 2 2" xfId="33594" xr:uid="{00000000-0005-0000-0000-0000149A0000}"/>
    <cellStyle name="Normal 9 2 2 2 2 2 2 2 2" xfId="41803" xr:uid="{00000000-0005-0000-0000-0000159A0000}"/>
    <cellStyle name="Normal 9 2 2 2 2 2 2 3" xfId="33595" xr:uid="{00000000-0005-0000-0000-0000169A0000}"/>
    <cellStyle name="Normal 9 2 2 2 2 2 3" xfId="33596" xr:uid="{00000000-0005-0000-0000-0000179A0000}"/>
    <cellStyle name="Normal 9 2 2 2 2 2 3 2" xfId="33597" xr:uid="{00000000-0005-0000-0000-0000189A0000}"/>
    <cellStyle name="Normal 9 2 2 2 2 2 3 2 2" xfId="41804" xr:uid="{00000000-0005-0000-0000-0000199A0000}"/>
    <cellStyle name="Normal 9 2 2 2 2 2 3 3" xfId="33598" xr:uid="{00000000-0005-0000-0000-00001A9A0000}"/>
    <cellStyle name="Normal 9 2 2 2 2 2 4" xfId="33599" xr:uid="{00000000-0005-0000-0000-00001B9A0000}"/>
    <cellStyle name="Normal 9 2 2 2 2 2 4 2" xfId="41805" xr:uid="{00000000-0005-0000-0000-00001C9A0000}"/>
    <cellStyle name="Normal 9 2 2 2 2 2 5" xfId="33600" xr:uid="{00000000-0005-0000-0000-00001D9A0000}"/>
    <cellStyle name="Normal 9 2 2 2 2 3" xfId="33601" xr:uid="{00000000-0005-0000-0000-00001E9A0000}"/>
    <cellStyle name="Normal 9 2 2 2 2 3 2" xfId="33602" xr:uid="{00000000-0005-0000-0000-00001F9A0000}"/>
    <cellStyle name="Normal 9 2 2 2 2 3 2 2" xfId="41806" xr:uid="{00000000-0005-0000-0000-0000209A0000}"/>
    <cellStyle name="Normal 9 2 2 2 2 3 3" xfId="33603" xr:uid="{00000000-0005-0000-0000-0000219A0000}"/>
    <cellStyle name="Normal 9 2 2 2 2 4" xfId="33604" xr:uid="{00000000-0005-0000-0000-0000229A0000}"/>
    <cellStyle name="Normal 9 2 2 2 2 4 2" xfId="33605" xr:uid="{00000000-0005-0000-0000-0000239A0000}"/>
    <cellStyle name="Normal 9 2 2 2 2 4 2 2" xfId="41807" xr:uid="{00000000-0005-0000-0000-0000249A0000}"/>
    <cellStyle name="Normal 9 2 2 2 2 4 3" xfId="33606" xr:uid="{00000000-0005-0000-0000-0000259A0000}"/>
    <cellStyle name="Normal 9 2 2 2 2 5" xfId="33607" xr:uid="{00000000-0005-0000-0000-0000269A0000}"/>
    <cellStyle name="Normal 9 2 2 2 2 5 2" xfId="41808" xr:uid="{00000000-0005-0000-0000-0000279A0000}"/>
    <cellStyle name="Normal 9 2 2 2 2 6" xfId="33608" xr:uid="{00000000-0005-0000-0000-0000289A0000}"/>
    <cellStyle name="Normal 9 2 2 2 2 7" xfId="45831" xr:uid="{00000000-0005-0000-0000-0000299A0000}"/>
    <cellStyle name="Normal 9 2 2 2 3" xfId="2027" xr:uid="{00000000-0005-0000-0000-00002A9A0000}"/>
    <cellStyle name="Normal 9 2 2 2 3 2" xfId="33609" xr:uid="{00000000-0005-0000-0000-00002B9A0000}"/>
    <cellStyle name="Normal 9 2 2 2 3 2 2" xfId="33610" xr:uid="{00000000-0005-0000-0000-00002C9A0000}"/>
    <cellStyle name="Normal 9 2 2 2 3 2 2 2" xfId="41809" xr:uid="{00000000-0005-0000-0000-00002D9A0000}"/>
    <cellStyle name="Normal 9 2 2 2 3 2 3" xfId="33611" xr:uid="{00000000-0005-0000-0000-00002E9A0000}"/>
    <cellStyle name="Normal 9 2 2 2 3 3" xfId="33612" xr:uid="{00000000-0005-0000-0000-00002F9A0000}"/>
    <cellStyle name="Normal 9 2 2 2 3 3 2" xfId="33613" xr:uid="{00000000-0005-0000-0000-0000309A0000}"/>
    <cellStyle name="Normal 9 2 2 2 3 3 2 2" xfId="41810" xr:uid="{00000000-0005-0000-0000-0000319A0000}"/>
    <cellStyle name="Normal 9 2 2 2 3 3 3" xfId="33614" xr:uid="{00000000-0005-0000-0000-0000329A0000}"/>
    <cellStyle name="Normal 9 2 2 2 3 4" xfId="33615" xr:uid="{00000000-0005-0000-0000-0000339A0000}"/>
    <cellStyle name="Normal 9 2 2 2 3 4 2" xfId="41811" xr:uid="{00000000-0005-0000-0000-0000349A0000}"/>
    <cellStyle name="Normal 9 2 2 2 3 5" xfId="33616" xr:uid="{00000000-0005-0000-0000-0000359A0000}"/>
    <cellStyle name="Normal 9 2 2 2 3 6" xfId="45832" xr:uid="{00000000-0005-0000-0000-0000369A0000}"/>
    <cellStyle name="Normal 9 2 2 2 4" xfId="2028" xr:uid="{00000000-0005-0000-0000-0000379A0000}"/>
    <cellStyle name="Normal 9 2 2 2 4 2" xfId="33617" xr:uid="{00000000-0005-0000-0000-0000389A0000}"/>
    <cellStyle name="Normal 9 2 2 2 4 2 2" xfId="41812" xr:uid="{00000000-0005-0000-0000-0000399A0000}"/>
    <cellStyle name="Normal 9 2 2 2 4 3" xfId="33618" xr:uid="{00000000-0005-0000-0000-00003A9A0000}"/>
    <cellStyle name="Normal 9 2 2 2 4 4" xfId="45833" xr:uid="{00000000-0005-0000-0000-00003B9A0000}"/>
    <cellStyle name="Normal 9 2 2 2 5" xfId="2029" xr:uid="{00000000-0005-0000-0000-00003C9A0000}"/>
    <cellStyle name="Normal 9 2 2 2 5 2" xfId="33619" xr:uid="{00000000-0005-0000-0000-00003D9A0000}"/>
    <cellStyle name="Normal 9 2 2 2 5 2 2" xfId="41813" xr:uid="{00000000-0005-0000-0000-00003E9A0000}"/>
    <cellStyle name="Normal 9 2 2 2 5 3" xfId="33620" xr:uid="{00000000-0005-0000-0000-00003F9A0000}"/>
    <cellStyle name="Normal 9 2 2 2 5 4" xfId="45834" xr:uid="{00000000-0005-0000-0000-0000409A0000}"/>
    <cellStyle name="Normal 9 2 2 2 6" xfId="33621" xr:uid="{00000000-0005-0000-0000-0000419A0000}"/>
    <cellStyle name="Normal 9 2 2 2 6 2" xfId="41814" xr:uid="{00000000-0005-0000-0000-0000429A0000}"/>
    <cellStyle name="Normal 9 2 2 2 7" xfId="33622" xr:uid="{00000000-0005-0000-0000-0000439A0000}"/>
    <cellStyle name="Normal 9 2 2 2 8" xfId="33623" xr:uid="{00000000-0005-0000-0000-0000449A0000}"/>
    <cellStyle name="Normal 9 2 2 2 9" xfId="45835" xr:uid="{00000000-0005-0000-0000-0000459A0000}"/>
    <cellStyle name="Normal 9 2 2 3" xfId="2030" xr:uid="{00000000-0005-0000-0000-0000469A0000}"/>
    <cellStyle name="Normal 9 2 2 3 2" xfId="2031" xr:uid="{00000000-0005-0000-0000-0000479A0000}"/>
    <cellStyle name="Normal 9 2 2 3 2 2" xfId="33624" xr:uid="{00000000-0005-0000-0000-0000489A0000}"/>
    <cellStyle name="Normal 9 2 2 3 2 2 2" xfId="33625" xr:uid="{00000000-0005-0000-0000-0000499A0000}"/>
    <cellStyle name="Normal 9 2 2 3 2 2 2 2" xfId="41815" xr:uid="{00000000-0005-0000-0000-00004A9A0000}"/>
    <cellStyle name="Normal 9 2 2 3 2 2 3" xfId="33626" xr:uid="{00000000-0005-0000-0000-00004B9A0000}"/>
    <cellStyle name="Normal 9 2 2 3 2 3" xfId="33627" xr:uid="{00000000-0005-0000-0000-00004C9A0000}"/>
    <cellStyle name="Normal 9 2 2 3 2 3 2" xfId="33628" xr:uid="{00000000-0005-0000-0000-00004D9A0000}"/>
    <cellStyle name="Normal 9 2 2 3 2 3 2 2" xfId="41816" xr:uid="{00000000-0005-0000-0000-00004E9A0000}"/>
    <cellStyle name="Normal 9 2 2 3 2 3 3" xfId="33629" xr:uid="{00000000-0005-0000-0000-00004F9A0000}"/>
    <cellStyle name="Normal 9 2 2 3 2 4" xfId="33630" xr:uid="{00000000-0005-0000-0000-0000509A0000}"/>
    <cellStyle name="Normal 9 2 2 3 2 4 2" xfId="41817" xr:uid="{00000000-0005-0000-0000-0000519A0000}"/>
    <cellStyle name="Normal 9 2 2 3 2 5" xfId="33631" xr:uid="{00000000-0005-0000-0000-0000529A0000}"/>
    <cellStyle name="Normal 9 2 2 3 2 6" xfId="45836" xr:uid="{00000000-0005-0000-0000-0000539A0000}"/>
    <cellStyle name="Normal 9 2 2 3 3" xfId="2032" xr:uid="{00000000-0005-0000-0000-0000549A0000}"/>
    <cellStyle name="Normal 9 2 2 3 3 2" xfId="33632" xr:uid="{00000000-0005-0000-0000-0000559A0000}"/>
    <cellStyle name="Normal 9 2 2 3 3 2 2" xfId="41818" xr:uid="{00000000-0005-0000-0000-0000569A0000}"/>
    <cellStyle name="Normal 9 2 2 3 3 3" xfId="33633" xr:uid="{00000000-0005-0000-0000-0000579A0000}"/>
    <cellStyle name="Normal 9 2 2 3 3 4" xfId="45837" xr:uid="{00000000-0005-0000-0000-0000589A0000}"/>
    <cellStyle name="Normal 9 2 2 3 4" xfId="33634" xr:uid="{00000000-0005-0000-0000-0000599A0000}"/>
    <cellStyle name="Normal 9 2 2 3 4 2" xfId="33635" xr:uid="{00000000-0005-0000-0000-00005A9A0000}"/>
    <cellStyle name="Normal 9 2 2 3 4 2 2" xfId="41819" xr:uid="{00000000-0005-0000-0000-00005B9A0000}"/>
    <cellStyle name="Normal 9 2 2 3 4 3" xfId="33636" xr:uid="{00000000-0005-0000-0000-00005C9A0000}"/>
    <cellStyle name="Normal 9 2 2 3 5" xfId="33637" xr:uid="{00000000-0005-0000-0000-00005D9A0000}"/>
    <cellStyle name="Normal 9 2 2 3 5 2" xfId="41820" xr:uid="{00000000-0005-0000-0000-00005E9A0000}"/>
    <cellStyle name="Normal 9 2 2 3 6" xfId="33638" xr:uid="{00000000-0005-0000-0000-00005F9A0000}"/>
    <cellStyle name="Normal 9 2 2 3 7" xfId="45838" xr:uid="{00000000-0005-0000-0000-0000609A0000}"/>
    <cellStyle name="Normal 9 2 2 4" xfId="2033" xr:uid="{00000000-0005-0000-0000-0000619A0000}"/>
    <cellStyle name="Normal 9 2 2 4 2" xfId="2034" xr:uid="{00000000-0005-0000-0000-0000629A0000}"/>
    <cellStyle name="Normal 9 2 2 4 2 2" xfId="33639" xr:uid="{00000000-0005-0000-0000-0000639A0000}"/>
    <cellStyle name="Normal 9 2 2 4 2 2 2" xfId="41821" xr:uid="{00000000-0005-0000-0000-0000649A0000}"/>
    <cellStyle name="Normal 9 2 2 4 2 3" xfId="33640" xr:uid="{00000000-0005-0000-0000-0000659A0000}"/>
    <cellStyle name="Normal 9 2 2 4 2 4" xfId="45839" xr:uid="{00000000-0005-0000-0000-0000669A0000}"/>
    <cellStyle name="Normal 9 2 2 4 3" xfId="2035" xr:uid="{00000000-0005-0000-0000-0000679A0000}"/>
    <cellStyle name="Normal 9 2 2 4 3 2" xfId="33641" xr:uid="{00000000-0005-0000-0000-0000689A0000}"/>
    <cellStyle name="Normal 9 2 2 4 3 2 2" xfId="41822" xr:uid="{00000000-0005-0000-0000-0000699A0000}"/>
    <cellStyle name="Normal 9 2 2 4 3 3" xfId="33642" xr:uid="{00000000-0005-0000-0000-00006A9A0000}"/>
    <cellStyle name="Normal 9 2 2 4 3 4" xfId="45840" xr:uid="{00000000-0005-0000-0000-00006B9A0000}"/>
    <cellStyle name="Normal 9 2 2 4 4" xfId="33643" xr:uid="{00000000-0005-0000-0000-00006C9A0000}"/>
    <cellStyle name="Normal 9 2 2 4 4 2" xfId="41823" xr:uid="{00000000-0005-0000-0000-00006D9A0000}"/>
    <cellStyle name="Normal 9 2 2 4 5" xfId="33644" xr:uid="{00000000-0005-0000-0000-00006E9A0000}"/>
    <cellStyle name="Normal 9 2 2 4 6" xfId="45841" xr:uid="{00000000-0005-0000-0000-00006F9A0000}"/>
    <cellStyle name="Normal 9 2 2 5" xfId="2036" xr:uid="{00000000-0005-0000-0000-0000709A0000}"/>
    <cellStyle name="Normal 9 2 2 5 2" xfId="33645" xr:uid="{00000000-0005-0000-0000-0000719A0000}"/>
    <cellStyle name="Normal 9 2 2 5 2 2" xfId="41824" xr:uid="{00000000-0005-0000-0000-0000729A0000}"/>
    <cellStyle name="Normal 9 2 2 5 3" xfId="33646" xr:uid="{00000000-0005-0000-0000-0000739A0000}"/>
    <cellStyle name="Normal 9 2 2 5 4" xfId="45842" xr:uid="{00000000-0005-0000-0000-0000749A0000}"/>
    <cellStyle name="Normal 9 2 2 6" xfId="2037" xr:uid="{00000000-0005-0000-0000-0000759A0000}"/>
    <cellStyle name="Normal 9 2 2 6 2" xfId="33647" xr:uid="{00000000-0005-0000-0000-0000769A0000}"/>
    <cellStyle name="Normal 9 2 2 6 2 2" xfId="41825" xr:uid="{00000000-0005-0000-0000-0000779A0000}"/>
    <cellStyle name="Normal 9 2 2 6 3" xfId="33648" xr:uid="{00000000-0005-0000-0000-0000789A0000}"/>
    <cellStyle name="Normal 9 2 2 6 4" xfId="45843" xr:uid="{00000000-0005-0000-0000-0000799A0000}"/>
    <cellStyle name="Normal 9 2 2 7" xfId="33649" xr:uid="{00000000-0005-0000-0000-00007A9A0000}"/>
    <cellStyle name="Normal 9 2 2 7 2" xfId="41826" xr:uid="{00000000-0005-0000-0000-00007B9A0000}"/>
    <cellStyle name="Normal 9 2 2 8" xfId="33650" xr:uid="{00000000-0005-0000-0000-00007C9A0000}"/>
    <cellStyle name="Normal 9 2 2 9" xfId="41827" xr:uid="{00000000-0005-0000-0000-00007D9A0000}"/>
    <cellStyle name="Normal 9 2 3" xfId="538" xr:uid="{00000000-0005-0000-0000-00007E9A0000}"/>
    <cellStyle name="Normal 9 2 3 2" xfId="2038" xr:uid="{00000000-0005-0000-0000-00007F9A0000}"/>
    <cellStyle name="Normal 9 2 3 2 2" xfId="2039" xr:uid="{00000000-0005-0000-0000-0000809A0000}"/>
    <cellStyle name="Normal 9 2 3 2 2 2" xfId="33651" xr:uid="{00000000-0005-0000-0000-0000819A0000}"/>
    <cellStyle name="Normal 9 2 3 2 2 2 2" xfId="33652" xr:uid="{00000000-0005-0000-0000-0000829A0000}"/>
    <cellStyle name="Normal 9 2 3 2 2 2 2 2" xfId="41828" xr:uid="{00000000-0005-0000-0000-0000839A0000}"/>
    <cellStyle name="Normal 9 2 3 2 2 2 3" xfId="33653" xr:uid="{00000000-0005-0000-0000-0000849A0000}"/>
    <cellStyle name="Normal 9 2 3 2 2 3" xfId="33654" xr:uid="{00000000-0005-0000-0000-0000859A0000}"/>
    <cellStyle name="Normal 9 2 3 2 2 3 2" xfId="33655" xr:uid="{00000000-0005-0000-0000-0000869A0000}"/>
    <cellStyle name="Normal 9 2 3 2 2 3 2 2" xfId="41829" xr:uid="{00000000-0005-0000-0000-0000879A0000}"/>
    <cellStyle name="Normal 9 2 3 2 2 3 3" xfId="33656" xr:uid="{00000000-0005-0000-0000-0000889A0000}"/>
    <cellStyle name="Normal 9 2 3 2 2 4" xfId="33657" xr:uid="{00000000-0005-0000-0000-0000899A0000}"/>
    <cellStyle name="Normal 9 2 3 2 2 4 2" xfId="41830" xr:uid="{00000000-0005-0000-0000-00008A9A0000}"/>
    <cellStyle name="Normal 9 2 3 2 2 5" xfId="33658" xr:uid="{00000000-0005-0000-0000-00008B9A0000}"/>
    <cellStyle name="Normal 9 2 3 2 2 6" xfId="45844" xr:uid="{00000000-0005-0000-0000-00008C9A0000}"/>
    <cellStyle name="Normal 9 2 3 2 3" xfId="2040" xr:uid="{00000000-0005-0000-0000-00008D9A0000}"/>
    <cellStyle name="Normal 9 2 3 2 3 2" xfId="33659" xr:uid="{00000000-0005-0000-0000-00008E9A0000}"/>
    <cellStyle name="Normal 9 2 3 2 3 2 2" xfId="41831" xr:uid="{00000000-0005-0000-0000-00008F9A0000}"/>
    <cellStyle name="Normal 9 2 3 2 3 3" xfId="33660" xr:uid="{00000000-0005-0000-0000-0000909A0000}"/>
    <cellStyle name="Normal 9 2 3 2 3 4" xfId="45845" xr:uid="{00000000-0005-0000-0000-0000919A0000}"/>
    <cellStyle name="Normal 9 2 3 2 4" xfId="2041" xr:uid="{00000000-0005-0000-0000-0000929A0000}"/>
    <cellStyle name="Normal 9 2 3 2 4 2" xfId="33661" xr:uid="{00000000-0005-0000-0000-0000939A0000}"/>
    <cellStyle name="Normal 9 2 3 2 4 2 2" xfId="41832" xr:uid="{00000000-0005-0000-0000-0000949A0000}"/>
    <cellStyle name="Normal 9 2 3 2 4 3" xfId="33662" xr:uid="{00000000-0005-0000-0000-0000959A0000}"/>
    <cellStyle name="Normal 9 2 3 2 4 4" xfId="45846" xr:uid="{00000000-0005-0000-0000-0000969A0000}"/>
    <cellStyle name="Normal 9 2 3 2 5" xfId="2042" xr:uid="{00000000-0005-0000-0000-0000979A0000}"/>
    <cellStyle name="Normal 9 2 3 2 5 2" xfId="41833" xr:uid="{00000000-0005-0000-0000-0000989A0000}"/>
    <cellStyle name="Normal 9 2 3 2 5 3" xfId="45847" xr:uid="{00000000-0005-0000-0000-0000999A0000}"/>
    <cellStyle name="Normal 9 2 3 2 6" xfId="33663" xr:uid="{00000000-0005-0000-0000-00009A9A0000}"/>
    <cellStyle name="Normal 9 2 3 2 7" xfId="45848" xr:uid="{00000000-0005-0000-0000-00009B9A0000}"/>
    <cellStyle name="Normal 9 2 3 3" xfId="2043" xr:uid="{00000000-0005-0000-0000-00009C9A0000}"/>
    <cellStyle name="Normal 9 2 3 3 2" xfId="2044" xr:uid="{00000000-0005-0000-0000-00009D9A0000}"/>
    <cellStyle name="Normal 9 2 3 3 2 2" xfId="33664" xr:uid="{00000000-0005-0000-0000-00009E9A0000}"/>
    <cellStyle name="Normal 9 2 3 3 2 2 2" xfId="41834" xr:uid="{00000000-0005-0000-0000-00009F9A0000}"/>
    <cellStyle name="Normal 9 2 3 3 2 3" xfId="33665" xr:uid="{00000000-0005-0000-0000-0000A09A0000}"/>
    <cellStyle name="Normal 9 2 3 3 2 4" xfId="45849" xr:uid="{00000000-0005-0000-0000-0000A19A0000}"/>
    <cellStyle name="Normal 9 2 3 3 3" xfId="2045" xr:uid="{00000000-0005-0000-0000-0000A29A0000}"/>
    <cellStyle name="Normal 9 2 3 3 3 2" xfId="33666" xr:uid="{00000000-0005-0000-0000-0000A39A0000}"/>
    <cellStyle name="Normal 9 2 3 3 3 2 2" xfId="41835" xr:uid="{00000000-0005-0000-0000-0000A49A0000}"/>
    <cellStyle name="Normal 9 2 3 3 3 3" xfId="33667" xr:uid="{00000000-0005-0000-0000-0000A59A0000}"/>
    <cellStyle name="Normal 9 2 3 3 3 4" xfId="45850" xr:uid="{00000000-0005-0000-0000-0000A69A0000}"/>
    <cellStyle name="Normal 9 2 3 3 4" xfId="33668" xr:uid="{00000000-0005-0000-0000-0000A79A0000}"/>
    <cellStyle name="Normal 9 2 3 3 4 2" xfId="41836" xr:uid="{00000000-0005-0000-0000-0000A89A0000}"/>
    <cellStyle name="Normal 9 2 3 3 5" xfId="33669" xr:uid="{00000000-0005-0000-0000-0000A99A0000}"/>
    <cellStyle name="Normal 9 2 3 3 6" xfId="45851" xr:uid="{00000000-0005-0000-0000-0000AA9A0000}"/>
    <cellStyle name="Normal 9 2 3 4" xfId="2046" xr:uid="{00000000-0005-0000-0000-0000AB9A0000}"/>
    <cellStyle name="Normal 9 2 3 4 2" xfId="2047" xr:uid="{00000000-0005-0000-0000-0000AC9A0000}"/>
    <cellStyle name="Normal 9 2 3 4 2 2" xfId="41837" xr:uid="{00000000-0005-0000-0000-0000AD9A0000}"/>
    <cellStyle name="Normal 9 2 3 4 2 3" xfId="45852" xr:uid="{00000000-0005-0000-0000-0000AE9A0000}"/>
    <cellStyle name="Normal 9 2 3 4 3" xfId="2048" xr:uid="{00000000-0005-0000-0000-0000AF9A0000}"/>
    <cellStyle name="Normal 9 2 3 4 3 2" xfId="41838" xr:uid="{00000000-0005-0000-0000-0000B09A0000}"/>
    <cellStyle name="Normal 9 2 3 4 3 3" xfId="45853" xr:uid="{00000000-0005-0000-0000-0000B19A0000}"/>
    <cellStyle name="Normal 9 2 3 4 4" xfId="41839" xr:uid="{00000000-0005-0000-0000-0000B29A0000}"/>
    <cellStyle name="Normal 9 2 3 4 5" xfId="45854" xr:uid="{00000000-0005-0000-0000-0000B39A0000}"/>
    <cellStyle name="Normal 9 2 3 5" xfId="2049" xr:uid="{00000000-0005-0000-0000-0000B49A0000}"/>
    <cellStyle name="Normal 9 2 3 5 2" xfId="33670" xr:uid="{00000000-0005-0000-0000-0000B59A0000}"/>
    <cellStyle name="Normal 9 2 3 5 2 2" xfId="41840" xr:uid="{00000000-0005-0000-0000-0000B69A0000}"/>
    <cellStyle name="Normal 9 2 3 5 3" xfId="33671" xr:uid="{00000000-0005-0000-0000-0000B79A0000}"/>
    <cellStyle name="Normal 9 2 3 5 4" xfId="45855" xr:uid="{00000000-0005-0000-0000-0000B89A0000}"/>
    <cellStyle name="Normal 9 2 3 6" xfId="2050" xr:uid="{00000000-0005-0000-0000-0000B99A0000}"/>
    <cellStyle name="Normal 9 2 3 6 2" xfId="41841" xr:uid="{00000000-0005-0000-0000-0000BA9A0000}"/>
    <cellStyle name="Normal 9 2 3 6 3" xfId="45856" xr:uid="{00000000-0005-0000-0000-0000BB9A0000}"/>
    <cellStyle name="Normal 9 2 3 7" xfId="33672" xr:uid="{00000000-0005-0000-0000-0000BC9A0000}"/>
    <cellStyle name="Normal 9 2 3 7 2" xfId="33673" xr:uid="{00000000-0005-0000-0000-0000BD9A0000}"/>
    <cellStyle name="Normal 9 2 3 7 3" xfId="44603" xr:uid="{00000000-0005-0000-0000-0000BE9A0000}"/>
    <cellStyle name="Normal 9 2 4" xfId="2051" xr:uid="{00000000-0005-0000-0000-0000BF9A0000}"/>
    <cellStyle name="Normal 9 2 4 2" xfId="2052" xr:uid="{00000000-0005-0000-0000-0000C09A0000}"/>
    <cellStyle name="Normal 9 2 4 2 2" xfId="2053" xr:uid="{00000000-0005-0000-0000-0000C19A0000}"/>
    <cellStyle name="Normal 9 2 4 2 2 2" xfId="33674" xr:uid="{00000000-0005-0000-0000-0000C29A0000}"/>
    <cellStyle name="Normal 9 2 4 2 2 2 2" xfId="41842" xr:uid="{00000000-0005-0000-0000-0000C39A0000}"/>
    <cellStyle name="Normal 9 2 4 2 2 3" xfId="33675" xr:uid="{00000000-0005-0000-0000-0000C49A0000}"/>
    <cellStyle name="Normal 9 2 4 2 2 4" xfId="45857" xr:uid="{00000000-0005-0000-0000-0000C59A0000}"/>
    <cellStyle name="Normal 9 2 4 2 3" xfId="2054" xr:uid="{00000000-0005-0000-0000-0000C69A0000}"/>
    <cellStyle name="Normal 9 2 4 2 3 2" xfId="33676" xr:uid="{00000000-0005-0000-0000-0000C79A0000}"/>
    <cellStyle name="Normal 9 2 4 2 3 2 2" xfId="41843" xr:uid="{00000000-0005-0000-0000-0000C89A0000}"/>
    <cellStyle name="Normal 9 2 4 2 3 3" xfId="33677" xr:uid="{00000000-0005-0000-0000-0000C99A0000}"/>
    <cellStyle name="Normal 9 2 4 2 3 4" xfId="45858" xr:uid="{00000000-0005-0000-0000-0000CA9A0000}"/>
    <cellStyle name="Normal 9 2 4 2 4" xfId="2055" xr:uid="{00000000-0005-0000-0000-0000CB9A0000}"/>
    <cellStyle name="Normal 9 2 4 2 4 2" xfId="41844" xr:uid="{00000000-0005-0000-0000-0000CC9A0000}"/>
    <cellStyle name="Normal 9 2 4 2 4 3" xfId="45859" xr:uid="{00000000-0005-0000-0000-0000CD9A0000}"/>
    <cellStyle name="Normal 9 2 4 2 5" xfId="2056" xr:uid="{00000000-0005-0000-0000-0000CE9A0000}"/>
    <cellStyle name="Normal 9 2 4 2 5 2" xfId="41845" xr:uid="{00000000-0005-0000-0000-0000CF9A0000}"/>
    <cellStyle name="Normal 9 2 4 2 5 3" xfId="45860" xr:uid="{00000000-0005-0000-0000-0000D09A0000}"/>
    <cellStyle name="Normal 9 2 4 2 6" xfId="41846" xr:uid="{00000000-0005-0000-0000-0000D19A0000}"/>
    <cellStyle name="Normal 9 2 4 2 7" xfId="45861" xr:uid="{00000000-0005-0000-0000-0000D29A0000}"/>
    <cellStyle name="Normal 9 2 4 3" xfId="2057" xr:uid="{00000000-0005-0000-0000-0000D39A0000}"/>
    <cellStyle name="Normal 9 2 4 3 2" xfId="2058" xr:uid="{00000000-0005-0000-0000-0000D49A0000}"/>
    <cellStyle name="Normal 9 2 4 3 2 2" xfId="41847" xr:uid="{00000000-0005-0000-0000-0000D59A0000}"/>
    <cellStyle name="Normal 9 2 4 3 2 3" xfId="45862" xr:uid="{00000000-0005-0000-0000-0000D69A0000}"/>
    <cellStyle name="Normal 9 2 4 3 3" xfId="2059" xr:uid="{00000000-0005-0000-0000-0000D79A0000}"/>
    <cellStyle name="Normal 9 2 4 3 3 2" xfId="41848" xr:uid="{00000000-0005-0000-0000-0000D89A0000}"/>
    <cellStyle name="Normal 9 2 4 3 3 3" xfId="45863" xr:uid="{00000000-0005-0000-0000-0000D99A0000}"/>
    <cellStyle name="Normal 9 2 4 3 4" xfId="41849" xr:uid="{00000000-0005-0000-0000-0000DA9A0000}"/>
    <cellStyle name="Normal 9 2 4 3 5" xfId="45864" xr:uid="{00000000-0005-0000-0000-0000DB9A0000}"/>
    <cellStyle name="Normal 9 2 4 4" xfId="2060" xr:uid="{00000000-0005-0000-0000-0000DC9A0000}"/>
    <cellStyle name="Normal 9 2 4 4 2" xfId="2061" xr:uid="{00000000-0005-0000-0000-0000DD9A0000}"/>
    <cellStyle name="Normal 9 2 4 4 2 2" xfId="41850" xr:uid="{00000000-0005-0000-0000-0000DE9A0000}"/>
    <cellStyle name="Normal 9 2 4 4 2 3" xfId="45865" xr:uid="{00000000-0005-0000-0000-0000DF9A0000}"/>
    <cellStyle name="Normal 9 2 4 4 3" xfId="2062" xr:uid="{00000000-0005-0000-0000-0000E09A0000}"/>
    <cellStyle name="Normal 9 2 4 4 3 2" xfId="41851" xr:uid="{00000000-0005-0000-0000-0000E19A0000}"/>
    <cellStyle name="Normal 9 2 4 4 3 3" xfId="45866" xr:uid="{00000000-0005-0000-0000-0000E29A0000}"/>
    <cellStyle name="Normal 9 2 4 4 4" xfId="41852" xr:uid="{00000000-0005-0000-0000-0000E39A0000}"/>
    <cellStyle name="Normal 9 2 4 4 5" xfId="45867" xr:uid="{00000000-0005-0000-0000-0000E49A0000}"/>
    <cellStyle name="Normal 9 2 4 5" xfId="2063" xr:uid="{00000000-0005-0000-0000-0000E59A0000}"/>
    <cellStyle name="Normal 9 2 4 5 2" xfId="41853" xr:uid="{00000000-0005-0000-0000-0000E69A0000}"/>
    <cellStyle name="Normal 9 2 4 5 3" xfId="45868" xr:uid="{00000000-0005-0000-0000-0000E79A0000}"/>
    <cellStyle name="Normal 9 2 4 6" xfId="2064" xr:uid="{00000000-0005-0000-0000-0000E89A0000}"/>
    <cellStyle name="Normal 9 2 4 6 2" xfId="41854" xr:uid="{00000000-0005-0000-0000-0000E99A0000}"/>
    <cellStyle name="Normal 9 2 4 6 3" xfId="45869" xr:uid="{00000000-0005-0000-0000-0000EA9A0000}"/>
    <cellStyle name="Normal 9 2 4 7" xfId="41855" xr:uid="{00000000-0005-0000-0000-0000EB9A0000}"/>
    <cellStyle name="Normal 9 2 4 8" xfId="45870" xr:uid="{00000000-0005-0000-0000-0000EC9A0000}"/>
    <cellStyle name="Normal 9 2 5" xfId="2065" xr:uid="{00000000-0005-0000-0000-0000ED9A0000}"/>
    <cellStyle name="Normal 9 2 5 10" xfId="41856" xr:uid="{00000000-0005-0000-0000-0000EE9A0000}"/>
    <cellStyle name="Normal 9 2 5 11" xfId="45871" xr:uid="{00000000-0005-0000-0000-0000EF9A0000}"/>
    <cellStyle name="Normal 9 2 5 2" xfId="2066" xr:uid="{00000000-0005-0000-0000-0000F09A0000}"/>
    <cellStyle name="Normal 9 2 5 2 2" xfId="2067" xr:uid="{00000000-0005-0000-0000-0000F19A0000}"/>
    <cellStyle name="Normal 9 2 5 2 2 2" xfId="2068" xr:uid="{00000000-0005-0000-0000-0000F29A0000}"/>
    <cellStyle name="Normal 9 2 5 2 2 2 2" xfId="41857" xr:uid="{00000000-0005-0000-0000-0000F39A0000}"/>
    <cellStyle name="Normal 9 2 5 2 2 2 3" xfId="45872" xr:uid="{00000000-0005-0000-0000-0000F49A0000}"/>
    <cellStyle name="Normal 9 2 5 2 2 3" xfId="2069" xr:uid="{00000000-0005-0000-0000-0000F59A0000}"/>
    <cellStyle name="Normal 9 2 5 2 2 3 2" xfId="41858" xr:uid="{00000000-0005-0000-0000-0000F69A0000}"/>
    <cellStyle name="Normal 9 2 5 2 2 3 3" xfId="45873" xr:uid="{00000000-0005-0000-0000-0000F79A0000}"/>
    <cellStyle name="Normal 9 2 5 2 2 4" xfId="2070" xr:uid="{00000000-0005-0000-0000-0000F89A0000}"/>
    <cellStyle name="Normal 9 2 5 2 2 4 2" xfId="41859" xr:uid="{00000000-0005-0000-0000-0000F99A0000}"/>
    <cellStyle name="Normal 9 2 5 2 2 4 3" xfId="45874" xr:uid="{00000000-0005-0000-0000-0000FA9A0000}"/>
    <cellStyle name="Normal 9 2 5 2 2 5" xfId="2071" xr:uid="{00000000-0005-0000-0000-0000FB9A0000}"/>
    <cellStyle name="Normal 9 2 5 2 2 5 2" xfId="41860" xr:uid="{00000000-0005-0000-0000-0000FC9A0000}"/>
    <cellStyle name="Normal 9 2 5 2 2 5 3" xfId="45875" xr:uid="{00000000-0005-0000-0000-0000FD9A0000}"/>
    <cellStyle name="Normal 9 2 5 2 2 6" xfId="41861" xr:uid="{00000000-0005-0000-0000-0000FE9A0000}"/>
    <cellStyle name="Normal 9 2 5 2 2 7" xfId="45876" xr:uid="{00000000-0005-0000-0000-0000FF9A0000}"/>
    <cellStyle name="Normal 9 2 5 2 3" xfId="2072" xr:uid="{00000000-0005-0000-0000-0000009B0000}"/>
    <cellStyle name="Normal 9 2 5 2 3 2" xfId="2073" xr:uid="{00000000-0005-0000-0000-0000019B0000}"/>
    <cellStyle name="Normal 9 2 5 2 3 2 2" xfId="41862" xr:uid="{00000000-0005-0000-0000-0000029B0000}"/>
    <cellStyle name="Normal 9 2 5 2 3 2 3" xfId="45877" xr:uid="{00000000-0005-0000-0000-0000039B0000}"/>
    <cellStyle name="Normal 9 2 5 2 3 3" xfId="2074" xr:uid="{00000000-0005-0000-0000-0000049B0000}"/>
    <cellStyle name="Normal 9 2 5 2 3 3 2" xfId="41863" xr:uid="{00000000-0005-0000-0000-0000059B0000}"/>
    <cellStyle name="Normal 9 2 5 2 3 3 3" xfId="45878" xr:uid="{00000000-0005-0000-0000-0000069B0000}"/>
    <cellStyle name="Normal 9 2 5 2 3 4" xfId="41864" xr:uid="{00000000-0005-0000-0000-0000079B0000}"/>
    <cellStyle name="Normal 9 2 5 2 3 5" xfId="45879" xr:uid="{00000000-0005-0000-0000-0000089B0000}"/>
    <cellStyle name="Normal 9 2 5 2 4" xfId="2075" xr:uid="{00000000-0005-0000-0000-0000099B0000}"/>
    <cellStyle name="Normal 9 2 5 2 4 2" xfId="2076" xr:uid="{00000000-0005-0000-0000-00000A9B0000}"/>
    <cellStyle name="Normal 9 2 5 2 4 2 2" xfId="41865" xr:uid="{00000000-0005-0000-0000-00000B9B0000}"/>
    <cellStyle name="Normal 9 2 5 2 4 2 3" xfId="45880" xr:uid="{00000000-0005-0000-0000-00000C9B0000}"/>
    <cellStyle name="Normal 9 2 5 2 4 3" xfId="2077" xr:uid="{00000000-0005-0000-0000-00000D9B0000}"/>
    <cellStyle name="Normal 9 2 5 2 4 3 2" xfId="41866" xr:uid="{00000000-0005-0000-0000-00000E9B0000}"/>
    <cellStyle name="Normal 9 2 5 2 4 3 3" xfId="45881" xr:uid="{00000000-0005-0000-0000-00000F9B0000}"/>
    <cellStyle name="Normal 9 2 5 2 4 4" xfId="41867" xr:uid="{00000000-0005-0000-0000-0000109B0000}"/>
    <cellStyle name="Normal 9 2 5 2 4 5" xfId="45882" xr:uid="{00000000-0005-0000-0000-0000119B0000}"/>
    <cellStyle name="Normal 9 2 5 2 5" xfId="2078" xr:uid="{00000000-0005-0000-0000-0000129B0000}"/>
    <cellStyle name="Normal 9 2 5 2 5 2" xfId="41868" xr:uid="{00000000-0005-0000-0000-0000139B0000}"/>
    <cellStyle name="Normal 9 2 5 2 5 3" xfId="45883" xr:uid="{00000000-0005-0000-0000-0000149B0000}"/>
    <cellStyle name="Normal 9 2 5 2 6" xfId="2079" xr:uid="{00000000-0005-0000-0000-0000159B0000}"/>
    <cellStyle name="Normal 9 2 5 2 6 2" xfId="41869" xr:uid="{00000000-0005-0000-0000-0000169B0000}"/>
    <cellStyle name="Normal 9 2 5 2 6 3" xfId="45884" xr:uid="{00000000-0005-0000-0000-0000179B0000}"/>
    <cellStyle name="Normal 9 2 5 2 7" xfId="41870" xr:uid="{00000000-0005-0000-0000-0000189B0000}"/>
    <cellStyle name="Normal 9 2 5 2 8" xfId="45885" xr:uid="{00000000-0005-0000-0000-0000199B0000}"/>
    <cellStyle name="Normal 9 2 5 3" xfId="2080" xr:uid="{00000000-0005-0000-0000-00001A9B0000}"/>
    <cellStyle name="Normal 9 2 5 3 2" xfId="2081" xr:uid="{00000000-0005-0000-0000-00001B9B0000}"/>
    <cellStyle name="Normal 9 2 5 3 2 2" xfId="2082" xr:uid="{00000000-0005-0000-0000-00001C9B0000}"/>
    <cellStyle name="Normal 9 2 5 3 2 2 2" xfId="2083" xr:uid="{00000000-0005-0000-0000-00001D9B0000}"/>
    <cellStyle name="Normal 9 2 5 3 2 2 2 2" xfId="41871" xr:uid="{00000000-0005-0000-0000-00001E9B0000}"/>
    <cellStyle name="Normal 9 2 5 3 2 2 2 3" xfId="45886" xr:uid="{00000000-0005-0000-0000-00001F9B0000}"/>
    <cellStyle name="Normal 9 2 5 3 2 2 3" xfId="2084" xr:uid="{00000000-0005-0000-0000-0000209B0000}"/>
    <cellStyle name="Normal 9 2 5 3 2 2 3 2" xfId="41872" xr:uid="{00000000-0005-0000-0000-0000219B0000}"/>
    <cellStyle name="Normal 9 2 5 3 2 2 3 3" xfId="45887" xr:uid="{00000000-0005-0000-0000-0000229B0000}"/>
    <cellStyle name="Normal 9 2 5 3 2 2 4" xfId="41873" xr:uid="{00000000-0005-0000-0000-0000239B0000}"/>
    <cellStyle name="Normal 9 2 5 3 2 2 5" xfId="45888" xr:uid="{00000000-0005-0000-0000-0000249B0000}"/>
    <cellStyle name="Normal 9 2 5 3 2 3" xfId="2085" xr:uid="{00000000-0005-0000-0000-0000259B0000}"/>
    <cellStyle name="Normal 9 2 5 3 2 3 2" xfId="2086" xr:uid="{00000000-0005-0000-0000-0000269B0000}"/>
    <cellStyle name="Normal 9 2 5 3 2 3 2 2" xfId="41874" xr:uid="{00000000-0005-0000-0000-0000279B0000}"/>
    <cellStyle name="Normal 9 2 5 3 2 3 2 3" xfId="45889" xr:uid="{00000000-0005-0000-0000-0000289B0000}"/>
    <cellStyle name="Normal 9 2 5 3 2 3 3" xfId="2087" xr:uid="{00000000-0005-0000-0000-0000299B0000}"/>
    <cellStyle name="Normal 9 2 5 3 2 3 3 2" xfId="41875" xr:uid="{00000000-0005-0000-0000-00002A9B0000}"/>
    <cellStyle name="Normal 9 2 5 3 2 3 3 3" xfId="45890" xr:uid="{00000000-0005-0000-0000-00002B9B0000}"/>
    <cellStyle name="Normal 9 2 5 3 2 3 4" xfId="41876" xr:uid="{00000000-0005-0000-0000-00002C9B0000}"/>
    <cellStyle name="Normal 9 2 5 3 2 3 5" xfId="45891" xr:uid="{00000000-0005-0000-0000-00002D9B0000}"/>
    <cellStyle name="Normal 9 2 5 3 2 4" xfId="2088" xr:uid="{00000000-0005-0000-0000-00002E9B0000}"/>
    <cellStyle name="Normal 9 2 5 3 2 4 2" xfId="41877" xr:uid="{00000000-0005-0000-0000-00002F9B0000}"/>
    <cellStyle name="Normal 9 2 5 3 2 4 3" xfId="45892" xr:uid="{00000000-0005-0000-0000-0000309B0000}"/>
    <cellStyle name="Normal 9 2 5 3 2 5" xfId="2089" xr:uid="{00000000-0005-0000-0000-0000319B0000}"/>
    <cellStyle name="Normal 9 2 5 3 2 5 2" xfId="41878" xr:uid="{00000000-0005-0000-0000-0000329B0000}"/>
    <cellStyle name="Normal 9 2 5 3 2 5 3" xfId="45893" xr:uid="{00000000-0005-0000-0000-0000339B0000}"/>
    <cellStyle name="Normal 9 2 5 3 2 6" xfId="41879" xr:uid="{00000000-0005-0000-0000-0000349B0000}"/>
    <cellStyle name="Normal 9 2 5 3 2 7" xfId="45894" xr:uid="{00000000-0005-0000-0000-0000359B0000}"/>
    <cellStyle name="Normal 9 2 5 3 3" xfId="2090" xr:uid="{00000000-0005-0000-0000-0000369B0000}"/>
    <cellStyle name="Normal 9 2 5 3 3 2" xfId="2091" xr:uid="{00000000-0005-0000-0000-0000379B0000}"/>
    <cellStyle name="Normal 9 2 5 3 3 2 2" xfId="41880" xr:uid="{00000000-0005-0000-0000-0000389B0000}"/>
    <cellStyle name="Normal 9 2 5 3 3 2 3" xfId="45895" xr:uid="{00000000-0005-0000-0000-0000399B0000}"/>
    <cellStyle name="Normal 9 2 5 3 3 3" xfId="2092" xr:uid="{00000000-0005-0000-0000-00003A9B0000}"/>
    <cellStyle name="Normal 9 2 5 3 3 3 2" xfId="41881" xr:uid="{00000000-0005-0000-0000-00003B9B0000}"/>
    <cellStyle name="Normal 9 2 5 3 3 3 3" xfId="45896" xr:uid="{00000000-0005-0000-0000-00003C9B0000}"/>
    <cellStyle name="Normal 9 2 5 3 3 4" xfId="2093" xr:uid="{00000000-0005-0000-0000-00003D9B0000}"/>
    <cellStyle name="Normal 9 2 5 3 3 4 2" xfId="41882" xr:uid="{00000000-0005-0000-0000-00003E9B0000}"/>
    <cellStyle name="Normal 9 2 5 3 3 4 3" xfId="45897" xr:uid="{00000000-0005-0000-0000-00003F9B0000}"/>
    <cellStyle name="Normal 9 2 5 3 3 5" xfId="2094" xr:uid="{00000000-0005-0000-0000-0000409B0000}"/>
    <cellStyle name="Normal 9 2 5 3 3 5 2" xfId="41883" xr:uid="{00000000-0005-0000-0000-0000419B0000}"/>
    <cellStyle name="Normal 9 2 5 3 3 5 3" xfId="45898" xr:uid="{00000000-0005-0000-0000-0000429B0000}"/>
    <cellStyle name="Normal 9 2 5 3 3 6" xfId="41884" xr:uid="{00000000-0005-0000-0000-0000439B0000}"/>
    <cellStyle name="Normal 9 2 5 3 3 7" xfId="45899" xr:uid="{00000000-0005-0000-0000-0000449B0000}"/>
    <cellStyle name="Normal 9 2 5 3 4" xfId="2095" xr:uid="{00000000-0005-0000-0000-0000459B0000}"/>
    <cellStyle name="Normal 9 2 5 3 4 2" xfId="2096" xr:uid="{00000000-0005-0000-0000-0000469B0000}"/>
    <cellStyle name="Normal 9 2 5 3 4 2 2" xfId="41885" xr:uid="{00000000-0005-0000-0000-0000479B0000}"/>
    <cellStyle name="Normal 9 2 5 3 4 2 3" xfId="45900" xr:uid="{00000000-0005-0000-0000-0000489B0000}"/>
    <cellStyle name="Normal 9 2 5 3 4 3" xfId="2097" xr:uid="{00000000-0005-0000-0000-0000499B0000}"/>
    <cellStyle name="Normal 9 2 5 3 4 3 2" xfId="41886" xr:uid="{00000000-0005-0000-0000-00004A9B0000}"/>
    <cellStyle name="Normal 9 2 5 3 4 3 3" xfId="45901" xr:uid="{00000000-0005-0000-0000-00004B9B0000}"/>
    <cellStyle name="Normal 9 2 5 3 4 4" xfId="41887" xr:uid="{00000000-0005-0000-0000-00004C9B0000}"/>
    <cellStyle name="Normal 9 2 5 3 4 5" xfId="45902" xr:uid="{00000000-0005-0000-0000-00004D9B0000}"/>
    <cellStyle name="Normal 9 2 5 3 5" xfId="2098" xr:uid="{00000000-0005-0000-0000-00004E9B0000}"/>
    <cellStyle name="Normal 9 2 5 3 5 2" xfId="2099" xr:uid="{00000000-0005-0000-0000-00004F9B0000}"/>
    <cellStyle name="Normal 9 2 5 3 5 2 2" xfId="41888" xr:uid="{00000000-0005-0000-0000-0000509B0000}"/>
    <cellStyle name="Normal 9 2 5 3 5 2 3" xfId="45903" xr:uid="{00000000-0005-0000-0000-0000519B0000}"/>
    <cellStyle name="Normal 9 2 5 3 5 3" xfId="2100" xr:uid="{00000000-0005-0000-0000-0000529B0000}"/>
    <cellStyle name="Normal 9 2 5 3 5 3 2" xfId="41889" xr:uid="{00000000-0005-0000-0000-0000539B0000}"/>
    <cellStyle name="Normal 9 2 5 3 5 3 3" xfId="45904" xr:uid="{00000000-0005-0000-0000-0000549B0000}"/>
    <cellStyle name="Normal 9 2 5 3 5 4" xfId="41890" xr:uid="{00000000-0005-0000-0000-0000559B0000}"/>
    <cellStyle name="Normal 9 2 5 3 5 5" xfId="45905" xr:uid="{00000000-0005-0000-0000-0000569B0000}"/>
    <cellStyle name="Normal 9 2 5 3 6" xfId="2101" xr:uid="{00000000-0005-0000-0000-0000579B0000}"/>
    <cellStyle name="Normal 9 2 5 3 6 2" xfId="41891" xr:uid="{00000000-0005-0000-0000-0000589B0000}"/>
    <cellStyle name="Normal 9 2 5 3 6 3" xfId="45906" xr:uid="{00000000-0005-0000-0000-0000599B0000}"/>
    <cellStyle name="Normal 9 2 5 3 7" xfId="2102" xr:uid="{00000000-0005-0000-0000-00005A9B0000}"/>
    <cellStyle name="Normal 9 2 5 3 7 2" xfId="41892" xr:uid="{00000000-0005-0000-0000-00005B9B0000}"/>
    <cellStyle name="Normal 9 2 5 3 7 3" xfId="45907" xr:uid="{00000000-0005-0000-0000-00005C9B0000}"/>
    <cellStyle name="Normal 9 2 5 3 8" xfId="41893" xr:uid="{00000000-0005-0000-0000-00005D9B0000}"/>
    <cellStyle name="Normal 9 2 5 3 9" xfId="45908" xr:uid="{00000000-0005-0000-0000-00005E9B0000}"/>
    <cellStyle name="Normal 9 2 5 4" xfId="2103" xr:uid="{00000000-0005-0000-0000-00005F9B0000}"/>
    <cellStyle name="Normal 9 2 5 4 2" xfId="2104" xr:uid="{00000000-0005-0000-0000-0000609B0000}"/>
    <cellStyle name="Normal 9 2 5 4 2 2" xfId="2105" xr:uid="{00000000-0005-0000-0000-0000619B0000}"/>
    <cellStyle name="Normal 9 2 5 4 2 2 2" xfId="41894" xr:uid="{00000000-0005-0000-0000-0000629B0000}"/>
    <cellStyle name="Normal 9 2 5 4 2 2 3" xfId="45909" xr:uid="{00000000-0005-0000-0000-0000639B0000}"/>
    <cellStyle name="Normal 9 2 5 4 2 3" xfId="2106" xr:uid="{00000000-0005-0000-0000-0000649B0000}"/>
    <cellStyle name="Normal 9 2 5 4 2 3 2" xfId="41895" xr:uid="{00000000-0005-0000-0000-0000659B0000}"/>
    <cellStyle name="Normal 9 2 5 4 2 3 3" xfId="45910" xr:uid="{00000000-0005-0000-0000-0000669B0000}"/>
    <cellStyle name="Normal 9 2 5 4 2 4" xfId="41896" xr:uid="{00000000-0005-0000-0000-0000679B0000}"/>
    <cellStyle name="Normal 9 2 5 4 2 5" xfId="45911" xr:uid="{00000000-0005-0000-0000-0000689B0000}"/>
    <cellStyle name="Normal 9 2 5 4 3" xfId="2107" xr:uid="{00000000-0005-0000-0000-0000699B0000}"/>
    <cellStyle name="Normal 9 2 5 4 3 2" xfId="2108" xr:uid="{00000000-0005-0000-0000-00006A9B0000}"/>
    <cellStyle name="Normal 9 2 5 4 3 2 2" xfId="41897" xr:uid="{00000000-0005-0000-0000-00006B9B0000}"/>
    <cellStyle name="Normal 9 2 5 4 3 2 3" xfId="45912" xr:uid="{00000000-0005-0000-0000-00006C9B0000}"/>
    <cellStyle name="Normal 9 2 5 4 3 3" xfId="2109" xr:uid="{00000000-0005-0000-0000-00006D9B0000}"/>
    <cellStyle name="Normal 9 2 5 4 3 3 2" xfId="41898" xr:uid="{00000000-0005-0000-0000-00006E9B0000}"/>
    <cellStyle name="Normal 9 2 5 4 3 3 3" xfId="45913" xr:uid="{00000000-0005-0000-0000-00006F9B0000}"/>
    <cellStyle name="Normal 9 2 5 4 3 4" xfId="41899" xr:uid="{00000000-0005-0000-0000-0000709B0000}"/>
    <cellStyle name="Normal 9 2 5 4 3 5" xfId="45914" xr:uid="{00000000-0005-0000-0000-0000719B0000}"/>
    <cellStyle name="Normal 9 2 5 4 4" xfId="2110" xr:uid="{00000000-0005-0000-0000-0000729B0000}"/>
    <cellStyle name="Normal 9 2 5 4 4 2" xfId="41900" xr:uid="{00000000-0005-0000-0000-0000739B0000}"/>
    <cellStyle name="Normal 9 2 5 4 4 3" xfId="45915" xr:uid="{00000000-0005-0000-0000-0000749B0000}"/>
    <cellStyle name="Normal 9 2 5 4 5" xfId="2111" xr:uid="{00000000-0005-0000-0000-0000759B0000}"/>
    <cellStyle name="Normal 9 2 5 4 5 2" xfId="41901" xr:uid="{00000000-0005-0000-0000-0000769B0000}"/>
    <cellStyle name="Normal 9 2 5 4 5 3" xfId="45916" xr:uid="{00000000-0005-0000-0000-0000779B0000}"/>
    <cellStyle name="Normal 9 2 5 4 6" xfId="41902" xr:uid="{00000000-0005-0000-0000-0000789B0000}"/>
    <cellStyle name="Normal 9 2 5 4 7" xfId="45917" xr:uid="{00000000-0005-0000-0000-0000799B0000}"/>
    <cellStyle name="Normal 9 2 5 5" xfId="2112" xr:uid="{00000000-0005-0000-0000-00007A9B0000}"/>
    <cellStyle name="Normal 9 2 5 5 2" xfId="2113" xr:uid="{00000000-0005-0000-0000-00007B9B0000}"/>
    <cellStyle name="Normal 9 2 5 5 2 2" xfId="41903" xr:uid="{00000000-0005-0000-0000-00007C9B0000}"/>
    <cellStyle name="Normal 9 2 5 5 2 3" xfId="45918" xr:uid="{00000000-0005-0000-0000-00007D9B0000}"/>
    <cellStyle name="Normal 9 2 5 5 3" xfId="2114" xr:uid="{00000000-0005-0000-0000-00007E9B0000}"/>
    <cellStyle name="Normal 9 2 5 5 3 2" xfId="41904" xr:uid="{00000000-0005-0000-0000-00007F9B0000}"/>
    <cellStyle name="Normal 9 2 5 5 3 3" xfId="45919" xr:uid="{00000000-0005-0000-0000-0000809B0000}"/>
    <cellStyle name="Normal 9 2 5 5 4" xfId="2115" xr:uid="{00000000-0005-0000-0000-0000819B0000}"/>
    <cellStyle name="Normal 9 2 5 5 4 2" xfId="41905" xr:uid="{00000000-0005-0000-0000-0000829B0000}"/>
    <cellStyle name="Normal 9 2 5 5 4 3" xfId="45920" xr:uid="{00000000-0005-0000-0000-0000839B0000}"/>
    <cellStyle name="Normal 9 2 5 5 5" xfId="2116" xr:uid="{00000000-0005-0000-0000-0000849B0000}"/>
    <cellStyle name="Normal 9 2 5 5 5 2" xfId="41906" xr:uid="{00000000-0005-0000-0000-0000859B0000}"/>
    <cellStyle name="Normal 9 2 5 5 5 3" xfId="45921" xr:uid="{00000000-0005-0000-0000-0000869B0000}"/>
    <cellStyle name="Normal 9 2 5 5 6" xfId="41907" xr:uid="{00000000-0005-0000-0000-0000879B0000}"/>
    <cellStyle name="Normal 9 2 5 5 7" xfId="45922" xr:uid="{00000000-0005-0000-0000-0000889B0000}"/>
    <cellStyle name="Normal 9 2 5 6" xfId="2117" xr:uid="{00000000-0005-0000-0000-0000899B0000}"/>
    <cellStyle name="Normal 9 2 5 6 2" xfId="2118" xr:uid="{00000000-0005-0000-0000-00008A9B0000}"/>
    <cellStyle name="Normal 9 2 5 6 2 2" xfId="41908" xr:uid="{00000000-0005-0000-0000-00008B9B0000}"/>
    <cellStyle name="Normal 9 2 5 6 2 3" xfId="45923" xr:uid="{00000000-0005-0000-0000-00008C9B0000}"/>
    <cellStyle name="Normal 9 2 5 6 3" xfId="2119" xr:uid="{00000000-0005-0000-0000-00008D9B0000}"/>
    <cellStyle name="Normal 9 2 5 6 3 2" xfId="41909" xr:uid="{00000000-0005-0000-0000-00008E9B0000}"/>
    <cellStyle name="Normal 9 2 5 6 3 3" xfId="45924" xr:uid="{00000000-0005-0000-0000-00008F9B0000}"/>
    <cellStyle name="Normal 9 2 5 6 4" xfId="41910" xr:uid="{00000000-0005-0000-0000-0000909B0000}"/>
    <cellStyle name="Normal 9 2 5 6 5" xfId="45925" xr:uid="{00000000-0005-0000-0000-0000919B0000}"/>
    <cellStyle name="Normal 9 2 5 7" xfId="2120" xr:uid="{00000000-0005-0000-0000-0000929B0000}"/>
    <cellStyle name="Normal 9 2 5 7 2" xfId="2121" xr:uid="{00000000-0005-0000-0000-0000939B0000}"/>
    <cellStyle name="Normal 9 2 5 7 2 2" xfId="41911" xr:uid="{00000000-0005-0000-0000-0000949B0000}"/>
    <cellStyle name="Normal 9 2 5 7 2 3" xfId="45926" xr:uid="{00000000-0005-0000-0000-0000959B0000}"/>
    <cellStyle name="Normal 9 2 5 7 3" xfId="2122" xr:uid="{00000000-0005-0000-0000-0000969B0000}"/>
    <cellStyle name="Normal 9 2 5 7 3 2" xfId="41912" xr:uid="{00000000-0005-0000-0000-0000979B0000}"/>
    <cellStyle name="Normal 9 2 5 7 3 3" xfId="45927" xr:uid="{00000000-0005-0000-0000-0000989B0000}"/>
    <cellStyle name="Normal 9 2 5 7 4" xfId="41913" xr:uid="{00000000-0005-0000-0000-0000999B0000}"/>
    <cellStyle name="Normal 9 2 5 7 5" xfId="45928" xr:uid="{00000000-0005-0000-0000-00009A9B0000}"/>
    <cellStyle name="Normal 9 2 5 8" xfId="2123" xr:uid="{00000000-0005-0000-0000-00009B9B0000}"/>
    <cellStyle name="Normal 9 2 5 8 2" xfId="41914" xr:uid="{00000000-0005-0000-0000-00009C9B0000}"/>
    <cellStyle name="Normal 9 2 5 8 3" xfId="45929" xr:uid="{00000000-0005-0000-0000-00009D9B0000}"/>
    <cellStyle name="Normal 9 2 5 9" xfId="2124" xr:uid="{00000000-0005-0000-0000-00009E9B0000}"/>
    <cellStyle name="Normal 9 2 5 9 2" xfId="41915" xr:uid="{00000000-0005-0000-0000-00009F9B0000}"/>
    <cellStyle name="Normal 9 2 5 9 3" xfId="45930" xr:uid="{00000000-0005-0000-0000-0000A09B0000}"/>
    <cellStyle name="Normal 9 2 5_10070" xfId="2125" xr:uid="{00000000-0005-0000-0000-0000A19B0000}"/>
    <cellStyle name="Normal 9 2 6" xfId="2126" xr:uid="{00000000-0005-0000-0000-0000A29B0000}"/>
    <cellStyle name="Normal 9 2 6 2" xfId="2127" xr:uid="{00000000-0005-0000-0000-0000A39B0000}"/>
    <cellStyle name="Normal 9 2 6 2 2" xfId="41916" xr:uid="{00000000-0005-0000-0000-0000A49B0000}"/>
    <cellStyle name="Normal 9 2 6 2 3" xfId="45931" xr:uid="{00000000-0005-0000-0000-0000A59B0000}"/>
    <cellStyle name="Normal 9 2 6 3" xfId="2128" xr:uid="{00000000-0005-0000-0000-0000A69B0000}"/>
    <cellStyle name="Normal 9 2 6 3 2" xfId="41917" xr:uid="{00000000-0005-0000-0000-0000A79B0000}"/>
    <cellStyle name="Normal 9 2 6 3 3" xfId="45932" xr:uid="{00000000-0005-0000-0000-0000A89B0000}"/>
    <cellStyle name="Normal 9 2 6 4" xfId="2129" xr:uid="{00000000-0005-0000-0000-0000A99B0000}"/>
    <cellStyle name="Normal 9 2 6 4 2" xfId="41918" xr:uid="{00000000-0005-0000-0000-0000AA9B0000}"/>
    <cellStyle name="Normal 9 2 6 4 3" xfId="45933" xr:uid="{00000000-0005-0000-0000-0000AB9B0000}"/>
    <cellStyle name="Normal 9 2 6 5" xfId="2130" xr:uid="{00000000-0005-0000-0000-0000AC9B0000}"/>
    <cellStyle name="Normal 9 2 6 5 2" xfId="41919" xr:uid="{00000000-0005-0000-0000-0000AD9B0000}"/>
    <cellStyle name="Normal 9 2 6 5 3" xfId="45934" xr:uid="{00000000-0005-0000-0000-0000AE9B0000}"/>
    <cellStyle name="Normal 9 2 6 6" xfId="41920" xr:uid="{00000000-0005-0000-0000-0000AF9B0000}"/>
    <cellStyle name="Normal 9 2 6 7" xfId="45935" xr:uid="{00000000-0005-0000-0000-0000B09B0000}"/>
    <cellStyle name="Normal 9 2 7" xfId="2131" xr:uid="{00000000-0005-0000-0000-0000B19B0000}"/>
    <cellStyle name="Normal 9 2 7 2" xfId="2132" xr:uid="{00000000-0005-0000-0000-0000B29B0000}"/>
    <cellStyle name="Normal 9 2 7 2 2" xfId="41921" xr:uid="{00000000-0005-0000-0000-0000B39B0000}"/>
    <cellStyle name="Normal 9 2 7 2 3" xfId="45936" xr:uid="{00000000-0005-0000-0000-0000B49B0000}"/>
    <cellStyle name="Normal 9 2 7 3" xfId="2133" xr:uid="{00000000-0005-0000-0000-0000B59B0000}"/>
    <cellStyle name="Normal 9 2 7 3 2" xfId="41922" xr:uid="{00000000-0005-0000-0000-0000B69B0000}"/>
    <cellStyle name="Normal 9 2 7 3 3" xfId="45937" xr:uid="{00000000-0005-0000-0000-0000B79B0000}"/>
    <cellStyle name="Normal 9 2 7 4" xfId="41923" xr:uid="{00000000-0005-0000-0000-0000B89B0000}"/>
    <cellStyle name="Normal 9 2 7 5" xfId="45938" xr:uid="{00000000-0005-0000-0000-0000B99B0000}"/>
    <cellStyle name="Normal 9 2 8" xfId="2134" xr:uid="{00000000-0005-0000-0000-0000BA9B0000}"/>
    <cellStyle name="Normal 9 2 8 2" xfId="2135" xr:uid="{00000000-0005-0000-0000-0000BB9B0000}"/>
    <cellStyle name="Normal 9 2 8 2 2" xfId="41924" xr:uid="{00000000-0005-0000-0000-0000BC9B0000}"/>
    <cellStyle name="Normal 9 2 8 2 3" xfId="45939" xr:uid="{00000000-0005-0000-0000-0000BD9B0000}"/>
    <cellStyle name="Normal 9 2 8 3" xfId="2136" xr:uid="{00000000-0005-0000-0000-0000BE9B0000}"/>
    <cellStyle name="Normal 9 2 8 3 2" xfId="41925" xr:uid="{00000000-0005-0000-0000-0000BF9B0000}"/>
    <cellStyle name="Normal 9 2 8 3 3" xfId="45940" xr:uid="{00000000-0005-0000-0000-0000C09B0000}"/>
    <cellStyle name="Normal 9 2 8 4" xfId="41926" xr:uid="{00000000-0005-0000-0000-0000C19B0000}"/>
    <cellStyle name="Normal 9 2 8 5" xfId="45941" xr:uid="{00000000-0005-0000-0000-0000C29B0000}"/>
    <cellStyle name="Normal 9 2 9" xfId="2137" xr:uid="{00000000-0005-0000-0000-0000C39B0000}"/>
    <cellStyle name="Normal 9 2 9 2" xfId="41927" xr:uid="{00000000-0005-0000-0000-0000C49B0000}"/>
    <cellStyle name="Normal 9 2 9 3" xfId="45942" xr:uid="{00000000-0005-0000-0000-0000C59B0000}"/>
    <cellStyle name="Normal 9 3" xfId="539" xr:uid="{00000000-0005-0000-0000-0000C69B0000}"/>
    <cellStyle name="Normal 9 3 2" xfId="2138" xr:uid="{00000000-0005-0000-0000-0000C79B0000}"/>
    <cellStyle name="Normal 9 3 2 2" xfId="2139" xr:uid="{00000000-0005-0000-0000-0000C89B0000}"/>
    <cellStyle name="Normal 9 3 2 2 2" xfId="33678" xr:uid="{00000000-0005-0000-0000-0000C99B0000}"/>
    <cellStyle name="Normal 9 3 2 2 2 2" xfId="33679" xr:uid="{00000000-0005-0000-0000-0000CA9B0000}"/>
    <cellStyle name="Normal 9 3 2 2 2 2 2" xfId="33680" xr:uid="{00000000-0005-0000-0000-0000CB9B0000}"/>
    <cellStyle name="Normal 9 3 2 2 2 2 2 2" xfId="41928" xr:uid="{00000000-0005-0000-0000-0000CC9B0000}"/>
    <cellStyle name="Normal 9 3 2 2 2 2 3" xfId="33681" xr:uid="{00000000-0005-0000-0000-0000CD9B0000}"/>
    <cellStyle name="Normal 9 3 2 2 2 3" xfId="33682" xr:uid="{00000000-0005-0000-0000-0000CE9B0000}"/>
    <cellStyle name="Normal 9 3 2 2 2 3 2" xfId="33683" xr:uid="{00000000-0005-0000-0000-0000CF9B0000}"/>
    <cellStyle name="Normal 9 3 2 2 2 3 2 2" xfId="41929" xr:uid="{00000000-0005-0000-0000-0000D09B0000}"/>
    <cellStyle name="Normal 9 3 2 2 2 3 3" xfId="33684" xr:uid="{00000000-0005-0000-0000-0000D19B0000}"/>
    <cellStyle name="Normal 9 3 2 2 2 4" xfId="33685" xr:uid="{00000000-0005-0000-0000-0000D29B0000}"/>
    <cellStyle name="Normal 9 3 2 2 2 4 2" xfId="41930" xr:uid="{00000000-0005-0000-0000-0000D39B0000}"/>
    <cellStyle name="Normal 9 3 2 2 2 5" xfId="33686" xr:uid="{00000000-0005-0000-0000-0000D49B0000}"/>
    <cellStyle name="Normal 9 3 2 2 3" xfId="33687" xr:uid="{00000000-0005-0000-0000-0000D59B0000}"/>
    <cellStyle name="Normal 9 3 2 2 3 2" xfId="33688" xr:uid="{00000000-0005-0000-0000-0000D69B0000}"/>
    <cellStyle name="Normal 9 3 2 2 3 2 2" xfId="41931" xr:uid="{00000000-0005-0000-0000-0000D79B0000}"/>
    <cellStyle name="Normal 9 3 2 2 3 3" xfId="33689" xr:uid="{00000000-0005-0000-0000-0000D89B0000}"/>
    <cellStyle name="Normal 9 3 2 2 4" xfId="33690" xr:uid="{00000000-0005-0000-0000-0000D99B0000}"/>
    <cellStyle name="Normal 9 3 2 2 4 2" xfId="33691" xr:uid="{00000000-0005-0000-0000-0000DA9B0000}"/>
    <cellStyle name="Normal 9 3 2 2 4 2 2" xfId="41932" xr:uid="{00000000-0005-0000-0000-0000DB9B0000}"/>
    <cellStyle name="Normal 9 3 2 2 4 3" xfId="33692" xr:uid="{00000000-0005-0000-0000-0000DC9B0000}"/>
    <cellStyle name="Normal 9 3 2 2 5" xfId="33693" xr:uid="{00000000-0005-0000-0000-0000DD9B0000}"/>
    <cellStyle name="Normal 9 3 2 2 5 2" xfId="41933" xr:uid="{00000000-0005-0000-0000-0000DE9B0000}"/>
    <cellStyle name="Normal 9 3 2 2 6" xfId="33694" xr:uid="{00000000-0005-0000-0000-0000DF9B0000}"/>
    <cellStyle name="Normal 9 3 2 2 7" xfId="45943" xr:uid="{00000000-0005-0000-0000-0000E09B0000}"/>
    <cellStyle name="Normal 9 3 2 3" xfId="2140" xr:uid="{00000000-0005-0000-0000-0000E19B0000}"/>
    <cellStyle name="Normal 9 3 2 3 2" xfId="33695" xr:uid="{00000000-0005-0000-0000-0000E29B0000}"/>
    <cellStyle name="Normal 9 3 2 3 2 2" xfId="33696" xr:uid="{00000000-0005-0000-0000-0000E39B0000}"/>
    <cellStyle name="Normal 9 3 2 3 2 2 2" xfId="41934" xr:uid="{00000000-0005-0000-0000-0000E49B0000}"/>
    <cellStyle name="Normal 9 3 2 3 2 3" xfId="33697" xr:uid="{00000000-0005-0000-0000-0000E59B0000}"/>
    <cellStyle name="Normal 9 3 2 3 3" xfId="33698" xr:uid="{00000000-0005-0000-0000-0000E69B0000}"/>
    <cellStyle name="Normal 9 3 2 3 3 2" xfId="33699" xr:uid="{00000000-0005-0000-0000-0000E79B0000}"/>
    <cellStyle name="Normal 9 3 2 3 3 2 2" xfId="41935" xr:uid="{00000000-0005-0000-0000-0000E89B0000}"/>
    <cellStyle name="Normal 9 3 2 3 3 3" xfId="33700" xr:uid="{00000000-0005-0000-0000-0000E99B0000}"/>
    <cellStyle name="Normal 9 3 2 3 4" xfId="33701" xr:uid="{00000000-0005-0000-0000-0000EA9B0000}"/>
    <cellStyle name="Normal 9 3 2 3 4 2" xfId="41936" xr:uid="{00000000-0005-0000-0000-0000EB9B0000}"/>
    <cellStyle name="Normal 9 3 2 3 5" xfId="33702" xr:uid="{00000000-0005-0000-0000-0000EC9B0000}"/>
    <cellStyle name="Normal 9 3 2 3 6" xfId="45944" xr:uid="{00000000-0005-0000-0000-0000ED9B0000}"/>
    <cellStyle name="Normal 9 3 2 4" xfId="2141" xr:uid="{00000000-0005-0000-0000-0000EE9B0000}"/>
    <cellStyle name="Normal 9 3 2 4 2" xfId="33703" xr:uid="{00000000-0005-0000-0000-0000EF9B0000}"/>
    <cellStyle name="Normal 9 3 2 4 2 2" xfId="41937" xr:uid="{00000000-0005-0000-0000-0000F09B0000}"/>
    <cellStyle name="Normal 9 3 2 4 3" xfId="33704" xr:uid="{00000000-0005-0000-0000-0000F19B0000}"/>
    <cellStyle name="Normal 9 3 2 4 4" xfId="45945" xr:uid="{00000000-0005-0000-0000-0000F29B0000}"/>
    <cellStyle name="Normal 9 3 2 5" xfId="2142" xr:uid="{00000000-0005-0000-0000-0000F39B0000}"/>
    <cellStyle name="Normal 9 3 2 5 2" xfId="33705" xr:uid="{00000000-0005-0000-0000-0000F49B0000}"/>
    <cellStyle name="Normal 9 3 2 5 2 2" xfId="41938" xr:uid="{00000000-0005-0000-0000-0000F59B0000}"/>
    <cellStyle name="Normal 9 3 2 5 3" xfId="33706" xr:uid="{00000000-0005-0000-0000-0000F69B0000}"/>
    <cellStyle name="Normal 9 3 2 5 4" xfId="45946" xr:uid="{00000000-0005-0000-0000-0000F79B0000}"/>
    <cellStyle name="Normal 9 3 2 6" xfId="33707" xr:uid="{00000000-0005-0000-0000-0000F89B0000}"/>
    <cellStyle name="Normal 9 3 2 6 2" xfId="41939" xr:uid="{00000000-0005-0000-0000-0000F99B0000}"/>
    <cellStyle name="Normal 9 3 2 7" xfId="33708" xr:uid="{00000000-0005-0000-0000-0000FA9B0000}"/>
    <cellStyle name="Normal 9 3 2 8" xfId="45947" xr:uid="{00000000-0005-0000-0000-0000FB9B0000}"/>
    <cellStyle name="Normal 9 3 3" xfId="2143" xr:uid="{00000000-0005-0000-0000-0000FC9B0000}"/>
    <cellStyle name="Normal 9 3 3 2" xfId="2144" xr:uid="{00000000-0005-0000-0000-0000FD9B0000}"/>
    <cellStyle name="Normal 9 3 3 2 2" xfId="33709" xr:uid="{00000000-0005-0000-0000-0000FE9B0000}"/>
    <cellStyle name="Normal 9 3 3 2 2 2" xfId="33710" xr:uid="{00000000-0005-0000-0000-0000FF9B0000}"/>
    <cellStyle name="Normal 9 3 3 2 2 2 2" xfId="41940" xr:uid="{00000000-0005-0000-0000-0000009C0000}"/>
    <cellStyle name="Normal 9 3 3 2 2 3" xfId="33711" xr:uid="{00000000-0005-0000-0000-0000019C0000}"/>
    <cellStyle name="Normal 9 3 3 2 3" xfId="33712" xr:uid="{00000000-0005-0000-0000-0000029C0000}"/>
    <cellStyle name="Normal 9 3 3 2 3 2" xfId="33713" xr:uid="{00000000-0005-0000-0000-0000039C0000}"/>
    <cellStyle name="Normal 9 3 3 2 3 2 2" xfId="41941" xr:uid="{00000000-0005-0000-0000-0000049C0000}"/>
    <cellStyle name="Normal 9 3 3 2 3 3" xfId="33714" xr:uid="{00000000-0005-0000-0000-0000059C0000}"/>
    <cellStyle name="Normal 9 3 3 2 4" xfId="33715" xr:uid="{00000000-0005-0000-0000-0000069C0000}"/>
    <cellStyle name="Normal 9 3 3 2 4 2" xfId="41942" xr:uid="{00000000-0005-0000-0000-0000079C0000}"/>
    <cellStyle name="Normal 9 3 3 2 5" xfId="33716" xr:uid="{00000000-0005-0000-0000-0000089C0000}"/>
    <cellStyle name="Normal 9 3 3 2 6" xfId="45948" xr:uid="{00000000-0005-0000-0000-0000099C0000}"/>
    <cellStyle name="Normal 9 3 3 3" xfId="2145" xr:uid="{00000000-0005-0000-0000-00000A9C0000}"/>
    <cellStyle name="Normal 9 3 3 3 2" xfId="33717" xr:uid="{00000000-0005-0000-0000-00000B9C0000}"/>
    <cellStyle name="Normal 9 3 3 3 2 2" xfId="41943" xr:uid="{00000000-0005-0000-0000-00000C9C0000}"/>
    <cellStyle name="Normal 9 3 3 3 3" xfId="33718" xr:uid="{00000000-0005-0000-0000-00000D9C0000}"/>
    <cellStyle name="Normal 9 3 3 3 4" xfId="45949" xr:uid="{00000000-0005-0000-0000-00000E9C0000}"/>
    <cellStyle name="Normal 9 3 3 4" xfId="33719" xr:uid="{00000000-0005-0000-0000-00000F9C0000}"/>
    <cellStyle name="Normal 9 3 3 4 2" xfId="33720" xr:uid="{00000000-0005-0000-0000-0000109C0000}"/>
    <cellStyle name="Normal 9 3 3 4 2 2" xfId="41944" xr:uid="{00000000-0005-0000-0000-0000119C0000}"/>
    <cellStyle name="Normal 9 3 3 4 3" xfId="33721" xr:uid="{00000000-0005-0000-0000-0000129C0000}"/>
    <cellStyle name="Normal 9 3 3 5" xfId="33722" xr:uid="{00000000-0005-0000-0000-0000139C0000}"/>
    <cellStyle name="Normal 9 3 3 5 2" xfId="41945" xr:uid="{00000000-0005-0000-0000-0000149C0000}"/>
    <cellStyle name="Normal 9 3 3 6" xfId="33723" xr:uid="{00000000-0005-0000-0000-0000159C0000}"/>
    <cellStyle name="Normal 9 3 3 7" xfId="45950" xr:uid="{00000000-0005-0000-0000-0000169C0000}"/>
    <cellStyle name="Normal 9 3 4" xfId="2146" xr:uid="{00000000-0005-0000-0000-0000179C0000}"/>
    <cellStyle name="Normal 9 3 4 2" xfId="2147" xr:uid="{00000000-0005-0000-0000-0000189C0000}"/>
    <cellStyle name="Normal 9 3 4 2 2" xfId="33724" xr:uid="{00000000-0005-0000-0000-0000199C0000}"/>
    <cellStyle name="Normal 9 3 4 2 2 2" xfId="41946" xr:uid="{00000000-0005-0000-0000-00001A9C0000}"/>
    <cellStyle name="Normal 9 3 4 2 3" xfId="33725" xr:uid="{00000000-0005-0000-0000-00001B9C0000}"/>
    <cellStyle name="Normal 9 3 4 2 4" xfId="45951" xr:uid="{00000000-0005-0000-0000-00001C9C0000}"/>
    <cellStyle name="Normal 9 3 4 3" xfId="2148" xr:uid="{00000000-0005-0000-0000-00001D9C0000}"/>
    <cellStyle name="Normal 9 3 4 3 2" xfId="33726" xr:uid="{00000000-0005-0000-0000-00001E9C0000}"/>
    <cellStyle name="Normal 9 3 4 3 2 2" xfId="41947" xr:uid="{00000000-0005-0000-0000-00001F9C0000}"/>
    <cellStyle name="Normal 9 3 4 3 3" xfId="33727" xr:uid="{00000000-0005-0000-0000-0000209C0000}"/>
    <cellStyle name="Normal 9 3 4 3 4" xfId="45952" xr:uid="{00000000-0005-0000-0000-0000219C0000}"/>
    <cellStyle name="Normal 9 3 4 4" xfId="33728" xr:uid="{00000000-0005-0000-0000-0000229C0000}"/>
    <cellStyle name="Normal 9 3 4 4 2" xfId="41948" xr:uid="{00000000-0005-0000-0000-0000239C0000}"/>
    <cellStyle name="Normal 9 3 4 5" xfId="33729" xr:uid="{00000000-0005-0000-0000-0000249C0000}"/>
    <cellStyle name="Normal 9 3 5" xfId="2149" xr:uid="{00000000-0005-0000-0000-0000259C0000}"/>
    <cellStyle name="Normal 9 3 5 2" xfId="33730" xr:uid="{00000000-0005-0000-0000-0000269C0000}"/>
    <cellStyle name="Normal 9 3 5 2 2" xfId="41949" xr:uid="{00000000-0005-0000-0000-0000279C0000}"/>
    <cellStyle name="Normal 9 3 5 3" xfId="33731" xr:uid="{00000000-0005-0000-0000-0000289C0000}"/>
    <cellStyle name="Normal 9 3 5 4" xfId="45953" xr:uid="{00000000-0005-0000-0000-0000299C0000}"/>
    <cellStyle name="Normal 9 3 6" xfId="2150" xr:uid="{00000000-0005-0000-0000-00002A9C0000}"/>
    <cellStyle name="Normal 9 3 6 2" xfId="33732" xr:uid="{00000000-0005-0000-0000-00002B9C0000}"/>
    <cellStyle name="Normal 9 3 6 2 2" xfId="41950" xr:uid="{00000000-0005-0000-0000-00002C9C0000}"/>
    <cellStyle name="Normal 9 3 6 3" xfId="33733" xr:uid="{00000000-0005-0000-0000-00002D9C0000}"/>
    <cellStyle name="Normal 9 3 6 4" xfId="45954" xr:uid="{00000000-0005-0000-0000-00002E9C0000}"/>
    <cellStyle name="Normal 9 3 7" xfId="33734" xr:uid="{00000000-0005-0000-0000-00002F9C0000}"/>
    <cellStyle name="Normal 9 3 7 2" xfId="33735" xr:uid="{00000000-0005-0000-0000-0000309C0000}"/>
    <cellStyle name="Normal 9 3 7 3" xfId="44604" xr:uid="{00000000-0005-0000-0000-0000319C0000}"/>
    <cellStyle name="Normal 9 3 8" xfId="33736" xr:uid="{00000000-0005-0000-0000-0000329C0000}"/>
    <cellStyle name="Normal 9 3 9" xfId="41951" xr:uid="{00000000-0005-0000-0000-0000339C0000}"/>
    <cellStyle name="Normal 9 4" xfId="2151" xr:uid="{00000000-0005-0000-0000-0000349C0000}"/>
    <cellStyle name="Normal 9 4 2" xfId="2152" xr:uid="{00000000-0005-0000-0000-0000359C0000}"/>
    <cellStyle name="Normal 9 4 2 2" xfId="2153" xr:uid="{00000000-0005-0000-0000-0000369C0000}"/>
    <cellStyle name="Normal 9 4 2 2 2" xfId="33737" xr:uid="{00000000-0005-0000-0000-0000379C0000}"/>
    <cellStyle name="Normal 9 4 2 2 2 2" xfId="33738" xr:uid="{00000000-0005-0000-0000-0000389C0000}"/>
    <cellStyle name="Normal 9 4 2 2 2 2 2" xfId="33739" xr:uid="{00000000-0005-0000-0000-0000399C0000}"/>
    <cellStyle name="Normal 9 4 2 2 2 2 2 2" xfId="41952" xr:uid="{00000000-0005-0000-0000-00003A9C0000}"/>
    <cellStyle name="Normal 9 4 2 2 2 2 3" xfId="33740" xr:uid="{00000000-0005-0000-0000-00003B9C0000}"/>
    <cellStyle name="Normal 9 4 2 2 2 3" xfId="33741" xr:uid="{00000000-0005-0000-0000-00003C9C0000}"/>
    <cellStyle name="Normal 9 4 2 2 2 3 2" xfId="33742" xr:uid="{00000000-0005-0000-0000-00003D9C0000}"/>
    <cellStyle name="Normal 9 4 2 2 2 3 2 2" xfId="41953" xr:uid="{00000000-0005-0000-0000-00003E9C0000}"/>
    <cellStyle name="Normal 9 4 2 2 2 3 3" xfId="33743" xr:uid="{00000000-0005-0000-0000-00003F9C0000}"/>
    <cellStyle name="Normal 9 4 2 2 2 4" xfId="33744" xr:uid="{00000000-0005-0000-0000-0000409C0000}"/>
    <cellStyle name="Normal 9 4 2 2 2 4 2" xfId="41954" xr:uid="{00000000-0005-0000-0000-0000419C0000}"/>
    <cellStyle name="Normal 9 4 2 2 2 5" xfId="33745" xr:uid="{00000000-0005-0000-0000-0000429C0000}"/>
    <cellStyle name="Normal 9 4 2 2 3" xfId="33746" xr:uid="{00000000-0005-0000-0000-0000439C0000}"/>
    <cellStyle name="Normal 9 4 2 2 3 2" xfId="33747" xr:uid="{00000000-0005-0000-0000-0000449C0000}"/>
    <cellStyle name="Normal 9 4 2 2 3 2 2" xfId="41955" xr:uid="{00000000-0005-0000-0000-0000459C0000}"/>
    <cellStyle name="Normal 9 4 2 2 3 3" xfId="33748" xr:uid="{00000000-0005-0000-0000-0000469C0000}"/>
    <cellStyle name="Normal 9 4 2 2 4" xfId="33749" xr:uid="{00000000-0005-0000-0000-0000479C0000}"/>
    <cellStyle name="Normal 9 4 2 2 4 2" xfId="33750" xr:uid="{00000000-0005-0000-0000-0000489C0000}"/>
    <cellStyle name="Normal 9 4 2 2 4 2 2" xfId="41956" xr:uid="{00000000-0005-0000-0000-0000499C0000}"/>
    <cellStyle name="Normal 9 4 2 2 4 3" xfId="33751" xr:uid="{00000000-0005-0000-0000-00004A9C0000}"/>
    <cellStyle name="Normal 9 4 2 2 5" xfId="33752" xr:uid="{00000000-0005-0000-0000-00004B9C0000}"/>
    <cellStyle name="Normal 9 4 2 2 5 2" xfId="41957" xr:uid="{00000000-0005-0000-0000-00004C9C0000}"/>
    <cellStyle name="Normal 9 4 2 2 6" xfId="33753" xr:uid="{00000000-0005-0000-0000-00004D9C0000}"/>
    <cellStyle name="Normal 9 4 2 2 7" xfId="45955" xr:uid="{00000000-0005-0000-0000-00004E9C0000}"/>
    <cellStyle name="Normal 9 4 2 3" xfId="2154" xr:uid="{00000000-0005-0000-0000-00004F9C0000}"/>
    <cellStyle name="Normal 9 4 2 3 2" xfId="33754" xr:uid="{00000000-0005-0000-0000-0000509C0000}"/>
    <cellStyle name="Normal 9 4 2 3 2 2" xfId="33755" xr:uid="{00000000-0005-0000-0000-0000519C0000}"/>
    <cellStyle name="Normal 9 4 2 3 2 2 2" xfId="41958" xr:uid="{00000000-0005-0000-0000-0000529C0000}"/>
    <cellStyle name="Normal 9 4 2 3 2 3" xfId="33756" xr:uid="{00000000-0005-0000-0000-0000539C0000}"/>
    <cellStyle name="Normal 9 4 2 3 3" xfId="33757" xr:uid="{00000000-0005-0000-0000-0000549C0000}"/>
    <cellStyle name="Normal 9 4 2 3 3 2" xfId="33758" xr:uid="{00000000-0005-0000-0000-0000559C0000}"/>
    <cellStyle name="Normal 9 4 2 3 3 2 2" xfId="41959" xr:uid="{00000000-0005-0000-0000-0000569C0000}"/>
    <cellStyle name="Normal 9 4 2 3 3 3" xfId="33759" xr:uid="{00000000-0005-0000-0000-0000579C0000}"/>
    <cellStyle name="Normal 9 4 2 3 4" xfId="33760" xr:uid="{00000000-0005-0000-0000-0000589C0000}"/>
    <cellStyle name="Normal 9 4 2 3 4 2" xfId="41960" xr:uid="{00000000-0005-0000-0000-0000599C0000}"/>
    <cellStyle name="Normal 9 4 2 3 5" xfId="33761" xr:uid="{00000000-0005-0000-0000-00005A9C0000}"/>
    <cellStyle name="Normal 9 4 2 3 6" xfId="45956" xr:uid="{00000000-0005-0000-0000-00005B9C0000}"/>
    <cellStyle name="Normal 9 4 2 4" xfId="2155" xr:uid="{00000000-0005-0000-0000-00005C9C0000}"/>
    <cellStyle name="Normal 9 4 2 4 2" xfId="33762" xr:uid="{00000000-0005-0000-0000-00005D9C0000}"/>
    <cellStyle name="Normal 9 4 2 4 2 2" xfId="41961" xr:uid="{00000000-0005-0000-0000-00005E9C0000}"/>
    <cellStyle name="Normal 9 4 2 4 3" xfId="33763" xr:uid="{00000000-0005-0000-0000-00005F9C0000}"/>
    <cellStyle name="Normal 9 4 2 4 4" xfId="45957" xr:uid="{00000000-0005-0000-0000-0000609C0000}"/>
    <cellStyle name="Normal 9 4 2 5" xfId="2156" xr:uid="{00000000-0005-0000-0000-0000619C0000}"/>
    <cellStyle name="Normal 9 4 2 5 2" xfId="33764" xr:uid="{00000000-0005-0000-0000-0000629C0000}"/>
    <cellStyle name="Normal 9 4 2 5 2 2" xfId="41962" xr:uid="{00000000-0005-0000-0000-0000639C0000}"/>
    <cellStyle name="Normal 9 4 2 5 3" xfId="33765" xr:uid="{00000000-0005-0000-0000-0000649C0000}"/>
    <cellStyle name="Normal 9 4 2 5 4" xfId="45958" xr:uid="{00000000-0005-0000-0000-0000659C0000}"/>
    <cellStyle name="Normal 9 4 2 6" xfId="33766" xr:uid="{00000000-0005-0000-0000-0000669C0000}"/>
    <cellStyle name="Normal 9 4 2 6 2" xfId="41963" xr:uid="{00000000-0005-0000-0000-0000679C0000}"/>
    <cellStyle name="Normal 9 4 2 7" xfId="33767" xr:uid="{00000000-0005-0000-0000-0000689C0000}"/>
    <cellStyle name="Normal 9 4 2 8" xfId="45959" xr:uid="{00000000-0005-0000-0000-0000699C0000}"/>
    <cellStyle name="Normal 9 4 3" xfId="2157" xr:uid="{00000000-0005-0000-0000-00006A9C0000}"/>
    <cellStyle name="Normal 9 4 3 2" xfId="2158" xr:uid="{00000000-0005-0000-0000-00006B9C0000}"/>
    <cellStyle name="Normal 9 4 3 2 2" xfId="33768" xr:uid="{00000000-0005-0000-0000-00006C9C0000}"/>
    <cellStyle name="Normal 9 4 3 2 2 2" xfId="33769" xr:uid="{00000000-0005-0000-0000-00006D9C0000}"/>
    <cellStyle name="Normal 9 4 3 2 2 2 2" xfId="41964" xr:uid="{00000000-0005-0000-0000-00006E9C0000}"/>
    <cellStyle name="Normal 9 4 3 2 2 3" xfId="33770" xr:uid="{00000000-0005-0000-0000-00006F9C0000}"/>
    <cellStyle name="Normal 9 4 3 2 3" xfId="33771" xr:uid="{00000000-0005-0000-0000-0000709C0000}"/>
    <cellStyle name="Normal 9 4 3 2 3 2" xfId="33772" xr:uid="{00000000-0005-0000-0000-0000719C0000}"/>
    <cellStyle name="Normal 9 4 3 2 3 2 2" xfId="41965" xr:uid="{00000000-0005-0000-0000-0000729C0000}"/>
    <cellStyle name="Normal 9 4 3 2 3 3" xfId="33773" xr:uid="{00000000-0005-0000-0000-0000739C0000}"/>
    <cellStyle name="Normal 9 4 3 2 4" xfId="33774" xr:uid="{00000000-0005-0000-0000-0000749C0000}"/>
    <cellStyle name="Normal 9 4 3 2 4 2" xfId="41966" xr:uid="{00000000-0005-0000-0000-0000759C0000}"/>
    <cellStyle name="Normal 9 4 3 2 5" xfId="33775" xr:uid="{00000000-0005-0000-0000-0000769C0000}"/>
    <cellStyle name="Normal 9 4 3 2 6" xfId="45960" xr:uid="{00000000-0005-0000-0000-0000779C0000}"/>
    <cellStyle name="Normal 9 4 3 3" xfId="2159" xr:uid="{00000000-0005-0000-0000-0000789C0000}"/>
    <cellStyle name="Normal 9 4 3 3 2" xfId="33776" xr:uid="{00000000-0005-0000-0000-0000799C0000}"/>
    <cellStyle name="Normal 9 4 3 3 2 2" xfId="41967" xr:uid="{00000000-0005-0000-0000-00007A9C0000}"/>
    <cellStyle name="Normal 9 4 3 3 3" xfId="33777" xr:uid="{00000000-0005-0000-0000-00007B9C0000}"/>
    <cellStyle name="Normal 9 4 3 3 4" xfId="45961" xr:uid="{00000000-0005-0000-0000-00007C9C0000}"/>
    <cellStyle name="Normal 9 4 3 4" xfId="33778" xr:uid="{00000000-0005-0000-0000-00007D9C0000}"/>
    <cellStyle name="Normal 9 4 3 4 2" xfId="33779" xr:uid="{00000000-0005-0000-0000-00007E9C0000}"/>
    <cellStyle name="Normal 9 4 3 4 2 2" xfId="41968" xr:uid="{00000000-0005-0000-0000-00007F9C0000}"/>
    <cellStyle name="Normal 9 4 3 4 3" xfId="33780" xr:uid="{00000000-0005-0000-0000-0000809C0000}"/>
    <cellStyle name="Normal 9 4 3 5" xfId="33781" xr:uid="{00000000-0005-0000-0000-0000819C0000}"/>
    <cellStyle name="Normal 9 4 3 5 2" xfId="41969" xr:uid="{00000000-0005-0000-0000-0000829C0000}"/>
    <cellStyle name="Normal 9 4 3 6" xfId="33782" xr:uid="{00000000-0005-0000-0000-0000839C0000}"/>
    <cellStyle name="Normal 9 4 3 7" xfId="45962" xr:uid="{00000000-0005-0000-0000-0000849C0000}"/>
    <cellStyle name="Normal 9 4 4" xfId="2160" xr:uid="{00000000-0005-0000-0000-0000859C0000}"/>
    <cellStyle name="Normal 9 4 4 2" xfId="2161" xr:uid="{00000000-0005-0000-0000-0000869C0000}"/>
    <cellStyle name="Normal 9 4 4 2 2" xfId="33783" xr:uid="{00000000-0005-0000-0000-0000879C0000}"/>
    <cellStyle name="Normal 9 4 4 2 2 2" xfId="41970" xr:uid="{00000000-0005-0000-0000-0000889C0000}"/>
    <cellStyle name="Normal 9 4 4 2 3" xfId="33784" xr:uid="{00000000-0005-0000-0000-0000899C0000}"/>
    <cellStyle name="Normal 9 4 4 2 4" xfId="45963" xr:uid="{00000000-0005-0000-0000-00008A9C0000}"/>
    <cellStyle name="Normal 9 4 4 3" xfId="2162" xr:uid="{00000000-0005-0000-0000-00008B9C0000}"/>
    <cellStyle name="Normal 9 4 4 3 2" xfId="33785" xr:uid="{00000000-0005-0000-0000-00008C9C0000}"/>
    <cellStyle name="Normal 9 4 4 3 2 2" xfId="41971" xr:uid="{00000000-0005-0000-0000-00008D9C0000}"/>
    <cellStyle name="Normal 9 4 4 3 3" xfId="33786" xr:uid="{00000000-0005-0000-0000-00008E9C0000}"/>
    <cellStyle name="Normal 9 4 4 3 4" xfId="45964" xr:uid="{00000000-0005-0000-0000-00008F9C0000}"/>
    <cellStyle name="Normal 9 4 4 4" xfId="33787" xr:uid="{00000000-0005-0000-0000-0000909C0000}"/>
    <cellStyle name="Normal 9 4 4 4 2" xfId="41972" xr:uid="{00000000-0005-0000-0000-0000919C0000}"/>
    <cellStyle name="Normal 9 4 4 5" xfId="33788" xr:uid="{00000000-0005-0000-0000-0000929C0000}"/>
    <cellStyle name="Normal 9 4 4 6" xfId="45965" xr:uid="{00000000-0005-0000-0000-0000939C0000}"/>
    <cellStyle name="Normal 9 4 5" xfId="2163" xr:uid="{00000000-0005-0000-0000-0000949C0000}"/>
    <cellStyle name="Normal 9 4 5 2" xfId="33789" xr:uid="{00000000-0005-0000-0000-0000959C0000}"/>
    <cellStyle name="Normal 9 4 5 2 2" xfId="41973" xr:uid="{00000000-0005-0000-0000-0000969C0000}"/>
    <cellStyle name="Normal 9 4 5 3" xfId="33790" xr:uid="{00000000-0005-0000-0000-0000979C0000}"/>
    <cellStyle name="Normal 9 4 5 4" xfId="45966" xr:uid="{00000000-0005-0000-0000-0000989C0000}"/>
    <cellStyle name="Normal 9 4 6" xfId="2164" xr:uid="{00000000-0005-0000-0000-0000999C0000}"/>
    <cellStyle name="Normal 9 4 6 2" xfId="33791" xr:uid="{00000000-0005-0000-0000-00009A9C0000}"/>
    <cellStyle name="Normal 9 4 6 2 2" xfId="41974" xr:uid="{00000000-0005-0000-0000-00009B9C0000}"/>
    <cellStyle name="Normal 9 4 6 3" xfId="33792" xr:uid="{00000000-0005-0000-0000-00009C9C0000}"/>
    <cellStyle name="Normal 9 4 6 4" xfId="45967" xr:uid="{00000000-0005-0000-0000-00009D9C0000}"/>
    <cellStyle name="Normal 9 4 7" xfId="33793" xr:uid="{00000000-0005-0000-0000-00009E9C0000}"/>
    <cellStyle name="Normal 9 4 7 2" xfId="41975" xr:uid="{00000000-0005-0000-0000-00009F9C0000}"/>
    <cellStyle name="Normal 9 4 8" xfId="33794" xr:uid="{00000000-0005-0000-0000-0000A09C0000}"/>
    <cellStyle name="Normal 9 4 9" xfId="45968" xr:uid="{00000000-0005-0000-0000-0000A19C0000}"/>
    <cellStyle name="Normal 9 5" xfId="2165" xr:uid="{00000000-0005-0000-0000-0000A29C0000}"/>
    <cellStyle name="Normal 9 5 10" xfId="41976" xr:uid="{00000000-0005-0000-0000-0000A39C0000}"/>
    <cellStyle name="Normal 9 5 11" xfId="45969" xr:uid="{00000000-0005-0000-0000-0000A49C0000}"/>
    <cellStyle name="Normal 9 5 2" xfId="2166" xr:uid="{00000000-0005-0000-0000-0000A59C0000}"/>
    <cellStyle name="Normal 9 5 2 2" xfId="2167" xr:uid="{00000000-0005-0000-0000-0000A69C0000}"/>
    <cellStyle name="Normal 9 5 2 2 2" xfId="2168" xr:uid="{00000000-0005-0000-0000-0000A79C0000}"/>
    <cellStyle name="Normal 9 5 2 2 2 2" xfId="33795" xr:uid="{00000000-0005-0000-0000-0000A89C0000}"/>
    <cellStyle name="Normal 9 5 2 2 2 2 2" xfId="41977" xr:uid="{00000000-0005-0000-0000-0000A99C0000}"/>
    <cellStyle name="Normal 9 5 2 2 2 3" xfId="33796" xr:uid="{00000000-0005-0000-0000-0000AA9C0000}"/>
    <cellStyle name="Normal 9 5 2 2 2 4" xfId="45970" xr:uid="{00000000-0005-0000-0000-0000AB9C0000}"/>
    <cellStyle name="Normal 9 5 2 2 3" xfId="2169" xr:uid="{00000000-0005-0000-0000-0000AC9C0000}"/>
    <cellStyle name="Normal 9 5 2 2 3 2" xfId="33797" xr:uid="{00000000-0005-0000-0000-0000AD9C0000}"/>
    <cellStyle name="Normal 9 5 2 2 3 2 2" xfId="41978" xr:uid="{00000000-0005-0000-0000-0000AE9C0000}"/>
    <cellStyle name="Normal 9 5 2 2 3 3" xfId="33798" xr:uid="{00000000-0005-0000-0000-0000AF9C0000}"/>
    <cellStyle name="Normal 9 5 2 2 3 4" xfId="45971" xr:uid="{00000000-0005-0000-0000-0000B09C0000}"/>
    <cellStyle name="Normal 9 5 2 2 4" xfId="2170" xr:uid="{00000000-0005-0000-0000-0000B19C0000}"/>
    <cellStyle name="Normal 9 5 2 2 4 2" xfId="41979" xr:uid="{00000000-0005-0000-0000-0000B29C0000}"/>
    <cellStyle name="Normal 9 5 2 2 4 3" xfId="45972" xr:uid="{00000000-0005-0000-0000-0000B39C0000}"/>
    <cellStyle name="Normal 9 5 2 2 5" xfId="2171" xr:uid="{00000000-0005-0000-0000-0000B49C0000}"/>
    <cellStyle name="Normal 9 5 2 2 5 2" xfId="41980" xr:uid="{00000000-0005-0000-0000-0000B59C0000}"/>
    <cellStyle name="Normal 9 5 2 2 5 3" xfId="45973" xr:uid="{00000000-0005-0000-0000-0000B69C0000}"/>
    <cellStyle name="Normal 9 5 2 2 6" xfId="41981" xr:uid="{00000000-0005-0000-0000-0000B79C0000}"/>
    <cellStyle name="Normal 9 5 2 2 7" xfId="45974" xr:uid="{00000000-0005-0000-0000-0000B89C0000}"/>
    <cellStyle name="Normal 9 5 2 3" xfId="2172" xr:uid="{00000000-0005-0000-0000-0000B99C0000}"/>
    <cellStyle name="Normal 9 5 2 3 2" xfId="2173" xr:uid="{00000000-0005-0000-0000-0000BA9C0000}"/>
    <cellStyle name="Normal 9 5 2 3 2 2" xfId="41982" xr:uid="{00000000-0005-0000-0000-0000BB9C0000}"/>
    <cellStyle name="Normal 9 5 2 3 2 3" xfId="45975" xr:uid="{00000000-0005-0000-0000-0000BC9C0000}"/>
    <cellStyle name="Normal 9 5 2 3 3" xfId="2174" xr:uid="{00000000-0005-0000-0000-0000BD9C0000}"/>
    <cellStyle name="Normal 9 5 2 3 3 2" xfId="41983" xr:uid="{00000000-0005-0000-0000-0000BE9C0000}"/>
    <cellStyle name="Normal 9 5 2 3 3 3" xfId="45976" xr:uid="{00000000-0005-0000-0000-0000BF9C0000}"/>
    <cellStyle name="Normal 9 5 2 3 4" xfId="41984" xr:uid="{00000000-0005-0000-0000-0000C09C0000}"/>
    <cellStyle name="Normal 9 5 2 3 5" xfId="45977" xr:uid="{00000000-0005-0000-0000-0000C19C0000}"/>
    <cellStyle name="Normal 9 5 2 4" xfId="2175" xr:uid="{00000000-0005-0000-0000-0000C29C0000}"/>
    <cellStyle name="Normal 9 5 2 4 2" xfId="2176" xr:uid="{00000000-0005-0000-0000-0000C39C0000}"/>
    <cellStyle name="Normal 9 5 2 4 2 2" xfId="41985" xr:uid="{00000000-0005-0000-0000-0000C49C0000}"/>
    <cellStyle name="Normal 9 5 2 4 2 3" xfId="45978" xr:uid="{00000000-0005-0000-0000-0000C59C0000}"/>
    <cellStyle name="Normal 9 5 2 4 3" xfId="2177" xr:uid="{00000000-0005-0000-0000-0000C69C0000}"/>
    <cellStyle name="Normal 9 5 2 4 3 2" xfId="41986" xr:uid="{00000000-0005-0000-0000-0000C79C0000}"/>
    <cellStyle name="Normal 9 5 2 4 3 3" xfId="45979" xr:uid="{00000000-0005-0000-0000-0000C89C0000}"/>
    <cellStyle name="Normal 9 5 2 4 4" xfId="41987" xr:uid="{00000000-0005-0000-0000-0000C99C0000}"/>
    <cellStyle name="Normal 9 5 2 4 5" xfId="45980" xr:uid="{00000000-0005-0000-0000-0000CA9C0000}"/>
    <cellStyle name="Normal 9 5 2 5" xfId="2178" xr:uid="{00000000-0005-0000-0000-0000CB9C0000}"/>
    <cellStyle name="Normal 9 5 2 5 2" xfId="41988" xr:uid="{00000000-0005-0000-0000-0000CC9C0000}"/>
    <cellStyle name="Normal 9 5 2 5 3" xfId="45981" xr:uid="{00000000-0005-0000-0000-0000CD9C0000}"/>
    <cellStyle name="Normal 9 5 2 6" xfId="2179" xr:uid="{00000000-0005-0000-0000-0000CE9C0000}"/>
    <cellStyle name="Normal 9 5 2 6 2" xfId="41989" xr:uid="{00000000-0005-0000-0000-0000CF9C0000}"/>
    <cellStyle name="Normal 9 5 2 6 3" xfId="45982" xr:uid="{00000000-0005-0000-0000-0000D09C0000}"/>
    <cellStyle name="Normal 9 5 2 7" xfId="41990" xr:uid="{00000000-0005-0000-0000-0000D19C0000}"/>
    <cellStyle name="Normal 9 5 2 8" xfId="45983" xr:uid="{00000000-0005-0000-0000-0000D29C0000}"/>
    <cellStyle name="Normal 9 5 3" xfId="2180" xr:uid="{00000000-0005-0000-0000-0000D39C0000}"/>
    <cellStyle name="Normal 9 5 3 2" xfId="2181" xr:uid="{00000000-0005-0000-0000-0000D49C0000}"/>
    <cellStyle name="Normal 9 5 3 2 2" xfId="2182" xr:uid="{00000000-0005-0000-0000-0000D59C0000}"/>
    <cellStyle name="Normal 9 5 3 2 2 2" xfId="2183" xr:uid="{00000000-0005-0000-0000-0000D69C0000}"/>
    <cellStyle name="Normal 9 5 3 2 2 2 2" xfId="41991" xr:uid="{00000000-0005-0000-0000-0000D79C0000}"/>
    <cellStyle name="Normal 9 5 3 2 2 2 3" xfId="45984" xr:uid="{00000000-0005-0000-0000-0000D89C0000}"/>
    <cellStyle name="Normal 9 5 3 2 2 3" xfId="2184" xr:uid="{00000000-0005-0000-0000-0000D99C0000}"/>
    <cellStyle name="Normal 9 5 3 2 2 3 2" xfId="41992" xr:uid="{00000000-0005-0000-0000-0000DA9C0000}"/>
    <cellStyle name="Normal 9 5 3 2 2 3 3" xfId="45985" xr:uid="{00000000-0005-0000-0000-0000DB9C0000}"/>
    <cellStyle name="Normal 9 5 3 2 2 4" xfId="41993" xr:uid="{00000000-0005-0000-0000-0000DC9C0000}"/>
    <cellStyle name="Normal 9 5 3 2 2 5" xfId="45986" xr:uid="{00000000-0005-0000-0000-0000DD9C0000}"/>
    <cellStyle name="Normal 9 5 3 2 3" xfId="2185" xr:uid="{00000000-0005-0000-0000-0000DE9C0000}"/>
    <cellStyle name="Normal 9 5 3 2 3 2" xfId="2186" xr:uid="{00000000-0005-0000-0000-0000DF9C0000}"/>
    <cellStyle name="Normal 9 5 3 2 3 2 2" xfId="41994" xr:uid="{00000000-0005-0000-0000-0000E09C0000}"/>
    <cellStyle name="Normal 9 5 3 2 3 2 3" xfId="45987" xr:uid="{00000000-0005-0000-0000-0000E19C0000}"/>
    <cellStyle name="Normal 9 5 3 2 3 3" xfId="2187" xr:uid="{00000000-0005-0000-0000-0000E29C0000}"/>
    <cellStyle name="Normal 9 5 3 2 3 3 2" xfId="41995" xr:uid="{00000000-0005-0000-0000-0000E39C0000}"/>
    <cellStyle name="Normal 9 5 3 2 3 3 3" xfId="45988" xr:uid="{00000000-0005-0000-0000-0000E49C0000}"/>
    <cellStyle name="Normal 9 5 3 2 3 4" xfId="41996" xr:uid="{00000000-0005-0000-0000-0000E59C0000}"/>
    <cellStyle name="Normal 9 5 3 2 3 5" xfId="45989" xr:uid="{00000000-0005-0000-0000-0000E69C0000}"/>
    <cellStyle name="Normal 9 5 3 2 4" xfId="2188" xr:uid="{00000000-0005-0000-0000-0000E79C0000}"/>
    <cellStyle name="Normal 9 5 3 2 4 2" xfId="41997" xr:uid="{00000000-0005-0000-0000-0000E89C0000}"/>
    <cellStyle name="Normal 9 5 3 2 4 3" xfId="45990" xr:uid="{00000000-0005-0000-0000-0000E99C0000}"/>
    <cellStyle name="Normal 9 5 3 2 5" xfId="2189" xr:uid="{00000000-0005-0000-0000-0000EA9C0000}"/>
    <cellStyle name="Normal 9 5 3 2 5 2" xfId="41998" xr:uid="{00000000-0005-0000-0000-0000EB9C0000}"/>
    <cellStyle name="Normal 9 5 3 2 5 3" xfId="45991" xr:uid="{00000000-0005-0000-0000-0000EC9C0000}"/>
    <cellStyle name="Normal 9 5 3 2 6" xfId="41999" xr:uid="{00000000-0005-0000-0000-0000ED9C0000}"/>
    <cellStyle name="Normal 9 5 3 2 7" xfId="45992" xr:uid="{00000000-0005-0000-0000-0000EE9C0000}"/>
    <cellStyle name="Normal 9 5 3 3" xfId="2190" xr:uid="{00000000-0005-0000-0000-0000EF9C0000}"/>
    <cellStyle name="Normal 9 5 3 3 2" xfId="2191" xr:uid="{00000000-0005-0000-0000-0000F09C0000}"/>
    <cellStyle name="Normal 9 5 3 3 2 2" xfId="42000" xr:uid="{00000000-0005-0000-0000-0000F19C0000}"/>
    <cellStyle name="Normal 9 5 3 3 2 3" xfId="45993" xr:uid="{00000000-0005-0000-0000-0000F29C0000}"/>
    <cellStyle name="Normal 9 5 3 3 3" xfId="2192" xr:uid="{00000000-0005-0000-0000-0000F39C0000}"/>
    <cellStyle name="Normal 9 5 3 3 3 2" xfId="42001" xr:uid="{00000000-0005-0000-0000-0000F49C0000}"/>
    <cellStyle name="Normal 9 5 3 3 3 3" xfId="45994" xr:uid="{00000000-0005-0000-0000-0000F59C0000}"/>
    <cellStyle name="Normal 9 5 3 3 4" xfId="2193" xr:uid="{00000000-0005-0000-0000-0000F69C0000}"/>
    <cellStyle name="Normal 9 5 3 3 4 2" xfId="42002" xr:uid="{00000000-0005-0000-0000-0000F79C0000}"/>
    <cellStyle name="Normal 9 5 3 3 4 3" xfId="45995" xr:uid="{00000000-0005-0000-0000-0000F89C0000}"/>
    <cellStyle name="Normal 9 5 3 3 5" xfId="2194" xr:uid="{00000000-0005-0000-0000-0000F99C0000}"/>
    <cellStyle name="Normal 9 5 3 3 5 2" xfId="42003" xr:uid="{00000000-0005-0000-0000-0000FA9C0000}"/>
    <cellStyle name="Normal 9 5 3 3 5 3" xfId="45996" xr:uid="{00000000-0005-0000-0000-0000FB9C0000}"/>
    <cellStyle name="Normal 9 5 3 3 6" xfId="42004" xr:uid="{00000000-0005-0000-0000-0000FC9C0000}"/>
    <cellStyle name="Normal 9 5 3 3 7" xfId="45997" xr:uid="{00000000-0005-0000-0000-0000FD9C0000}"/>
    <cellStyle name="Normal 9 5 3 4" xfId="2195" xr:uid="{00000000-0005-0000-0000-0000FE9C0000}"/>
    <cellStyle name="Normal 9 5 3 4 2" xfId="2196" xr:uid="{00000000-0005-0000-0000-0000FF9C0000}"/>
    <cellStyle name="Normal 9 5 3 4 2 2" xfId="42005" xr:uid="{00000000-0005-0000-0000-0000009D0000}"/>
    <cellStyle name="Normal 9 5 3 4 2 3" xfId="45998" xr:uid="{00000000-0005-0000-0000-0000019D0000}"/>
    <cellStyle name="Normal 9 5 3 4 3" xfId="2197" xr:uid="{00000000-0005-0000-0000-0000029D0000}"/>
    <cellStyle name="Normal 9 5 3 4 3 2" xfId="42006" xr:uid="{00000000-0005-0000-0000-0000039D0000}"/>
    <cellStyle name="Normal 9 5 3 4 3 3" xfId="45999" xr:uid="{00000000-0005-0000-0000-0000049D0000}"/>
    <cellStyle name="Normal 9 5 3 4 4" xfId="42007" xr:uid="{00000000-0005-0000-0000-0000059D0000}"/>
    <cellStyle name="Normal 9 5 3 4 5" xfId="46000" xr:uid="{00000000-0005-0000-0000-0000069D0000}"/>
    <cellStyle name="Normal 9 5 3 5" xfId="2198" xr:uid="{00000000-0005-0000-0000-0000079D0000}"/>
    <cellStyle name="Normal 9 5 3 5 2" xfId="2199" xr:uid="{00000000-0005-0000-0000-0000089D0000}"/>
    <cellStyle name="Normal 9 5 3 5 2 2" xfId="42008" xr:uid="{00000000-0005-0000-0000-0000099D0000}"/>
    <cellStyle name="Normal 9 5 3 5 2 3" xfId="46001" xr:uid="{00000000-0005-0000-0000-00000A9D0000}"/>
    <cellStyle name="Normal 9 5 3 5 3" xfId="2200" xr:uid="{00000000-0005-0000-0000-00000B9D0000}"/>
    <cellStyle name="Normal 9 5 3 5 3 2" xfId="42009" xr:uid="{00000000-0005-0000-0000-00000C9D0000}"/>
    <cellStyle name="Normal 9 5 3 5 3 3" xfId="46002" xr:uid="{00000000-0005-0000-0000-00000D9D0000}"/>
    <cellStyle name="Normal 9 5 3 5 4" xfId="42010" xr:uid="{00000000-0005-0000-0000-00000E9D0000}"/>
    <cellStyle name="Normal 9 5 3 5 5" xfId="46003" xr:uid="{00000000-0005-0000-0000-00000F9D0000}"/>
    <cellStyle name="Normal 9 5 3 6" xfId="2201" xr:uid="{00000000-0005-0000-0000-0000109D0000}"/>
    <cellStyle name="Normal 9 5 3 6 2" xfId="42011" xr:uid="{00000000-0005-0000-0000-0000119D0000}"/>
    <cellStyle name="Normal 9 5 3 6 3" xfId="46004" xr:uid="{00000000-0005-0000-0000-0000129D0000}"/>
    <cellStyle name="Normal 9 5 3 7" xfId="2202" xr:uid="{00000000-0005-0000-0000-0000139D0000}"/>
    <cellStyle name="Normal 9 5 3 7 2" xfId="42012" xr:uid="{00000000-0005-0000-0000-0000149D0000}"/>
    <cellStyle name="Normal 9 5 3 7 3" xfId="46005" xr:uid="{00000000-0005-0000-0000-0000159D0000}"/>
    <cellStyle name="Normal 9 5 3 8" xfId="42013" xr:uid="{00000000-0005-0000-0000-0000169D0000}"/>
    <cellStyle name="Normal 9 5 3 9" xfId="46006" xr:uid="{00000000-0005-0000-0000-0000179D0000}"/>
    <cellStyle name="Normal 9 5 4" xfId="2203" xr:uid="{00000000-0005-0000-0000-0000189D0000}"/>
    <cellStyle name="Normal 9 5 4 2" xfId="2204" xr:uid="{00000000-0005-0000-0000-0000199D0000}"/>
    <cellStyle name="Normal 9 5 4 2 2" xfId="2205" xr:uid="{00000000-0005-0000-0000-00001A9D0000}"/>
    <cellStyle name="Normal 9 5 4 2 2 2" xfId="42014" xr:uid="{00000000-0005-0000-0000-00001B9D0000}"/>
    <cellStyle name="Normal 9 5 4 2 2 3" xfId="46007" xr:uid="{00000000-0005-0000-0000-00001C9D0000}"/>
    <cellStyle name="Normal 9 5 4 2 3" xfId="2206" xr:uid="{00000000-0005-0000-0000-00001D9D0000}"/>
    <cellStyle name="Normal 9 5 4 2 3 2" xfId="42015" xr:uid="{00000000-0005-0000-0000-00001E9D0000}"/>
    <cellStyle name="Normal 9 5 4 2 3 3" xfId="46008" xr:uid="{00000000-0005-0000-0000-00001F9D0000}"/>
    <cellStyle name="Normal 9 5 4 2 4" xfId="42016" xr:uid="{00000000-0005-0000-0000-0000209D0000}"/>
    <cellStyle name="Normal 9 5 4 2 5" xfId="46009" xr:uid="{00000000-0005-0000-0000-0000219D0000}"/>
    <cellStyle name="Normal 9 5 4 3" xfId="2207" xr:uid="{00000000-0005-0000-0000-0000229D0000}"/>
    <cellStyle name="Normal 9 5 4 3 2" xfId="2208" xr:uid="{00000000-0005-0000-0000-0000239D0000}"/>
    <cellStyle name="Normal 9 5 4 3 2 2" xfId="42017" xr:uid="{00000000-0005-0000-0000-0000249D0000}"/>
    <cellStyle name="Normal 9 5 4 3 2 3" xfId="46010" xr:uid="{00000000-0005-0000-0000-0000259D0000}"/>
    <cellStyle name="Normal 9 5 4 3 3" xfId="2209" xr:uid="{00000000-0005-0000-0000-0000269D0000}"/>
    <cellStyle name="Normal 9 5 4 3 3 2" xfId="42018" xr:uid="{00000000-0005-0000-0000-0000279D0000}"/>
    <cellStyle name="Normal 9 5 4 3 3 3" xfId="46011" xr:uid="{00000000-0005-0000-0000-0000289D0000}"/>
    <cellStyle name="Normal 9 5 4 3 4" xfId="42019" xr:uid="{00000000-0005-0000-0000-0000299D0000}"/>
    <cellStyle name="Normal 9 5 4 3 5" xfId="46012" xr:uid="{00000000-0005-0000-0000-00002A9D0000}"/>
    <cellStyle name="Normal 9 5 4 4" xfId="2210" xr:uid="{00000000-0005-0000-0000-00002B9D0000}"/>
    <cellStyle name="Normal 9 5 4 4 2" xfId="42020" xr:uid="{00000000-0005-0000-0000-00002C9D0000}"/>
    <cellStyle name="Normal 9 5 4 4 3" xfId="46013" xr:uid="{00000000-0005-0000-0000-00002D9D0000}"/>
    <cellStyle name="Normal 9 5 4 5" xfId="2211" xr:uid="{00000000-0005-0000-0000-00002E9D0000}"/>
    <cellStyle name="Normal 9 5 4 5 2" xfId="42021" xr:uid="{00000000-0005-0000-0000-00002F9D0000}"/>
    <cellStyle name="Normal 9 5 4 5 3" xfId="46014" xr:uid="{00000000-0005-0000-0000-0000309D0000}"/>
    <cellStyle name="Normal 9 5 4 6" xfId="42022" xr:uid="{00000000-0005-0000-0000-0000319D0000}"/>
    <cellStyle name="Normal 9 5 4 7" xfId="46015" xr:uid="{00000000-0005-0000-0000-0000329D0000}"/>
    <cellStyle name="Normal 9 5 5" xfId="2212" xr:uid="{00000000-0005-0000-0000-0000339D0000}"/>
    <cellStyle name="Normal 9 5 5 2" xfId="2213" xr:uid="{00000000-0005-0000-0000-0000349D0000}"/>
    <cellStyle name="Normal 9 5 5 2 2" xfId="42023" xr:uid="{00000000-0005-0000-0000-0000359D0000}"/>
    <cellStyle name="Normal 9 5 5 2 3" xfId="46016" xr:uid="{00000000-0005-0000-0000-0000369D0000}"/>
    <cellStyle name="Normal 9 5 5 3" xfId="2214" xr:uid="{00000000-0005-0000-0000-0000379D0000}"/>
    <cellStyle name="Normal 9 5 5 3 2" xfId="42024" xr:uid="{00000000-0005-0000-0000-0000389D0000}"/>
    <cellStyle name="Normal 9 5 5 3 3" xfId="46017" xr:uid="{00000000-0005-0000-0000-0000399D0000}"/>
    <cellStyle name="Normal 9 5 5 4" xfId="2215" xr:uid="{00000000-0005-0000-0000-00003A9D0000}"/>
    <cellStyle name="Normal 9 5 5 4 2" xfId="42025" xr:uid="{00000000-0005-0000-0000-00003B9D0000}"/>
    <cellStyle name="Normal 9 5 5 4 3" xfId="46018" xr:uid="{00000000-0005-0000-0000-00003C9D0000}"/>
    <cellStyle name="Normal 9 5 5 5" xfId="2216" xr:uid="{00000000-0005-0000-0000-00003D9D0000}"/>
    <cellStyle name="Normal 9 5 5 5 2" xfId="42026" xr:uid="{00000000-0005-0000-0000-00003E9D0000}"/>
    <cellStyle name="Normal 9 5 5 5 3" xfId="46019" xr:uid="{00000000-0005-0000-0000-00003F9D0000}"/>
    <cellStyle name="Normal 9 5 5 6" xfId="42027" xr:uid="{00000000-0005-0000-0000-0000409D0000}"/>
    <cellStyle name="Normal 9 5 5 7" xfId="46020" xr:uid="{00000000-0005-0000-0000-0000419D0000}"/>
    <cellStyle name="Normal 9 5 6" xfId="2217" xr:uid="{00000000-0005-0000-0000-0000429D0000}"/>
    <cellStyle name="Normal 9 5 6 2" xfId="2218" xr:uid="{00000000-0005-0000-0000-0000439D0000}"/>
    <cellStyle name="Normal 9 5 6 2 2" xfId="42028" xr:uid="{00000000-0005-0000-0000-0000449D0000}"/>
    <cellStyle name="Normal 9 5 6 2 3" xfId="46021" xr:uid="{00000000-0005-0000-0000-0000459D0000}"/>
    <cellStyle name="Normal 9 5 6 3" xfId="2219" xr:uid="{00000000-0005-0000-0000-0000469D0000}"/>
    <cellStyle name="Normal 9 5 6 3 2" xfId="42029" xr:uid="{00000000-0005-0000-0000-0000479D0000}"/>
    <cellStyle name="Normal 9 5 6 3 3" xfId="46022" xr:uid="{00000000-0005-0000-0000-0000489D0000}"/>
    <cellStyle name="Normal 9 5 6 4" xfId="42030" xr:uid="{00000000-0005-0000-0000-0000499D0000}"/>
    <cellStyle name="Normal 9 5 6 5" xfId="46023" xr:uid="{00000000-0005-0000-0000-00004A9D0000}"/>
    <cellStyle name="Normal 9 5 7" xfId="2220" xr:uid="{00000000-0005-0000-0000-00004B9D0000}"/>
    <cellStyle name="Normal 9 5 7 2" xfId="2221" xr:uid="{00000000-0005-0000-0000-00004C9D0000}"/>
    <cellStyle name="Normal 9 5 7 2 2" xfId="42031" xr:uid="{00000000-0005-0000-0000-00004D9D0000}"/>
    <cellStyle name="Normal 9 5 7 2 3" xfId="46024" xr:uid="{00000000-0005-0000-0000-00004E9D0000}"/>
    <cellStyle name="Normal 9 5 7 3" xfId="2222" xr:uid="{00000000-0005-0000-0000-00004F9D0000}"/>
    <cellStyle name="Normal 9 5 7 3 2" xfId="42032" xr:uid="{00000000-0005-0000-0000-0000509D0000}"/>
    <cellStyle name="Normal 9 5 7 3 3" xfId="46025" xr:uid="{00000000-0005-0000-0000-0000519D0000}"/>
    <cellStyle name="Normal 9 5 7 4" xfId="42033" xr:uid="{00000000-0005-0000-0000-0000529D0000}"/>
    <cellStyle name="Normal 9 5 7 5" xfId="46026" xr:uid="{00000000-0005-0000-0000-0000539D0000}"/>
    <cellStyle name="Normal 9 5 8" xfId="2223" xr:uid="{00000000-0005-0000-0000-0000549D0000}"/>
    <cellStyle name="Normal 9 5 8 2" xfId="42034" xr:uid="{00000000-0005-0000-0000-0000559D0000}"/>
    <cellStyle name="Normal 9 5 8 3" xfId="46027" xr:uid="{00000000-0005-0000-0000-0000569D0000}"/>
    <cellStyle name="Normal 9 5 9" xfId="2224" xr:uid="{00000000-0005-0000-0000-0000579D0000}"/>
    <cellStyle name="Normal 9 5 9 2" xfId="42035" xr:uid="{00000000-0005-0000-0000-0000589D0000}"/>
    <cellStyle name="Normal 9 5 9 3" xfId="46028" xr:uid="{00000000-0005-0000-0000-0000599D0000}"/>
    <cellStyle name="Normal 9 5_10070" xfId="2225" xr:uid="{00000000-0005-0000-0000-00005A9D0000}"/>
    <cellStyle name="Normal 9 6" xfId="2226" xr:uid="{00000000-0005-0000-0000-00005B9D0000}"/>
    <cellStyle name="Normal 9 6 2" xfId="2227" xr:uid="{00000000-0005-0000-0000-00005C9D0000}"/>
    <cellStyle name="Normal 9 6 2 2" xfId="2228" xr:uid="{00000000-0005-0000-0000-00005D9D0000}"/>
    <cellStyle name="Normal 9 6 2 2 2" xfId="33799" xr:uid="{00000000-0005-0000-0000-00005E9D0000}"/>
    <cellStyle name="Normal 9 6 2 2 2 2" xfId="42036" xr:uid="{00000000-0005-0000-0000-00005F9D0000}"/>
    <cellStyle name="Normal 9 6 2 2 3" xfId="33800" xr:uid="{00000000-0005-0000-0000-0000609D0000}"/>
    <cellStyle name="Normal 9 6 2 2 4" xfId="46029" xr:uid="{00000000-0005-0000-0000-0000619D0000}"/>
    <cellStyle name="Normal 9 6 2 3" xfId="2229" xr:uid="{00000000-0005-0000-0000-0000629D0000}"/>
    <cellStyle name="Normal 9 6 2 3 2" xfId="33801" xr:uid="{00000000-0005-0000-0000-0000639D0000}"/>
    <cellStyle name="Normal 9 6 2 3 2 2" xfId="42037" xr:uid="{00000000-0005-0000-0000-0000649D0000}"/>
    <cellStyle name="Normal 9 6 2 3 3" xfId="33802" xr:uid="{00000000-0005-0000-0000-0000659D0000}"/>
    <cellStyle name="Normal 9 6 2 3 4" xfId="46030" xr:uid="{00000000-0005-0000-0000-0000669D0000}"/>
    <cellStyle name="Normal 9 6 2 4" xfId="33803" xr:uid="{00000000-0005-0000-0000-0000679D0000}"/>
    <cellStyle name="Normal 9 6 2 4 2" xfId="42038" xr:uid="{00000000-0005-0000-0000-0000689D0000}"/>
    <cellStyle name="Normal 9 6 2 5" xfId="33804" xr:uid="{00000000-0005-0000-0000-0000699D0000}"/>
    <cellStyle name="Normal 9 6 2 6" xfId="46031" xr:uid="{00000000-0005-0000-0000-00006A9D0000}"/>
    <cellStyle name="Normal 9 6 3" xfId="2230" xr:uid="{00000000-0005-0000-0000-00006B9D0000}"/>
    <cellStyle name="Normal 9 6 3 2" xfId="2231" xr:uid="{00000000-0005-0000-0000-00006C9D0000}"/>
    <cellStyle name="Normal 9 6 3 2 2" xfId="42039" xr:uid="{00000000-0005-0000-0000-00006D9D0000}"/>
    <cellStyle name="Normal 9 6 3 2 3" xfId="46032" xr:uid="{00000000-0005-0000-0000-00006E9D0000}"/>
    <cellStyle name="Normal 9 6 3 3" xfId="2232" xr:uid="{00000000-0005-0000-0000-00006F9D0000}"/>
    <cellStyle name="Normal 9 6 3 3 2" xfId="42040" xr:uid="{00000000-0005-0000-0000-0000709D0000}"/>
    <cellStyle name="Normal 9 6 3 3 3" xfId="46033" xr:uid="{00000000-0005-0000-0000-0000719D0000}"/>
    <cellStyle name="Normal 9 6 3 4" xfId="42041" xr:uid="{00000000-0005-0000-0000-0000729D0000}"/>
    <cellStyle name="Normal 9 6 3 5" xfId="46034" xr:uid="{00000000-0005-0000-0000-0000739D0000}"/>
    <cellStyle name="Normal 9 6 4" xfId="2233" xr:uid="{00000000-0005-0000-0000-0000749D0000}"/>
    <cellStyle name="Normal 9 6 4 2" xfId="33805" xr:uid="{00000000-0005-0000-0000-0000759D0000}"/>
    <cellStyle name="Normal 9 6 4 2 2" xfId="42042" xr:uid="{00000000-0005-0000-0000-0000769D0000}"/>
    <cellStyle name="Normal 9 6 4 3" xfId="33806" xr:uid="{00000000-0005-0000-0000-0000779D0000}"/>
    <cellStyle name="Normal 9 6 4 4" xfId="46035" xr:uid="{00000000-0005-0000-0000-0000789D0000}"/>
    <cellStyle name="Normal 9 6 5" xfId="2234" xr:uid="{00000000-0005-0000-0000-0000799D0000}"/>
    <cellStyle name="Normal 9 6 5 2" xfId="42043" xr:uid="{00000000-0005-0000-0000-00007A9D0000}"/>
    <cellStyle name="Normal 9 6 5 3" xfId="46036" xr:uid="{00000000-0005-0000-0000-00007B9D0000}"/>
    <cellStyle name="Normal 9 6 6" xfId="33807" xr:uid="{00000000-0005-0000-0000-00007C9D0000}"/>
    <cellStyle name="Normal 9 6 7" xfId="46037" xr:uid="{00000000-0005-0000-0000-00007D9D0000}"/>
    <cellStyle name="Normal 9 7" xfId="2235" xr:uid="{00000000-0005-0000-0000-00007E9D0000}"/>
    <cellStyle name="Normal 9 7 2" xfId="2236" xr:uid="{00000000-0005-0000-0000-00007F9D0000}"/>
    <cellStyle name="Normal 9 7 2 2" xfId="33808" xr:uid="{00000000-0005-0000-0000-0000809D0000}"/>
    <cellStyle name="Normal 9 7 2 2 2" xfId="42044" xr:uid="{00000000-0005-0000-0000-0000819D0000}"/>
    <cellStyle name="Normal 9 7 2 3" xfId="33809" xr:uid="{00000000-0005-0000-0000-0000829D0000}"/>
    <cellStyle name="Normal 9 7 2 4" xfId="46038" xr:uid="{00000000-0005-0000-0000-0000839D0000}"/>
    <cellStyle name="Normal 9 7 3" xfId="2237" xr:uid="{00000000-0005-0000-0000-0000849D0000}"/>
    <cellStyle name="Normal 9 7 3 2" xfId="33810" xr:uid="{00000000-0005-0000-0000-0000859D0000}"/>
    <cellStyle name="Normal 9 7 3 2 2" xfId="42045" xr:uid="{00000000-0005-0000-0000-0000869D0000}"/>
    <cellStyle name="Normal 9 7 3 3" xfId="33811" xr:uid="{00000000-0005-0000-0000-0000879D0000}"/>
    <cellStyle name="Normal 9 7 3 4" xfId="46039" xr:uid="{00000000-0005-0000-0000-0000889D0000}"/>
    <cellStyle name="Normal 9 7 4" xfId="2238" xr:uid="{00000000-0005-0000-0000-0000899D0000}"/>
    <cellStyle name="Normal 9 7 4 2" xfId="42046" xr:uid="{00000000-0005-0000-0000-00008A9D0000}"/>
    <cellStyle name="Normal 9 7 4 3" xfId="46040" xr:uid="{00000000-0005-0000-0000-00008B9D0000}"/>
    <cellStyle name="Normal 9 7 5" xfId="2239" xr:uid="{00000000-0005-0000-0000-00008C9D0000}"/>
    <cellStyle name="Normal 9 7 5 2" xfId="42047" xr:uid="{00000000-0005-0000-0000-00008D9D0000}"/>
    <cellStyle name="Normal 9 7 5 3" xfId="46041" xr:uid="{00000000-0005-0000-0000-00008E9D0000}"/>
    <cellStyle name="Normal 9 7 6" xfId="42048" xr:uid="{00000000-0005-0000-0000-00008F9D0000}"/>
    <cellStyle name="Normal 9 7 7" xfId="46042" xr:uid="{00000000-0005-0000-0000-0000909D0000}"/>
    <cellStyle name="Normal 9 8" xfId="2240" xr:uid="{00000000-0005-0000-0000-0000919D0000}"/>
    <cellStyle name="Normal 9 8 2" xfId="2241" xr:uid="{00000000-0005-0000-0000-0000929D0000}"/>
    <cellStyle name="Normal 9 8 2 2" xfId="42049" xr:uid="{00000000-0005-0000-0000-0000939D0000}"/>
    <cellStyle name="Normal 9 8 2 3" xfId="46043" xr:uid="{00000000-0005-0000-0000-0000949D0000}"/>
    <cellStyle name="Normal 9 8 3" xfId="2242" xr:uid="{00000000-0005-0000-0000-0000959D0000}"/>
    <cellStyle name="Normal 9 8 3 2" xfId="42050" xr:uid="{00000000-0005-0000-0000-0000969D0000}"/>
    <cellStyle name="Normal 9 8 3 3" xfId="46044" xr:uid="{00000000-0005-0000-0000-0000979D0000}"/>
    <cellStyle name="Normal 9 8 4" xfId="42051" xr:uid="{00000000-0005-0000-0000-0000989D0000}"/>
    <cellStyle name="Normal 9 8 4 2" xfId="43869" xr:uid="{00000000-0005-0000-0000-0000999D0000}"/>
    <cellStyle name="Normal 9 8 5" xfId="43870" xr:uid="{00000000-0005-0000-0000-00009A9D0000}"/>
    <cellStyle name="Normal 9 8 6" xfId="46045" xr:uid="{00000000-0005-0000-0000-00009B9D0000}"/>
    <cellStyle name="Normal 9 9" xfId="2243" xr:uid="{00000000-0005-0000-0000-00009C9D0000}"/>
    <cellStyle name="Normal 9 9 2" xfId="2244" xr:uid="{00000000-0005-0000-0000-00009D9D0000}"/>
    <cellStyle name="Normal 9 9 2 2" xfId="42052" xr:uid="{00000000-0005-0000-0000-00009E9D0000}"/>
    <cellStyle name="Normal 9 9 2 3" xfId="46046" xr:uid="{00000000-0005-0000-0000-00009F9D0000}"/>
    <cellStyle name="Normal 9 9 3" xfId="2245" xr:uid="{00000000-0005-0000-0000-0000A09D0000}"/>
    <cellStyle name="Normal 9 9 3 2" xfId="42053" xr:uid="{00000000-0005-0000-0000-0000A19D0000}"/>
    <cellStyle name="Normal 9 9 3 3" xfId="46047" xr:uid="{00000000-0005-0000-0000-0000A29D0000}"/>
    <cellStyle name="Normal 9 9 4" xfId="42054" xr:uid="{00000000-0005-0000-0000-0000A39D0000}"/>
    <cellStyle name="Normal 9 9 5" xfId="46048" xr:uid="{00000000-0005-0000-0000-0000A49D0000}"/>
    <cellStyle name="Normal 9_2112 Salary" xfId="33812" xr:uid="{00000000-0005-0000-0000-0000A59D0000}"/>
    <cellStyle name="Normal 90" xfId="540" xr:uid="{00000000-0005-0000-0000-0000A69D0000}"/>
    <cellStyle name="Normal 90 2" xfId="2246" xr:uid="{00000000-0005-0000-0000-0000A79D0000}"/>
    <cellStyle name="Normal 90 2 2" xfId="33813" xr:uid="{00000000-0005-0000-0000-0000A89D0000}"/>
    <cellStyle name="Normal 90 2 2 2" xfId="42555" xr:uid="{00000000-0005-0000-0000-0000A99D0000}"/>
    <cellStyle name="Normal 90 2 2 3" xfId="46049" xr:uid="{00000000-0005-0000-0000-0000AA9D0000}"/>
    <cellStyle name="Normal 90 2 3" xfId="46050" xr:uid="{00000000-0005-0000-0000-0000AB9D0000}"/>
    <cellStyle name="Normal 90 3" xfId="42055" xr:uid="{00000000-0005-0000-0000-0000AC9D0000}"/>
    <cellStyle name="Normal 90 4" xfId="42056" xr:uid="{00000000-0005-0000-0000-0000AD9D0000}"/>
    <cellStyle name="Normal 91" xfId="541" xr:uid="{00000000-0005-0000-0000-0000AE9D0000}"/>
    <cellStyle name="Normal 91 2" xfId="42057" xr:uid="{00000000-0005-0000-0000-0000AF9D0000}"/>
    <cellStyle name="Normal 91 3" xfId="42058" xr:uid="{00000000-0005-0000-0000-0000B09D0000}"/>
    <cellStyle name="Normal 92" xfId="542" xr:uid="{00000000-0005-0000-0000-0000B19D0000}"/>
    <cellStyle name="Normal 92 2" xfId="2247" xr:uid="{00000000-0005-0000-0000-0000B29D0000}"/>
    <cellStyle name="Normal 92 2 2" xfId="33814" xr:uid="{00000000-0005-0000-0000-0000B39D0000}"/>
    <cellStyle name="Normal 92 2 2 2" xfId="42059" xr:uid="{00000000-0005-0000-0000-0000B49D0000}"/>
    <cellStyle name="Normal 92 2 3" xfId="33815" xr:uid="{00000000-0005-0000-0000-0000B59D0000}"/>
    <cellStyle name="Normal 92 2 4" xfId="46051" xr:uid="{00000000-0005-0000-0000-0000B69D0000}"/>
    <cellStyle name="Normal 92 2 5" xfId="46270" xr:uid="{00000000-0005-0000-0000-0000B79D0000}"/>
    <cellStyle name="Normal 92 3" xfId="42060" xr:uid="{00000000-0005-0000-0000-0000B89D0000}"/>
    <cellStyle name="Normal 92 4" xfId="42061" xr:uid="{00000000-0005-0000-0000-0000B99D0000}"/>
    <cellStyle name="Normal 93" xfId="543" xr:uid="{00000000-0005-0000-0000-0000BA9D0000}"/>
    <cellStyle name="Normal 93 2" xfId="2248" xr:uid="{00000000-0005-0000-0000-0000BB9D0000}"/>
    <cellStyle name="Normal 93 2 2" xfId="33816" xr:uid="{00000000-0005-0000-0000-0000BC9D0000}"/>
    <cellStyle name="Normal 93 2 3" xfId="46052" xr:uid="{00000000-0005-0000-0000-0000BD9D0000}"/>
    <cellStyle name="Normal 93 3" xfId="33817" xr:uid="{00000000-0005-0000-0000-0000BE9D0000}"/>
    <cellStyle name="Normal 93 3 2" xfId="42062" xr:uid="{00000000-0005-0000-0000-0000BF9D0000}"/>
    <cellStyle name="Normal 93 4" xfId="33818" xr:uid="{00000000-0005-0000-0000-0000C09D0000}"/>
    <cellStyle name="Normal 93 5" xfId="42063" xr:uid="{00000000-0005-0000-0000-0000C19D0000}"/>
    <cellStyle name="Normal 94" xfId="544" xr:uid="{00000000-0005-0000-0000-0000C29D0000}"/>
    <cellStyle name="Normal 94 2" xfId="2249" xr:uid="{00000000-0005-0000-0000-0000C39D0000}"/>
    <cellStyle name="Normal 94 2 2" xfId="33819" xr:uid="{00000000-0005-0000-0000-0000C49D0000}"/>
    <cellStyle name="Normal 94 2 3" xfId="46053" xr:uid="{00000000-0005-0000-0000-0000C59D0000}"/>
    <cellStyle name="Normal 94 3" xfId="33820" xr:uid="{00000000-0005-0000-0000-0000C69D0000}"/>
    <cellStyle name="Normal 94 3 2" xfId="42064" xr:uid="{00000000-0005-0000-0000-0000C79D0000}"/>
    <cellStyle name="Normal 94 4" xfId="33821" xr:uid="{00000000-0005-0000-0000-0000C89D0000}"/>
    <cellStyle name="Normal 94 5" xfId="42065" xr:uid="{00000000-0005-0000-0000-0000C99D0000}"/>
    <cellStyle name="Normal 95" xfId="545" xr:uid="{00000000-0005-0000-0000-0000CA9D0000}"/>
    <cellStyle name="Normal 95 2" xfId="2250" xr:uid="{00000000-0005-0000-0000-0000CB9D0000}"/>
    <cellStyle name="Normal 95 2 2" xfId="42066" xr:uid="{00000000-0005-0000-0000-0000CC9D0000}"/>
    <cellStyle name="Normal 95 2 3" xfId="46054" xr:uid="{00000000-0005-0000-0000-0000CD9D0000}"/>
    <cellStyle name="Normal 95 3" xfId="33822" xr:uid="{00000000-0005-0000-0000-0000CE9D0000}"/>
    <cellStyle name="Normal 95 3 2" xfId="42067" xr:uid="{00000000-0005-0000-0000-0000CF9D0000}"/>
    <cellStyle name="Normal 95 4" xfId="42068" xr:uid="{00000000-0005-0000-0000-0000D09D0000}"/>
    <cellStyle name="Normal 95 5" xfId="42069" xr:uid="{00000000-0005-0000-0000-0000D19D0000}"/>
    <cellStyle name="Normal 96" xfId="546" xr:uid="{00000000-0005-0000-0000-0000D29D0000}"/>
    <cellStyle name="Normal 96 2" xfId="2251" xr:uid="{00000000-0005-0000-0000-0000D39D0000}"/>
    <cellStyle name="Normal 96 2 2" xfId="42070" xr:uid="{00000000-0005-0000-0000-0000D49D0000}"/>
    <cellStyle name="Normal 96 2 3" xfId="46055" xr:uid="{00000000-0005-0000-0000-0000D59D0000}"/>
    <cellStyle name="Normal 96 3" xfId="33823" xr:uid="{00000000-0005-0000-0000-0000D69D0000}"/>
    <cellStyle name="Normal 96 3 2" xfId="42071" xr:uid="{00000000-0005-0000-0000-0000D79D0000}"/>
    <cellStyle name="Normal 96 4" xfId="33824" xr:uid="{00000000-0005-0000-0000-0000D89D0000}"/>
    <cellStyle name="Normal 96 5" xfId="42072" xr:uid="{00000000-0005-0000-0000-0000D99D0000}"/>
    <cellStyle name="Normal 97" xfId="547" xr:uid="{00000000-0005-0000-0000-0000DA9D0000}"/>
    <cellStyle name="Normal 97 2" xfId="2252" xr:uid="{00000000-0005-0000-0000-0000DB9D0000}"/>
    <cellStyle name="Normal 97 2 2" xfId="42073" xr:uid="{00000000-0005-0000-0000-0000DC9D0000}"/>
    <cellStyle name="Normal 97 2 3" xfId="46056" xr:uid="{00000000-0005-0000-0000-0000DD9D0000}"/>
    <cellStyle name="Normal 97 3" xfId="33825" xr:uid="{00000000-0005-0000-0000-0000DE9D0000}"/>
    <cellStyle name="Normal 97 3 2" xfId="42074" xr:uid="{00000000-0005-0000-0000-0000DF9D0000}"/>
    <cellStyle name="Normal 97 4" xfId="42075" xr:uid="{00000000-0005-0000-0000-0000E09D0000}"/>
    <cellStyle name="Normal 97 5" xfId="42076" xr:uid="{00000000-0005-0000-0000-0000E19D0000}"/>
    <cellStyle name="Normal 98" xfId="548" xr:uid="{00000000-0005-0000-0000-0000E29D0000}"/>
    <cellStyle name="Normal 98 2" xfId="2253" xr:uid="{00000000-0005-0000-0000-0000E39D0000}"/>
    <cellStyle name="Normal 98 2 2" xfId="2254" xr:uid="{00000000-0005-0000-0000-0000E49D0000}"/>
    <cellStyle name="Normal 98 2 2 2" xfId="42077" xr:uid="{00000000-0005-0000-0000-0000E59D0000}"/>
    <cellStyle name="Normal 98 2 3" xfId="42078" xr:uid="{00000000-0005-0000-0000-0000E69D0000}"/>
    <cellStyle name="Normal 98 2 4" xfId="46057" xr:uid="{00000000-0005-0000-0000-0000E79D0000}"/>
    <cellStyle name="Normal 98 3" xfId="33826" xr:uid="{00000000-0005-0000-0000-0000E89D0000}"/>
    <cellStyle name="Normal 98 4" xfId="42079" xr:uid="{00000000-0005-0000-0000-0000E99D0000}"/>
    <cellStyle name="Normal 99" xfId="549" xr:uid="{00000000-0005-0000-0000-0000EA9D0000}"/>
    <cellStyle name="Normal 99 2" xfId="2255" xr:uid="{00000000-0005-0000-0000-0000EB9D0000}"/>
    <cellStyle name="Normal 99 2 2" xfId="42080" xr:uid="{00000000-0005-0000-0000-0000EC9D0000}"/>
    <cellStyle name="Normal 99 2 3" xfId="46058" xr:uid="{00000000-0005-0000-0000-0000ED9D0000}"/>
    <cellStyle name="Normal 99 3" xfId="2256" xr:uid="{00000000-0005-0000-0000-0000EE9D0000}"/>
    <cellStyle name="Normal 99 3 2" xfId="42081" xr:uid="{00000000-0005-0000-0000-0000EF9D0000}"/>
    <cellStyle name="Normal 99 3 3" xfId="46059" xr:uid="{00000000-0005-0000-0000-0000F09D0000}"/>
    <cellStyle name="Normal 99 4" xfId="2257" xr:uid="{00000000-0005-0000-0000-0000F19D0000}"/>
    <cellStyle name="Normal 99 4 2" xfId="42082" xr:uid="{00000000-0005-0000-0000-0000F29D0000}"/>
    <cellStyle name="Normal 99 4 3" xfId="46060" xr:uid="{00000000-0005-0000-0000-0000F39D0000}"/>
    <cellStyle name="Normal 99 5" xfId="42083" xr:uid="{00000000-0005-0000-0000-0000F49D0000}"/>
    <cellStyle name="Normal 99 6" xfId="42084" xr:uid="{00000000-0005-0000-0000-0000F59D0000}"/>
    <cellStyle name="Normal_2149 Depr 12-31-10" xfId="46314" xr:uid="{00000000-0005-0000-0000-0000F69D0000}"/>
    <cellStyle name="Normal_IS200" xfId="46315" xr:uid="{00000000-0005-0000-0000-0000F79D0000}"/>
    <cellStyle name="Normal_Proforma" xfId="620" xr:uid="{00000000-0005-0000-0000-0000F89D0000}"/>
    <cellStyle name="Normal_Proforma Yakima UTC-Nicki 2009" xfId="46306" xr:uid="{00000000-0005-0000-0000-0000F99D0000}"/>
    <cellStyle name="Normal_Regulated Price Out 9-6-2011 Final HL" xfId="46307" xr:uid="{00000000-0005-0000-0000-0000FA9D0000}"/>
    <cellStyle name="Normal_Regulated-Non-Regulated Revenue" xfId="46308" xr:uid="{00000000-0005-0000-0000-0000FB9D0000}"/>
    <cellStyle name="Normal_Report" xfId="3" xr:uid="{00000000-0005-0000-0000-0000FC9D0000}"/>
    <cellStyle name="Normal_Sheet1 3" xfId="43898" xr:uid="{00000000-0005-0000-0000-0000FD9D0000}"/>
    <cellStyle name="Normal_TheTool_Jeff_v5 2" xfId="5" xr:uid="{00000000-0005-0000-0000-0000FE9D0000}"/>
    <cellStyle name="Note 2" xfId="550" xr:uid="{00000000-0005-0000-0000-0000FF9D0000}"/>
    <cellStyle name="Note 2 2" xfId="551" xr:uid="{00000000-0005-0000-0000-0000009E0000}"/>
    <cellStyle name="Note 2 2 2" xfId="2258" xr:uid="{00000000-0005-0000-0000-0000019E0000}"/>
    <cellStyle name="Note 2 2 2 10" xfId="33827" xr:uid="{00000000-0005-0000-0000-0000029E0000}"/>
    <cellStyle name="Note 2 2 2 10 2" xfId="33828" xr:uid="{00000000-0005-0000-0000-0000039E0000}"/>
    <cellStyle name="Note 2 2 2 10 3" xfId="33829" xr:uid="{00000000-0005-0000-0000-0000049E0000}"/>
    <cellStyle name="Note 2 2 2 11" xfId="33830" xr:uid="{00000000-0005-0000-0000-0000059E0000}"/>
    <cellStyle name="Note 2 2 2 11 2" xfId="33831" xr:uid="{00000000-0005-0000-0000-0000069E0000}"/>
    <cellStyle name="Note 2 2 2 11 3" xfId="33832" xr:uid="{00000000-0005-0000-0000-0000079E0000}"/>
    <cellStyle name="Note 2 2 2 12" xfId="44605" xr:uid="{00000000-0005-0000-0000-0000089E0000}"/>
    <cellStyle name="Note 2 2 2 2" xfId="33833" xr:uid="{00000000-0005-0000-0000-0000099E0000}"/>
    <cellStyle name="Note 2 2 2 2 2" xfId="33834" xr:uid="{00000000-0005-0000-0000-00000A9E0000}"/>
    <cellStyle name="Note 2 2 2 2 2 2" xfId="33835" xr:uid="{00000000-0005-0000-0000-00000B9E0000}"/>
    <cellStyle name="Note 2 2 2 2 2 3" xfId="33836" xr:uid="{00000000-0005-0000-0000-00000C9E0000}"/>
    <cellStyle name="Note 2 2 2 2 3" xfId="33837" xr:uid="{00000000-0005-0000-0000-00000D9E0000}"/>
    <cellStyle name="Note 2 2 2 2 3 2" xfId="33838" xr:uid="{00000000-0005-0000-0000-00000E9E0000}"/>
    <cellStyle name="Note 2 2 2 2 3 3" xfId="33839" xr:uid="{00000000-0005-0000-0000-00000F9E0000}"/>
    <cellStyle name="Note 2 2 2 2 4" xfId="33840" xr:uid="{00000000-0005-0000-0000-0000109E0000}"/>
    <cellStyle name="Note 2 2 2 2 4 2" xfId="33841" xr:uid="{00000000-0005-0000-0000-0000119E0000}"/>
    <cellStyle name="Note 2 2 2 2 4 3" xfId="33842" xr:uid="{00000000-0005-0000-0000-0000129E0000}"/>
    <cellStyle name="Note 2 2 2 2 5" xfId="33843" xr:uid="{00000000-0005-0000-0000-0000139E0000}"/>
    <cellStyle name="Note 2 2 2 2 5 2" xfId="33844" xr:uid="{00000000-0005-0000-0000-0000149E0000}"/>
    <cellStyle name="Note 2 2 2 2 5 3" xfId="33845" xr:uid="{00000000-0005-0000-0000-0000159E0000}"/>
    <cellStyle name="Note 2 2 2 2 6" xfId="33846" xr:uid="{00000000-0005-0000-0000-0000169E0000}"/>
    <cellStyle name="Note 2 2 2 2 6 2" xfId="33847" xr:uid="{00000000-0005-0000-0000-0000179E0000}"/>
    <cellStyle name="Note 2 2 2 2 6 3" xfId="33848" xr:uid="{00000000-0005-0000-0000-0000189E0000}"/>
    <cellStyle name="Note 2 2 2 2 7" xfId="33849" xr:uid="{00000000-0005-0000-0000-0000199E0000}"/>
    <cellStyle name="Note 2 2 2 2 7 2" xfId="33850" xr:uid="{00000000-0005-0000-0000-00001A9E0000}"/>
    <cellStyle name="Note 2 2 2 2 7 3" xfId="33851" xr:uid="{00000000-0005-0000-0000-00001B9E0000}"/>
    <cellStyle name="Note 2 2 2 2 8" xfId="44606" xr:uid="{00000000-0005-0000-0000-00001C9E0000}"/>
    <cellStyle name="Note 2 2 2 3" xfId="33852" xr:uid="{00000000-0005-0000-0000-00001D9E0000}"/>
    <cellStyle name="Note 2 2 2 3 2" xfId="33853" xr:uid="{00000000-0005-0000-0000-00001E9E0000}"/>
    <cellStyle name="Note 2 2 2 3 2 2" xfId="33854" xr:uid="{00000000-0005-0000-0000-00001F9E0000}"/>
    <cellStyle name="Note 2 2 2 3 2 3" xfId="33855" xr:uid="{00000000-0005-0000-0000-0000209E0000}"/>
    <cellStyle name="Note 2 2 2 3 3" xfId="33856" xr:uid="{00000000-0005-0000-0000-0000219E0000}"/>
    <cellStyle name="Note 2 2 2 3 3 2" xfId="33857" xr:uid="{00000000-0005-0000-0000-0000229E0000}"/>
    <cellStyle name="Note 2 2 2 3 3 3" xfId="33858" xr:uid="{00000000-0005-0000-0000-0000239E0000}"/>
    <cellStyle name="Note 2 2 2 3 4" xfId="33859" xr:uid="{00000000-0005-0000-0000-0000249E0000}"/>
    <cellStyle name="Note 2 2 2 3 4 2" xfId="33860" xr:uid="{00000000-0005-0000-0000-0000259E0000}"/>
    <cellStyle name="Note 2 2 2 3 4 3" xfId="33861" xr:uid="{00000000-0005-0000-0000-0000269E0000}"/>
    <cellStyle name="Note 2 2 2 3 5" xfId="33862" xr:uid="{00000000-0005-0000-0000-0000279E0000}"/>
    <cellStyle name="Note 2 2 2 3 5 2" xfId="33863" xr:uid="{00000000-0005-0000-0000-0000289E0000}"/>
    <cellStyle name="Note 2 2 2 3 5 3" xfId="33864" xr:uid="{00000000-0005-0000-0000-0000299E0000}"/>
    <cellStyle name="Note 2 2 2 3 6" xfId="33865" xr:uid="{00000000-0005-0000-0000-00002A9E0000}"/>
    <cellStyle name="Note 2 2 2 3 6 2" xfId="33866" xr:uid="{00000000-0005-0000-0000-00002B9E0000}"/>
    <cellStyle name="Note 2 2 2 3 6 3" xfId="33867" xr:uid="{00000000-0005-0000-0000-00002C9E0000}"/>
    <cellStyle name="Note 2 2 2 3 7" xfId="33868" xr:uid="{00000000-0005-0000-0000-00002D9E0000}"/>
    <cellStyle name="Note 2 2 2 3 7 2" xfId="33869" xr:uid="{00000000-0005-0000-0000-00002E9E0000}"/>
    <cellStyle name="Note 2 2 2 3 7 3" xfId="33870" xr:uid="{00000000-0005-0000-0000-00002F9E0000}"/>
    <cellStyle name="Note 2 2 2 3 8" xfId="44607" xr:uid="{00000000-0005-0000-0000-0000309E0000}"/>
    <cellStyle name="Note 2 2 2 4" xfId="33871" xr:uid="{00000000-0005-0000-0000-0000319E0000}"/>
    <cellStyle name="Note 2 2 2 4 2" xfId="33872" xr:uid="{00000000-0005-0000-0000-0000329E0000}"/>
    <cellStyle name="Note 2 2 2 4 2 2" xfId="33873" xr:uid="{00000000-0005-0000-0000-0000339E0000}"/>
    <cellStyle name="Note 2 2 2 4 2 3" xfId="33874" xr:uid="{00000000-0005-0000-0000-0000349E0000}"/>
    <cellStyle name="Note 2 2 2 4 3" xfId="33875" xr:uid="{00000000-0005-0000-0000-0000359E0000}"/>
    <cellStyle name="Note 2 2 2 4 3 2" xfId="33876" xr:uid="{00000000-0005-0000-0000-0000369E0000}"/>
    <cellStyle name="Note 2 2 2 4 3 3" xfId="33877" xr:uid="{00000000-0005-0000-0000-0000379E0000}"/>
    <cellStyle name="Note 2 2 2 4 4" xfId="33878" xr:uid="{00000000-0005-0000-0000-0000389E0000}"/>
    <cellStyle name="Note 2 2 2 4 4 2" xfId="33879" xr:uid="{00000000-0005-0000-0000-0000399E0000}"/>
    <cellStyle name="Note 2 2 2 4 4 3" xfId="33880" xr:uid="{00000000-0005-0000-0000-00003A9E0000}"/>
    <cellStyle name="Note 2 2 2 4 5" xfId="33881" xr:uid="{00000000-0005-0000-0000-00003B9E0000}"/>
    <cellStyle name="Note 2 2 2 4 5 2" xfId="33882" xr:uid="{00000000-0005-0000-0000-00003C9E0000}"/>
    <cellStyle name="Note 2 2 2 4 5 3" xfId="33883" xr:uid="{00000000-0005-0000-0000-00003D9E0000}"/>
    <cellStyle name="Note 2 2 2 4 6" xfId="33884" xr:uid="{00000000-0005-0000-0000-00003E9E0000}"/>
    <cellStyle name="Note 2 2 2 4 6 2" xfId="33885" xr:uid="{00000000-0005-0000-0000-00003F9E0000}"/>
    <cellStyle name="Note 2 2 2 4 6 3" xfId="33886" xr:uid="{00000000-0005-0000-0000-0000409E0000}"/>
    <cellStyle name="Note 2 2 2 4 7" xfId="33887" xr:uid="{00000000-0005-0000-0000-0000419E0000}"/>
    <cellStyle name="Note 2 2 2 4 7 2" xfId="33888" xr:uid="{00000000-0005-0000-0000-0000429E0000}"/>
    <cellStyle name="Note 2 2 2 4 7 3" xfId="33889" xr:uid="{00000000-0005-0000-0000-0000439E0000}"/>
    <cellStyle name="Note 2 2 2 4 8" xfId="44608" xr:uid="{00000000-0005-0000-0000-0000449E0000}"/>
    <cellStyle name="Note 2 2 2 5" xfId="33890" xr:uid="{00000000-0005-0000-0000-0000459E0000}"/>
    <cellStyle name="Note 2 2 2 5 2" xfId="33891" xr:uid="{00000000-0005-0000-0000-0000469E0000}"/>
    <cellStyle name="Note 2 2 2 5 2 2" xfId="33892" xr:uid="{00000000-0005-0000-0000-0000479E0000}"/>
    <cellStyle name="Note 2 2 2 5 2 3" xfId="33893" xr:uid="{00000000-0005-0000-0000-0000489E0000}"/>
    <cellStyle name="Note 2 2 2 5 3" xfId="33894" xr:uid="{00000000-0005-0000-0000-0000499E0000}"/>
    <cellStyle name="Note 2 2 2 5 3 2" xfId="33895" xr:uid="{00000000-0005-0000-0000-00004A9E0000}"/>
    <cellStyle name="Note 2 2 2 5 3 3" xfId="33896" xr:uid="{00000000-0005-0000-0000-00004B9E0000}"/>
    <cellStyle name="Note 2 2 2 5 4" xfId="33897" xr:uid="{00000000-0005-0000-0000-00004C9E0000}"/>
    <cellStyle name="Note 2 2 2 5 4 2" xfId="33898" xr:uid="{00000000-0005-0000-0000-00004D9E0000}"/>
    <cellStyle name="Note 2 2 2 5 4 3" xfId="33899" xr:uid="{00000000-0005-0000-0000-00004E9E0000}"/>
    <cellStyle name="Note 2 2 2 5 5" xfId="33900" xr:uid="{00000000-0005-0000-0000-00004F9E0000}"/>
    <cellStyle name="Note 2 2 2 5 5 2" xfId="33901" xr:uid="{00000000-0005-0000-0000-0000509E0000}"/>
    <cellStyle name="Note 2 2 2 5 5 3" xfId="33902" xr:uid="{00000000-0005-0000-0000-0000519E0000}"/>
    <cellStyle name="Note 2 2 2 5 6" xfId="33903" xr:uid="{00000000-0005-0000-0000-0000529E0000}"/>
    <cellStyle name="Note 2 2 2 5 6 2" xfId="33904" xr:uid="{00000000-0005-0000-0000-0000539E0000}"/>
    <cellStyle name="Note 2 2 2 5 6 3" xfId="33905" xr:uid="{00000000-0005-0000-0000-0000549E0000}"/>
    <cellStyle name="Note 2 2 2 5 7" xfId="33906" xr:uid="{00000000-0005-0000-0000-0000559E0000}"/>
    <cellStyle name="Note 2 2 2 5 7 2" xfId="33907" xr:uid="{00000000-0005-0000-0000-0000569E0000}"/>
    <cellStyle name="Note 2 2 2 5 7 3" xfId="33908" xr:uid="{00000000-0005-0000-0000-0000579E0000}"/>
    <cellStyle name="Note 2 2 2 5 8" xfId="44609" xr:uid="{00000000-0005-0000-0000-0000589E0000}"/>
    <cellStyle name="Note 2 2 2 6" xfId="33909" xr:uid="{00000000-0005-0000-0000-0000599E0000}"/>
    <cellStyle name="Note 2 2 2 6 2" xfId="33910" xr:uid="{00000000-0005-0000-0000-00005A9E0000}"/>
    <cellStyle name="Note 2 2 2 7" xfId="33911" xr:uid="{00000000-0005-0000-0000-00005B9E0000}"/>
    <cellStyle name="Note 2 2 2 7 2" xfId="33912" xr:uid="{00000000-0005-0000-0000-00005C9E0000}"/>
    <cellStyle name="Note 2 2 2 7 3" xfId="33913" xr:uid="{00000000-0005-0000-0000-00005D9E0000}"/>
    <cellStyle name="Note 2 2 2 8" xfId="33914" xr:uid="{00000000-0005-0000-0000-00005E9E0000}"/>
    <cellStyle name="Note 2 2 2 8 2" xfId="33915" xr:uid="{00000000-0005-0000-0000-00005F9E0000}"/>
    <cellStyle name="Note 2 2 2 8 3" xfId="33916" xr:uid="{00000000-0005-0000-0000-0000609E0000}"/>
    <cellStyle name="Note 2 2 2 9" xfId="33917" xr:uid="{00000000-0005-0000-0000-0000619E0000}"/>
    <cellStyle name="Note 2 2 2 9 2" xfId="33918" xr:uid="{00000000-0005-0000-0000-0000629E0000}"/>
    <cellStyle name="Note 2 2 2 9 3" xfId="33919" xr:uid="{00000000-0005-0000-0000-0000639E0000}"/>
    <cellStyle name="Note 2 2 3" xfId="33920" xr:uid="{00000000-0005-0000-0000-0000649E0000}"/>
    <cellStyle name="Note 2 2 3 10" xfId="33921" xr:uid="{00000000-0005-0000-0000-0000659E0000}"/>
    <cellStyle name="Note 2 2 3 10 2" xfId="33922" xr:uid="{00000000-0005-0000-0000-0000669E0000}"/>
    <cellStyle name="Note 2 2 3 10 3" xfId="33923" xr:uid="{00000000-0005-0000-0000-0000679E0000}"/>
    <cellStyle name="Note 2 2 3 11" xfId="33924" xr:uid="{00000000-0005-0000-0000-0000689E0000}"/>
    <cellStyle name="Note 2 2 3 11 2" xfId="33925" xr:uid="{00000000-0005-0000-0000-0000699E0000}"/>
    <cellStyle name="Note 2 2 3 11 3" xfId="33926" xr:uid="{00000000-0005-0000-0000-00006A9E0000}"/>
    <cellStyle name="Note 2 2 3 12" xfId="44610" xr:uid="{00000000-0005-0000-0000-00006B9E0000}"/>
    <cellStyle name="Note 2 2 3 2" xfId="33927" xr:uid="{00000000-0005-0000-0000-00006C9E0000}"/>
    <cellStyle name="Note 2 2 3 2 2" xfId="33928" xr:uid="{00000000-0005-0000-0000-00006D9E0000}"/>
    <cellStyle name="Note 2 2 3 2 2 2" xfId="33929" xr:uid="{00000000-0005-0000-0000-00006E9E0000}"/>
    <cellStyle name="Note 2 2 3 2 2 3" xfId="33930" xr:uid="{00000000-0005-0000-0000-00006F9E0000}"/>
    <cellStyle name="Note 2 2 3 2 3" xfId="33931" xr:uid="{00000000-0005-0000-0000-0000709E0000}"/>
    <cellStyle name="Note 2 2 3 2 3 2" xfId="33932" xr:uid="{00000000-0005-0000-0000-0000719E0000}"/>
    <cellStyle name="Note 2 2 3 2 3 3" xfId="33933" xr:uid="{00000000-0005-0000-0000-0000729E0000}"/>
    <cellStyle name="Note 2 2 3 2 4" xfId="33934" xr:uid="{00000000-0005-0000-0000-0000739E0000}"/>
    <cellStyle name="Note 2 2 3 2 4 2" xfId="33935" xr:uid="{00000000-0005-0000-0000-0000749E0000}"/>
    <cellStyle name="Note 2 2 3 2 4 3" xfId="33936" xr:uid="{00000000-0005-0000-0000-0000759E0000}"/>
    <cellStyle name="Note 2 2 3 2 5" xfId="33937" xr:uid="{00000000-0005-0000-0000-0000769E0000}"/>
    <cellStyle name="Note 2 2 3 2 5 2" xfId="33938" xr:uid="{00000000-0005-0000-0000-0000779E0000}"/>
    <cellStyle name="Note 2 2 3 2 5 3" xfId="33939" xr:uid="{00000000-0005-0000-0000-0000789E0000}"/>
    <cellStyle name="Note 2 2 3 2 6" xfId="33940" xr:uid="{00000000-0005-0000-0000-0000799E0000}"/>
    <cellStyle name="Note 2 2 3 2 6 2" xfId="33941" xr:uid="{00000000-0005-0000-0000-00007A9E0000}"/>
    <cellStyle name="Note 2 2 3 2 6 3" xfId="33942" xr:uid="{00000000-0005-0000-0000-00007B9E0000}"/>
    <cellStyle name="Note 2 2 3 2 7" xfId="33943" xr:uid="{00000000-0005-0000-0000-00007C9E0000}"/>
    <cellStyle name="Note 2 2 3 2 7 2" xfId="33944" xr:uid="{00000000-0005-0000-0000-00007D9E0000}"/>
    <cellStyle name="Note 2 2 3 2 7 3" xfId="33945" xr:uid="{00000000-0005-0000-0000-00007E9E0000}"/>
    <cellStyle name="Note 2 2 3 2 8" xfId="44611" xr:uid="{00000000-0005-0000-0000-00007F9E0000}"/>
    <cellStyle name="Note 2 2 3 3" xfId="33946" xr:uid="{00000000-0005-0000-0000-0000809E0000}"/>
    <cellStyle name="Note 2 2 3 3 2" xfId="33947" xr:uid="{00000000-0005-0000-0000-0000819E0000}"/>
    <cellStyle name="Note 2 2 3 3 2 2" xfId="33948" xr:uid="{00000000-0005-0000-0000-0000829E0000}"/>
    <cellStyle name="Note 2 2 3 3 2 3" xfId="33949" xr:uid="{00000000-0005-0000-0000-0000839E0000}"/>
    <cellStyle name="Note 2 2 3 3 3" xfId="33950" xr:uid="{00000000-0005-0000-0000-0000849E0000}"/>
    <cellStyle name="Note 2 2 3 3 3 2" xfId="33951" xr:uid="{00000000-0005-0000-0000-0000859E0000}"/>
    <cellStyle name="Note 2 2 3 3 3 3" xfId="33952" xr:uid="{00000000-0005-0000-0000-0000869E0000}"/>
    <cellStyle name="Note 2 2 3 3 4" xfId="33953" xr:uid="{00000000-0005-0000-0000-0000879E0000}"/>
    <cellStyle name="Note 2 2 3 3 4 2" xfId="33954" xr:uid="{00000000-0005-0000-0000-0000889E0000}"/>
    <cellStyle name="Note 2 2 3 3 4 3" xfId="33955" xr:uid="{00000000-0005-0000-0000-0000899E0000}"/>
    <cellStyle name="Note 2 2 3 3 5" xfId="33956" xr:uid="{00000000-0005-0000-0000-00008A9E0000}"/>
    <cellStyle name="Note 2 2 3 3 5 2" xfId="33957" xr:uid="{00000000-0005-0000-0000-00008B9E0000}"/>
    <cellStyle name="Note 2 2 3 3 5 3" xfId="33958" xr:uid="{00000000-0005-0000-0000-00008C9E0000}"/>
    <cellStyle name="Note 2 2 3 3 6" xfId="33959" xr:uid="{00000000-0005-0000-0000-00008D9E0000}"/>
    <cellStyle name="Note 2 2 3 3 6 2" xfId="33960" xr:uid="{00000000-0005-0000-0000-00008E9E0000}"/>
    <cellStyle name="Note 2 2 3 3 6 3" xfId="33961" xr:uid="{00000000-0005-0000-0000-00008F9E0000}"/>
    <cellStyle name="Note 2 2 3 3 7" xfId="33962" xr:uid="{00000000-0005-0000-0000-0000909E0000}"/>
    <cellStyle name="Note 2 2 3 3 7 2" xfId="33963" xr:uid="{00000000-0005-0000-0000-0000919E0000}"/>
    <cellStyle name="Note 2 2 3 3 7 3" xfId="33964" xr:uid="{00000000-0005-0000-0000-0000929E0000}"/>
    <cellStyle name="Note 2 2 3 3 8" xfId="44612" xr:uid="{00000000-0005-0000-0000-0000939E0000}"/>
    <cellStyle name="Note 2 2 3 4" xfId="33965" xr:uid="{00000000-0005-0000-0000-0000949E0000}"/>
    <cellStyle name="Note 2 2 3 4 2" xfId="33966" xr:uid="{00000000-0005-0000-0000-0000959E0000}"/>
    <cellStyle name="Note 2 2 3 4 2 2" xfId="33967" xr:uid="{00000000-0005-0000-0000-0000969E0000}"/>
    <cellStyle name="Note 2 2 3 4 2 3" xfId="33968" xr:uid="{00000000-0005-0000-0000-0000979E0000}"/>
    <cellStyle name="Note 2 2 3 4 3" xfId="33969" xr:uid="{00000000-0005-0000-0000-0000989E0000}"/>
    <cellStyle name="Note 2 2 3 4 3 2" xfId="33970" xr:uid="{00000000-0005-0000-0000-0000999E0000}"/>
    <cellStyle name="Note 2 2 3 4 3 3" xfId="33971" xr:uid="{00000000-0005-0000-0000-00009A9E0000}"/>
    <cellStyle name="Note 2 2 3 4 4" xfId="33972" xr:uid="{00000000-0005-0000-0000-00009B9E0000}"/>
    <cellStyle name="Note 2 2 3 4 4 2" xfId="33973" xr:uid="{00000000-0005-0000-0000-00009C9E0000}"/>
    <cellStyle name="Note 2 2 3 4 4 3" xfId="33974" xr:uid="{00000000-0005-0000-0000-00009D9E0000}"/>
    <cellStyle name="Note 2 2 3 4 5" xfId="33975" xr:uid="{00000000-0005-0000-0000-00009E9E0000}"/>
    <cellStyle name="Note 2 2 3 4 5 2" xfId="33976" xr:uid="{00000000-0005-0000-0000-00009F9E0000}"/>
    <cellStyle name="Note 2 2 3 4 5 3" xfId="33977" xr:uid="{00000000-0005-0000-0000-0000A09E0000}"/>
    <cellStyle name="Note 2 2 3 4 6" xfId="33978" xr:uid="{00000000-0005-0000-0000-0000A19E0000}"/>
    <cellStyle name="Note 2 2 3 4 6 2" xfId="33979" xr:uid="{00000000-0005-0000-0000-0000A29E0000}"/>
    <cellStyle name="Note 2 2 3 4 6 3" xfId="33980" xr:uid="{00000000-0005-0000-0000-0000A39E0000}"/>
    <cellStyle name="Note 2 2 3 4 7" xfId="33981" xr:uid="{00000000-0005-0000-0000-0000A49E0000}"/>
    <cellStyle name="Note 2 2 3 4 7 2" xfId="33982" xr:uid="{00000000-0005-0000-0000-0000A59E0000}"/>
    <cellStyle name="Note 2 2 3 4 7 3" xfId="33983" xr:uid="{00000000-0005-0000-0000-0000A69E0000}"/>
    <cellStyle name="Note 2 2 3 4 8" xfId="44613" xr:uid="{00000000-0005-0000-0000-0000A79E0000}"/>
    <cellStyle name="Note 2 2 3 5" xfId="33984" xr:uid="{00000000-0005-0000-0000-0000A89E0000}"/>
    <cellStyle name="Note 2 2 3 5 2" xfId="33985" xr:uid="{00000000-0005-0000-0000-0000A99E0000}"/>
    <cellStyle name="Note 2 2 3 5 2 2" xfId="33986" xr:uid="{00000000-0005-0000-0000-0000AA9E0000}"/>
    <cellStyle name="Note 2 2 3 5 2 3" xfId="33987" xr:uid="{00000000-0005-0000-0000-0000AB9E0000}"/>
    <cellStyle name="Note 2 2 3 5 3" xfId="33988" xr:uid="{00000000-0005-0000-0000-0000AC9E0000}"/>
    <cellStyle name="Note 2 2 3 5 3 2" xfId="33989" xr:uid="{00000000-0005-0000-0000-0000AD9E0000}"/>
    <cellStyle name="Note 2 2 3 5 3 3" xfId="33990" xr:uid="{00000000-0005-0000-0000-0000AE9E0000}"/>
    <cellStyle name="Note 2 2 3 5 4" xfId="33991" xr:uid="{00000000-0005-0000-0000-0000AF9E0000}"/>
    <cellStyle name="Note 2 2 3 5 4 2" xfId="33992" xr:uid="{00000000-0005-0000-0000-0000B09E0000}"/>
    <cellStyle name="Note 2 2 3 5 4 3" xfId="33993" xr:uid="{00000000-0005-0000-0000-0000B19E0000}"/>
    <cellStyle name="Note 2 2 3 5 5" xfId="33994" xr:uid="{00000000-0005-0000-0000-0000B29E0000}"/>
    <cellStyle name="Note 2 2 3 5 5 2" xfId="33995" xr:uid="{00000000-0005-0000-0000-0000B39E0000}"/>
    <cellStyle name="Note 2 2 3 5 5 3" xfId="33996" xr:uid="{00000000-0005-0000-0000-0000B49E0000}"/>
    <cellStyle name="Note 2 2 3 5 6" xfId="33997" xr:uid="{00000000-0005-0000-0000-0000B59E0000}"/>
    <cellStyle name="Note 2 2 3 5 6 2" xfId="33998" xr:uid="{00000000-0005-0000-0000-0000B69E0000}"/>
    <cellStyle name="Note 2 2 3 5 6 3" xfId="33999" xr:uid="{00000000-0005-0000-0000-0000B79E0000}"/>
    <cellStyle name="Note 2 2 3 5 7" xfId="34000" xr:uid="{00000000-0005-0000-0000-0000B89E0000}"/>
    <cellStyle name="Note 2 2 3 5 7 2" xfId="34001" xr:uid="{00000000-0005-0000-0000-0000B99E0000}"/>
    <cellStyle name="Note 2 2 3 5 7 3" xfId="34002" xr:uid="{00000000-0005-0000-0000-0000BA9E0000}"/>
    <cellStyle name="Note 2 2 3 5 8" xfId="44614" xr:uid="{00000000-0005-0000-0000-0000BB9E0000}"/>
    <cellStyle name="Note 2 2 3 6" xfId="34003" xr:uid="{00000000-0005-0000-0000-0000BC9E0000}"/>
    <cellStyle name="Note 2 2 3 6 2" xfId="34004" xr:uid="{00000000-0005-0000-0000-0000BD9E0000}"/>
    <cellStyle name="Note 2 2 3 7" xfId="34005" xr:uid="{00000000-0005-0000-0000-0000BE9E0000}"/>
    <cellStyle name="Note 2 2 3 7 2" xfId="34006" xr:uid="{00000000-0005-0000-0000-0000BF9E0000}"/>
    <cellStyle name="Note 2 2 3 7 3" xfId="34007" xr:uid="{00000000-0005-0000-0000-0000C09E0000}"/>
    <cellStyle name="Note 2 2 3 8" xfId="34008" xr:uid="{00000000-0005-0000-0000-0000C19E0000}"/>
    <cellStyle name="Note 2 2 3 8 2" xfId="34009" xr:uid="{00000000-0005-0000-0000-0000C29E0000}"/>
    <cellStyle name="Note 2 2 3 8 3" xfId="34010" xr:uid="{00000000-0005-0000-0000-0000C39E0000}"/>
    <cellStyle name="Note 2 2 3 9" xfId="34011" xr:uid="{00000000-0005-0000-0000-0000C49E0000}"/>
    <cellStyle name="Note 2 2 3 9 2" xfId="34012" xr:uid="{00000000-0005-0000-0000-0000C59E0000}"/>
    <cellStyle name="Note 2 2 3 9 3" xfId="34013" xr:uid="{00000000-0005-0000-0000-0000C69E0000}"/>
    <cellStyle name="Note 2 2 4" xfId="34014" xr:uid="{00000000-0005-0000-0000-0000C79E0000}"/>
    <cellStyle name="Note 2 2 4 2" xfId="34015" xr:uid="{00000000-0005-0000-0000-0000C89E0000}"/>
    <cellStyle name="Note 2 2 4 2 2" xfId="34016" xr:uid="{00000000-0005-0000-0000-0000C99E0000}"/>
    <cellStyle name="Note 2 2 4 2 3" xfId="34017" xr:uid="{00000000-0005-0000-0000-0000CA9E0000}"/>
    <cellStyle name="Note 2 2 4 3" xfId="34018" xr:uid="{00000000-0005-0000-0000-0000CB9E0000}"/>
    <cellStyle name="Note 2 2 4 3 2" xfId="34019" xr:uid="{00000000-0005-0000-0000-0000CC9E0000}"/>
    <cellStyle name="Note 2 2 4 3 3" xfId="34020" xr:uid="{00000000-0005-0000-0000-0000CD9E0000}"/>
    <cellStyle name="Note 2 2 4 4" xfId="34021" xr:uid="{00000000-0005-0000-0000-0000CE9E0000}"/>
    <cellStyle name="Note 2 2 4 4 2" xfId="34022" xr:uid="{00000000-0005-0000-0000-0000CF9E0000}"/>
    <cellStyle name="Note 2 2 4 4 3" xfId="34023" xr:uid="{00000000-0005-0000-0000-0000D09E0000}"/>
    <cellStyle name="Note 2 2 4 5" xfId="34024" xr:uid="{00000000-0005-0000-0000-0000D19E0000}"/>
    <cellStyle name="Note 2 2 4 5 2" xfId="34025" xr:uid="{00000000-0005-0000-0000-0000D29E0000}"/>
    <cellStyle name="Note 2 2 4 5 3" xfId="34026" xr:uid="{00000000-0005-0000-0000-0000D39E0000}"/>
    <cellStyle name="Note 2 2 4 6" xfId="34027" xr:uid="{00000000-0005-0000-0000-0000D49E0000}"/>
    <cellStyle name="Note 2 2 4 6 2" xfId="34028" xr:uid="{00000000-0005-0000-0000-0000D59E0000}"/>
    <cellStyle name="Note 2 2 4 6 3" xfId="34029" xr:uid="{00000000-0005-0000-0000-0000D69E0000}"/>
    <cellStyle name="Note 2 2 4 7" xfId="34030" xr:uid="{00000000-0005-0000-0000-0000D79E0000}"/>
    <cellStyle name="Note 2 2 4 7 2" xfId="34031" xr:uid="{00000000-0005-0000-0000-0000D89E0000}"/>
    <cellStyle name="Note 2 2 4 7 3" xfId="34032" xr:uid="{00000000-0005-0000-0000-0000D99E0000}"/>
    <cellStyle name="Note 2 2 4 8" xfId="44615" xr:uid="{00000000-0005-0000-0000-0000DA9E0000}"/>
    <cellStyle name="Note 2 2 5" xfId="34033" xr:uid="{00000000-0005-0000-0000-0000DB9E0000}"/>
    <cellStyle name="Note 2 2 5 2" xfId="34034" xr:uid="{00000000-0005-0000-0000-0000DC9E0000}"/>
    <cellStyle name="Note 2 2 5 2 2" xfId="34035" xr:uid="{00000000-0005-0000-0000-0000DD9E0000}"/>
    <cellStyle name="Note 2 2 5 2 3" xfId="34036" xr:uid="{00000000-0005-0000-0000-0000DE9E0000}"/>
    <cellStyle name="Note 2 2 5 3" xfId="34037" xr:uid="{00000000-0005-0000-0000-0000DF9E0000}"/>
    <cellStyle name="Note 2 2 5 3 2" xfId="34038" xr:uid="{00000000-0005-0000-0000-0000E09E0000}"/>
    <cellStyle name="Note 2 2 5 3 3" xfId="34039" xr:uid="{00000000-0005-0000-0000-0000E19E0000}"/>
    <cellStyle name="Note 2 2 5 4" xfId="34040" xr:uid="{00000000-0005-0000-0000-0000E29E0000}"/>
    <cellStyle name="Note 2 2 5 4 2" xfId="34041" xr:uid="{00000000-0005-0000-0000-0000E39E0000}"/>
    <cellStyle name="Note 2 2 5 4 3" xfId="34042" xr:uid="{00000000-0005-0000-0000-0000E49E0000}"/>
    <cellStyle name="Note 2 2 5 5" xfId="34043" xr:uid="{00000000-0005-0000-0000-0000E59E0000}"/>
    <cellStyle name="Note 2 2 5 5 2" xfId="34044" xr:uid="{00000000-0005-0000-0000-0000E69E0000}"/>
    <cellStyle name="Note 2 2 5 5 3" xfId="34045" xr:uid="{00000000-0005-0000-0000-0000E79E0000}"/>
    <cellStyle name="Note 2 2 5 6" xfId="34046" xr:uid="{00000000-0005-0000-0000-0000E89E0000}"/>
    <cellStyle name="Note 2 2 5 6 2" xfId="34047" xr:uid="{00000000-0005-0000-0000-0000E99E0000}"/>
    <cellStyle name="Note 2 2 5 6 3" xfId="34048" xr:uid="{00000000-0005-0000-0000-0000EA9E0000}"/>
    <cellStyle name="Note 2 2 5 7" xfId="34049" xr:uid="{00000000-0005-0000-0000-0000EB9E0000}"/>
    <cellStyle name="Note 2 2 5 7 2" xfId="34050" xr:uid="{00000000-0005-0000-0000-0000EC9E0000}"/>
    <cellStyle name="Note 2 2 5 7 3" xfId="34051" xr:uid="{00000000-0005-0000-0000-0000ED9E0000}"/>
    <cellStyle name="Note 2 2 5 8" xfId="34052" xr:uid="{00000000-0005-0000-0000-0000EE9E0000}"/>
    <cellStyle name="Note 2 2 5 9" xfId="34053" xr:uid="{00000000-0005-0000-0000-0000EF9E0000}"/>
    <cellStyle name="Note 2 2 6" xfId="34054" xr:uid="{00000000-0005-0000-0000-0000F09E0000}"/>
    <cellStyle name="Note 2 3" xfId="552" xr:uid="{00000000-0005-0000-0000-0000F19E0000}"/>
    <cellStyle name="Note 2 3 2" xfId="34055" xr:uid="{00000000-0005-0000-0000-0000F29E0000}"/>
    <cellStyle name="Note 2 3 2 10" xfId="34056" xr:uid="{00000000-0005-0000-0000-0000F39E0000}"/>
    <cellStyle name="Note 2 3 2 10 2" xfId="34057" xr:uid="{00000000-0005-0000-0000-0000F49E0000}"/>
    <cellStyle name="Note 2 3 2 10 3" xfId="34058" xr:uid="{00000000-0005-0000-0000-0000F59E0000}"/>
    <cellStyle name="Note 2 3 2 11" xfId="34059" xr:uid="{00000000-0005-0000-0000-0000F69E0000}"/>
    <cellStyle name="Note 2 3 2 11 2" xfId="34060" xr:uid="{00000000-0005-0000-0000-0000F79E0000}"/>
    <cellStyle name="Note 2 3 2 11 3" xfId="34061" xr:uid="{00000000-0005-0000-0000-0000F89E0000}"/>
    <cellStyle name="Note 2 3 2 12" xfId="44616" xr:uid="{00000000-0005-0000-0000-0000F99E0000}"/>
    <cellStyle name="Note 2 3 2 2" xfId="34062" xr:uid="{00000000-0005-0000-0000-0000FA9E0000}"/>
    <cellStyle name="Note 2 3 2 2 2" xfId="34063" xr:uid="{00000000-0005-0000-0000-0000FB9E0000}"/>
    <cellStyle name="Note 2 3 2 2 2 2" xfId="34064" xr:uid="{00000000-0005-0000-0000-0000FC9E0000}"/>
    <cellStyle name="Note 2 3 2 2 2 3" xfId="34065" xr:uid="{00000000-0005-0000-0000-0000FD9E0000}"/>
    <cellStyle name="Note 2 3 2 2 3" xfId="34066" xr:uid="{00000000-0005-0000-0000-0000FE9E0000}"/>
    <cellStyle name="Note 2 3 2 2 3 2" xfId="34067" xr:uid="{00000000-0005-0000-0000-0000FF9E0000}"/>
    <cellStyle name="Note 2 3 2 2 3 3" xfId="34068" xr:uid="{00000000-0005-0000-0000-0000009F0000}"/>
    <cellStyle name="Note 2 3 2 2 4" xfId="34069" xr:uid="{00000000-0005-0000-0000-0000019F0000}"/>
    <cellStyle name="Note 2 3 2 2 4 2" xfId="34070" xr:uid="{00000000-0005-0000-0000-0000029F0000}"/>
    <cellStyle name="Note 2 3 2 2 4 3" xfId="34071" xr:uid="{00000000-0005-0000-0000-0000039F0000}"/>
    <cellStyle name="Note 2 3 2 2 5" xfId="34072" xr:uid="{00000000-0005-0000-0000-0000049F0000}"/>
    <cellStyle name="Note 2 3 2 2 5 2" xfId="34073" xr:uid="{00000000-0005-0000-0000-0000059F0000}"/>
    <cellStyle name="Note 2 3 2 2 5 3" xfId="34074" xr:uid="{00000000-0005-0000-0000-0000069F0000}"/>
    <cellStyle name="Note 2 3 2 2 6" xfId="34075" xr:uid="{00000000-0005-0000-0000-0000079F0000}"/>
    <cellStyle name="Note 2 3 2 2 6 2" xfId="34076" xr:uid="{00000000-0005-0000-0000-0000089F0000}"/>
    <cellStyle name="Note 2 3 2 2 6 3" xfId="34077" xr:uid="{00000000-0005-0000-0000-0000099F0000}"/>
    <cellStyle name="Note 2 3 2 2 7" xfId="34078" xr:uid="{00000000-0005-0000-0000-00000A9F0000}"/>
    <cellStyle name="Note 2 3 2 2 7 2" xfId="34079" xr:uid="{00000000-0005-0000-0000-00000B9F0000}"/>
    <cellStyle name="Note 2 3 2 2 7 3" xfId="34080" xr:uid="{00000000-0005-0000-0000-00000C9F0000}"/>
    <cellStyle name="Note 2 3 2 2 8" xfId="44617" xr:uid="{00000000-0005-0000-0000-00000D9F0000}"/>
    <cellStyle name="Note 2 3 2 3" xfId="34081" xr:uid="{00000000-0005-0000-0000-00000E9F0000}"/>
    <cellStyle name="Note 2 3 2 3 2" xfId="34082" xr:uid="{00000000-0005-0000-0000-00000F9F0000}"/>
    <cellStyle name="Note 2 3 2 3 2 2" xfId="34083" xr:uid="{00000000-0005-0000-0000-0000109F0000}"/>
    <cellStyle name="Note 2 3 2 3 2 3" xfId="34084" xr:uid="{00000000-0005-0000-0000-0000119F0000}"/>
    <cellStyle name="Note 2 3 2 3 3" xfId="34085" xr:uid="{00000000-0005-0000-0000-0000129F0000}"/>
    <cellStyle name="Note 2 3 2 3 3 2" xfId="34086" xr:uid="{00000000-0005-0000-0000-0000139F0000}"/>
    <cellStyle name="Note 2 3 2 3 3 3" xfId="34087" xr:uid="{00000000-0005-0000-0000-0000149F0000}"/>
    <cellStyle name="Note 2 3 2 3 4" xfId="34088" xr:uid="{00000000-0005-0000-0000-0000159F0000}"/>
    <cellStyle name="Note 2 3 2 3 4 2" xfId="34089" xr:uid="{00000000-0005-0000-0000-0000169F0000}"/>
    <cellStyle name="Note 2 3 2 3 4 3" xfId="34090" xr:uid="{00000000-0005-0000-0000-0000179F0000}"/>
    <cellStyle name="Note 2 3 2 3 5" xfId="34091" xr:uid="{00000000-0005-0000-0000-0000189F0000}"/>
    <cellStyle name="Note 2 3 2 3 5 2" xfId="34092" xr:uid="{00000000-0005-0000-0000-0000199F0000}"/>
    <cellStyle name="Note 2 3 2 3 5 3" xfId="34093" xr:uid="{00000000-0005-0000-0000-00001A9F0000}"/>
    <cellStyle name="Note 2 3 2 3 6" xfId="34094" xr:uid="{00000000-0005-0000-0000-00001B9F0000}"/>
    <cellStyle name="Note 2 3 2 3 6 2" xfId="34095" xr:uid="{00000000-0005-0000-0000-00001C9F0000}"/>
    <cellStyle name="Note 2 3 2 3 6 3" xfId="34096" xr:uid="{00000000-0005-0000-0000-00001D9F0000}"/>
    <cellStyle name="Note 2 3 2 3 7" xfId="34097" xr:uid="{00000000-0005-0000-0000-00001E9F0000}"/>
    <cellStyle name="Note 2 3 2 3 7 2" xfId="34098" xr:uid="{00000000-0005-0000-0000-00001F9F0000}"/>
    <cellStyle name="Note 2 3 2 3 7 3" xfId="34099" xr:uid="{00000000-0005-0000-0000-0000209F0000}"/>
    <cellStyle name="Note 2 3 2 3 8" xfId="44618" xr:uid="{00000000-0005-0000-0000-0000219F0000}"/>
    <cellStyle name="Note 2 3 2 4" xfId="34100" xr:uid="{00000000-0005-0000-0000-0000229F0000}"/>
    <cellStyle name="Note 2 3 2 4 2" xfId="34101" xr:uid="{00000000-0005-0000-0000-0000239F0000}"/>
    <cellStyle name="Note 2 3 2 4 2 2" xfId="34102" xr:uid="{00000000-0005-0000-0000-0000249F0000}"/>
    <cellStyle name="Note 2 3 2 4 2 3" xfId="34103" xr:uid="{00000000-0005-0000-0000-0000259F0000}"/>
    <cellStyle name="Note 2 3 2 4 3" xfId="34104" xr:uid="{00000000-0005-0000-0000-0000269F0000}"/>
    <cellStyle name="Note 2 3 2 4 3 2" xfId="34105" xr:uid="{00000000-0005-0000-0000-0000279F0000}"/>
    <cellStyle name="Note 2 3 2 4 3 3" xfId="34106" xr:uid="{00000000-0005-0000-0000-0000289F0000}"/>
    <cellStyle name="Note 2 3 2 4 4" xfId="34107" xr:uid="{00000000-0005-0000-0000-0000299F0000}"/>
    <cellStyle name="Note 2 3 2 4 4 2" xfId="34108" xr:uid="{00000000-0005-0000-0000-00002A9F0000}"/>
    <cellStyle name="Note 2 3 2 4 4 3" xfId="34109" xr:uid="{00000000-0005-0000-0000-00002B9F0000}"/>
    <cellStyle name="Note 2 3 2 4 5" xfId="34110" xr:uid="{00000000-0005-0000-0000-00002C9F0000}"/>
    <cellStyle name="Note 2 3 2 4 5 2" xfId="34111" xr:uid="{00000000-0005-0000-0000-00002D9F0000}"/>
    <cellStyle name="Note 2 3 2 4 5 3" xfId="34112" xr:uid="{00000000-0005-0000-0000-00002E9F0000}"/>
    <cellStyle name="Note 2 3 2 4 6" xfId="34113" xr:uid="{00000000-0005-0000-0000-00002F9F0000}"/>
    <cellStyle name="Note 2 3 2 4 6 2" xfId="34114" xr:uid="{00000000-0005-0000-0000-0000309F0000}"/>
    <cellStyle name="Note 2 3 2 4 6 3" xfId="34115" xr:uid="{00000000-0005-0000-0000-0000319F0000}"/>
    <cellStyle name="Note 2 3 2 4 7" xfId="34116" xr:uid="{00000000-0005-0000-0000-0000329F0000}"/>
    <cellStyle name="Note 2 3 2 4 7 2" xfId="34117" xr:uid="{00000000-0005-0000-0000-0000339F0000}"/>
    <cellStyle name="Note 2 3 2 4 7 3" xfId="34118" xr:uid="{00000000-0005-0000-0000-0000349F0000}"/>
    <cellStyle name="Note 2 3 2 4 8" xfId="44619" xr:uid="{00000000-0005-0000-0000-0000359F0000}"/>
    <cellStyle name="Note 2 3 2 5" xfId="34119" xr:uid="{00000000-0005-0000-0000-0000369F0000}"/>
    <cellStyle name="Note 2 3 2 5 2" xfId="34120" xr:uid="{00000000-0005-0000-0000-0000379F0000}"/>
    <cellStyle name="Note 2 3 2 5 2 2" xfId="34121" xr:uid="{00000000-0005-0000-0000-0000389F0000}"/>
    <cellStyle name="Note 2 3 2 5 2 3" xfId="34122" xr:uid="{00000000-0005-0000-0000-0000399F0000}"/>
    <cellStyle name="Note 2 3 2 5 3" xfId="34123" xr:uid="{00000000-0005-0000-0000-00003A9F0000}"/>
    <cellStyle name="Note 2 3 2 5 3 2" xfId="34124" xr:uid="{00000000-0005-0000-0000-00003B9F0000}"/>
    <cellStyle name="Note 2 3 2 5 3 3" xfId="34125" xr:uid="{00000000-0005-0000-0000-00003C9F0000}"/>
    <cellStyle name="Note 2 3 2 5 4" xfId="34126" xr:uid="{00000000-0005-0000-0000-00003D9F0000}"/>
    <cellStyle name="Note 2 3 2 5 4 2" xfId="34127" xr:uid="{00000000-0005-0000-0000-00003E9F0000}"/>
    <cellStyle name="Note 2 3 2 5 4 3" xfId="34128" xr:uid="{00000000-0005-0000-0000-00003F9F0000}"/>
    <cellStyle name="Note 2 3 2 5 5" xfId="34129" xr:uid="{00000000-0005-0000-0000-0000409F0000}"/>
    <cellStyle name="Note 2 3 2 5 5 2" xfId="34130" xr:uid="{00000000-0005-0000-0000-0000419F0000}"/>
    <cellStyle name="Note 2 3 2 5 5 3" xfId="34131" xr:uid="{00000000-0005-0000-0000-0000429F0000}"/>
    <cellStyle name="Note 2 3 2 5 6" xfId="34132" xr:uid="{00000000-0005-0000-0000-0000439F0000}"/>
    <cellStyle name="Note 2 3 2 5 6 2" xfId="34133" xr:uid="{00000000-0005-0000-0000-0000449F0000}"/>
    <cellStyle name="Note 2 3 2 5 6 3" xfId="34134" xr:uid="{00000000-0005-0000-0000-0000459F0000}"/>
    <cellStyle name="Note 2 3 2 5 7" xfId="34135" xr:uid="{00000000-0005-0000-0000-0000469F0000}"/>
    <cellStyle name="Note 2 3 2 5 7 2" xfId="34136" xr:uid="{00000000-0005-0000-0000-0000479F0000}"/>
    <cellStyle name="Note 2 3 2 5 7 3" xfId="34137" xr:uid="{00000000-0005-0000-0000-0000489F0000}"/>
    <cellStyle name="Note 2 3 2 5 8" xfId="44620" xr:uid="{00000000-0005-0000-0000-0000499F0000}"/>
    <cellStyle name="Note 2 3 2 6" xfId="34138" xr:uid="{00000000-0005-0000-0000-00004A9F0000}"/>
    <cellStyle name="Note 2 3 2 6 2" xfId="34139" xr:uid="{00000000-0005-0000-0000-00004B9F0000}"/>
    <cellStyle name="Note 2 3 2 7" xfId="34140" xr:uid="{00000000-0005-0000-0000-00004C9F0000}"/>
    <cellStyle name="Note 2 3 2 7 2" xfId="34141" xr:uid="{00000000-0005-0000-0000-00004D9F0000}"/>
    <cellStyle name="Note 2 3 2 7 3" xfId="34142" xr:uid="{00000000-0005-0000-0000-00004E9F0000}"/>
    <cellStyle name="Note 2 3 2 8" xfId="34143" xr:uid="{00000000-0005-0000-0000-00004F9F0000}"/>
    <cellStyle name="Note 2 3 2 8 2" xfId="34144" xr:uid="{00000000-0005-0000-0000-0000509F0000}"/>
    <cellStyle name="Note 2 3 2 8 3" xfId="34145" xr:uid="{00000000-0005-0000-0000-0000519F0000}"/>
    <cellStyle name="Note 2 3 2 9" xfId="34146" xr:uid="{00000000-0005-0000-0000-0000529F0000}"/>
    <cellStyle name="Note 2 3 2 9 2" xfId="34147" xr:uid="{00000000-0005-0000-0000-0000539F0000}"/>
    <cellStyle name="Note 2 3 2 9 3" xfId="34148" xr:uid="{00000000-0005-0000-0000-0000549F0000}"/>
    <cellStyle name="Note 2 3 3" xfId="34149" xr:uid="{00000000-0005-0000-0000-0000559F0000}"/>
    <cellStyle name="Note 2 3 3 2" xfId="34150" xr:uid="{00000000-0005-0000-0000-0000569F0000}"/>
    <cellStyle name="Note 2 3 3 2 2" xfId="34151" xr:uid="{00000000-0005-0000-0000-0000579F0000}"/>
    <cellStyle name="Note 2 3 3 2 3" xfId="34152" xr:uid="{00000000-0005-0000-0000-0000589F0000}"/>
    <cellStyle name="Note 2 3 3 3" xfId="34153" xr:uid="{00000000-0005-0000-0000-0000599F0000}"/>
    <cellStyle name="Note 2 3 3 3 2" xfId="34154" xr:uid="{00000000-0005-0000-0000-00005A9F0000}"/>
    <cellStyle name="Note 2 3 3 3 3" xfId="34155" xr:uid="{00000000-0005-0000-0000-00005B9F0000}"/>
    <cellStyle name="Note 2 3 3 4" xfId="34156" xr:uid="{00000000-0005-0000-0000-00005C9F0000}"/>
    <cellStyle name="Note 2 3 3 4 2" xfId="34157" xr:uid="{00000000-0005-0000-0000-00005D9F0000}"/>
    <cellStyle name="Note 2 3 3 4 3" xfId="34158" xr:uid="{00000000-0005-0000-0000-00005E9F0000}"/>
    <cellStyle name="Note 2 3 3 5" xfId="34159" xr:uid="{00000000-0005-0000-0000-00005F9F0000}"/>
    <cellStyle name="Note 2 3 3 5 2" xfId="34160" xr:uid="{00000000-0005-0000-0000-0000609F0000}"/>
    <cellStyle name="Note 2 3 3 5 3" xfId="34161" xr:uid="{00000000-0005-0000-0000-0000619F0000}"/>
    <cellStyle name="Note 2 3 3 6" xfId="34162" xr:uid="{00000000-0005-0000-0000-0000629F0000}"/>
    <cellStyle name="Note 2 3 3 6 2" xfId="34163" xr:uid="{00000000-0005-0000-0000-0000639F0000}"/>
    <cellStyle name="Note 2 3 3 6 3" xfId="34164" xr:uid="{00000000-0005-0000-0000-0000649F0000}"/>
    <cellStyle name="Note 2 3 3 7" xfId="34165" xr:uid="{00000000-0005-0000-0000-0000659F0000}"/>
    <cellStyle name="Note 2 3 3 7 2" xfId="34166" xr:uid="{00000000-0005-0000-0000-0000669F0000}"/>
    <cellStyle name="Note 2 3 3 7 3" xfId="34167" xr:uid="{00000000-0005-0000-0000-0000679F0000}"/>
    <cellStyle name="Note 2 3 3 8" xfId="44621" xr:uid="{00000000-0005-0000-0000-0000689F0000}"/>
    <cellStyle name="Note 2 3 4" xfId="34168" xr:uid="{00000000-0005-0000-0000-0000699F0000}"/>
    <cellStyle name="Note 2 3 4 2" xfId="34169" xr:uid="{00000000-0005-0000-0000-00006A9F0000}"/>
    <cellStyle name="Note 2 3 4 3" xfId="34170" xr:uid="{00000000-0005-0000-0000-00006B9F0000}"/>
    <cellStyle name="Note 2 3 5" xfId="34171" xr:uid="{00000000-0005-0000-0000-00006C9F0000}"/>
    <cellStyle name="Note 2 3 5 2" xfId="34172" xr:uid="{00000000-0005-0000-0000-00006D9F0000}"/>
    <cellStyle name="Note 2 3 5 3" xfId="34173" xr:uid="{00000000-0005-0000-0000-00006E9F0000}"/>
    <cellStyle name="Note 2 3 6" xfId="34174" xr:uid="{00000000-0005-0000-0000-00006F9F0000}"/>
    <cellStyle name="Note 2 3 6 2" xfId="34175" xr:uid="{00000000-0005-0000-0000-0000709F0000}"/>
    <cellStyle name="Note 2 3 6 3" xfId="34176" xr:uid="{00000000-0005-0000-0000-0000719F0000}"/>
    <cellStyle name="Note 2 3 7" xfId="44622" xr:uid="{00000000-0005-0000-0000-0000729F0000}"/>
    <cellStyle name="Note 2 4" xfId="2259" xr:uid="{00000000-0005-0000-0000-0000739F0000}"/>
    <cellStyle name="Note 2 4 2" xfId="34177" xr:uid="{00000000-0005-0000-0000-0000749F0000}"/>
    <cellStyle name="Note 2 4 2 10" xfId="34178" xr:uid="{00000000-0005-0000-0000-0000759F0000}"/>
    <cellStyle name="Note 2 4 2 10 2" xfId="34179" xr:uid="{00000000-0005-0000-0000-0000769F0000}"/>
    <cellStyle name="Note 2 4 2 10 3" xfId="34180" xr:uid="{00000000-0005-0000-0000-0000779F0000}"/>
    <cellStyle name="Note 2 4 2 11" xfId="34181" xr:uid="{00000000-0005-0000-0000-0000789F0000}"/>
    <cellStyle name="Note 2 4 2 11 2" xfId="34182" xr:uid="{00000000-0005-0000-0000-0000799F0000}"/>
    <cellStyle name="Note 2 4 2 11 3" xfId="34183" xr:uid="{00000000-0005-0000-0000-00007A9F0000}"/>
    <cellStyle name="Note 2 4 2 12" xfId="44623" xr:uid="{00000000-0005-0000-0000-00007B9F0000}"/>
    <cellStyle name="Note 2 4 2 2" xfId="34184" xr:uid="{00000000-0005-0000-0000-00007C9F0000}"/>
    <cellStyle name="Note 2 4 2 2 2" xfId="34185" xr:uid="{00000000-0005-0000-0000-00007D9F0000}"/>
    <cellStyle name="Note 2 4 2 2 2 2" xfId="34186" xr:uid="{00000000-0005-0000-0000-00007E9F0000}"/>
    <cellStyle name="Note 2 4 2 2 2 3" xfId="34187" xr:uid="{00000000-0005-0000-0000-00007F9F0000}"/>
    <cellStyle name="Note 2 4 2 2 3" xfId="34188" xr:uid="{00000000-0005-0000-0000-0000809F0000}"/>
    <cellStyle name="Note 2 4 2 2 3 2" xfId="34189" xr:uid="{00000000-0005-0000-0000-0000819F0000}"/>
    <cellStyle name="Note 2 4 2 2 3 3" xfId="34190" xr:uid="{00000000-0005-0000-0000-0000829F0000}"/>
    <cellStyle name="Note 2 4 2 2 4" xfId="34191" xr:uid="{00000000-0005-0000-0000-0000839F0000}"/>
    <cellStyle name="Note 2 4 2 2 4 2" xfId="34192" xr:uid="{00000000-0005-0000-0000-0000849F0000}"/>
    <cellStyle name="Note 2 4 2 2 4 3" xfId="34193" xr:uid="{00000000-0005-0000-0000-0000859F0000}"/>
    <cellStyle name="Note 2 4 2 2 5" xfId="34194" xr:uid="{00000000-0005-0000-0000-0000869F0000}"/>
    <cellStyle name="Note 2 4 2 2 5 2" xfId="34195" xr:uid="{00000000-0005-0000-0000-0000879F0000}"/>
    <cellStyle name="Note 2 4 2 2 5 3" xfId="34196" xr:uid="{00000000-0005-0000-0000-0000889F0000}"/>
    <cellStyle name="Note 2 4 2 2 6" xfId="34197" xr:uid="{00000000-0005-0000-0000-0000899F0000}"/>
    <cellStyle name="Note 2 4 2 2 6 2" xfId="34198" xr:uid="{00000000-0005-0000-0000-00008A9F0000}"/>
    <cellStyle name="Note 2 4 2 2 6 3" xfId="34199" xr:uid="{00000000-0005-0000-0000-00008B9F0000}"/>
    <cellStyle name="Note 2 4 2 2 7" xfId="34200" xr:uid="{00000000-0005-0000-0000-00008C9F0000}"/>
    <cellStyle name="Note 2 4 2 2 7 2" xfId="34201" xr:uid="{00000000-0005-0000-0000-00008D9F0000}"/>
    <cellStyle name="Note 2 4 2 2 7 3" xfId="34202" xr:uid="{00000000-0005-0000-0000-00008E9F0000}"/>
    <cellStyle name="Note 2 4 2 2 8" xfId="44624" xr:uid="{00000000-0005-0000-0000-00008F9F0000}"/>
    <cellStyle name="Note 2 4 2 3" xfId="34203" xr:uid="{00000000-0005-0000-0000-0000909F0000}"/>
    <cellStyle name="Note 2 4 2 3 2" xfId="34204" xr:uid="{00000000-0005-0000-0000-0000919F0000}"/>
    <cellStyle name="Note 2 4 2 3 2 2" xfId="34205" xr:uid="{00000000-0005-0000-0000-0000929F0000}"/>
    <cellStyle name="Note 2 4 2 3 2 3" xfId="34206" xr:uid="{00000000-0005-0000-0000-0000939F0000}"/>
    <cellStyle name="Note 2 4 2 3 3" xfId="34207" xr:uid="{00000000-0005-0000-0000-0000949F0000}"/>
    <cellStyle name="Note 2 4 2 3 3 2" xfId="34208" xr:uid="{00000000-0005-0000-0000-0000959F0000}"/>
    <cellStyle name="Note 2 4 2 3 3 3" xfId="34209" xr:uid="{00000000-0005-0000-0000-0000969F0000}"/>
    <cellStyle name="Note 2 4 2 3 4" xfId="34210" xr:uid="{00000000-0005-0000-0000-0000979F0000}"/>
    <cellStyle name="Note 2 4 2 3 4 2" xfId="34211" xr:uid="{00000000-0005-0000-0000-0000989F0000}"/>
    <cellStyle name="Note 2 4 2 3 4 3" xfId="34212" xr:uid="{00000000-0005-0000-0000-0000999F0000}"/>
    <cellStyle name="Note 2 4 2 3 5" xfId="34213" xr:uid="{00000000-0005-0000-0000-00009A9F0000}"/>
    <cellStyle name="Note 2 4 2 3 5 2" xfId="34214" xr:uid="{00000000-0005-0000-0000-00009B9F0000}"/>
    <cellStyle name="Note 2 4 2 3 5 3" xfId="34215" xr:uid="{00000000-0005-0000-0000-00009C9F0000}"/>
    <cellStyle name="Note 2 4 2 3 6" xfId="34216" xr:uid="{00000000-0005-0000-0000-00009D9F0000}"/>
    <cellStyle name="Note 2 4 2 3 6 2" xfId="34217" xr:uid="{00000000-0005-0000-0000-00009E9F0000}"/>
    <cellStyle name="Note 2 4 2 3 6 3" xfId="34218" xr:uid="{00000000-0005-0000-0000-00009F9F0000}"/>
    <cellStyle name="Note 2 4 2 3 7" xfId="34219" xr:uid="{00000000-0005-0000-0000-0000A09F0000}"/>
    <cellStyle name="Note 2 4 2 3 7 2" xfId="34220" xr:uid="{00000000-0005-0000-0000-0000A19F0000}"/>
    <cellStyle name="Note 2 4 2 3 7 3" xfId="34221" xr:uid="{00000000-0005-0000-0000-0000A29F0000}"/>
    <cellStyle name="Note 2 4 2 3 8" xfId="44625" xr:uid="{00000000-0005-0000-0000-0000A39F0000}"/>
    <cellStyle name="Note 2 4 2 4" xfId="34222" xr:uid="{00000000-0005-0000-0000-0000A49F0000}"/>
    <cellStyle name="Note 2 4 2 4 2" xfId="34223" xr:uid="{00000000-0005-0000-0000-0000A59F0000}"/>
    <cellStyle name="Note 2 4 2 4 2 2" xfId="34224" xr:uid="{00000000-0005-0000-0000-0000A69F0000}"/>
    <cellStyle name="Note 2 4 2 4 2 3" xfId="34225" xr:uid="{00000000-0005-0000-0000-0000A79F0000}"/>
    <cellStyle name="Note 2 4 2 4 3" xfId="34226" xr:uid="{00000000-0005-0000-0000-0000A89F0000}"/>
    <cellStyle name="Note 2 4 2 4 3 2" xfId="34227" xr:uid="{00000000-0005-0000-0000-0000A99F0000}"/>
    <cellStyle name="Note 2 4 2 4 3 3" xfId="34228" xr:uid="{00000000-0005-0000-0000-0000AA9F0000}"/>
    <cellStyle name="Note 2 4 2 4 4" xfId="34229" xr:uid="{00000000-0005-0000-0000-0000AB9F0000}"/>
    <cellStyle name="Note 2 4 2 4 4 2" xfId="34230" xr:uid="{00000000-0005-0000-0000-0000AC9F0000}"/>
    <cellStyle name="Note 2 4 2 4 4 3" xfId="34231" xr:uid="{00000000-0005-0000-0000-0000AD9F0000}"/>
    <cellStyle name="Note 2 4 2 4 5" xfId="34232" xr:uid="{00000000-0005-0000-0000-0000AE9F0000}"/>
    <cellStyle name="Note 2 4 2 4 5 2" xfId="34233" xr:uid="{00000000-0005-0000-0000-0000AF9F0000}"/>
    <cellStyle name="Note 2 4 2 4 5 3" xfId="34234" xr:uid="{00000000-0005-0000-0000-0000B09F0000}"/>
    <cellStyle name="Note 2 4 2 4 6" xfId="34235" xr:uid="{00000000-0005-0000-0000-0000B19F0000}"/>
    <cellStyle name="Note 2 4 2 4 6 2" xfId="34236" xr:uid="{00000000-0005-0000-0000-0000B29F0000}"/>
    <cellStyle name="Note 2 4 2 4 6 3" xfId="34237" xr:uid="{00000000-0005-0000-0000-0000B39F0000}"/>
    <cellStyle name="Note 2 4 2 4 7" xfId="34238" xr:uid="{00000000-0005-0000-0000-0000B49F0000}"/>
    <cellStyle name="Note 2 4 2 4 7 2" xfId="34239" xr:uid="{00000000-0005-0000-0000-0000B59F0000}"/>
    <cellStyle name="Note 2 4 2 4 7 3" xfId="34240" xr:uid="{00000000-0005-0000-0000-0000B69F0000}"/>
    <cellStyle name="Note 2 4 2 4 8" xfId="44626" xr:uid="{00000000-0005-0000-0000-0000B79F0000}"/>
    <cellStyle name="Note 2 4 2 5" xfId="34241" xr:uid="{00000000-0005-0000-0000-0000B89F0000}"/>
    <cellStyle name="Note 2 4 2 5 2" xfId="34242" xr:uid="{00000000-0005-0000-0000-0000B99F0000}"/>
    <cellStyle name="Note 2 4 2 5 2 2" xfId="34243" xr:uid="{00000000-0005-0000-0000-0000BA9F0000}"/>
    <cellStyle name="Note 2 4 2 5 2 3" xfId="34244" xr:uid="{00000000-0005-0000-0000-0000BB9F0000}"/>
    <cellStyle name="Note 2 4 2 5 3" xfId="34245" xr:uid="{00000000-0005-0000-0000-0000BC9F0000}"/>
    <cellStyle name="Note 2 4 2 5 3 2" xfId="34246" xr:uid="{00000000-0005-0000-0000-0000BD9F0000}"/>
    <cellStyle name="Note 2 4 2 5 3 3" xfId="34247" xr:uid="{00000000-0005-0000-0000-0000BE9F0000}"/>
    <cellStyle name="Note 2 4 2 5 4" xfId="34248" xr:uid="{00000000-0005-0000-0000-0000BF9F0000}"/>
    <cellStyle name="Note 2 4 2 5 4 2" xfId="34249" xr:uid="{00000000-0005-0000-0000-0000C09F0000}"/>
    <cellStyle name="Note 2 4 2 5 4 3" xfId="34250" xr:uid="{00000000-0005-0000-0000-0000C19F0000}"/>
    <cellStyle name="Note 2 4 2 5 5" xfId="34251" xr:uid="{00000000-0005-0000-0000-0000C29F0000}"/>
    <cellStyle name="Note 2 4 2 5 5 2" xfId="34252" xr:uid="{00000000-0005-0000-0000-0000C39F0000}"/>
    <cellStyle name="Note 2 4 2 5 5 3" xfId="34253" xr:uid="{00000000-0005-0000-0000-0000C49F0000}"/>
    <cellStyle name="Note 2 4 2 5 6" xfId="34254" xr:uid="{00000000-0005-0000-0000-0000C59F0000}"/>
    <cellStyle name="Note 2 4 2 5 6 2" xfId="34255" xr:uid="{00000000-0005-0000-0000-0000C69F0000}"/>
    <cellStyle name="Note 2 4 2 5 6 3" xfId="34256" xr:uid="{00000000-0005-0000-0000-0000C79F0000}"/>
    <cellStyle name="Note 2 4 2 5 7" xfId="34257" xr:uid="{00000000-0005-0000-0000-0000C89F0000}"/>
    <cellStyle name="Note 2 4 2 5 7 2" xfId="34258" xr:uid="{00000000-0005-0000-0000-0000C99F0000}"/>
    <cellStyle name="Note 2 4 2 5 7 3" xfId="34259" xr:uid="{00000000-0005-0000-0000-0000CA9F0000}"/>
    <cellStyle name="Note 2 4 2 5 8" xfId="44627" xr:uid="{00000000-0005-0000-0000-0000CB9F0000}"/>
    <cellStyle name="Note 2 4 2 6" xfId="34260" xr:uid="{00000000-0005-0000-0000-0000CC9F0000}"/>
    <cellStyle name="Note 2 4 2 6 2" xfId="34261" xr:uid="{00000000-0005-0000-0000-0000CD9F0000}"/>
    <cellStyle name="Note 2 4 2 7" xfId="34262" xr:uid="{00000000-0005-0000-0000-0000CE9F0000}"/>
    <cellStyle name="Note 2 4 2 7 2" xfId="34263" xr:uid="{00000000-0005-0000-0000-0000CF9F0000}"/>
    <cellStyle name="Note 2 4 2 7 3" xfId="34264" xr:uid="{00000000-0005-0000-0000-0000D09F0000}"/>
    <cellStyle name="Note 2 4 2 8" xfId="34265" xr:uid="{00000000-0005-0000-0000-0000D19F0000}"/>
    <cellStyle name="Note 2 4 2 8 2" xfId="34266" xr:uid="{00000000-0005-0000-0000-0000D29F0000}"/>
    <cellStyle name="Note 2 4 2 8 3" xfId="34267" xr:uid="{00000000-0005-0000-0000-0000D39F0000}"/>
    <cellStyle name="Note 2 4 2 9" xfId="34268" xr:uid="{00000000-0005-0000-0000-0000D49F0000}"/>
    <cellStyle name="Note 2 4 2 9 2" xfId="34269" xr:uid="{00000000-0005-0000-0000-0000D59F0000}"/>
    <cellStyle name="Note 2 4 2 9 3" xfId="34270" xr:uid="{00000000-0005-0000-0000-0000D69F0000}"/>
    <cellStyle name="Note 2 4 3" xfId="34271" xr:uid="{00000000-0005-0000-0000-0000D79F0000}"/>
    <cellStyle name="Note 2 4 3 2" xfId="34272" xr:uid="{00000000-0005-0000-0000-0000D89F0000}"/>
    <cellStyle name="Note 2 4 3 2 2" xfId="34273" xr:uid="{00000000-0005-0000-0000-0000D99F0000}"/>
    <cellStyle name="Note 2 4 3 2 3" xfId="34274" xr:uid="{00000000-0005-0000-0000-0000DA9F0000}"/>
    <cellStyle name="Note 2 4 3 3" xfId="34275" xr:uid="{00000000-0005-0000-0000-0000DB9F0000}"/>
    <cellStyle name="Note 2 4 3 3 2" xfId="34276" xr:uid="{00000000-0005-0000-0000-0000DC9F0000}"/>
    <cellStyle name="Note 2 4 3 3 3" xfId="34277" xr:uid="{00000000-0005-0000-0000-0000DD9F0000}"/>
    <cellStyle name="Note 2 4 3 4" xfId="34278" xr:uid="{00000000-0005-0000-0000-0000DE9F0000}"/>
    <cellStyle name="Note 2 4 3 4 2" xfId="34279" xr:uid="{00000000-0005-0000-0000-0000DF9F0000}"/>
    <cellStyle name="Note 2 4 3 4 3" xfId="34280" xr:uid="{00000000-0005-0000-0000-0000E09F0000}"/>
    <cellStyle name="Note 2 4 3 5" xfId="34281" xr:uid="{00000000-0005-0000-0000-0000E19F0000}"/>
    <cellStyle name="Note 2 4 3 5 2" xfId="34282" xr:uid="{00000000-0005-0000-0000-0000E29F0000}"/>
    <cellStyle name="Note 2 4 3 5 3" xfId="34283" xr:uid="{00000000-0005-0000-0000-0000E39F0000}"/>
    <cellStyle name="Note 2 4 3 6" xfId="34284" xr:uid="{00000000-0005-0000-0000-0000E49F0000}"/>
    <cellStyle name="Note 2 4 3 6 2" xfId="34285" xr:uid="{00000000-0005-0000-0000-0000E59F0000}"/>
    <cellStyle name="Note 2 4 3 6 3" xfId="34286" xr:uid="{00000000-0005-0000-0000-0000E69F0000}"/>
    <cellStyle name="Note 2 4 3 7" xfId="34287" xr:uid="{00000000-0005-0000-0000-0000E79F0000}"/>
    <cellStyle name="Note 2 4 3 7 2" xfId="34288" xr:uid="{00000000-0005-0000-0000-0000E89F0000}"/>
    <cellStyle name="Note 2 4 3 7 3" xfId="34289" xr:uid="{00000000-0005-0000-0000-0000E99F0000}"/>
    <cellStyle name="Note 2 4 3 8" xfId="44628" xr:uid="{00000000-0005-0000-0000-0000EA9F0000}"/>
    <cellStyle name="Note 2 4 4" xfId="34290" xr:uid="{00000000-0005-0000-0000-0000EB9F0000}"/>
    <cellStyle name="Note 2 4 4 2" xfId="34291" xr:uid="{00000000-0005-0000-0000-0000EC9F0000}"/>
    <cellStyle name="Note 2 4 4 3" xfId="34292" xr:uid="{00000000-0005-0000-0000-0000ED9F0000}"/>
    <cellStyle name="Note 2 4 5" xfId="34293" xr:uid="{00000000-0005-0000-0000-0000EE9F0000}"/>
    <cellStyle name="Note 2 4 5 2" xfId="34294" xr:uid="{00000000-0005-0000-0000-0000EF9F0000}"/>
    <cellStyle name="Note 2 4 5 3" xfId="34295" xr:uid="{00000000-0005-0000-0000-0000F09F0000}"/>
    <cellStyle name="Note 2 4 6" xfId="34296" xr:uid="{00000000-0005-0000-0000-0000F19F0000}"/>
    <cellStyle name="Note 2 4 6 2" xfId="34297" xr:uid="{00000000-0005-0000-0000-0000F29F0000}"/>
    <cellStyle name="Note 2 4 6 3" xfId="34298" xr:uid="{00000000-0005-0000-0000-0000F39F0000}"/>
    <cellStyle name="Note 2 4 7" xfId="34299" xr:uid="{00000000-0005-0000-0000-0000F49F0000}"/>
    <cellStyle name="Note 2 5" xfId="2595" xr:uid="{00000000-0005-0000-0000-0000F59F0000}"/>
    <cellStyle name="Note 2 5 10" xfId="34300" xr:uid="{00000000-0005-0000-0000-0000F69F0000}"/>
    <cellStyle name="Note 2 5 10 2" xfId="34301" xr:uid="{00000000-0005-0000-0000-0000F79F0000}"/>
    <cellStyle name="Note 2 5 10 3" xfId="34302" xr:uid="{00000000-0005-0000-0000-0000F89F0000}"/>
    <cellStyle name="Note 2 5 11" xfId="34303" xr:uid="{00000000-0005-0000-0000-0000F99F0000}"/>
    <cellStyle name="Note 2 5 11 2" xfId="34304" xr:uid="{00000000-0005-0000-0000-0000FA9F0000}"/>
    <cellStyle name="Note 2 5 11 3" xfId="34305" xr:uid="{00000000-0005-0000-0000-0000FB9F0000}"/>
    <cellStyle name="Note 2 5 12" xfId="34306" xr:uid="{00000000-0005-0000-0000-0000FC9F0000}"/>
    <cellStyle name="Note 2 5 13" xfId="34307" xr:uid="{00000000-0005-0000-0000-0000FD9F0000}"/>
    <cellStyle name="Note 2 5 2" xfId="34308" xr:uid="{00000000-0005-0000-0000-0000FE9F0000}"/>
    <cellStyle name="Note 2 5 2 2" xfId="34309" xr:uid="{00000000-0005-0000-0000-0000FF9F0000}"/>
    <cellStyle name="Note 2 5 2 2 2" xfId="34310" xr:uid="{00000000-0005-0000-0000-000000A00000}"/>
    <cellStyle name="Note 2 5 2 3" xfId="34311" xr:uid="{00000000-0005-0000-0000-000001A00000}"/>
    <cellStyle name="Note 2 5 2 3 2" xfId="34312" xr:uid="{00000000-0005-0000-0000-000002A00000}"/>
    <cellStyle name="Note 2 5 2 3 3" xfId="34313" xr:uid="{00000000-0005-0000-0000-000003A00000}"/>
    <cellStyle name="Note 2 5 2 4" xfId="34314" xr:uid="{00000000-0005-0000-0000-000004A00000}"/>
    <cellStyle name="Note 2 5 2 4 2" xfId="34315" xr:uid="{00000000-0005-0000-0000-000005A00000}"/>
    <cellStyle name="Note 2 5 2 4 3" xfId="34316" xr:uid="{00000000-0005-0000-0000-000006A00000}"/>
    <cellStyle name="Note 2 5 2 5" xfId="34317" xr:uid="{00000000-0005-0000-0000-000007A00000}"/>
    <cellStyle name="Note 2 5 2 5 2" xfId="34318" xr:uid="{00000000-0005-0000-0000-000008A00000}"/>
    <cellStyle name="Note 2 5 2 5 3" xfId="34319" xr:uid="{00000000-0005-0000-0000-000009A00000}"/>
    <cellStyle name="Note 2 5 2 6" xfId="34320" xr:uid="{00000000-0005-0000-0000-00000AA00000}"/>
    <cellStyle name="Note 2 5 2 6 2" xfId="34321" xr:uid="{00000000-0005-0000-0000-00000BA00000}"/>
    <cellStyle name="Note 2 5 2 6 3" xfId="34322" xr:uid="{00000000-0005-0000-0000-00000CA00000}"/>
    <cellStyle name="Note 2 5 2 7" xfId="34323" xr:uid="{00000000-0005-0000-0000-00000DA00000}"/>
    <cellStyle name="Note 2 5 2 7 2" xfId="34324" xr:uid="{00000000-0005-0000-0000-00000EA00000}"/>
    <cellStyle name="Note 2 5 2 7 3" xfId="34325" xr:uid="{00000000-0005-0000-0000-00000FA00000}"/>
    <cellStyle name="Note 2 5 2 8" xfId="44629" xr:uid="{00000000-0005-0000-0000-000010A00000}"/>
    <cellStyle name="Note 2 5 3" xfId="34326" xr:uid="{00000000-0005-0000-0000-000011A00000}"/>
    <cellStyle name="Note 2 5 3 2" xfId="34327" xr:uid="{00000000-0005-0000-0000-000012A00000}"/>
    <cellStyle name="Note 2 5 3 2 2" xfId="34328" xr:uid="{00000000-0005-0000-0000-000013A00000}"/>
    <cellStyle name="Note 2 5 3 2 3" xfId="34329" xr:uid="{00000000-0005-0000-0000-000014A00000}"/>
    <cellStyle name="Note 2 5 3 3" xfId="34330" xr:uid="{00000000-0005-0000-0000-000015A00000}"/>
    <cellStyle name="Note 2 5 3 3 2" xfId="34331" xr:uid="{00000000-0005-0000-0000-000016A00000}"/>
    <cellStyle name="Note 2 5 3 3 3" xfId="34332" xr:uid="{00000000-0005-0000-0000-000017A00000}"/>
    <cellStyle name="Note 2 5 3 4" xfId="34333" xr:uid="{00000000-0005-0000-0000-000018A00000}"/>
    <cellStyle name="Note 2 5 3 4 2" xfId="34334" xr:uid="{00000000-0005-0000-0000-000019A00000}"/>
    <cellStyle name="Note 2 5 3 4 3" xfId="34335" xr:uid="{00000000-0005-0000-0000-00001AA00000}"/>
    <cellStyle name="Note 2 5 3 5" xfId="34336" xr:uid="{00000000-0005-0000-0000-00001BA00000}"/>
    <cellStyle name="Note 2 5 3 5 2" xfId="34337" xr:uid="{00000000-0005-0000-0000-00001CA00000}"/>
    <cellStyle name="Note 2 5 3 5 3" xfId="34338" xr:uid="{00000000-0005-0000-0000-00001DA00000}"/>
    <cellStyle name="Note 2 5 3 6" xfId="34339" xr:uid="{00000000-0005-0000-0000-00001EA00000}"/>
    <cellStyle name="Note 2 5 3 6 2" xfId="34340" xr:uid="{00000000-0005-0000-0000-00001FA00000}"/>
    <cellStyle name="Note 2 5 3 6 3" xfId="34341" xr:uid="{00000000-0005-0000-0000-000020A00000}"/>
    <cellStyle name="Note 2 5 3 7" xfId="34342" xr:uid="{00000000-0005-0000-0000-000021A00000}"/>
    <cellStyle name="Note 2 5 3 7 2" xfId="34343" xr:uid="{00000000-0005-0000-0000-000022A00000}"/>
    <cellStyle name="Note 2 5 3 7 3" xfId="34344" xr:uid="{00000000-0005-0000-0000-000023A00000}"/>
    <cellStyle name="Note 2 5 3 8" xfId="44630" xr:uid="{00000000-0005-0000-0000-000024A00000}"/>
    <cellStyle name="Note 2 5 4" xfId="34345" xr:uid="{00000000-0005-0000-0000-000025A00000}"/>
    <cellStyle name="Note 2 5 4 2" xfId="34346" xr:uid="{00000000-0005-0000-0000-000026A00000}"/>
    <cellStyle name="Note 2 5 4 2 2" xfId="34347" xr:uid="{00000000-0005-0000-0000-000027A00000}"/>
    <cellStyle name="Note 2 5 4 2 3" xfId="34348" xr:uid="{00000000-0005-0000-0000-000028A00000}"/>
    <cellStyle name="Note 2 5 4 3" xfId="34349" xr:uid="{00000000-0005-0000-0000-000029A00000}"/>
    <cellStyle name="Note 2 5 4 3 2" xfId="34350" xr:uid="{00000000-0005-0000-0000-00002AA00000}"/>
    <cellStyle name="Note 2 5 4 3 3" xfId="34351" xr:uid="{00000000-0005-0000-0000-00002BA00000}"/>
    <cellStyle name="Note 2 5 4 4" xfId="34352" xr:uid="{00000000-0005-0000-0000-00002CA00000}"/>
    <cellStyle name="Note 2 5 4 4 2" xfId="34353" xr:uid="{00000000-0005-0000-0000-00002DA00000}"/>
    <cellStyle name="Note 2 5 4 4 3" xfId="34354" xr:uid="{00000000-0005-0000-0000-00002EA00000}"/>
    <cellStyle name="Note 2 5 4 5" xfId="34355" xr:uid="{00000000-0005-0000-0000-00002FA00000}"/>
    <cellStyle name="Note 2 5 4 5 2" xfId="34356" xr:uid="{00000000-0005-0000-0000-000030A00000}"/>
    <cellStyle name="Note 2 5 4 5 3" xfId="34357" xr:uid="{00000000-0005-0000-0000-000031A00000}"/>
    <cellStyle name="Note 2 5 4 6" xfId="34358" xr:uid="{00000000-0005-0000-0000-000032A00000}"/>
    <cellStyle name="Note 2 5 4 6 2" xfId="34359" xr:uid="{00000000-0005-0000-0000-000033A00000}"/>
    <cellStyle name="Note 2 5 4 6 3" xfId="34360" xr:uid="{00000000-0005-0000-0000-000034A00000}"/>
    <cellStyle name="Note 2 5 4 7" xfId="34361" xr:uid="{00000000-0005-0000-0000-000035A00000}"/>
    <cellStyle name="Note 2 5 4 7 2" xfId="34362" xr:uid="{00000000-0005-0000-0000-000036A00000}"/>
    <cellStyle name="Note 2 5 4 7 3" xfId="34363" xr:uid="{00000000-0005-0000-0000-000037A00000}"/>
    <cellStyle name="Note 2 5 4 8" xfId="44631" xr:uid="{00000000-0005-0000-0000-000038A00000}"/>
    <cellStyle name="Note 2 5 5" xfId="34364" xr:uid="{00000000-0005-0000-0000-000039A00000}"/>
    <cellStyle name="Note 2 5 5 2" xfId="34365" xr:uid="{00000000-0005-0000-0000-00003AA00000}"/>
    <cellStyle name="Note 2 5 5 2 2" xfId="34366" xr:uid="{00000000-0005-0000-0000-00003BA00000}"/>
    <cellStyle name="Note 2 5 5 2 3" xfId="34367" xr:uid="{00000000-0005-0000-0000-00003CA00000}"/>
    <cellStyle name="Note 2 5 5 3" xfId="34368" xr:uid="{00000000-0005-0000-0000-00003DA00000}"/>
    <cellStyle name="Note 2 5 5 3 2" xfId="34369" xr:uid="{00000000-0005-0000-0000-00003EA00000}"/>
    <cellStyle name="Note 2 5 5 3 3" xfId="34370" xr:uid="{00000000-0005-0000-0000-00003FA00000}"/>
    <cellStyle name="Note 2 5 5 4" xfId="34371" xr:uid="{00000000-0005-0000-0000-000040A00000}"/>
    <cellStyle name="Note 2 5 5 4 2" xfId="34372" xr:uid="{00000000-0005-0000-0000-000041A00000}"/>
    <cellStyle name="Note 2 5 5 4 3" xfId="34373" xr:uid="{00000000-0005-0000-0000-000042A00000}"/>
    <cellStyle name="Note 2 5 5 5" xfId="34374" xr:uid="{00000000-0005-0000-0000-000043A00000}"/>
    <cellStyle name="Note 2 5 5 5 2" xfId="34375" xr:uid="{00000000-0005-0000-0000-000044A00000}"/>
    <cellStyle name="Note 2 5 5 5 3" xfId="34376" xr:uid="{00000000-0005-0000-0000-000045A00000}"/>
    <cellStyle name="Note 2 5 5 6" xfId="34377" xr:uid="{00000000-0005-0000-0000-000046A00000}"/>
    <cellStyle name="Note 2 5 5 6 2" xfId="34378" xr:uid="{00000000-0005-0000-0000-000047A00000}"/>
    <cellStyle name="Note 2 5 5 6 3" xfId="34379" xr:uid="{00000000-0005-0000-0000-000048A00000}"/>
    <cellStyle name="Note 2 5 5 7" xfId="34380" xr:uid="{00000000-0005-0000-0000-000049A00000}"/>
    <cellStyle name="Note 2 5 5 7 2" xfId="34381" xr:uid="{00000000-0005-0000-0000-00004AA00000}"/>
    <cellStyle name="Note 2 5 5 7 3" xfId="34382" xr:uid="{00000000-0005-0000-0000-00004BA00000}"/>
    <cellStyle name="Note 2 5 5 8" xfId="44632" xr:uid="{00000000-0005-0000-0000-00004CA00000}"/>
    <cellStyle name="Note 2 5 6" xfId="34383" xr:uid="{00000000-0005-0000-0000-00004DA00000}"/>
    <cellStyle name="Note 2 5 6 2" xfId="34384" xr:uid="{00000000-0005-0000-0000-00004EA00000}"/>
    <cellStyle name="Note 2 5 7" xfId="34385" xr:uid="{00000000-0005-0000-0000-00004FA00000}"/>
    <cellStyle name="Note 2 5 7 2" xfId="34386" xr:uid="{00000000-0005-0000-0000-000050A00000}"/>
    <cellStyle name="Note 2 5 7 3" xfId="34387" xr:uid="{00000000-0005-0000-0000-000051A00000}"/>
    <cellStyle name="Note 2 5 8" xfId="34388" xr:uid="{00000000-0005-0000-0000-000052A00000}"/>
    <cellStyle name="Note 2 5 8 2" xfId="34389" xr:uid="{00000000-0005-0000-0000-000053A00000}"/>
    <cellStyle name="Note 2 5 8 3" xfId="34390" xr:uid="{00000000-0005-0000-0000-000054A00000}"/>
    <cellStyle name="Note 2 5 9" xfId="34391" xr:uid="{00000000-0005-0000-0000-000055A00000}"/>
    <cellStyle name="Note 2 5 9 2" xfId="34392" xr:uid="{00000000-0005-0000-0000-000056A00000}"/>
    <cellStyle name="Note 2 5 9 3" xfId="34393" xr:uid="{00000000-0005-0000-0000-000057A00000}"/>
    <cellStyle name="Note 2 6" xfId="34394" xr:uid="{00000000-0005-0000-0000-000058A00000}"/>
    <cellStyle name="Note 2 6 2" xfId="34395" xr:uid="{00000000-0005-0000-0000-000059A00000}"/>
    <cellStyle name="Note 2 6 2 2" xfId="34396" xr:uid="{00000000-0005-0000-0000-00005AA00000}"/>
    <cellStyle name="Note 2 6 2 3" xfId="34397" xr:uid="{00000000-0005-0000-0000-00005BA00000}"/>
    <cellStyle name="Note 2 6 3" xfId="34398" xr:uid="{00000000-0005-0000-0000-00005CA00000}"/>
    <cellStyle name="Note 2 6 3 2" xfId="34399" xr:uid="{00000000-0005-0000-0000-00005DA00000}"/>
    <cellStyle name="Note 2 6 3 3" xfId="34400" xr:uid="{00000000-0005-0000-0000-00005EA00000}"/>
    <cellStyle name="Note 2 6 4" xfId="34401" xr:uid="{00000000-0005-0000-0000-00005FA00000}"/>
    <cellStyle name="Note 2 6 4 2" xfId="34402" xr:uid="{00000000-0005-0000-0000-000060A00000}"/>
    <cellStyle name="Note 2 6 4 3" xfId="34403" xr:uid="{00000000-0005-0000-0000-000061A00000}"/>
    <cellStyle name="Note 2 6 5" xfId="34404" xr:uid="{00000000-0005-0000-0000-000062A00000}"/>
    <cellStyle name="Note 2 6 5 2" xfId="34405" xr:uid="{00000000-0005-0000-0000-000063A00000}"/>
    <cellStyle name="Note 2 6 5 3" xfId="34406" xr:uid="{00000000-0005-0000-0000-000064A00000}"/>
    <cellStyle name="Note 2 6 6" xfId="34407" xr:uid="{00000000-0005-0000-0000-000065A00000}"/>
    <cellStyle name="Note 2 6 6 2" xfId="34408" xr:uid="{00000000-0005-0000-0000-000066A00000}"/>
    <cellStyle name="Note 2 6 6 3" xfId="34409" xr:uid="{00000000-0005-0000-0000-000067A00000}"/>
    <cellStyle name="Note 2 6 7" xfId="34410" xr:uid="{00000000-0005-0000-0000-000068A00000}"/>
    <cellStyle name="Note 2 6 7 2" xfId="34411" xr:uid="{00000000-0005-0000-0000-000069A00000}"/>
    <cellStyle name="Note 2 6 7 3" xfId="34412" xr:uid="{00000000-0005-0000-0000-00006AA00000}"/>
    <cellStyle name="Note 2 6 8" xfId="44633" xr:uid="{00000000-0005-0000-0000-00006BA00000}"/>
    <cellStyle name="Note 2 7" xfId="34413" xr:uid="{00000000-0005-0000-0000-00006CA00000}"/>
    <cellStyle name="Note 2 8" xfId="34414" xr:uid="{00000000-0005-0000-0000-00006DA00000}"/>
    <cellStyle name="Note 2 8 2" xfId="34415" xr:uid="{00000000-0005-0000-0000-00006EA00000}"/>
    <cellStyle name="Note 2 8 2 2" xfId="34416" xr:uid="{00000000-0005-0000-0000-00006FA00000}"/>
    <cellStyle name="Note 2 8 2 3" xfId="34417" xr:uid="{00000000-0005-0000-0000-000070A00000}"/>
    <cellStyle name="Note 2 8 3" xfId="34418" xr:uid="{00000000-0005-0000-0000-000071A00000}"/>
    <cellStyle name="Note 2 8 3 2" xfId="34419" xr:uid="{00000000-0005-0000-0000-000072A00000}"/>
    <cellStyle name="Note 2 8 3 3" xfId="34420" xr:uid="{00000000-0005-0000-0000-000073A00000}"/>
    <cellStyle name="Note 2 8 4" xfId="34421" xr:uid="{00000000-0005-0000-0000-000074A00000}"/>
    <cellStyle name="Note 2 8 4 2" xfId="34422" xr:uid="{00000000-0005-0000-0000-000075A00000}"/>
    <cellStyle name="Note 2 8 4 3" xfId="34423" xr:uid="{00000000-0005-0000-0000-000076A00000}"/>
    <cellStyle name="Note 2 8 5" xfId="34424" xr:uid="{00000000-0005-0000-0000-000077A00000}"/>
    <cellStyle name="Note 2 8 5 2" xfId="34425" xr:uid="{00000000-0005-0000-0000-000078A00000}"/>
    <cellStyle name="Note 2 8 5 3" xfId="34426" xr:uid="{00000000-0005-0000-0000-000079A00000}"/>
    <cellStyle name="Note 2 8 6" xfId="34427" xr:uid="{00000000-0005-0000-0000-00007AA00000}"/>
    <cellStyle name="Note 2 8 6 2" xfId="34428" xr:uid="{00000000-0005-0000-0000-00007BA00000}"/>
    <cellStyle name="Note 2 8 6 3" xfId="34429" xr:uid="{00000000-0005-0000-0000-00007CA00000}"/>
    <cellStyle name="Note 2 8 7" xfId="34430" xr:uid="{00000000-0005-0000-0000-00007DA00000}"/>
    <cellStyle name="Note 2 8 7 2" xfId="34431" xr:uid="{00000000-0005-0000-0000-00007EA00000}"/>
    <cellStyle name="Note 2 8 7 3" xfId="34432" xr:uid="{00000000-0005-0000-0000-00007FA00000}"/>
    <cellStyle name="Note 2 8 8" xfId="34433" xr:uid="{00000000-0005-0000-0000-000080A00000}"/>
    <cellStyle name="Note 2 8 9" xfId="34434" xr:uid="{00000000-0005-0000-0000-000081A00000}"/>
    <cellStyle name="Note 2 9" xfId="42085" xr:uid="{00000000-0005-0000-0000-000082A00000}"/>
    <cellStyle name="Note 3" xfId="553" xr:uid="{00000000-0005-0000-0000-000083A00000}"/>
    <cellStyle name="Note 3 2" xfId="554" xr:uid="{00000000-0005-0000-0000-000084A00000}"/>
    <cellStyle name="Note 3 2 2" xfId="2260" xr:uid="{00000000-0005-0000-0000-000085A00000}"/>
    <cellStyle name="Note 3 2 2 10" xfId="34435" xr:uid="{00000000-0005-0000-0000-000086A00000}"/>
    <cellStyle name="Note 3 2 2 10 2" xfId="34436" xr:uid="{00000000-0005-0000-0000-000087A00000}"/>
    <cellStyle name="Note 3 2 2 10 3" xfId="34437" xr:uid="{00000000-0005-0000-0000-000088A00000}"/>
    <cellStyle name="Note 3 2 2 11" xfId="34438" xr:uid="{00000000-0005-0000-0000-000089A00000}"/>
    <cellStyle name="Note 3 2 2 11 2" xfId="34439" xr:uid="{00000000-0005-0000-0000-00008AA00000}"/>
    <cellStyle name="Note 3 2 2 11 3" xfId="34440" xr:uid="{00000000-0005-0000-0000-00008BA00000}"/>
    <cellStyle name="Note 3 2 2 12" xfId="44634" xr:uid="{00000000-0005-0000-0000-00008CA00000}"/>
    <cellStyle name="Note 3 2 2 2" xfId="34441" xr:uid="{00000000-0005-0000-0000-00008DA00000}"/>
    <cellStyle name="Note 3 2 2 2 2" xfId="34442" xr:uid="{00000000-0005-0000-0000-00008EA00000}"/>
    <cellStyle name="Note 3 2 2 2 2 2" xfId="34443" xr:uid="{00000000-0005-0000-0000-00008FA00000}"/>
    <cellStyle name="Note 3 2 2 2 2 3" xfId="34444" xr:uid="{00000000-0005-0000-0000-000090A00000}"/>
    <cellStyle name="Note 3 2 2 2 3" xfId="34445" xr:uid="{00000000-0005-0000-0000-000091A00000}"/>
    <cellStyle name="Note 3 2 2 2 3 2" xfId="34446" xr:uid="{00000000-0005-0000-0000-000092A00000}"/>
    <cellStyle name="Note 3 2 2 2 3 3" xfId="34447" xr:uid="{00000000-0005-0000-0000-000093A00000}"/>
    <cellStyle name="Note 3 2 2 2 4" xfId="34448" xr:uid="{00000000-0005-0000-0000-000094A00000}"/>
    <cellStyle name="Note 3 2 2 2 4 2" xfId="34449" xr:uid="{00000000-0005-0000-0000-000095A00000}"/>
    <cellStyle name="Note 3 2 2 2 4 3" xfId="34450" xr:uid="{00000000-0005-0000-0000-000096A00000}"/>
    <cellStyle name="Note 3 2 2 2 5" xfId="34451" xr:uid="{00000000-0005-0000-0000-000097A00000}"/>
    <cellStyle name="Note 3 2 2 2 5 2" xfId="34452" xr:uid="{00000000-0005-0000-0000-000098A00000}"/>
    <cellStyle name="Note 3 2 2 2 5 3" xfId="34453" xr:uid="{00000000-0005-0000-0000-000099A00000}"/>
    <cellStyle name="Note 3 2 2 2 6" xfId="34454" xr:uid="{00000000-0005-0000-0000-00009AA00000}"/>
    <cellStyle name="Note 3 2 2 2 6 2" xfId="34455" xr:uid="{00000000-0005-0000-0000-00009BA00000}"/>
    <cellStyle name="Note 3 2 2 2 6 3" xfId="34456" xr:uid="{00000000-0005-0000-0000-00009CA00000}"/>
    <cellStyle name="Note 3 2 2 2 7" xfId="34457" xr:uid="{00000000-0005-0000-0000-00009DA00000}"/>
    <cellStyle name="Note 3 2 2 2 7 2" xfId="34458" xr:uid="{00000000-0005-0000-0000-00009EA00000}"/>
    <cellStyle name="Note 3 2 2 2 7 3" xfId="34459" xr:uid="{00000000-0005-0000-0000-00009FA00000}"/>
    <cellStyle name="Note 3 2 2 2 8" xfId="44635" xr:uid="{00000000-0005-0000-0000-0000A0A00000}"/>
    <cellStyle name="Note 3 2 2 3" xfId="34460" xr:uid="{00000000-0005-0000-0000-0000A1A00000}"/>
    <cellStyle name="Note 3 2 2 3 2" xfId="34461" xr:uid="{00000000-0005-0000-0000-0000A2A00000}"/>
    <cellStyle name="Note 3 2 2 3 2 2" xfId="34462" xr:uid="{00000000-0005-0000-0000-0000A3A00000}"/>
    <cellStyle name="Note 3 2 2 3 2 3" xfId="34463" xr:uid="{00000000-0005-0000-0000-0000A4A00000}"/>
    <cellStyle name="Note 3 2 2 3 3" xfId="34464" xr:uid="{00000000-0005-0000-0000-0000A5A00000}"/>
    <cellStyle name="Note 3 2 2 3 3 2" xfId="34465" xr:uid="{00000000-0005-0000-0000-0000A6A00000}"/>
    <cellStyle name="Note 3 2 2 3 3 3" xfId="34466" xr:uid="{00000000-0005-0000-0000-0000A7A00000}"/>
    <cellStyle name="Note 3 2 2 3 4" xfId="34467" xr:uid="{00000000-0005-0000-0000-0000A8A00000}"/>
    <cellStyle name="Note 3 2 2 3 4 2" xfId="34468" xr:uid="{00000000-0005-0000-0000-0000A9A00000}"/>
    <cellStyle name="Note 3 2 2 3 4 3" xfId="34469" xr:uid="{00000000-0005-0000-0000-0000AAA00000}"/>
    <cellStyle name="Note 3 2 2 3 5" xfId="34470" xr:uid="{00000000-0005-0000-0000-0000ABA00000}"/>
    <cellStyle name="Note 3 2 2 3 5 2" xfId="34471" xr:uid="{00000000-0005-0000-0000-0000ACA00000}"/>
    <cellStyle name="Note 3 2 2 3 5 3" xfId="34472" xr:uid="{00000000-0005-0000-0000-0000ADA00000}"/>
    <cellStyle name="Note 3 2 2 3 6" xfId="34473" xr:uid="{00000000-0005-0000-0000-0000AEA00000}"/>
    <cellStyle name="Note 3 2 2 3 6 2" xfId="34474" xr:uid="{00000000-0005-0000-0000-0000AFA00000}"/>
    <cellStyle name="Note 3 2 2 3 6 3" xfId="34475" xr:uid="{00000000-0005-0000-0000-0000B0A00000}"/>
    <cellStyle name="Note 3 2 2 3 7" xfId="34476" xr:uid="{00000000-0005-0000-0000-0000B1A00000}"/>
    <cellStyle name="Note 3 2 2 3 7 2" xfId="34477" xr:uid="{00000000-0005-0000-0000-0000B2A00000}"/>
    <cellStyle name="Note 3 2 2 3 7 3" xfId="34478" xr:uid="{00000000-0005-0000-0000-0000B3A00000}"/>
    <cellStyle name="Note 3 2 2 3 8" xfId="44636" xr:uid="{00000000-0005-0000-0000-0000B4A00000}"/>
    <cellStyle name="Note 3 2 2 4" xfId="34479" xr:uid="{00000000-0005-0000-0000-0000B5A00000}"/>
    <cellStyle name="Note 3 2 2 4 2" xfId="34480" xr:uid="{00000000-0005-0000-0000-0000B6A00000}"/>
    <cellStyle name="Note 3 2 2 4 2 2" xfId="34481" xr:uid="{00000000-0005-0000-0000-0000B7A00000}"/>
    <cellStyle name="Note 3 2 2 4 2 3" xfId="34482" xr:uid="{00000000-0005-0000-0000-0000B8A00000}"/>
    <cellStyle name="Note 3 2 2 4 3" xfId="34483" xr:uid="{00000000-0005-0000-0000-0000B9A00000}"/>
    <cellStyle name="Note 3 2 2 4 3 2" xfId="34484" xr:uid="{00000000-0005-0000-0000-0000BAA00000}"/>
    <cellStyle name="Note 3 2 2 4 3 3" xfId="34485" xr:uid="{00000000-0005-0000-0000-0000BBA00000}"/>
    <cellStyle name="Note 3 2 2 4 4" xfId="34486" xr:uid="{00000000-0005-0000-0000-0000BCA00000}"/>
    <cellStyle name="Note 3 2 2 4 4 2" xfId="34487" xr:uid="{00000000-0005-0000-0000-0000BDA00000}"/>
    <cellStyle name="Note 3 2 2 4 4 3" xfId="34488" xr:uid="{00000000-0005-0000-0000-0000BEA00000}"/>
    <cellStyle name="Note 3 2 2 4 5" xfId="34489" xr:uid="{00000000-0005-0000-0000-0000BFA00000}"/>
    <cellStyle name="Note 3 2 2 4 5 2" xfId="34490" xr:uid="{00000000-0005-0000-0000-0000C0A00000}"/>
    <cellStyle name="Note 3 2 2 4 5 3" xfId="34491" xr:uid="{00000000-0005-0000-0000-0000C1A00000}"/>
    <cellStyle name="Note 3 2 2 4 6" xfId="34492" xr:uid="{00000000-0005-0000-0000-0000C2A00000}"/>
    <cellStyle name="Note 3 2 2 4 6 2" xfId="34493" xr:uid="{00000000-0005-0000-0000-0000C3A00000}"/>
    <cellStyle name="Note 3 2 2 4 6 3" xfId="34494" xr:uid="{00000000-0005-0000-0000-0000C4A00000}"/>
    <cellStyle name="Note 3 2 2 4 7" xfId="34495" xr:uid="{00000000-0005-0000-0000-0000C5A00000}"/>
    <cellStyle name="Note 3 2 2 4 7 2" xfId="34496" xr:uid="{00000000-0005-0000-0000-0000C6A00000}"/>
    <cellStyle name="Note 3 2 2 4 7 3" xfId="34497" xr:uid="{00000000-0005-0000-0000-0000C7A00000}"/>
    <cellStyle name="Note 3 2 2 4 8" xfId="44637" xr:uid="{00000000-0005-0000-0000-0000C8A00000}"/>
    <cellStyle name="Note 3 2 2 5" xfId="34498" xr:uid="{00000000-0005-0000-0000-0000C9A00000}"/>
    <cellStyle name="Note 3 2 2 5 2" xfId="34499" xr:uid="{00000000-0005-0000-0000-0000CAA00000}"/>
    <cellStyle name="Note 3 2 2 5 2 2" xfId="34500" xr:uid="{00000000-0005-0000-0000-0000CBA00000}"/>
    <cellStyle name="Note 3 2 2 5 2 3" xfId="34501" xr:uid="{00000000-0005-0000-0000-0000CCA00000}"/>
    <cellStyle name="Note 3 2 2 5 3" xfId="34502" xr:uid="{00000000-0005-0000-0000-0000CDA00000}"/>
    <cellStyle name="Note 3 2 2 5 3 2" xfId="34503" xr:uid="{00000000-0005-0000-0000-0000CEA00000}"/>
    <cellStyle name="Note 3 2 2 5 3 3" xfId="34504" xr:uid="{00000000-0005-0000-0000-0000CFA00000}"/>
    <cellStyle name="Note 3 2 2 5 4" xfId="34505" xr:uid="{00000000-0005-0000-0000-0000D0A00000}"/>
    <cellStyle name="Note 3 2 2 5 4 2" xfId="34506" xr:uid="{00000000-0005-0000-0000-0000D1A00000}"/>
    <cellStyle name="Note 3 2 2 5 4 3" xfId="34507" xr:uid="{00000000-0005-0000-0000-0000D2A00000}"/>
    <cellStyle name="Note 3 2 2 5 5" xfId="34508" xr:uid="{00000000-0005-0000-0000-0000D3A00000}"/>
    <cellStyle name="Note 3 2 2 5 5 2" xfId="34509" xr:uid="{00000000-0005-0000-0000-0000D4A00000}"/>
    <cellStyle name="Note 3 2 2 5 5 3" xfId="34510" xr:uid="{00000000-0005-0000-0000-0000D5A00000}"/>
    <cellStyle name="Note 3 2 2 5 6" xfId="34511" xr:uid="{00000000-0005-0000-0000-0000D6A00000}"/>
    <cellStyle name="Note 3 2 2 5 6 2" xfId="34512" xr:uid="{00000000-0005-0000-0000-0000D7A00000}"/>
    <cellStyle name="Note 3 2 2 5 6 3" xfId="34513" xr:uid="{00000000-0005-0000-0000-0000D8A00000}"/>
    <cellStyle name="Note 3 2 2 5 7" xfId="34514" xr:uid="{00000000-0005-0000-0000-0000D9A00000}"/>
    <cellStyle name="Note 3 2 2 5 7 2" xfId="34515" xr:uid="{00000000-0005-0000-0000-0000DAA00000}"/>
    <cellStyle name="Note 3 2 2 5 7 3" xfId="34516" xr:uid="{00000000-0005-0000-0000-0000DBA00000}"/>
    <cellStyle name="Note 3 2 2 5 8" xfId="44638" xr:uid="{00000000-0005-0000-0000-0000DCA00000}"/>
    <cellStyle name="Note 3 2 2 6" xfId="34517" xr:uid="{00000000-0005-0000-0000-0000DDA00000}"/>
    <cellStyle name="Note 3 2 2 6 2" xfId="34518" xr:uid="{00000000-0005-0000-0000-0000DEA00000}"/>
    <cellStyle name="Note 3 2 2 7" xfId="34519" xr:uid="{00000000-0005-0000-0000-0000DFA00000}"/>
    <cellStyle name="Note 3 2 2 7 2" xfId="34520" xr:uid="{00000000-0005-0000-0000-0000E0A00000}"/>
    <cellStyle name="Note 3 2 2 7 3" xfId="34521" xr:uid="{00000000-0005-0000-0000-0000E1A00000}"/>
    <cellStyle name="Note 3 2 2 8" xfId="34522" xr:uid="{00000000-0005-0000-0000-0000E2A00000}"/>
    <cellStyle name="Note 3 2 2 8 2" xfId="34523" xr:uid="{00000000-0005-0000-0000-0000E3A00000}"/>
    <cellStyle name="Note 3 2 2 8 3" xfId="34524" xr:uid="{00000000-0005-0000-0000-0000E4A00000}"/>
    <cellStyle name="Note 3 2 2 9" xfId="34525" xr:uid="{00000000-0005-0000-0000-0000E5A00000}"/>
    <cellStyle name="Note 3 2 2 9 2" xfId="34526" xr:uid="{00000000-0005-0000-0000-0000E6A00000}"/>
    <cellStyle name="Note 3 2 2 9 3" xfId="34527" xr:uid="{00000000-0005-0000-0000-0000E7A00000}"/>
    <cellStyle name="Note 3 2 3" xfId="34528" xr:uid="{00000000-0005-0000-0000-0000E8A00000}"/>
    <cellStyle name="Note 3 2 3 10" xfId="34529" xr:uid="{00000000-0005-0000-0000-0000E9A00000}"/>
    <cellStyle name="Note 3 2 3 10 2" xfId="34530" xr:uid="{00000000-0005-0000-0000-0000EAA00000}"/>
    <cellStyle name="Note 3 2 3 10 3" xfId="34531" xr:uid="{00000000-0005-0000-0000-0000EBA00000}"/>
    <cellStyle name="Note 3 2 3 11" xfId="34532" xr:uid="{00000000-0005-0000-0000-0000ECA00000}"/>
    <cellStyle name="Note 3 2 3 11 2" xfId="34533" xr:uid="{00000000-0005-0000-0000-0000EDA00000}"/>
    <cellStyle name="Note 3 2 3 11 3" xfId="34534" xr:uid="{00000000-0005-0000-0000-0000EEA00000}"/>
    <cellStyle name="Note 3 2 3 12" xfId="44639" xr:uid="{00000000-0005-0000-0000-0000EFA00000}"/>
    <cellStyle name="Note 3 2 3 2" xfId="34535" xr:uid="{00000000-0005-0000-0000-0000F0A00000}"/>
    <cellStyle name="Note 3 2 3 2 2" xfId="34536" xr:uid="{00000000-0005-0000-0000-0000F1A00000}"/>
    <cellStyle name="Note 3 2 3 2 2 2" xfId="34537" xr:uid="{00000000-0005-0000-0000-0000F2A00000}"/>
    <cellStyle name="Note 3 2 3 2 2 3" xfId="34538" xr:uid="{00000000-0005-0000-0000-0000F3A00000}"/>
    <cellStyle name="Note 3 2 3 2 3" xfId="34539" xr:uid="{00000000-0005-0000-0000-0000F4A00000}"/>
    <cellStyle name="Note 3 2 3 2 3 2" xfId="34540" xr:uid="{00000000-0005-0000-0000-0000F5A00000}"/>
    <cellStyle name="Note 3 2 3 2 3 3" xfId="34541" xr:uid="{00000000-0005-0000-0000-0000F6A00000}"/>
    <cellStyle name="Note 3 2 3 2 4" xfId="34542" xr:uid="{00000000-0005-0000-0000-0000F7A00000}"/>
    <cellStyle name="Note 3 2 3 2 4 2" xfId="34543" xr:uid="{00000000-0005-0000-0000-0000F8A00000}"/>
    <cellStyle name="Note 3 2 3 2 4 3" xfId="34544" xr:uid="{00000000-0005-0000-0000-0000F9A00000}"/>
    <cellStyle name="Note 3 2 3 2 5" xfId="34545" xr:uid="{00000000-0005-0000-0000-0000FAA00000}"/>
    <cellStyle name="Note 3 2 3 2 5 2" xfId="34546" xr:uid="{00000000-0005-0000-0000-0000FBA00000}"/>
    <cellStyle name="Note 3 2 3 2 5 3" xfId="34547" xr:uid="{00000000-0005-0000-0000-0000FCA00000}"/>
    <cellStyle name="Note 3 2 3 2 6" xfId="34548" xr:uid="{00000000-0005-0000-0000-0000FDA00000}"/>
    <cellStyle name="Note 3 2 3 2 6 2" xfId="34549" xr:uid="{00000000-0005-0000-0000-0000FEA00000}"/>
    <cellStyle name="Note 3 2 3 2 6 3" xfId="34550" xr:uid="{00000000-0005-0000-0000-0000FFA00000}"/>
    <cellStyle name="Note 3 2 3 2 7" xfId="34551" xr:uid="{00000000-0005-0000-0000-000000A10000}"/>
    <cellStyle name="Note 3 2 3 2 7 2" xfId="34552" xr:uid="{00000000-0005-0000-0000-000001A10000}"/>
    <cellStyle name="Note 3 2 3 2 7 3" xfId="34553" xr:uid="{00000000-0005-0000-0000-000002A10000}"/>
    <cellStyle name="Note 3 2 3 2 8" xfId="44640" xr:uid="{00000000-0005-0000-0000-000003A10000}"/>
    <cellStyle name="Note 3 2 3 3" xfId="34554" xr:uid="{00000000-0005-0000-0000-000004A10000}"/>
    <cellStyle name="Note 3 2 3 3 2" xfId="34555" xr:uid="{00000000-0005-0000-0000-000005A10000}"/>
    <cellStyle name="Note 3 2 3 3 2 2" xfId="34556" xr:uid="{00000000-0005-0000-0000-000006A10000}"/>
    <cellStyle name="Note 3 2 3 3 2 3" xfId="34557" xr:uid="{00000000-0005-0000-0000-000007A10000}"/>
    <cellStyle name="Note 3 2 3 3 3" xfId="34558" xr:uid="{00000000-0005-0000-0000-000008A10000}"/>
    <cellStyle name="Note 3 2 3 3 3 2" xfId="34559" xr:uid="{00000000-0005-0000-0000-000009A10000}"/>
    <cellStyle name="Note 3 2 3 3 3 3" xfId="34560" xr:uid="{00000000-0005-0000-0000-00000AA10000}"/>
    <cellStyle name="Note 3 2 3 3 4" xfId="34561" xr:uid="{00000000-0005-0000-0000-00000BA10000}"/>
    <cellStyle name="Note 3 2 3 3 4 2" xfId="34562" xr:uid="{00000000-0005-0000-0000-00000CA10000}"/>
    <cellStyle name="Note 3 2 3 3 4 3" xfId="34563" xr:uid="{00000000-0005-0000-0000-00000DA10000}"/>
    <cellStyle name="Note 3 2 3 3 5" xfId="34564" xr:uid="{00000000-0005-0000-0000-00000EA10000}"/>
    <cellStyle name="Note 3 2 3 3 5 2" xfId="34565" xr:uid="{00000000-0005-0000-0000-00000FA10000}"/>
    <cellStyle name="Note 3 2 3 3 5 3" xfId="34566" xr:uid="{00000000-0005-0000-0000-000010A10000}"/>
    <cellStyle name="Note 3 2 3 3 6" xfId="34567" xr:uid="{00000000-0005-0000-0000-000011A10000}"/>
    <cellStyle name="Note 3 2 3 3 6 2" xfId="34568" xr:uid="{00000000-0005-0000-0000-000012A10000}"/>
    <cellStyle name="Note 3 2 3 3 6 3" xfId="34569" xr:uid="{00000000-0005-0000-0000-000013A10000}"/>
    <cellStyle name="Note 3 2 3 3 7" xfId="34570" xr:uid="{00000000-0005-0000-0000-000014A10000}"/>
    <cellStyle name="Note 3 2 3 3 7 2" xfId="34571" xr:uid="{00000000-0005-0000-0000-000015A10000}"/>
    <cellStyle name="Note 3 2 3 3 7 3" xfId="34572" xr:uid="{00000000-0005-0000-0000-000016A10000}"/>
    <cellStyle name="Note 3 2 3 3 8" xfId="44641" xr:uid="{00000000-0005-0000-0000-000017A10000}"/>
    <cellStyle name="Note 3 2 3 4" xfId="34573" xr:uid="{00000000-0005-0000-0000-000018A10000}"/>
    <cellStyle name="Note 3 2 3 4 2" xfId="34574" xr:uid="{00000000-0005-0000-0000-000019A10000}"/>
    <cellStyle name="Note 3 2 3 4 2 2" xfId="34575" xr:uid="{00000000-0005-0000-0000-00001AA10000}"/>
    <cellStyle name="Note 3 2 3 4 2 3" xfId="34576" xr:uid="{00000000-0005-0000-0000-00001BA10000}"/>
    <cellStyle name="Note 3 2 3 4 3" xfId="34577" xr:uid="{00000000-0005-0000-0000-00001CA10000}"/>
    <cellStyle name="Note 3 2 3 4 3 2" xfId="34578" xr:uid="{00000000-0005-0000-0000-00001DA10000}"/>
    <cellStyle name="Note 3 2 3 4 3 3" xfId="34579" xr:uid="{00000000-0005-0000-0000-00001EA10000}"/>
    <cellStyle name="Note 3 2 3 4 4" xfId="34580" xr:uid="{00000000-0005-0000-0000-00001FA10000}"/>
    <cellStyle name="Note 3 2 3 4 4 2" xfId="34581" xr:uid="{00000000-0005-0000-0000-000020A10000}"/>
    <cellStyle name="Note 3 2 3 4 4 3" xfId="34582" xr:uid="{00000000-0005-0000-0000-000021A10000}"/>
    <cellStyle name="Note 3 2 3 4 5" xfId="34583" xr:uid="{00000000-0005-0000-0000-000022A10000}"/>
    <cellStyle name="Note 3 2 3 4 5 2" xfId="34584" xr:uid="{00000000-0005-0000-0000-000023A10000}"/>
    <cellStyle name="Note 3 2 3 4 5 3" xfId="34585" xr:uid="{00000000-0005-0000-0000-000024A10000}"/>
    <cellStyle name="Note 3 2 3 4 6" xfId="34586" xr:uid="{00000000-0005-0000-0000-000025A10000}"/>
    <cellStyle name="Note 3 2 3 4 6 2" xfId="34587" xr:uid="{00000000-0005-0000-0000-000026A10000}"/>
    <cellStyle name="Note 3 2 3 4 6 3" xfId="34588" xr:uid="{00000000-0005-0000-0000-000027A10000}"/>
    <cellStyle name="Note 3 2 3 4 7" xfId="34589" xr:uid="{00000000-0005-0000-0000-000028A10000}"/>
    <cellStyle name="Note 3 2 3 4 7 2" xfId="34590" xr:uid="{00000000-0005-0000-0000-000029A10000}"/>
    <cellStyle name="Note 3 2 3 4 7 3" xfId="34591" xr:uid="{00000000-0005-0000-0000-00002AA10000}"/>
    <cellStyle name="Note 3 2 3 4 8" xfId="44642" xr:uid="{00000000-0005-0000-0000-00002BA10000}"/>
    <cellStyle name="Note 3 2 3 5" xfId="34592" xr:uid="{00000000-0005-0000-0000-00002CA10000}"/>
    <cellStyle name="Note 3 2 3 5 2" xfId="34593" xr:uid="{00000000-0005-0000-0000-00002DA10000}"/>
    <cellStyle name="Note 3 2 3 5 2 2" xfId="34594" xr:uid="{00000000-0005-0000-0000-00002EA10000}"/>
    <cellStyle name="Note 3 2 3 5 2 3" xfId="34595" xr:uid="{00000000-0005-0000-0000-00002FA10000}"/>
    <cellStyle name="Note 3 2 3 5 3" xfId="34596" xr:uid="{00000000-0005-0000-0000-000030A10000}"/>
    <cellStyle name="Note 3 2 3 5 3 2" xfId="34597" xr:uid="{00000000-0005-0000-0000-000031A10000}"/>
    <cellStyle name="Note 3 2 3 5 3 3" xfId="34598" xr:uid="{00000000-0005-0000-0000-000032A10000}"/>
    <cellStyle name="Note 3 2 3 5 4" xfId="34599" xr:uid="{00000000-0005-0000-0000-000033A10000}"/>
    <cellStyle name="Note 3 2 3 5 4 2" xfId="34600" xr:uid="{00000000-0005-0000-0000-000034A10000}"/>
    <cellStyle name="Note 3 2 3 5 4 3" xfId="34601" xr:uid="{00000000-0005-0000-0000-000035A10000}"/>
    <cellStyle name="Note 3 2 3 5 5" xfId="34602" xr:uid="{00000000-0005-0000-0000-000036A10000}"/>
    <cellStyle name="Note 3 2 3 5 5 2" xfId="34603" xr:uid="{00000000-0005-0000-0000-000037A10000}"/>
    <cellStyle name="Note 3 2 3 5 5 3" xfId="34604" xr:uid="{00000000-0005-0000-0000-000038A10000}"/>
    <cellStyle name="Note 3 2 3 5 6" xfId="34605" xr:uid="{00000000-0005-0000-0000-000039A10000}"/>
    <cellStyle name="Note 3 2 3 5 6 2" xfId="34606" xr:uid="{00000000-0005-0000-0000-00003AA10000}"/>
    <cellStyle name="Note 3 2 3 5 6 3" xfId="34607" xr:uid="{00000000-0005-0000-0000-00003BA10000}"/>
    <cellStyle name="Note 3 2 3 5 7" xfId="34608" xr:uid="{00000000-0005-0000-0000-00003CA10000}"/>
    <cellStyle name="Note 3 2 3 5 7 2" xfId="34609" xr:uid="{00000000-0005-0000-0000-00003DA10000}"/>
    <cellStyle name="Note 3 2 3 5 7 3" xfId="34610" xr:uid="{00000000-0005-0000-0000-00003EA10000}"/>
    <cellStyle name="Note 3 2 3 5 8" xfId="44643" xr:uid="{00000000-0005-0000-0000-00003FA10000}"/>
    <cellStyle name="Note 3 2 3 6" xfId="34611" xr:uid="{00000000-0005-0000-0000-000040A10000}"/>
    <cellStyle name="Note 3 2 3 6 2" xfId="34612" xr:uid="{00000000-0005-0000-0000-000041A10000}"/>
    <cellStyle name="Note 3 2 3 7" xfId="34613" xr:uid="{00000000-0005-0000-0000-000042A10000}"/>
    <cellStyle name="Note 3 2 3 7 2" xfId="34614" xr:uid="{00000000-0005-0000-0000-000043A10000}"/>
    <cellStyle name="Note 3 2 3 7 3" xfId="34615" xr:uid="{00000000-0005-0000-0000-000044A10000}"/>
    <cellStyle name="Note 3 2 3 8" xfId="34616" xr:uid="{00000000-0005-0000-0000-000045A10000}"/>
    <cellStyle name="Note 3 2 3 8 2" xfId="34617" xr:uid="{00000000-0005-0000-0000-000046A10000}"/>
    <cellStyle name="Note 3 2 3 8 3" xfId="34618" xr:uid="{00000000-0005-0000-0000-000047A10000}"/>
    <cellStyle name="Note 3 2 3 9" xfId="34619" xr:uid="{00000000-0005-0000-0000-000048A10000}"/>
    <cellStyle name="Note 3 2 3 9 2" xfId="34620" xr:uid="{00000000-0005-0000-0000-000049A10000}"/>
    <cellStyle name="Note 3 2 3 9 3" xfId="34621" xr:uid="{00000000-0005-0000-0000-00004AA10000}"/>
    <cellStyle name="Note 3 2 4" xfId="34622" xr:uid="{00000000-0005-0000-0000-00004BA10000}"/>
    <cellStyle name="Note 3 2 4 2" xfId="34623" xr:uid="{00000000-0005-0000-0000-00004CA10000}"/>
    <cellStyle name="Note 3 2 4 2 2" xfId="34624" xr:uid="{00000000-0005-0000-0000-00004DA10000}"/>
    <cellStyle name="Note 3 2 4 2 3" xfId="34625" xr:uid="{00000000-0005-0000-0000-00004EA10000}"/>
    <cellStyle name="Note 3 2 4 3" xfId="34626" xr:uid="{00000000-0005-0000-0000-00004FA10000}"/>
    <cellStyle name="Note 3 2 4 3 2" xfId="34627" xr:uid="{00000000-0005-0000-0000-000050A10000}"/>
    <cellStyle name="Note 3 2 4 3 3" xfId="34628" xr:uid="{00000000-0005-0000-0000-000051A10000}"/>
    <cellStyle name="Note 3 2 4 4" xfId="34629" xr:uid="{00000000-0005-0000-0000-000052A10000}"/>
    <cellStyle name="Note 3 2 4 4 2" xfId="34630" xr:uid="{00000000-0005-0000-0000-000053A10000}"/>
    <cellStyle name="Note 3 2 4 4 3" xfId="34631" xr:uid="{00000000-0005-0000-0000-000054A10000}"/>
    <cellStyle name="Note 3 2 4 5" xfId="34632" xr:uid="{00000000-0005-0000-0000-000055A10000}"/>
    <cellStyle name="Note 3 2 4 5 2" xfId="34633" xr:uid="{00000000-0005-0000-0000-000056A10000}"/>
    <cellStyle name="Note 3 2 4 5 3" xfId="34634" xr:uid="{00000000-0005-0000-0000-000057A10000}"/>
    <cellStyle name="Note 3 2 4 6" xfId="34635" xr:uid="{00000000-0005-0000-0000-000058A10000}"/>
    <cellStyle name="Note 3 2 4 6 2" xfId="34636" xr:uid="{00000000-0005-0000-0000-000059A10000}"/>
    <cellStyle name="Note 3 2 4 6 3" xfId="34637" xr:uid="{00000000-0005-0000-0000-00005AA10000}"/>
    <cellStyle name="Note 3 2 4 7" xfId="34638" xr:uid="{00000000-0005-0000-0000-00005BA10000}"/>
    <cellStyle name="Note 3 2 4 7 2" xfId="34639" xr:uid="{00000000-0005-0000-0000-00005CA10000}"/>
    <cellStyle name="Note 3 2 4 7 3" xfId="34640" xr:uid="{00000000-0005-0000-0000-00005DA10000}"/>
    <cellStyle name="Note 3 2 4 8" xfId="44644" xr:uid="{00000000-0005-0000-0000-00005EA10000}"/>
    <cellStyle name="Note 3 2 5" xfId="34641" xr:uid="{00000000-0005-0000-0000-00005FA10000}"/>
    <cellStyle name="Note 3 2 5 2" xfId="34642" xr:uid="{00000000-0005-0000-0000-000060A10000}"/>
    <cellStyle name="Note 3 2 5 2 2" xfId="34643" xr:uid="{00000000-0005-0000-0000-000061A10000}"/>
    <cellStyle name="Note 3 2 5 2 3" xfId="34644" xr:uid="{00000000-0005-0000-0000-000062A10000}"/>
    <cellStyle name="Note 3 2 5 3" xfId="34645" xr:uid="{00000000-0005-0000-0000-000063A10000}"/>
    <cellStyle name="Note 3 2 5 3 2" xfId="34646" xr:uid="{00000000-0005-0000-0000-000064A10000}"/>
    <cellStyle name="Note 3 2 5 3 3" xfId="34647" xr:uid="{00000000-0005-0000-0000-000065A10000}"/>
    <cellStyle name="Note 3 2 5 4" xfId="34648" xr:uid="{00000000-0005-0000-0000-000066A10000}"/>
    <cellStyle name="Note 3 2 5 4 2" xfId="34649" xr:uid="{00000000-0005-0000-0000-000067A10000}"/>
    <cellStyle name="Note 3 2 5 4 3" xfId="34650" xr:uid="{00000000-0005-0000-0000-000068A10000}"/>
    <cellStyle name="Note 3 2 5 5" xfId="34651" xr:uid="{00000000-0005-0000-0000-000069A10000}"/>
    <cellStyle name="Note 3 2 5 5 2" xfId="34652" xr:uid="{00000000-0005-0000-0000-00006AA10000}"/>
    <cellStyle name="Note 3 2 5 5 3" xfId="34653" xr:uid="{00000000-0005-0000-0000-00006BA10000}"/>
    <cellStyle name="Note 3 2 5 6" xfId="34654" xr:uid="{00000000-0005-0000-0000-00006CA10000}"/>
    <cellStyle name="Note 3 2 5 6 2" xfId="34655" xr:uid="{00000000-0005-0000-0000-00006DA10000}"/>
    <cellStyle name="Note 3 2 5 6 3" xfId="34656" xr:uid="{00000000-0005-0000-0000-00006EA10000}"/>
    <cellStyle name="Note 3 2 5 7" xfId="34657" xr:uid="{00000000-0005-0000-0000-00006FA10000}"/>
    <cellStyle name="Note 3 2 5 7 2" xfId="34658" xr:uid="{00000000-0005-0000-0000-000070A10000}"/>
    <cellStyle name="Note 3 2 5 7 3" xfId="34659" xr:uid="{00000000-0005-0000-0000-000071A10000}"/>
    <cellStyle name="Note 3 2 5 8" xfId="34660" xr:uid="{00000000-0005-0000-0000-000072A10000}"/>
    <cellStyle name="Note 3 2 5 9" xfId="34661" xr:uid="{00000000-0005-0000-0000-000073A10000}"/>
    <cellStyle name="Note 3 2 6" xfId="34662" xr:uid="{00000000-0005-0000-0000-000074A10000}"/>
    <cellStyle name="Note 3 3" xfId="555" xr:uid="{00000000-0005-0000-0000-000075A10000}"/>
    <cellStyle name="Note 3 3 2" xfId="34663" xr:uid="{00000000-0005-0000-0000-000076A10000}"/>
    <cellStyle name="Note 3 3 2 10" xfId="34664" xr:uid="{00000000-0005-0000-0000-000077A10000}"/>
    <cellStyle name="Note 3 3 2 10 2" xfId="34665" xr:uid="{00000000-0005-0000-0000-000078A10000}"/>
    <cellStyle name="Note 3 3 2 10 3" xfId="34666" xr:uid="{00000000-0005-0000-0000-000079A10000}"/>
    <cellStyle name="Note 3 3 2 11" xfId="34667" xr:uid="{00000000-0005-0000-0000-00007AA10000}"/>
    <cellStyle name="Note 3 3 2 11 2" xfId="34668" xr:uid="{00000000-0005-0000-0000-00007BA10000}"/>
    <cellStyle name="Note 3 3 2 11 3" xfId="34669" xr:uid="{00000000-0005-0000-0000-00007CA10000}"/>
    <cellStyle name="Note 3 3 2 12" xfId="44645" xr:uid="{00000000-0005-0000-0000-00007DA10000}"/>
    <cellStyle name="Note 3 3 2 2" xfId="34670" xr:uid="{00000000-0005-0000-0000-00007EA10000}"/>
    <cellStyle name="Note 3 3 2 2 2" xfId="34671" xr:uid="{00000000-0005-0000-0000-00007FA10000}"/>
    <cellStyle name="Note 3 3 2 2 2 2" xfId="34672" xr:uid="{00000000-0005-0000-0000-000080A10000}"/>
    <cellStyle name="Note 3 3 2 2 2 3" xfId="34673" xr:uid="{00000000-0005-0000-0000-000081A10000}"/>
    <cellStyle name="Note 3 3 2 2 3" xfId="34674" xr:uid="{00000000-0005-0000-0000-000082A10000}"/>
    <cellStyle name="Note 3 3 2 2 3 2" xfId="34675" xr:uid="{00000000-0005-0000-0000-000083A10000}"/>
    <cellStyle name="Note 3 3 2 2 3 3" xfId="34676" xr:uid="{00000000-0005-0000-0000-000084A10000}"/>
    <cellStyle name="Note 3 3 2 2 4" xfId="34677" xr:uid="{00000000-0005-0000-0000-000085A10000}"/>
    <cellStyle name="Note 3 3 2 2 4 2" xfId="34678" xr:uid="{00000000-0005-0000-0000-000086A10000}"/>
    <cellStyle name="Note 3 3 2 2 4 3" xfId="34679" xr:uid="{00000000-0005-0000-0000-000087A10000}"/>
    <cellStyle name="Note 3 3 2 2 5" xfId="34680" xr:uid="{00000000-0005-0000-0000-000088A10000}"/>
    <cellStyle name="Note 3 3 2 2 5 2" xfId="34681" xr:uid="{00000000-0005-0000-0000-000089A10000}"/>
    <cellStyle name="Note 3 3 2 2 5 3" xfId="34682" xr:uid="{00000000-0005-0000-0000-00008AA10000}"/>
    <cellStyle name="Note 3 3 2 2 6" xfId="34683" xr:uid="{00000000-0005-0000-0000-00008BA10000}"/>
    <cellStyle name="Note 3 3 2 2 6 2" xfId="34684" xr:uid="{00000000-0005-0000-0000-00008CA10000}"/>
    <cellStyle name="Note 3 3 2 2 6 3" xfId="34685" xr:uid="{00000000-0005-0000-0000-00008DA10000}"/>
    <cellStyle name="Note 3 3 2 2 7" xfId="34686" xr:uid="{00000000-0005-0000-0000-00008EA10000}"/>
    <cellStyle name="Note 3 3 2 2 7 2" xfId="34687" xr:uid="{00000000-0005-0000-0000-00008FA10000}"/>
    <cellStyle name="Note 3 3 2 2 7 3" xfId="34688" xr:uid="{00000000-0005-0000-0000-000090A10000}"/>
    <cellStyle name="Note 3 3 2 2 8" xfId="44646" xr:uid="{00000000-0005-0000-0000-000091A10000}"/>
    <cellStyle name="Note 3 3 2 3" xfId="34689" xr:uid="{00000000-0005-0000-0000-000092A10000}"/>
    <cellStyle name="Note 3 3 2 3 2" xfId="34690" xr:uid="{00000000-0005-0000-0000-000093A10000}"/>
    <cellStyle name="Note 3 3 2 3 2 2" xfId="34691" xr:uid="{00000000-0005-0000-0000-000094A10000}"/>
    <cellStyle name="Note 3 3 2 3 2 3" xfId="34692" xr:uid="{00000000-0005-0000-0000-000095A10000}"/>
    <cellStyle name="Note 3 3 2 3 3" xfId="34693" xr:uid="{00000000-0005-0000-0000-000096A10000}"/>
    <cellStyle name="Note 3 3 2 3 3 2" xfId="34694" xr:uid="{00000000-0005-0000-0000-000097A10000}"/>
    <cellStyle name="Note 3 3 2 3 3 3" xfId="34695" xr:uid="{00000000-0005-0000-0000-000098A10000}"/>
    <cellStyle name="Note 3 3 2 3 4" xfId="34696" xr:uid="{00000000-0005-0000-0000-000099A10000}"/>
    <cellStyle name="Note 3 3 2 3 4 2" xfId="34697" xr:uid="{00000000-0005-0000-0000-00009AA10000}"/>
    <cellStyle name="Note 3 3 2 3 4 3" xfId="34698" xr:uid="{00000000-0005-0000-0000-00009BA10000}"/>
    <cellStyle name="Note 3 3 2 3 5" xfId="34699" xr:uid="{00000000-0005-0000-0000-00009CA10000}"/>
    <cellStyle name="Note 3 3 2 3 5 2" xfId="34700" xr:uid="{00000000-0005-0000-0000-00009DA10000}"/>
    <cellStyle name="Note 3 3 2 3 5 3" xfId="34701" xr:uid="{00000000-0005-0000-0000-00009EA10000}"/>
    <cellStyle name="Note 3 3 2 3 6" xfId="34702" xr:uid="{00000000-0005-0000-0000-00009FA10000}"/>
    <cellStyle name="Note 3 3 2 3 6 2" xfId="34703" xr:uid="{00000000-0005-0000-0000-0000A0A10000}"/>
    <cellStyle name="Note 3 3 2 3 6 3" xfId="34704" xr:uid="{00000000-0005-0000-0000-0000A1A10000}"/>
    <cellStyle name="Note 3 3 2 3 7" xfId="34705" xr:uid="{00000000-0005-0000-0000-0000A2A10000}"/>
    <cellStyle name="Note 3 3 2 3 7 2" xfId="34706" xr:uid="{00000000-0005-0000-0000-0000A3A10000}"/>
    <cellStyle name="Note 3 3 2 3 7 3" xfId="34707" xr:uid="{00000000-0005-0000-0000-0000A4A10000}"/>
    <cellStyle name="Note 3 3 2 3 8" xfId="44647" xr:uid="{00000000-0005-0000-0000-0000A5A10000}"/>
    <cellStyle name="Note 3 3 2 4" xfId="34708" xr:uid="{00000000-0005-0000-0000-0000A6A10000}"/>
    <cellStyle name="Note 3 3 2 4 2" xfId="34709" xr:uid="{00000000-0005-0000-0000-0000A7A10000}"/>
    <cellStyle name="Note 3 3 2 4 2 2" xfId="34710" xr:uid="{00000000-0005-0000-0000-0000A8A10000}"/>
    <cellStyle name="Note 3 3 2 4 2 3" xfId="34711" xr:uid="{00000000-0005-0000-0000-0000A9A10000}"/>
    <cellStyle name="Note 3 3 2 4 3" xfId="34712" xr:uid="{00000000-0005-0000-0000-0000AAA10000}"/>
    <cellStyle name="Note 3 3 2 4 3 2" xfId="34713" xr:uid="{00000000-0005-0000-0000-0000ABA10000}"/>
    <cellStyle name="Note 3 3 2 4 3 3" xfId="34714" xr:uid="{00000000-0005-0000-0000-0000ACA10000}"/>
    <cellStyle name="Note 3 3 2 4 4" xfId="34715" xr:uid="{00000000-0005-0000-0000-0000ADA10000}"/>
    <cellStyle name="Note 3 3 2 4 4 2" xfId="34716" xr:uid="{00000000-0005-0000-0000-0000AEA10000}"/>
    <cellStyle name="Note 3 3 2 4 4 3" xfId="34717" xr:uid="{00000000-0005-0000-0000-0000AFA10000}"/>
    <cellStyle name="Note 3 3 2 4 5" xfId="34718" xr:uid="{00000000-0005-0000-0000-0000B0A10000}"/>
    <cellStyle name="Note 3 3 2 4 5 2" xfId="34719" xr:uid="{00000000-0005-0000-0000-0000B1A10000}"/>
    <cellStyle name="Note 3 3 2 4 5 3" xfId="34720" xr:uid="{00000000-0005-0000-0000-0000B2A10000}"/>
    <cellStyle name="Note 3 3 2 4 6" xfId="34721" xr:uid="{00000000-0005-0000-0000-0000B3A10000}"/>
    <cellStyle name="Note 3 3 2 4 6 2" xfId="34722" xr:uid="{00000000-0005-0000-0000-0000B4A10000}"/>
    <cellStyle name="Note 3 3 2 4 6 3" xfId="34723" xr:uid="{00000000-0005-0000-0000-0000B5A10000}"/>
    <cellStyle name="Note 3 3 2 4 7" xfId="34724" xr:uid="{00000000-0005-0000-0000-0000B6A10000}"/>
    <cellStyle name="Note 3 3 2 4 7 2" xfId="34725" xr:uid="{00000000-0005-0000-0000-0000B7A10000}"/>
    <cellStyle name="Note 3 3 2 4 7 3" xfId="34726" xr:uid="{00000000-0005-0000-0000-0000B8A10000}"/>
    <cellStyle name="Note 3 3 2 4 8" xfId="44648" xr:uid="{00000000-0005-0000-0000-0000B9A10000}"/>
    <cellStyle name="Note 3 3 2 5" xfId="34727" xr:uid="{00000000-0005-0000-0000-0000BAA10000}"/>
    <cellStyle name="Note 3 3 2 5 2" xfId="34728" xr:uid="{00000000-0005-0000-0000-0000BBA10000}"/>
    <cellStyle name="Note 3 3 2 5 2 2" xfId="34729" xr:uid="{00000000-0005-0000-0000-0000BCA10000}"/>
    <cellStyle name="Note 3 3 2 5 2 3" xfId="34730" xr:uid="{00000000-0005-0000-0000-0000BDA10000}"/>
    <cellStyle name="Note 3 3 2 5 3" xfId="34731" xr:uid="{00000000-0005-0000-0000-0000BEA10000}"/>
    <cellStyle name="Note 3 3 2 5 3 2" xfId="34732" xr:uid="{00000000-0005-0000-0000-0000BFA10000}"/>
    <cellStyle name="Note 3 3 2 5 3 3" xfId="34733" xr:uid="{00000000-0005-0000-0000-0000C0A10000}"/>
    <cellStyle name="Note 3 3 2 5 4" xfId="34734" xr:uid="{00000000-0005-0000-0000-0000C1A10000}"/>
    <cellStyle name="Note 3 3 2 5 4 2" xfId="34735" xr:uid="{00000000-0005-0000-0000-0000C2A10000}"/>
    <cellStyle name="Note 3 3 2 5 4 3" xfId="34736" xr:uid="{00000000-0005-0000-0000-0000C3A10000}"/>
    <cellStyle name="Note 3 3 2 5 5" xfId="34737" xr:uid="{00000000-0005-0000-0000-0000C4A10000}"/>
    <cellStyle name="Note 3 3 2 5 5 2" xfId="34738" xr:uid="{00000000-0005-0000-0000-0000C5A10000}"/>
    <cellStyle name="Note 3 3 2 5 5 3" xfId="34739" xr:uid="{00000000-0005-0000-0000-0000C6A10000}"/>
    <cellStyle name="Note 3 3 2 5 6" xfId="34740" xr:uid="{00000000-0005-0000-0000-0000C7A10000}"/>
    <cellStyle name="Note 3 3 2 5 6 2" xfId="34741" xr:uid="{00000000-0005-0000-0000-0000C8A10000}"/>
    <cellStyle name="Note 3 3 2 5 6 3" xfId="34742" xr:uid="{00000000-0005-0000-0000-0000C9A10000}"/>
    <cellStyle name="Note 3 3 2 5 7" xfId="34743" xr:uid="{00000000-0005-0000-0000-0000CAA10000}"/>
    <cellStyle name="Note 3 3 2 5 7 2" xfId="34744" xr:uid="{00000000-0005-0000-0000-0000CBA10000}"/>
    <cellStyle name="Note 3 3 2 5 7 3" xfId="34745" xr:uid="{00000000-0005-0000-0000-0000CCA10000}"/>
    <cellStyle name="Note 3 3 2 5 8" xfId="44649" xr:uid="{00000000-0005-0000-0000-0000CDA10000}"/>
    <cellStyle name="Note 3 3 2 6" xfId="34746" xr:uid="{00000000-0005-0000-0000-0000CEA10000}"/>
    <cellStyle name="Note 3 3 2 6 2" xfId="34747" xr:uid="{00000000-0005-0000-0000-0000CFA10000}"/>
    <cellStyle name="Note 3 3 2 7" xfId="34748" xr:uid="{00000000-0005-0000-0000-0000D0A10000}"/>
    <cellStyle name="Note 3 3 2 7 2" xfId="34749" xr:uid="{00000000-0005-0000-0000-0000D1A10000}"/>
    <cellStyle name="Note 3 3 2 7 3" xfId="34750" xr:uid="{00000000-0005-0000-0000-0000D2A10000}"/>
    <cellStyle name="Note 3 3 2 8" xfId="34751" xr:uid="{00000000-0005-0000-0000-0000D3A10000}"/>
    <cellStyle name="Note 3 3 2 8 2" xfId="34752" xr:uid="{00000000-0005-0000-0000-0000D4A10000}"/>
    <cellStyle name="Note 3 3 2 8 3" xfId="34753" xr:uid="{00000000-0005-0000-0000-0000D5A10000}"/>
    <cellStyle name="Note 3 3 2 9" xfId="34754" xr:uid="{00000000-0005-0000-0000-0000D6A10000}"/>
    <cellStyle name="Note 3 3 2 9 2" xfId="34755" xr:uid="{00000000-0005-0000-0000-0000D7A10000}"/>
    <cellStyle name="Note 3 3 2 9 3" xfId="34756" xr:uid="{00000000-0005-0000-0000-0000D8A10000}"/>
    <cellStyle name="Note 3 3 3" xfId="34757" xr:uid="{00000000-0005-0000-0000-0000D9A10000}"/>
    <cellStyle name="Note 3 3 3 2" xfId="34758" xr:uid="{00000000-0005-0000-0000-0000DAA10000}"/>
    <cellStyle name="Note 3 3 3 2 2" xfId="34759" xr:uid="{00000000-0005-0000-0000-0000DBA10000}"/>
    <cellStyle name="Note 3 3 3 2 3" xfId="34760" xr:uid="{00000000-0005-0000-0000-0000DCA10000}"/>
    <cellStyle name="Note 3 3 3 3" xfId="34761" xr:uid="{00000000-0005-0000-0000-0000DDA10000}"/>
    <cellStyle name="Note 3 3 3 3 2" xfId="34762" xr:uid="{00000000-0005-0000-0000-0000DEA10000}"/>
    <cellStyle name="Note 3 3 3 3 3" xfId="34763" xr:uid="{00000000-0005-0000-0000-0000DFA10000}"/>
    <cellStyle name="Note 3 3 3 4" xfId="34764" xr:uid="{00000000-0005-0000-0000-0000E0A10000}"/>
    <cellStyle name="Note 3 3 3 4 2" xfId="34765" xr:uid="{00000000-0005-0000-0000-0000E1A10000}"/>
    <cellStyle name="Note 3 3 3 4 3" xfId="34766" xr:uid="{00000000-0005-0000-0000-0000E2A10000}"/>
    <cellStyle name="Note 3 3 3 5" xfId="34767" xr:uid="{00000000-0005-0000-0000-0000E3A10000}"/>
    <cellStyle name="Note 3 3 3 5 2" xfId="34768" xr:uid="{00000000-0005-0000-0000-0000E4A10000}"/>
    <cellStyle name="Note 3 3 3 5 3" xfId="34769" xr:uid="{00000000-0005-0000-0000-0000E5A10000}"/>
    <cellStyle name="Note 3 3 3 6" xfId="34770" xr:uid="{00000000-0005-0000-0000-0000E6A10000}"/>
    <cellStyle name="Note 3 3 3 6 2" xfId="34771" xr:uid="{00000000-0005-0000-0000-0000E7A10000}"/>
    <cellStyle name="Note 3 3 3 6 3" xfId="34772" xr:uid="{00000000-0005-0000-0000-0000E8A10000}"/>
    <cellStyle name="Note 3 3 3 7" xfId="34773" xr:uid="{00000000-0005-0000-0000-0000E9A10000}"/>
    <cellStyle name="Note 3 3 3 7 2" xfId="34774" xr:uid="{00000000-0005-0000-0000-0000EAA10000}"/>
    <cellStyle name="Note 3 3 3 7 3" xfId="34775" xr:uid="{00000000-0005-0000-0000-0000EBA10000}"/>
    <cellStyle name="Note 3 3 3 8" xfId="44650" xr:uid="{00000000-0005-0000-0000-0000ECA10000}"/>
    <cellStyle name="Note 3 3 4" xfId="34776" xr:uid="{00000000-0005-0000-0000-0000EDA10000}"/>
    <cellStyle name="Note 3 3 4 2" xfId="34777" xr:uid="{00000000-0005-0000-0000-0000EEA10000}"/>
    <cellStyle name="Note 3 3 4 3" xfId="34778" xr:uid="{00000000-0005-0000-0000-0000EFA10000}"/>
    <cellStyle name="Note 3 3 5" xfId="34779" xr:uid="{00000000-0005-0000-0000-0000F0A10000}"/>
    <cellStyle name="Note 3 3 5 2" xfId="34780" xr:uid="{00000000-0005-0000-0000-0000F1A10000}"/>
    <cellStyle name="Note 3 3 5 3" xfId="34781" xr:uid="{00000000-0005-0000-0000-0000F2A10000}"/>
    <cellStyle name="Note 3 3 6" xfId="34782" xr:uid="{00000000-0005-0000-0000-0000F3A10000}"/>
    <cellStyle name="Note 3 3 6 2" xfId="34783" xr:uid="{00000000-0005-0000-0000-0000F4A10000}"/>
    <cellStyle name="Note 3 3 6 3" xfId="34784" xr:uid="{00000000-0005-0000-0000-0000F5A10000}"/>
    <cellStyle name="Note 3 3 7" xfId="34785" xr:uid="{00000000-0005-0000-0000-0000F6A10000}"/>
    <cellStyle name="Note 3 4" xfId="2261" xr:uid="{00000000-0005-0000-0000-0000F7A10000}"/>
    <cellStyle name="Note 3 4 2" xfId="34786" xr:uid="{00000000-0005-0000-0000-0000F8A10000}"/>
    <cellStyle name="Note 3 4 2 10" xfId="34787" xr:uid="{00000000-0005-0000-0000-0000F9A10000}"/>
    <cellStyle name="Note 3 4 2 10 2" xfId="34788" xr:uid="{00000000-0005-0000-0000-0000FAA10000}"/>
    <cellStyle name="Note 3 4 2 10 3" xfId="34789" xr:uid="{00000000-0005-0000-0000-0000FBA10000}"/>
    <cellStyle name="Note 3 4 2 11" xfId="34790" xr:uid="{00000000-0005-0000-0000-0000FCA10000}"/>
    <cellStyle name="Note 3 4 2 11 2" xfId="34791" xr:uid="{00000000-0005-0000-0000-0000FDA10000}"/>
    <cellStyle name="Note 3 4 2 11 3" xfId="34792" xr:uid="{00000000-0005-0000-0000-0000FEA10000}"/>
    <cellStyle name="Note 3 4 2 12" xfId="44651" xr:uid="{00000000-0005-0000-0000-0000FFA10000}"/>
    <cellStyle name="Note 3 4 2 2" xfId="34793" xr:uid="{00000000-0005-0000-0000-000000A20000}"/>
    <cellStyle name="Note 3 4 2 2 2" xfId="34794" xr:uid="{00000000-0005-0000-0000-000001A20000}"/>
    <cellStyle name="Note 3 4 2 2 2 2" xfId="34795" xr:uid="{00000000-0005-0000-0000-000002A20000}"/>
    <cellStyle name="Note 3 4 2 2 2 3" xfId="34796" xr:uid="{00000000-0005-0000-0000-000003A20000}"/>
    <cellStyle name="Note 3 4 2 2 3" xfId="34797" xr:uid="{00000000-0005-0000-0000-000004A20000}"/>
    <cellStyle name="Note 3 4 2 2 3 2" xfId="34798" xr:uid="{00000000-0005-0000-0000-000005A20000}"/>
    <cellStyle name="Note 3 4 2 2 3 3" xfId="34799" xr:uid="{00000000-0005-0000-0000-000006A20000}"/>
    <cellStyle name="Note 3 4 2 2 4" xfId="34800" xr:uid="{00000000-0005-0000-0000-000007A20000}"/>
    <cellStyle name="Note 3 4 2 2 4 2" xfId="34801" xr:uid="{00000000-0005-0000-0000-000008A20000}"/>
    <cellStyle name="Note 3 4 2 2 4 3" xfId="34802" xr:uid="{00000000-0005-0000-0000-000009A20000}"/>
    <cellStyle name="Note 3 4 2 2 5" xfId="34803" xr:uid="{00000000-0005-0000-0000-00000AA20000}"/>
    <cellStyle name="Note 3 4 2 2 5 2" xfId="34804" xr:uid="{00000000-0005-0000-0000-00000BA20000}"/>
    <cellStyle name="Note 3 4 2 2 5 3" xfId="34805" xr:uid="{00000000-0005-0000-0000-00000CA20000}"/>
    <cellStyle name="Note 3 4 2 2 6" xfId="34806" xr:uid="{00000000-0005-0000-0000-00000DA20000}"/>
    <cellStyle name="Note 3 4 2 2 6 2" xfId="34807" xr:uid="{00000000-0005-0000-0000-00000EA20000}"/>
    <cellStyle name="Note 3 4 2 2 6 3" xfId="34808" xr:uid="{00000000-0005-0000-0000-00000FA20000}"/>
    <cellStyle name="Note 3 4 2 2 7" xfId="34809" xr:uid="{00000000-0005-0000-0000-000010A20000}"/>
    <cellStyle name="Note 3 4 2 2 7 2" xfId="34810" xr:uid="{00000000-0005-0000-0000-000011A20000}"/>
    <cellStyle name="Note 3 4 2 2 7 3" xfId="34811" xr:uid="{00000000-0005-0000-0000-000012A20000}"/>
    <cellStyle name="Note 3 4 2 2 8" xfId="44652" xr:uid="{00000000-0005-0000-0000-000013A20000}"/>
    <cellStyle name="Note 3 4 2 3" xfId="34812" xr:uid="{00000000-0005-0000-0000-000014A20000}"/>
    <cellStyle name="Note 3 4 2 3 2" xfId="34813" xr:uid="{00000000-0005-0000-0000-000015A20000}"/>
    <cellStyle name="Note 3 4 2 3 2 2" xfId="34814" xr:uid="{00000000-0005-0000-0000-000016A20000}"/>
    <cellStyle name="Note 3 4 2 3 2 3" xfId="34815" xr:uid="{00000000-0005-0000-0000-000017A20000}"/>
    <cellStyle name="Note 3 4 2 3 3" xfId="34816" xr:uid="{00000000-0005-0000-0000-000018A20000}"/>
    <cellStyle name="Note 3 4 2 3 3 2" xfId="34817" xr:uid="{00000000-0005-0000-0000-000019A20000}"/>
    <cellStyle name="Note 3 4 2 3 3 3" xfId="34818" xr:uid="{00000000-0005-0000-0000-00001AA20000}"/>
    <cellStyle name="Note 3 4 2 3 4" xfId="34819" xr:uid="{00000000-0005-0000-0000-00001BA20000}"/>
    <cellStyle name="Note 3 4 2 3 4 2" xfId="34820" xr:uid="{00000000-0005-0000-0000-00001CA20000}"/>
    <cellStyle name="Note 3 4 2 3 4 3" xfId="34821" xr:uid="{00000000-0005-0000-0000-00001DA20000}"/>
    <cellStyle name="Note 3 4 2 3 5" xfId="34822" xr:uid="{00000000-0005-0000-0000-00001EA20000}"/>
    <cellStyle name="Note 3 4 2 3 5 2" xfId="34823" xr:uid="{00000000-0005-0000-0000-00001FA20000}"/>
    <cellStyle name="Note 3 4 2 3 5 3" xfId="34824" xr:uid="{00000000-0005-0000-0000-000020A20000}"/>
    <cellStyle name="Note 3 4 2 3 6" xfId="34825" xr:uid="{00000000-0005-0000-0000-000021A20000}"/>
    <cellStyle name="Note 3 4 2 3 6 2" xfId="34826" xr:uid="{00000000-0005-0000-0000-000022A20000}"/>
    <cellStyle name="Note 3 4 2 3 6 3" xfId="34827" xr:uid="{00000000-0005-0000-0000-000023A20000}"/>
    <cellStyle name="Note 3 4 2 3 7" xfId="34828" xr:uid="{00000000-0005-0000-0000-000024A20000}"/>
    <cellStyle name="Note 3 4 2 3 7 2" xfId="34829" xr:uid="{00000000-0005-0000-0000-000025A20000}"/>
    <cellStyle name="Note 3 4 2 3 7 3" xfId="34830" xr:uid="{00000000-0005-0000-0000-000026A20000}"/>
    <cellStyle name="Note 3 4 2 3 8" xfId="44653" xr:uid="{00000000-0005-0000-0000-000027A20000}"/>
    <cellStyle name="Note 3 4 2 4" xfId="34831" xr:uid="{00000000-0005-0000-0000-000028A20000}"/>
    <cellStyle name="Note 3 4 2 4 2" xfId="34832" xr:uid="{00000000-0005-0000-0000-000029A20000}"/>
    <cellStyle name="Note 3 4 2 4 2 2" xfId="34833" xr:uid="{00000000-0005-0000-0000-00002AA20000}"/>
    <cellStyle name="Note 3 4 2 4 2 3" xfId="34834" xr:uid="{00000000-0005-0000-0000-00002BA20000}"/>
    <cellStyle name="Note 3 4 2 4 3" xfId="34835" xr:uid="{00000000-0005-0000-0000-00002CA20000}"/>
    <cellStyle name="Note 3 4 2 4 3 2" xfId="34836" xr:uid="{00000000-0005-0000-0000-00002DA20000}"/>
    <cellStyle name="Note 3 4 2 4 3 3" xfId="34837" xr:uid="{00000000-0005-0000-0000-00002EA20000}"/>
    <cellStyle name="Note 3 4 2 4 4" xfId="34838" xr:uid="{00000000-0005-0000-0000-00002FA20000}"/>
    <cellStyle name="Note 3 4 2 4 4 2" xfId="34839" xr:uid="{00000000-0005-0000-0000-000030A20000}"/>
    <cellStyle name="Note 3 4 2 4 4 3" xfId="34840" xr:uid="{00000000-0005-0000-0000-000031A20000}"/>
    <cellStyle name="Note 3 4 2 4 5" xfId="34841" xr:uid="{00000000-0005-0000-0000-000032A20000}"/>
    <cellStyle name="Note 3 4 2 4 5 2" xfId="34842" xr:uid="{00000000-0005-0000-0000-000033A20000}"/>
    <cellStyle name="Note 3 4 2 4 5 3" xfId="34843" xr:uid="{00000000-0005-0000-0000-000034A20000}"/>
    <cellStyle name="Note 3 4 2 4 6" xfId="34844" xr:uid="{00000000-0005-0000-0000-000035A20000}"/>
    <cellStyle name="Note 3 4 2 4 6 2" xfId="34845" xr:uid="{00000000-0005-0000-0000-000036A20000}"/>
    <cellStyle name="Note 3 4 2 4 6 3" xfId="34846" xr:uid="{00000000-0005-0000-0000-000037A20000}"/>
    <cellStyle name="Note 3 4 2 4 7" xfId="34847" xr:uid="{00000000-0005-0000-0000-000038A20000}"/>
    <cellStyle name="Note 3 4 2 4 7 2" xfId="34848" xr:uid="{00000000-0005-0000-0000-000039A20000}"/>
    <cellStyle name="Note 3 4 2 4 7 3" xfId="34849" xr:uid="{00000000-0005-0000-0000-00003AA20000}"/>
    <cellStyle name="Note 3 4 2 4 8" xfId="44654" xr:uid="{00000000-0005-0000-0000-00003BA20000}"/>
    <cellStyle name="Note 3 4 2 5" xfId="34850" xr:uid="{00000000-0005-0000-0000-00003CA20000}"/>
    <cellStyle name="Note 3 4 2 5 2" xfId="34851" xr:uid="{00000000-0005-0000-0000-00003DA20000}"/>
    <cellStyle name="Note 3 4 2 5 2 2" xfId="34852" xr:uid="{00000000-0005-0000-0000-00003EA20000}"/>
    <cellStyle name="Note 3 4 2 5 2 3" xfId="34853" xr:uid="{00000000-0005-0000-0000-00003FA20000}"/>
    <cellStyle name="Note 3 4 2 5 3" xfId="34854" xr:uid="{00000000-0005-0000-0000-000040A20000}"/>
    <cellStyle name="Note 3 4 2 5 3 2" xfId="34855" xr:uid="{00000000-0005-0000-0000-000041A20000}"/>
    <cellStyle name="Note 3 4 2 5 3 3" xfId="34856" xr:uid="{00000000-0005-0000-0000-000042A20000}"/>
    <cellStyle name="Note 3 4 2 5 4" xfId="34857" xr:uid="{00000000-0005-0000-0000-000043A20000}"/>
    <cellStyle name="Note 3 4 2 5 4 2" xfId="34858" xr:uid="{00000000-0005-0000-0000-000044A20000}"/>
    <cellStyle name="Note 3 4 2 5 4 3" xfId="34859" xr:uid="{00000000-0005-0000-0000-000045A20000}"/>
    <cellStyle name="Note 3 4 2 5 5" xfId="34860" xr:uid="{00000000-0005-0000-0000-000046A20000}"/>
    <cellStyle name="Note 3 4 2 5 5 2" xfId="34861" xr:uid="{00000000-0005-0000-0000-000047A20000}"/>
    <cellStyle name="Note 3 4 2 5 5 3" xfId="34862" xr:uid="{00000000-0005-0000-0000-000048A20000}"/>
    <cellStyle name="Note 3 4 2 5 6" xfId="34863" xr:uid="{00000000-0005-0000-0000-000049A20000}"/>
    <cellStyle name="Note 3 4 2 5 6 2" xfId="34864" xr:uid="{00000000-0005-0000-0000-00004AA20000}"/>
    <cellStyle name="Note 3 4 2 5 6 3" xfId="34865" xr:uid="{00000000-0005-0000-0000-00004BA20000}"/>
    <cellStyle name="Note 3 4 2 5 7" xfId="34866" xr:uid="{00000000-0005-0000-0000-00004CA20000}"/>
    <cellStyle name="Note 3 4 2 5 7 2" xfId="34867" xr:uid="{00000000-0005-0000-0000-00004DA20000}"/>
    <cellStyle name="Note 3 4 2 5 7 3" xfId="34868" xr:uid="{00000000-0005-0000-0000-00004EA20000}"/>
    <cellStyle name="Note 3 4 2 5 8" xfId="44655" xr:uid="{00000000-0005-0000-0000-00004FA20000}"/>
    <cellStyle name="Note 3 4 2 6" xfId="34869" xr:uid="{00000000-0005-0000-0000-000050A20000}"/>
    <cellStyle name="Note 3 4 2 6 2" xfId="34870" xr:uid="{00000000-0005-0000-0000-000051A20000}"/>
    <cellStyle name="Note 3 4 2 7" xfId="34871" xr:uid="{00000000-0005-0000-0000-000052A20000}"/>
    <cellStyle name="Note 3 4 2 7 2" xfId="34872" xr:uid="{00000000-0005-0000-0000-000053A20000}"/>
    <cellStyle name="Note 3 4 2 7 3" xfId="34873" xr:uid="{00000000-0005-0000-0000-000054A20000}"/>
    <cellStyle name="Note 3 4 2 8" xfId="34874" xr:uid="{00000000-0005-0000-0000-000055A20000}"/>
    <cellStyle name="Note 3 4 2 8 2" xfId="34875" xr:uid="{00000000-0005-0000-0000-000056A20000}"/>
    <cellStyle name="Note 3 4 2 8 3" xfId="34876" xr:uid="{00000000-0005-0000-0000-000057A20000}"/>
    <cellStyle name="Note 3 4 2 9" xfId="34877" xr:uid="{00000000-0005-0000-0000-000058A20000}"/>
    <cellStyle name="Note 3 4 2 9 2" xfId="34878" xr:uid="{00000000-0005-0000-0000-000059A20000}"/>
    <cellStyle name="Note 3 4 2 9 3" xfId="34879" xr:uid="{00000000-0005-0000-0000-00005AA20000}"/>
    <cellStyle name="Note 3 4 3" xfId="34880" xr:uid="{00000000-0005-0000-0000-00005BA20000}"/>
    <cellStyle name="Note 3 4 3 2" xfId="34881" xr:uid="{00000000-0005-0000-0000-00005CA20000}"/>
    <cellStyle name="Note 3 4 3 2 2" xfId="34882" xr:uid="{00000000-0005-0000-0000-00005DA20000}"/>
    <cellStyle name="Note 3 4 3 2 3" xfId="34883" xr:uid="{00000000-0005-0000-0000-00005EA20000}"/>
    <cellStyle name="Note 3 4 3 3" xfId="34884" xr:uid="{00000000-0005-0000-0000-00005FA20000}"/>
    <cellStyle name="Note 3 4 3 3 2" xfId="34885" xr:uid="{00000000-0005-0000-0000-000060A20000}"/>
    <cellStyle name="Note 3 4 3 3 3" xfId="34886" xr:uid="{00000000-0005-0000-0000-000061A20000}"/>
    <cellStyle name="Note 3 4 3 4" xfId="34887" xr:uid="{00000000-0005-0000-0000-000062A20000}"/>
    <cellStyle name="Note 3 4 3 4 2" xfId="34888" xr:uid="{00000000-0005-0000-0000-000063A20000}"/>
    <cellStyle name="Note 3 4 3 4 3" xfId="34889" xr:uid="{00000000-0005-0000-0000-000064A20000}"/>
    <cellStyle name="Note 3 4 3 5" xfId="34890" xr:uid="{00000000-0005-0000-0000-000065A20000}"/>
    <cellStyle name="Note 3 4 3 5 2" xfId="34891" xr:uid="{00000000-0005-0000-0000-000066A20000}"/>
    <cellStyle name="Note 3 4 3 5 3" xfId="34892" xr:uid="{00000000-0005-0000-0000-000067A20000}"/>
    <cellStyle name="Note 3 4 3 6" xfId="34893" xr:uid="{00000000-0005-0000-0000-000068A20000}"/>
    <cellStyle name="Note 3 4 3 6 2" xfId="34894" xr:uid="{00000000-0005-0000-0000-000069A20000}"/>
    <cellStyle name="Note 3 4 3 6 3" xfId="34895" xr:uid="{00000000-0005-0000-0000-00006AA20000}"/>
    <cellStyle name="Note 3 4 3 7" xfId="34896" xr:uid="{00000000-0005-0000-0000-00006BA20000}"/>
    <cellStyle name="Note 3 4 3 7 2" xfId="34897" xr:uid="{00000000-0005-0000-0000-00006CA20000}"/>
    <cellStyle name="Note 3 4 3 7 3" xfId="34898" xr:uid="{00000000-0005-0000-0000-00006DA20000}"/>
    <cellStyle name="Note 3 4 3 8" xfId="44656" xr:uid="{00000000-0005-0000-0000-00006EA20000}"/>
    <cellStyle name="Note 3 4 4" xfId="34899" xr:uid="{00000000-0005-0000-0000-00006FA20000}"/>
    <cellStyle name="Note 3 4 4 2" xfId="34900" xr:uid="{00000000-0005-0000-0000-000070A20000}"/>
    <cellStyle name="Note 3 4 4 3" xfId="34901" xr:uid="{00000000-0005-0000-0000-000071A20000}"/>
    <cellStyle name="Note 3 4 5" xfId="34902" xr:uid="{00000000-0005-0000-0000-000072A20000}"/>
    <cellStyle name="Note 3 4 5 2" xfId="34903" xr:uid="{00000000-0005-0000-0000-000073A20000}"/>
    <cellStyle name="Note 3 4 5 3" xfId="34904" xr:uid="{00000000-0005-0000-0000-000074A20000}"/>
    <cellStyle name="Note 3 4 6" xfId="34905" xr:uid="{00000000-0005-0000-0000-000075A20000}"/>
    <cellStyle name="Note 3 4 6 2" xfId="34906" xr:uid="{00000000-0005-0000-0000-000076A20000}"/>
    <cellStyle name="Note 3 4 6 3" xfId="34907" xr:uid="{00000000-0005-0000-0000-000077A20000}"/>
    <cellStyle name="Note 3 4 7" xfId="44657" xr:uid="{00000000-0005-0000-0000-000078A20000}"/>
    <cellStyle name="Note 3 5" xfId="34908" xr:uid="{00000000-0005-0000-0000-000079A20000}"/>
    <cellStyle name="Note 3 5 10" xfId="34909" xr:uid="{00000000-0005-0000-0000-00007AA20000}"/>
    <cellStyle name="Note 3 5 10 2" xfId="34910" xr:uid="{00000000-0005-0000-0000-00007BA20000}"/>
    <cellStyle name="Note 3 5 10 3" xfId="34911" xr:uid="{00000000-0005-0000-0000-00007CA20000}"/>
    <cellStyle name="Note 3 5 11" xfId="34912" xr:uid="{00000000-0005-0000-0000-00007DA20000}"/>
    <cellStyle name="Note 3 5 11 2" xfId="34913" xr:uid="{00000000-0005-0000-0000-00007EA20000}"/>
    <cellStyle name="Note 3 5 11 3" xfId="34914" xr:uid="{00000000-0005-0000-0000-00007FA20000}"/>
    <cellStyle name="Note 3 5 12" xfId="44658" xr:uid="{00000000-0005-0000-0000-000080A20000}"/>
    <cellStyle name="Note 3 5 2" xfId="34915" xr:uid="{00000000-0005-0000-0000-000081A20000}"/>
    <cellStyle name="Note 3 5 2 2" xfId="34916" xr:uid="{00000000-0005-0000-0000-000082A20000}"/>
    <cellStyle name="Note 3 5 2 2 2" xfId="34917" xr:uid="{00000000-0005-0000-0000-000083A20000}"/>
    <cellStyle name="Note 3 5 2 2 3" xfId="34918" xr:uid="{00000000-0005-0000-0000-000084A20000}"/>
    <cellStyle name="Note 3 5 2 3" xfId="34919" xr:uid="{00000000-0005-0000-0000-000085A20000}"/>
    <cellStyle name="Note 3 5 2 3 2" xfId="34920" xr:uid="{00000000-0005-0000-0000-000086A20000}"/>
    <cellStyle name="Note 3 5 2 3 3" xfId="34921" xr:uid="{00000000-0005-0000-0000-000087A20000}"/>
    <cellStyle name="Note 3 5 2 4" xfId="34922" xr:uid="{00000000-0005-0000-0000-000088A20000}"/>
    <cellStyle name="Note 3 5 2 4 2" xfId="34923" xr:uid="{00000000-0005-0000-0000-000089A20000}"/>
    <cellStyle name="Note 3 5 2 4 3" xfId="34924" xr:uid="{00000000-0005-0000-0000-00008AA20000}"/>
    <cellStyle name="Note 3 5 2 5" xfId="34925" xr:uid="{00000000-0005-0000-0000-00008BA20000}"/>
    <cellStyle name="Note 3 5 2 5 2" xfId="34926" xr:uid="{00000000-0005-0000-0000-00008CA20000}"/>
    <cellStyle name="Note 3 5 2 5 3" xfId="34927" xr:uid="{00000000-0005-0000-0000-00008DA20000}"/>
    <cellStyle name="Note 3 5 2 6" xfId="34928" xr:uid="{00000000-0005-0000-0000-00008EA20000}"/>
    <cellStyle name="Note 3 5 2 6 2" xfId="34929" xr:uid="{00000000-0005-0000-0000-00008FA20000}"/>
    <cellStyle name="Note 3 5 2 6 3" xfId="34930" xr:uid="{00000000-0005-0000-0000-000090A20000}"/>
    <cellStyle name="Note 3 5 2 7" xfId="34931" xr:uid="{00000000-0005-0000-0000-000091A20000}"/>
    <cellStyle name="Note 3 5 2 7 2" xfId="34932" xr:uid="{00000000-0005-0000-0000-000092A20000}"/>
    <cellStyle name="Note 3 5 2 7 3" xfId="34933" xr:uid="{00000000-0005-0000-0000-000093A20000}"/>
    <cellStyle name="Note 3 5 2 8" xfId="44659" xr:uid="{00000000-0005-0000-0000-000094A20000}"/>
    <cellStyle name="Note 3 5 3" xfId="34934" xr:uid="{00000000-0005-0000-0000-000095A20000}"/>
    <cellStyle name="Note 3 5 3 2" xfId="34935" xr:uid="{00000000-0005-0000-0000-000096A20000}"/>
    <cellStyle name="Note 3 5 3 2 2" xfId="34936" xr:uid="{00000000-0005-0000-0000-000097A20000}"/>
    <cellStyle name="Note 3 5 3 2 3" xfId="34937" xr:uid="{00000000-0005-0000-0000-000098A20000}"/>
    <cellStyle name="Note 3 5 3 3" xfId="34938" xr:uid="{00000000-0005-0000-0000-000099A20000}"/>
    <cellStyle name="Note 3 5 3 3 2" xfId="34939" xr:uid="{00000000-0005-0000-0000-00009AA20000}"/>
    <cellStyle name="Note 3 5 3 3 3" xfId="34940" xr:uid="{00000000-0005-0000-0000-00009BA20000}"/>
    <cellStyle name="Note 3 5 3 4" xfId="34941" xr:uid="{00000000-0005-0000-0000-00009CA20000}"/>
    <cellStyle name="Note 3 5 3 4 2" xfId="34942" xr:uid="{00000000-0005-0000-0000-00009DA20000}"/>
    <cellStyle name="Note 3 5 3 4 3" xfId="34943" xr:uid="{00000000-0005-0000-0000-00009EA20000}"/>
    <cellStyle name="Note 3 5 3 5" xfId="34944" xr:uid="{00000000-0005-0000-0000-00009FA20000}"/>
    <cellStyle name="Note 3 5 3 5 2" xfId="34945" xr:uid="{00000000-0005-0000-0000-0000A0A20000}"/>
    <cellStyle name="Note 3 5 3 5 3" xfId="34946" xr:uid="{00000000-0005-0000-0000-0000A1A20000}"/>
    <cellStyle name="Note 3 5 3 6" xfId="34947" xr:uid="{00000000-0005-0000-0000-0000A2A20000}"/>
    <cellStyle name="Note 3 5 3 6 2" xfId="34948" xr:uid="{00000000-0005-0000-0000-0000A3A20000}"/>
    <cellStyle name="Note 3 5 3 6 3" xfId="34949" xr:uid="{00000000-0005-0000-0000-0000A4A20000}"/>
    <cellStyle name="Note 3 5 3 7" xfId="34950" xr:uid="{00000000-0005-0000-0000-0000A5A20000}"/>
    <cellStyle name="Note 3 5 3 7 2" xfId="34951" xr:uid="{00000000-0005-0000-0000-0000A6A20000}"/>
    <cellStyle name="Note 3 5 3 7 3" xfId="34952" xr:uid="{00000000-0005-0000-0000-0000A7A20000}"/>
    <cellStyle name="Note 3 5 3 8" xfId="44660" xr:uid="{00000000-0005-0000-0000-0000A8A20000}"/>
    <cellStyle name="Note 3 5 4" xfId="34953" xr:uid="{00000000-0005-0000-0000-0000A9A20000}"/>
    <cellStyle name="Note 3 5 4 2" xfId="34954" xr:uid="{00000000-0005-0000-0000-0000AAA20000}"/>
    <cellStyle name="Note 3 5 4 2 2" xfId="34955" xr:uid="{00000000-0005-0000-0000-0000ABA20000}"/>
    <cellStyle name="Note 3 5 4 2 3" xfId="34956" xr:uid="{00000000-0005-0000-0000-0000ACA20000}"/>
    <cellStyle name="Note 3 5 4 3" xfId="34957" xr:uid="{00000000-0005-0000-0000-0000ADA20000}"/>
    <cellStyle name="Note 3 5 4 3 2" xfId="34958" xr:uid="{00000000-0005-0000-0000-0000AEA20000}"/>
    <cellStyle name="Note 3 5 4 3 3" xfId="34959" xr:uid="{00000000-0005-0000-0000-0000AFA20000}"/>
    <cellStyle name="Note 3 5 4 4" xfId="34960" xr:uid="{00000000-0005-0000-0000-0000B0A20000}"/>
    <cellStyle name="Note 3 5 4 4 2" xfId="34961" xr:uid="{00000000-0005-0000-0000-0000B1A20000}"/>
    <cellStyle name="Note 3 5 4 4 3" xfId="34962" xr:uid="{00000000-0005-0000-0000-0000B2A20000}"/>
    <cellStyle name="Note 3 5 4 5" xfId="34963" xr:uid="{00000000-0005-0000-0000-0000B3A20000}"/>
    <cellStyle name="Note 3 5 4 5 2" xfId="34964" xr:uid="{00000000-0005-0000-0000-0000B4A20000}"/>
    <cellStyle name="Note 3 5 4 5 3" xfId="34965" xr:uid="{00000000-0005-0000-0000-0000B5A20000}"/>
    <cellStyle name="Note 3 5 4 6" xfId="34966" xr:uid="{00000000-0005-0000-0000-0000B6A20000}"/>
    <cellStyle name="Note 3 5 4 6 2" xfId="34967" xr:uid="{00000000-0005-0000-0000-0000B7A20000}"/>
    <cellStyle name="Note 3 5 4 6 3" xfId="34968" xr:uid="{00000000-0005-0000-0000-0000B8A20000}"/>
    <cellStyle name="Note 3 5 4 7" xfId="34969" xr:uid="{00000000-0005-0000-0000-0000B9A20000}"/>
    <cellStyle name="Note 3 5 4 7 2" xfId="34970" xr:uid="{00000000-0005-0000-0000-0000BAA20000}"/>
    <cellStyle name="Note 3 5 4 7 3" xfId="34971" xr:uid="{00000000-0005-0000-0000-0000BBA20000}"/>
    <cellStyle name="Note 3 5 4 8" xfId="44661" xr:uid="{00000000-0005-0000-0000-0000BCA20000}"/>
    <cellStyle name="Note 3 5 5" xfId="34972" xr:uid="{00000000-0005-0000-0000-0000BDA20000}"/>
    <cellStyle name="Note 3 5 5 2" xfId="34973" xr:uid="{00000000-0005-0000-0000-0000BEA20000}"/>
    <cellStyle name="Note 3 5 5 2 2" xfId="34974" xr:uid="{00000000-0005-0000-0000-0000BFA20000}"/>
    <cellStyle name="Note 3 5 5 2 3" xfId="34975" xr:uid="{00000000-0005-0000-0000-0000C0A20000}"/>
    <cellStyle name="Note 3 5 5 3" xfId="34976" xr:uid="{00000000-0005-0000-0000-0000C1A20000}"/>
    <cellStyle name="Note 3 5 5 3 2" xfId="34977" xr:uid="{00000000-0005-0000-0000-0000C2A20000}"/>
    <cellStyle name="Note 3 5 5 3 3" xfId="34978" xr:uid="{00000000-0005-0000-0000-0000C3A20000}"/>
    <cellStyle name="Note 3 5 5 4" xfId="34979" xr:uid="{00000000-0005-0000-0000-0000C4A20000}"/>
    <cellStyle name="Note 3 5 5 4 2" xfId="34980" xr:uid="{00000000-0005-0000-0000-0000C5A20000}"/>
    <cellStyle name="Note 3 5 5 4 3" xfId="34981" xr:uid="{00000000-0005-0000-0000-0000C6A20000}"/>
    <cellStyle name="Note 3 5 5 5" xfId="34982" xr:uid="{00000000-0005-0000-0000-0000C7A20000}"/>
    <cellStyle name="Note 3 5 5 5 2" xfId="34983" xr:uid="{00000000-0005-0000-0000-0000C8A20000}"/>
    <cellStyle name="Note 3 5 5 5 3" xfId="34984" xr:uid="{00000000-0005-0000-0000-0000C9A20000}"/>
    <cellStyle name="Note 3 5 5 6" xfId="34985" xr:uid="{00000000-0005-0000-0000-0000CAA20000}"/>
    <cellStyle name="Note 3 5 5 6 2" xfId="34986" xr:uid="{00000000-0005-0000-0000-0000CBA20000}"/>
    <cellStyle name="Note 3 5 5 6 3" xfId="34987" xr:uid="{00000000-0005-0000-0000-0000CCA20000}"/>
    <cellStyle name="Note 3 5 5 7" xfId="34988" xr:uid="{00000000-0005-0000-0000-0000CDA20000}"/>
    <cellStyle name="Note 3 5 5 7 2" xfId="34989" xr:uid="{00000000-0005-0000-0000-0000CEA20000}"/>
    <cellStyle name="Note 3 5 5 7 3" xfId="34990" xr:uid="{00000000-0005-0000-0000-0000CFA20000}"/>
    <cellStyle name="Note 3 5 5 8" xfId="44662" xr:uid="{00000000-0005-0000-0000-0000D0A20000}"/>
    <cellStyle name="Note 3 5 6" xfId="34991" xr:uid="{00000000-0005-0000-0000-0000D1A20000}"/>
    <cellStyle name="Note 3 5 6 2" xfId="34992" xr:uid="{00000000-0005-0000-0000-0000D2A20000}"/>
    <cellStyle name="Note 3 5 7" xfId="34993" xr:uid="{00000000-0005-0000-0000-0000D3A20000}"/>
    <cellStyle name="Note 3 5 7 2" xfId="34994" xr:uid="{00000000-0005-0000-0000-0000D4A20000}"/>
    <cellStyle name="Note 3 5 7 3" xfId="34995" xr:uid="{00000000-0005-0000-0000-0000D5A20000}"/>
    <cellStyle name="Note 3 5 8" xfId="34996" xr:uid="{00000000-0005-0000-0000-0000D6A20000}"/>
    <cellStyle name="Note 3 5 8 2" xfId="34997" xr:uid="{00000000-0005-0000-0000-0000D7A20000}"/>
    <cellStyle name="Note 3 5 8 3" xfId="34998" xr:uid="{00000000-0005-0000-0000-0000D8A20000}"/>
    <cellStyle name="Note 3 5 9" xfId="34999" xr:uid="{00000000-0005-0000-0000-0000D9A20000}"/>
    <cellStyle name="Note 3 5 9 2" xfId="35000" xr:uid="{00000000-0005-0000-0000-0000DAA20000}"/>
    <cellStyle name="Note 3 5 9 3" xfId="35001" xr:uid="{00000000-0005-0000-0000-0000DBA20000}"/>
    <cellStyle name="Note 3 6" xfId="35002" xr:uid="{00000000-0005-0000-0000-0000DCA20000}"/>
    <cellStyle name="Note 3 6 2" xfId="35003" xr:uid="{00000000-0005-0000-0000-0000DDA20000}"/>
    <cellStyle name="Note 3 6 2 2" xfId="35004" xr:uid="{00000000-0005-0000-0000-0000DEA20000}"/>
    <cellStyle name="Note 3 6 2 3" xfId="35005" xr:uid="{00000000-0005-0000-0000-0000DFA20000}"/>
    <cellStyle name="Note 3 6 3" xfId="35006" xr:uid="{00000000-0005-0000-0000-0000E0A20000}"/>
    <cellStyle name="Note 3 6 3 2" xfId="35007" xr:uid="{00000000-0005-0000-0000-0000E1A20000}"/>
    <cellStyle name="Note 3 6 3 3" xfId="35008" xr:uid="{00000000-0005-0000-0000-0000E2A20000}"/>
    <cellStyle name="Note 3 6 4" xfId="35009" xr:uid="{00000000-0005-0000-0000-0000E3A20000}"/>
    <cellStyle name="Note 3 6 4 2" xfId="35010" xr:uid="{00000000-0005-0000-0000-0000E4A20000}"/>
    <cellStyle name="Note 3 6 4 3" xfId="35011" xr:uid="{00000000-0005-0000-0000-0000E5A20000}"/>
    <cellStyle name="Note 3 6 5" xfId="35012" xr:uid="{00000000-0005-0000-0000-0000E6A20000}"/>
    <cellStyle name="Note 3 6 5 2" xfId="35013" xr:uid="{00000000-0005-0000-0000-0000E7A20000}"/>
    <cellStyle name="Note 3 6 5 3" xfId="35014" xr:uid="{00000000-0005-0000-0000-0000E8A20000}"/>
    <cellStyle name="Note 3 6 6" xfId="35015" xr:uid="{00000000-0005-0000-0000-0000E9A20000}"/>
    <cellStyle name="Note 3 6 6 2" xfId="35016" xr:uid="{00000000-0005-0000-0000-0000EAA20000}"/>
    <cellStyle name="Note 3 6 6 3" xfId="35017" xr:uid="{00000000-0005-0000-0000-0000EBA20000}"/>
    <cellStyle name="Note 3 6 7" xfId="35018" xr:uid="{00000000-0005-0000-0000-0000ECA20000}"/>
    <cellStyle name="Note 3 6 7 2" xfId="35019" xr:uid="{00000000-0005-0000-0000-0000EDA20000}"/>
    <cellStyle name="Note 3 6 7 3" xfId="35020" xr:uid="{00000000-0005-0000-0000-0000EEA20000}"/>
    <cellStyle name="Note 3 6 8" xfId="44663" xr:uid="{00000000-0005-0000-0000-0000EFA20000}"/>
    <cellStyle name="Note 3 7" xfId="35021" xr:uid="{00000000-0005-0000-0000-0000F0A20000}"/>
    <cellStyle name="Note 3 7 2" xfId="35022" xr:uid="{00000000-0005-0000-0000-0000F1A20000}"/>
    <cellStyle name="Note 3 7 2 2" xfId="35023" xr:uid="{00000000-0005-0000-0000-0000F2A20000}"/>
    <cellStyle name="Note 3 7 2 3" xfId="35024" xr:uid="{00000000-0005-0000-0000-0000F3A20000}"/>
    <cellStyle name="Note 3 7 3" xfId="35025" xr:uid="{00000000-0005-0000-0000-0000F4A20000}"/>
    <cellStyle name="Note 3 7 3 2" xfId="35026" xr:uid="{00000000-0005-0000-0000-0000F5A20000}"/>
    <cellStyle name="Note 3 7 3 3" xfId="35027" xr:uid="{00000000-0005-0000-0000-0000F6A20000}"/>
    <cellStyle name="Note 3 7 4" xfId="35028" xr:uid="{00000000-0005-0000-0000-0000F7A20000}"/>
    <cellStyle name="Note 3 7 4 2" xfId="35029" xr:uid="{00000000-0005-0000-0000-0000F8A20000}"/>
    <cellStyle name="Note 3 7 4 3" xfId="35030" xr:uid="{00000000-0005-0000-0000-0000F9A20000}"/>
    <cellStyle name="Note 3 7 5" xfId="35031" xr:uid="{00000000-0005-0000-0000-0000FAA20000}"/>
    <cellStyle name="Note 3 7 5 2" xfId="35032" xr:uid="{00000000-0005-0000-0000-0000FBA20000}"/>
    <cellStyle name="Note 3 7 5 3" xfId="35033" xr:uid="{00000000-0005-0000-0000-0000FCA20000}"/>
    <cellStyle name="Note 3 7 6" xfId="35034" xr:uid="{00000000-0005-0000-0000-0000FDA20000}"/>
    <cellStyle name="Note 3 7 6 2" xfId="35035" xr:uid="{00000000-0005-0000-0000-0000FEA20000}"/>
    <cellStyle name="Note 3 7 6 3" xfId="35036" xr:uid="{00000000-0005-0000-0000-0000FFA20000}"/>
    <cellStyle name="Note 3 7 7" xfId="35037" xr:uid="{00000000-0005-0000-0000-000000A30000}"/>
    <cellStyle name="Note 3 7 7 2" xfId="35038" xr:uid="{00000000-0005-0000-0000-000001A30000}"/>
    <cellStyle name="Note 3 7 7 3" xfId="35039" xr:uid="{00000000-0005-0000-0000-000002A30000}"/>
    <cellStyle name="Note 3 7 8" xfId="35040" xr:uid="{00000000-0005-0000-0000-000003A30000}"/>
    <cellStyle name="Note 3 7 9" xfId="35041" xr:uid="{00000000-0005-0000-0000-000004A30000}"/>
    <cellStyle name="Note 3 8" xfId="42086" xr:uid="{00000000-0005-0000-0000-000005A30000}"/>
    <cellStyle name="Note 3 9" xfId="42087" xr:uid="{00000000-0005-0000-0000-000006A30000}"/>
    <cellStyle name="Note 4" xfId="556" xr:uid="{00000000-0005-0000-0000-000007A30000}"/>
    <cellStyle name="Note 4 10" xfId="35042" xr:uid="{00000000-0005-0000-0000-000008A30000}"/>
    <cellStyle name="Note 4 2" xfId="2262" xr:uid="{00000000-0005-0000-0000-000009A30000}"/>
    <cellStyle name="Note 4 2 2" xfId="42088" xr:uid="{00000000-0005-0000-0000-00000AA30000}"/>
    <cellStyle name="Note 4 2 2 2" xfId="42556" xr:uid="{00000000-0005-0000-0000-00000BA30000}"/>
    <cellStyle name="Note 4 2 2 3" xfId="46061" xr:uid="{00000000-0005-0000-0000-00000CA30000}"/>
    <cellStyle name="Note 4 2 3" xfId="46062" xr:uid="{00000000-0005-0000-0000-00000DA30000}"/>
    <cellStyle name="Note 4 3" xfId="35043" xr:uid="{00000000-0005-0000-0000-00000EA30000}"/>
    <cellStyle name="Note 4 3 10" xfId="35044" xr:uid="{00000000-0005-0000-0000-00000FA30000}"/>
    <cellStyle name="Note 4 3 10 2" xfId="35045" xr:uid="{00000000-0005-0000-0000-000010A30000}"/>
    <cellStyle name="Note 4 3 10 3" xfId="35046" xr:uid="{00000000-0005-0000-0000-000011A30000}"/>
    <cellStyle name="Note 4 3 11" xfId="35047" xr:uid="{00000000-0005-0000-0000-000012A30000}"/>
    <cellStyle name="Note 4 3 11 2" xfId="35048" xr:uid="{00000000-0005-0000-0000-000013A30000}"/>
    <cellStyle name="Note 4 3 11 3" xfId="35049" xr:uid="{00000000-0005-0000-0000-000014A30000}"/>
    <cellStyle name="Note 4 3 12" xfId="44664" xr:uid="{00000000-0005-0000-0000-000015A30000}"/>
    <cellStyle name="Note 4 3 2" xfId="35050" xr:uid="{00000000-0005-0000-0000-000016A30000}"/>
    <cellStyle name="Note 4 3 2 2" xfId="35051" xr:uid="{00000000-0005-0000-0000-000017A30000}"/>
    <cellStyle name="Note 4 3 2 2 2" xfId="35052" xr:uid="{00000000-0005-0000-0000-000018A30000}"/>
    <cellStyle name="Note 4 3 2 2 3" xfId="35053" xr:uid="{00000000-0005-0000-0000-000019A30000}"/>
    <cellStyle name="Note 4 3 2 3" xfId="35054" xr:uid="{00000000-0005-0000-0000-00001AA30000}"/>
    <cellStyle name="Note 4 3 2 3 2" xfId="35055" xr:uid="{00000000-0005-0000-0000-00001BA30000}"/>
    <cellStyle name="Note 4 3 2 3 3" xfId="35056" xr:uid="{00000000-0005-0000-0000-00001CA30000}"/>
    <cellStyle name="Note 4 3 2 4" xfId="35057" xr:uid="{00000000-0005-0000-0000-00001DA30000}"/>
    <cellStyle name="Note 4 3 2 4 2" xfId="35058" xr:uid="{00000000-0005-0000-0000-00001EA30000}"/>
    <cellStyle name="Note 4 3 2 4 3" xfId="35059" xr:uid="{00000000-0005-0000-0000-00001FA30000}"/>
    <cellStyle name="Note 4 3 2 5" xfId="35060" xr:uid="{00000000-0005-0000-0000-000020A30000}"/>
    <cellStyle name="Note 4 3 2 5 2" xfId="35061" xr:uid="{00000000-0005-0000-0000-000021A30000}"/>
    <cellStyle name="Note 4 3 2 5 3" xfId="35062" xr:uid="{00000000-0005-0000-0000-000022A30000}"/>
    <cellStyle name="Note 4 3 2 6" xfId="35063" xr:uid="{00000000-0005-0000-0000-000023A30000}"/>
    <cellStyle name="Note 4 3 2 6 2" xfId="35064" xr:uid="{00000000-0005-0000-0000-000024A30000}"/>
    <cellStyle name="Note 4 3 2 6 3" xfId="35065" xr:uid="{00000000-0005-0000-0000-000025A30000}"/>
    <cellStyle name="Note 4 3 2 7" xfId="35066" xr:uid="{00000000-0005-0000-0000-000026A30000}"/>
    <cellStyle name="Note 4 3 2 7 2" xfId="35067" xr:uid="{00000000-0005-0000-0000-000027A30000}"/>
    <cellStyle name="Note 4 3 2 7 3" xfId="35068" xr:uid="{00000000-0005-0000-0000-000028A30000}"/>
    <cellStyle name="Note 4 3 2 8" xfId="44665" xr:uid="{00000000-0005-0000-0000-000029A30000}"/>
    <cellStyle name="Note 4 3 3" xfId="35069" xr:uid="{00000000-0005-0000-0000-00002AA30000}"/>
    <cellStyle name="Note 4 3 3 2" xfId="35070" xr:uid="{00000000-0005-0000-0000-00002BA30000}"/>
    <cellStyle name="Note 4 3 3 2 2" xfId="35071" xr:uid="{00000000-0005-0000-0000-00002CA30000}"/>
    <cellStyle name="Note 4 3 3 2 3" xfId="35072" xr:uid="{00000000-0005-0000-0000-00002DA30000}"/>
    <cellStyle name="Note 4 3 3 3" xfId="35073" xr:uid="{00000000-0005-0000-0000-00002EA30000}"/>
    <cellStyle name="Note 4 3 3 3 2" xfId="35074" xr:uid="{00000000-0005-0000-0000-00002FA30000}"/>
    <cellStyle name="Note 4 3 3 3 3" xfId="35075" xr:uid="{00000000-0005-0000-0000-000030A30000}"/>
    <cellStyle name="Note 4 3 3 4" xfId="35076" xr:uid="{00000000-0005-0000-0000-000031A30000}"/>
    <cellStyle name="Note 4 3 3 4 2" xfId="35077" xr:uid="{00000000-0005-0000-0000-000032A30000}"/>
    <cellStyle name="Note 4 3 3 4 3" xfId="35078" xr:uid="{00000000-0005-0000-0000-000033A30000}"/>
    <cellStyle name="Note 4 3 3 5" xfId="35079" xr:uid="{00000000-0005-0000-0000-000034A30000}"/>
    <cellStyle name="Note 4 3 3 5 2" xfId="35080" xr:uid="{00000000-0005-0000-0000-000035A30000}"/>
    <cellStyle name="Note 4 3 3 5 3" xfId="35081" xr:uid="{00000000-0005-0000-0000-000036A30000}"/>
    <cellStyle name="Note 4 3 3 6" xfId="35082" xr:uid="{00000000-0005-0000-0000-000037A30000}"/>
    <cellStyle name="Note 4 3 3 6 2" xfId="35083" xr:uid="{00000000-0005-0000-0000-000038A30000}"/>
    <cellStyle name="Note 4 3 3 6 3" xfId="35084" xr:uid="{00000000-0005-0000-0000-000039A30000}"/>
    <cellStyle name="Note 4 3 3 7" xfId="35085" xr:uid="{00000000-0005-0000-0000-00003AA30000}"/>
    <cellStyle name="Note 4 3 3 7 2" xfId="35086" xr:uid="{00000000-0005-0000-0000-00003BA30000}"/>
    <cellStyle name="Note 4 3 3 7 3" xfId="35087" xr:uid="{00000000-0005-0000-0000-00003CA30000}"/>
    <cellStyle name="Note 4 3 3 8" xfId="44666" xr:uid="{00000000-0005-0000-0000-00003DA30000}"/>
    <cellStyle name="Note 4 3 4" xfId="35088" xr:uid="{00000000-0005-0000-0000-00003EA30000}"/>
    <cellStyle name="Note 4 3 4 2" xfId="35089" xr:uid="{00000000-0005-0000-0000-00003FA30000}"/>
    <cellStyle name="Note 4 3 4 2 2" xfId="35090" xr:uid="{00000000-0005-0000-0000-000040A30000}"/>
    <cellStyle name="Note 4 3 4 2 3" xfId="35091" xr:uid="{00000000-0005-0000-0000-000041A30000}"/>
    <cellStyle name="Note 4 3 4 3" xfId="35092" xr:uid="{00000000-0005-0000-0000-000042A30000}"/>
    <cellStyle name="Note 4 3 4 3 2" xfId="35093" xr:uid="{00000000-0005-0000-0000-000043A30000}"/>
    <cellStyle name="Note 4 3 4 3 3" xfId="35094" xr:uid="{00000000-0005-0000-0000-000044A30000}"/>
    <cellStyle name="Note 4 3 4 4" xfId="35095" xr:uid="{00000000-0005-0000-0000-000045A30000}"/>
    <cellStyle name="Note 4 3 4 4 2" xfId="35096" xr:uid="{00000000-0005-0000-0000-000046A30000}"/>
    <cellStyle name="Note 4 3 4 4 3" xfId="35097" xr:uid="{00000000-0005-0000-0000-000047A30000}"/>
    <cellStyle name="Note 4 3 4 5" xfId="35098" xr:uid="{00000000-0005-0000-0000-000048A30000}"/>
    <cellStyle name="Note 4 3 4 5 2" xfId="35099" xr:uid="{00000000-0005-0000-0000-000049A30000}"/>
    <cellStyle name="Note 4 3 4 5 3" xfId="35100" xr:uid="{00000000-0005-0000-0000-00004AA30000}"/>
    <cellStyle name="Note 4 3 4 6" xfId="35101" xr:uid="{00000000-0005-0000-0000-00004BA30000}"/>
    <cellStyle name="Note 4 3 4 6 2" xfId="35102" xr:uid="{00000000-0005-0000-0000-00004CA30000}"/>
    <cellStyle name="Note 4 3 4 6 3" xfId="35103" xr:uid="{00000000-0005-0000-0000-00004DA30000}"/>
    <cellStyle name="Note 4 3 4 7" xfId="35104" xr:uid="{00000000-0005-0000-0000-00004EA30000}"/>
    <cellStyle name="Note 4 3 4 7 2" xfId="35105" xr:uid="{00000000-0005-0000-0000-00004FA30000}"/>
    <cellStyle name="Note 4 3 4 7 3" xfId="35106" xr:uid="{00000000-0005-0000-0000-000050A30000}"/>
    <cellStyle name="Note 4 3 4 8" xfId="44667" xr:uid="{00000000-0005-0000-0000-000051A30000}"/>
    <cellStyle name="Note 4 3 5" xfId="35107" xr:uid="{00000000-0005-0000-0000-000052A30000}"/>
    <cellStyle name="Note 4 3 5 2" xfId="35108" xr:uid="{00000000-0005-0000-0000-000053A30000}"/>
    <cellStyle name="Note 4 3 5 2 2" xfId="35109" xr:uid="{00000000-0005-0000-0000-000054A30000}"/>
    <cellStyle name="Note 4 3 5 2 3" xfId="35110" xr:uid="{00000000-0005-0000-0000-000055A30000}"/>
    <cellStyle name="Note 4 3 5 3" xfId="35111" xr:uid="{00000000-0005-0000-0000-000056A30000}"/>
    <cellStyle name="Note 4 3 5 3 2" xfId="35112" xr:uid="{00000000-0005-0000-0000-000057A30000}"/>
    <cellStyle name="Note 4 3 5 3 3" xfId="35113" xr:uid="{00000000-0005-0000-0000-000058A30000}"/>
    <cellStyle name="Note 4 3 5 4" xfId="35114" xr:uid="{00000000-0005-0000-0000-000059A30000}"/>
    <cellStyle name="Note 4 3 5 4 2" xfId="35115" xr:uid="{00000000-0005-0000-0000-00005AA30000}"/>
    <cellStyle name="Note 4 3 5 4 3" xfId="35116" xr:uid="{00000000-0005-0000-0000-00005BA30000}"/>
    <cellStyle name="Note 4 3 5 5" xfId="35117" xr:uid="{00000000-0005-0000-0000-00005CA30000}"/>
    <cellStyle name="Note 4 3 5 5 2" xfId="35118" xr:uid="{00000000-0005-0000-0000-00005DA30000}"/>
    <cellStyle name="Note 4 3 5 5 3" xfId="35119" xr:uid="{00000000-0005-0000-0000-00005EA30000}"/>
    <cellStyle name="Note 4 3 5 6" xfId="35120" xr:uid="{00000000-0005-0000-0000-00005FA30000}"/>
    <cellStyle name="Note 4 3 5 6 2" xfId="35121" xr:uid="{00000000-0005-0000-0000-000060A30000}"/>
    <cellStyle name="Note 4 3 5 6 3" xfId="35122" xr:uid="{00000000-0005-0000-0000-000061A30000}"/>
    <cellStyle name="Note 4 3 5 7" xfId="35123" xr:uid="{00000000-0005-0000-0000-000062A30000}"/>
    <cellStyle name="Note 4 3 5 7 2" xfId="35124" xr:uid="{00000000-0005-0000-0000-000063A30000}"/>
    <cellStyle name="Note 4 3 5 7 3" xfId="35125" xr:uid="{00000000-0005-0000-0000-000064A30000}"/>
    <cellStyle name="Note 4 3 5 8" xfId="44668" xr:uid="{00000000-0005-0000-0000-000065A30000}"/>
    <cellStyle name="Note 4 3 6" xfId="35126" xr:uid="{00000000-0005-0000-0000-000066A30000}"/>
    <cellStyle name="Note 4 3 6 2" xfId="35127" xr:uid="{00000000-0005-0000-0000-000067A30000}"/>
    <cellStyle name="Note 4 3 7" xfId="35128" xr:uid="{00000000-0005-0000-0000-000068A30000}"/>
    <cellStyle name="Note 4 3 7 2" xfId="35129" xr:uid="{00000000-0005-0000-0000-000069A30000}"/>
    <cellStyle name="Note 4 3 7 3" xfId="35130" xr:uid="{00000000-0005-0000-0000-00006AA30000}"/>
    <cellStyle name="Note 4 3 8" xfId="35131" xr:uid="{00000000-0005-0000-0000-00006BA30000}"/>
    <cellStyle name="Note 4 3 8 2" xfId="35132" xr:uid="{00000000-0005-0000-0000-00006CA30000}"/>
    <cellStyle name="Note 4 3 8 3" xfId="35133" xr:uid="{00000000-0005-0000-0000-00006DA30000}"/>
    <cellStyle name="Note 4 3 9" xfId="35134" xr:uid="{00000000-0005-0000-0000-00006EA30000}"/>
    <cellStyle name="Note 4 3 9 2" xfId="35135" xr:uid="{00000000-0005-0000-0000-00006FA30000}"/>
    <cellStyle name="Note 4 3 9 3" xfId="35136" xr:uid="{00000000-0005-0000-0000-000070A30000}"/>
    <cellStyle name="Note 4 4" xfId="35137" xr:uid="{00000000-0005-0000-0000-000071A30000}"/>
    <cellStyle name="Note 4 4 2" xfId="35138" xr:uid="{00000000-0005-0000-0000-000072A30000}"/>
    <cellStyle name="Note 4 4 2 2" xfId="35139" xr:uid="{00000000-0005-0000-0000-000073A30000}"/>
    <cellStyle name="Note 4 4 2 3" xfId="35140" xr:uid="{00000000-0005-0000-0000-000074A30000}"/>
    <cellStyle name="Note 4 4 3" xfId="35141" xr:uid="{00000000-0005-0000-0000-000075A30000}"/>
    <cellStyle name="Note 4 4 3 2" xfId="35142" xr:uid="{00000000-0005-0000-0000-000076A30000}"/>
    <cellStyle name="Note 4 4 3 3" xfId="35143" xr:uid="{00000000-0005-0000-0000-000077A30000}"/>
    <cellStyle name="Note 4 4 4" xfId="35144" xr:uid="{00000000-0005-0000-0000-000078A30000}"/>
    <cellStyle name="Note 4 4 4 2" xfId="35145" xr:uid="{00000000-0005-0000-0000-000079A30000}"/>
    <cellStyle name="Note 4 4 4 3" xfId="35146" xr:uid="{00000000-0005-0000-0000-00007AA30000}"/>
    <cellStyle name="Note 4 4 5" xfId="35147" xr:uid="{00000000-0005-0000-0000-00007BA30000}"/>
    <cellStyle name="Note 4 4 5 2" xfId="35148" xr:uid="{00000000-0005-0000-0000-00007CA30000}"/>
    <cellStyle name="Note 4 4 5 3" xfId="35149" xr:uid="{00000000-0005-0000-0000-00007DA30000}"/>
    <cellStyle name="Note 4 4 6" xfId="35150" xr:uid="{00000000-0005-0000-0000-00007EA30000}"/>
    <cellStyle name="Note 4 4 6 2" xfId="35151" xr:uid="{00000000-0005-0000-0000-00007FA30000}"/>
    <cellStyle name="Note 4 4 6 3" xfId="35152" xr:uid="{00000000-0005-0000-0000-000080A30000}"/>
    <cellStyle name="Note 4 4 7" xfId="35153" xr:uid="{00000000-0005-0000-0000-000081A30000}"/>
    <cellStyle name="Note 4 4 7 2" xfId="35154" xr:uid="{00000000-0005-0000-0000-000082A30000}"/>
    <cellStyle name="Note 4 4 7 3" xfId="35155" xr:uid="{00000000-0005-0000-0000-000083A30000}"/>
    <cellStyle name="Note 4 4 8" xfId="44669" xr:uid="{00000000-0005-0000-0000-000084A30000}"/>
    <cellStyle name="Note 4 5" xfId="35156" xr:uid="{00000000-0005-0000-0000-000085A30000}"/>
    <cellStyle name="Note 4 5 2" xfId="42089" xr:uid="{00000000-0005-0000-0000-000086A30000}"/>
    <cellStyle name="Note 4 6" xfId="35157" xr:uid="{00000000-0005-0000-0000-000087A30000}"/>
    <cellStyle name="Note 4 6 2" xfId="35158" xr:uid="{00000000-0005-0000-0000-000088A30000}"/>
    <cellStyle name="Note 4 6 3" xfId="35159" xr:uid="{00000000-0005-0000-0000-000089A30000}"/>
    <cellStyle name="Note 4 7" xfId="35160" xr:uid="{00000000-0005-0000-0000-00008AA30000}"/>
    <cellStyle name="Note 4 7 2" xfId="35161" xr:uid="{00000000-0005-0000-0000-00008BA30000}"/>
    <cellStyle name="Note 4 7 3" xfId="35162" xr:uid="{00000000-0005-0000-0000-00008CA30000}"/>
    <cellStyle name="Note 4 8" xfId="35163" xr:uid="{00000000-0005-0000-0000-00008DA30000}"/>
    <cellStyle name="Note 4 8 2" xfId="35164" xr:uid="{00000000-0005-0000-0000-00008EA30000}"/>
    <cellStyle name="Note 4 8 3" xfId="35165" xr:uid="{00000000-0005-0000-0000-00008FA30000}"/>
    <cellStyle name="Note 4 9" xfId="35166" xr:uid="{00000000-0005-0000-0000-000090A30000}"/>
    <cellStyle name="Note 5" xfId="2263" xr:uid="{00000000-0005-0000-0000-000091A30000}"/>
    <cellStyle name="Note 5 2" xfId="2264" xr:uid="{00000000-0005-0000-0000-000092A30000}"/>
    <cellStyle name="Note 5 2 10" xfId="35167" xr:uid="{00000000-0005-0000-0000-000093A30000}"/>
    <cellStyle name="Note 5 2 10 2" xfId="35168" xr:uid="{00000000-0005-0000-0000-000094A30000}"/>
    <cellStyle name="Note 5 2 10 3" xfId="35169" xr:uid="{00000000-0005-0000-0000-000095A30000}"/>
    <cellStyle name="Note 5 2 11" xfId="35170" xr:uid="{00000000-0005-0000-0000-000096A30000}"/>
    <cellStyle name="Note 5 2 11 2" xfId="35171" xr:uid="{00000000-0005-0000-0000-000097A30000}"/>
    <cellStyle name="Note 5 2 11 3" xfId="35172" xr:uid="{00000000-0005-0000-0000-000098A30000}"/>
    <cellStyle name="Note 5 2 12" xfId="35173" xr:uid="{00000000-0005-0000-0000-000099A30000}"/>
    <cellStyle name="Note 5 2 13" xfId="35174" xr:uid="{00000000-0005-0000-0000-00009AA30000}"/>
    <cellStyle name="Note 5 2 2" xfId="35175" xr:uid="{00000000-0005-0000-0000-00009BA30000}"/>
    <cellStyle name="Note 5 2 2 2" xfId="35176" xr:uid="{00000000-0005-0000-0000-00009CA30000}"/>
    <cellStyle name="Note 5 2 2 2 2" xfId="35177" xr:uid="{00000000-0005-0000-0000-00009DA30000}"/>
    <cellStyle name="Note 5 2 2 2 3" xfId="35178" xr:uid="{00000000-0005-0000-0000-00009EA30000}"/>
    <cellStyle name="Note 5 2 2 3" xfId="35179" xr:uid="{00000000-0005-0000-0000-00009FA30000}"/>
    <cellStyle name="Note 5 2 2 3 2" xfId="35180" xr:uid="{00000000-0005-0000-0000-0000A0A30000}"/>
    <cellStyle name="Note 5 2 2 3 3" xfId="35181" xr:uid="{00000000-0005-0000-0000-0000A1A30000}"/>
    <cellStyle name="Note 5 2 2 4" xfId="35182" xr:uid="{00000000-0005-0000-0000-0000A2A30000}"/>
    <cellStyle name="Note 5 2 2 4 2" xfId="35183" xr:uid="{00000000-0005-0000-0000-0000A3A30000}"/>
    <cellStyle name="Note 5 2 2 4 3" xfId="35184" xr:uid="{00000000-0005-0000-0000-0000A4A30000}"/>
    <cellStyle name="Note 5 2 2 5" xfId="35185" xr:uid="{00000000-0005-0000-0000-0000A5A30000}"/>
    <cellStyle name="Note 5 2 2 5 2" xfId="35186" xr:uid="{00000000-0005-0000-0000-0000A6A30000}"/>
    <cellStyle name="Note 5 2 2 5 3" xfId="35187" xr:uid="{00000000-0005-0000-0000-0000A7A30000}"/>
    <cellStyle name="Note 5 2 2 6" xfId="35188" xr:uid="{00000000-0005-0000-0000-0000A8A30000}"/>
    <cellStyle name="Note 5 2 2 6 2" xfId="35189" xr:uid="{00000000-0005-0000-0000-0000A9A30000}"/>
    <cellStyle name="Note 5 2 2 6 3" xfId="35190" xr:uid="{00000000-0005-0000-0000-0000AAA30000}"/>
    <cellStyle name="Note 5 2 2 7" xfId="35191" xr:uid="{00000000-0005-0000-0000-0000ABA30000}"/>
    <cellStyle name="Note 5 2 2 7 2" xfId="35192" xr:uid="{00000000-0005-0000-0000-0000ACA30000}"/>
    <cellStyle name="Note 5 2 2 7 3" xfId="35193" xr:uid="{00000000-0005-0000-0000-0000ADA30000}"/>
    <cellStyle name="Note 5 2 2 8" xfId="35194" xr:uid="{00000000-0005-0000-0000-0000AEA30000}"/>
    <cellStyle name="Note 5 2 2 9" xfId="35195" xr:uid="{00000000-0005-0000-0000-0000AFA30000}"/>
    <cellStyle name="Note 5 2 3" xfId="35196" xr:uid="{00000000-0005-0000-0000-0000B0A30000}"/>
    <cellStyle name="Note 5 2 3 2" xfId="35197" xr:uid="{00000000-0005-0000-0000-0000B1A30000}"/>
    <cellStyle name="Note 5 2 3 2 2" xfId="35198" xr:uid="{00000000-0005-0000-0000-0000B2A30000}"/>
    <cellStyle name="Note 5 2 3 2 3" xfId="35199" xr:uid="{00000000-0005-0000-0000-0000B3A30000}"/>
    <cellStyle name="Note 5 2 3 3" xfId="35200" xr:uid="{00000000-0005-0000-0000-0000B4A30000}"/>
    <cellStyle name="Note 5 2 3 3 2" xfId="35201" xr:uid="{00000000-0005-0000-0000-0000B5A30000}"/>
    <cellStyle name="Note 5 2 3 3 3" xfId="35202" xr:uid="{00000000-0005-0000-0000-0000B6A30000}"/>
    <cellStyle name="Note 5 2 3 4" xfId="35203" xr:uid="{00000000-0005-0000-0000-0000B7A30000}"/>
    <cellStyle name="Note 5 2 3 4 2" xfId="35204" xr:uid="{00000000-0005-0000-0000-0000B8A30000}"/>
    <cellStyle name="Note 5 2 3 4 3" xfId="35205" xr:uid="{00000000-0005-0000-0000-0000B9A30000}"/>
    <cellStyle name="Note 5 2 3 5" xfId="35206" xr:uid="{00000000-0005-0000-0000-0000BAA30000}"/>
    <cellStyle name="Note 5 2 3 5 2" xfId="35207" xr:uid="{00000000-0005-0000-0000-0000BBA30000}"/>
    <cellStyle name="Note 5 2 3 5 3" xfId="35208" xr:uid="{00000000-0005-0000-0000-0000BCA30000}"/>
    <cellStyle name="Note 5 2 3 6" xfId="35209" xr:uid="{00000000-0005-0000-0000-0000BDA30000}"/>
    <cellStyle name="Note 5 2 3 6 2" xfId="35210" xr:uid="{00000000-0005-0000-0000-0000BEA30000}"/>
    <cellStyle name="Note 5 2 3 6 3" xfId="35211" xr:uid="{00000000-0005-0000-0000-0000BFA30000}"/>
    <cellStyle name="Note 5 2 3 7" xfId="35212" xr:uid="{00000000-0005-0000-0000-0000C0A30000}"/>
    <cellStyle name="Note 5 2 3 7 2" xfId="35213" xr:uid="{00000000-0005-0000-0000-0000C1A30000}"/>
    <cellStyle name="Note 5 2 3 7 3" xfId="35214" xr:uid="{00000000-0005-0000-0000-0000C2A30000}"/>
    <cellStyle name="Note 5 2 3 8" xfId="35215" xr:uid="{00000000-0005-0000-0000-0000C3A30000}"/>
    <cellStyle name="Note 5 2 3 9" xfId="35216" xr:uid="{00000000-0005-0000-0000-0000C4A30000}"/>
    <cellStyle name="Note 5 2 4" xfId="35217" xr:uid="{00000000-0005-0000-0000-0000C5A30000}"/>
    <cellStyle name="Note 5 2 4 2" xfId="35218" xr:uid="{00000000-0005-0000-0000-0000C6A30000}"/>
    <cellStyle name="Note 5 2 4 2 2" xfId="35219" xr:uid="{00000000-0005-0000-0000-0000C7A30000}"/>
    <cellStyle name="Note 5 2 4 2 3" xfId="35220" xr:uid="{00000000-0005-0000-0000-0000C8A30000}"/>
    <cellStyle name="Note 5 2 4 3" xfId="35221" xr:uid="{00000000-0005-0000-0000-0000C9A30000}"/>
    <cellStyle name="Note 5 2 4 3 2" xfId="35222" xr:uid="{00000000-0005-0000-0000-0000CAA30000}"/>
    <cellStyle name="Note 5 2 4 3 3" xfId="35223" xr:uid="{00000000-0005-0000-0000-0000CBA30000}"/>
    <cellStyle name="Note 5 2 4 4" xfId="35224" xr:uid="{00000000-0005-0000-0000-0000CCA30000}"/>
    <cellStyle name="Note 5 2 4 4 2" xfId="35225" xr:uid="{00000000-0005-0000-0000-0000CDA30000}"/>
    <cellStyle name="Note 5 2 4 4 3" xfId="35226" xr:uid="{00000000-0005-0000-0000-0000CEA30000}"/>
    <cellStyle name="Note 5 2 4 5" xfId="35227" xr:uid="{00000000-0005-0000-0000-0000CFA30000}"/>
    <cellStyle name="Note 5 2 4 5 2" xfId="35228" xr:uid="{00000000-0005-0000-0000-0000D0A30000}"/>
    <cellStyle name="Note 5 2 4 5 3" xfId="35229" xr:uid="{00000000-0005-0000-0000-0000D1A30000}"/>
    <cellStyle name="Note 5 2 4 6" xfId="35230" xr:uid="{00000000-0005-0000-0000-0000D2A30000}"/>
    <cellStyle name="Note 5 2 4 6 2" xfId="35231" xr:uid="{00000000-0005-0000-0000-0000D3A30000}"/>
    <cellStyle name="Note 5 2 4 6 3" xfId="35232" xr:uid="{00000000-0005-0000-0000-0000D4A30000}"/>
    <cellStyle name="Note 5 2 4 7" xfId="35233" xr:uid="{00000000-0005-0000-0000-0000D5A30000}"/>
    <cellStyle name="Note 5 2 4 7 2" xfId="35234" xr:uid="{00000000-0005-0000-0000-0000D6A30000}"/>
    <cellStyle name="Note 5 2 4 7 3" xfId="35235" xr:uid="{00000000-0005-0000-0000-0000D7A30000}"/>
    <cellStyle name="Note 5 2 4 8" xfId="35236" xr:uid="{00000000-0005-0000-0000-0000D8A30000}"/>
    <cellStyle name="Note 5 2 4 9" xfId="35237" xr:uid="{00000000-0005-0000-0000-0000D9A30000}"/>
    <cellStyle name="Note 5 2 5" xfId="35238" xr:uid="{00000000-0005-0000-0000-0000DAA30000}"/>
    <cellStyle name="Note 5 2 5 2" xfId="35239" xr:uid="{00000000-0005-0000-0000-0000DBA30000}"/>
    <cellStyle name="Note 5 2 5 2 2" xfId="35240" xr:uid="{00000000-0005-0000-0000-0000DCA30000}"/>
    <cellStyle name="Note 5 2 5 2 3" xfId="35241" xr:uid="{00000000-0005-0000-0000-0000DDA30000}"/>
    <cellStyle name="Note 5 2 5 3" xfId="35242" xr:uid="{00000000-0005-0000-0000-0000DEA30000}"/>
    <cellStyle name="Note 5 2 5 3 2" xfId="35243" xr:uid="{00000000-0005-0000-0000-0000DFA30000}"/>
    <cellStyle name="Note 5 2 5 3 3" xfId="35244" xr:uid="{00000000-0005-0000-0000-0000E0A30000}"/>
    <cellStyle name="Note 5 2 5 4" xfId="35245" xr:uid="{00000000-0005-0000-0000-0000E1A30000}"/>
    <cellStyle name="Note 5 2 5 4 2" xfId="35246" xr:uid="{00000000-0005-0000-0000-0000E2A30000}"/>
    <cellStyle name="Note 5 2 5 4 3" xfId="35247" xr:uid="{00000000-0005-0000-0000-0000E3A30000}"/>
    <cellStyle name="Note 5 2 5 5" xfId="35248" xr:uid="{00000000-0005-0000-0000-0000E4A30000}"/>
    <cellStyle name="Note 5 2 5 5 2" xfId="35249" xr:uid="{00000000-0005-0000-0000-0000E5A30000}"/>
    <cellStyle name="Note 5 2 5 5 3" xfId="35250" xr:uid="{00000000-0005-0000-0000-0000E6A30000}"/>
    <cellStyle name="Note 5 2 5 6" xfId="35251" xr:uid="{00000000-0005-0000-0000-0000E7A30000}"/>
    <cellStyle name="Note 5 2 5 6 2" xfId="35252" xr:uid="{00000000-0005-0000-0000-0000E8A30000}"/>
    <cellStyle name="Note 5 2 5 6 3" xfId="35253" xr:uid="{00000000-0005-0000-0000-0000E9A30000}"/>
    <cellStyle name="Note 5 2 5 7" xfId="35254" xr:uid="{00000000-0005-0000-0000-0000EAA30000}"/>
    <cellStyle name="Note 5 2 5 7 2" xfId="35255" xr:uid="{00000000-0005-0000-0000-0000EBA30000}"/>
    <cellStyle name="Note 5 2 5 7 3" xfId="35256" xr:uid="{00000000-0005-0000-0000-0000ECA30000}"/>
    <cellStyle name="Note 5 2 5 8" xfId="35257" xr:uid="{00000000-0005-0000-0000-0000EDA30000}"/>
    <cellStyle name="Note 5 2 5 9" xfId="35258" xr:uid="{00000000-0005-0000-0000-0000EEA30000}"/>
    <cellStyle name="Note 5 2 6" xfId="35259" xr:uid="{00000000-0005-0000-0000-0000EFA30000}"/>
    <cellStyle name="Note 5 2 6 2" xfId="35260" xr:uid="{00000000-0005-0000-0000-0000F0A30000}"/>
    <cellStyle name="Note 5 2 6 3" xfId="35261" xr:uid="{00000000-0005-0000-0000-0000F1A30000}"/>
    <cellStyle name="Note 5 2 7" xfId="35262" xr:uid="{00000000-0005-0000-0000-0000F2A30000}"/>
    <cellStyle name="Note 5 2 7 2" xfId="35263" xr:uid="{00000000-0005-0000-0000-0000F3A30000}"/>
    <cellStyle name="Note 5 2 7 3" xfId="35264" xr:uid="{00000000-0005-0000-0000-0000F4A30000}"/>
    <cellStyle name="Note 5 2 8" xfId="35265" xr:uid="{00000000-0005-0000-0000-0000F5A30000}"/>
    <cellStyle name="Note 5 2 8 2" xfId="35266" xr:uid="{00000000-0005-0000-0000-0000F6A30000}"/>
    <cellStyle name="Note 5 2 8 3" xfId="35267" xr:uid="{00000000-0005-0000-0000-0000F7A30000}"/>
    <cellStyle name="Note 5 2 9" xfId="35268" xr:uid="{00000000-0005-0000-0000-0000F8A30000}"/>
    <cellStyle name="Note 5 2 9 2" xfId="35269" xr:uid="{00000000-0005-0000-0000-0000F9A30000}"/>
    <cellStyle name="Note 5 2 9 3" xfId="35270" xr:uid="{00000000-0005-0000-0000-0000FAA30000}"/>
    <cellStyle name="Note 5 3" xfId="42090" xr:uid="{00000000-0005-0000-0000-0000FBA30000}"/>
    <cellStyle name="Note 5 3 2" xfId="42557" xr:uid="{00000000-0005-0000-0000-0000FCA30000}"/>
    <cellStyle name="Note 5 3 3" xfId="46063" xr:uid="{00000000-0005-0000-0000-0000FDA30000}"/>
    <cellStyle name="Note 5 4" xfId="46064" xr:uid="{00000000-0005-0000-0000-0000FEA30000}"/>
    <cellStyle name="Note 6" xfId="35271" xr:uid="{00000000-0005-0000-0000-0000FFA30000}"/>
    <cellStyle name="Note 6 2" xfId="42091" xr:uid="{00000000-0005-0000-0000-000000A40000}"/>
    <cellStyle name="Notes" xfId="557" xr:uid="{00000000-0005-0000-0000-000001A40000}"/>
    <cellStyle name="Notes 2" xfId="35272" xr:uid="{00000000-0005-0000-0000-000002A40000}"/>
    <cellStyle name="Notes 3" xfId="42092" xr:uid="{00000000-0005-0000-0000-000003A40000}"/>
    <cellStyle name="NotIncluded1" xfId="35273" xr:uid="{00000000-0005-0000-0000-000004A40000}"/>
    <cellStyle name="NotIncluded1 2" xfId="35274" xr:uid="{00000000-0005-0000-0000-000005A40000}"/>
    <cellStyle name="NotIncluded1 3" xfId="35275" xr:uid="{00000000-0005-0000-0000-000006A40000}"/>
    <cellStyle name="OptionalGood" xfId="35276" xr:uid="{00000000-0005-0000-0000-000007A40000}"/>
    <cellStyle name="OptionalGood 2" xfId="35277" xr:uid="{00000000-0005-0000-0000-000008A40000}"/>
    <cellStyle name="OptionalGood 3" xfId="35278" xr:uid="{00000000-0005-0000-0000-000009A40000}"/>
    <cellStyle name="Output 2" xfId="558" xr:uid="{00000000-0005-0000-0000-00000AA40000}"/>
    <cellStyle name="Output 2 2" xfId="2265" xr:uid="{00000000-0005-0000-0000-00000BA40000}"/>
    <cellStyle name="Output 2 2 2" xfId="2266" xr:uid="{00000000-0005-0000-0000-00000CA40000}"/>
    <cellStyle name="Output 2 2 2 10" xfId="35279" xr:uid="{00000000-0005-0000-0000-00000DA40000}"/>
    <cellStyle name="Output 2 2 2 2" xfId="35280" xr:uid="{00000000-0005-0000-0000-00000EA40000}"/>
    <cellStyle name="Output 2 2 2 2 10" xfId="35281" xr:uid="{00000000-0005-0000-0000-00000FA40000}"/>
    <cellStyle name="Output 2 2 2 2 10 2" xfId="35282" xr:uid="{00000000-0005-0000-0000-000010A40000}"/>
    <cellStyle name="Output 2 2 2 2 10 3" xfId="35283" xr:uid="{00000000-0005-0000-0000-000011A40000}"/>
    <cellStyle name="Output 2 2 2 2 11" xfId="35284" xr:uid="{00000000-0005-0000-0000-000012A40000}"/>
    <cellStyle name="Output 2 2 2 2 11 2" xfId="35285" xr:uid="{00000000-0005-0000-0000-000013A40000}"/>
    <cellStyle name="Output 2 2 2 2 11 3" xfId="35286" xr:uid="{00000000-0005-0000-0000-000014A40000}"/>
    <cellStyle name="Output 2 2 2 2 12" xfId="44670" xr:uid="{00000000-0005-0000-0000-000015A40000}"/>
    <cellStyle name="Output 2 2 2 2 2" xfId="35287" xr:uid="{00000000-0005-0000-0000-000016A40000}"/>
    <cellStyle name="Output 2 2 2 2 2 2" xfId="35288" xr:uid="{00000000-0005-0000-0000-000017A40000}"/>
    <cellStyle name="Output 2 2 2 2 2 2 2" xfId="35289" xr:uid="{00000000-0005-0000-0000-000018A40000}"/>
    <cellStyle name="Output 2 2 2 2 2 2 3" xfId="35290" xr:uid="{00000000-0005-0000-0000-000019A40000}"/>
    <cellStyle name="Output 2 2 2 2 2 3" xfId="35291" xr:uid="{00000000-0005-0000-0000-00001AA40000}"/>
    <cellStyle name="Output 2 2 2 2 2 3 2" xfId="35292" xr:uid="{00000000-0005-0000-0000-00001BA40000}"/>
    <cellStyle name="Output 2 2 2 2 2 3 3" xfId="35293" xr:uid="{00000000-0005-0000-0000-00001CA40000}"/>
    <cellStyle name="Output 2 2 2 2 2 4" xfId="35294" xr:uid="{00000000-0005-0000-0000-00001DA40000}"/>
    <cellStyle name="Output 2 2 2 2 2 4 2" xfId="35295" xr:uid="{00000000-0005-0000-0000-00001EA40000}"/>
    <cellStyle name="Output 2 2 2 2 2 4 3" xfId="35296" xr:uid="{00000000-0005-0000-0000-00001FA40000}"/>
    <cellStyle name="Output 2 2 2 2 2 5" xfId="35297" xr:uid="{00000000-0005-0000-0000-000020A40000}"/>
    <cellStyle name="Output 2 2 2 2 2 5 2" xfId="35298" xr:uid="{00000000-0005-0000-0000-000021A40000}"/>
    <cellStyle name="Output 2 2 2 2 2 5 3" xfId="35299" xr:uid="{00000000-0005-0000-0000-000022A40000}"/>
    <cellStyle name="Output 2 2 2 2 2 6" xfId="35300" xr:uid="{00000000-0005-0000-0000-000023A40000}"/>
    <cellStyle name="Output 2 2 2 2 2 6 2" xfId="35301" xr:uid="{00000000-0005-0000-0000-000024A40000}"/>
    <cellStyle name="Output 2 2 2 2 2 6 3" xfId="35302" xr:uid="{00000000-0005-0000-0000-000025A40000}"/>
    <cellStyle name="Output 2 2 2 2 2 7" xfId="35303" xr:uid="{00000000-0005-0000-0000-000026A40000}"/>
    <cellStyle name="Output 2 2 2 2 2 7 2" xfId="35304" xr:uid="{00000000-0005-0000-0000-000027A40000}"/>
    <cellStyle name="Output 2 2 2 2 2 7 3" xfId="35305" xr:uid="{00000000-0005-0000-0000-000028A40000}"/>
    <cellStyle name="Output 2 2 2 2 2 8" xfId="44671" xr:uid="{00000000-0005-0000-0000-000029A40000}"/>
    <cellStyle name="Output 2 2 2 2 3" xfId="35306" xr:uid="{00000000-0005-0000-0000-00002AA40000}"/>
    <cellStyle name="Output 2 2 2 2 3 2" xfId="35307" xr:uid="{00000000-0005-0000-0000-00002BA40000}"/>
    <cellStyle name="Output 2 2 2 2 3 2 2" xfId="35308" xr:uid="{00000000-0005-0000-0000-00002CA40000}"/>
    <cellStyle name="Output 2 2 2 2 3 2 3" xfId="35309" xr:uid="{00000000-0005-0000-0000-00002DA40000}"/>
    <cellStyle name="Output 2 2 2 2 3 3" xfId="35310" xr:uid="{00000000-0005-0000-0000-00002EA40000}"/>
    <cellStyle name="Output 2 2 2 2 3 3 2" xfId="35311" xr:uid="{00000000-0005-0000-0000-00002FA40000}"/>
    <cellStyle name="Output 2 2 2 2 3 3 3" xfId="35312" xr:uid="{00000000-0005-0000-0000-000030A40000}"/>
    <cellStyle name="Output 2 2 2 2 3 4" xfId="35313" xr:uid="{00000000-0005-0000-0000-000031A40000}"/>
    <cellStyle name="Output 2 2 2 2 3 4 2" xfId="35314" xr:uid="{00000000-0005-0000-0000-000032A40000}"/>
    <cellStyle name="Output 2 2 2 2 3 4 3" xfId="35315" xr:uid="{00000000-0005-0000-0000-000033A40000}"/>
    <cellStyle name="Output 2 2 2 2 3 5" xfId="35316" xr:uid="{00000000-0005-0000-0000-000034A40000}"/>
    <cellStyle name="Output 2 2 2 2 3 5 2" xfId="35317" xr:uid="{00000000-0005-0000-0000-000035A40000}"/>
    <cellStyle name="Output 2 2 2 2 3 5 3" xfId="35318" xr:uid="{00000000-0005-0000-0000-000036A40000}"/>
    <cellStyle name="Output 2 2 2 2 3 6" xfId="35319" xr:uid="{00000000-0005-0000-0000-000037A40000}"/>
    <cellStyle name="Output 2 2 2 2 3 6 2" xfId="35320" xr:uid="{00000000-0005-0000-0000-000038A40000}"/>
    <cellStyle name="Output 2 2 2 2 3 6 3" xfId="35321" xr:uid="{00000000-0005-0000-0000-000039A40000}"/>
    <cellStyle name="Output 2 2 2 2 3 7" xfId="35322" xr:uid="{00000000-0005-0000-0000-00003AA40000}"/>
    <cellStyle name="Output 2 2 2 2 3 7 2" xfId="35323" xr:uid="{00000000-0005-0000-0000-00003BA40000}"/>
    <cellStyle name="Output 2 2 2 2 3 7 3" xfId="35324" xr:uid="{00000000-0005-0000-0000-00003CA40000}"/>
    <cellStyle name="Output 2 2 2 2 3 8" xfId="44672" xr:uid="{00000000-0005-0000-0000-00003DA40000}"/>
    <cellStyle name="Output 2 2 2 2 4" xfId="35325" xr:uid="{00000000-0005-0000-0000-00003EA40000}"/>
    <cellStyle name="Output 2 2 2 2 4 2" xfId="35326" xr:uid="{00000000-0005-0000-0000-00003FA40000}"/>
    <cellStyle name="Output 2 2 2 2 4 2 2" xfId="35327" xr:uid="{00000000-0005-0000-0000-000040A40000}"/>
    <cellStyle name="Output 2 2 2 2 4 2 3" xfId="35328" xr:uid="{00000000-0005-0000-0000-000041A40000}"/>
    <cellStyle name="Output 2 2 2 2 4 3" xfId="35329" xr:uid="{00000000-0005-0000-0000-000042A40000}"/>
    <cellStyle name="Output 2 2 2 2 4 3 2" xfId="35330" xr:uid="{00000000-0005-0000-0000-000043A40000}"/>
    <cellStyle name="Output 2 2 2 2 4 3 3" xfId="35331" xr:uid="{00000000-0005-0000-0000-000044A40000}"/>
    <cellStyle name="Output 2 2 2 2 4 4" xfId="35332" xr:uid="{00000000-0005-0000-0000-000045A40000}"/>
    <cellStyle name="Output 2 2 2 2 4 4 2" xfId="35333" xr:uid="{00000000-0005-0000-0000-000046A40000}"/>
    <cellStyle name="Output 2 2 2 2 4 4 3" xfId="35334" xr:uid="{00000000-0005-0000-0000-000047A40000}"/>
    <cellStyle name="Output 2 2 2 2 4 5" xfId="35335" xr:uid="{00000000-0005-0000-0000-000048A40000}"/>
    <cellStyle name="Output 2 2 2 2 4 5 2" xfId="35336" xr:uid="{00000000-0005-0000-0000-000049A40000}"/>
    <cellStyle name="Output 2 2 2 2 4 5 3" xfId="35337" xr:uid="{00000000-0005-0000-0000-00004AA40000}"/>
    <cellStyle name="Output 2 2 2 2 4 6" xfId="35338" xr:uid="{00000000-0005-0000-0000-00004BA40000}"/>
    <cellStyle name="Output 2 2 2 2 4 6 2" xfId="35339" xr:uid="{00000000-0005-0000-0000-00004CA40000}"/>
    <cellStyle name="Output 2 2 2 2 4 6 3" xfId="35340" xr:uid="{00000000-0005-0000-0000-00004DA40000}"/>
    <cellStyle name="Output 2 2 2 2 4 7" xfId="35341" xr:uid="{00000000-0005-0000-0000-00004EA40000}"/>
    <cellStyle name="Output 2 2 2 2 4 7 2" xfId="35342" xr:uid="{00000000-0005-0000-0000-00004FA40000}"/>
    <cellStyle name="Output 2 2 2 2 4 7 3" xfId="35343" xr:uid="{00000000-0005-0000-0000-000050A40000}"/>
    <cellStyle name="Output 2 2 2 2 4 8" xfId="44673" xr:uid="{00000000-0005-0000-0000-000051A40000}"/>
    <cellStyle name="Output 2 2 2 2 5" xfId="35344" xr:uid="{00000000-0005-0000-0000-000052A40000}"/>
    <cellStyle name="Output 2 2 2 2 5 2" xfId="35345" xr:uid="{00000000-0005-0000-0000-000053A40000}"/>
    <cellStyle name="Output 2 2 2 2 5 2 2" xfId="35346" xr:uid="{00000000-0005-0000-0000-000054A40000}"/>
    <cellStyle name="Output 2 2 2 2 5 2 3" xfId="35347" xr:uid="{00000000-0005-0000-0000-000055A40000}"/>
    <cellStyle name="Output 2 2 2 2 5 3" xfId="35348" xr:uid="{00000000-0005-0000-0000-000056A40000}"/>
    <cellStyle name="Output 2 2 2 2 5 3 2" xfId="35349" xr:uid="{00000000-0005-0000-0000-000057A40000}"/>
    <cellStyle name="Output 2 2 2 2 5 3 3" xfId="35350" xr:uid="{00000000-0005-0000-0000-000058A40000}"/>
    <cellStyle name="Output 2 2 2 2 5 4" xfId="35351" xr:uid="{00000000-0005-0000-0000-000059A40000}"/>
    <cellStyle name="Output 2 2 2 2 5 4 2" xfId="35352" xr:uid="{00000000-0005-0000-0000-00005AA40000}"/>
    <cellStyle name="Output 2 2 2 2 5 4 3" xfId="35353" xr:uid="{00000000-0005-0000-0000-00005BA40000}"/>
    <cellStyle name="Output 2 2 2 2 5 5" xfId="35354" xr:uid="{00000000-0005-0000-0000-00005CA40000}"/>
    <cellStyle name="Output 2 2 2 2 5 5 2" xfId="35355" xr:uid="{00000000-0005-0000-0000-00005DA40000}"/>
    <cellStyle name="Output 2 2 2 2 5 5 3" xfId="35356" xr:uid="{00000000-0005-0000-0000-00005EA40000}"/>
    <cellStyle name="Output 2 2 2 2 5 6" xfId="35357" xr:uid="{00000000-0005-0000-0000-00005FA40000}"/>
    <cellStyle name="Output 2 2 2 2 5 6 2" xfId="35358" xr:uid="{00000000-0005-0000-0000-000060A40000}"/>
    <cellStyle name="Output 2 2 2 2 5 6 3" xfId="35359" xr:uid="{00000000-0005-0000-0000-000061A40000}"/>
    <cellStyle name="Output 2 2 2 2 5 7" xfId="35360" xr:uid="{00000000-0005-0000-0000-000062A40000}"/>
    <cellStyle name="Output 2 2 2 2 5 7 2" xfId="35361" xr:uid="{00000000-0005-0000-0000-000063A40000}"/>
    <cellStyle name="Output 2 2 2 2 5 7 3" xfId="35362" xr:uid="{00000000-0005-0000-0000-000064A40000}"/>
    <cellStyle name="Output 2 2 2 2 5 8" xfId="44674" xr:uid="{00000000-0005-0000-0000-000065A40000}"/>
    <cellStyle name="Output 2 2 2 2 6" xfId="35363" xr:uid="{00000000-0005-0000-0000-000066A40000}"/>
    <cellStyle name="Output 2 2 2 2 6 2" xfId="35364" xr:uid="{00000000-0005-0000-0000-000067A40000}"/>
    <cellStyle name="Output 2 2 2 2 6 3" xfId="35365" xr:uid="{00000000-0005-0000-0000-000068A40000}"/>
    <cellStyle name="Output 2 2 2 2 7" xfId="35366" xr:uid="{00000000-0005-0000-0000-000069A40000}"/>
    <cellStyle name="Output 2 2 2 2 7 2" xfId="35367" xr:uid="{00000000-0005-0000-0000-00006AA40000}"/>
    <cellStyle name="Output 2 2 2 2 7 3" xfId="35368" xr:uid="{00000000-0005-0000-0000-00006BA40000}"/>
    <cellStyle name="Output 2 2 2 2 8" xfId="35369" xr:uid="{00000000-0005-0000-0000-00006CA40000}"/>
    <cellStyle name="Output 2 2 2 2 8 2" xfId="35370" xr:uid="{00000000-0005-0000-0000-00006DA40000}"/>
    <cellStyle name="Output 2 2 2 2 8 3" xfId="35371" xr:uid="{00000000-0005-0000-0000-00006EA40000}"/>
    <cellStyle name="Output 2 2 2 2 9" xfId="35372" xr:uid="{00000000-0005-0000-0000-00006FA40000}"/>
    <cellStyle name="Output 2 2 2 2 9 2" xfId="35373" xr:uid="{00000000-0005-0000-0000-000070A40000}"/>
    <cellStyle name="Output 2 2 2 2 9 3" xfId="35374" xr:uid="{00000000-0005-0000-0000-000071A40000}"/>
    <cellStyle name="Output 2 2 2 3" xfId="35375" xr:uid="{00000000-0005-0000-0000-000072A40000}"/>
    <cellStyle name="Output 2 2 2 3 2" xfId="35376" xr:uid="{00000000-0005-0000-0000-000073A40000}"/>
    <cellStyle name="Output 2 2 2 3 2 2" xfId="35377" xr:uid="{00000000-0005-0000-0000-000074A40000}"/>
    <cellStyle name="Output 2 2 2 3 2 3" xfId="35378" xr:uid="{00000000-0005-0000-0000-000075A40000}"/>
    <cellStyle name="Output 2 2 2 3 3" xfId="35379" xr:uid="{00000000-0005-0000-0000-000076A40000}"/>
    <cellStyle name="Output 2 2 2 3 3 2" xfId="35380" xr:uid="{00000000-0005-0000-0000-000077A40000}"/>
    <cellStyle name="Output 2 2 2 3 3 3" xfId="35381" xr:uid="{00000000-0005-0000-0000-000078A40000}"/>
    <cellStyle name="Output 2 2 2 3 4" xfId="35382" xr:uid="{00000000-0005-0000-0000-000079A40000}"/>
    <cellStyle name="Output 2 2 2 3 4 2" xfId="35383" xr:uid="{00000000-0005-0000-0000-00007AA40000}"/>
    <cellStyle name="Output 2 2 2 3 4 3" xfId="35384" xr:uid="{00000000-0005-0000-0000-00007BA40000}"/>
    <cellStyle name="Output 2 2 2 3 5" xfId="35385" xr:uid="{00000000-0005-0000-0000-00007CA40000}"/>
    <cellStyle name="Output 2 2 2 3 5 2" xfId="35386" xr:uid="{00000000-0005-0000-0000-00007DA40000}"/>
    <cellStyle name="Output 2 2 2 3 5 3" xfId="35387" xr:uid="{00000000-0005-0000-0000-00007EA40000}"/>
    <cellStyle name="Output 2 2 2 3 6" xfId="35388" xr:uid="{00000000-0005-0000-0000-00007FA40000}"/>
    <cellStyle name="Output 2 2 2 3 6 2" xfId="35389" xr:uid="{00000000-0005-0000-0000-000080A40000}"/>
    <cellStyle name="Output 2 2 2 3 6 3" xfId="35390" xr:uid="{00000000-0005-0000-0000-000081A40000}"/>
    <cellStyle name="Output 2 2 2 3 7" xfId="35391" xr:uid="{00000000-0005-0000-0000-000082A40000}"/>
    <cellStyle name="Output 2 2 2 3 7 2" xfId="35392" xr:uid="{00000000-0005-0000-0000-000083A40000}"/>
    <cellStyle name="Output 2 2 2 3 7 3" xfId="35393" xr:uid="{00000000-0005-0000-0000-000084A40000}"/>
    <cellStyle name="Output 2 2 2 3 8" xfId="44675" xr:uid="{00000000-0005-0000-0000-000085A40000}"/>
    <cellStyle name="Output 2 2 2 4" xfId="35394" xr:uid="{00000000-0005-0000-0000-000086A40000}"/>
    <cellStyle name="Output 2 2 2 4 2" xfId="35395" xr:uid="{00000000-0005-0000-0000-000087A40000}"/>
    <cellStyle name="Output 2 2 2 4 3" xfId="35396" xr:uid="{00000000-0005-0000-0000-000088A40000}"/>
    <cellStyle name="Output 2 2 2 5" xfId="35397" xr:uid="{00000000-0005-0000-0000-000089A40000}"/>
    <cellStyle name="Output 2 2 2 5 2" xfId="35398" xr:uid="{00000000-0005-0000-0000-00008AA40000}"/>
    <cellStyle name="Output 2 2 2 5 3" xfId="35399" xr:uid="{00000000-0005-0000-0000-00008BA40000}"/>
    <cellStyle name="Output 2 2 2 6" xfId="35400" xr:uid="{00000000-0005-0000-0000-00008CA40000}"/>
    <cellStyle name="Output 2 2 2 6 2" xfId="35401" xr:uid="{00000000-0005-0000-0000-00008DA40000}"/>
    <cellStyle name="Output 2 2 2 6 3" xfId="35402" xr:uid="{00000000-0005-0000-0000-00008EA40000}"/>
    <cellStyle name="Output 2 2 2 7" xfId="35403" xr:uid="{00000000-0005-0000-0000-00008FA40000}"/>
    <cellStyle name="Output 2 2 2 7 2" xfId="35404" xr:uid="{00000000-0005-0000-0000-000090A40000}"/>
    <cellStyle name="Output 2 2 2 7 3" xfId="35405" xr:uid="{00000000-0005-0000-0000-000091A40000}"/>
    <cellStyle name="Output 2 2 2 8" xfId="35406" xr:uid="{00000000-0005-0000-0000-000092A40000}"/>
    <cellStyle name="Output 2 2 2 8 2" xfId="35407" xr:uid="{00000000-0005-0000-0000-000093A40000}"/>
    <cellStyle name="Output 2 2 2 8 3" xfId="35408" xr:uid="{00000000-0005-0000-0000-000094A40000}"/>
    <cellStyle name="Output 2 2 2 9" xfId="35409" xr:uid="{00000000-0005-0000-0000-000095A40000}"/>
    <cellStyle name="Output 2 2 3" xfId="35410" xr:uid="{00000000-0005-0000-0000-000096A40000}"/>
    <cellStyle name="Output 2 2 3 10" xfId="35411" xr:uid="{00000000-0005-0000-0000-000097A40000}"/>
    <cellStyle name="Output 2 2 3 10 2" xfId="35412" xr:uid="{00000000-0005-0000-0000-000098A40000}"/>
    <cellStyle name="Output 2 2 3 10 3" xfId="35413" xr:uid="{00000000-0005-0000-0000-000099A40000}"/>
    <cellStyle name="Output 2 2 3 11" xfId="35414" xr:uid="{00000000-0005-0000-0000-00009AA40000}"/>
    <cellStyle name="Output 2 2 3 11 2" xfId="35415" xr:uid="{00000000-0005-0000-0000-00009BA40000}"/>
    <cellStyle name="Output 2 2 3 11 3" xfId="35416" xr:uid="{00000000-0005-0000-0000-00009CA40000}"/>
    <cellStyle name="Output 2 2 3 12" xfId="44676" xr:uid="{00000000-0005-0000-0000-00009DA40000}"/>
    <cellStyle name="Output 2 2 3 2" xfId="35417" xr:uid="{00000000-0005-0000-0000-00009EA40000}"/>
    <cellStyle name="Output 2 2 3 2 2" xfId="35418" xr:uid="{00000000-0005-0000-0000-00009FA40000}"/>
    <cellStyle name="Output 2 2 3 2 2 2" xfId="35419" xr:uid="{00000000-0005-0000-0000-0000A0A40000}"/>
    <cellStyle name="Output 2 2 3 2 2 3" xfId="35420" xr:uid="{00000000-0005-0000-0000-0000A1A40000}"/>
    <cellStyle name="Output 2 2 3 2 3" xfId="35421" xr:uid="{00000000-0005-0000-0000-0000A2A40000}"/>
    <cellStyle name="Output 2 2 3 2 3 2" xfId="35422" xr:uid="{00000000-0005-0000-0000-0000A3A40000}"/>
    <cellStyle name="Output 2 2 3 2 3 3" xfId="35423" xr:uid="{00000000-0005-0000-0000-0000A4A40000}"/>
    <cellStyle name="Output 2 2 3 2 4" xfId="35424" xr:uid="{00000000-0005-0000-0000-0000A5A40000}"/>
    <cellStyle name="Output 2 2 3 2 4 2" xfId="35425" xr:uid="{00000000-0005-0000-0000-0000A6A40000}"/>
    <cellStyle name="Output 2 2 3 2 4 3" xfId="35426" xr:uid="{00000000-0005-0000-0000-0000A7A40000}"/>
    <cellStyle name="Output 2 2 3 2 5" xfId="35427" xr:uid="{00000000-0005-0000-0000-0000A8A40000}"/>
    <cellStyle name="Output 2 2 3 2 5 2" xfId="35428" xr:uid="{00000000-0005-0000-0000-0000A9A40000}"/>
    <cellStyle name="Output 2 2 3 2 5 3" xfId="35429" xr:uid="{00000000-0005-0000-0000-0000AAA40000}"/>
    <cellStyle name="Output 2 2 3 2 6" xfId="35430" xr:uid="{00000000-0005-0000-0000-0000ABA40000}"/>
    <cellStyle name="Output 2 2 3 2 6 2" xfId="35431" xr:uid="{00000000-0005-0000-0000-0000ACA40000}"/>
    <cellStyle name="Output 2 2 3 2 6 3" xfId="35432" xr:uid="{00000000-0005-0000-0000-0000ADA40000}"/>
    <cellStyle name="Output 2 2 3 2 7" xfId="35433" xr:uid="{00000000-0005-0000-0000-0000AEA40000}"/>
    <cellStyle name="Output 2 2 3 2 7 2" xfId="35434" xr:uid="{00000000-0005-0000-0000-0000AFA40000}"/>
    <cellStyle name="Output 2 2 3 2 7 3" xfId="35435" xr:uid="{00000000-0005-0000-0000-0000B0A40000}"/>
    <cellStyle name="Output 2 2 3 2 8" xfId="44677" xr:uid="{00000000-0005-0000-0000-0000B1A40000}"/>
    <cellStyle name="Output 2 2 3 3" xfId="35436" xr:uid="{00000000-0005-0000-0000-0000B2A40000}"/>
    <cellStyle name="Output 2 2 3 3 2" xfId="35437" xr:uid="{00000000-0005-0000-0000-0000B3A40000}"/>
    <cellStyle name="Output 2 2 3 3 2 2" xfId="35438" xr:uid="{00000000-0005-0000-0000-0000B4A40000}"/>
    <cellStyle name="Output 2 2 3 3 2 3" xfId="35439" xr:uid="{00000000-0005-0000-0000-0000B5A40000}"/>
    <cellStyle name="Output 2 2 3 3 3" xfId="35440" xr:uid="{00000000-0005-0000-0000-0000B6A40000}"/>
    <cellStyle name="Output 2 2 3 3 3 2" xfId="35441" xr:uid="{00000000-0005-0000-0000-0000B7A40000}"/>
    <cellStyle name="Output 2 2 3 3 3 3" xfId="35442" xr:uid="{00000000-0005-0000-0000-0000B8A40000}"/>
    <cellStyle name="Output 2 2 3 3 4" xfId="35443" xr:uid="{00000000-0005-0000-0000-0000B9A40000}"/>
    <cellStyle name="Output 2 2 3 3 4 2" xfId="35444" xr:uid="{00000000-0005-0000-0000-0000BAA40000}"/>
    <cellStyle name="Output 2 2 3 3 4 3" xfId="35445" xr:uid="{00000000-0005-0000-0000-0000BBA40000}"/>
    <cellStyle name="Output 2 2 3 3 5" xfId="35446" xr:uid="{00000000-0005-0000-0000-0000BCA40000}"/>
    <cellStyle name="Output 2 2 3 3 5 2" xfId="35447" xr:uid="{00000000-0005-0000-0000-0000BDA40000}"/>
    <cellStyle name="Output 2 2 3 3 5 3" xfId="35448" xr:uid="{00000000-0005-0000-0000-0000BEA40000}"/>
    <cellStyle name="Output 2 2 3 3 6" xfId="35449" xr:uid="{00000000-0005-0000-0000-0000BFA40000}"/>
    <cellStyle name="Output 2 2 3 3 6 2" xfId="35450" xr:uid="{00000000-0005-0000-0000-0000C0A40000}"/>
    <cellStyle name="Output 2 2 3 3 6 3" xfId="35451" xr:uid="{00000000-0005-0000-0000-0000C1A40000}"/>
    <cellStyle name="Output 2 2 3 3 7" xfId="35452" xr:uid="{00000000-0005-0000-0000-0000C2A40000}"/>
    <cellStyle name="Output 2 2 3 3 7 2" xfId="35453" xr:uid="{00000000-0005-0000-0000-0000C3A40000}"/>
    <cellStyle name="Output 2 2 3 3 7 3" xfId="35454" xr:uid="{00000000-0005-0000-0000-0000C4A40000}"/>
    <cellStyle name="Output 2 2 3 3 8" xfId="44678" xr:uid="{00000000-0005-0000-0000-0000C5A40000}"/>
    <cellStyle name="Output 2 2 3 4" xfId="35455" xr:uid="{00000000-0005-0000-0000-0000C6A40000}"/>
    <cellStyle name="Output 2 2 3 4 2" xfId="35456" xr:uid="{00000000-0005-0000-0000-0000C7A40000}"/>
    <cellStyle name="Output 2 2 3 4 2 2" xfId="35457" xr:uid="{00000000-0005-0000-0000-0000C8A40000}"/>
    <cellStyle name="Output 2 2 3 4 2 3" xfId="35458" xr:uid="{00000000-0005-0000-0000-0000C9A40000}"/>
    <cellStyle name="Output 2 2 3 4 3" xfId="35459" xr:uid="{00000000-0005-0000-0000-0000CAA40000}"/>
    <cellStyle name="Output 2 2 3 4 3 2" xfId="35460" xr:uid="{00000000-0005-0000-0000-0000CBA40000}"/>
    <cellStyle name="Output 2 2 3 4 3 3" xfId="35461" xr:uid="{00000000-0005-0000-0000-0000CCA40000}"/>
    <cellStyle name="Output 2 2 3 4 4" xfId="35462" xr:uid="{00000000-0005-0000-0000-0000CDA40000}"/>
    <cellStyle name="Output 2 2 3 4 4 2" xfId="35463" xr:uid="{00000000-0005-0000-0000-0000CEA40000}"/>
    <cellStyle name="Output 2 2 3 4 4 3" xfId="35464" xr:uid="{00000000-0005-0000-0000-0000CFA40000}"/>
    <cellStyle name="Output 2 2 3 4 5" xfId="35465" xr:uid="{00000000-0005-0000-0000-0000D0A40000}"/>
    <cellStyle name="Output 2 2 3 4 5 2" xfId="35466" xr:uid="{00000000-0005-0000-0000-0000D1A40000}"/>
    <cellStyle name="Output 2 2 3 4 5 3" xfId="35467" xr:uid="{00000000-0005-0000-0000-0000D2A40000}"/>
    <cellStyle name="Output 2 2 3 4 6" xfId="35468" xr:uid="{00000000-0005-0000-0000-0000D3A40000}"/>
    <cellStyle name="Output 2 2 3 4 6 2" xfId="35469" xr:uid="{00000000-0005-0000-0000-0000D4A40000}"/>
    <cellStyle name="Output 2 2 3 4 6 3" xfId="35470" xr:uid="{00000000-0005-0000-0000-0000D5A40000}"/>
    <cellStyle name="Output 2 2 3 4 7" xfId="35471" xr:uid="{00000000-0005-0000-0000-0000D6A40000}"/>
    <cellStyle name="Output 2 2 3 4 7 2" xfId="35472" xr:uid="{00000000-0005-0000-0000-0000D7A40000}"/>
    <cellStyle name="Output 2 2 3 4 7 3" xfId="35473" xr:uid="{00000000-0005-0000-0000-0000D8A40000}"/>
    <cellStyle name="Output 2 2 3 4 8" xfId="44679" xr:uid="{00000000-0005-0000-0000-0000D9A40000}"/>
    <cellStyle name="Output 2 2 3 5" xfId="35474" xr:uid="{00000000-0005-0000-0000-0000DAA40000}"/>
    <cellStyle name="Output 2 2 3 5 2" xfId="35475" xr:uid="{00000000-0005-0000-0000-0000DBA40000}"/>
    <cellStyle name="Output 2 2 3 5 2 2" xfId="35476" xr:uid="{00000000-0005-0000-0000-0000DCA40000}"/>
    <cellStyle name="Output 2 2 3 5 2 3" xfId="35477" xr:uid="{00000000-0005-0000-0000-0000DDA40000}"/>
    <cellStyle name="Output 2 2 3 5 3" xfId="35478" xr:uid="{00000000-0005-0000-0000-0000DEA40000}"/>
    <cellStyle name="Output 2 2 3 5 3 2" xfId="35479" xr:uid="{00000000-0005-0000-0000-0000DFA40000}"/>
    <cellStyle name="Output 2 2 3 5 3 3" xfId="35480" xr:uid="{00000000-0005-0000-0000-0000E0A40000}"/>
    <cellStyle name="Output 2 2 3 5 4" xfId="35481" xr:uid="{00000000-0005-0000-0000-0000E1A40000}"/>
    <cellStyle name="Output 2 2 3 5 4 2" xfId="35482" xr:uid="{00000000-0005-0000-0000-0000E2A40000}"/>
    <cellStyle name="Output 2 2 3 5 4 3" xfId="35483" xr:uid="{00000000-0005-0000-0000-0000E3A40000}"/>
    <cellStyle name="Output 2 2 3 5 5" xfId="35484" xr:uid="{00000000-0005-0000-0000-0000E4A40000}"/>
    <cellStyle name="Output 2 2 3 5 5 2" xfId="35485" xr:uid="{00000000-0005-0000-0000-0000E5A40000}"/>
    <cellStyle name="Output 2 2 3 5 5 3" xfId="35486" xr:uid="{00000000-0005-0000-0000-0000E6A40000}"/>
    <cellStyle name="Output 2 2 3 5 6" xfId="35487" xr:uid="{00000000-0005-0000-0000-0000E7A40000}"/>
    <cellStyle name="Output 2 2 3 5 6 2" xfId="35488" xr:uid="{00000000-0005-0000-0000-0000E8A40000}"/>
    <cellStyle name="Output 2 2 3 5 6 3" xfId="35489" xr:uid="{00000000-0005-0000-0000-0000E9A40000}"/>
    <cellStyle name="Output 2 2 3 5 7" xfId="35490" xr:uid="{00000000-0005-0000-0000-0000EAA40000}"/>
    <cellStyle name="Output 2 2 3 5 7 2" xfId="35491" xr:uid="{00000000-0005-0000-0000-0000EBA40000}"/>
    <cellStyle name="Output 2 2 3 5 7 3" xfId="35492" xr:uid="{00000000-0005-0000-0000-0000ECA40000}"/>
    <cellStyle name="Output 2 2 3 5 8" xfId="44680" xr:uid="{00000000-0005-0000-0000-0000EDA40000}"/>
    <cellStyle name="Output 2 2 3 6" xfId="35493" xr:uid="{00000000-0005-0000-0000-0000EEA40000}"/>
    <cellStyle name="Output 2 2 3 6 2" xfId="35494" xr:uid="{00000000-0005-0000-0000-0000EFA40000}"/>
    <cellStyle name="Output 2 2 3 6 3" xfId="35495" xr:uid="{00000000-0005-0000-0000-0000F0A40000}"/>
    <cellStyle name="Output 2 2 3 7" xfId="35496" xr:uid="{00000000-0005-0000-0000-0000F1A40000}"/>
    <cellStyle name="Output 2 2 3 7 2" xfId="35497" xr:uid="{00000000-0005-0000-0000-0000F2A40000}"/>
    <cellStyle name="Output 2 2 3 7 3" xfId="35498" xr:uid="{00000000-0005-0000-0000-0000F3A40000}"/>
    <cellStyle name="Output 2 2 3 8" xfId="35499" xr:uid="{00000000-0005-0000-0000-0000F4A40000}"/>
    <cellStyle name="Output 2 2 3 8 2" xfId="35500" xr:uid="{00000000-0005-0000-0000-0000F5A40000}"/>
    <cellStyle name="Output 2 2 3 8 3" xfId="35501" xr:uid="{00000000-0005-0000-0000-0000F6A40000}"/>
    <cellStyle name="Output 2 2 3 9" xfId="35502" xr:uid="{00000000-0005-0000-0000-0000F7A40000}"/>
    <cellStyle name="Output 2 2 3 9 2" xfId="35503" xr:uid="{00000000-0005-0000-0000-0000F8A40000}"/>
    <cellStyle name="Output 2 2 3 9 3" xfId="35504" xr:uid="{00000000-0005-0000-0000-0000F9A40000}"/>
    <cellStyle name="Output 2 2 4" xfId="35505" xr:uid="{00000000-0005-0000-0000-0000FAA40000}"/>
    <cellStyle name="Output 2 2 4 2" xfId="35506" xr:uid="{00000000-0005-0000-0000-0000FBA40000}"/>
    <cellStyle name="Output 2 2 4 2 2" xfId="35507" xr:uid="{00000000-0005-0000-0000-0000FCA40000}"/>
    <cellStyle name="Output 2 2 4 2 3" xfId="35508" xr:uid="{00000000-0005-0000-0000-0000FDA40000}"/>
    <cellStyle name="Output 2 2 4 3" xfId="35509" xr:uid="{00000000-0005-0000-0000-0000FEA40000}"/>
    <cellStyle name="Output 2 2 4 3 2" xfId="35510" xr:uid="{00000000-0005-0000-0000-0000FFA40000}"/>
    <cellStyle name="Output 2 2 4 3 3" xfId="35511" xr:uid="{00000000-0005-0000-0000-000000A50000}"/>
    <cellStyle name="Output 2 2 4 4" xfId="35512" xr:uid="{00000000-0005-0000-0000-000001A50000}"/>
    <cellStyle name="Output 2 2 4 4 2" xfId="35513" xr:uid="{00000000-0005-0000-0000-000002A50000}"/>
    <cellStyle name="Output 2 2 4 4 3" xfId="35514" xr:uid="{00000000-0005-0000-0000-000003A50000}"/>
    <cellStyle name="Output 2 2 4 5" xfId="35515" xr:uid="{00000000-0005-0000-0000-000004A50000}"/>
    <cellStyle name="Output 2 2 4 5 2" xfId="35516" xr:uid="{00000000-0005-0000-0000-000005A50000}"/>
    <cellStyle name="Output 2 2 4 5 3" xfId="35517" xr:uid="{00000000-0005-0000-0000-000006A50000}"/>
    <cellStyle name="Output 2 2 4 6" xfId="35518" xr:uid="{00000000-0005-0000-0000-000007A50000}"/>
    <cellStyle name="Output 2 2 4 6 2" xfId="35519" xr:uid="{00000000-0005-0000-0000-000008A50000}"/>
    <cellStyle name="Output 2 2 4 6 3" xfId="35520" xr:uid="{00000000-0005-0000-0000-000009A50000}"/>
    <cellStyle name="Output 2 2 4 7" xfId="35521" xr:uid="{00000000-0005-0000-0000-00000AA50000}"/>
    <cellStyle name="Output 2 2 4 7 2" xfId="35522" xr:uid="{00000000-0005-0000-0000-00000BA50000}"/>
    <cellStyle name="Output 2 2 4 7 3" xfId="35523" xr:uid="{00000000-0005-0000-0000-00000CA50000}"/>
    <cellStyle name="Output 2 2 4 8" xfId="44681" xr:uid="{00000000-0005-0000-0000-00000DA50000}"/>
    <cellStyle name="Output 2 2 5" xfId="35524" xr:uid="{00000000-0005-0000-0000-00000EA50000}"/>
    <cellStyle name="Output 2 2 5 2" xfId="35525" xr:uid="{00000000-0005-0000-0000-00000FA50000}"/>
    <cellStyle name="Output 2 2 5 3" xfId="35526" xr:uid="{00000000-0005-0000-0000-000010A50000}"/>
    <cellStyle name="Output 2 2 6" xfId="35527" xr:uid="{00000000-0005-0000-0000-000011A50000}"/>
    <cellStyle name="Output 2 2 6 2" xfId="35528" xr:uid="{00000000-0005-0000-0000-000012A50000}"/>
    <cellStyle name="Output 2 2 6 3" xfId="35529" xr:uid="{00000000-0005-0000-0000-000013A50000}"/>
    <cellStyle name="Output 2 2 7" xfId="35530" xr:uid="{00000000-0005-0000-0000-000014A50000}"/>
    <cellStyle name="Output 2 2 7 2" xfId="35531" xr:uid="{00000000-0005-0000-0000-000015A50000}"/>
    <cellStyle name="Output 2 2 7 3" xfId="35532" xr:uid="{00000000-0005-0000-0000-000016A50000}"/>
    <cellStyle name="Output 2 2 8" xfId="35533" xr:uid="{00000000-0005-0000-0000-000017A50000}"/>
    <cellStyle name="Output 2 2 8 2" xfId="35534" xr:uid="{00000000-0005-0000-0000-000018A50000}"/>
    <cellStyle name="Output 2 2 8 3" xfId="35535" xr:uid="{00000000-0005-0000-0000-000019A50000}"/>
    <cellStyle name="Output 2 2 9" xfId="44682" xr:uid="{00000000-0005-0000-0000-00001AA50000}"/>
    <cellStyle name="Output 2 3" xfId="2267" xr:uid="{00000000-0005-0000-0000-00001BA50000}"/>
    <cellStyle name="Output 2 3 10" xfId="35536" xr:uid="{00000000-0005-0000-0000-00001CA50000}"/>
    <cellStyle name="Output 2 3 2" xfId="35537" xr:uid="{00000000-0005-0000-0000-00001DA50000}"/>
    <cellStyle name="Output 2 3 2 10" xfId="35538" xr:uid="{00000000-0005-0000-0000-00001EA50000}"/>
    <cellStyle name="Output 2 3 2 10 2" xfId="35539" xr:uid="{00000000-0005-0000-0000-00001FA50000}"/>
    <cellStyle name="Output 2 3 2 10 3" xfId="35540" xr:uid="{00000000-0005-0000-0000-000020A50000}"/>
    <cellStyle name="Output 2 3 2 11" xfId="35541" xr:uid="{00000000-0005-0000-0000-000021A50000}"/>
    <cellStyle name="Output 2 3 2 11 2" xfId="35542" xr:uid="{00000000-0005-0000-0000-000022A50000}"/>
    <cellStyle name="Output 2 3 2 11 3" xfId="35543" xr:uid="{00000000-0005-0000-0000-000023A50000}"/>
    <cellStyle name="Output 2 3 2 12" xfId="44683" xr:uid="{00000000-0005-0000-0000-000024A50000}"/>
    <cellStyle name="Output 2 3 2 2" xfId="35544" xr:uid="{00000000-0005-0000-0000-000025A50000}"/>
    <cellStyle name="Output 2 3 2 2 2" xfId="35545" xr:uid="{00000000-0005-0000-0000-000026A50000}"/>
    <cellStyle name="Output 2 3 2 2 2 2" xfId="35546" xr:uid="{00000000-0005-0000-0000-000027A50000}"/>
    <cellStyle name="Output 2 3 2 2 2 3" xfId="35547" xr:uid="{00000000-0005-0000-0000-000028A50000}"/>
    <cellStyle name="Output 2 3 2 2 3" xfId="35548" xr:uid="{00000000-0005-0000-0000-000029A50000}"/>
    <cellStyle name="Output 2 3 2 2 3 2" xfId="35549" xr:uid="{00000000-0005-0000-0000-00002AA50000}"/>
    <cellStyle name="Output 2 3 2 2 3 3" xfId="35550" xr:uid="{00000000-0005-0000-0000-00002BA50000}"/>
    <cellStyle name="Output 2 3 2 2 4" xfId="35551" xr:uid="{00000000-0005-0000-0000-00002CA50000}"/>
    <cellStyle name="Output 2 3 2 2 4 2" xfId="35552" xr:uid="{00000000-0005-0000-0000-00002DA50000}"/>
    <cellStyle name="Output 2 3 2 2 4 3" xfId="35553" xr:uid="{00000000-0005-0000-0000-00002EA50000}"/>
    <cellStyle name="Output 2 3 2 2 5" xfId="35554" xr:uid="{00000000-0005-0000-0000-00002FA50000}"/>
    <cellStyle name="Output 2 3 2 2 5 2" xfId="35555" xr:uid="{00000000-0005-0000-0000-000030A50000}"/>
    <cellStyle name="Output 2 3 2 2 5 3" xfId="35556" xr:uid="{00000000-0005-0000-0000-000031A50000}"/>
    <cellStyle name="Output 2 3 2 2 6" xfId="35557" xr:uid="{00000000-0005-0000-0000-000032A50000}"/>
    <cellStyle name="Output 2 3 2 2 6 2" xfId="35558" xr:uid="{00000000-0005-0000-0000-000033A50000}"/>
    <cellStyle name="Output 2 3 2 2 6 3" xfId="35559" xr:uid="{00000000-0005-0000-0000-000034A50000}"/>
    <cellStyle name="Output 2 3 2 2 7" xfId="35560" xr:uid="{00000000-0005-0000-0000-000035A50000}"/>
    <cellStyle name="Output 2 3 2 2 7 2" xfId="35561" xr:uid="{00000000-0005-0000-0000-000036A50000}"/>
    <cellStyle name="Output 2 3 2 2 7 3" xfId="35562" xr:uid="{00000000-0005-0000-0000-000037A50000}"/>
    <cellStyle name="Output 2 3 2 2 8" xfId="44684" xr:uid="{00000000-0005-0000-0000-000038A50000}"/>
    <cellStyle name="Output 2 3 2 3" xfId="35563" xr:uid="{00000000-0005-0000-0000-000039A50000}"/>
    <cellStyle name="Output 2 3 2 3 2" xfId="35564" xr:uid="{00000000-0005-0000-0000-00003AA50000}"/>
    <cellStyle name="Output 2 3 2 3 2 2" xfId="35565" xr:uid="{00000000-0005-0000-0000-00003BA50000}"/>
    <cellStyle name="Output 2 3 2 3 2 3" xfId="35566" xr:uid="{00000000-0005-0000-0000-00003CA50000}"/>
    <cellStyle name="Output 2 3 2 3 3" xfId="35567" xr:uid="{00000000-0005-0000-0000-00003DA50000}"/>
    <cellStyle name="Output 2 3 2 3 3 2" xfId="35568" xr:uid="{00000000-0005-0000-0000-00003EA50000}"/>
    <cellStyle name="Output 2 3 2 3 3 3" xfId="35569" xr:uid="{00000000-0005-0000-0000-00003FA50000}"/>
    <cellStyle name="Output 2 3 2 3 4" xfId="35570" xr:uid="{00000000-0005-0000-0000-000040A50000}"/>
    <cellStyle name="Output 2 3 2 3 4 2" xfId="35571" xr:uid="{00000000-0005-0000-0000-000041A50000}"/>
    <cellStyle name="Output 2 3 2 3 4 3" xfId="35572" xr:uid="{00000000-0005-0000-0000-000042A50000}"/>
    <cellStyle name="Output 2 3 2 3 5" xfId="35573" xr:uid="{00000000-0005-0000-0000-000043A50000}"/>
    <cellStyle name="Output 2 3 2 3 5 2" xfId="35574" xr:uid="{00000000-0005-0000-0000-000044A50000}"/>
    <cellStyle name="Output 2 3 2 3 5 3" xfId="35575" xr:uid="{00000000-0005-0000-0000-000045A50000}"/>
    <cellStyle name="Output 2 3 2 3 6" xfId="35576" xr:uid="{00000000-0005-0000-0000-000046A50000}"/>
    <cellStyle name="Output 2 3 2 3 6 2" xfId="35577" xr:uid="{00000000-0005-0000-0000-000047A50000}"/>
    <cellStyle name="Output 2 3 2 3 6 3" xfId="35578" xr:uid="{00000000-0005-0000-0000-000048A50000}"/>
    <cellStyle name="Output 2 3 2 3 7" xfId="35579" xr:uid="{00000000-0005-0000-0000-000049A50000}"/>
    <cellStyle name="Output 2 3 2 3 7 2" xfId="35580" xr:uid="{00000000-0005-0000-0000-00004AA50000}"/>
    <cellStyle name="Output 2 3 2 3 7 3" xfId="35581" xr:uid="{00000000-0005-0000-0000-00004BA50000}"/>
    <cellStyle name="Output 2 3 2 3 8" xfId="44685" xr:uid="{00000000-0005-0000-0000-00004CA50000}"/>
    <cellStyle name="Output 2 3 2 4" xfId="35582" xr:uid="{00000000-0005-0000-0000-00004DA50000}"/>
    <cellStyle name="Output 2 3 2 4 2" xfId="35583" xr:uid="{00000000-0005-0000-0000-00004EA50000}"/>
    <cellStyle name="Output 2 3 2 4 2 2" xfId="35584" xr:uid="{00000000-0005-0000-0000-00004FA50000}"/>
    <cellStyle name="Output 2 3 2 4 2 3" xfId="35585" xr:uid="{00000000-0005-0000-0000-000050A50000}"/>
    <cellStyle name="Output 2 3 2 4 3" xfId="35586" xr:uid="{00000000-0005-0000-0000-000051A50000}"/>
    <cellStyle name="Output 2 3 2 4 3 2" xfId="35587" xr:uid="{00000000-0005-0000-0000-000052A50000}"/>
    <cellStyle name="Output 2 3 2 4 3 3" xfId="35588" xr:uid="{00000000-0005-0000-0000-000053A50000}"/>
    <cellStyle name="Output 2 3 2 4 4" xfId="35589" xr:uid="{00000000-0005-0000-0000-000054A50000}"/>
    <cellStyle name="Output 2 3 2 4 4 2" xfId="35590" xr:uid="{00000000-0005-0000-0000-000055A50000}"/>
    <cellStyle name="Output 2 3 2 4 4 3" xfId="35591" xr:uid="{00000000-0005-0000-0000-000056A50000}"/>
    <cellStyle name="Output 2 3 2 4 5" xfId="35592" xr:uid="{00000000-0005-0000-0000-000057A50000}"/>
    <cellStyle name="Output 2 3 2 4 5 2" xfId="35593" xr:uid="{00000000-0005-0000-0000-000058A50000}"/>
    <cellStyle name="Output 2 3 2 4 5 3" xfId="35594" xr:uid="{00000000-0005-0000-0000-000059A50000}"/>
    <cellStyle name="Output 2 3 2 4 6" xfId="35595" xr:uid="{00000000-0005-0000-0000-00005AA50000}"/>
    <cellStyle name="Output 2 3 2 4 6 2" xfId="35596" xr:uid="{00000000-0005-0000-0000-00005BA50000}"/>
    <cellStyle name="Output 2 3 2 4 6 3" xfId="35597" xr:uid="{00000000-0005-0000-0000-00005CA50000}"/>
    <cellStyle name="Output 2 3 2 4 7" xfId="35598" xr:uid="{00000000-0005-0000-0000-00005DA50000}"/>
    <cellStyle name="Output 2 3 2 4 7 2" xfId="35599" xr:uid="{00000000-0005-0000-0000-00005EA50000}"/>
    <cellStyle name="Output 2 3 2 4 7 3" xfId="35600" xr:uid="{00000000-0005-0000-0000-00005FA50000}"/>
    <cellStyle name="Output 2 3 2 4 8" xfId="44686" xr:uid="{00000000-0005-0000-0000-000060A50000}"/>
    <cellStyle name="Output 2 3 2 5" xfId="35601" xr:uid="{00000000-0005-0000-0000-000061A50000}"/>
    <cellStyle name="Output 2 3 2 5 2" xfId="35602" xr:uid="{00000000-0005-0000-0000-000062A50000}"/>
    <cellStyle name="Output 2 3 2 5 2 2" xfId="35603" xr:uid="{00000000-0005-0000-0000-000063A50000}"/>
    <cellStyle name="Output 2 3 2 5 2 3" xfId="35604" xr:uid="{00000000-0005-0000-0000-000064A50000}"/>
    <cellStyle name="Output 2 3 2 5 3" xfId="35605" xr:uid="{00000000-0005-0000-0000-000065A50000}"/>
    <cellStyle name="Output 2 3 2 5 3 2" xfId="35606" xr:uid="{00000000-0005-0000-0000-000066A50000}"/>
    <cellStyle name="Output 2 3 2 5 3 3" xfId="35607" xr:uid="{00000000-0005-0000-0000-000067A50000}"/>
    <cellStyle name="Output 2 3 2 5 4" xfId="35608" xr:uid="{00000000-0005-0000-0000-000068A50000}"/>
    <cellStyle name="Output 2 3 2 5 4 2" xfId="35609" xr:uid="{00000000-0005-0000-0000-000069A50000}"/>
    <cellStyle name="Output 2 3 2 5 4 3" xfId="35610" xr:uid="{00000000-0005-0000-0000-00006AA50000}"/>
    <cellStyle name="Output 2 3 2 5 5" xfId="35611" xr:uid="{00000000-0005-0000-0000-00006BA50000}"/>
    <cellStyle name="Output 2 3 2 5 5 2" xfId="35612" xr:uid="{00000000-0005-0000-0000-00006CA50000}"/>
    <cellStyle name="Output 2 3 2 5 5 3" xfId="35613" xr:uid="{00000000-0005-0000-0000-00006DA50000}"/>
    <cellStyle name="Output 2 3 2 5 6" xfId="35614" xr:uid="{00000000-0005-0000-0000-00006EA50000}"/>
    <cellStyle name="Output 2 3 2 5 6 2" xfId="35615" xr:uid="{00000000-0005-0000-0000-00006FA50000}"/>
    <cellStyle name="Output 2 3 2 5 6 3" xfId="35616" xr:uid="{00000000-0005-0000-0000-000070A50000}"/>
    <cellStyle name="Output 2 3 2 5 7" xfId="35617" xr:uid="{00000000-0005-0000-0000-000071A50000}"/>
    <cellStyle name="Output 2 3 2 5 7 2" xfId="35618" xr:uid="{00000000-0005-0000-0000-000072A50000}"/>
    <cellStyle name="Output 2 3 2 5 7 3" xfId="35619" xr:uid="{00000000-0005-0000-0000-000073A50000}"/>
    <cellStyle name="Output 2 3 2 5 8" xfId="44687" xr:uid="{00000000-0005-0000-0000-000074A50000}"/>
    <cellStyle name="Output 2 3 2 6" xfId="35620" xr:uid="{00000000-0005-0000-0000-000075A50000}"/>
    <cellStyle name="Output 2 3 2 6 2" xfId="35621" xr:uid="{00000000-0005-0000-0000-000076A50000}"/>
    <cellStyle name="Output 2 3 2 6 3" xfId="35622" xr:uid="{00000000-0005-0000-0000-000077A50000}"/>
    <cellStyle name="Output 2 3 2 7" xfId="35623" xr:uid="{00000000-0005-0000-0000-000078A50000}"/>
    <cellStyle name="Output 2 3 2 7 2" xfId="35624" xr:uid="{00000000-0005-0000-0000-000079A50000}"/>
    <cellStyle name="Output 2 3 2 7 3" xfId="35625" xr:uid="{00000000-0005-0000-0000-00007AA50000}"/>
    <cellStyle name="Output 2 3 2 8" xfId="35626" xr:uid="{00000000-0005-0000-0000-00007BA50000}"/>
    <cellStyle name="Output 2 3 2 8 2" xfId="35627" xr:uid="{00000000-0005-0000-0000-00007CA50000}"/>
    <cellStyle name="Output 2 3 2 8 3" xfId="35628" xr:uid="{00000000-0005-0000-0000-00007DA50000}"/>
    <cellStyle name="Output 2 3 2 9" xfId="35629" xr:uid="{00000000-0005-0000-0000-00007EA50000}"/>
    <cellStyle name="Output 2 3 2 9 2" xfId="35630" xr:uid="{00000000-0005-0000-0000-00007FA50000}"/>
    <cellStyle name="Output 2 3 2 9 3" xfId="35631" xr:uid="{00000000-0005-0000-0000-000080A50000}"/>
    <cellStyle name="Output 2 3 3" xfId="35632" xr:uid="{00000000-0005-0000-0000-000081A50000}"/>
    <cellStyle name="Output 2 3 3 2" xfId="35633" xr:uid="{00000000-0005-0000-0000-000082A50000}"/>
    <cellStyle name="Output 2 3 3 2 2" xfId="35634" xr:uid="{00000000-0005-0000-0000-000083A50000}"/>
    <cellStyle name="Output 2 3 3 2 3" xfId="35635" xr:uid="{00000000-0005-0000-0000-000084A50000}"/>
    <cellStyle name="Output 2 3 3 3" xfId="35636" xr:uid="{00000000-0005-0000-0000-000085A50000}"/>
    <cellStyle name="Output 2 3 3 3 2" xfId="35637" xr:uid="{00000000-0005-0000-0000-000086A50000}"/>
    <cellStyle name="Output 2 3 3 3 3" xfId="35638" xr:uid="{00000000-0005-0000-0000-000087A50000}"/>
    <cellStyle name="Output 2 3 3 4" xfId="35639" xr:uid="{00000000-0005-0000-0000-000088A50000}"/>
    <cellStyle name="Output 2 3 3 4 2" xfId="35640" xr:uid="{00000000-0005-0000-0000-000089A50000}"/>
    <cellStyle name="Output 2 3 3 4 3" xfId="35641" xr:uid="{00000000-0005-0000-0000-00008AA50000}"/>
    <cellStyle name="Output 2 3 3 5" xfId="35642" xr:uid="{00000000-0005-0000-0000-00008BA50000}"/>
    <cellStyle name="Output 2 3 3 5 2" xfId="35643" xr:uid="{00000000-0005-0000-0000-00008CA50000}"/>
    <cellStyle name="Output 2 3 3 5 3" xfId="35644" xr:uid="{00000000-0005-0000-0000-00008DA50000}"/>
    <cellStyle name="Output 2 3 3 6" xfId="35645" xr:uid="{00000000-0005-0000-0000-00008EA50000}"/>
    <cellStyle name="Output 2 3 3 6 2" xfId="35646" xr:uid="{00000000-0005-0000-0000-00008FA50000}"/>
    <cellStyle name="Output 2 3 3 6 3" xfId="35647" xr:uid="{00000000-0005-0000-0000-000090A50000}"/>
    <cellStyle name="Output 2 3 3 7" xfId="35648" xr:uid="{00000000-0005-0000-0000-000091A50000}"/>
    <cellStyle name="Output 2 3 3 7 2" xfId="35649" xr:uid="{00000000-0005-0000-0000-000092A50000}"/>
    <cellStyle name="Output 2 3 3 7 3" xfId="35650" xr:uid="{00000000-0005-0000-0000-000093A50000}"/>
    <cellStyle name="Output 2 3 3 8" xfId="44688" xr:uid="{00000000-0005-0000-0000-000094A50000}"/>
    <cellStyle name="Output 2 3 4" xfId="35651" xr:uid="{00000000-0005-0000-0000-000095A50000}"/>
    <cellStyle name="Output 2 3 4 2" xfId="35652" xr:uid="{00000000-0005-0000-0000-000096A50000}"/>
    <cellStyle name="Output 2 3 4 3" xfId="35653" xr:uid="{00000000-0005-0000-0000-000097A50000}"/>
    <cellStyle name="Output 2 3 5" xfId="35654" xr:uid="{00000000-0005-0000-0000-000098A50000}"/>
    <cellStyle name="Output 2 3 5 2" xfId="35655" xr:uid="{00000000-0005-0000-0000-000099A50000}"/>
    <cellStyle name="Output 2 3 5 3" xfId="35656" xr:uid="{00000000-0005-0000-0000-00009AA50000}"/>
    <cellStyle name="Output 2 3 6" xfId="35657" xr:uid="{00000000-0005-0000-0000-00009BA50000}"/>
    <cellStyle name="Output 2 3 6 2" xfId="35658" xr:uid="{00000000-0005-0000-0000-00009CA50000}"/>
    <cellStyle name="Output 2 3 6 3" xfId="35659" xr:uid="{00000000-0005-0000-0000-00009DA50000}"/>
    <cellStyle name="Output 2 3 7" xfId="35660" xr:uid="{00000000-0005-0000-0000-00009EA50000}"/>
    <cellStyle name="Output 2 3 7 2" xfId="35661" xr:uid="{00000000-0005-0000-0000-00009FA50000}"/>
    <cellStyle name="Output 2 3 7 3" xfId="35662" xr:uid="{00000000-0005-0000-0000-0000A0A50000}"/>
    <cellStyle name="Output 2 3 8" xfId="35663" xr:uid="{00000000-0005-0000-0000-0000A1A50000}"/>
    <cellStyle name="Output 2 3 8 2" xfId="35664" xr:uid="{00000000-0005-0000-0000-0000A2A50000}"/>
    <cellStyle name="Output 2 3 8 3" xfId="35665" xr:uid="{00000000-0005-0000-0000-0000A3A50000}"/>
    <cellStyle name="Output 2 3 9" xfId="35666" xr:uid="{00000000-0005-0000-0000-0000A4A50000}"/>
    <cellStyle name="Output 2 4" xfId="2268" xr:uid="{00000000-0005-0000-0000-0000A5A50000}"/>
    <cellStyle name="Output 2 4 10" xfId="35667" xr:uid="{00000000-0005-0000-0000-0000A6A50000}"/>
    <cellStyle name="Output 2 4 10 2" xfId="35668" xr:uid="{00000000-0005-0000-0000-0000A7A50000}"/>
    <cellStyle name="Output 2 4 10 3" xfId="35669" xr:uid="{00000000-0005-0000-0000-0000A8A50000}"/>
    <cellStyle name="Output 2 4 11" xfId="35670" xr:uid="{00000000-0005-0000-0000-0000A9A50000}"/>
    <cellStyle name="Output 2 4 11 2" xfId="35671" xr:uid="{00000000-0005-0000-0000-0000AAA50000}"/>
    <cellStyle name="Output 2 4 11 3" xfId="35672" xr:uid="{00000000-0005-0000-0000-0000ABA50000}"/>
    <cellStyle name="Output 2 4 12" xfId="35673" xr:uid="{00000000-0005-0000-0000-0000ACA50000}"/>
    <cellStyle name="Output 2 4 2" xfId="35674" xr:uid="{00000000-0005-0000-0000-0000ADA50000}"/>
    <cellStyle name="Output 2 4 2 2" xfId="35675" xr:uid="{00000000-0005-0000-0000-0000AEA50000}"/>
    <cellStyle name="Output 2 4 2 2 2" xfId="35676" xr:uid="{00000000-0005-0000-0000-0000AFA50000}"/>
    <cellStyle name="Output 2 4 2 2 3" xfId="35677" xr:uid="{00000000-0005-0000-0000-0000B0A50000}"/>
    <cellStyle name="Output 2 4 2 3" xfId="35678" xr:uid="{00000000-0005-0000-0000-0000B1A50000}"/>
    <cellStyle name="Output 2 4 2 3 2" xfId="35679" xr:uid="{00000000-0005-0000-0000-0000B2A50000}"/>
    <cellStyle name="Output 2 4 2 3 3" xfId="35680" xr:uid="{00000000-0005-0000-0000-0000B3A50000}"/>
    <cellStyle name="Output 2 4 2 4" xfId="35681" xr:uid="{00000000-0005-0000-0000-0000B4A50000}"/>
    <cellStyle name="Output 2 4 2 4 2" xfId="35682" xr:uid="{00000000-0005-0000-0000-0000B5A50000}"/>
    <cellStyle name="Output 2 4 2 4 3" xfId="35683" xr:uid="{00000000-0005-0000-0000-0000B6A50000}"/>
    <cellStyle name="Output 2 4 2 5" xfId="35684" xr:uid="{00000000-0005-0000-0000-0000B7A50000}"/>
    <cellStyle name="Output 2 4 2 5 2" xfId="35685" xr:uid="{00000000-0005-0000-0000-0000B8A50000}"/>
    <cellStyle name="Output 2 4 2 5 3" xfId="35686" xr:uid="{00000000-0005-0000-0000-0000B9A50000}"/>
    <cellStyle name="Output 2 4 2 6" xfId="35687" xr:uid="{00000000-0005-0000-0000-0000BAA50000}"/>
    <cellStyle name="Output 2 4 2 6 2" xfId="35688" xr:uid="{00000000-0005-0000-0000-0000BBA50000}"/>
    <cellStyle name="Output 2 4 2 6 3" xfId="35689" xr:uid="{00000000-0005-0000-0000-0000BCA50000}"/>
    <cellStyle name="Output 2 4 2 7" xfId="35690" xr:uid="{00000000-0005-0000-0000-0000BDA50000}"/>
    <cellStyle name="Output 2 4 2 7 2" xfId="35691" xr:uid="{00000000-0005-0000-0000-0000BEA50000}"/>
    <cellStyle name="Output 2 4 2 7 3" xfId="35692" xr:uid="{00000000-0005-0000-0000-0000BFA50000}"/>
    <cellStyle name="Output 2 4 2 8" xfId="44689" xr:uid="{00000000-0005-0000-0000-0000C0A50000}"/>
    <cellStyle name="Output 2 4 3" xfId="35693" xr:uid="{00000000-0005-0000-0000-0000C1A50000}"/>
    <cellStyle name="Output 2 4 3 2" xfId="35694" xr:uid="{00000000-0005-0000-0000-0000C2A50000}"/>
    <cellStyle name="Output 2 4 3 2 2" xfId="35695" xr:uid="{00000000-0005-0000-0000-0000C3A50000}"/>
    <cellStyle name="Output 2 4 3 2 3" xfId="35696" xr:uid="{00000000-0005-0000-0000-0000C4A50000}"/>
    <cellStyle name="Output 2 4 3 3" xfId="35697" xr:uid="{00000000-0005-0000-0000-0000C5A50000}"/>
    <cellStyle name="Output 2 4 3 3 2" xfId="35698" xr:uid="{00000000-0005-0000-0000-0000C6A50000}"/>
    <cellStyle name="Output 2 4 3 3 3" xfId="35699" xr:uid="{00000000-0005-0000-0000-0000C7A50000}"/>
    <cellStyle name="Output 2 4 3 4" xfId="35700" xr:uid="{00000000-0005-0000-0000-0000C8A50000}"/>
    <cellStyle name="Output 2 4 3 4 2" xfId="35701" xr:uid="{00000000-0005-0000-0000-0000C9A50000}"/>
    <cellStyle name="Output 2 4 3 4 3" xfId="35702" xr:uid="{00000000-0005-0000-0000-0000CAA50000}"/>
    <cellStyle name="Output 2 4 3 5" xfId="35703" xr:uid="{00000000-0005-0000-0000-0000CBA50000}"/>
    <cellStyle name="Output 2 4 3 5 2" xfId="35704" xr:uid="{00000000-0005-0000-0000-0000CCA50000}"/>
    <cellStyle name="Output 2 4 3 5 3" xfId="35705" xr:uid="{00000000-0005-0000-0000-0000CDA50000}"/>
    <cellStyle name="Output 2 4 3 6" xfId="35706" xr:uid="{00000000-0005-0000-0000-0000CEA50000}"/>
    <cellStyle name="Output 2 4 3 6 2" xfId="35707" xr:uid="{00000000-0005-0000-0000-0000CFA50000}"/>
    <cellStyle name="Output 2 4 3 6 3" xfId="35708" xr:uid="{00000000-0005-0000-0000-0000D0A50000}"/>
    <cellStyle name="Output 2 4 3 7" xfId="35709" xr:uid="{00000000-0005-0000-0000-0000D1A50000}"/>
    <cellStyle name="Output 2 4 3 7 2" xfId="35710" xr:uid="{00000000-0005-0000-0000-0000D2A50000}"/>
    <cellStyle name="Output 2 4 3 7 3" xfId="35711" xr:uid="{00000000-0005-0000-0000-0000D3A50000}"/>
    <cellStyle name="Output 2 4 3 8" xfId="44690" xr:uid="{00000000-0005-0000-0000-0000D4A50000}"/>
    <cellStyle name="Output 2 4 4" xfId="35712" xr:uid="{00000000-0005-0000-0000-0000D5A50000}"/>
    <cellStyle name="Output 2 4 4 2" xfId="35713" xr:uid="{00000000-0005-0000-0000-0000D6A50000}"/>
    <cellStyle name="Output 2 4 4 2 2" xfId="35714" xr:uid="{00000000-0005-0000-0000-0000D7A50000}"/>
    <cellStyle name="Output 2 4 4 2 3" xfId="35715" xr:uid="{00000000-0005-0000-0000-0000D8A50000}"/>
    <cellStyle name="Output 2 4 4 3" xfId="35716" xr:uid="{00000000-0005-0000-0000-0000D9A50000}"/>
    <cellStyle name="Output 2 4 4 3 2" xfId="35717" xr:uid="{00000000-0005-0000-0000-0000DAA50000}"/>
    <cellStyle name="Output 2 4 4 3 3" xfId="35718" xr:uid="{00000000-0005-0000-0000-0000DBA50000}"/>
    <cellStyle name="Output 2 4 4 4" xfId="35719" xr:uid="{00000000-0005-0000-0000-0000DCA50000}"/>
    <cellStyle name="Output 2 4 4 4 2" xfId="35720" xr:uid="{00000000-0005-0000-0000-0000DDA50000}"/>
    <cellStyle name="Output 2 4 4 4 3" xfId="35721" xr:uid="{00000000-0005-0000-0000-0000DEA50000}"/>
    <cellStyle name="Output 2 4 4 5" xfId="35722" xr:uid="{00000000-0005-0000-0000-0000DFA50000}"/>
    <cellStyle name="Output 2 4 4 5 2" xfId="35723" xr:uid="{00000000-0005-0000-0000-0000E0A50000}"/>
    <cellStyle name="Output 2 4 4 5 3" xfId="35724" xr:uid="{00000000-0005-0000-0000-0000E1A50000}"/>
    <cellStyle name="Output 2 4 4 6" xfId="35725" xr:uid="{00000000-0005-0000-0000-0000E2A50000}"/>
    <cellStyle name="Output 2 4 4 6 2" xfId="35726" xr:uid="{00000000-0005-0000-0000-0000E3A50000}"/>
    <cellStyle name="Output 2 4 4 6 3" xfId="35727" xr:uid="{00000000-0005-0000-0000-0000E4A50000}"/>
    <cellStyle name="Output 2 4 4 7" xfId="35728" xr:uid="{00000000-0005-0000-0000-0000E5A50000}"/>
    <cellStyle name="Output 2 4 4 7 2" xfId="35729" xr:uid="{00000000-0005-0000-0000-0000E6A50000}"/>
    <cellStyle name="Output 2 4 4 7 3" xfId="35730" xr:uid="{00000000-0005-0000-0000-0000E7A50000}"/>
    <cellStyle name="Output 2 4 4 8" xfId="44691" xr:uid="{00000000-0005-0000-0000-0000E8A50000}"/>
    <cellStyle name="Output 2 4 5" xfId="35731" xr:uid="{00000000-0005-0000-0000-0000E9A50000}"/>
    <cellStyle name="Output 2 4 5 2" xfId="35732" xr:uid="{00000000-0005-0000-0000-0000EAA50000}"/>
    <cellStyle name="Output 2 4 5 2 2" xfId="35733" xr:uid="{00000000-0005-0000-0000-0000EBA50000}"/>
    <cellStyle name="Output 2 4 5 2 3" xfId="35734" xr:uid="{00000000-0005-0000-0000-0000ECA50000}"/>
    <cellStyle name="Output 2 4 5 3" xfId="35735" xr:uid="{00000000-0005-0000-0000-0000EDA50000}"/>
    <cellStyle name="Output 2 4 5 3 2" xfId="35736" xr:uid="{00000000-0005-0000-0000-0000EEA50000}"/>
    <cellStyle name="Output 2 4 5 3 3" xfId="35737" xr:uid="{00000000-0005-0000-0000-0000EFA50000}"/>
    <cellStyle name="Output 2 4 5 4" xfId="35738" xr:uid="{00000000-0005-0000-0000-0000F0A50000}"/>
    <cellStyle name="Output 2 4 5 4 2" xfId="35739" xr:uid="{00000000-0005-0000-0000-0000F1A50000}"/>
    <cellStyle name="Output 2 4 5 4 3" xfId="35740" xr:uid="{00000000-0005-0000-0000-0000F2A50000}"/>
    <cellStyle name="Output 2 4 5 5" xfId="35741" xr:uid="{00000000-0005-0000-0000-0000F3A50000}"/>
    <cellStyle name="Output 2 4 5 5 2" xfId="35742" xr:uid="{00000000-0005-0000-0000-0000F4A50000}"/>
    <cellStyle name="Output 2 4 5 5 3" xfId="35743" xr:uid="{00000000-0005-0000-0000-0000F5A50000}"/>
    <cellStyle name="Output 2 4 5 6" xfId="35744" xr:uid="{00000000-0005-0000-0000-0000F6A50000}"/>
    <cellStyle name="Output 2 4 5 6 2" xfId="35745" xr:uid="{00000000-0005-0000-0000-0000F7A50000}"/>
    <cellStyle name="Output 2 4 5 6 3" xfId="35746" xr:uid="{00000000-0005-0000-0000-0000F8A50000}"/>
    <cellStyle name="Output 2 4 5 7" xfId="35747" xr:uid="{00000000-0005-0000-0000-0000F9A50000}"/>
    <cellStyle name="Output 2 4 5 7 2" xfId="35748" xr:uid="{00000000-0005-0000-0000-0000FAA50000}"/>
    <cellStyle name="Output 2 4 5 7 3" xfId="35749" xr:uid="{00000000-0005-0000-0000-0000FBA50000}"/>
    <cellStyle name="Output 2 4 5 8" xfId="44692" xr:uid="{00000000-0005-0000-0000-0000FCA50000}"/>
    <cellStyle name="Output 2 4 6" xfId="35750" xr:uid="{00000000-0005-0000-0000-0000FDA50000}"/>
    <cellStyle name="Output 2 4 6 2" xfId="35751" xr:uid="{00000000-0005-0000-0000-0000FEA50000}"/>
    <cellStyle name="Output 2 4 6 3" xfId="35752" xr:uid="{00000000-0005-0000-0000-0000FFA50000}"/>
    <cellStyle name="Output 2 4 7" xfId="35753" xr:uid="{00000000-0005-0000-0000-000000A60000}"/>
    <cellStyle name="Output 2 4 7 2" xfId="35754" xr:uid="{00000000-0005-0000-0000-000001A60000}"/>
    <cellStyle name="Output 2 4 7 3" xfId="35755" xr:uid="{00000000-0005-0000-0000-000002A60000}"/>
    <cellStyle name="Output 2 4 8" xfId="35756" xr:uid="{00000000-0005-0000-0000-000003A60000}"/>
    <cellStyle name="Output 2 4 8 2" xfId="35757" xr:uid="{00000000-0005-0000-0000-000004A60000}"/>
    <cellStyle name="Output 2 4 8 3" xfId="35758" xr:uid="{00000000-0005-0000-0000-000005A60000}"/>
    <cellStyle name="Output 2 4 9" xfId="35759" xr:uid="{00000000-0005-0000-0000-000006A60000}"/>
    <cellStyle name="Output 2 4 9 2" xfId="35760" xr:uid="{00000000-0005-0000-0000-000007A60000}"/>
    <cellStyle name="Output 2 4 9 3" xfId="35761" xr:uid="{00000000-0005-0000-0000-000008A60000}"/>
    <cellStyle name="Output 2 5" xfId="2596" xr:uid="{00000000-0005-0000-0000-000009A60000}"/>
    <cellStyle name="Output 2 5 2" xfId="35762" xr:uid="{00000000-0005-0000-0000-00000AA60000}"/>
    <cellStyle name="Output 2 5 2 2" xfId="35763" xr:uid="{00000000-0005-0000-0000-00000BA60000}"/>
    <cellStyle name="Output 2 5 2 3" xfId="35764" xr:uid="{00000000-0005-0000-0000-00000CA60000}"/>
    <cellStyle name="Output 2 5 3" xfId="35765" xr:uid="{00000000-0005-0000-0000-00000DA60000}"/>
    <cellStyle name="Output 2 5 3 2" xfId="35766" xr:uid="{00000000-0005-0000-0000-00000EA60000}"/>
    <cellStyle name="Output 2 5 3 3" xfId="35767" xr:uid="{00000000-0005-0000-0000-00000FA60000}"/>
    <cellStyle name="Output 2 5 4" xfId="35768" xr:uid="{00000000-0005-0000-0000-000010A60000}"/>
    <cellStyle name="Output 2 5 4 2" xfId="35769" xr:uid="{00000000-0005-0000-0000-000011A60000}"/>
    <cellStyle name="Output 2 5 4 3" xfId="35770" xr:uid="{00000000-0005-0000-0000-000012A60000}"/>
    <cellStyle name="Output 2 5 5" xfId="35771" xr:uid="{00000000-0005-0000-0000-000013A60000}"/>
    <cellStyle name="Output 2 5 5 2" xfId="35772" xr:uid="{00000000-0005-0000-0000-000014A60000}"/>
    <cellStyle name="Output 2 5 5 3" xfId="35773" xr:uid="{00000000-0005-0000-0000-000015A60000}"/>
    <cellStyle name="Output 2 5 6" xfId="35774" xr:uid="{00000000-0005-0000-0000-000016A60000}"/>
    <cellStyle name="Output 2 5 6 2" xfId="35775" xr:uid="{00000000-0005-0000-0000-000017A60000}"/>
    <cellStyle name="Output 2 5 6 3" xfId="35776" xr:uid="{00000000-0005-0000-0000-000018A60000}"/>
    <cellStyle name="Output 2 5 7" xfId="35777" xr:uid="{00000000-0005-0000-0000-000019A60000}"/>
    <cellStyle name="Output 2 5 7 2" xfId="35778" xr:uid="{00000000-0005-0000-0000-00001AA60000}"/>
    <cellStyle name="Output 2 5 7 3" xfId="35779" xr:uid="{00000000-0005-0000-0000-00001BA60000}"/>
    <cellStyle name="Output 2 5 8" xfId="44693" xr:uid="{00000000-0005-0000-0000-00001CA60000}"/>
    <cellStyle name="Output 2 6" xfId="35780" xr:uid="{00000000-0005-0000-0000-00001DA60000}"/>
    <cellStyle name="Output 2 6 2" xfId="35781" xr:uid="{00000000-0005-0000-0000-00001EA60000}"/>
    <cellStyle name="Output 2 6 2 2" xfId="35782" xr:uid="{00000000-0005-0000-0000-00001FA60000}"/>
    <cellStyle name="Output 2 6 2 3" xfId="35783" xr:uid="{00000000-0005-0000-0000-000020A60000}"/>
    <cellStyle name="Output 2 6 3" xfId="35784" xr:uid="{00000000-0005-0000-0000-000021A60000}"/>
    <cellStyle name="Output 2 6 3 2" xfId="35785" xr:uid="{00000000-0005-0000-0000-000022A60000}"/>
    <cellStyle name="Output 2 6 3 3" xfId="35786" xr:uid="{00000000-0005-0000-0000-000023A60000}"/>
    <cellStyle name="Output 2 6 4" xfId="35787" xr:uid="{00000000-0005-0000-0000-000024A60000}"/>
    <cellStyle name="Output 2 6 4 2" xfId="35788" xr:uid="{00000000-0005-0000-0000-000025A60000}"/>
    <cellStyle name="Output 2 6 4 3" xfId="35789" xr:uid="{00000000-0005-0000-0000-000026A60000}"/>
    <cellStyle name="Output 2 6 5" xfId="35790" xr:uid="{00000000-0005-0000-0000-000027A60000}"/>
    <cellStyle name="Output 2 6 5 2" xfId="35791" xr:uid="{00000000-0005-0000-0000-000028A60000}"/>
    <cellStyle name="Output 2 6 5 3" xfId="35792" xr:uid="{00000000-0005-0000-0000-000029A60000}"/>
    <cellStyle name="Output 2 6 6" xfId="35793" xr:uid="{00000000-0005-0000-0000-00002AA60000}"/>
    <cellStyle name="Output 2 6 6 2" xfId="35794" xr:uid="{00000000-0005-0000-0000-00002BA60000}"/>
    <cellStyle name="Output 2 6 6 3" xfId="35795" xr:uid="{00000000-0005-0000-0000-00002CA60000}"/>
    <cellStyle name="Output 2 6 7" xfId="35796" xr:uid="{00000000-0005-0000-0000-00002DA60000}"/>
    <cellStyle name="Output 2 6 7 2" xfId="35797" xr:uid="{00000000-0005-0000-0000-00002EA60000}"/>
    <cellStyle name="Output 2 6 7 3" xfId="35798" xr:uid="{00000000-0005-0000-0000-00002FA60000}"/>
    <cellStyle name="Output 2 6 8" xfId="44694" xr:uid="{00000000-0005-0000-0000-000030A60000}"/>
    <cellStyle name="Output 2 7" xfId="42093" xr:uid="{00000000-0005-0000-0000-000031A60000}"/>
    <cellStyle name="Output 2 8" xfId="42094" xr:uid="{00000000-0005-0000-0000-000032A60000}"/>
    <cellStyle name="Output 2 9" xfId="46271" xr:uid="{00000000-0005-0000-0000-000033A60000}"/>
    <cellStyle name="Output 3" xfId="559" xr:uid="{00000000-0005-0000-0000-000034A60000}"/>
    <cellStyle name="Output 3 2" xfId="560" xr:uid="{00000000-0005-0000-0000-000035A60000}"/>
    <cellStyle name="Output 3 2 10" xfId="35799" xr:uid="{00000000-0005-0000-0000-000036A60000}"/>
    <cellStyle name="Output 3 2 2" xfId="35800" xr:uid="{00000000-0005-0000-0000-000037A60000}"/>
    <cellStyle name="Output 3 2 2 10" xfId="35801" xr:uid="{00000000-0005-0000-0000-000038A60000}"/>
    <cellStyle name="Output 3 2 2 10 2" xfId="35802" xr:uid="{00000000-0005-0000-0000-000039A60000}"/>
    <cellStyle name="Output 3 2 2 10 3" xfId="35803" xr:uid="{00000000-0005-0000-0000-00003AA60000}"/>
    <cellStyle name="Output 3 2 2 11" xfId="35804" xr:uid="{00000000-0005-0000-0000-00003BA60000}"/>
    <cellStyle name="Output 3 2 2 11 2" xfId="35805" xr:uid="{00000000-0005-0000-0000-00003CA60000}"/>
    <cellStyle name="Output 3 2 2 11 3" xfId="35806" xr:uid="{00000000-0005-0000-0000-00003DA60000}"/>
    <cellStyle name="Output 3 2 2 12" xfId="44695" xr:uid="{00000000-0005-0000-0000-00003EA60000}"/>
    <cellStyle name="Output 3 2 2 2" xfId="35807" xr:uid="{00000000-0005-0000-0000-00003FA60000}"/>
    <cellStyle name="Output 3 2 2 2 2" xfId="35808" xr:uid="{00000000-0005-0000-0000-000040A60000}"/>
    <cellStyle name="Output 3 2 2 2 2 2" xfId="35809" xr:uid="{00000000-0005-0000-0000-000041A60000}"/>
    <cellStyle name="Output 3 2 2 2 2 3" xfId="35810" xr:uid="{00000000-0005-0000-0000-000042A60000}"/>
    <cellStyle name="Output 3 2 2 2 3" xfId="35811" xr:uid="{00000000-0005-0000-0000-000043A60000}"/>
    <cellStyle name="Output 3 2 2 2 3 2" xfId="35812" xr:uid="{00000000-0005-0000-0000-000044A60000}"/>
    <cellStyle name="Output 3 2 2 2 3 3" xfId="35813" xr:uid="{00000000-0005-0000-0000-000045A60000}"/>
    <cellStyle name="Output 3 2 2 2 4" xfId="35814" xr:uid="{00000000-0005-0000-0000-000046A60000}"/>
    <cellStyle name="Output 3 2 2 2 4 2" xfId="35815" xr:uid="{00000000-0005-0000-0000-000047A60000}"/>
    <cellStyle name="Output 3 2 2 2 4 3" xfId="35816" xr:uid="{00000000-0005-0000-0000-000048A60000}"/>
    <cellStyle name="Output 3 2 2 2 5" xfId="35817" xr:uid="{00000000-0005-0000-0000-000049A60000}"/>
    <cellStyle name="Output 3 2 2 2 5 2" xfId="35818" xr:uid="{00000000-0005-0000-0000-00004AA60000}"/>
    <cellStyle name="Output 3 2 2 2 5 3" xfId="35819" xr:uid="{00000000-0005-0000-0000-00004BA60000}"/>
    <cellStyle name="Output 3 2 2 2 6" xfId="35820" xr:uid="{00000000-0005-0000-0000-00004CA60000}"/>
    <cellStyle name="Output 3 2 2 2 6 2" xfId="35821" xr:uid="{00000000-0005-0000-0000-00004DA60000}"/>
    <cellStyle name="Output 3 2 2 2 6 3" xfId="35822" xr:uid="{00000000-0005-0000-0000-00004EA60000}"/>
    <cellStyle name="Output 3 2 2 2 7" xfId="35823" xr:uid="{00000000-0005-0000-0000-00004FA60000}"/>
    <cellStyle name="Output 3 2 2 2 7 2" xfId="35824" xr:uid="{00000000-0005-0000-0000-000050A60000}"/>
    <cellStyle name="Output 3 2 2 2 7 3" xfId="35825" xr:uid="{00000000-0005-0000-0000-000051A60000}"/>
    <cellStyle name="Output 3 2 2 2 8" xfId="44696" xr:uid="{00000000-0005-0000-0000-000052A60000}"/>
    <cellStyle name="Output 3 2 2 3" xfId="35826" xr:uid="{00000000-0005-0000-0000-000053A60000}"/>
    <cellStyle name="Output 3 2 2 3 2" xfId="35827" xr:uid="{00000000-0005-0000-0000-000054A60000}"/>
    <cellStyle name="Output 3 2 2 3 2 2" xfId="35828" xr:uid="{00000000-0005-0000-0000-000055A60000}"/>
    <cellStyle name="Output 3 2 2 3 2 3" xfId="35829" xr:uid="{00000000-0005-0000-0000-000056A60000}"/>
    <cellStyle name="Output 3 2 2 3 3" xfId="35830" xr:uid="{00000000-0005-0000-0000-000057A60000}"/>
    <cellStyle name="Output 3 2 2 3 3 2" xfId="35831" xr:uid="{00000000-0005-0000-0000-000058A60000}"/>
    <cellStyle name="Output 3 2 2 3 3 3" xfId="35832" xr:uid="{00000000-0005-0000-0000-000059A60000}"/>
    <cellStyle name="Output 3 2 2 3 4" xfId="35833" xr:uid="{00000000-0005-0000-0000-00005AA60000}"/>
    <cellStyle name="Output 3 2 2 3 4 2" xfId="35834" xr:uid="{00000000-0005-0000-0000-00005BA60000}"/>
    <cellStyle name="Output 3 2 2 3 4 3" xfId="35835" xr:uid="{00000000-0005-0000-0000-00005CA60000}"/>
    <cellStyle name="Output 3 2 2 3 5" xfId="35836" xr:uid="{00000000-0005-0000-0000-00005DA60000}"/>
    <cellStyle name="Output 3 2 2 3 5 2" xfId="35837" xr:uid="{00000000-0005-0000-0000-00005EA60000}"/>
    <cellStyle name="Output 3 2 2 3 5 3" xfId="35838" xr:uid="{00000000-0005-0000-0000-00005FA60000}"/>
    <cellStyle name="Output 3 2 2 3 6" xfId="35839" xr:uid="{00000000-0005-0000-0000-000060A60000}"/>
    <cellStyle name="Output 3 2 2 3 6 2" xfId="35840" xr:uid="{00000000-0005-0000-0000-000061A60000}"/>
    <cellStyle name="Output 3 2 2 3 6 3" xfId="35841" xr:uid="{00000000-0005-0000-0000-000062A60000}"/>
    <cellStyle name="Output 3 2 2 3 7" xfId="35842" xr:uid="{00000000-0005-0000-0000-000063A60000}"/>
    <cellStyle name="Output 3 2 2 3 7 2" xfId="35843" xr:uid="{00000000-0005-0000-0000-000064A60000}"/>
    <cellStyle name="Output 3 2 2 3 7 3" xfId="35844" xr:uid="{00000000-0005-0000-0000-000065A60000}"/>
    <cellStyle name="Output 3 2 2 3 8" xfId="44697" xr:uid="{00000000-0005-0000-0000-000066A60000}"/>
    <cellStyle name="Output 3 2 2 4" xfId="35845" xr:uid="{00000000-0005-0000-0000-000067A60000}"/>
    <cellStyle name="Output 3 2 2 4 2" xfId="35846" xr:uid="{00000000-0005-0000-0000-000068A60000}"/>
    <cellStyle name="Output 3 2 2 4 2 2" xfId="35847" xr:uid="{00000000-0005-0000-0000-000069A60000}"/>
    <cellStyle name="Output 3 2 2 4 2 3" xfId="35848" xr:uid="{00000000-0005-0000-0000-00006AA60000}"/>
    <cellStyle name="Output 3 2 2 4 3" xfId="35849" xr:uid="{00000000-0005-0000-0000-00006BA60000}"/>
    <cellStyle name="Output 3 2 2 4 3 2" xfId="35850" xr:uid="{00000000-0005-0000-0000-00006CA60000}"/>
    <cellStyle name="Output 3 2 2 4 3 3" xfId="35851" xr:uid="{00000000-0005-0000-0000-00006DA60000}"/>
    <cellStyle name="Output 3 2 2 4 4" xfId="35852" xr:uid="{00000000-0005-0000-0000-00006EA60000}"/>
    <cellStyle name="Output 3 2 2 4 4 2" xfId="35853" xr:uid="{00000000-0005-0000-0000-00006FA60000}"/>
    <cellStyle name="Output 3 2 2 4 4 3" xfId="35854" xr:uid="{00000000-0005-0000-0000-000070A60000}"/>
    <cellStyle name="Output 3 2 2 4 5" xfId="35855" xr:uid="{00000000-0005-0000-0000-000071A60000}"/>
    <cellStyle name="Output 3 2 2 4 5 2" xfId="35856" xr:uid="{00000000-0005-0000-0000-000072A60000}"/>
    <cellStyle name="Output 3 2 2 4 5 3" xfId="35857" xr:uid="{00000000-0005-0000-0000-000073A60000}"/>
    <cellStyle name="Output 3 2 2 4 6" xfId="35858" xr:uid="{00000000-0005-0000-0000-000074A60000}"/>
    <cellStyle name="Output 3 2 2 4 6 2" xfId="35859" xr:uid="{00000000-0005-0000-0000-000075A60000}"/>
    <cellStyle name="Output 3 2 2 4 6 3" xfId="35860" xr:uid="{00000000-0005-0000-0000-000076A60000}"/>
    <cellStyle name="Output 3 2 2 4 7" xfId="35861" xr:uid="{00000000-0005-0000-0000-000077A60000}"/>
    <cellStyle name="Output 3 2 2 4 7 2" xfId="35862" xr:uid="{00000000-0005-0000-0000-000078A60000}"/>
    <cellStyle name="Output 3 2 2 4 7 3" xfId="35863" xr:uid="{00000000-0005-0000-0000-000079A60000}"/>
    <cellStyle name="Output 3 2 2 4 8" xfId="44698" xr:uid="{00000000-0005-0000-0000-00007AA60000}"/>
    <cellStyle name="Output 3 2 2 5" xfId="35864" xr:uid="{00000000-0005-0000-0000-00007BA60000}"/>
    <cellStyle name="Output 3 2 2 5 2" xfId="35865" xr:uid="{00000000-0005-0000-0000-00007CA60000}"/>
    <cellStyle name="Output 3 2 2 5 2 2" xfId="35866" xr:uid="{00000000-0005-0000-0000-00007DA60000}"/>
    <cellStyle name="Output 3 2 2 5 2 3" xfId="35867" xr:uid="{00000000-0005-0000-0000-00007EA60000}"/>
    <cellStyle name="Output 3 2 2 5 3" xfId="35868" xr:uid="{00000000-0005-0000-0000-00007FA60000}"/>
    <cellStyle name="Output 3 2 2 5 3 2" xfId="35869" xr:uid="{00000000-0005-0000-0000-000080A60000}"/>
    <cellStyle name="Output 3 2 2 5 3 3" xfId="35870" xr:uid="{00000000-0005-0000-0000-000081A60000}"/>
    <cellStyle name="Output 3 2 2 5 4" xfId="35871" xr:uid="{00000000-0005-0000-0000-000082A60000}"/>
    <cellStyle name="Output 3 2 2 5 4 2" xfId="35872" xr:uid="{00000000-0005-0000-0000-000083A60000}"/>
    <cellStyle name="Output 3 2 2 5 4 3" xfId="35873" xr:uid="{00000000-0005-0000-0000-000084A60000}"/>
    <cellStyle name="Output 3 2 2 5 5" xfId="35874" xr:uid="{00000000-0005-0000-0000-000085A60000}"/>
    <cellStyle name="Output 3 2 2 5 5 2" xfId="35875" xr:uid="{00000000-0005-0000-0000-000086A60000}"/>
    <cellStyle name="Output 3 2 2 5 5 3" xfId="35876" xr:uid="{00000000-0005-0000-0000-000087A60000}"/>
    <cellStyle name="Output 3 2 2 5 6" xfId="35877" xr:uid="{00000000-0005-0000-0000-000088A60000}"/>
    <cellStyle name="Output 3 2 2 5 6 2" xfId="35878" xr:uid="{00000000-0005-0000-0000-000089A60000}"/>
    <cellStyle name="Output 3 2 2 5 6 3" xfId="35879" xr:uid="{00000000-0005-0000-0000-00008AA60000}"/>
    <cellStyle name="Output 3 2 2 5 7" xfId="35880" xr:uid="{00000000-0005-0000-0000-00008BA60000}"/>
    <cellStyle name="Output 3 2 2 5 7 2" xfId="35881" xr:uid="{00000000-0005-0000-0000-00008CA60000}"/>
    <cellStyle name="Output 3 2 2 5 7 3" xfId="35882" xr:uid="{00000000-0005-0000-0000-00008DA60000}"/>
    <cellStyle name="Output 3 2 2 5 8" xfId="44699" xr:uid="{00000000-0005-0000-0000-00008EA60000}"/>
    <cellStyle name="Output 3 2 2 6" xfId="35883" xr:uid="{00000000-0005-0000-0000-00008FA60000}"/>
    <cellStyle name="Output 3 2 2 6 2" xfId="35884" xr:uid="{00000000-0005-0000-0000-000090A60000}"/>
    <cellStyle name="Output 3 2 2 6 3" xfId="35885" xr:uid="{00000000-0005-0000-0000-000091A60000}"/>
    <cellStyle name="Output 3 2 2 7" xfId="35886" xr:uid="{00000000-0005-0000-0000-000092A60000}"/>
    <cellStyle name="Output 3 2 2 7 2" xfId="35887" xr:uid="{00000000-0005-0000-0000-000093A60000}"/>
    <cellStyle name="Output 3 2 2 7 3" xfId="35888" xr:uid="{00000000-0005-0000-0000-000094A60000}"/>
    <cellStyle name="Output 3 2 2 8" xfId="35889" xr:uid="{00000000-0005-0000-0000-000095A60000}"/>
    <cellStyle name="Output 3 2 2 8 2" xfId="35890" xr:uid="{00000000-0005-0000-0000-000096A60000}"/>
    <cellStyle name="Output 3 2 2 8 3" xfId="35891" xr:uid="{00000000-0005-0000-0000-000097A60000}"/>
    <cellStyle name="Output 3 2 2 9" xfId="35892" xr:uid="{00000000-0005-0000-0000-000098A60000}"/>
    <cellStyle name="Output 3 2 2 9 2" xfId="35893" xr:uid="{00000000-0005-0000-0000-000099A60000}"/>
    <cellStyle name="Output 3 2 2 9 3" xfId="35894" xr:uid="{00000000-0005-0000-0000-00009AA60000}"/>
    <cellStyle name="Output 3 2 3" xfId="35895" xr:uid="{00000000-0005-0000-0000-00009BA60000}"/>
    <cellStyle name="Output 3 2 3 2" xfId="35896" xr:uid="{00000000-0005-0000-0000-00009CA60000}"/>
    <cellStyle name="Output 3 2 3 2 2" xfId="35897" xr:uid="{00000000-0005-0000-0000-00009DA60000}"/>
    <cellStyle name="Output 3 2 3 2 3" xfId="35898" xr:uid="{00000000-0005-0000-0000-00009EA60000}"/>
    <cellStyle name="Output 3 2 3 3" xfId="35899" xr:uid="{00000000-0005-0000-0000-00009FA60000}"/>
    <cellStyle name="Output 3 2 3 3 2" xfId="35900" xr:uid="{00000000-0005-0000-0000-0000A0A60000}"/>
    <cellStyle name="Output 3 2 3 3 3" xfId="35901" xr:uid="{00000000-0005-0000-0000-0000A1A60000}"/>
    <cellStyle name="Output 3 2 3 4" xfId="35902" xr:uid="{00000000-0005-0000-0000-0000A2A60000}"/>
    <cellStyle name="Output 3 2 3 4 2" xfId="35903" xr:uid="{00000000-0005-0000-0000-0000A3A60000}"/>
    <cellStyle name="Output 3 2 3 4 3" xfId="35904" xr:uid="{00000000-0005-0000-0000-0000A4A60000}"/>
    <cellStyle name="Output 3 2 3 5" xfId="35905" xr:uid="{00000000-0005-0000-0000-0000A5A60000}"/>
    <cellStyle name="Output 3 2 3 5 2" xfId="35906" xr:uid="{00000000-0005-0000-0000-0000A6A60000}"/>
    <cellStyle name="Output 3 2 3 5 3" xfId="35907" xr:uid="{00000000-0005-0000-0000-0000A7A60000}"/>
    <cellStyle name="Output 3 2 3 6" xfId="35908" xr:uid="{00000000-0005-0000-0000-0000A8A60000}"/>
    <cellStyle name="Output 3 2 3 6 2" xfId="35909" xr:uid="{00000000-0005-0000-0000-0000A9A60000}"/>
    <cellStyle name="Output 3 2 3 6 3" xfId="35910" xr:uid="{00000000-0005-0000-0000-0000AAA60000}"/>
    <cellStyle name="Output 3 2 3 7" xfId="35911" xr:uid="{00000000-0005-0000-0000-0000ABA60000}"/>
    <cellStyle name="Output 3 2 3 7 2" xfId="35912" xr:uid="{00000000-0005-0000-0000-0000ACA60000}"/>
    <cellStyle name="Output 3 2 3 7 3" xfId="35913" xr:uid="{00000000-0005-0000-0000-0000ADA60000}"/>
    <cellStyle name="Output 3 2 3 8" xfId="44700" xr:uid="{00000000-0005-0000-0000-0000AEA60000}"/>
    <cellStyle name="Output 3 2 4" xfId="35914" xr:uid="{00000000-0005-0000-0000-0000AFA60000}"/>
    <cellStyle name="Output 3 2 4 2" xfId="35915" xr:uid="{00000000-0005-0000-0000-0000B0A60000}"/>
    <cellStyle name="Output 3 2 4 3" xfId="35916" xr:uid="{00000000-0005-0000-0000-0000B1A60000}"/>
    <cellStyle name="Output 3 2 5" xfId="35917" xr:uid="{00000000-0005-0000-0000-0000B2A60000}"/>
    <cellStyle name="Output 3 2 5 2" xfId="35918" xr:uid="{00000000-0005-0000-0000-0000B3A60000}"/>
    <cellStyle name="Output 3 2 5 3" xfId="35919" xr:uid="{00000000-0005-0000-0000-0000B4A60000}"/>
    <cellStyle name="Output 3 2 6" xfId="35920" xr:uid="{00000000-0005-0000-0000-0000B5A60000}"/>
    <cellStyle name="Output 3 2 6 2" xfId="35921" xr:uid="{00000000-0005-0000-0000-0000B6A60000}"/>
    <cellStyle name="Output 3 2 6 3" xfId="35922" xr:uid="{00000000-0005-0000-0000-0000B7A60000}"/>
    <cellStyle name="Output 3 2 7" xfId="35923" xr:uid="{00000000-0005-0000-0000-0000B8A60000}"/>
    <cellStyle name="Output 3 2 7 2" xfId="35924" xr:uid="{00000000-0005-0000-0000-0000B9A60000}"/>
    <cellStyle name="Output 3 2 7 3" xfId="35925" xr:uid="{00000000-0005-0000-0000-0000BAA60000}"/>
    <cellStyle name="Output 3 2 8" xfId="35926" xr:uid="{00000000-0005-0000-0000-0000BBA60000}"/>
    <cellStyle name="Output 3 2 8 2" xfId="35927" xr:uid="{00000000-0005-0000-0000-0000BCA60000}"/>
    <cellStyle name="Output 3 2 8 3" xfId="35928" xr:uid="{00000000-0005-0000-0000-0000BDA60000}"/>
    <cellStyle name="Output 3 2 9" xfId="35929" xr:uid="{00000000-0005-0000-0000-0000BEA60000}"/>
    <cellStyle name="Output 3 3" xfId="2269" xr:uid="{00000000-0005-0000-0000-0000BFA60000}"/>
    <cellStyle name="Output 3 3 10" xfId="35930" xr:uid="{00000000-0005-0000-0000-0000C0A60000}"/>
    <cellStyle name="Output 3 3 10 2" xfId="35931" xr:uid="{00000000-0005-0000-0000-0000C1A60000}"/>
    <cellStyle name="Output 3 3 10 3" xfId="35932" xr:uid="{00000000-0005-0000-0000-0000C2A60000}"/>
    <cellStyle name="Output 3 3 11" xfId="35933" xr:uid="{00000000-0005-0000-0000-0000C3A60000}"/>
    <cellStyle name="Output 3 3 11 2" xfId="35934" xr:uid="{00000000-0005-0000-0000-0000C4A60000}"/>
    <cellStyle name="Output 3 3 11 3" xfId="35935" xr:uid="{00000000-0005-0000-0000-0000C5A60000}"/>
    <cellStyle name="Output 3 3 12" xfId="44701" xr:uid="{00000000-0005-0000-0000-0000C6A60000}"/>
    <cellStyle name="Output 3 3 2" xfId="35936" xr:uid="{00000000-0005-0000-0000-0000C7A60000}"/>
    <cellStyle name="Output 3 3 2 2" xfId="35937" xr:uid="{00000000-0005-0000-0000-0000C8A60000}"/>
    <cellStyle name="Output 3 3 2 2 2" xfId="35938" xr:uid="{00000000-0005-0000-0000-0000C9A60000}"/>
    <cellStyle name="Output 3 3 2 2 3" xfId="35939" xr:uid="{00000000-0005-0000-0000-0000CAA60000}"/>
    <cellStyle name="Output 3 3 2 3" xfId="35940" xr:uid="{00000000-0005-0000-0000-0000CBA60000}"/>
    <cellStyle name="Output 3 3 2 3 2" xfId="35941" xr:uid="{00000000-0005-0000-0000-0000CCA60000}"/>
    <cellStyle name="Output 3 3 2 3 3" xfId="35942" xr:uid="{00000000-0005-0000-0000-0000CDA60000}"/>
    <cellStyle name="Output 3 3 2 4" xfId="35943" xr:uid="{00000000-0005-0000-0000-0000CEA60000}"/>
    <cellStyle name="Output 3 3 2 4 2" xfId="35944" xr:uid="{00000000-0005-0000-0000-0000CFA60000}"/>
    <cellStyle name="Output 3 3 2 4 3" xfId="35945" xr:uid="{00000000-0005-0000-0000-0000D0A60000}"/>
    <cellStyle name="Output 3 3 2 5" xfId="35946" xr:uid="{00000000-0005-0000-0000-0000D1A60000}"/>
    <cellStyle name="Output 3 3 2 5 2" xfId="35947" xr:uid="{00000000-0005-0000-0000-0000D2A60000}"/>
    <cellStyle name="Output 3 3 2 5 3" xfId="35948" xr:uid="{00000000-0005-0000-0000-0000D3A60000}"/>
    <cellStyle name="Output 3 3 2 6" xfId="35949" xr:uid="{00000000-0005-0000-0000-0000D4A60000}"/>
    <cellStyle name="Output 3 3 2 6 2" xfId="35950" xr:uid="{00000000-0005-0000-0000-0000D5A60000}"/>
    <cellStyle name="Output 3 3 2 6 3" xfId="35951" xr:uid="{00000000-0005-0000-0000-0000D6A60000}"/>
    <cellStyle name="Output 3 3 2 7" xfId="35952" xr:uid="{00000000-0005-0000-0000-0000D7A60000}"/>
    <cellStyle name="Output 3 3 2 7 2" xfId="35953" xr:uid="{00000000-0005-0000-0000-0000D8A60000}"/>
    <cellStyle name="Output 3 3 2 7 3" xfId="35954" xr:uid="{00000000-0005-0000-0000-0000D9A60000}"/>
    <cellStyle name="Output 3 3 2 8" xfId="44702" xr:uid="{00000000-0005-0000-0000-0000DAA60000}"/>
    <cellStyle name="Output 3 3 3" xfId="35955" xr:uid="{00000000-0005-0000-0000-0000DBA60000}"/>
    <cellStyle name="Output 3 3 3 2" xfId="35956" xr:uid="{00000000-0005-0000-0000-0000DCA60000}"/>
    <cellStyle name="Output 3 3 3 2 2" xfId="35957" xr:uid="{00000000-0005-0000-0000-0000DDA60000}"/>
    <cellStyle name="Output 3 3 3 2 3" xfId="35958" xr:uid="{00000000-0005-0000-0000-0000DEA60000}"/>
    <cellStyle name="Output 3 3 3 3" xfId="35959" xr:uid="{00000000-0005-0000-0000-0000DFA60000}"/>
    <cellStyle name="Output 3 3 3 3 2" xfId="35960" xr:uid="{00000000-0005-0000-0000-0000E0A60000}"/>
    <cellStyle name="Output 3 3 3 3 3" xfId="35961" xr:uid="{00000000-0005-0000-0000-0000E1A60000}"/>
    <cellStyle name="Output 3 3 3 4" xfId="35962" xr:uid="{00000000-0005-0000-0000-0000E2A60000}"/>
    <cellStyle name="Output 3 3 3 4 2" xfId="35963" xr:uid="{00000000-0005-0000-0000-0000E3A60000}"/>
    <cellStyle name="Output 3 3 3 4 3" xfId="35964" xr:uid="{00000000-0005-0000-0000-0000E4A60000}"/>
    <cellStyle name="Output 3 3 3 5" xfId="35965" xr:uid="{00000000-0005-0000-0000-0000E5A60000}"/>
    <cellStyle name="Output 3 3 3 5 2" xfId="35966" xr:uid="{00000000-0005-0000-0000-0000E6A60000}"/>
    <cellStyle name="Output 3 3 3 5 3" xfId="35967" xr:uid="{00000000-0005-0000-0000-0000E7A60000}"/>
    <cellStyle name="Output 3 3 3 6" xfId="35968" xr:uid="{00000000-0005-0000-0000-0000E8A60000}"/>
    <cellStyle name="Output 3 3 3 6 2" xfId="35969" xr:uid="{00000000-0005-0000-0000-0000E9A60000}"/>
    <cellStyle name="Output 3 3 3 6 3" xfId="35970" xr:uid="{00000000-0005-0000-0000-0000EAA60000}"/>
    <cellStyle name="Output 3 3 3 7" xfId="35971" xr:uid="{00000000-0005-0000-0000-0000EBA60000}"/>
    <cellStyle name="Output 3 3 3 7 2" xfId="35972" xr:uid="{00000000-0005-0000-0000-0000ECA60000}"/>
    <cellStyle name="Output 3 3 3 7 3" xfId="35973" xr:uid="{00000000-0005-0000-0000-0000EDA60000}"/>
    <cellStyle name="Output 3 3 3 8" xfId="44703" xr:uid="{00000000-0005-0000-0000-0000EEA60000}"/>
    <cellStyle name="Output 3 3 4" xfId="35974" xr:uid="{00000000-0005-0000-0000-0000EFA60000}"/>
    <cellStyle name="Output 3 3 4 2" xfId="35975" xr:uid="{00000000-0005-0000-0000-0000F0A60000}"/>
    <cellStyle name="Output 3 3 4 2 2" xfId="35976" xr:uid="{00000000-0005-0000-0000-0000F1A60000}"/>
    <cellStyle name="Output 3 3 4 2 3" xfId="35977" xr:uid="{00000000-0005-0000-0000-0000F2A60000}"/>
    <cellStyle name="Output 3 3 4 3" xfId="35978" xr:uid="{00000000-0005-0000-0000-0000F3A60000}"/>
    <cellStyle name="Output 3 3 4 3 2" xfId="35979" xr:uid="{00000000-0005-0000-0000-0000F4A60000}"/>
    <cellStyle name="Output 3 3 4 3 3" xfId="35980" xr:uid="{00000000-0005-0000-0000-0000F5A60000}"/>
    <cellStyle name="Output 3 3 4 4" xfId="35981" xr:uid="{00000000-0005-0000-0000-0000F6A60000}"/>
    <cellStyle name="Output 3 3 4 4 2" xfId="35982" xr:uid="{00000000-0005-0000-0000-0000F7A60000}"/>
    <cellStyle name="Output 3 3 4 4 3" xfId="35983" xr:uid="{00000000-0005-0000-0000-0000F8A60000}"/>
    <cellStyle name="Output 3 3 4 5" xfId="35984" xr:uid="{00000000-0005-0000-0000-0000F9A60000}"/>
    <cellStyle name="Output 3 3 4 5 2" xfId="35985" xr:uid="{00000000-0005-0000-0000-0000FAA60000}"/>
    <cellStyle name="Output 3 3 4 5 3" xfId="35986" xr:uid="{00000000-0005-0000-0000-0000FBA60000}"/>
    <cellStyle name="Output 3 3 4 6" xfId="35987" xr:uid="{00000000-0005-0000-0000-0000FCA60000}"/>
    <cellStyle name="Output 3 3 4 6 2" xfId="35988" xr:uid="{00000000-0005-0000-0000-0000FDA60000}"/>
    <cellStyle name="Output 3 3 4 6 3" xfId="35989" xr:uid="{00000000-0005-0000-0000-0000FEA60000}"/>
    <cellStyle name="Output 3 3 4 7" xfId="35990" xr:uid="{00000000-0005-0000-0000-0000FFA60000}"/>
    <cellStyle name="Output 3 3 4 7 2" xfId="35991" xr:uid="{00000000-0005-0000-0000-000000A70000}"/>
    <cellStyle name="Output 3 3 4 7 3" xfId="35992" xr:uid="{00000000-0005-0000-0000-000001A70000}"/>
    <cellStyle name="Output 3 3 4 8" xfId="44704" xr:uid="{00000000-0005-0000-0000-000002A70000}"/>
    <cellStyle name="Output 3 3 5" xfId="35993" xr:uid="{00000000-0005-0000-0000-000003A70000}"/>
    <cellStyle name="Output 3 3 5 2" xfId="35994" xr:uid="{00000000-0005-0000-0000-000004A70000}"/>
    <cellStyle name="Output 3 3 5 2 2" xfId="35995" xr:uid="{00000000-0005-0000-0000-000005A70000}"/>
    <cellStyle name="Output 3 3 5 2 3" xfId="35996" xr:uid="{00000000-0005-0000-0000-000006A70000}"/>
    <cellStyle name="Output 3 3 5 3" xfId="35997" xr:uid="{00000000-0005-0000-0000-000007A70000}"/>
    <cellStyle name="Output 3 3 5 3 2" xfId="35998" xr:uid="{00000000-0005-0000-0000-000008A70000}"/>
    <cellStyle name="Output 3 3 5 3 3" xfId="35999" xr:uid="{00000000-0005-0000-0000-000009A70000}"/>
    <cellStyle name="Output 3 3 5 4" xfId="36000" xr:uid="{00000000-0005-0000-0000-00000AA70000}"/>
    <cellStyle name="Output 3 3 5 4 2" xfId="36001" xr:uid="{00000000-0005-0000-0000-00000BA70000}"/>
    <cellStyle name="Output 3 3 5 4 3" xfId="36002" xr:uid="{00000000-0005-0000-0000-00000CA70000}"/>
    <cellStyle name="Output 3 3 5 5" xfId="36003" xr:uid="{00000000-0005-0000-0000-00000DA70000}"/>
    <cellStyle name="Output 3 3 5 5 2" xfId="36004" xr:uid="{00000000-0005-0000-0000-00000EA70000}"/>
    <cellStyle name="Output 3 3 5 5 3" xfId="36005" xr:uid="{00000000-0005-0000-0000-00000FA70000}"/>
    <cellStyle name="Output 3 3 5 6" xfId="36006" xr:uid="{00000000-0005-0000-0000-000010A70000}"/>
    <cellStyle name="Output 3 3 5 6 2" xfId="36007" xr:uid="{00000000-0005-0000-0000-000011A70000}"/>
    <cellStyle name="Output 3 3 5 6 3" xfId="36008" xr:uid="{00000000-0005-0000-0000-000012A70000}"/>
    <cellStyle name="Output 3 3 5 7" xfId="36009" xr:uid="{00000000-0005-0000-0000-000013A70000}"/>
    <cellStyle name="Output 3 3 5 7 2" xfId="36010" xr:uid="{00000000-0005-0000-0000-000014A70000}"/>
    <cellStyle name="Output 3 3 5 7 3" xfId="36011" xr:uid="{00000000-0005-0000-0000-000015A70000}"/>
    <cellStyle name="Output 3 3 5 8" xfId="44705" xr:uid="{00000000-0005-0000-0000-000016A70000}"/>
    <cellStyle name="Output 3 3 6" xfId="36012" xr:uid="{00000000-0005-0000-0000-000017A70000}"/>
    <cellStyle name="Output 3 3 6 2" xfId="36013" xr:uid="{00000000-0005-0000-0000-000018A70000}"/>
    <cellStyle name="Output 3 3 6 3" xfId="36014" xr:uid="{00000000-0005-0000-0000-000019A70000}"/>
    <cellStyle name="Output 3 3 7" xfId="36015" xr:uid="{00000000-0005-0000-0000-00001AA70000}"/>
    <cellStyle name="Output 3 3 7 2" xfId="36016" xr:uid="{00000000-0005-0000-0000-00001BA70000}"/>
    <cellStyle name="Output 3 3 7 3" xfId="36017" xr:uid="{00000000-0005-0000-0000-00001CA70000}"/>
    <cellStyle name="Output 3 3 8" xfId="36018" xr:uid="{00000000-0005-0000-0000-00001DA70000}"/>
    <cellStyle name="Output 3 3 8 2" xfId="36019" xr:uid="{00000000-0005-0000-0000-00001EA70000}"/>
    <cellStyle name="Output 3 3 8 3" xfId="36020" xr:uid="{00000000-0005-0000-0000-00001FA70000}"/>
    <cellStyle name="Output 3 3 9" xfId="36021" xr:uid="{00000000-0005-0000-0000-000020A70000}"/>
    <cellStyle name="Output 3 3 9 2" xfId="36022" xr:uid="{00000000-0005-0000-0000-000021A70000}"/>
    <cellStyle name="Output 3 3 9 3" xfId="36023" xr:uid="{00000000-0005-0000-0000-000022A70000}"/>
    <cellStyle name="Output 3 4" xfId="2270" xr:uid="{00000000-0005-0000-0000-000023A70000}"/>
    <cellStyle name="Output 3 4 10" xfId="36024" xr:uid="{00000000-0005-0000-0000-000024A70000}"/>
    <cellStyle name="Output 3 4 10 2" xfId="36025" xr:uid="{00000000-0005-0000-0000-000025A70000}"/>
    <cellStyle name="Output 3 4 10 3" xfId="36026" xr:uid="{00000000-0005-0000-0000-000026A70000}"/>
    <cellStyle name="Output 3 4 11" xfId="36027" xr:uid="{00000000-0005-0000-0000-000027A70000}"/>
    <cellStyle name="Output 3 4 11 2" xfId="36028" xr:uid="{00000000-0005-0000-0000-000028A70000}"/>
    <cellStyle name="Output 3 4 11 3" xfId="36029" xr:uid="{00000000-0005-0000-0000-000029A70000}"/>
    <cellStyle name="Output 3 4 12" xfId="44706" xr:uid="{00000000-0005-0000-0000-00002AA70000}"/>
    <cellStyle name="Output 3 4 2" xfId="36030" xr:uid="{00000000-0005-0000-0000-00002BA70000}"/>
    <cellStyle name="Output 3 4 2 2" xfId="36031" xr:uid="{00000000-0005-0000-0000-00002CA70000}"/>
    <cellStyle name="Output 3 4 2 2 2" xfId="36032" xr:uid="{00000000-0005-0000-0000-00002DA70000}"/>
    <cellStyle name="Output 3 4 2 2 3" xfId="36033" xr:uid="{00000000-0005-0000-0000-00002EA70000}"/>
    <cellStyle name="Output 3 4 2 3" xfId="36034" xr:uid="{00000000-0005-0000-0000-00002FA70000}"/>
    <cellStyle name="Output 3 4 2 3 2" xfId="36035" xr:uid="{00000000-0005-0000-0000-000030A70000}"/>
    <cellStyle name="Output 3 4 2 3 3" xfId="36036" xr:uid="{00000000-0005-0000-0000-000031A70000}"/>
    <cellStyle name="Output 3 4 2 4" xfId="36037" xr:uid="{00000000-0005-0000-0000-000032A70000}"/>
    <cellStyle name="Output 3 4 2 4 2" xfId="36038" xr:uid="{00000000-0005-0000-0000-000033A70000}"/>
    <cellStyle name="Output 3 4 2 4 3" xfId="36039" xr:uid="{00000000-0005-0000-0000-000034A70000}"/>
    <cellStyle name="Output 3 4 2 5" xfId="36040" xr:uid="{00000000-0005-0000-0000-000035A70000}"/>
    <cellStyle name="Output 3 4 2 5 2" xfId="36041" xr:uid="{00000000-0005-0000-0000-000036A70000}"/>
    <cellStyle name="Output 3 4 2 5 3" xfId="36042" xr:uid="{00000000-0005-0000-0000-000037A70000}"/>
    <cellStyle name="Output 3 4 2 6" xfId="36043" xr:uid="{00000000-0005-0000-0000-000038A70000}"/>
    <cellStyle name="Output 3 4 2 6 2" xfId="36044" xr:uid="{00000000-0005-0000-0000-000039A70000}"/>
    <cellStyle name="Output 3 4 2 6 3" xfId="36045" xr:uid="{00000000-0005-0000-0000-00003AA70000}"/>
    <cellStyle name="Output 3 4 2 7" xfId="36046" xr:uid="{00000000-0005-0000-0000-00003BA70000}"/>
    <cellStyle name="Output 3 4 2 7 2" xfId="36047" xr:uid="{00000000-0005-0000-0000-00003CA70000}"/>
    <cellStyle name="Output 3 4 2 7 3" xfId="36048" xr:uid="{00000000-0005-0000-0000-00003DA70000}"/>
    <cellStyle name="Output 3 4 2 8" xfId="44707" xr:uid="{00000000-0005-0000-0000-00003EA70000}"/>
    <cellStyle name="Output 3 4 3" xfId="36049" xr:uid="{00000000-0005-0000-0000-00003FA70000}"/>
    <cellStyle name="Output 3 4 3 2" xfId="36050" xr:uid="{00000000-0005-0000-0000-000040A70000}"/>
    <cellStyle name="Output 3 4 3 2 2" xfId="36051" xr:uid="{00000000-0005-0000-0000-000041A70000}"/>
    <cellStyle name="Output 3 4 3 2 3" xfId="36052" xr:uid="{00000000-0005-0000-0000-000042A70000}"/>
    <cellStyle name="Output 3 4 3 3" xfId="36053" xr:uid="{00000000-0005-0000-0000-000043A70000}"/>
    <cellStyle name="Output 3 4 3 3 2" xfId="36054" xr:uid="{00000000-0005-0000-0000-000044A70000}"/>
    <cellStyle name="Output 3 4 3 3 3" xfId="36055" xr:uid="{00000000-0005-0000-0000-000045A70000}"/>
    <cellStyle name="Output 3 4 3 4" xfId="36056" xr:uid="{00000000-0005-0000-0000-000046A70000}"/>
    <cellStyle name="Output 3 4 3 4 2" xfId="36057" xr:uid="{00000000-0005-0000-0000-000047A70000}"/>
    <cellStyle name="Output 3 4 3 4 3" xfId="36058" xr:uid="{00000000-0005-0000-0000-000048A70000}"/>
    <cellStyle name="Output 3 4 3 5" xfId="36059" xr:uid="{00000000-0005-0000-0000-000049A70000}"/>
    <cellStyle name="Output 3 4 3 5 2" xfId="36060" xr:uid="{00000000-0005-0000-0000-00004AA70000}"/>
    <cellStyle name="Output 3 4 3 5 3" xfId="36061" xr:uid="{00000000-0005-0000-0000-00004BA70000}"/>
    <cellStyle name="Output 3 4 3 6" xfId="36062" xr:uid="{00000000-0005-0000-0000-00004CA70000}"/>
    <cellStyle name="Output 3 4 3 6 2" xfId="36063" xr:uid="{00000000-0005-0000-0000-00004DA70000}"/>
    <cellStyle name="Output 3 4 3 6 3" xfId="36064" xr:uid="{00000000-0005-0000-0000-00004EA70000}"/>
    <cellStyle name="Output 3 4 3 7" xfId="36065" xr:uid="{00000000-0005-0000-0000-00004FA70000}"/>
    <cellStyle name="Output 3 4 3 7 2" xfId="36066" xr:uid="{00000000-0005-0000-0000-000050A70000}"/>
    <cellStyle name="Output 3 4 3 7 3" xfId="36067" xr:uid="{00000000-0005-0000-0000-000051A70000}"/>
    <cellStyle name="Output 3 4 3 8" xfId="44708" xr:uid="{00000000-0005-0000-0000-000052A70000}"/>
    <cellStyle name="Output 3 4 4" xfId="36068" xr:uid="{00000000-0005-0000-0000-000053A70000}"/>
    <cellStyle name="Output 3 4 4 2" xfId="36069" xr:uid="{00000000-0005-0000-0000-000054A70000}"/>
    <cellStyle name="Output 3 4 4 2 2" xfId="36070" xr:uid="{00000000-0005-0000-0000-000055A70000}"/>
    <cellStyle name="Output 3 4 4 2 3" xfId="36071" xr:uid="{00000000-0005-0000-0000-000056A70000}"/>
    <cellStyle name="Output 3 4 4 3" xfId="36072" xr:uid="{00000000-0005-0000-0000-000057A70000}"/>
    <cellStyle name="Output 3 4 4 3 2" xfId="36073" xr:uid="{00000000-0005-0000-0000-000058A70000}"/>
    <cellStyle name="Output 3 4 4 3 3" xfId="36074" xr:uid="{00000000-0005-0000-0000-000059A70000}"/>
    <cellStyle name="Output 3 4 4 4" xfId="36075" xr:uid="{00000000-0005-0000-0000-00005AA70000}"/>
    <cellStyle name="Output 3 4 4 4 2" xfId="36076" xr:uid="{00000000-0005-0000-0000-00005BA70000}"/>
    <cellStyle name="Output 3 4 4 4 3" xfId="36077" xr:uid="{00000000-0005-0000-0000-00005CA70000}"/>
    <cellStyle name="Output 3 4 4 5" xfId="36078" xr:uid="{00000000-0005-0000-0000-00005DA70000}"/>
    <cellStyle name="Output 3 4 4 5 2" xfId="36079" xr:uid="{00000000-0005-0000-0000-00005EA70000}"/>
    <cellStyle name="Output 3 4 4 5 3" xfId="36080" xr:uid="{00000000-0005-0000-0000-00005FA70000}"/>
    <cellStyle name="Output 3 4 4 6" xfId="36081" xr:uid="{00000000-0005-0000-0000-000060A70000}"/>
    <cellStyle name="Output 3 4 4 6 2" xfId="36082" xr:uid="{00000000-0005-0000-0000-000061A70000}"/>
    <cellStyle name="Output 3 4 4 6 3" xfId="36083" xr:uid="{00000000-0005-0000-0000-000062A70000}"/>
    <cellStyle name="Output 3 4 4 7" xfId="36084" xr:uid="{00000000-0005-0000-0000-000063A70000}"/>
    <cellStyle name="Output 3 4 4 7 2" xfId="36085" xr:uid="{00000000-0005-0000-0000-000064A70000}"/>
    <cellStyle name="Output 3 4 4 7 3" xfId="36086" xr:uid="{00000000-0005-0000-0000-000065A70000}"/>
    <cellStyle name="Output 3 4 4 8" xfId="44709" xr:uid="{00000000-0005-0000-0000-000066A70000}"/>
    <cellStyle name="Output 3 4 5" xfId="36087" xr:uid="{00000000-0005-0000-0000-000067A70000}"/>
    <cellStyle name="Output 3 4 5 2" xfId="36088" xr:uid="{00000000-0005-0000-0000-000068A70000}"/>
    <cellStyle name="Output 3 4 5 2 2" xfId="36089" xr:uid="{00000000-0005-0000-0000-000069A70000}"/>
    <cellStyle name="Output 3 4 5 2 3" xfId="36090" xr:uid="{00000000-0005-0000-0000-00006AA70000}"/>
    <cellStyle name="Output 3 4 5 3" xfId="36091" xr:uid="{00000000-0005-0000-0000-00006BA70000}"/>
    <cellStyle name="Output 3 4 5 3 2" xfId="36092" xr:uid="{00000000-0005-0000-0000-00006CA70000}"/>
    <cellStyle name="Output 3 4 5 3 3" xfId="36093" xr:uid="{00000000-0005-0000-0000-00006DA70000}"/>
    <cellStyle name="Output 3 4 5 4" xfId="36094" xr:uid="{00000000-0005-0000-0000-00006EA70000}"/>
    <cellStyle name="Output 3 4 5 4 2" xfId="36095" xr:uid="{00000000-0005-0000-0000-00006FA70000}"/>
    <cellStyle name="Output 3 4 5 4 3" xfId="36096" xr:uid="{00000000-0005-0000-0000-000070A70000}"/>
    <cellStyle name="Output 3 4 5 5" xfId="36097" xr:uid="{00000000-0005-0000-0000-000071A70000}"/>
    <cellStyle name="Output 3 4 5 5 2" xfId="36098" xr:uid="{00000000-0005-0000-0000-000072A70000}"/>
    <cellStyle name="Output 3 4 5 5 3" xfId="36099" xr:uid="{00000000-0005-0000-0000-000073A70000}"/>
    <cellStyle name="Output 3 4 5 6" xfId="36100" xr:uid="{00000000-0005-0000-0000-000074A70000}"/>
    <cellStyle name="Output 3 4 5 6 2" xfId="36101" xr:uid="{00000000-0005-0000-0000-000075A70000}"/>
    <cellStyle name="Output 3 4 5 6 3" xfId="36102" xr:uid="{00000000-0005-0000-0000-000076A70000}"/>
    <cellStyle name="Output 3 4 5 7" xfId="36103" xr:uid="{00000000-0005-0000-0000-000077A70000}"/>
    <cellStyle name="Output 3 4 5 7 2" xfId="36104" xr:uid="{00000000-0005-0000-0000-000078A70000}"/>
    <cellStyle name="Output 3 4 5 7 3" xfId="36105" xr:uid="{00000000-0005-0000-0000-000079A70000}"/>
    <cellStyle name="Output 3 4 5 8" xfId="44710" xr:uid="{00000000-0005-0000-0000-00007AA70000}"/>
    <cellStyle name="Output 3 4 6" xfId="36106" xr:uid="{00000000-0005-0000-0000-00007BA70000}"/>
    <cellStyle name="Output 3 4 6 2" xfId="36107" xr:uid="{00000000-0005-0000-0000-00007CA70000}"/>
    <cellStyle name="Output 3 4 6 3" xfId="36108" xr:uid="{00000000-0005-0000-0000-00007DA70000}"/>
    <cellStyle name="Output 3 4 7" xfId="36109" xr:uid="{00000000-0005-0000-0000-00007EA70000}"/>
    <cellStyle name="Output 3 4 7 2" xfId="36110" xr:uid="{00000000-0005-0000-0000-00007FA70000}"/>
    <cellStyle name="Output 3 4 7 3" xfId="36111" xr:uid="{00000000-0005-0000-0000-000080A70000}"/>
    <cellStyle name="Output 3 4 8" xfId="36112" xr:uid="{00000000-0005-0000-0000-000081A70000}"/>
    <cellStyle name="Output 3 4 8 2" xfId="36113" xr:uid="{00000000-0005-0000-0000-000082A70000}"/>
    <cellStyle name="Output 3 4 8 3" xfId="36114" xr:uid="{00000000-0005-0000-0000-000083A70000}"/>
    <cellStyle name="Output 3 4 9" xfId="36115" xr:uid="{00000000-0005-0000-0000-000084A70000}"/>
    <cellStyle name="Output 3 4 9 2" xfId="36116" xr:uid="{00000000-0005-0000-0000-000085A70000}"/>
    <cellStyle name="Output 3 4 9 3" xfId="36117" xr:uid="{00000000-0005-0000-0000-000086A70000}"/>
    <cellStyle name="Output 3 5" xfId="36118" xr:uid="{00000000-0005-0000-0000-000087A70000}"/>
    <cellStyle name="Output 3 5 2" xfId="36119" xr:uid="{00000000-0005-0000-0000-000088A70000}"/>
    <cellStyle name="Output 3 5 2 2" xfId="36120" xr:uid="{00000000-0005-0000-0000-000089A70000}"/>
    <cellStyle name="Output 3 5 2 3" xfId="36121" xr:uid="{00000000-0005-0000-0000-00008AA70000}"/>
    <cellStyle name="Output 3 5 3" xfId="36122" xr:uid="{00000000-0005-0000-0000-00008BA70000}"/>
    <cellStyle name="Output 3 5 3 2" xfId="36123" xr:uid="{00000000-0005-0000-0000-00008CA70000}"/>
    <cellStyle name="Output 3 5 3 3" xfId="36124" xr:uid="{00000000-0005-0000-0000-00008DA70000}"/>
    <cellStyle name="Output 3 5 4" xfId="36125" xr:uid="{00000000-0005-0000-0000-00008EA70000}"/>
    <cellStyle name="Output 3 5 4 2" xfId="36126" xr:uid="{00000000-0005-0000-0000-00008FA70000}"/>
    <cellStyle name="Output 3 5 4 3" xfId="36127" xr:uid="{00000000-0005-0000-0000-000090A70000}"/>
    <cellStyle name="Output 3 5 5" xfId="36128" xr:uid="{00000000-0005-0000-0000-000091A70000}"/>
    <cellStyle name="Output 3 5 5 2" xfId="36129" xr:uid="{00000000-0005-0000-0000-000092A70000}"/>
    <cellStyle name="Output 3 5 5 3" xfId="36130" xr:uid="{00000000-0005-0000-0000-000093A70000}"/>
    <cellStyle name="Output 3 5 6" xfId="36131" xr:uid="{00000000-0005-0000-0000-000094A70000}"/>
    <cellStyle name="Output 3 5 6 2" xfId="36132" xr:uid="{00000000-0005-0000-0000-000095A70000}"/>
    <cellStyle name="Output 3 5 6 3" xfId="36133" xr:uid="{00000000-0005-0000-0000-000096A70000}"/>
    <cellStyle name="Output 3 5 7" xfId="36134" xr:uid="{00000000-0005-0000-0000-000097A70000}"/>
    <cellStyle name="Output 3 5 7 2" xfId="36135" xr:uid="{00000000-0005-0000-0000-000098A70000}"/>
    <cellStyle name="Output 3 5 7 3" xfId="36136" xr:uid="{00000000-0005-0000-0000-000099A70000}"/>
    <cellStyle name="Output 3 5 8" xfId="44711" xr:uid="{00000000-0005-0000-0000-00009AA70000}"/>
    <cellStyle name="Output 3 6" xfId="36137" xr:uid="{00000000-0005-0000-0000-00009BA70000}"/>
    <cellStyle name="Output 3 6 2" xfId="36138" xr:uid="{00000000-0005-0000-0000-00009CA70000}"/>
    <cellStyle name="Output 3 6 2 2" xfId="36139" xr:uid="{00000000-0005-0000-0000-00009DA70000}"/>
    <cellStyle name="Output 3 6 2 3" xfId="36140" xr:uid="{00000000-0005-0000-0000-00009EA70000}"/>
    <cellStyle name="Output 3 6 3" xfId="36141" xr:uid="{00000000-0005-0000-0000-00009FA70000}"/>
    <cellStyle name="Output 3 6 3 2" xfId="36142" xr:uid="{00000000-0005-0000-0000-0000A0A70000}"/>
    <cellStyle name="Output 3 6 3 3" xfId="36143" xr:uid="{00000000-0005-0000-0000-0000A1A70000}"/>
    <cellStyle name="Output 3 6 4" xfId="36144" xr:uid="{00000000-0005-0000-0000-0000A2A70000}"/>
    <cellStyle name="Output 3 6 4 2" xfId="36145" xr:uid="{00000000-0005-0000-0000-0000A3A70000}"/>
    <cellStyle name="Output 3 6 4 3" xfId="36146" xr:uid="{00000000-0005-0000-0000-0000A4A70000}"/>
    <cellStyle name="Output 3 6 5" xfId="36147" xr:uid="{00000000-0005-0000-0000-0000A5A70000}"/>
    <cellStyle name="Output 3 6 5 2" xfId="36148" xr:uid="{00000000-0005-0000-0000-0000A6A70000}"/>
    <cellStyle name="Output 3 6 5 3" xfId="36149" xr:uid="{00000000-0005-0000-0000-0000A7A70000}"/>
    <cellStyle name="Output 3 6 6" xfId="36150" xr:uid="{00000000-0005-0000-0000-0000A8A70000}"/>
    <cellStyle name="Output 3 6 6 2" xfId="36151" xr:uid="{00000000-0005-0000-0000-0000A9A70000}"/>
    <cellStyle name="Output 3 6 6 3" xfId="36152" xr:uid="{00000000-0005-0000-0000-0000AAA70000}"/>
    <cellStyle name="Output 3 6 7" xfId="36153" xr:uid="{00000000-0005-0000-0000-0000ABA70000}"/>
    <cellStyle name="Output 3 6 7 2" xfId="36154" xr:uid="{00000000-0005-0000-0000-0000ACA70000}"/>
    <cellStyle name="Output 3 6 7 3" xfId="36155" xr:uid="{00000000-0005-0000-0000-0000ADA70000}"/>
    <cellStyle name="Output 3 6 8" xfId="44712" xr:uid="{00000000-0005-0000-0000-0000AEA70000}"/>
    <cellStyle name="Output 3 7" xfId="42095" xr:uid="{00000000-0005-0000-0000-0000AFA70000}"/>
    <cellStyle name="Output 3 8" xfId="42096" xr:uid="{00000000-0005-0000-0000-0000B0A70000}"/>
    <cellStyle name="Output 4" xfId="681" xr:uid="{00000000-0005-0000-0000-0000B1A70000}"/>
    <cellStyle name="Output 4 2" xfId="36156" xr:uid="{00000000-0005-0000-0000-0000B2A70000}"/>
    <cellStyle name="Output 4 3" xfId="36157" xr:uid="{00000000-0005-0000-0000-0000B3A70000}"/>
    <cellStyle name="Output 4 4" xfId="46065" xr:uid="{00000000-0005-0000-0000-0000B4A70000}"/>
    <cellStyle name="Output 4 5" xfId="46272" xr:uid="{00000000-0005-0000-0000-0000B5A70000}"/>
    <cellStyle name="Output 5" xfId="36158" xr:uid="{00000000-0005-0000-0000-0000B6A70000}"/>
    <cellStyle name="Output 6" xfId="42097" xr:uid="{00000000-0005-0000-0000-0000B7A70000}"/>
    <cellStyle name="Percent" xfId="2" builtinId="5"/>
    <cellStyle name="Percent 10" xfId="561" xr:uid="{00000000-0005-0000-0000-0000B9A70000}"/>
    <cellStyle name="Percent 10 2" xfId="689" xr:uid="{00000000-0005-0000-0000-0000BAA70000}"/>
    <cellStyle name="Percent 10 2 2" xfId="36159" xr:uid="{00000000-0005-0000-0000-0000BBA70000}"/>
    <cellStyle name="Percent 10 2 2 2" xfId="36160" xr:uid="{00000000-0005-0000-0000-0000BCA70000}"/>
    <cellStyle name="Percent 10 2 2 3" xfId="44713" xr:uid="{00000000-0005-0000-0000-0000BDA70000}"/>
    <cellStyle name="Percent 10 2 3" xfId="42524" xr:uid="{00000000-0005-0000-0000-0000BEA70000}"/>
    <cellStyle name="Percent 10 2 4" xfId="46066" xr:uid="{00000000-0005-0000-0000-0000BFA70000}"/>
    <cellStyle name="Percent 10 2 5" xfId="46273" xr:uid="{00000000-0005-0000-0000-0000C0A70000}"/>
    <cellStyle name="Percent 10 3" xfId="2271" xr:uid="{00000000-0005-0000-0000-0000C1A70000}"/>
    <cellStyle name="Percent 10 3 2" xfId="42098" xr:uid="{00000000-0005-0000-0000-0000C2A70000}"/>
    <cellStyle name="Percent 10 4" xfId="36161" xr:uid="{00000000-0005-0000-0000-0000C3A70000}"/>
    <cellStyle name="Percent 10 4 2" xfId="36162" xr:uid="{00000000-0005-0000-0000-0000C4A70000}"/>
    <cellStyle name="Percent 10 4 3" xfId="44714" xr:uid="{00000000-0005-0000-0000-0000C5A70000}"/>
    <cellStyle name="Percent 10 5" xfId="42099" xr:uid="{00000000-0005-0000-0000-0000C6A70000}"/>
    <cellStyle name="Percent 10 6" xfId="42100" xr:uid="{00000000-0005-0000-0000-0000C7A70000}"/>
    <cellStyle name="Percent 10 7" xfId="46067" xr:uid="{00000000-0005-0000-0000-0000C8A70000}"/>
    <cellStyle name="Percent 11" xfId="2272" xr:uid="{00000000-0005-0000-0000-0000C9A70000}"/>
    <cellStyle name="Percent 11 2" xfId="36163" xr:uid="{00000000-0005-0000-0000-0000CAA70000}"/>
    <cellStyle name="Percent 11 2 2" xfId="36164" xr:uid="{00000000-0005-0000-0000-0000CBA70000}"/>
    <cellStyle name="Percent 11 2 2 2" xfId="42101" xr:uid="{00000000-0005-0000-0000-0000CCA70000}"/>
    <cellStyle name="Percent 11 2 3" xfId="36165" xr:uid="{00000000-0005-0000-0000-0000CDA70000}"/>
    <cellStyle name="Percent 11 3" xfId="36166" xr:uid="{00000000-0005-0000-0000-0000CEA70000}"/>
    <cellStyle name="Percent 11 3 2" xfId="36167" xr:uid="{00000000-0005-0000-0000-0000CFA70000}"/>
    <cellStyle name="Percent 11 3 2 2" xfId="42102" xr:uid="{00000000-0005-0000-0000-0000D0A70000}"/>
    <cellStyle name="Percent 11 3 3" xfId="36168" xr:uid="{00000000-0005-0000-0000-0000D1A70000}"/>
    <cellStyle name="Percent 11 4" xfId="36169" xr:uid="{00000000-0005-0000-0000-0000D2A70000}"/>
    <cellStyle name="Percent 11 4 2" xfId="42103" xr:uid="{00000000-0005-0000-0000-0000D3A70000}"/>
    <cellStyle name="Percent 11 5" xfId="36170" xr:uid="{00000000-0005-0000-0000-0000D4A70000}"/>
    <cellStyle name="Percent 11 6" xfId="46068" xr:uid="{00000000-0005-0000-0000-0000D5A70000}"/>
    <cellStyle name="Percent 12" xfId="2273" xr:uid="{00000000-0005-0000-0000-0000D6A70000}"/>
    <cellStyle name="Percent 12 2" xfId="36171" xr:uid="{00000000-0005-0000-0000-0000D7A70000}"/>
    <cellStyle name="Percent 13" xfId="2274" xr:uid="{00000000-0005-0000-0000-0000D8A70000}"/>
    <cellStyle name="Percent 13 2" xfId="42104" xr:uid="{00000000-0005-0000-0000-0000D9A70000}"/>
    <cellStyle name="Percent 14" xfId="2275" xr:uid="{00000000-0005-0000-0000-0000DAA70000}"/>
    <cellStyle name="Percent 14 2" xfId="2276" xr:uid="{00000000-0005-0000-0000-0000DBA70000}"/>
    <cellStyle name="Percent 14 2 2" xfId="36172" xr:uid="{00000000-0005-0000-0000-0000DCA70000}"/>
    <cellStyle name="Percent 14 2 2 2" xfId="42105" xr:uid="{00000000-0005-0000-0000-0000DDA70000}"/>
    <cellStyle name="Percent 14 2 2 3" xfId="42559" xr:uid="{00000000-0005-0000-0000-0000DEA70000}"/>
    <cellStyle name="Percent 14 2 2 4" xfId="46069" xr:uid="{00000000-0005-0000-0000-0000DFA70000}"/>
    <cellStyle name="Percent 14 2 3" xfId="42106" xr:uid="{00000000-0005-0000-0000-0000E0A70000}"/>
    <cellStyle name="Percent 14 2 4" xfId="46070" xr:uid="{00000000-0005-0000-0000-0000E1A70000}"/>
    <cellStyle name="Percent 14 3" xfId="42107" xr:uid="{00000000-0005-0000-0000-0000E2A70000}"/>
    <cellStyle name="Percent 14 3 2" xfId="42558" xr:uid="{00000000-0005-0000-0000-0000E3A70000}"/>
    <cellStyle name="Percent 14 3 3" xfId="46071" xr:uid="{00000000-0005-0000-0000-0000E4A70000}"/>
    <cellStyle name="Percent 14 4" xfId="46072" xr:uid="{00000000-0005-0000-0000-0000E5A70000}"/>
    <cellStyle name="Percent 15" xfId="36173" xr:uid="{00000000-0005-0000-0000-0000E6A70000}"/>
    <cellStyle name="Percent 15 2" xfId="42485" xr:uid="{00000000-0005-0000-0000-0000E7A70000}"/>
    <cellStyle name="Percent 15 3" xfId="46073" xr:uid="{00000000-0005-0000-0000-0000E8A70000}"/>
    <cellStyle name="Percent 16" xfId="36174" xr:uid="{00000000-0005-0000-0000-0000E9A70000}"/>
    <cellStyle name="Percent 16 2" xfId="2277" xr:uid="{00000000-0005-0000-0000-0000EAA70000}"/>
    <cellStyle name="Percent 16 2 2" xfId="36175" xr:uid="{00000000-0005-0000-0000-0000EBA70000}"/>
    <cellStyle name="Percent 16 2 2 2" xfId="42108" xr:uid="{00000000-0005-0000-0000-0000ECA70000}"/>
    <cellStyle name="Percent 16 2 2 3" xfId="42560" xr:uid="{00000000-0005-0000-0000-0000EDA70000}"/>
    <cellStyle name="Percent 16 2 2 4" xfId="46074" xr:uid="{00000000-0005-0000-0000-0000EEA70000}"/>
    <cellStyle name="Percent 16 2 3" xfId="42109" xr:uid="{00000000-0005-0000-0000-0000EFA70000}"/>
    <cellStyle name="Percent 16 2 4" xfId="46075" xr:uid="{00000000-0005-0000-0000-0000F0A70000}"/>
    <cellStyle name="Percent 17" xfId="36176" xr:uid="{00000000-0005-0000-0000-0000F1A70000}"/>
    <cellStyle name="Percent 18" xfId="46076" xr:uid="{00000000-0005-0000-0000-0000F2A70000}"/>
    <cellStyle name="Percent 19" xfId="46077" xr:uid="{00000000-0005-0000-0000-0000F3A70000}"/>
    <cellStyle name="Percent 2" xfId="56" xr:uid="{00000000-0005-0000-0000-0000F4A70000}"/>
    <cellStyle name="Percent 2 2" xfId="562" xr:uid="{00000000-0005-0000-0000-0000F5A70000}"/>
    <cellStyle name="Percent 2 2 2" xfId="563" xr:uid="{00000000-0005-0000-0000-0000F6A70000}"/>
    <cellStyle name="Percent 2 2 2 2" xfId="42110" xr:uid="{00000000-0005-0000-0000-0000F7A70000}"/>
    <cellStyle name="Percent 2 2 2 3" xfId="42111" xr:uid="{00000000-0005-0000-0000-0000F8A70000}"/>
    <cellStyle name="Percent 2 2 3" xfId="564" xr:uid="{00000000-0005-0000-0000-0000F9A70000}"/>
    <cellStyle name="Percent 2 2 3 2" xfId="2597" xr:uid="{00000000-0005-0000-0000-0000FAA70000}"/>
    <cellStyle name="Percent 2 2 3 2 2" xfId="42112" xr:uid="{00000000-0005-0000-0000-0000FBA70000}"/>
    <cellStyle name="Percent 2 2 3 2 3" xfId="42561" xr:uid="{00000000-0005-0000-0000-0000FCA70000}"/>
    <cellStyle name="Percent 2 2 3 2 4" xfId="46078" xr:uid="{00000000-0005-0000-0000-0000FDA70000}"/>
    <cellStyle name="Percent 2 2 3 3" xfId="42113" xr:uid="{00000000-0005-0000-0000-0000FEA70000}"/>
    <cellStyle name="Percent 2 2 3 4" xfId="42114" xr:uid="{00000000-0005-0000-0000-0000FFA70000}"/>
    <cellStyle name="Percent 2 2 3 5" xfId="46079" xr:uid="{00000000-0005-0000-0000-000000A80000}"/>
    <cellStyle name="Percent 2 2 4" xfId="36177" xr:uid="{00000000-0005-0000-0000-000001A80000}"/>
    <cellStyle name="Percent 2 2 4 2" xfId="36178" xr:uid="{00000000-0005-0000-0000-000002A80000}"/>
    <cellStyle name="Percent 2 2 4 3" xfId="44715" xr:uid="{00000000-0005-0000-0000-000003A80000}"/>
    <cellStyle name="Percent 2 2 5" xfId="36179" xr:uid="{00000000-0005-0000-0000-000004A80000}"/>
    <cellStyle name="Percent 2 2 6" xfId="36180" xr:uid="{00000000-0005-0000-0000-000005A80000}"/>
    <cellStyle name="Percent 2 2 7" xfId="36181" xr:uid="{00000000-0005-0000-0000-000006A80000}"/>
    <cellStyle name="Percent 2 2 8" xfId="36182" xr:uid="{00000000-0005-0000-0000-000007A80000}"/>
    <cellStyle name="Percent 2 3" xfId="565" xr:uid="{00000000-0005-0000-0000-000008A80000}"/>
    <cellStyle name="Percent 2 3 2" xfId="2278" xr:uid="{00000000-0005-0000-0000-000009A80000}"/>
    <cellStyle name="Percent 2 3 2 2" xfId="42115" xr:uid="{00000000-0005-0000-0000-00000AA80000}"/>
    <cellStyle name="Percent 2 3 3" xfId="2279" xr:uid="{00000000-0005-0000-0000-00000BA80000}"/>
    <cellStyle name="Percent 2 3 3 2" xfId="42116" xr:uid="{00000000-0005-0000-0000-00000CA80000}"/>
    <cellStyle name="Percent 2 3 4" xfId="2598" xr:uid="{00000000-0005-0000-0000-00000DA80000}"/>
    <cellStyle name="Percent 2 3 5" xfId="42117" xr:uid="{00000000-0005-0000-0000-00000EA80000}"/>
    <cellStyle name="Percent 2 3 6" xfId="42486" xr:uid="{00000000-0005-0000-0000-00000FA80000}"/>
    <cellStyle name="Percent 2 3 7" xfId="46312" xr:uid="{00000000-0005-0000-0000-000010A80000}"/>
    <cellStyle name="Percent 2 4" xfId="566" xr:uid="{00000000-0005-0000-0000-000011A80000}"/>
    <cellStyle name="Percent 2 4 2" xfId="687" xr:uid="{00000000-0005-0000-0000-000012A80000}"/>
    <cellStyle name="Percent 2 4 2 2" xfId="36183" xr:uid="{00000000-0005-0000-0000-000013A80000}"/>
    <cellStyle name="Percent 2 4 3" xfId="2599" xr:uid="{00000000-0005-0000-0000-000014A80000}"/>
    <cellStyle name="Percent 2 4 3 2" xfId="42118" xr:uid="{00000000-0005-0000-0000-000015A80000}"/>
    <cellStyle name="Percent 2 4 3 3" xfId="42562" xr:uid="{00000000-0005-0000-0000-000016A80000}"/>
    <cellStyle name="Percent 2 4 3 4" xfId="46080" xr:uid="{00000000-0005-0000-0000-000017A80000}"/>
    <cellStyle name="Percent 2 4 4" xfId="42119" xr:uid="{00000000-0005-0000-0000-000018A80000}"/>
    <cellStyle name="Percent 2 4 5" xfId="42120" xr:uid="{00000000-0005-0000-0000-000019A80000}"/>
    <cellStyle name="Percent 2 4 6" xfId="46081" xr:uid="{00000000-0005-0000-0000-00001AA80000}"/>
    <cellStyle name="Percent 2 5" xfId="2280" xr:uid="{00000000-0005-0000-0000-00001BA80000}"/>
    <cellStyle name="Percent 2 5 2" xfId="2600" xr:uid="{00000000-0005-0000-0000-00001CA80000}"/>
    <cellStyle name="Percent 2 6" xfId="567" xr:uid="{00000000-0005-0000-0000-00001DA80000}"/>
    <cellStyle name="Percent 2 6 2" xfId="42121" xr:uid="{00000000-0005-0000-0000-00001EA80000}"/>
    <cellStyle name="Percent 2 6 3" xfId="42122" xr:uid="{00000000-0005-0000-0000-00001FA80000}"/>
    <cellStyle name="Percent 2 7" xfId="2352" xr:uid="{00000000-0005-0000-0000-000020A80000}"/>
    <cellStyle name="Percent 2 7 2" xfId="36184" xr:uid="{00000000-0005-0000-0000-000021A80000}"/>
    <cellStyle name="Percent 2 7 3" xfId="44716" xr:uid="{00000000-0005-0000-0000-000022A80000}"/>
    <cellStyle name="Percent 2 8" xfId="42123" xr:uid="{00000000-0005-0000-0000-000023A80000}"/>
    <cellStyle name="Percent 2 9" xfId="42124" xr:uid="{00000000-0005-0000-0000-000024A80000}"/>
    <cellStyle name="Percent 20" xfId="46122" xr:uid="{00000000-0005-0000-0000-000025A80000}"/>
    <cellStyle name="Percent 3" xfId="7" xr:uid="{00000000-0005-0000-0000-000026A80000}"/>
    <cellStyle name="Percent 3 10" xfId="36185" xr:uid="{00000000-0005-0000-0000-000027A80000}"/>
    <cellStyle name="Percent 3 10 2" xfId="42125" xr:uid="{00000000-0005-0000-0000-000028A80000}"/>
    <cellStyle name="Percent 3 11" xfId="36186" xr:uid="{00000000-0005-0000-0000-000029A80000}"/>
    <cellStyle name="Percent 3 12" xfId="42126" xr:uid="{00000000-0005-0000-0000-00002AA80000}"/>
    <cellStyle name="Percent 3 13" xfId="42127" xr:uid="{00000000-0005-0000-0000-00002BA80000}"/>
    <cellStyle name="Percent 3 2" xfId="568" xr:uid="{00000000-0005-0000-0000-00002CA80000}"/>
    <cellStyle name="Percent 3 2 10" xfId="42128" xr:uid="{00000000-0005-0000-0000-00002DA80000}"/>
    <cellStyle name="Percent 3 2 2" xfId="569" xr:uid="{00000000-0005-0000-0000-00002EA80000}"/>
    <cellStyle name="Percent 3 2 2 2" xfId="2281" xr:uid="{00000000-0005-0000-0000-00002FA80000}"/>
    <cellStyle name="Percent 3 2 2 2 2" xfId="2282" xr:uid="{00000000-0005-0000-0000-000030A80000}"/>
    <cellStyle name="Percent 3 2 2 2 2 2" xfId="36187" xr:uid="{00000000-0005-0000-0000-000031A80000}"/>
    <cellStyle name="Percent 3 2 2 2 2 2 2" xfId="36188" xr:uid="{00000000-0005-0000-0000-000032A80000}"/>
    <cellStyle name="Percent 3 2 2 2 2 2 2 2" xfId="36189" xr:uid="{00000000-0005-0000-0000-000033A80000}"/>
    <cellStyle name="Percent 3 2 2 2 2 2 2 2 2" xfId="42129" xr:uid="{00000000-0005-0000-0000-000034A80000}"/>
    <cellStyle name="Percent 3 2 2 2 2 2 2 3" xfId="36190" xr:uid="{00000000-0005-0000-0000-000035A80000}"/>
    <cellStyle name="Percent 3 2 2 2 2 2 3" xfId="36191" xr:uid="{00000000-0005-0000-0000-000036A80000}"/>
    <cellStyle name="Percent 3 2 2 2 2 2 3 2" xfId="36192" xr:uid="{00000000-0005-0000-0000-000037A80000}"/>
    <cellStyle name="Percent 3 2 2 2 2 2 3 2 2" xfId="42130" xr:uid="{00000000-0005-0000-0000-000038A80000}"/>
    <cellStyle name="Percent 3 2 2 2 2 2 3 3" xfId="36193" xr:uid="{00000000-0005-0000-0000-000039A80000}"/>
    <cellStyle name="Percent 3 2 2 2 2 2 4" xfId="36194" xr:uid="{00000000-0005-0000-0000-00003AA80000}"/>
    <cellStyle name="Percent 3 2 2 2 2 2 4 2" xfId="42131" xr:uid="{00000000-0005-0000-0000-00003BA80000}"/>
    <cellStyle name="Percent 3 2 2 2 2 2 5" xfId="36195" xr:uid="{00000000-0005-0000-0000-00003CA80000}"/>
    <cellStyle name="Percent 3 2 2 2 2 3" xfId="36196" xr:uid="{00000000-0005-0000-0000-00003DA80000}"/>
    <cellStyle name="Percent 3 2 2 2 2 3 2" xfId="36197" xr:uid="{00000000-0005-0000-0000-00003EA80000}"/>
    <cellStyle name="Percent 3 2 2 2 2 3 2 2" xfId="42132" xr:uid="{00000000-0005-0000-0000-00003FA80000}"/>
    <cellStyle name="Percent 3 2 2 2 2 3 3" xfId="36198" xr:uid="{00000000-0005-0000-0000-000040A80000}"/>
    <cellStyle name="Percent 3 2 2 2 2 4" xfId="36199" xr:uid="{00000000-0005-0000-0000-000041A80000}"/>
    <cellStyle name="Percent 3 2 2 2 2 4 2" xfId="36200" xr:uid="{00000000-0005-0000-0000-000042A80000}"/>
    <cellStyle name="Percent 3 2 2 2 2 4 2 2" xfId="42133" xr:uid="{00000000-0005-0000-0000-000043A80000}"/>
    <cellStyle name="Percent 3 2 2 2 2 4 3" xfId="36201" xr:uid="{00000000-0005-0000-0000-000044A80000}"/>
    <cellStyle name="Percent 3 2 2 2 2 5" xfId="36202" xr:uid="{00000000-0005-0000-0000-000045A80000}"/>
    <cellStyle name="Percent 3 2 2 2 2 5 2" xfId="42134" xr:uid="{00000000-0005-0000-0000-000046A80000}"/>
    <cellStyle name="Percent 3 2 2 2 2 6" xfId="36203" xr:uid="{00000000-0005-0000-0000-000047A80000}"/>
    <cellStyle name="Percent 3 2 2 2 2 7" xfId="46082" xr:uid="{00000000-0005-0000-0000-000048A80000}"/>
    <cellStyle name="Percent 3 2 2 2 3" xfId="36204" xr:uid="{00000000-0005-0000-0000-000049A80000}"/>
    <cellStyle name="Percent 3 2 2 2 3 2" xfId="36205" xr:uid="{00000000-0005-0000-0000-00004AA80000}"/>
    <cellStyle name="Percent 3 2 2 2 3 2 2" xfId="36206" xr:uid="{00000000-0005-0000-0000-00004BA80000}"/>
    <cellStyle name="Percent 3 2 2 2 3 2 2 2" xfId="42135" xr:uid="{00000000-0005-0000-0000-00004CA80000}"/>
    <cellStyle name="Percent 3 2 2 2 3 2 3" xfId="36207" xr:uid="{00000000-0005-0000-0000-00004DA80000}"/>
    <cellStyle name="Percent 3 2 2 2 3 3" xfId="36208" xr:uid="{00000000-0005-0000-0000-00004EA80000}"/>
    <cellStyle name="Percent 3 2 2 2 3 3 2" xfId="36209" xr:uid="{00000000-0005-0000-0000-00004FA80000}"/>
    <cellStyle name="Percent 3 2 2 2 3 3 2 2" xfId="42136" xr:uid="{00000000-0005-0000-0000-000050A80000}"/>
    <cellStyle name="Percent 3 2 2 2 3 3 3" xfId="36210" xr:uid="{00000000-0005-0000-0000-000051A80000}"/>
    <cellStyle name="Percent 3 2 2 2 3 4" xfId="36211" xr:uid="{00000000-0005-0000-0000-000052A80000}"/>
    <cellStyle name="Percent 3 2 2 2 3 4 2" xfId="42137" xr:uid="{00000000-0005-0000-0000-000053A80000}"/>
    <cellStyle name="Percent 3 2 2 2 3 5" xfId="36212" xr:uid="{00000000-0005-0000-0000-000054A80000}"/>
    <cellStyle name="Percent 3 2 2 2 4" xfId="36213" xr:uid="{00000000-0005-0000-0000-000055A80000}"/>
    <cellStyle name="Percent 3 2 2 2 4 2" xfId="36214" xr:uid="{00000000-0005-0000-0000-000056A80000}"/>
    <cellStyle name="Percent 3 2 2 2 4 2 2" xfId="42138" xr:uid="{00000000-0005-0000-0000-000057A80000}"/>
    <cellStyle name="Percent 3 2 2 2 4 3" xfId="36215" xr:uid="{00000000-0005-0000-0000-000058A80000}"/>
    <cellStyle name="Percent 3 2 2 2 5" xfId="36216" xr:uid="{00000000-0005-0000-0000-000059A80000}"/>
    <cellStyle name="Percent 3 2 2 2 5 2" xfId="36217" xr:uid="{00000000-0005-0000-0000-00005AA80000}"/>
    <cellStyle name="Percent 3 2 2 2 5 2 2" xfId="42139" xr:uid="{00000000-0005-0000-0000-00005BA80000}"/>
    <cellStyle name="Percent 3 2 2 2 5 3" xfId="36218" xr:uid="{00000000-0005-0000-0000-00005CA80000}"/>
    <cellStyle name="Percent 3 2 2 2 6" xfId="36219" xr:uid="{00000000-0005-0000-0000-00005DA80000}"/>
    <cellStyle name="Percent 3 2 2 2 6 2" xfId="42140" xr:uid="{00000000-0005-0000-0000-00005EA80000}"/>
    <cellStyle name="Percent 3 2 2 2 7" xfId="36220" xr:uid="{00000000-0005-0000-0000-00005FA80000}"/>
    <cellStyle name="Percent 3 2 2 2 8" xfId="46083" xr:uid="{00000000-0005-0000-0000-000060A80000}"/>
    <cellStyle name="Percent 3 2 2 3" xfId="2283" xr:uid="{00000000-0005-0000-0000-000061A80000}"/>
    <cellStyle name="Percent 3 2 2 3 2" xfId="36221" xr:uid="{00000000-0005-0000-0000-000062A80000}"/>
    <cellStyle name="Percent 3 2 2 3 2 2" xfId="36222" xr:uid="{00000000-0005-0000-0000-000063A80000}"/>
    <cellStyle name="Percent 3 2 2 3 2 2 2" xfId="36223" xr:uid="{00000000-0005-0000-0000-000064A80000}"/>
    <cellStyle name="Percent 3 2 2 3 2 2 2 2" xfId="42141" xr:uid="{00000000-0005-0000-0000-000065A80000}"/>
    <cellStyle name="Percent 3 2 2 3 2 2 3" xfId="36224" xr:uid="{00000000-0005-0000-0000-000066A80000}"/>
    <cellStyle name="Percent 3 2 2 3 2 3" xfId="36225" xr:uid="{00000000-0005-0000-0000-000067A80000}"/>
    <cellStyle name="Percent 3 2 2 3 2 3 2" xfId="36226" xr:uid="{00000000-0005-0000-0000-000068A80000}"/>
    <cellStyle name="Percent 3 2 2 3 2 3 2 2" xfId="42142" xr:uid="{00000000-0005-0000-0000-000069A80000}"/>
    <cellStyle name="Percent 3 2 2 3 2 3 3" xfId="36227" xr:uid="{00000000-0005-0000-0000-00006AA80000}"/>
    <cellStyle name="Percent 3 2 2 3 2 4" xfId="36228" xr:uid="{00000000-0005-0000-0000-00006BA80000}"/>
    <cellStyle name="Percent 3 2 2 3 2 4 2" xfId="42143" xr:uid="{00000000-0005-0000-0000-00006CA80000}"/>
    <cellStyle name="Percent 3 2 2 3 2 5" xfId="36229" xr:uid="{00000000-0005-0000-0000-00006DA80000}"/>
    <cellStyle name="Percent 3 2 2 3 3" xfId="36230" xr:uid="{00000000-0005-0000-0000-00006EA80000}"/>
    <cellStyle name="Percent 3 2 2 3 3 2" xfId="36231" xr:uid="{00000000-0005-0000-0000-00006FA80000}"/>
    <cellStyle name="Percent 3 2 2 3 3 2 2" xfId="42144" xr:uid="{00000000-0005-0000-0000-000070A80000}"/>
    <cellStyle name="Percent 3 2 2 3 3 3" xfId="36232" xr:uid="{00000000-0005-0000-0000-000071A80000}"/>
    <cellStyle name="Percent 3 2 2 3 4" xfId="36233" xr:uid="{00000000-0005-0000-0000-000072A80000}"/>
    <cellStyle name="Percent 3 2 2 3 4 2" xfId="36234" xr:uid="{00000000-0005-0000-0000-000073A80000}"/>
    <cellStyle name="Percent 3 2 2 3 4 2 2" xfId="42145" xr:uid="{00000000-0005-0000-0000-000074A80000}"/>
    <cellStyle name="Percent 3 2 2 3 4 3" xfId="36235" xr:uid="{00000000-0005-0000-0000-000075A80000}"/>
    <cellStyle name="Percent 3 2 2 3 5" xfId="36236" xr:uid="{00000000-0005-0000-0000-000076A80000}"/>
    <cellStyle name="Percent 3 2 2 3 5 2" xfId="42146" xr:uid="{00000000-0005-0000-0000-000077A80000}"/>
    <cellStyle name="Percent 3 2 2 3 6" xfId="36237" xr:uid="{00000000-0005-0000-0000-000078A80000}"/>
    <cellStyle name="Percent 3 2 2 3 7" xfId="46084" xr:uid="{00000000-0005-0000-0000-000079A80000}"/>
    <cellStyle name="Percent 3 2 2 4" xfId="36238" xr:uid="{00000000-0005-0000-0000-00007AA80000}"/>
    <cellStyle name="Percent 3 2 2 4 2" xfId="36239" xr:uid="{00000000-0005-0000-0000-00007BA80000}"/>
    <cellStyle name="Percent 3 2 2 4 2 2" xfId="36240" xr:uid="{00000000-0005-0000-0000-00007CA80000}"/>
    <cellStyle name="Percent 3 2 2 4 2 2 2" xfId="42147" xr:uid="{00000000-0005-0000-0000-00007DA80000}"/>
    <cellStyle name="Percent 3 2 2 4 2 3" xfId="36241" xr:uid="{00000000-0005-0000-0000-00007EA80000}"/>
    <cellStyle name="Percent 3 2 2 4 3" xfId="36242" xr:uid="{00000000-0005-0000-0000-00007FA80000}"/>
    <cellStyle name="Percent 3 2 2 4 3 2" xfId="36243" xr:uid="{00000000-0005-0000-0000-000080A80000}"/>
    <cellStyle name="Percent 3 2 2 4 3 2 2" xfId="42148" xr:uid="{00000000-0005-0000-0000-000081A80000}"/>
    <cellStyle name="Percent 3 2 2 4 3 3" xfId="36244" xr:uid="{00000000-0005-0000-0000-000082A80000}"/>
    <cellStyle name="Percent 3 2 2 4 4" xfId="36245" xr:uid="{00000000-0005-0000-0000-000083A80000}"/>
    <cellStyle name="Percent 3 2 2 4 4 2" xfId="42149" xr:uid="{00000000-0005-0000-0000-000084A80000}"/>
    <cellStyle name="Percent 3 2 2 4 5" xfId="36246" xr:uid="{00000000-0005-0000-0000-000085A80000}"/>
    <cellStyle name="Percent 3 2 2 4 6" xfId="36247" xr:uid="{00000000-0005-0000-0000-000086A80000}"/>
    <cellStyle name="Percent 3 2 2 4 7" xfId="44717" xr:uid="{00000000-0005-0000-0000-000087A80000}"/>
    <cellStyle name="Percent 3 2 2 5" xfId="36248" xr:uid="{00000000-0005-0000-0000-000088A80000}"/>
    <cellStyle name="Percent 3 2 2 5 2" xfId="36249" xr:uid="{00000000-0005-0000-0000-000089A80000}"/>
    <cellStyle name="Percent 3 2 2 5 2 2" xfId="42150" xr:uid="{00000000-0005-0000-0000-00008AA80000}"/>
    <cellStyle name="Percent 3 2 2 5 3" xfId="36250" xr:uid="{00000000-0005-0000-0000-00008BA80000}"/>
    <cellStyle name="Percent 3 2 2 6" xfId="36251" xr:uid="{00000000-0005-0000-0000-00008CA80000}"/>
    <cellStyle name="Percent 3 2 2 6 2" xfId="36252" xr:uid="{00000000-0005-0000-0000-00008DA80000}"/>
    <cellStyle name="Percent 3 2 2 6 2 2" xfId="42151" xr:uid="{00000000-0005-0000-0000-00008EA80000}"/>
    <cellStyle name="Percent 3 2 2 6 3" xfId="36253" xr:uid="{00000000-0005-0000-0000-00008FA80000}"/>
    <cellStyle name="Percent 3 2 2 7" xfId="36254" xr:uid="{00000000-0005-0000-0000-000090A80000}"/>
    <cellStyle name="Percent 3 2 2 7 2" xfId="42152" xr:uid="{00000000-0005-0000-0000-000091A80000}"/>
    <cellStyle name="Percent 3 2 2 8" xfId="36255" xr:uid="{00000000-0005-0000-0000-000092A80000}"/>
    <cellStyle name="Percent 3 2 2 9" xfId="42153" xr:uid="{00000000-0005-0000-0000-000093A80000}"/>
    <cellStyle name="Percent 3 2 3" xfId="2284" xr:uid="{00000000-0005-0000-0000-000094A80000}"/>
    <cellStyle name="Percent 3 2 3 2" xfId="2285" xr:uid="{00000000-0005-0000-0000-000095A80000}"/>
    <cellStyle name="Percent 3 2 3 2 2" xfId="36256" xr:uid="{00000000-0005-0000-0000-000096A80000}"/>
    <cellStyle name="Percent 3 2 3 2 2 2" xfId="36257" xr:uid="{00000000-0005-0000-0000-000097A80000}"/>
    <cellStyle name="Percent 3 2 3 2 2 2 2" xfId="36258" xr:uid="{00000000-0005-0000-0000-000098A80000}"/>
    <cellStyle name="Percent 3 2 3 2 2 2 2 2" xfId="42154" xr:uid="{00000000-0005-0000-0000-000099A80000}"/>
    <cellStyle name="Percent 3 2 3 2 2 2 3" xfId="36259" xr:uid="{00000000-0005-0000-0000-00009AA80000}"/>
    <cellStyle name="Percent 3 2 3 2 2 3" xfId="36260" xr:uid="{00000000-0005-0000-0000-00009BA80000}"/>
    <cellStyle name="Percent 3 2 3 2 2 3 2" xfId="36261" xr:uid="{00000000-0005-0000-0000-00009CA80000}"/>
    <cellStyle name="Percent 3 2 3 2 2 3 2 2" xfId="42155" xr:uid="{00000000-0005-0000-0000-00009DA80000}"/>
    <cellStyle name="Percent 3 2 3 2 2 3 3" xfId="36262" xr:uid="{00000000-0005-0000-0000-00009EA80000}"/>
    <cellStyle name="Percent 3 2 3 2 2 4" xfId="36263" xr:uid="{00000000-0005-0000-0000-00009FA80000}"/>
    <cellStyle name="Percent 3 2 3 2 2 4 2" xfId="42156" xr:uid="{00000000-0005-0000-0000-0000A0A80000}"/>
    <cellStyle name="Percent 3 2 3 2 2 5" xfId="36264" xr:uid="{00000000-0005-0000-0000-0000A1A80000}"/>
    <cellStyle name="Percent 3 2 3 2 3" xfId="36265" xr:uid="{00000000-0005-0000-0000-0000A2A80000}"/>
    <cellStyle name="Percent 3 2 3 2 3 2" xfId="36266" xr:uid="{00000000-0005-0000-0000-0000A3A80000}"/>
    <cellStyle name="Percent 3 2 3 2 3 2 2" xfId="42157" xr:uid="{00000000-0005-0000-0000-0000A4A80000}"/>
    <cellStyle name="Percent 3 2 3 2 3 3" xfId="36267" xr:uid="{00000000-0005-0000-0000-0000A5A80000}"/>
    <cellStyle name="Percent 3 2 3 2 4" xfId="36268" xr:uid="{00000000-0005-0000-0000-0000A6A80000}"/>
    <cellStyle name="Percent 3 2 3 2 4 2" xfId="36269" xr:uid="{00000000-0005-0000-0000-0000A7A80000}"/>
    <cellStyle name="Percent 3 2 3 2 4 2 2" xfId="42158" xr:uid="{00000000-0005-0000-0000-0000A8A80000}"/>
    <cellStyle name="Percent 3 2 3 2 4 3" xfId="36270" xr:uid="{00000000-0005-0000-0000-0000A9A80000}"/>
    <cellStyle name="Percent 3 2 3 2 5" xfId="36271" xr:uid="{00000000-0005-0000-0000-0000AAA80000}"/>
    <cellStyle name="Percent 3 2 3 2 5 2" xfId="42159" xr:uid="{00000000-0005-0000-0000-0000ABA80000}"/>
    <cellStyle name="Percent 3 2 3 2 6" xfId="36272" xr:uid="{00000000-0005-0000-0000-0000ACA80000}"/>
    <cellStyle name="Percent 3 2 3 2 7" xfId="46085" xr:uid="{00000000-0005-0000-0000-0000ADA80000}"/>
    <cellStyle name="Percent 3 2 3 3" xfId="36273" xr:uid="{00000000-0005-0000-0000-0000AEA80000}"/>
    <cellStyle name="Percent 3 2 3 3 2" xfId="36274" xr:uid="{00000000-0005-0000-0000-0000AFA80000}"/>
    <cellStyle name="Percent 3 2 3 3 2 2" xfId="36275" xr:uid="{00000000-0005-0000-0000-0000B0A80000}"/>
    <cellStyle name="Percent 3 2 3 3 2 2 2" xfId="42160" xr:uid="{00000000-0005-0000-0000-0000B1A80000}"/>
    <cellStyle name="Percent 3 2 3 3 2 3" xfId="36276" xr:uid="{00000000-0005-0000-0000-0000B2A80000}"/>
    <cellStyle name="Percent 3 2 3 3 3" xfId="36277" xr:uid="{00000000-0005-0000-0000-0000B3A80000}"/>
    <cellStyle name="Percent 3 2 3 3 3 2" xfId="36278" xr:uid="{00000000-0005-0000-0000-0000B4A80000}"/>
    <cellStyle name="Percent 3 2 3 3 3 2 2" xfId="42161" xr:uid="{00000000-0005-0000-0000-0000B5A80000}"/>
    <cellStyle name="Percent 3 2 3 3 3 3" xfId="36279" xr:uid="{00000000-0005-0000-0000-0000B6A80000}"/>
    <cellStyle name="Percent 3 2 3 3 4" xfId="36280" xr:uid="{00000000-0005-0000-0000-0000B7A80000}"/>
    <cellStyle name="Percent 3 2 3 3 4 2" xfId="42162" xr:uid="{00000000-0005-0000-0000-0000B8A80000}"/>
    <cellStyle name="Percent 3 2 3 3 5" xfId="36281" xr:uid="{00000000-0005-0000-0000-0000B9A80000}"/>
    <cellStyle name="Percent 3 2 3 4" xfId="36282" xr:uid="{00000000-0005-0000-0000-0000BAA80000}"/>
    <cellStyle name="Percent 3 2 3 4 2" xfId="36283" xr:uid="{00000000-0005-0000-0000-0000BBA80000}"/>
    <cellStyle name="Percent 3 2 3 4 2 2" xfId="42163" xr:uid="{00000000-0005-0000-0000-0000BCA80000}"/>
    <cellStyle name="Percent 3 2 3 4 3" xfId="36284" xr:uid="{00000000-0005-0000-0000-0000BDA80000}"/>
    <cellStyle name="Percent 3 2 3 5" xfId="36285" xr:uid="{00000000-0005-0000-0000-0000BEA80000}"/>
    <cellStyle name="Percent 3 2 3 5 2" xfId="36286" xr:uid="{00000000-0005-0000-0000-0000BFA80000}"/>
    <cellStyle name="Percent 3 2 3 5 2 2" xfId="42164" xr:uid="{00000000-0005-0000-0000-0000C0A80000}"/>
    <cellStyle name="Percent 3 2 3 5 3" xfId="36287" xr:uid="{00000000-0005-0000-0000-0000C1A80000}"/>
    <cellStyle name="Percent 3 2 3 6" xfId="36288" xr:uid="{00000000-0005-0000-0000-0000C2A80000}"/>
    <cellStyle name="Percent 3 2 3 6 2" xfId="42165" xr:uid="{00000000-0005-0000-0000-0000C3A80000}"/>
    <cellStyle name="Percent 3 2 3 7" xfId="36289" xr:uid="{00000000-0005-0000-0000-0000C4A80000}"/>
    <cellStyle name="Percent 3 2 3 8" xfId="46086" xr:uid="{00000000-0005-0000-0000-0000C5A80000}"/>
    <cellStyle name="Percent 3 2 4" xfId="2286" xr:uid="{00000000-0005-0000-0000-0000C6A80000}"/>
    <cellStyle name="Percent 3 2 4 2" xfId="36290" xr:uid="{00000000-0005-0000-0000-0000C7A80000}"/>
    <cellStyle name="Percent 3 2 4 2 2" xfId="36291" xr:uid="{00000000-0005-0000-0000-0000C8A80000}"/>
    <cellStyle name="Percent 3 2 4 2 2 2" xfId="36292" xr:uid="{00000000-0005-0000-0000-0000C9A80000}"/>
    <cellStyle name="Percent 3 2 4 2 2 2 2" xfId="42166" xr:uid="{00000000-0005-0000-0000-0000CAA80000}"/>
    <cellStyle name="Percent 3 2 4 2 2 3" xfId="36293" xr:uid="{00000000-0005-0000-0000-0000CBA80000}"/>
    <cellStyle name="Percent 3 2 4 2 3" xfId="36294" xr:uid="{00000000-0005-0000-0000-0000CCA80000}"/>
    <cellStyle name="Percent 3 2 4 2 3 2" xfId="36295" xr:uid="{00000000-0005-0000-0000-0000CDA80000}"/>
    <cellStyle name="Percent 3 2 4 2 3 2 2" xfId="42167" xr:uid="{00000000-0005-0000-0000-0000CEA80000}"/>
    <cellStyle name="Percent 3 2 4 2 3 3" xfId="36296" xr:uid="{00000000-0005-0000-0000-0000CFA80000}"/>
    <cellStyle name="Percent 3 2 4 2 4" xfId="36297" xr:uid="{00000000-0005-0000-0000-0000D0A80000}"/>
    <cellStyle name="Percent 3 2 4 2 4 2" xfId="42168" xr:uid="{00000000-0005-0000-0000-0000D1A80000}"/>
    <cellStyle name="Percent 3 2 4 2 5" xfId="36298" xr:uid="{00000000-0005-0000-0000-0000D2A80000}"/>
    <cellStyle name="Percent 3 2 4 3" xfId="36299" xr:uid="{00000000-0005-0000-0000-0000D3A80000}"/>
    <cellStyle name="Percent 3 2 4 3 2" xfId="36300" xr:uid="{00000000-0005-0000-0000-0000D4A80000}"/>
    <cellStyle name="Percent 3 2 4 3 2 2" xfId="42169" xr:uid="{00000000-0005-0000-0000-0000D5A80000}"/>
    <cellStyle name="Percent 3 2 4 3 3" xfId="36301" xr:uid="{00000000-0005-0000-0000-0000D6A80000}"/>
    <cellStyle name="Percent 3 2 4 4" xfId="36302" xr:uid="{00000000-0005-0000-0000-0000D7A80000}"/>
    <cellStyle name="Percent 3 2 4 4 2" xfId="36303" xr:uid="{00000000-0005-0000-0000-0000D8A80000}"/>
    <cellStyle name="Percent 3 2 4 4 2 2" xfId="42170" xr:uid="{00000000-0005-0000-0000-0000D9A80000}"/>
    <cellStyle name="Percent 3 2 4 4 3" xfId="36304" xr:uid="{00000000-0005-0000-0000-0000DAA80000}"/>
    <cellStyle name="Percent 3 2 4 5" xfId="36305" xr:uid="{00000000-0005-0000-0000-0000DBA80000}"/>
    <cellStyle name="Percent 3 2 4 5 2" xfId="42171" xr:uid="{00000000-0005-0000-0000-0000DCA80000}"/>
    <cellStyle name="Percent 3 2 4 6" xfId="36306" xr:uid="{00000000-0005-0000-0000-0000DDA80000}"/>
    <cellStyle name="Percent 3 2 4 7" xfId="46087" xr:uid="{00000000-0005-0000-0000-0000DEA80000}"/>
    <cellStyle name="Percent 3 2 5" xfId="36307" xr:uid="{00000000-0005-0000-0000-0000DFA80000}"/>
    <cellStyle name="Percent 3 2 5 2" xfId="36308" xr:uid="{00000000-0005-0000-0000-0000E0A80000}"/>
    <cellStyle name="Percent 3 2 5 2 2" xfId="36309" xr:uid="{00000000-0005-0000-0000-0000E1A80000}"/>
    <cellStyle name="Percent 3 2 5 2 2 2" xfId="42172" xr:uid="{00000000-0005-0000-0000-0000E2A80000}"/>
    <cellStyle name="Percent 3 2 5 2 3" xfId="36310" xr:uid="{00000000-0005-0000-0000-0000E3A80000}"/>
    <cellStyle name="Percent 3 2 5 3" xfId="36311" xr:uid="{00000000-0005-0000-0000-0000E4A80000}"/>
    <cellStyle name="Percent 3 2 5 3 2" xfId="36312" xr:uid="{00000000-0005-0000-0000-0000E5A80000}"/>
    <cellStyle name="Percent 3 2 5 3 2 2" xfId="42173" xr:uid="{00000000-0005-0000-0000-0000E6A80000}"/>
    <cellStyle name="Percent 3 2 5 3 3" xfId="36313" xr:uid="{00000000-0005-0000-0000-0000E7A80000}"/>
    <cellStyle name="Percent 3 2 5 4" xfId="36314" xr:uid="{00000000-0005-0000-0000-0000E8A80000}"/>
    <cellStyle name="Percent 3 2 5 4 2" xfId="42174" xr:uid="{00000000-0005-0000-0000-0000E9A80000}"/>
    <cellStyle name="Percent 3 2 5 5" xfId="36315" xr:uid="{00000000-0005-0000-0000-0000EAA80000}"/>
    <cellStyle name="Percent 3 2 6" xfId="36316" xr:uid="{00000000-0005-0000-0000-0000EBA80000}"/>
    <cellStyle name="Percent 3 2 6 2" xfId="36317" xr:uid="{00000000-0005-0000-0000-0000ECA80000}"/>
    <cellStyle name="Percent 3 2 6 2 2" xfId="42175" xr:uid="{00000000-0005-0000-0000-0000EDA80000}"/>
    <cellStyle name="Percent 3 2 6 3" xfId="36318" xr:uid="{00000000-0005-0000-0000-0000EEA80000}"/>
    <cellStyle name="Percent 3 2 7" xfId="36319" xr:uid="{00000000-0005-0000-0000-0000EFA80000}"/>
    <cellStyle name="Percent 3 2 7 2" xfId="36320" xr:uid="{00000000-0005-0000-0000-0000F0A80000}"/>
    <cellStyle name="Percent 3 2 7 2 2" xfId="42176" xr:uid="{00000000-0005-0000-0000-0000F1A80000}"/>
    <cellStyle name="Percent 3 2 7 3" xfId="36321" xr:uid="{00000000-0005-0000-0000-0000F2A80000}"/>
    <cellStyle name="Percent 3 2 8" xfId="36322" xr:uid="{00000000-0005-0000-0000-0000F3A80000}"/>
    <cellStyle name="Percent 3 2 8 2" xfId="42177" xr:uid="{00000000-0005-0000-0000-0000F4A80000}"/>
    <cellStyle name="Percent 3 2 9" xfId="36323" xr:uid="{00000000-0005-0000-0000-0000F5A80000}"/>
    <cellStyle name="Percent 3 3" xfId="570" xr:uid="{00000000-0005-0000-0000-0000F6A80000}"/>
    <cellStyle name="Percent 3 3 10" xfId="46088" xr:uid="{00000000-0005-0000-0000-0000F7A80000}"/>
    <cellStyle name="Percent 3 3 2" xfId="2287" xr:uid="{00000000-0005-0000-0000-0000F8A80000}"/>
    <cellStyle name="Percent 3 3 2 2" xfId="2288" xr:uid="{00000000-0005-0000-0000-0000F9A80000}"/>
    <cellStyle name="Percent 3 3 2 2 2" xfId="36324" xr:uid="{00000000-0005-0000-0000-0000FAA80000}"/>
    <cellStyle name="Percent 3 3 2 2 2 2" xfId="36325" xr:uid="{00000000-0005-0000-0000-0000FBA80000}"/>
    <cellStyle name="Percent 3 3 2 2 2 2 2" xfId="36326" xr:uid="{00000000-0005-0000-0000-0000FCA80000}"/>
    <cellStyle name="Percent 3 3 2 2 2 2 2 2" xfId="42178" xr:uid="{00000000-0005-0000-0000-0000FDA80000}"/>
    <cellStyle name="Percent 3 3 2 2 2 2 3" xfId="36327" xr:uid="{00000000-0005-0000-0000-0000FEA80000}"/>
    <cellStyle name="Percent 3 3 2 2 2 3" xfId="36328" xr:uid="{00000000-0005-0000-0000-0000FFA80000}"/>
    <cellStyle name="Percent 3 3 2 2 2 3 2" xfId="36329" xr:uid="{00000000-0005-0000-0000-000000A90000}"/>
    <cellStyle name="Percent 3 3 2 2 2 3 2 2" xfId="42179" xr:uid="{00000000-0005-0000-0000-000001A90000}"/>
    <cellStyle name="Percent 3 3 2 2 2 3 3" xfId="36330" xr:uid="{00000000-0005-0000-0000-000002A90000}"/>
    <cellStyle name="Percent 3 3 2 2 2 4" xfId="36331" xr:uid="{00000000-0005-0000-0000-000003A90000}"/>
    <cellStyle name="Percent 3 3 2 2 2 4 2" xfId="42180" xr:uid="{00000000-0005-0000-0000-000004A90000}"/>
    <cellStyle name="Percent 3 3 2 2 2 5" xfId="36332" xr:uid="{00000000-0005-0000-0000-000005A90000}"/>
    <cellStyle name="Percent 3 3 2 2 3" xfId="36333" xr:uid="{00000000-0005-0000-0000-000006A90000}"/>
    <cellStyle name="Percent 3 3 2 2 3 2" xfId="36334" xr:uid="{00000000-0005-0000-0000-000007A90000}"/>
    <cellStyle name="Percent 3 3 2 2 3 2 2" xfId="42181" xr:uid="{00000000-0005-0000-0000-000008A90000}"/>
    <cellStyle name="Percent 3 3 2 2 3 3" xfId="36335" xr:uid="{00000000-0005-0000-0000-000009A90000}"/>
    <cellStyle name="Percent 3 3 2 2 4" xfId="36336" xr:uid="{00000000-0005-0000-0000-00000AA90000}"/>
    <cellStyle name="Percent 3 3 2 2 4 2" xfId="36337" xr:uid="{00000000-0005-0000-0000-00000BA90000}"/>
    <cellStyle name="Percent 3 3 2 2 4 2 2" xfId="42182" xr:uid="{00000000-0005-0000-0000-00000CA90000}"/>
    <cellStyle name="Percent 3 3 2 2 4 3" xfId="36338" xr:uid="{00000000-0005-0000-0000-00000DA90000}"/>
    <cellStyle name="Percent 3 3 2 2 5" xfId="36339" xr:uid="{00000000-0005-0000-0000-00000EA90000}"/>
    <cellStyle name="Percent 3 3 2 2 5 2" xfId="42183" xr:uid="{00000000-0005-0000-0000-00000FA90000}"/>
    <cellStyle name="Percent 3 3 2 2 6" xfId="36340" xr:uid="{00000000-0005-0000-0000-000010A90000}"/>
    <cellStyle name="Percent 3 3 2 2 7" xfId="46089" xr:uid="{00000000-0005-0000-0000-000011A90000}"/>
    <cellStyle name="Percent 3 3 2 3" xfId="36341" xr:uid="{00000000-0005-0000-0000-000012A90000}"/>
    <cellStyle name="Percent 3 3 2 3 2" xfId="36342" xr:uid="{00000000-0005-0000-0000-000013A90000}"/>
    <cellStyle name="Percent 3 3 2 3 2 2" xfId="36343" xr:uid="{00000000-0005-0000-0000-000014A90000}"/>
    <cellStyle name="Percent 3 3 2 3 2 2 2" xfId="42184" xr:uid="{00000000-0005-0000-0000-000015A90000}"/>
    <cellStyle name="Percent 3 3 2 3 2 3" xfId="36344" xr:uid="{00000000-0005-0000-0000-000016A90000}"/>
    <cellStyle name="Percent 3 3 2 3 3" xfId="36345" xr:uid="{00000000-0005-0000-0000-000017A90000}"/>
    <cellStyle name="Percent 3 3 2 3 3 2" xfId="36346" xr:uid="{00000000-0005-0000-0000-000018A90000}"/>
    <cellStyle name="Percent 3 3 2 3 3 2 2" xfId="42185" xr:uid="{00000000-0005-0000-0000-000019A90000}"/>
    <cellStyle name="Percent 3 3 2 3 3 3" xfId="36347" xr:uid="{00000000-0005-0000-0000-00001AA90000}"/>
    <cellStyle name="Percent 3 3 2 3 4" xfId="36348" xr:uid="{00000000-0005-0000-0000-00001BA90000}"/>
    <cellStyle name="Percent 3 3 2 3 4 2" xfId="42186" xr:uid="{00000000-0005-0000-0000-00001CA90000}"/>
    <cellStyle name="Percent 3 3 2 3 5" xfId="36349" xr:uid="{00000000-0005-0000-0000-00001DA90000}"/>
    <cellStyle name="Percent 3 3 2 4" xfId="36350" xr:uid="{00000000-0005-0000-0000-00001EA90000}"/>
    <cellStyle name="Percent 3 3 2 4 2" xfId="36351" xr:uid="{00000000-0005-0000-0000-00001FA90000}"/>
    <cellStyle name="Percent 3 3 2 4 2 2" xfId="42187" xr:uid="{00000000-0005-0000-0000-000020A90000}"/>
    <cellStyle name="Percent 3 3 2 4 3" xfId="36352" xr:uid="{00000000-0005-0000-0000-000021A90000}"/>
    <cellStyle name="Percent 3 3 2 5" xfId="36353" xr:uid="{00000000-0005-0000-0000-000022A90000}"/>
    <cellStyle name="Percent 3 3 2 5 2" xfId="36354" xr:uid="{00000000-0005-0000-0000-000023A90000}"/>
    <cellStyle name="Percent 3 3 2 5 2 2" xfId="42188" xr:uid="{00000000-0005-0000-0000-000024A90000}"/>
    <cellStyle name="Percent 3 3 2 5 3" xfId="36355" xr:uid="{00000000-0005-0000-0000-000025A90000}"/>
    <cellStyle name="Percent 3 3 2 6" xfId="36356" xr:uid="{00000000-0005-0000-0000-000026A90000}"/>
    <cellStyle name="Percent 3 3 2 6 2" xfId="42189" xr:uid="{00000000-0005-0000-0000-000027A90000}"/>
    <cellStyle name="Percent 3 3 2 7" xfId="36357" xr:uid="{00000000-0005-0000-0000-000028A90000}"/>
    <cellStyle name="Percent 3 3 2 8" xfId="46090" xr:uid="{00000000-0005-0000-0000-000029A90000}"/>
    <cellStyle name="Percent 3 3 3" xfId="2289" xr:uid="{00000000-0005-0000-0000-00002AA90000}"/>
    <cellStyle name="Percent 3 3 3 2" xfId="36358" xr:uid="{00000000-0005-0000-0000-00002BA90000}"/>
    <cellStyle name="Percent 3 3 3 2 2" xfId="36359" xr:uid="{00000000-0005-0000-0000-00002CA90000}"/>
    <cellStyle name="Percent 3 3 3 2 2 2" xfId="36360" xr:uid="{00000000-0005-0000-0000-00002DA90000}"/>
    <cellStyle name="Percent 3 3 3 2 2 2 2" xfId="42190" xr:uid="{00000000-0005-0000-0000-00002EA90000}"/>
    <cellStyle name="Percent 3 3 3 2 2 3" xfId="36361" xr:uid="{00000000-0005-0000-0000-00002FA90000}"/>
    <cellStyle name="Percent 3 3 3 2 3" xfId="36362" xr:uid="{00000000-0005-0000-0000-000030A90000}"/>
    <cellStyle name="Percent 3 3 3 2 3 2" xfId="36363" xr:uid="{00000000-0005-0000-0000-000031A90000}"/>
    <cellStyle name="Percent 3 3 3 2 3 2 2" xfId="42191" xr:uid="{00000000-0005-0000-0000-000032A90000}"/>
    <cellStyle name="Percent 3 3 3 2 3 3" xfId="36364" xr:uid="{00000000-0005-0000-0000-000033A90000}"/>
    <cellStyle name="Percent 3 3 3 2 4" xfId="36365" xr:uid="{00000000-0005-0000-0000-000034A90000}"/>
    <cellStyle name="Percent 3 3 3 2 4 2" xfId="42192" xr:uid="{00000000-0005-0000-0000-000035A90000}"/>
    <cellStyle name="Percent 3 3 3 2 5" xfId="36366" xr:uid="{00000000-0005-0000-0000-000036A90000}"/>
    <cellStyle name="Percent 3 3 3 3" xfId="36367" xr:uid="{00000000-0005-0000-0000-000037A90000}"/>
    <cellStyle name="Percent 3 3 3 3 2" xfId="36368" xr:uid="{00000000-0005-0000-0000-000038A90000}"/>
    <cellStyle name="Percent 3 3 3 3 2 2" xfId="42193" xr:uid="{00000000-0005-0000-0000-000039A90000}"/>
    <cellStyle name="Percent 3 3 3 3 3" xfId="36369" xr:uid="{00000000-0005-0000-0000-00003AA90000}"/>
    <cellStyle name="Percent 3 3 3 4" xfId="36370" xr:uid="{00000000-0005-0000-0000-00003BA90000}"/>
    <cellStyle name="Percent 3 3 3 4 2" xfId="36371" xr:uid="{00000000-0005-0000-0000-00003CA90000}"/>
    <cellStyle name="Percent 3 3 3 4 2 2" xfId="42194" xr:uid="{00000000-0005-0000-0000-00003DA90000}"/>
    <cellStyle name="Percent 3 3 3 4 3" xfId="36372" xr:uid="{00000000-0005-0000-0000-00003EA90000}"/>
    <cellStyle name="Percent 3 3 3 5" xfId="36373" xr:uid="{00000000-0005-0000-0000-00003FA90000}"/>
    <cellStyle name="Percent 3 3 3 5 2" xfId="42195" xr:uid="{00000000-0005-0000-0000-000040A90000}"/>
    <cellStyle name="Percent 3 3 3 6" xfId="36374" xr:uid="{00000000-0005-0000-0000-000041A90000}"/>
    <cellStyle name="Percent 3 3 3 7" xfId="46091" xr:uid="{00000000-0005-0000-0000-000042A90000}"/>
    <cellStyle name="Percent 3 3 4" xfId="36375" xr:uid="{00000000-0005-0000-0000-000043A90000}"/>
    <cellStyle name="Percent 3 3 4 2" xfId="36376" xr:uid="{00000000-0005-0000-0000-000044A90000}"/>
    <cellStyle name="Percent 3 3 4 2 2" xfId="36377" xr:uid="{00000000-0005-0000-0000-000045A90000}"/>
    <cellStyle name="Percent 3 3 4 2 2 2" xfId="42196" xr:uid="{00000000-0005-0000-0000-000046A90000}"/>
    <cellStyle name="Percent 3 3 4 2 3" xfId="36378" xr:uid="{00000000-0005-0000-0000-000047A90000}"/>
    <cellStyle name="Percent 3 3 4 3" xfId="36379" xr:uid="{00000000-0005-0000-0000-000048A90000}"/>
    <cellStyle name="Percent 3 3 4 3 2" xfId="36380" xr:uid="{00000000-0005-0000-0000-000049A90000}"/>
    <cellStyle name="Percent 3 3 4 3 2 2" xfId="42197" xr:uid="{00000000-0005-0000-0000-00004AA90000}"/>
    <cellStyle name="Percent 3 3 4 3 3" xfId="36381" xr:uid="{00000000-0005-0000-0000-00004BA90000}"/>
    <cellStyle name="Percent 3 3 4 4" xfId="36382" xr:uid="{00000000-0005-0000-0000-00004CA90000}"/>
    <cellStyle name="Percent 3 3 4 4 2" xfId="42198" xr:uid="{00000000-0005-0000-0000-00004DA90000}"/>
    <cellStyle name="Percent 3 3 4 5" xfId="36383" xr:uid="{00000000-0005-0000-0000-00004EA90000}"/>
    <cellStyle name="Percent 3 3 5" xfId="36384" xr:uid="{00000000-0005-0000-0000-00004FA90000}"/>
    <cellStyle name="Percent 3 3 5 2" xfId="36385" xr:uid="{00000000-0005-0000-0000-000050A90000}"/>
    <cellStyle name="Percent 3 3 5 2 2" xfId="42199" xr:uid="{00000000-0005-0000-0000-000051A90000}"/>
    <cellStyle name="Percent 3 3 5 3" xfId="36386" xr:uid="{00000000-0005-0000-0000-000052A90000}"/>
    <cellStyle name="Percent 3 3 6" xfId="36387" xr:uid="{00000000-0005-0000-0000-000053A90000}"/>
    <cellStyle name="Percent 3 3 6 2" xfId="36388" xr:uid="{00000000-0005-0000-0000-000054A90000}"/>
    <cellStyle name="Percent 3 3 6 2 2" xfId="42200" xr:uid="{00000000-0005-0000-0000-000055A90000}"/>
    <cellStyle name="Percent 3 3 6 3" xfId="36389" xr:uid="{00000000-0005-0000-0000-000056A90000}"/>
    <cellStyle name="Percent 3 3 7" xfId="36390" xr:uid="{00000000-0005-0000-0000-000057A90000}"/>
    <cellStyle name="Percent 3 3 7 2" xfId="42201" xr:uid="{00000000-0005-0000-0000-000058A90000}"/>
    <cellStyle name="Percent 3 3 8" xfId="36391" xr:uid="{00000000-0005-0000-0000-000059A90000}"/>
    <cellStyle name="Percent 3 3 9" xfId="42202" xr:uid="{00000000-0005-0000-0000-00005AA90000}"/>
    <cellStyle name="Percent 3 4" xfId="2290" xr:uid="{00000000-0005-0000-0000-00005BA90000}"/>
    <cellStyle name="Percent 3 4 2" xfId="2291" xr:uid="{00000000-0005-0000-0000-00005CA90000}"/>
    <cellStyle name="Percent 3 4 2 2" xfId="36392" xr:uid="{00000000-0005-0000-0000-00005DA90000}"/>
    <cellStyle name="Percent 3 4 2 2 2" xfId="36393" xr:uid="{00000000-0005-0000-0000-00005EA90000}"/>
    <cellStyle name="Percent 3 4 2 2 2 2" xfId="36394" xr:uid="{00000000-0005-0000-0000-00005FA90000}"/>
    <cellStyle name="Percent 3 4 2 2 2 2 2" xfId="36395" xr:uid="{00000000-0005-0000-0000-000060A90000}"/>
    <cellStyle name="Percent 3 4 2 2 2 2 2 2" xfId="42203" xr:uid="{00000000-0005-0000-0000-000061A90000}"/>
    <cellStyle name="Percent 3 4 2 2 2 2 3" xfId="36396" xr:uid="{00000000-0005-0000-0000-000062A90000}"/>
    <cellStyle name="Percent 3 4 2 2 2 3" xfId="36397" xr:uid="{00000000-0005-0000-0000-000063A90000}"/>
    <cellStyle name="Percent 3 4 2 2 2 3 2" xfId="36398" xr:uid="{00000000-0005-0000-0000-000064A90000}"/>
    <cellStyle name="Percent 3 4 2 2 2 3 2 2" xfId="42204" xr:uid="{00000000-0005-0000-0000-000065A90000}"/>
    <cellStyle name="Percent 3 4 2 2 2 3 3" xfId="36399" xr:uid="{00000000-0005-0000-0000-000066A90000}"/>
    <cellStyle name="Percent 3 4 2 2 2 4" xfId="36400" xr:uid="{00000000-0005-0000-0000-000067A90000}"/>
    <cellStyle name="Percent 3 4 2 2 2 4 2" xfId="42205" xr:uid="{00000000-0005-0000-0000-000068A90000}"/>
    <cellStyle name="Percent 3 4 2 2 2 5" xfId="36401" xr:uid="{00000000-0005-0000-0000-000069A90000}"/>
    <cellStyle name="Percent 3 4 2 2 3" xfId="36402" xr:uid="{00000000-0005-0000-0000-00006AA90000}"/>
    <cellStyle name="Percent 3 4 2 2 3 2" xfId="36403" xr:uid="{00000000-0005-0000-0000-00006BA90000}"/>
    <cellStyle name="Percent 3 4 2 2 3 2 2" xfId="42206" xr:uid="{00000000-0005-0000-0000-00006CA90000}"/>
    <cellStyle name="Percent 3 4 2 2 3 3" xfId="36404" xr:uid="{00000000-0005-0000-0000-00006DA90000}"/>
    <cellStyle name="Percent 3 4 2 2 4" xfId="36405" xr:uid="{00000000-0005-0000-0000-00006EA90000}"/>
    <cellStyle name="Percent 3 4 2 2 4 2" xfId="36406" xr:uid="{00000000-0005-0000-0000-00006FA90000}"/>
    <cellStyle name="Percent 3 4 2 2 4 2 2" xfId="42207" xr:uid="{00000000-0005-0000-0000-000070A90000}"/>
    <cellStyle name="Percent 3 4 2 2 4 3" xfId="36407" xr:uid="{00000000-0005-0000-0000-000071A90000}"/>
    <cellStyle name="Percent 3 4 2 2 5" xfId="36408" xr:uid="{00000000-0005-0000-0000-000072A90000}"/>
    <cellStyle name="Percent 3 4 2 2 5 2" xfId="42208" xr:uid="{00000000-0005-0000-0000-000073A90000}"/>
    <cellStyle name="Percent 3 4 2 2 6" xfId="36409" xr:uid="{00000000-0005-0000-0000-000074A90000}"/>
    <cellStyle name="Percent 3 4 2 3" xfId="36410" xr:uid="{00000000-0005-0000-0000-000075A90000}"/>
    <cellStyle name="Percent 3 4 2 3 2" xfId="36411" xr:uid="{00000000-0005-0000-0000-000076A90000}"/>
    <cellStyle name="Percent 3 4 2 3 2 2" xfId="36412" xr:uid="{00000000-0005-0000-0000-000077A90000}"/>
    <cellStyle name="Percent 3 4 2 3 2 2 2" xfId="42209" xr:uid="{00000000-0005-0000-0000-000078A90000}"/>
    <cellStyle name="Percent 3 4 2 3 2 3" xfId="36413" xr:uid="{00000000-0005-0000-0000-000079A90000}"/>
    <cellStyle name="Percent 3 4 2 3 3" xfId="36414" xr:uid="{00000000-0005-0000-0000-00007AA90000}"/>
    <cellStyle name="Percent 3 4 2 3 3 2" xfId="36415" xr:uid="{00000000-0005-0000-0000-00007BA90000}"/>
    <cellStyle name="Percent 3 4 2 3 3 2 2" xfId="42210" xr:uid="{00000000-0005-0000-0000-00007CA90000}"/>
    <cellStyle name="Percent 3 4 2 3 3 3" xfId="36416" xr:uid="{00000000-0005-0000-0000-00007DA90000}"/>
    <cellStyle name="Percent 3 4 2 3 4" xfId="36417" xr:uid="{00000000-0005-0000-0000-00007EA90000}"/>
    <cellStyle name="Percent 3 4 2 3 4 2" xfId="42211" xr:uid="{00000000-0005-0000-0000-00007FA90000}"/>
    <cellStyle name="Percent 3 4 2 3 5" xfId="36418" xr:uid="{00000000-0005-0000-0000-000080A90000}"/>
    <cellStyle name="Percent 3 4 2 4" xfId="36419" xr:uid="{00000000-0005-0000-0000-000081A90000}"/>
    <cellStyle name="Percent 3 4 2 4 2" xfId="36420" xr:uid="{00000000-0005-0000-0000-000082A90000}"/>
    <cellStyle name="Percent 3 4 2 4 2 2" xfId="42212" xr:uid="{00000000-0005-0000-0000-000083A90000}"/>
    <cellStyle name="Percent 3 4 2 4 3" xfId="36421" xr:uid="{00000000-0005-0000-0000-000084A90000}"/>
    <cellStyle name="Percent 3 4 2 5" xfId="36422" xr:uid="{00000000-0005-0000-0000-000085A90000}"/>
    <cellStyle name="Percent 3 4 2 5 2" xfId="36423" xr:uid="{00000000-0005-0000-0000-000086A90000}"/>
    <cellStyle name="Percent 3 4 2 5 2 2" xfId="42213" xr:uid="{00000000-0005-0000-0000-000087A90000}"/>
    <cellStyle name="Percent 3 4 2 5 3" xfId="36424" xr:uid="{00000000-0005-0000-0000-000088A90000}"/>
    <cellStyle name="Percent 3 4 2 6" xfId="36425" xr:uid="{00000000-0005-0000-0000-000089A90000}"/>
    <cellStyle name="Percent 3 4 2 6 2" xfId="42214" xr:uid="{00000000-0005-0000-0000-00008AA90000}"/>
    <cellStyle name="Percent 3 4 2 7" xfId="36426" xr:uid="{00000000-0005-0000-0000-00008BA90000}"/>
    <cellStyle name="Percent 3 4 2 8" xfId="46092" xr:uid="{00000000-0005-0000-0000-00008CA90000}"/>
    <cellStyle name="Percent 3 4 3" xfId="36427" xr:uid="{00000000-0005-0000-0000-00008DA90000}"/>
    <cellStyle name="Percent 3 4 3 2" xfId="36428" xr:uid="{00000000-0005-0000-0000-00008EA90000}"/>
    <cellStyle name="Percent 3 4 3 2 2" xfId="36429" xr:uid="{00000000-0005-0000-0000-00008FA90000}"/>
    <cellStyle name="Percent 3 4 3 2 2 2" xfId="36430" xr:uid="{00000000-0005-0000-0000-000090A90000}"/>
    <cellStyle name="Percent 3 4 3 2 2 2 2" xfId="42215" xr:uid="{00000000-0005-0000-0000-000091A90000}"/>
    <cellStyle name="Percent 3 4 3 2 2 3" xfId="36431" xr:uid="{00000000-0005-0000-0000-000092A90000}"/>
    <cellStyle name="Percent 3 4 3 2 3" xfId="36432" xr:uid="{00000000-0005-0000-0000-000093A90000}"/>
    <cellStyle name="Percent 3 4 3 2 3 2" xfId="36433" xr:uid="{00000000-0005-0000-0000-000094A90000}"/>
    <cellStyle name="Percent 3 4 3 2 3 2 2" xfId="42216" xr:uid="{00000000-0005-0000-0000-000095A90000}"/>
    <cellStyle name="Percent 3 4 3 2 3 3" xfId="36434" xr:uid="{00000000-0005-0000-0000-000096A90000}"/>
    <cellStyle name="Percent 3 4 3 2 4" xfId="36435" xr:uid="{00000000-0005-0000-0000-000097A90000}"/>
    <cellStyle name="Percent 3 4 3 2 4 2" xfId="42217" xr:uid="{00000000-0005-0000-0000-000098A90000}"/>
    <cellStyle name="Percent 3 4 3 2 5" xfId="36436" xr:uid="{00000000-0005-0000-0000-000099A90000}"/>
    <cellStyle name="Percent 3 4 3 3" xfId="36437" xr:uid="{00000000-0005-0000-0000-00009AA90000}"/>
    <cellStyle name="Percent 3 4 3 3 2" xfId="36438" xr:uid="{00000000-0005-0000-0000-00009BA90000}"/>
    <cellStyle name="Percent 3 4 3 3 2 2" xfId="42218" xr:uid="{00000000-0005-0000-0000-00009CA90000}"/>
    <cellStyle name="Percent 3 4 3 3 3" xfId="36439" xr:uid="{00000000-0005-0000-0000-00009DA90000}"/>
    <cellStyle name="Percent 3 4 3 4" xfId="36440" xr:uid="{00000000-0005-0000-0000-00009EA90000}"/>
    <cellStyle name="Percent 3 4 3 4 2" xfId="36441" xr:uid="{00000000-0005-0000-0000-00009FA90000}"/>
    <cellStyle name="Percent 3 4 3 4 2 2" xfId="42219" xr:uid="{00000000-0005-0000-0000-0000A0A90000}"/>
    <cellStyle name="Percent 3 4 3 4 3" xfId="36442" xr:uid="{00000000-0005-0000-0000-0000A1A90000}"/>
    <cellStyle name="Percent 3 4 3 5" xfId="36443" xr:uid="{00000000-0005-0000-0000-0000A2A90000}"/>
    <cellStyle name="Percent 3 4 3 5 2" xfId="42220" xr:uid="{00000000-0005-0000-0000-0000A3A90000}"/>
    <cellStyle name="Percent 3 4 3 6" xfId="36444" xr:uid="{00000000-0005-0000-0000-0000A4A90000}"/>
    <cellStyle name="Percent 3 4 4" xfId="36445" xr:uid="{00000000-0005-0000-0000-0000A5A90000}"/>
    <cellStyle name="Percent 3 4 4 2" xfId="36446" xr:uid="{00000000-0005-0000-0000-0000A6A90000}"/>
    <cellStyle name="Percent 3 4 4 2 2" xfId="36447" xr:uid="{00000000-0005-0000-0000-0000A7A90000}"/>
    <cellStyle name="Percent 3 4 4 2 2 2" xfId="42221" xr:uid="{00000000-0005-0000-0000-0000A8A90000}"/>
    <cellStyle name="Percent 3 4 4 2 3" xfId="36448" xr:uid="{00000000-0005-0000-0000-0000A9A90000}"/>
    <cellStyle name="Percent 3 4 4 3" xfId="36449" xr:uid="{00000000-0005-0000-0000-0000AAA90000}"/>
    <cellStyle name="Percent 3 4 4 3 2" xfId="36450" xr:uid="{00000000-0005-0000-0000-0000ABA90000}"/>
    <cellStyle name="Percent 3 4 4 3 2 2" xfId="42222" xr:uid="{00000000-0005-0000-0000-0000ACA90000}"/>
    <cellStyle name="Percent 3 4 4 3 3" xfId="36451" xr:uid="{00000000-0005-0000-0000-0000ADA90000}"/>
    <cellStyle name="Percent 3 4 4 4" xfId="36452" xr:uid="{00000000-0005-0000-0000-0000AEA90000}"/>
    <cellStyle name="Percent 3 4 4 4 2" xfId="42223" xr:uid="{00000000-0005-0000-0000-0000AFA90000}"/>
    <cellStyle name="Percent 3 4 4 5" xfId="36453" xr:uid="{00000000-0005-0000-0000-0000B0A90000}"/>
    <cellStyle name="Percent 3 4 5" xfId="36454" xr:uid="{00000000-0005-0000-0000-0000B1A90000}"/>
    <cellStyle name="Percent 3 4 5 2" xfId="36455" xr:uid="{00000000-0005-0000-0000-0000B2A90000}"/>
    <cellStyle name="Percent 3 4 5 2 2" xfId="42224" xr:uid="{00000000-0005-0000-0000-0000B3A90000}"/>
    <cellStyle name="Percent 3 4 5 3" xfId="36456" xr:uid="{00000000-0005-0000-0000-0000B4A90000}"/>
    <cellStyle name="Percent 3 4 6" xfId="36457" xr:uid="{00000000-0005-0000-0000-0000B5A90000}"/>
    <cellStyle name="Percent 3 4 6 2" xfId="36458" xr:uid="{00000000-0005-0000-0000-0000B6A90000}"/>
    <cellStyle name="Percent 3 4 6 2 2" xfId="42225" xr:uid="{00000000-0005-0000-0000-0000B7A90000}"/>
    <cellStyle name="Percent 3 4 6 3" xfId="36459" xr:uid="{00000000-0005-0000-0000-0000B8A90000}"/>
    <cellStyle name="Percent 3 4 7" xfId="36460" xr:uid="{00000000-0005-0000-0000-0000B9A90000}"/>
    <cellStyle name="Percent 3 4 7 2" xfId="42226" xr:uid="{00000000-0005-0000-0000-0000BAA90000}"/>
    <cellStyle name="Percent 3 4 8" xfId="36461" xr:uid="{00000000-0005-0000-0000-0000BBA90000}"/>
    <cellStyle name="Percent 3 4 9" xfId="46093" xr:uid="{00000000-0005-0000-0000-0000BCA90000}"/>
    <cellStyle name="Percent 3 5" xfId="2292" xr:uid="{00000000-0005-0000-0000-0000BDA90000}"/>
    <cellStyle name="Percent 3 5 2" xfId="2293" xr:uid="{00000000-0005-0000-0000-0000BEA90000}"/>
    <cellStyle name="Percent 3 5 2 2" xfId="42227" xr:uid="{00000000-0005-0000-0000-0000BFA90000}"/>
    <cellStyle name="Percent 3 5 2 2 2" xfId="42563" xr:uid="{00000000-0005-0000-0000-0000C0A90000}"/>
    <cellStyle name="Percent 3 5 2 2 3" xfId="46094" xr:uid="{00000000-0005-0000-0000-0000C1A90000}"/>
    <cellStyle name="Percent 3 5 2 3" xfId="46095" xr:uid="{00000000-0005-0000-0000-0000C2A90000}"/>
    <cellStyle name="Percent 3 5 3" xfId="36462" xr:uid="{00000000-0005-0000-0000-0000C3A90000}"/>
    <cellStyle name="Percent 3 5 4" xfId="46096" xr:uid="{00000000-0005-0000-0000-0000C4A90000}"/>
    <cellStyle name="Percent 3 5 5" xfId="46274" xr:uid="{00000000-0005-0000-0000-0000C5A90000}"/>
    <cellStyle name="Percent 3 6" xfId="2294" xr:uid="{00000000-0005-0000-0000-0000C6A90000}"/>
    <cellStyle name="Percent 3 6 2" xfId="36463" xr:uid="{00000000-0005-0000-0000-0000C7A90000}"/>
    <cellStyle name="Percent 3 6 2 2" xfId="36464" xr:uid="{00000000-0005-0000-0000-0000C8A90000}"/>
    <cellStyle name="Percent 3 6 2 2 2" xfId="36465" xr:uid="{00000000-0005-0000-0000-0000C9A90000}"/>
    <cellStyle name="Percent 3 6 2 2 2 2" xfId="42228" xr:uid="{00000000-0005-0000-0000-0000CAA90000}"/>
    <cellStyle name="Percent 3 6 2 2 3" xfId="36466" xr:uid="{00000000-0005-0000-0000-0000CBA90000}"/>
    <cellStyle name="Percent 3 6 2 3" xfId="36467" xr:uid="{00000000-0005-0000-0000-0000CCA90000}"/>
    <cellStyle name="Percent 3 6 2 3 2" xfId="36468" xr:uid="{00000000-0005-0000-0000-0000CDA90000}"/>
    <cellStyle name="Percent 3 6 2 3 2 2" xfId="42229" xr:uid="{00000000-0005-0000-0000-0000CEA90000}"/>
    <cellStyle name="Percent 3 6 2 3 3" xfId="36469" xr:uid="{00000000-0005-0000-0000-0000CFA90000}"/>
    <cellStyle name="Percent 3 6 2 4" xfId="36470" xr:uid="{00000000-0005-0000-0000-0000D0A90000}"/>
    <cellStyle name="Percent 3 6 2 4 2" xfId="42230" xr:uid="{00000000-0005-0000-0000-0000D1A90000}"/>
    <cellStyle name="Percent 3 6 2 5" xfId="36471" xr:uid="{00000000-0005-0000-0000-0000D2A90000}"/>
    <cellStyle name="Percent 3 6 3" xfId="36472" xr:uid="{00000000-0005-0000-0000-0000D3A90000}"/>
    <cellStyle name="Percent 3 6 3 2" xfId="36473" xr:uid="{00000000-0005-0000-0000-0000D4A90000}"/>
    <cellStyle name="Percent 3 6 3 2 2" xfId="42231" xr:uid="{00000000-0005-0000-0000-0000D5A90000}"/>
    <cellStyle name="Percent 3 6 3 3" xfId="36474" xr:uid="{00000000-0005-0000-0000-0000D6A90000}"/>
    <cellStyle name="Percent 3 6 4" xfId="36475" xr:uid="{00000000-0005-0000-0000-0000D7A90000}"/>
    <cellStyle name="Percent 3 6 4 2" xfId="36476" xr:uid="{00000000-0005-0000-0000-0000D8A90000}"/>
    <cellStyle name="Percent 3 6 4 2 2" xfId="42232" xr:uid="{00000000-0005-0000-0000-0000D9A90000}"/>
    <cellStyle name="Percent 3 6 4 3" xfId="36477" xr:uid="{00000000-0005-0000-0000-0000DAA90000}"/>
    <cellStyle name="Percent 3 6 5" xfId="36478" xr:uid="{00000000-0005-0000-0000-0000DBA90000}"/>
    <cellStyle name="Percent 3 6 5 2" xfId="42233" xr:uid="{00000000-0005-0000-0000-0000DCA90000}"/>
    <cellStyle name="Percent 3 6 6" xfId="36479" xr:uid="{00000000-0005-0000-0000-0000DDA90000}"/>
    <cellStyle name="Percent 3 6 7" xfId="46097" xr:uid="{00000000-0005-0000-0000-0000DEA90000}"/>
    <cellStyle name="Percent 3 7" xfId="36480" xr:uid="{00000000-0005-0000-0000-0000DFA90000}"/>
    <cellStyle name="Percent 3 7 2" xfId="36481" xr:uid="{00000000-0005-0000-0000-0000E0A90000}"/>
    <cellStyle name="Percent 3 7 2 2" xfId="36482" xr:uid="{00000000-0005-0000-0000-0000E1A90000}"/>
    <cellStyle name="Percent 3 7 2 2 2" xfId="42234" xr:uid="{00000000-0005-0000-0000-0000E2A90000}"/>
    <cellStyle name="Percent 3 7 2 3" xfId="36483" xr:uid="{00000000-0005-0000-0000-0000E3A90000}"/>
    <cellStyle name="Percent 3 7 3" xfId="36484" xr:uid="{00000000-0005-0000-0000-0000E4A90000}"/>
    <cellStyle name="Percent 3 7 3 2" xfId="36485" xr:uid="{00000000-0005-0000-0000-0000E5A90000}"/>
    <cellStyle name="Percent 3 7 3 2 2" xfId="42235" xr:uid="{00000000-0005-0000-0000-0000E6A90000}"/>
    <cellStyle name="Percent 3 7 3 3" xfId="36486" xr:uid="{00000000-0005-0000-0000-0000E7A90000}"/>
    <cellStyle name="Percent 3 7 4" xfId="36487" xr:uid="{00000000-0005-0000-0000-0000E8A90000}"/>
    <cellStyle name="Percent 3 7 4 2" xfId="42236" xr:uid="{00000000-0005-0000-0000-0000E9A90000}"/>
    <cellStyle name="Percent 3 7 5" xfId="36488" xr:uid="{00000000-0005-0000-0000-0000EAA90000}"/>
    <cellStyle name="Percent 3 7 6" xfId="36489" xr:uid="{00000000-0005-0000-0000-0000EBA90000}"/>
    <cellStyle name="Percent 3 7 7" xfId="44718" xr:uid="{00000000-0005-0000-0000-0000ECA90000}"/>
    <cellStyle name="Percent 3 8" xfId="36490" xr:uid="{00000000-0005-0000-0000-0000EDA90000}"/>
    <cellStyle name="Percent 3 8 2" xfId="36491" xr:uid="{00000000-0005-0000-0000-0000EEA90000}"/>
    <cellStyle name="Percent 3 8 2 2" xfId="42237" xr:uid="{00000000-0005-0000-0000-0000EFA90000}"/>
    <cellStyle name="Percent 3 8 3" xfId="36492" xr:uid="{00000000-0005-0000-0000-0000F0A90000}"/>
    <cellStyle name="Percent 3 9" xfId="36493" xr:uid="{00000000-0005-0000-0000-0000F1A90000}"/>
    <cellStyle name="Percent 3 9 2" xfId="36494" xr:uid="{00000000-0005-0000-0000-0000F2A90000}"/>
    <cellStyle name="Percent 3 9 2 2" xfId="42238" xr:uid="{00000000-0005-0000-0000-0000F3A90000}"/>
    <cellStyle name="Percent 3 9 3" xfId="36495" xr:uid="{00000000-0005-0000-0000-0000F4A90000}"/>
    <cellStyle name="Percent 4" xfId="57" xr:uid="{00000000-0005-0000-0000-0000F5A90000}"/>
    <cellStyle name="Percent 4 10" xfId="46098" xr:uid="{00000000-0005-0000-0000-0000F6A90000}"/>
    <cellStyle name="Percent 4 11" xfId="46275" xr:uid="{00000000-0005-0000-0000-0000F7A90000}"/>
    <cellStyle name="Percent 4 12" xfId="46276" xr:uid="{00000000-0005-0000-0000-0000F8A90000}"/>
    <cellStyle name="Percent 4 2" xfId="58" xr:uid="{00000000-0005-0000-0000-0000F9A90000}"/>
    <cellStyle name="Percent 4 2 2" xfId="637" xr:uid="{00000000-0005-0000-0000-0000FAA90000}"/>
    <cellStyle name="Percent 4 2 2 2" xfId="36496" xr:uid="{00000000-0005-0000-0000-0000FBA90000}"/>
    <cellStyle name="Percent 4 2 3" xfId="36497" xr:uid="{00000000-0005-0000-0000-0000FCA90000}"/>
    <cellStyle name="Percent 4 2 4" xfId="42239" xr:uid="{00000000-0005-0000-0000-0000FDA90000}"/>
    <cellStyle name="Percent 4 2 5" xfId="42488" xr:uid="{00000000-0005-0000-0000-0000FEA90000}"/>
    <cellStyle name="Percent 4 2 6" xfId="46099" xr:uid="{00000000-0005-0000-0000-0000FFA90000}"/>
    <cellStyle name="Percent 4 2 7" xfId="46277" xr:uid="{00000000-0005-0000-0000-000000AA0000}"/>
    <cellStyle name="Percent 4 3" xfId="85" xr:uid="{00000000-0005-0000-0000-000001AA0000}"/>
    <cellStyle name="Percent 4 3 2" xfId="2295" xr:uid="{00000000-0005-0000-0000-000002AA0000}"/>
    <cellStyle name="Percent 4 3 2 2" xfId="36498" xr:uid="{00000000-0005-0000-0000-000003AA0000}"/>
    <cellStyle name="Percent 4 3 3" xfId="36499" xr:uid="{00000000-0005-0000-0000-000004AA0000}"/>
    <cellStyle name="Percent 4 3 4" xfId="42240" xr:uid="{00000000-0005-0000-0000-000005AA0000}"/>
    <cellStyle name="Percent 4 4" xfId="571" xr:uid="{00000000-0005-0000-0000-000006AA0000}"/>
    <cellStyle name="Percent 4 4 2" xfId="2296" xr:uid="{00000000-0005-0000-0000-000007AA0000}"/>
    <cellStyle name="Percent 4 4 2 2" xfId="2297" xr:uid="{00000000-0005-0000-0000-000008AA0000}"/>
    <cellStyle name="Percent 4 4 2 2 2" xfId="42241" xr:uid="{00000000-0005-0000-0000-000009AA0000}"/>
    <cellStyle name="Percent 4 4 2 3" xfId="36500" xr:uid="{00000000-0005-0000-0000-00000AAA0000}"/>
    <cellStyle name="Percent 4 4 2 4" xfId="46278" xr:uid="{00000000-0005-0000-0000-00000BAA0000}"/>
    <cellStyle name="Percent 4 4 3" xfId="36501" xr:uid="{00000000-0005-0000-0000-00000CAA0000}"/>
    <cellStyle name="Percent 4 4 3 2" xfId="36502" xr:uid="{00000000-0005-0000-0000-00000DAA0000}"/>
    <cellStyle name="Percent 4 4 3 3" xfId="44719" xr:uid="{00000000-0005-0000-0000-00000EAA0000}"/>
    <cellStyle name="Percent 4 4 4" xfId="42242" xr:uid="{00000000-0005-0000-0000-00000FAA0000}"/>
    <cellStyle name="Percent 4 4 5" xfId="42243" xr:uid="{00000000-0005-0000-0000-000010AA0000}"/>
    <cellStyle name="Percent 4 4 6" xfId="44720" xr:uid="{00000000-0005-0000-0000-000011AA0000}"/>
    <cellStyle name="Percent 4 5" xfId="2601" xr:uid="{00000000-0005-0000-0000-000012AA0000}"/>
    <cellStyle name="Percent 4 5 2" xfId="36503" xr:uid="{00000000-0005-0000-0000-000013AA0000}"/>
    <cellStyle name="Percent 4 5 3" xfId="42487" xr:uid="{00000000-0005-0000-0000-000014AA0000}"/>
    <cellStyle name="Percent 4 5 4" xfId="46100" xr:uid="{00000000-0005-0000-0000-000015AA0000}"/>
    <cellStyle name="Percent 4 6" xfId="36504" xr:uid="{00000000-0005-0000-0000-000016AA0000}"/>
    <cellStyle name="Percent 4 6 2" xfId="36505" xr:uid="{00000000-0005-0000-0000-000017AA0000}"/>
    <cellStyle name="Percent 4 6 3" xfId="44721" xr:uid="{00000000-0005-0000-0000-000018AA0000}"/>
    <cellStyle name="Percent 4 7" xfId="36506" xr:uid="{00000000-0005-0000-0000-000019AA0000}"/>
    <cellStyle name="Percent 4 8" xfId="42244" xr:uid="{00000000-0005-0000-0000-00001AAA0000}"/>
    <cellStyle name="Percent 4 9" xfId="43874" xr:uid="{00000000-0005-0000-0000-00001BAA0000}"/>
    <cellStyle name="Percent 4_31000" xfId="36507" xr:uid="{00000000-0005-0000-0000-00001CAA0000}"/>
    <cellStyle name="Percent 5" xfId="11" xr:uid="{00000000-0005-0000-0000-00001DAA0000}"/>
    <cellStyle name="Percent 5 10" xfId="42245" xr:uid="{00000000-0005-0000-0000-00001EAA0000}"/>
    <cellStyle name="Percent 5 11" xfId="42246" xr:uid="{00000000-0005-0000-0000-00001FAA0000}"/>
    <cellStyle name="Percent 5 12" xfId="46101" xr:uid="{00000000-0005-0000-0000-000020AA0000}"/>
    <cellStyle name="Percent 5 13" xfId="46279" xr:uid="{00000000-0005-0000-0000-000021AA0000}"/>
    <cellStyle name="Percent 5 14" xfId="46311" xr:uid="{00000000-0005-0000-0000-000022AA0000}"/>
    <cellStyle name="Percent 5 2" xfId="59" xr:uid="{00000000-0005-0000-0000-000023AA0000}"/>
    <cellStyle name="Percent 5 2 10" xfId="42525" xr:uid="{00000000-0005-0000-0000-000024AA0000}"/>
    <cellStyle name="Percent 5 2 2" xfId="572" xr:uid="{00000000-0005-0000-0000-000025AA0000}"/>
    <cellStyle name="Percent 5 2 2 2" xfId="2298" xr:uid="{00000000-0005-0000-0000-000026AA0000}"/>
    <cellStyle name="Percent 5 2 2 2 2" xfId="36508" xr:uid="{00000000-0005-0000-0000-000027AA0000}"/>
    <cellStyle name="Percent 5 2 2 2 2 2" xfId="36509" xr:uid="{00000000-0005-0000-0000-000028AA0000}"/>
    <cellStyle name="Percent 5 2 2 2 2 2 2" xfId="36510" xr:uid="{00000000-0005-0000-0000-000029AA0000}"/>
    <cellStyle name="Percent 5 2 2 2 2 2 2 2" xfId="42247" xr:uid="{00000000-0005-0000-0000-00002AAA0000}"/>
    <cellStyle name="Percent 5 2 2 2 2 2 3" xfId="36511" xr:uid="{00000000-0005-0000-0000-00002BAA0000}"/>
    <cellStyle name="Percent 5 2 2 2 2 3" xfId="36512" xr:uid="{00000000-0005-0000-0000-00002CAA0000}"/>
    <cellStyle name="Percent 5 2 2 2 2 3 2" xfId="36513" xr:uid="{00000000-0005-0000-0000-00002DAA0000}"/>
    <cellStyle name="Percent 5 2 2 2 2 3 2 2" xfId="42248" xr:uid="{00000000-0005-0000-0000-00002EAA0000}"/>
    <cellStyle name="Percent 5 2 2 2 2 3 3" xfId="36514" xr:uid="{00000000-0005-0000-0000-00002FAA0000}"/>
    <cellStyle name="Percent 5 2 2 2 2 4" xfId="36515" xr:uid="{00000000-0005-0000-0000-000030AA0000}"/>
    <cellStyle name="Percent 5 2 2 2 2 4 2" xfId="42249" xr:uid="{00000000-0005-0000-0000-000031AA0000}"/>
    <cellStyle name="Percent 5 2 2 2 2 5" xfId="36516" xr:uid="{00000000-0005-0000-0000-000032AA0000}"/>
    <cellStyle name="Percent 5 2 2 2 3" xfId="36517" xr:uid="{00000000-0005-0000-0000-000033AA0000}"/>
    <cellStyle name="Percent 5 2 2 2 3 2" xfId="36518" xr:uid="{00000000-0005-0000-0000-000034AA0000}"/>
    <cellStyle name="Percent 5 2 2 2 3 2 2" xfId="42250" xr:uid="{00000000-0005-0000-0000-000035AA0000}"/>
    <cellStyle name="Percent 5 2 2 2 3 3" xfId="36519" xr:uid="{00000000-0005-0000-0000-000036AA0000}"/>
    <cellStyle name="Percent 5 2 2 2 4" xfId="36520" xr:uid="{00000000-0005-0000-0000-000037AA0000}"/>
    <cellStyle name="Percent 5 2 2 2 4 2" xfId="36521" xr:uid="{00000000-0005-0000-0000-000038AA0000}"/>
    <cellStyle name="Percent 5 2 2 2 4 2 2" xfId="42251" xr:uid="{00000000-0005-0000-0000-000039AA0000}"/>
    <cellStyle name="Percent 5 2 2 2 4 3" xfId="36522" xr:uid="{00000000-0005-0000-0000-00003AAA0000}"/>
    <cellStyle name="Percent 5 2 2 2 5" xfId="36523" xr:uid="{00000000-0005-0000-0000-00003BAA0000}"/>
    <cellStyle name="Percent 5 2 2 2 5 2" xfId="42252" xr:uid="{00000000-0005-0000-0000-00003CAA0000}"/>
    <cellStyle name="Percent 5 2 2 2 6" xfId="36524" xr:uid="{00000000-0005-0000-0000-00003DAA0000}"/>
    <cellStyle name="Percent 5 2 2 2 7" xfId="46102" xr:uid="{00000000-0005-0000-0000-00003EAA0000}"/>
    <cellStyle name="Percent 5 2 2 3" xfId="36525" xr:uid="{00000000-0005-0000-0000-00003FAA0000}"/>
    <cellStyle name="Percent 5 2 2 3 2" xfId="36526" xr:uid="{00000000-0005-0000-0000-000040AA0000}"/>
    <cellStyle name="Percent 5 2 2 3 2 2" xfId="36527" xr:uid="{00000000-0005-0000-0000-000041AA0000}"/>
    <cellStyle name="Percent 5 2 2 3 2 2 2" xfId="42253" xr:uid="{00000000-0005-0000-0000-000042AA0000}"/>
    <cellStyle name="Percent 5 2 2 3 2 3" xfId="36528" xr:uid="{00000000-0005-0000-0000-000043AA0000}"/>
    <cellStyle name="Percent 5 2 2 3 3" xfId="36529" xr:uid="{00000000-0005-0000-0000-000044AA0000}"/>
    <cellStyle name="Percent 5 2 2 3 3 2" xfId="36530" xr:uid="{00000000-0005-0000-0000-000045AA0000}"/>
    <cellStyle name="Percent 5 2 2 3 3 2 2" xfId="42254" xr:uid="{00000000-0005-0000-0000-000046AA0000}"/>
    <cellStyle name="Percent 5 2 2 3 3 3" xfId="36531" xr:uid="{00000000-0005-0000-0000-000047AA0000}"/>
    <cellStyle name="Percent 5 2 2 3 4" xfId="36532" xr:uid="{00000000-0005-0000-0000-000048AA0000}"/>
    <cellStyle name="Percent 5 2 2 3 4 2" xfId="42255" xr:uid="{00000000-0005-0000-0000-000049AA0000}"/>
    <cellStyle name="Percent 5 2 2 3 5" xfId="36533" xr:uid="{00000000-0005-0000-0000-00004AAA0000}"/>
    <cellStyle name="Percent 5 2 2 4" xfId="36534" xr:uid="{00000000-0005-0000-0000-00004BAA0000}"/>
    <cellStyle name="Percent 5 2 2 4 2" xfId="36535" xr:uid="{00000000-0005-0000-0000-00004CAA0000}"/>
    <cellStyle name="Percent 5 2 2 4 2 2" xfId="42256" xr:uid="{00000000-0005-0000-0000-00004DAA0000}"/>
    <cellStyle name="Percent 5 2 2 4 3" xfId="36536" xr:uid="{00000000-0005-0000-0000-00004EAA0000}"/>
    <cellStyle name="Percent 5 2 2 5" xfId="36537" xr:uid="{00000000-0005-0000-0000-00004FAA0000}"/>
    <cellStyle name="Percent 5 2 2 5 2" xfId="36538" xr:uid="{00000000-0005-0000-0000-000050AA0000}"/>
    <cellStyle name="Percent 5 2 2 5 2 2" xfId="42257" xr:uid="{00000000-0005-0000-0000-000051AA0000}"/>
    <cellStyle name="Percent 5 2 2 5 3" xfId="36539" xr:uid="{00000000-0005-0000-0000-000052AA0000}"/>
    <cellStyle name="Percent 5 2 2 6" xfId="36540" xr:uid="{00000000-0005-0000-0000-000053AA0000}"/>
    <cellStyle name="Percent 5 2 2 6 2" xfId="42258" xr:uid="{00000000-0005-0000-0000-000054AA0000}"/>
    <cellStyle name="Percent 5 2 2 7" xfId="36541" xr:uid="{00000000-0005-0000-0000-000055AA0000}"/>
    <cellStyle name="Percent 5 2 2 8" xfId="46103" xr:uid="{00000000-0005-0000-0000-000056AA0000}"/>
    <cellStyle name="Percent 5 2 3" xfId="2299" xr:uid="{00000000-0005-0000-0000-000057AA0000}"/>
    <cellStyle name="Percent 5 2 3 2" xfId="36542" xr:uid="{00000000-0005-0000-0000-000058AA0000}"/>
    <cellStyle name="Percent 5 2 3 2 2" xfId="36543" xr:uid="{00000000-0005-0000-0000-000059AA0000}"/>
    <cellStyle name="Percent 5 2 3 2 2 2" xfId="36544" xr:uid="{00000000-0005-0000-0000-00005AAA0000}"/>
    <cellStyle name="Percent 5 2 3 2 2 2 2" xfId="42259" xr:uid="{00000000-0005-0000-0000-00005BAA0000}"/>
    <cellStyle name="Percent 5 2 3 2 2 3" xfId="36545" xr:uid="{00000000-0005-0000-0000-00005CAA0000}"/>
    <cellStyle name="Percent 5 2 3 2 3" xfId="36546" xr:uid="{00000000-0005-0000-0000-00005DAA0000}"/>
    <cellStyle name="Percent 5 2 3 2 3 2" xfId="36547" xr:uid="{00000000-0005-0000-0000-00005EAA0000}"/>
    <cellStyle name="Percent 5 2 3 2 3 2 2" xfId="42260" xr:uid="{00000000-0005-0000-0000-00005FAA0000}"/>
    <cellStyle name="Percent 5 2 3 2 3 3" xfId="36548" xr:uid="{00000000-0005-0000-0000-000060AA0000}"/>
    <cellStyle name="Percent 5 2 3 2 4" xfId="36549" xr:uid="{00000000-0005-0000-0000-000061AA0000}"/>
    <cellStyle name="Percent 5 2 3 2 4 2" xfId="42261" xr:uid="{00000000-0005-0000-0000-000062AA0000}"/>
    <cellStyle name="Percent 5 2 3 2 5" xfId="36550" xr:uid="{00000000-0005-0000-0000-000063AA0000}"/>
    <cellStyle name="Percent 5 2 3 3" xfId="36551" xr:uid="{00000000-0005-0000-0000-000064AA0000}"/>
    <cellStyle name="Percent 5 2 3 3 2" xfId="36552" xr:uid="{00000000-0005-0000-0000-000065AA0000}"/>
    <cellStyle name="Percent 5 2 3 3 2 2" xfId="42262" xr:uid="{00000000-0005-0000-0000-000066AA0000}"/>
    <cellStyle name="Percent 5 2 3 3 3" xfId="36553" xr:uid="{00000000-0005-0000-0000-000067AA0000}"/>
    <cellStyle name="Percent 5 2 3 4" xfId="36554" xr:uid="{00000000-0005-0000-0000-000068AA0000}"/>
    <cellStyle name="Percent 5 2 3 4 2" xfId="36555" xr:uid="{00000000-0005-0000-0000-000069AA0000}"/>
    <cellStyle name="Percent 5 2 3 4 2 2" xfId="42263" xr:uid="{00000000-0005-0000-0000-00006AAA0000}"/>
    <cellStyle name="Percent 5 2 3 4 3" xfId="36556" xr:uid="{00000000-0005-0000-0000-00006BAA0000}"/>
    <cellStyle name="Percent 5 2 3 5" xfId="36557" xr:uid="{00000000-0005-0000-0000-00006CAA0000}"/>
    <cellStyle name="Percent 5 2 3 5 2" xfId="42264" xr:uid="{00000000-0005-0000-0000-00006DAA0000}"/>
    <cellStyle name="Percent 5 2 3 6" xfId="36558" xr:uid="{00000000-0005-0000-0000-00006EAA0000}"/>
    <cellStyle name="Percent 5 2 3 7" xfId="46104" xr:uid="{00000000-0005-0000-0000-00006FAA0000}"/>
    <cellStyle name="Percent 5 2 4" xfId="36559" xr:uid="{00000000-0005-0000-0000-000070AA0000}"/>
    <cellStyle name="Percent 5 2 4 2" xfId="36560" xr:uid="{00000000-0005-0000-0000-000071AA0000}"/>
    <cellStyle name="Percent 5 2 4 2 2" xfId="36561" xr:uid="{00000000-0005-0000-0000-000072AA0000}"/>
    <cellStyle name="Percent 5 2 4 2 2 2" xfId="42265" xr:uid="{00000000-0005-0000-0000-000073AA0000}"/>
    <cellStyle name="Percent 5 2 4 2 3" xfId="36562" xr:uid="{00000000-0005-0000-0000-000074AA0000}"/>
    <cellStyle name="Percent 5 2 4 3" xfId="36563" xr:uid="{00000000-0005-0000-0000-000075AA0000}"/>
    <cellStyle name="Percent 5 2 4 3 2" xfId="36564" xr:uid="{00000000-0005-0000-0000-000076AA0000}"/>
    <cellStyle name="Percent 5 2 4 3 2 2" xfId="42266" xr:uid="{00000000-0005-0000-0000-000077AA0000}"/>
    <cellStyle name="Percent 5 2 4 3 3" xfId="36565" xr:uid="{00000000-0005-0000-0000-000078AA0000}"/>
    <cellStyle name="Percent 5 2 4 4" xfId="36566" xr:uid="{00000000-0005-0000-0000-000079AA0000}"/>
    <cellStyle name="Percent 5 2 4 4 2" xfId="42267" xr:uid="{00000000-0005-0000-0000-00007AAA0000}"/>
    <cellStyle name="Percent 5 2 4 5" xfId="36567" xr:uid="{00000000-0005-0000-0000-00007BAA0000}"/>
    <cellStyle name="Percent 5 2 5" xfId="36568" xr:uid="{00000000-0005-0000-0000-00007CAA0000}"/>
    <cellStyle name="Percent 5 2 5 2" xfId="36569" xr:uid="{00000000-0005-0000-0000-00007DAA0000}"/>
    <cellStyle name="Percent 5 2 5 2 2" xfId="42268" xr:uid="{00000000-0005-0000-0000-00007EAA0000}"/>
    <cellStyle name="Percent 5 2 5 3" xfId="36570" xr:uid="{00000000-0005-0000-0000-00007FAA0000}"/>
    <cellStyle name="Percent 5 2 6" xfId="36571" xr:uid="{00000000-0005-0000-0000-000080AA0000}"/>
    <cellStyle name="Percent 5 2 6 2" xfId="36572" xr:uid="{00000000-0005-0000-0000-000081AA0000}"/>
    <cellStyle name="Percent 5 2 6 2 2" xfId="42269" xr:uid="{00000000-0005-0000-0000-000082AA0000}"/>
    <cellStyle name="Percent 5 2 6 3" xfId="36573" xr:uid="{00000000-0005-0000-0000-000083AA0000}"/>
    <cellStyle name="Percent 5 2 7" xfId="36574" xr:uid="{00000000-0005-0000-0000-000084AA0000}"/>
    <cellStyle name="Percent 5 2 7 2" xfId="42270" xr:uid="{00000000-0005-0000-0000-000085AA0000}"/>
    <cellStyle name="Percent 5 2 8" xfId="36575" xr:uid="{00000000-0005-0000-0000-000086AA0000}"/>
    <cellStyle name="Percent 5 2 9" xfId="42271" xr:uid="{00000000-0005-0000-0000-000087AA0000}"/>
    <cellStyle name="Percent 5 3" xfId="573" xr:uid="{00000000-0005-0000-0000-000088AA0000}"/>
    <cellStyle name="Percent 5 3 2" xfId="2300" xr:uid="{00000000-0005-0000-0000-000089AA0000}"/>
    <cellStyle name="Percent 5 3 2 2" xfId="36576" xr:uid="{00000000-0005-0000-0000-00008AAA0000}"/>
    <cellStyle name="Percent 5 3 2 2 2" xfId="36577" xr:uid="{00000000-0005-0000-0000-00008BAA0000}"/>
    <cellStyle name="Percent 5 3 2 2 2 2" xfId="36578" xr:uid="{00000000-0005-0000-0000-00008CAA0000}"/>
    <cellStyle name="Percent 5 3 2 2 2 2 2" xfId="42272" xr:uid="{00000000-0005-0000-0000-00008DAA0000}"/>
    <cellStyle name="Percent 5 3 2 2 2 3" xfId="36579" xr:uid="{00000000-0005-0000-0000-00008EAA0000}"/>
    <cellStyle name="Percent 5 3 2 2 3" xfId="36580" xr:uid="{00000000-0005-0000-0000-00008FAA0000}"/>
    <cellStyle name="Percent 5 3 2 2 3 2" xfId="36581" xr:uid="{00000000-0005-0000-0000-000090AA0000}"/>
    <cellStyle name="Percent 5 3 2 2 3 2 2" xfId="42273" xr:uid="{00000000-0005-0000-0000-000091AA0000}"/>
    <cellStyle name="Percent 5 3 2 2 3 3" xfId="36582" xr:uid="{00000000-0005-0000-0000-000092AA0000}"/>
    <cellStyle name="Percent 5 3 2 2 4" xfId="36583" xr:uid="{00000000-0005-0000-0000-000093AA0000}"/>
    <cellStyle name="Percent 5 3 2 2 4 2" xfId="42274" xr:uid="{00000000-0005-0000-0000-000094AA0000}"/>
    <cellStyle name="Percent 5 3 2 2 5" xfId="36584" xr:uid="{00000000-0005-0000-0000-000095AA0000}"/>
    <cellStyle name="Percent 5 3 2 3" xfId="36585" xr:uid="{00000000-0005-0000-0000-000096AA0000}"/>
    <cellStyle name="Percent 5 3 2 3 2" xfId="36586" xr:uid="{00000000-0005-0000-0000-000097AA0000}"/>
    <cellStyle name="Percent 5 3 2 3 2 2" xfId="42275" xr:uid="{00000000-0005-0000-0000-000098AA0000}"/>
    <cellStyle name="Percent 5 3 2 3 3" xfId="36587" xr:uid="{00000000-0005-0000-0000-000099AA0000}"/>
    <cellStyle name="Percent 5 3 2 4" xfId="36588" xr:uid="{00000000-0005-0000-0000-00009AAA0000}"/>
    <cellStyle name="Percent 5 3 2 4 2" xfId="36589" xr:uid="{00000000-0005-0000-0000-00009BAA0000}"/>
    <cellStyle name="Percent 5 3 2 4 2 2" xfId="42276" xr:uid="{00000000-0005-0000-0000-00009CAA0000}"/>
    <cellStyle name="Percent 5 3 2 4 3" xfId="36590" xr:uid="{00000000-0005-0000-0000-00009DAA0000}"/>
    <cellStyle name="Percent 5 3 2 5" xfId="36591" xr:uid="{00000000-0005-0000-0000-00009EAA0000}"/>
    <cellStyle name="Percent 5 3 2 5 2" xfId="42277" xr:uid="{00000000-0005-0000-0000-00009FAA0000}"/>
    <cellStyle name="Percent 5 3 2 6" xfId="36592" xr:uid="{00000000-0005-0000-0000-0000A0AA0000}"/>
    <cellStyle name="Percent 5 3 2 7" xfId="46105" xr:uid="{00000000-0005-0000-0000-0000A1AA0000}"/>
    <cellStyle name="Percent 5 3 3" xfId="36593" xr:uid="{00000000-0005-0000-0000-0000A2AA0000}"/>
    <cellStyle name="Percent 5 3 3 2" xfId="36594" xr:uid="{00000000-0005-0000-0000-0000A3AA0000}"/>
    <cellStyle name="Percent 5 3 3 2 2" xfId="36595" xr:uid="{00000000-0005-0000-0000-0000A4AA0000}"/>
    <cellStyle name="Percent 5 3 3 2 2 2" xfId="42278" xr:uid="{00000000-0005-0000-0000-0000A5AA0000}"/>
    <cellStyle name="Percent 5 3 3 2 3" xfId="36596" xr:uid="{00000000-0005-0000-0000-0000A6AA0000}"/>
    <cellStyle name="Percent 5 3 3 3" xfId="36597" xr:uid="{00000000-0005-0000-0000-0000A7AA0000}"/>
    <cellStyle name="Percent 5 3 3 3 2" xfId="36598" xr:uid="{00000000-0005-0000-0000-0000A8AA0000}"/>
    <cellStyle name="Percent 5 3 3 3 2 2" xfId="42279" xr:uid="{00000000-0005-0000-0000-0000A9AA0000}"/>
    <cellStyle name="Percent 5 3 3 3 3" xfId="36599" xr:uid="{00000000-0005-0000-0000-0000AAAA0000}"/>
    <cellStyle name="Percent 5 3 3 4" xfId="36600" xr:uid="{00000000-0005-0000-0000-0000ABAA0000}"/>
    <cellStyle name="Percent 5 3 3 4 2" xfId="42280" xr:uid="{00000000-0005-0000-0000-0000ACAA0000}"/>
    <cellStyle name="Percent 5 3 3 5" xfId="36601" xr:uid="{00000000-0005-0000-0000-0000ADAA0000}"/>
    <cellStyle name="Percent 5 3 4" xfId="36602" xr:uid="{00000000-0005-0000-0000-0000AEAA0000}"/>
    <cellStyle name="Percent 5 3 4 2" xfId="36603" xr:uid="{00000000-0005-0000-0000-0000AFAA0000}"/>
    <cellStyle name="Percent 5 3 4 2 2" xfId="42281" xr:uid="{00000000-0005-0000-0000-0000B0AA0000}"/>
    <cellStyle name="Percent 5 3 4 3" xfId="36604" xr:uid="{00000000-0005-0000-0000-0000B1AA0000}"/>
    <cellStyle name="Percent 5 3 5" xfId="36605" xr:uid="{00000000-0005-0000-0000-0000B2AA0000}"/>
    <cellStyle name="Percent 5 3 5 2" xfId="36606" xr:uid="{00000000-0005-0000-0000-0000B3AA0000}"/>
    <cellStyle name="Percent 5 3 5 2 2" xfId="42282" xr:uid="{00000000-0005-0000-0000-0000B4AA0000}"/>
    <cellStyle name="Percent 5 3 5 3" xfId="36607" xr:uid="{00000000-0005-0000-0000-0000B5AA0000}"/>
    <cellStyle name="Percent 5 3 6" xfId="36608" xr:uid="{00000000-0005-0000-0000-0000B6AA0000}"/>
    <cellStyle name="Percent 5 3 6 2" xfId="42283" xr:uid="{00000000-0005-0000-0000-0000B7AA0000}"/>
    <cellStyle name="Percent 5 3 7" xfId="36609" xr:uid="{00000000-0005-0000-0000-0000B8AA0000}"/>
    <cellStyle name="Percent 5 3 8" xfId="46106" xr:uid="{00000000-0005-0000-0000-0000B9AA0000}"/>
    <cellStyle name="Percent 5 4" xfId="574" xr:uid="{00000000-0005-0000-0000-0000BAAA0000}"/>
    <cellStyle name="Percent 5 4 2" xfId="2301" xr:uid="{00000000-0005-0000-0000-0000BBAA0000}"/>
    <cellStyle name="Percent 5 4 2 2" xfId="36610" xr:uid="{00000000-0005-0000-0000-0000BCAA0000}"/>
    <cellStyle name="Percent 5 4 2 2 2" xfId="36611" xr:uid="{00000000-0005-0000-0000-0000BDAA0000}"/>
    <cellStyle name="Percent 5 4 2 2 2 2" xfId="42284" xr:uid="{00000000-0005-0000-0000-0000BEAA0000}"/>
    <cellStyle name="Percent 5 4 2 2 3" xfId="36612" xr:uid="{00000000-0005-0000-0000-0000BFAA0000}"/>
    <cellStyle name="Percent 5 4 2 3" xfId="36613" xr:uid="{00000000-0005-0000-0000-0000C0AA0000}"/>
    <cellStyle name="Percent 5 4 2 3 2" xfId="36614" xr:uid="{00000000-0005-0000-0000-0000C1AA0000}"/>
    <cellStyle name="Percent 5 4 2 3 2 2" xfId="42285" xr:uid="{00000000-0005-0000-0000-0000C2AA0000}"/>
    <cellStyle name="Percent 5 4 2 3 3" xfId="36615" xr:uid="{00000000-0005-0000-0000-0000C3AA0000}"/>
    <cellStyle name="Percent 5 4 2 4" xfId="36616" xr:uid="{00000000-0005-0000-0000-0000C4AA0000}"/>
    <cellStyle name="Percent 5 4 2 4 2" xfId="42286" xr:uid="{00000000-0005-0000-0000-0000C5AA0000}"/>
    <cellStyle name="Percent 5 4 2 5" xfId="36617" xr:uid="{00000000-0005-0000-0000-0000C6AA0000}"/>
    <cellStyle name="Percent 5 4 2 6" xfId="46107" xr:uid="{00000000-0005-0000-0000-0000C7AA0000}"/>
    <cellStyle name="Percent 5 4 3" xfId="36618" xr:uid="{00000000-0005-0000-0000-0000C8AA0000}"/>
    <cellStyle name="Percent 5 4 3 2" xfId="36619" xr:uid="{00000000-0005-0000-0000-0000C9AA0000}"/>
    <cellStyle name="Percent 5 4 3 2 2" xfId="42287" xr:uid="{00000000-0005-0000-0000-0000CAAA0000}"/>
    <cellStyle name="Percent 5 4 3 3" xfId="36620" xr:uid="{00000000-0005-0000-0000-0000CBAA0000}"/>
    <cellStyle name="Percent 5 4 3 4" xfId="36621" xr:uid="{00000000-0005-0000-0000-0000CCAA0000}"/>
    <cellStyle name="Percent 5 4 3 5" xfId="44722" xr:uid="{00000000-0005-0000-0000-0000CDAA0000}"/>
    <cellStyle name="Percent 5 4 4" xfId="36622" xr:uid="{00000000-0005-0000-0000-0000CEAA0000}"/>
    <cellStyle name="Percent 5 4 4 2" xfId="36623" xr:uid="{00000000-0005-0000-0000-0000CFAA0000}"/>
    <cellStyle name="Percent 5 4 4 2 2" xfId="42288" xr:uid="{00000000-0005-0000-0000-0000D0AA0000}"/>
    <cellStyle name="Percent 5 4 4 3" xfId="36624" xr:uid="{00000000-0005-0000-0000-0000D1AA0000}"/>
    <cellStyle name="Percent 5 4 5" xfId="36625" xr:uid="{00000000-0005-0000-0000-0000D2AA0000}"/>
    <cellStyle name="Percent 5 4 5 2" xfId="42289" xr:uid="{00000000-0005-0000-0000-0000D3AA0000}"/>
    <cellStyle name="Percent 5 4 6" xfId="36626" xr:uid="{00000000-0005-0000-0000-0000D4AA0000}"/>
    <cellStyle name="Percent 5 5" xfId="638" xr:uid="{00000000-0005-0000-0000-0000D5AA0000}"/>
    <cellStyle name="Percent 5 5 2" xfId="36627" xr:uid="{00000000-0005-0000-0000-0000D6AA0000}"/>
    <cellStyle name="Percent 5 5 2 2" xfId="36628" xr:uid="{00000000-0005-0000-0000-0000D7AA0000}"/>
    <cellStyle name="Percent 5 5 2 2 2" xfId="42290" xr:uid="{00000000-0005-0000-0000-0000D8AA0000}"/>
    <cellStyle name="Percent 5 5 2 3" xfId="36629" xr:uid="{00000000-0005-0000-0000-0000D9AA0000}"/>
    <cellStyle name="Percent 5 5 2 4" xfId="36630" xr:uid="{00000000-0005-0000-0000-0000DAAA0000}"/>
    <cellStyle name="Percent 5 5 2 5" xfId="44723" xr:uid="{00000000-0005-0000-0000-0000DBAA0000}"/>
    <cellStyle name="Percent 5 5 3" xfId="36631" xr:uid="{00000000-0005-0000-0000-0000DCAA0000}"/>
    <cellStyle name="Percent 5 5 3 2" xfId="36632" xr:uid="{00000000-0005-0000-0000-0000DDAA0000}"/>
    <cellStyle name="Percent 5 5 3 2 2" xfId="42291" xr:uid="{00000000-0005-0000-0000-0000DEAA0000}"/>
    <cellStyle name="Percent 5 5 3 3" xfId="36633" xr:uid="{00000000-0005-0000-0000-0000DFAA0000}"/>
    <cellStyle name="Percent 5 5 4" xfId="36634" xr:uid="{00000000-0005-0000-0000-0000E0AA0000}"/>
    <cellStyle name="Percent 5 5 4 2" xfId="42292" xr:uid="{00000000-0005-0000-0000-0000E1AA0000}"/>
    <cellStyle name="Percent 5 5 5" xfId="36635" xr:uid="{00000000-0005-0000-0000-0000E2AA0000}"/>
    <cellStyle name="Percent 5 5 6" xfId="42489" xr:uid="{00000000-0005-0000-0000-0000E3AA0000}"/>
    <cellStyle name="Percent 5 5 7" xfId="46108" xr:uid="{00000000-0005-0000-0000-0000E4AA0000}"/>
    <cellStyle name="Percent 5 6" xfId="2602" xr:uid="{00000000-0005-0000-0000-0000E5AA0000}"/>
    <cellStyle name="Percent 5 6 2" xfId="36636" xr:uid="{00000000-0005-0000-0000-0000E6AA0000}"/>
    <cellStyle name="Percent 5 6 2 2" xfId="42293" xr:uid="{00000000-0005-0000-0000-0000E7AA0000}"/>
    <cellStyle name="Percent 5 6 3" xfId="36637" xr:uid="{00000000-0005-0000-0000-0000E8AA0000}"/>
    <cellStyle name="Percent 5 7" xfId="36638" xr:uid="{00000000-0005-0000-0000-0000E9AA0000}"/>
    <cellStyle name="Percent 5 7 2" xfId="36639" xr:uid="{00000000-0005-0000-0000-0000EAAA0000}"/>
    <cellStyle name="Percent 5 7 2 2" xfId="42294" xr:uid="{00000000-0005-0000-0000-0000EBAA0000}"/>
    <cellStyle name="Percent 5 7 3" xfId="36640" xr:uid="{00000000-0005-0000-0000-0000ECAA0000}"/>
    <cellStyle name="Percent 5 8" xfId="36641" xr:uid="{00000000-0005-0000-0000-0000EDAA0000}"/>
    <cellStyle name="Percent 5 8 2" xfId="42295" xr:uid="{00000000-0005-0000-0000-0000EEAA0000}"/>
    <cellStyle name="Percent 5 9" xfId="36642" xr:uid="{00000000-0005-0000-0000-0000EFAA0000}"/>
    <cellStyle name="Percent 6" xfId="60" xr:uid="{00000000-0005-0000-0000-0000F0AA0000}"/>
    <cellStyle name="Percent 6 10" xfId="46109" xr:uid="{00000000-0005-0000-0000-0000F1AA0000}"/>
    <cellStyle name="Percent 6 11" xfId="46280" xr:uid="{00000000-0005-0000-0000-0000F2AA0000}"/>
    <cellStyle name="Percent 6 12" xfId="46281" xr:uid="{00000000-0005-0000-0000-0000F3AA0000}"/>
    <cellStyle name="Percent 6 2" xfId="575" xr:uid="{00000000-0005-0000-0000-0000F4AA0000}"/>
    <cellStyle name="Percent 6 2 2" xfId="2302" xr:uid="{00000000-0005-0000-0000-0000F5AA0000}"/>
    <cellStyle name="Percent 6 2 2 2" xfId="36643" xr:uid="{00000000-0005-0000-0000-0000F6AA0000}"/>
    <cellStyle name="Percent 6 2 2 2 2" xfId="36644" xr:uid="{00000000-0005-0000-0000-0000F7AA0000}"/>
    <cellStyle name="Percent 6 2 2 2 2 2" xfId="36645" xr:uid="{00000000-0005-0000-0000-0000F8AA0000}"/>
    <cellStyle name="Percent 6 2 2 2 2 2 2" xfId="42296" xr:uid="{00000000-0005-0000-0000-0000F9AA0000}"/>
    <cellStyle name="Percent 6 2 2 2 2 3" xfId="36646" xr:uid="{00000000-0005-0000-0000-0000FAAA0000}"/>
    <cellStyle name="Percent 6 2 2 2 3" xfId="36647" xr:uid="{00000000-0005-0000-0000-0000FBAA0000}"/>
    <cellStyle name="Percent 6 2 2 2 3 2" xfId="36648" xr:uid="{00000000-0005-0000-0000-0000FCAA0000}"/>
    <cellStyle name="Percent 6 2 2 2 3 2 2" xfId="42297" xr:uid="{00000000-0005-0000-0000-0000FDAA0000}"/>
    <cellStyle name="Percent 6 2 2 2 3 3" xfId="36649" xr:uid="{00000000-0005-0000-0000-0000FEAA0000}"/>
    <cellStyle name="Percent 6 2 2 2 4" xfId="36650" xr:uid="{00000000-0005-0000-0000-0000FFAA0000}"/>
    <cellStyle name="Percent 6 2 2 2 4 2" xfId="42298" xr:uid="{00000000-0005-0000-0000-000000AB0000}"/>
    <cellStyle name="Percent 6 2 2 2 5" xfId="36651" xr:uid="{00000000-0005-0000-0000-000001AB0000}"/>
    <cellStyle name="Percent 6 2 2 3" xfId="36652" xr:uid="{00000000-0005-0000-0000-000002AB0000}"/>
    <cellStyle name="Percent 6 2 2 3 2" xfId="36653" xr:uid="{00000000-0005-0000-0000-000003AB0000}"/>
    <cellStyle name="Percent 6 2 2 3 2 2" xfId="42299" xr:uid="{00000000-0005-0000-0000-000004AB0000}"/>
    <cellStyle name="Percent 6 2 2 3 3" xfId="36654" xr:uid="{00000000-0005-0000-0000-000005AB0000}"/>
    <cellStyle name="Percent 6 2 2 4" xfId="36655" xr:uid="{00000000-0005-0000-0000-000006AB0000}"/>
    <cellStyle name="Percent 6 2 2 4 2" xfId="36656" xr:uid="{00000000-0005-0000-0000-000007AB0000}"/>
    <cellStyle name="Percent 6 2 2 4 2 2" xfId="42300" xr:uid="{00000000-0005-0000-0000-000008AB0000}"/>
    <cellStyle name="Percent 6 2 2 4 3" xfId="36657" xr:uid="{00000000-0005-0000-0000-000009AB0000}"/>
    <cellStyle name="Percent 6 2 2 5" xfId="36658" xr:uid="{00000000-0005-0000-0000-00000AAB0000}"/>
    <cellStyle name="Percent 6 2 2 5 2" xfId="42301" xr:uid="{00000000-0005-0000-0000-00000BAB0000}"/>
    <cellStyle name="Percent 6 2 2 6" xfId="36659" xr:uid="{00000000-0005-0000-0000-00000CAB0000}"/>
    <cellStyle name="Percent 6 2 2 7" xfId="46110" xr:uid="{00000000-0005-0000-0000-00000DAB0000}"/>
    <cellStyle name="Percent 6 2 3" xfId="36660" xr:uid="{00000000-0005-0000-0000-00000EAB0000}"/>
    <cellStyle name="Percent 6 2 3 2" xfId="36661" xr:uid="{00000000-0005-0000-0000-00000FAB0000}"/>
    <cellStyle name="Percent 6 2 3 2 2" xfId="36662" xr:uid="{00000000-0005-0000-0000-000010AB0000}"/>
    <cellStyle name="Percent 6 2 3 2 2 2" xfId="42302" xr:uid="{00000000-0005-0000-0000-000011AB0000}"/>
    <cellStyle name="Percent 6 2 3 2 3" xfId="36663" xr:uid="{00000000-0005-0000-0000-000012AB0000}"/>
    <cellStyle name="Percent 6 2 3 3" xfId="36664" xr:uid="{00000000-0005-0000-0000-000013AB0000}"/>
    <cellStyle name="Percent 6 2 3 3 2" xfId="36665" xr:uid="{00000000-0005-0000-0000-000014AB0000}"/>
    <cellStyle name="Percent 6 2 3 3 2 2" xfId="42303" xr:uid="{00000000-0005-0000-0000-000015AB0000}"/>
    <cellStyle name="Percent 6 2 3 3 3" xfId="36666" xr:uid="{00000000-0005-0000-0000-000016AB0000}"/>
    <cellStyle name="Percent 6 2 3 4" xfId="36667" xr:uid="{00000000-0005-0000-0000-000017AB0000}"/>
    <cellStyle name="Percent 6 2 3 4 2" xfId="42304" xr:uid="{00000000-0005-0000-0000-000018AB0000}"/>
    <cellStyle name="Percent 6 2 3 5" xfId="36668" xr:uid="{00000000-0005-0000-0000-000019AB0000}"/>
    <cellStyle name="Percent 6 2 4" xfId="36669" xr:uid="{00000000-0005-0000-0000-00001AAB0000}"/>
    <cellStyle name="Percent 6 2 4 2" xfId="36670" xr:uid="{00000000-0005-0000-0000-00001BAB0000}"/>
    <cellStyle name="Percent 6 2 4 2 2" xfId="42305" xr:uid="{00000000-0005-0000-0000-00001CAB0000}"/>
    <cellStyle name="Percent 6 2 4 3" xfId="36671" xr:uid="{00000000-0005-0000-0000-00001DAB0000}"/>
    <cellStyle name="Percent 6 2 5" xfId="36672" xr:uid="{00000000-0005-0000-0000-00001EAB0000}"/>
    <cellStyle name="Percent 6 2 5 2" xfId="36673" xr:uid="{00000000-0005-0000-0000-00001FAB0000}"/>
    <cellStyle name="Percent 6 2 5 2 2" xfId="42306" xr:uid="{00000000-0005-0000-0000-000020AB0000}"/>
    <cellStyle name="Percent 6 2 5 3" xfId="36674" xr:uid="{00000000-0005-0000-0000-000021AB0000}"/>
    <cellStyle name="Percent 6 2 6" xfId="36675" xr:uid="{00000000-0005-0000-0000-000022AB0000}"/>
    <cellStyle name="Percent 6 2 6 2" xfId="42307" xr:uid="{00000000-0005-0000-0000-000023AB0000}"/>
    <cellStyle name="Percent 6 2 7" xfId="36676" xr:uid="{00000000-0005-0000-0000-000024AB0000}"/>
    <cellStyle name="Percent 6 2 8" xfId="42308" xr:uid="{00000000-0005-0000-0000-000025AB0000}"/>
    <cellStyle name="Percent 6 3" xfId="2303" xr:uid="{00000000-0005-0000-0000-000026AB0000}"/>
    <cellStyle name="Percent 6 3 2" xfId="36677" xr:uid="{00000000-0005-0000-0000-000027AB0000}"/>
    <cellStyle name="Percent 6 3 2 2" xfId="36678" xr:uid="{00000000-0005-0000-0000-000028AB0000}"/>
    <cellStyle name="Percent 6 3 2 2 2" xfId="36679" xr:uid="{00000000-0005-0000-0000-000029AB0000}"/>
    <cellStyle name="Percent 6 3 2 2 2 2" xfId="42309" xr:uid="{00000000-0005-0000-0000-00002AAB0000}"/>
    <cellStyle name="Percent 6 3 2 2 3" xfId="36680" xr:uid="{00000000-0005-0000-0000-00002BAB0000}"/>
    <cellStyle name="Percent 6 3 2 3" xfId="36681" xr:uid="{00000000-0005-0000-0000-00002CAB0000}"/>
    <cellStyle name="Percent 6 3 2 3 2" xfId="36682" xr:uid="{00000000-0005-0000-0000-00002DAB0000}"/>
    <cellStyle name="Percent 6 3 2 3 2 2" xfId="42310" xr:uid="{00000000-0005-0000-0000-00002EAB0000}"/>
    <cellStyle name="Percent 6 3 2 3 3" xfId="36683" xr:uid="{00000000-0005-0000-0000-00002FAB0000}"/>
    <cellStyle name="Percent 6 3 2 4" xfId="36684" xr:uid="{00000000-0005-0000-0000-000030AB0000}"/>
    <cellStyle name="Percent 6 3 2 4 2" xfId="42311" xr:uid="{00000000-0005-0000-0000-000031AB0000}"/>
    <cellStyle name="Percent 6 3 2 5" xfId="36685" xr:uid="{00000000-0005-0000-0000-000032AB0000}"/>
    <cellStyle name="Percent 6 3 3" xfId="36686" xr:uid="{00000000-0005-0000-0000-000033AB0000}"/>
    <cellStyle name="Percent 6 3 3 2" xfId="36687" xr:uid="{00000000-0005-0000-0000-000034AB0000}"/>
    <cellStyle name="Percent 6 3 3 2 2" xfId="42312" xr:uid="{00000000-0005-0000-0000-000035AB0000}"/>
    <cellStyle name="Percent 6 3 3 3" xfId="36688" xr:uid="{00000000-0005-0000-0000-000036AB0000}"/>
    <cellStyle name="Percent 6 3 4" xfId="36689" xr:uid="{00000000-0005-0000-0000-000037AB0000}"/>
    <cellStyle name="Percent 6 3 4 2" xfId="36690" xr:uid="{00000000-0005-0000-0000-000038AB0000}"/>
    <cellStyle name="Percent 6 3 4 2 2" xfId="42313" xr:uid="{00000000-0005-0000-0000-000039AB0000}"/>
    <cellStyle name="Percent 6 3 4 3" xfId="36691" xr:uid="{00000000-0005-0000-0000-00003AAB0000}"/>
    <cellStyle name="Percent 6 3 5" xfId="36692" xr:uid="{00000000-0005-0000-0000-00003BAB0000}"/>
    <cellStyle name="Percent 6 3 5 2" xfId="42314" xr:uid="{00000000-0005-0000-0000-00003CAB0000}"/>
    <cellStyle name="Percent 6 3 6" xfId="36693" xr:uid="{00000000-0005-0000-0000-00003DAB0000}"/>
    <cellStyle name="Percent 6 3 7" xfId="46111" xr:uid="{00000000-0005-0000-0000-00003EAB0000}"/>
    <cellStyle name="Percent 6 4" xfId="2304" xr:uid="{00000000-0005-0000-0000-00003FAB0000}"/>
    <cellStyle name="Percent 6 4 2" xfId="36694" xr:uid="{00000000-0005-0000-0000-000040AB0000}"/>
    <cellStyle name="Percent 6 4 2 2" xfId="36695" xr:uid="{00000000-0005-0000-0000-000041AB0000}"/>
    <cellStyle name="Percent 6 4 2 2 2" xfId="42315" xr:uid="{00000000-0005-0000-0000-000042AB0000}"/>
    <cellStyle name="Percent 6 4 2 3" xfId="36696" xr:uid="{00000000-0005-0000-0000-000043AB0000}"/>
    <cellStyle name="Percent 6 4 3" xfId="36697" xr:uid="{00000000-0005-0000-0000-000044AB0000}"/>
    <cellStyle name="Percent 6 4 3 2" xfId="36698" xr:uid="{00000000-0005-0000-0000-000045AB0000}"/>
    <cellStyle name="Percent 6 4 3 2 2" xfId="42316" xr:uid="{00000000-0005-0000-0000-000046AB0000}"/>
    <cellStyle name="Percent 6 4 3 3" xfId="36699" xr:uid="{00000000-0005-0000-0000-000047AB0000}"/>
    <cellStyle name="Percent 6 4 4" xfId="36700" xr:uid="{00000000-0005-0000-0000-000048AB0000}"/>
    <cellStyle name="Percent 6 4 4 2" xfId="42317" xr:uid="{00000000-0005-0000-0000-000049AB0000}"/>
    <cellStyle name="Percent 6 4 5" xfId="36701" xr:uid="{00000000-0005-0000-0000-00004AAB0000}"/>
    <cellStyle name="Percent 6 5" xfId="2305" xr:uid="{00000000-0005-0000-0000-00004BAB0000}"/>
    <cellStyle name="Percent 6 5 2" xfId="36702" xr:uid="{00000000-0005-0000-0000-00004CAB0000}"/>
    <cellStyle name="Percent 6 5 2 2" xfId="42318" xr:uid="{00000000-0005-0000-0000-00004DAB0000}"/>
    <cellStyle name="Percent 6 5 3" xfId="36703" xr:uid="{00000000-0005-0000-0000-00004EAB0000}"/>
    <cellStyle name="Percent 6 6" xfId="36704" xr:uid="{00000000-0005-0000-0000-00004FAB0000}"/>
    <cellStyle name="Percent 6 6 2" xfId="36705" xr:uid="{00000000-0005-0000-0000-000050AB0000}"/>
    <cellStyle name="Percent 6 6 2 2" xfId="42319" xr:uid="{00000000-0005-0000-0000-000051AB0000}"/>
    <cellStyle name="Percent 6 6 3" xfId="36706" xr:uid="{00000000-0005-0000-0000-000052AB0000}"/>
    <cellStyle name="Percent 6 6 4" xfId="46112" xr:uid="{00000000-0005-0000-0000-000053AB0000}"/>
    <cellStyle name="Percent 6 7" xfId="36707" xr:uid="{00000000-0005-0000-0000-000054AB0000}"/>
    <cellStyle name="Percent 6 7 2" xfId="42320" xr:uid="{00000000-0005-0000-0000-000055AB0000}"/>
    <cellStyle name="Percent 6 8" xfId="36708" xr:uid="{00000000-0005-0000-0000-000056AB0000}"/>
    <cellStyle name="Percent 6 9" xfId="42321" xr:uid="{00000000-0005-0000-0000-000057AB0000}"/>
    <cellStyle name="Percent 7" xfId="76" xr:uid="{00000000-0005-0000-0000-000058AB0000}"/>
    <cellStyle name="Percent 7 2" xfId="576" xr:uid="{00000000-0005-0000-0000-000059AB0000}"/>
    <cellStyle name="Percent 7 2 2" xfId="2306" xr:uid="{00000000-0005-0000-0000-00005AAB0000}"/>
    <cellStyle name="Percent 7 2 2 2" xfId="36709" xr:uid="{00000000-0005-0000-0000-00005BAB0000}"/>
    <cellStyle name="Percent 7 2 2 2 2" xfId="36710" xr:uid="{00000000-0005-0000-0000-00005CAB0000}"/>
    <cellStyle name="Percent 7 2 2 2 2 2" xfId="36711" xr:uid="{00000000-0005-0000-0000-00005DAB0000}"/>
    <cellStyle name="Percent 7 2 2 2 2 2 2" xfId="42322" xr:uid="{00000000-0005-0000-0000-00005EAB0000}"/>
    <cellStyle name="Percent 7 2 2 2 2 3" xfId="36712" xr:uid="{00000000-0005-0000-0000-00005FAB0000}"/>
    <cellStyle name="Percent 7 2 2 2 3" xfId="36713" xr:uid="{00000000-0005-0000-0000-000060AB0000}"/>
    <cellStyle name="Percent 7 2 2 2 3 2" xfId="36714" xr:uid="{00000000-0005-0000-0000-000061AB0000}"/>
    <cellStyle name="Percent 7 2 2 2 3 2 2" xfId="42323" xr:uid="{00000000-0005-0000-0000-000062AB0000}"/>
    <cellStyle name="Percent 7 2 2 2 3 3" xfId="36715" xr:uid="{00000000-0005-0000-0000-000063AB0000}"/>
    <cellStyle name="Percent 7 2 2 2 4" xfId="36716" xr:uid="{00000000-0005-0000-0000-000064AB0000}"/>
    <cellStyle name="Percent 7 2 2 2 4 2" xfId="42324" xr:uid="{00000000-0005-0000-0000-000065AB0000}"/>
    <cellStyle name="Percent 7 2 2 2 5" xfId="36717" xr:uid="{00000000-0005-0000-0000-000066AB0000}"/>
    <cellStyle name="Percent 7 2 2 3" xfId="36718" xr:uid="{00000000-0005-0000-0000-000067AB0000}"/>
    <cellStyle name="Percent 7 2 2 3 2" xfId="36719" xr:uid="{00000000-0005-0000-0000-000068AB0000}"/>
    <cellStyle name="Percent 7 2 2 3 2 2" xfId="42325" xr:uid="{00000000-0005-0000-0000-000069AB0000}"/>
    <cellStyle name="Percent 7 2 2 3 3" xfId="36720" xr:uid="{00000000-0005-0000-0000-00006AAB0000}"/>
    <cellStyle name="Percent 7 2 2 4" xfId="36721" xr:uid="{00000000-0005-0000-0000-00006BAB0000}"/>
    <cellStyle name="Percent 7 2 2 4 2" xfId="36722" xr:uid="{00000000-0005-0000-0000-00006CAB0000}"/>
    <cellStyle name="Percent 7 2 2 4 2 2" xfId="42326" xr:uid="{00000000-0005-0000-0000-00006DAB0000}"/>
    <cellStyle name="Percent 7 2 2 4 3" xfId="36723" xr:uid="{00000000-0005-0000-0000-00006EAB0000}"/>
    <cellStyle name="Percent 7 2 2 5" xfId="36724" xr:uid="{00000000-0005-0000-0000-00006FAB0000}"/>
    <cellStyle name="Percent 7 2 2 5 2" xfId="42327" xr:uid="{00000000-0005-0000-0000-000070AB0000}"/>
    <cellStyle name="Percent 7 2 2 6" xfId="36725" xr:uid="{00000000-0005-0000-0000-000071AB0000}"/>
    <cellStyle name="Percent 7 2 2 7" xfId="46113" xr:uid="{00000000-0005-0000-0000-000072AB0000}"/>
    <cellStyle name="Percent 7 2 3" xfId="36726" xr:uid="{00000000-0005-0000-0000-000073AB0000}"/>
    <cellStyle name="Percent 7 2 3 2" xfId="36727" xr:uid="{00000000-0005-0000-0000-000074AB0000}"/>
    <cellStyle name="Percent 7 2 3 2 2" xfId="36728" xr:uid="{00000000-0005-0000-0000-000075AB0000}"/>
    <cellStyle name="Percent 7 2 3 2 2 2" xfId="42328" xr:uid="{00000000-0005-0000-0000-000076AB0000}"/>
    <cellStyle name="Percent 7 2 3 2 3" xfId="36729" xr:uid="{00000000-0005-0000-0000-000077AB0000}"/>
    <cellStyle name="Percent 7 2 3 3" xfId="36730" xr:uid="{00000000-0005-0000-0000-000078AB0000}"/>
    <cellStyle name="Percent 7 2 3 3 2" xfId="36731" xr:uid="{00000000-0005-0000-0000-000079AB0000}"/>
    <cellStyle name="Percent 7 2 3 3 2 2" xfId="42329" xr:uid="{00000000-0005-0000-0000-00007AAB0000}"/>
    <cellStyle name="Percent 7 2 3 3 3" xfId="36732" xr:uid="{00000000-0005-0000-0000-00007BAB0000}"/>
    <cellStyle name="Percent 7 2 3 4" xfId="36733" xr:uid="{00000000-0005-0000-0000-00007CAB0000}"/>
    <cellStyle name="Percent 7 2 3 4 2" xfId="42330" xr:uid="{00000000-0005-0000-0000-00007DAB0000}"/>
    <cellStyle name="Percent 7 2 3 5" xfId="36734" xr:uid="{00000000-0005-0000-0000-00007EAB0000}"/>
    <cellStyle name="Percent 7 2 4" xfId="36735" xr:uid="{00000000-0005-0000-0000-00007FAB0000}"/>
    <cellStyle name="Percent 7 2 4 2" xfId="36736" xr:uid="{00000000-0005-0000-0000-000080AB0000}"/>
    <cellStyle name="Percent 7 2 4 2 2" xfId="42331" xr:uid="{00000000-0005-0000-0000-000081AB0000}"/>
    <cellStyle name="Percent 7 2 4 3" xfId="36737" xr:uid="{00000000-0005-0000-0000-000082AB0000}"/>
    <cellStyle name="Percent 7 2 5" xfId="36738" xr:uid="{00000000-0005-0000-0000-000083AB0000}"/>
    <cellStyle name="Percent 7 2 5 2" xfId="36739" xr:uid="{00000000-0005-0000-0000-000084AB0000}"/>
    <cellStyle name="Percent 7 2 5 2 2" xfId="42332" xr:uid="{00000000-0005-0000-0000-000085AB0000}"/>
    <cellStyle name="Percent 7 2 5 3" xfId="36740" xr:uid="{00000000-0005-0000-0000-000086AB0000}"/>
    <cellStyle name="Percent 7 2 6" xfId="36741" xr:uid="{00000000-0005-0000-0000-000087AB0000}"/>
    <cellStyle name="Percent 7 2 6 2" xfId="42333" xr:uid="{00000000-0005-0000-0000-000088AB0000}"/>
    <cellStyle name="Percent 7 2 7" xfId="36742" xr:uid="{00000000-0005-0000-0000-000089AB0000}"/>
    <cellStyle name="Percent 7 2 8" xfId="42334" xr:uid="{00000000-0005-0000-0000-00008AAB0000}"/>
    <cellStyle name="Percent 7 3" xfId="577" xr:uid="{00000000-0005-0000-0000-00008BAB0000}"/>
    <cellStyle name="Percent 7 3 2" xfId="36743" xr:uid="{00000000-0005-0000-0000-00008CAB0000}"/>
    <cellStyle name="Percent 7 3 2 2" xfId="36744" xr:uid="{00000000-0005-0000-0000-00008DAB0000}"/>
    <cellStyle name="Percent 7 3 2 2 2" xfId="36745" xr:uid="{00000000-0005-0000-0000-00008EAB0000}"/>
    <cellStyle name="Percent 7 3 2 2 2 2" xfId="42335" xr:uid="{00000000-0005-0000-0000-00008FAB0000}"/>
    <cellStyle name="Percent 7 3 2 2 3" xfId="36746" xr:uid="{00000000-0005-0000-0000-000090AB0000}"/>
    <cellStyle name="Percent 7 3 2 3" xfId="36747" xr:uid="{00000000-0005-0000-0000-000091AB0000}"/>
    <cellStyle name="Percent 7 3 2 3 2" xfId="36748" xr:uid="{00000000-0005-0000-0000-000092AB0000}"/>
    <cellStyle name="Percent 7 3 2 3 2 2" xfId="42336" xr:uid="{00000000-0005-0000-0000-000093AB0000}"/>
    <cellStyle name="Percent 7 3 2 3 3" xfId="36749" xr:uid="{00000000-0005-0000-0000-000094AB0000}"/>
    <cellStyle name="Percent 7 3 2 4" xfId="36750" xr:uid="{00000000-0005-0000-0000-000095AB0000}"/>
    <cellStyle name="Percent 7 3 2 4 2" xfId="42337" xr:uid="{00000000-0005-0000-0000-000096AB0000}"/>
    <cellStyle name="Percent 7 3 2 5" xfId="36751" xr:uid="{00000000-0005-0000-0000-000097AB0000}"/>
    <cellStyle name="Percent 7 3 3" xfId="36752" xr:uid="{00000000-0005-0000-0000-000098AB0000}"/>
    <cellStyle name="Percent 7 3 3 2" xfId="36753" xr:uid="{00000000-0005-0000-0000-000099AB0000}"/>
    <cellStyle name="Percent 7 3 3 2 2" xfId="42338" xr:uid="{00000000-0005-0000-0000-00009AAB0000}"/>
    <cellStyle name="Percent 7 3 3 3" xfId="36754" xr:uid="{00000000-0005-0000-0000-00009BAB0000}"/>
    <cellStyle name="Percent 7 3 4" xfId="36755" xr:uid="{00000000-0005-0000-0000-00009CAB0000}"/>
    <cellStyle name="Percent 7 3 4 2" xfId="36756" xr:uid="{00000000-0005-0000-0000-00009DAB0000}"/>
    <cellStyle name="Percent 7 3 4 2 2" xfId="42339" xr:uid="{00000000-0005-0000-0000-00009EAB0000}"/>
    <cellStyle name="Percent 7 3 4 3" xfId="36757" xr:uid="{00000000-0005-0000-0000-00009FAB0000}"/>
    <cellStyle name="Percent 7 3 5" xfId="36758" xr:uid="{00000000-0005-0000-0000-0000A0AB0000}"/>
    <cellStyle name="Percent 7 3 5 2" xfId="42340" xr:uid="{00000000-0005-0000-0000-0000A1AB0000}"/>
    <cellStyle name="Percent 7 3 6" xfId="36759" xr:uid="{00000000-0005-0000-0000-0000A2AB0000}"/>
    <cellStyle name="Percent 7 3 7" xfId="42341" xr:uid="{00000000-0005-0000-0000-0000A3AB0000}"/>
    <cellStyle name="Percent 7 4" xfId="2307" xr:uid="{00000000-0005-0000-0000-0000A4AB0000}"/>
    <cellStyle name="Percent 7 4 2" xfId="36760" xr:uid="{00000000-0005-0000-0000-0000A5AB0000}"/>
    <cellStyle name="Percent 7 4 2 2" xfId="36761" xr:uid="{00000000-0005-0000-0000-0000A6AB0000}"/>
    <cellStyle name="Percent 7 4 2 2 2" xfId="42342" xr:uid="{00000000-0005-0000-0000-0000A7AB0000}"/>
    <cellStyle name="Percent 7 4 2 3" xfId="36762" xr:uid="{00000000-0005-0000-0000-0000A8AB0000}"/>
    <cellStyle name="Percent 7 4 3" xfId="36763" xr:uid="{00000000-0005-0000-0000-0000A9AB0000}"/>
    <cellStyle name="Percent 7 4 3 2" xfId="36764" xr:uid="{00000000-0005-0000-0000-0000AAAB0000}"/>
    <cellStyle name="Percent 7 4 3 2 2" xfId="42343" xr:uid="{00000000-0005-0000-0000-0000ABAB0000}"/>
    <cellStyle name="Percent 7 4 3 3" xfId="36765" xr:uid="{00000000-0005-0000-0000-0000ACAB0000}"/>
    <cellStyle name="Percent 7 4 4" xfId="36766" xr:uid="{00000000-0005-0000-0000-0000ADAB0000}"/>
    <cellStyle name="Percent 7 4 4 2" xfId="42344" xr:uid="{00000000-0005-0000-0000-0000AEAB0000}"/>
    <cellStyle name="Percent 7 4 5" xfId="36767" xr:uid="{00000000-0005-0000-0000-0000AFAB0000}"/>
    <cellStyle name="Percent 7 5" xfId="36768" xr:uid="{00000000-0005-0000-0000-0000B0AB0000}"/>
    <cellStyle name="Percent 7 5 2" xfId="36769" xr:uid="{00000000-0005-0000-0000-0000B1AB0000}"/>
    <cellStyle name="Percent 7 5 2 2" xfId="42345" xr:uid="{00000000-0005-0000-0000-0000B2AB0000}"/>
    <cellStyle name="Percent 7 5 3" xfId="36770" xr:uid="{00000000-0005-0000-0000-0000B3AB0000}"/>
    <cellStyle name="Percent 7 6" xfId="36771" xr:uid="{00000000-0005-0000-0000-0000B4AB0000}"/>
    <cellStyle name="Percent 7 6 2" xfId="36772" xr:uid="{00000000-0005-0000-0000-0000B5AB0000}"/>
    <cellStyle name="Percent 7 6 2 2" xfId="42346" xr:uid="{00000000-0005-0000-0000-0000B6AB0000}"/>
    <cellStyle name="Percent 7 6 3" xfId="36773" xr:uid="{00000000-0005-0000-0000-0000B7AB0000}"/>
    <cellStyle name="Percent 7 7" xfId="36774" xr:uid="{00000000-0005-0000-0000-0000B8AB0000}"/>
    <cellStyle name="Percent 7 7 2" xfId="42347" xr:uid="{00000000-0005-0000-0000-0000B9AB0000}"/>
    <cellStyle name="Percent 7 8" xfId="36775" xr:uid="{00000000-0005-0000-0000-0000BAAB0000}"/>
    <cellStyle name="Percent 7 9" xfId="42348" xr:uid="{00000000-0005-0000-0000-0000BBAB0000}"/>
    <cellStyle name="Percent 8" xfId="578" xr:uid="{00000000-0005-0000-0000-0000BCAB0000}"/>
    <cellStyle name="Percent 8 10" xfId="46114" xr:uid="{00000000-0005-0000-0000-0000BDAB0000}"/>
    <cellStyle name="Percent 8 2" xfId="2308" xr:uid="{00000000-0005-0000-0000-0000BEAB0000}"/>
    <cellStyle name="Percent 8 2 2" xfId="36776" xr:uid="{00000000-0005-0000-0000-0000BFAB0000}"/>
    <cellStyle name="Percent 8 2 2 2" xfId="36777" xr:uid="{00000000-0005-0000-0000-0000C0AB0000}"/>
    <cellStyle name="Percent 8 2 2 2 2" xfId="36778" xr:uid="{00000000-0005-0000-0000-0000C1AB0000}"/>
    <cellStyle name="Percent 8 2 2 2 2 2" xfId="42349" xr:uid="{00000000-0005-0000-0000-0000C2AB0000}"/>
    <cellStyle name="Percent 8 2 2 2 3" xfId="36779" xr:uid="{00000000-0005-0000-0000-0000C3AB0000}"/>
    <cellStyle name="Percent 8 2 2 3" xfId="36780" xr:uid="{00000000-0005-0000-0000-0000C4AB0000}"/>
    <cellStyle name="Percent 8 2 2 3 2" xfId="36781" xr:uid="{00000000-0005-0000-0000-0000C5AB0000}"/>
    <cellStyle name="Percent 8 2 2 3 2 2" xfId="42350" xr:uid="{00000000-0005-0000-0000-0000C6AB0000}"/>
    <cellStyle name="Percent 8 2 2 3 3" xfId="36782" xr:uid="{00000000-0005-0000-0000-0000C7AB0000}"/>
    <cellStyle name="Percent 8 2 2 4" xfId="36783" xr:uid="{00000000-0005-0000-0000-0000C8AB0000}"/>
    <cellStyle name="Percent 8 2 2 4 2" xfId="42351" xr:uid="{00000000-0005-0000-0000-0000C9AB0000}"/>
    <cellStyle name="Percent 8 2 2 5" xfId="36784" xr:uid="{00000000-0005-0000-0000-0000CAAB0000}"/>
    <cellStyle name="Percent 8 2 3" xfId="36785" xr:uid="{00000000-0005-0000-0000-0000CBAB0000}"/>
    <cellStyle name="Percent 8 2 3 2" xfId="36786" xr:uid="{00000000-0005-0000-0000-0000CCAB0000}"/>
    <cellStyle name="Percent 8 2 3 2 2" xfId="42352" xr:uid="{00000000-0005-0000-0000-0000CDAB0000}"/>
    <cellStyle name="Percent 8 2 3 3" xfId="36787" xr:uid="{00000000-0005-0000-0000-0000CEAB0000}"/>
    <cellStyle name="Percent 8 2 4" xfId="36788" xr:uid="{00000000-0005-0000-0000-0000CFAB0000}"/>
    <cellStyle name="Percent 8 2 4 2" xfId="36789" xr:uid="{00000000-0005-0000-0000-0000D0AB0000}"/>
    <cellStyle name="Percent 8 2 4 2 2" xfId="42353" xr:uid="{00000000-0005-0000-0000-0000D1AB0000}"/>
    <cellStyle name="Percent 8 2 4 3" xfId="36790" xr:uid="{00000000-0005-0000-0000-0000D2AB0000}"/>
    <cellStyle name="Percent 8 2 5" xfId="36791" xr:uid="{00000000-0005-0000-0000-0000D3AB0000}"/>
    <cellStyle name="Percent 8 2 5 2" xfId="42354" xr:uid="{00000000-0005-0000-0000-0000D4AB0000}"/>
    <cellStyle name="Percent 8 2 6" xfId="36792" xr:uid="{00000000-0005-0000-0000-0000D5AB0000}"/>
    <cellStyle name="Percent 8 2 7" xfId="46115" xr:uid="{00000000-0005-0000-0000-0000D6AB0000}"/>
    <cellStyle name="Percent 8 3" xfId="2309" xr:uid="{00000000-0005-0000-0000-0000D7AB0000}"/>
    <cellStyle name="Percent 8 3 2" xfId="36793" xr:uid="{00000000-0005-0000-0000-0000D8AB0000}"/>
    <cellStyle name="Percent 8 3 2 2" xfId="36794" xr:uid="{00000000-0005-0000-0000-0000D9AB0000}"/>
    <cellStyle name="Percent 8 3 2 2 2" xfId="42355" xr:uid="{00000000-0005-0000-0000-0000DAAB0000}"/>
    <cellStyle name="Percent 8 3 2 3" xfId="36795" xr:uid="{00000000-0005-0000-0000-0000DBAB0000}"/>
    <cellStyle name="Percent 8 3 3" xfId="36796" xr:uid="{00000000-0005-0000-0000-0000DCAB0000}"/>
    <cellStyle name="Percent 8 3 3 2" xfId="36797" xr:uid="{00000000-0005-0000-0000-0000DDAB0000}"/>
    <cellStyle name="Percent 8 3 3 2 2" xfId="42356" xr:uid="{00000000-0005-0000-0000-0000DEAB0000}"/>
    <cellStyle name="Percent 8 3 3 3" xfId="36798" xr:uid="{00000000-0005-0000-0000-0000DFAB0000}"/>
    <cellStyle name="Percent 8 3 4" xfId="36799" xr:uid="{00000000-0005-0000-0000-0000E0AB0000}"/>
    <cellStyle name="Percent 8 3 4 2" xfId="42357" xr:uid="{00000000-0005-0000-0000-0000E1AB0000}"/>
    <cellStyle name="Percent 8 3 5" xfId="36800" xr:uid="{00000000-0005-0000-0000-0000E2AB0000}"/>
    <cellStyle name="Percent 8 4" xfId="2310" xr:uid="{00000000-0005-0000-0000-0000E3AB0000}"/>
    <cellStyle name="Percent 8 4 2" xfId="36801" xr:uid="{00000000-0005-0000-0000-0000E4AB0000}"/>
    <cellStyle name="Percent 8 4 2 2" xfId="42358" xr:uid="{00000000-0005-0000-0000-0000E5AB0000}"/>
    <cellStyle name="Percent 8 4 3" xfId="36802" xr:uid="{00000000-0005-0000-0000-0000E6AB0000}"/>
    <cellStyle name="Percent 8 4 4" xfId="46116" xr:uid="{00000000-0005-0000-0000-0000E7AB0000}"/>
    <cellStyle name="Percent 8 5" xfId="36803" xr:uid="{00000000-0005-0000-0000-0000E8AB0000}"/>
    <cellStyle name="Percent 8 5 2" xfId="36804" xr:uid="{00000000-0005-0000-0000-0000E9AB0000}"/>
    <cellStyle name="Percent 8 5 2 2" xfId="42359" xr:uid="{00000000-0005-0000-0000-0000EAAB0000}"/>
    <cellStyle name="Percent 8 5 3" xfId="36805" xr:uid="{00000000-0005-0000-0000-0000EBAB0000}"/>
    <cellStyle name="Percent 8 6" xfId="36806" xr:uid="{00000000-0005-0000-0000-0000ECAB0000}"/>
    <cellStyle name="Percent 8 6 2" xfId="42360" xr:uid="{00000000-0005-0000-0000-0000EDAB0000}"/>
    <cellStyle name="Percent 8 7" xfId="36807" xr:uid="{00000000-0005-0000-0000-0000EEAB0000}"/>
    <cellStyle name="Percent 8 7 2" xfId="42361" xr:uid="{00000000-0005-0000-0000-0000EFAB0000}"/>
    <cellStyle name="Percent 8 8" xfId="42362" xr:uid="{00000000-0005-0000-0000-0000F0AB0000}"/>
    <cellStyle name="Percent 8 9" xfId="42363" xr:uid="{00000000-0005-0000-0000-0000F1AB0000}"/>
    <cellStyle name="Percent 9" xfId="579" xr:uid="{00000000-0005-0000-0000-0000F2AB0000}"/>
    <cellStyle name="Percent 9 2" xfId="2311" xr:uid="{00000000-0005-0000-0000-0000F3AB0000}"/>
    <cellStyle name="Percent 9 2 2" xfId="42364" xr:uid="{00000000-0005-0000-0000-0000F4AB0000}"/>
    <cellStyle name="Percent 9 2 2 2" xfId="42564" xr:uid="{00000000-0005-0000-0000-0000F5AB0000}"/>
    <cellStyle name="Percent 9 2 2 3" xfId="46117" xr:uid="{00000000-0005-0000-0000-0000F6AB0000}"/>
    <cellStyle name="Percent 9 2 3" xfId="46118" xr:uid="{00000000-0005-0000-0000-0000F7AB0000}"/>
    <cellStyle name="Percent 9 3" xfId="2312" xr:uid="{00000000-0005-0000-0000-0000F8AB0000}"/>
    <cellStyle name="Percent 9 3 2" xfId="42365" xr:uid="{00000000-0005-0000-0000-0000F9AB0000}"/>
    <cellStyle name="Percent 9 4" xfId="36808" xr:uid="{00000000-0005-0000-0000-0000FAAB0000}"/>
    <cellStyle name="Percent 9 4 2" xfId="42366" xr:uid="{00000000-0005-0000-0000-0000FBAB0000}"/>
    <cellStyle name="Percent 9 5" xfId="36809" xr:uid="{00000000-0005-0000-0000-0000FCAB0000}"/>
    <cellStyle name="Percent 9 6" xfId="42367" xr:uid="{00000000-0005-0000-0000-0000FDAB0000}"/>
    <cellStyle name="Percent(1)" xfId="580" xr:uid="{00000000-0005-0000-0000-0000FEAB0000}"/>
    <cellStyle name="Percent(1) 2" xfId="36810" xr:uid="{00000000-0005-0000-0000-0000FFAB0000}"/>
    <cellStyle name="Percent(1) 3" xfId="42368" xr:uid="{00000000-0005-0000-0000-000000AC0000}"/>
    <cellStyle name="Percent(2)" xfId="581" xr:uid="{00000000-0005-0000-0000-000001AC0000}"/>
    <cellStyle name="Percent(2) 2" xfId="36811" xr:uid="{00000000-0005-0000-0000-000002AC0000}"/>
    <cellStyle name="Percent(2) 3" xfId="42369" xr:uid="{00000000-0005-0000-0000-000003AC0000}"/>
    <cellStyle name="Posting_Period" xfId="582" xr:uid="{00000000-0005-0000-0000-000004AC0000}"/>
    <cellStyle name="PRM" xfId="61" xr:uid="{00000000-0005-0000-0000-000005AC0000}"/>
    <cellStyle name="PRM 2" xfId="583" xr:uid="{00000000-0005-0000-0000-000006AC0000}"/>
    <cellStyle name="PRM 2 2" xfId="42370" xr:uid="{00000000-0005-0000-0000-000007AC0000}"/>
    <cellStyle name="PRM 2 3" xfId="42371" xr:uid="{00000000-0005-0000-0000-000008AC0000}"/>
    <cellStyle name="PRM 3" xfId="584" xr:uid="{00000000-0005-0000-0000-000009AC0000}"/>
    <cellStyle name="PRM 3 2" xfId="42372" xr:uid="{00000000-0005-0000-0000-00000AAC0000}"/>
    <cellStyle name="PRM 3 3" xfId="42373" xr:uid="{00000000-0005-0000-0000-00000BAC0000}"/>
    <cellStyle name="PRM 4" xfId="36812" xr:uid="{00000000-0005-0000-0000-00000CAC0000}"/>
    <cellStyle name="PRM 5" xfId="42374" xr:uid="{00000000-0005-0000-0000-00000DAC0000}"/>
    <cellStyle name="PRM_2011-11" xfId="585" xr:uid="{00000000-0005-0000-0000-00000EAC0000}"/>
    <cellStyle name="PS_Comma" xfId="586" xr:uid="{00000000-0005-0000-0000-00000FAC0000}"/>
    <cellStyle name="PSChar" xfId="587" xr:uid="{00000000-0005-0000-0000-000010AC0000}"/>
    <cellStyle name="PSChar 2" xfId="36813" xr:uid="{00000000-0005-0000-0000-000011AC0000}"/>
    <cellStyle name="PSChar 3" xfId="42375" xr:uid="{00000000-0005-0000-0000-000012AC0000}"/>
    <cellStyle name="PSDate" xfId="588" xr:uid="{00000000-0005-0000-0000-000013AC0000}"/>
    <cellStyle name="PSDate 2" xfId="42376" xr:uid="{00000000-0005-0000-0000-000014AC0000}"/>
    <cellStyle name="PSDate 3" xfId="42377" xr:uid="{00000000-0005-0000-0000-000015AC0000}"/>
    <cellStyle name="PSDec" xfId="589" xr:uid="{00000000-0005-0000-0000-000016AC0000}"/>
    <cellStyle name="PSDec 2" xfId="42378" xr:uid="{00000000-0005-0000-0000-000017AC0000}"/>
    <cellStyle name="PSDec 3" xfId="42379" xr:uid="{00000000-0005-0000-0000-000018AC0000}"/>
    <cellStyle name="PSHeading" xfId="590" xr:uid="{00000000-0005-0000-0000-000019AC0000}"/>
    <cellStyle name="PSHeading 2" xfId="2313" xr:uid="{00000000-0005-0000-0000-00001AAC0000}"/>
    <cellStyle name="PSHeading 2 2" xfId="36814" xr:uid="{00000000-0005-0000-0000-00001BAC0000}"/>
    <cellStyle name="PSHeading 2 2 2" xfId="36815" xr:uid="{00000000-0005-0000-0000-00001CAC0000}"/>
    <cellStyle name="PSHeading 2 2 3" xfId="44724" xr:uid="{00000000-0005-0000-0000-00001DAC0000}"/>
    <cellStyle name="PSHeading 2 3" xfId="36816" xr:uid="{00000000-0005-0000-0000-00001EAC0000}"/>
    <cellStyle name="PSHeading 2 4" xfId="46119" xr:uid="{00000000-0005-0000-0000-00001FAC0000}"/>
    <cellStyle name="PSHeading 3" xfId="36817" xr:uid="{00000000-0005-0000-0000-000020AC0000}"/>
    <cellStyle name="PSHeading 4" xfId="42380" xr:uid="{00000000-0005-0000-0000-000021AC0000}"/>
    <cellStyle name="PSInt" xfId="591" xr:uid="{00000000-0005-0000-0000-000022AC0000}"/>
    <cellStyle name="PSInt 2" xfId="42381" xr:uid="{00000000-0005-0000-0000-000023AC0000}"/>
    <cellStyle name="PSInt 3" xfId="42382" xr:uid="{00000000-0005-0000-0000-000024AC0000}"/>
    <cellStyle name="PSSpacer" xfId="592" xr:uid="{00000000-0005-0000-0000-000025AC0000}"/>
    <cellStyle name="PSSpacer 2" xfId="42383" xr:uid="{00000000-0005-0000-0000-000026AC0000}"/>
    <cellStyle name="PSSpacer 3" xfId="42384" xr:uid="{00000000-0005-0000-0000-000027AC0000}"/>
    <cellStyle name="Reset  - Style4" xfId="2314" xr:uid="{00000000-0005-0000-0000-000028AC0000}"/>
    <cellStyle name="Reset  - Style4 2" xfId="42385" xr:uid="{00000000-0005-0000-0000-000029AC0000}"/>
    <cellStyle name="Reset  - Style7" xfId="2315" xr:uid="{00000000-0005-0000-0000-00002AAC0000}"/>
    <cellStyle name="Reset  - Style7 2" xfId="42386" xr:uid="{00000000-0005-0000-0000-00002BAC0000}"/>
    <cellStyle name="STYL0 - Style1" xfId="593" xr:uid="{00000000-0005-0000-0000-00002CAC0000}"/>
    <cellStyle name="STYL0 - Style1 2" xfId="42387" xr:uid="{00000000-0005-0000-0000-00002DAC0000}"/>
    <cellStyle name="STYL0 - Style1 3" xfId="42388" xr:uid="{00000000-0005-0000-0000-00002EAC0000}"/>
    <cellStyle name="STYL1 - Style2" xfId="594" xr:uid="{00000000-0005-0000-0000-00002FAC0000}"/>
    <cellStyle name="STYL1 - Style2 2" xfId="42389" xr:uid="{00000000-0005-0000-0000-000030AC0000}"/>
    <cellStyle name="STYL1 - Style2 3" xfId="42390" xr:uid="{00000000-0005-0000-0000-000031AC0000}"/>
    <cellStyle name="STYL2 - Style3" xfId="595" xr:uid="{00000000-0005-0000-0000-000032AC0000}"/>
    <cellStyle name="STYL2 - Style3 2" xfId="42391" xr:uid="{00000000-0005-0000-0000-000033AC0000}"/>
    <cellStyle name="STYL2 - Style3 3" xfId="42392" xr:uid="{00000000-0005-0000-0000-000034AC0000}"/>
    <cellStyle name="STYL3 - Style4" xfId="596" xr:uid="{00000000-0005-0000-0000-000035AC0000}"/>
    <cellStyle name="STYL3 - Style4 2" xfId="42393" xr:uid="{00000000-0005-0000-0000-000036AC0000}"/>
    <cellStyle name="STYL3 - Style4 3" xfId="42394" xr:uid="{00000000-0005-0000-0000-000037AC0000}"/>
    <cellStyle name="STYL4 - Style5" xfId="597" xr:uid="{00000000-0005-0000-0000-000038AC0000}"/>
    <cellStyle name="STYL4 - Style5 2" xfId="42395" xr:uid="{00000000-0005-0000-0000-000039AC0000}"/>
    <cellStyle name="STYL4 - Style5 3" xfId="42396" xr:uid="{00000000-0005-0000-0000-00003AAC0000}"/>
    <cellStyle name="STYL5 - Style6" xfId="598" xr:uid="{00000000-0005-0000-0000-00003BAC0000}"/>
    <cellStyle name="STYL5 - Style6 2" xfId="42397" xr:uid="{00000000-0005-0000-0000-00003CAC0000}"/>
    <cellStyle name="STYL5 - Style6 3" xfId="42398" xr:uid="{00000000-0005-0000-0000-00003DAC0000}"/>
    <cellStyle name="STYL6 - Style7" xfId="599" xr:uid="{00000000-0005-0000-0000-00003EAC0000}"/>
    <cellStyle name="STYL6 - Style7 2" xfId="42399" xr:uid="{00000000-0005-0000-0000-00003FAC0000}"/>
    <cellStyle name="STYL6 - Style7 3" xfId="42400" xr:uid="{00000000-0005-0000-0000-000040AC0000}"/>
    <cellStyle name="STYL7 - Style8" xfId="600" xr:uid="{00000000-0005-0000-0000-000041AC0000}"/>
    <cellStyle name="STYL7 - Style8 2" xfId="42401" xr:uid="{00000000-0005-0000-0000-000042AC0000}"/>
    <cellStyle name="STYL7 - Style8 3" xfId="42402" xr:uid="{00000000-0005-0000-0000-000043AC0000}"/>
    <cellStyle name="Style 1" xfId="601" xr:uid="{00000000-0005-0000-0000-000044AC0000}"/>
    <cellStyle name="Style 1 2" xfId="602" xr:uid="{00000000-0005-0000-0000-000045AC0000}"/>
    <cellStyle name="Style 1 2 2" xfId="2316" xr:uid="{00000000-0005-0000-0000-000046AC0000}"/>
    <cellStyle name="Style 1 2 2 2" xfId="42403" xr:uid="{00000000-0005-0000-0000-000047AC0000}"/>
    <cellStyle name="Style 1 2 3" xfId="42404" xr:uid="{00000000-0005-0000-0000-000048AC0000}"/>
    <cellStyle name="Style 1 2 4" xfId="42405" xr:uid="{00000000-0005-0000-0000-000049AC0000}"/>
    <cellStyle name="Style 1 3" xfId="2317" xr:uid="{00000000-0005-0000-0000-00004AAC0000}"/>
    <cellStyle name="Style 1 3 2" xfId="36818" xr:uid="{00000000-0005-0000-0000-00004BAC0000}"/>
    <cellStyle name="Style 1 4" xfId="2318" xr:uid="{00000000-0005-0000-0000-00004CAC0000}"/>
    <cellStyle name="Style 1 4 2" xfId="42406" xr:uid="{00000000-0005-0000-0000-00004DAC0000}"/>
    <cellStyle name="Style 1 5" xfId="36819" xr:uid="{00000000-0005-0000-0000-00004EAC0000}"/>
    <cellStyle name="Style 1 6" xfId="42407" xr:uid="{00000000-0005-0000-0000-00004FAC0000}"/>
    <cellStyle name="Style 1 7" xfId="42408" xr:uid="{00000000-0005-0000-0000-000050AC0000}"/>
    <cellStyle name="Style 1_Recycle Center Commodities MRF" xfId="36820" xr:uid="{00000000-0005-0000-0000-000051AC0000}"/>
    <cellStyle name="STYLE1" xfId="603" xr:uid="{00000000-0005-0000-0000-000052AC0000}"/>
    <cellStyle name="STYLE1 2" xfId="650" xr:uid="{00000000-0005-0000-0000-000053AC0000}"/>
    <cellStyle name="STYLE1 2 2" xfId="42409" xr:uid="{00000000-0005-0000-0000-000054AC0000}"/>
    <cellStyle name="STYLE1 2 3" xfId="42410" xr:uid="{00000000-0005-0000-0000-000055AC0000}"/>
    <cellStyle name="STYLE1 2 4" xfId="42411" xr:uid="{00000000-0005-0000-0000-000056AC0000}"/>
    <cellStyle name="STYLE1 3" xfId="36821" xr:uid="{00000000-0005-0000-0000-000057AC0000}"/>
    <cellStyle name="STYLE1 3 2" xfId="36822" xr:uid="{00000000-0005-0000-0000-000058AC0000}"/>
    <cellStyle name="STYLE1 3 3" xfId="44725" xr:uid="{00000000-0005-0000-0000-000059AC0000}"/>
    <cellStyle name="STYLE1 4" xfId="42412" xr:uid="{00000000-0005-0000-0000-00005AAC0000}"/>
    <cellStyle name="STYLE1 5" xfId="42413" xr:uid="{00000000-0005-0000-0000-00005BAC0000}"/>
    <cellStyle name="sub heading" xfId="604" xr:uid="{00000000-0005-0000-0000-00005CAC0000}"/>
    <cellStyle name="sub heading 2" xfId="42414" xr:uid="{00000000-0005-0000-0000-00005DAC0000}"/>
    <cellStyle name="sub heading 3" xfId="42415" xr:uid="{00000000-0005-0000-0000-00005EAC0000}"/>
    <cellStyle name="Table  - Style5" xfId="2319" xr:uid="{00000000-0005-0000-0000-00005FAC0000}"/>
    <cellStyle name="Table  - Style5 10" xfId="36823" xr:uid="{00000000-0005-0000-0000-000060AC0000}"/>
    <cellStyle name="Table  - Style5 10 2" xfId="36824" xr:uid="{00000000-0005-0000-0000-000061AC0000}"/>
    <cellStyle name="Table  - Style5 10 3" xfId="36825" xr:uid="{00000000-0005-0000-0000-000062AC0000}"/>
    <cellStyle name="Table  - Style5 11" xfId="36826" xr:uid="{00000000-0005-0000-0000-000063AC0000}"/>
    <cellStyle name="Table  - Style5 11 2" xfId="36827" xr:uid="{00000000-0005-0000-0000-000064AC0000}"/>
    <cellStyle name="Table  - Style5 11 3" xfId="36828" xr:uid="{00000000-0005-0000-0000-000065AC0000}"/>
    <cellStyle name="Table  - Style5 12" xfId="44726" xr:uid="{00000000-0005-0000-0000-000066AC0000}"/>
    <cellStyle name="Table  - Style5 2" xfId="36829" xr:uid="{00000000-0005-0000-0000-000067AC0000}"/>
    <cellStyle name="Table  - Style5 2 2" xfId="36830" xr:uid="{00000000-0005-0000-0000-000068AC0000}"/>
    <cellStyle name="Table  - Style5 2 2 2" xfId="36831" xr:uid="{00000000-0005-0000-0000-000069AC0000}"/>
    <cellStyle name="Table  - Style5 2 2 3" xfId="36832" xr:uid="{00000000-0005-0000-0000-00006AAC0000}"/>
    <cellStyle name="Table  - Style5 2 3" xfId="36833" xr:uid="{00000000-0005-0000-0000-00006BAC0000}"/>
    <cellStyle name="Table  - Style5 2 3 2" xfId="36834" xr:uid="{00000000-0005-0000-0000-00006CAC0000}"/>
    <cellStyle name="Table  - Style5 2 3 3" xfId="36835" xr:uid="{00000000-0005-0000-0000-00006DAC0000}"/>
    <cellStyle name="Table  - Style5 2 4" xfId="36836" xr:uid="{00000000-0005-0000-0000-00006EAC0000}"/>
    <cellStyle name="Table  - Style5 2 4 2" xfId="36837" xr:uid="{00000000-0005-0000-0000-00006FAC0000}"/>
    <cellStyle name="Table  - Style5 2 4 3" xfId="36838" xr:uid="{00000000-0005-0000-0000-000070AC0000}"/>
    <cellStyle name="Table  - Style5 2 5" xfId="36839" xr:uid="{00000000-0005-0000-0000-000071AC0000}"/>
    <cellStyle name="Table  - Style5 2 5 2" xfId="36840" xr:uid="{00000000-0005-0000-0000-000072AC0000}"/>
    <cellStyle name="Table  - Style5 2 5 3" xfId="36841" xr:uid="{00000000-0005-0000-0000-000073AC0000}"/>
    <cellStyle name="Table  - Style5 2 6" xfId="36842" xr:uid="{00000000-0005-0000-0000-000074AC0000}"/>
    <cellStyle name="Table  - Style5 2 6 2" xfId="36843" xr:uid="{00000000-0005-0000-0000-000075AC0000}"/>
    <cellStyle name="Table  - Style5 2 6 3" xfId="36844" xr:uid="{00000000-0005-0000-0000-000076AC0000}"/>
    <cellStyle name="Table  - Style5 2 7" xfId="36845" xr:uid="{00000000-0005-0000-0000-000077AC0000}"/>
    <cellStyle name="Table  - Style5 2 7 2" xfId="36846" xr:uid="{00000000-0005-0000-0000-000078AC0000}"/>
    <cellStyle name="Table  - Style5 2 7 3" xfId="36847" xr:uid="{00000000-0005-0000-0000-000079AC0000}"/>
    <cellStyle name="Table  - Style5 2 8" xfId="44727" xr:uid="{00000000-0005-0000-0000-00007AAC0000}"/>
    <cellStyle name="Table  - Style5 3" xfId="36848" xr:uid="{00000000-0005-0000-0000-00007BAC0000}"/>
    <cellStyle name="Table  - Style5 3 2" xfId="36849" xr:uid="{00000000-0005-0000-0000-00007CAC0000}"/>
    <cellStyle name="Table  - Style5 3 2 2" xfId="36850" xr:uid="{00000000-0005-0000-0000-00007DAC0000}"/>
    <cellStyle name="Table  - Style5 3 2 3" xfId="36851" xr:uid="{00000000-0005-0000-0000-00007EAC0000}"/>
    <cellStyle name="Table  - Style5 3 3" xfId="36852" xr:uid="{00000000-0005-0000-0000-00007FAC0000}"/>
    <cellStyle name="Table  - Style5 3 3 2" xfId="36853" xr:uid="{00000000-0005-0000-0000-000080AC0000}"/>
    <cellStyle name="Table  - Style5 3 3 3" xfId="36854" xr:uid="{00000000-0005-0000-0000-000081AC0000}"/>
    <cellStyle name="Table  - Style5 3 4" xfId="36855" xr:uid="{00000000-0005-0000-0000-000082AC0000}"/>
    <cellStyle name="Table  - Style5 3 4 2" xfId="36856" xr:uid="{00000000-0005-0000-0000-000083AC0000}"/>
    <cellStyle name="Table  - Style5 3 4 3" xfId="36857" xr:uid="{00000000-0005-0000-0000-000084AC0000}"/>
    <cellStyle name="Table  - Style5 3 5" xfId="36858" xr:uid="{00000000-0005-0000-0000-000085AC0000}"/>
    <cellStyle name="Table  - Style5 3 5 2" xfId="36859" xr:uid="{00000000-0005-0000-0000-000086AC0000}"/>
    <cellStyle name="Table  - Style5 3 5 3" xfId="36860" xr:uid="{00000000-0005-0000-0000-000087AC0000}"/>
    <cellStyle name="Table  - Style5 3 6" xfId="36861" xr:uid="{00000000-0005-0000-0000-000088AC0000}"/>
    <cellStyle name="Table  - Style5 3 6 2" xfId="36862" xr:uid="{00000000-0005-0000-0000-000089AC0000}"/>
    <cellStyle name="Table  - Style5 3 6 3" xfId="36863" xr:uid="{00000000-0005-0000-0000-00008AAC0000}"/>
    <cellStyle name="Table  - Style5 3 7" xfId="36864" xr:uid="{00000000-0005-0000-0000-00008BAC0000}"/>
    <cellStyle name="Table  - Style5 3 7 2" xfId="36865" xr:uid="{00000000-0005-0000-0000-00008CAC0000}"/>
    <cellStyle name="Table  - Style5 3 7 3" xfId="36866" xr:uid="{00000000-0005-0000-0000-00008DAC0000}"/>
    <cellStyle name="Table  - Style5 3 8" xfId="44728" xr:uid="{00000000-0005-0000-0000-00008EAC0000}"/>
    <cellStyle name="Table  - Style5 4" xfId="36867" xr:uid="{00000000-0005-0000-0000-00008FAC0000}"/>
    <cellStyle name="Table  - Style5 4 2" xfId="36868" xr:uid="{00000000-0005-0000-0000-000090AC0000}"/>
    <cellStyle name="Table  - Style5 4 2 2" xfId="36869" xr:uid="{00000000-0005-0000-0000-000091AC0000}"/>
    <cellStyle name="Table  - Style5 4 2 3" xfId="36870" xr:uid="{00000000-0005-0000-0000-000092AC0000}"/>
    <cellStyle name="Table  - Style5 4 3" xfId="36871" xr:uid="{00000000-0005-0000-0000-000093AC0000}"/>
    <cellStyle name="Table  - Style5 4 3 2" xfId="36872" xr:uid="{00000000-0005-0000-0000-000094AC0000}"/>
    <cellStyle name="Table  - Style5 4 3 3" xfId="36873" xr:uid="{00000000-0005-0000-0000-000095AC0000}"/>
    <cellStyle name="Table  - Style5 4 4" xfId="36874" xr:uid="{00000000-0005-0000-0000-000096AC0000}"/>
    <cellStyle name="Table  - Style5 4 4 2" xfId="36875" xr:uid="{00000000-0005-0000-0000-000097AC0000}"/>
    <cellStyle name="Table  - Style5 4 4 3" xfId="36876" xr:uid="{00000000-0005-0000-0000-000098AC0000}"/>
    <cellStyle name="Table  - Style5 4 5" xfId="36877" xr:uid="{00000000-0005-0000-0000-000099AC0000}"/>
    <cellStyle name="Table  - Style5 4 5 2" xfId="36878" xr:uid="{00000000-0005-0000-0000-00009AAC0000}"/>
    <cellStyle name="Table  - Style5 4 5 3" xfId="36879" xr:uid="{00000000-0005-0000-0000-00009BAC0000}"/>
    <cellStyle name="Table  - Style5 4 6" xfId="36880" xr:uid="{00000000-0005-0000-0000-00009CAC0000}"/>
    <cellStyle name="Table  - Style5 4 6 2" xfId="36881" xr:uid="{00000000-0005-0000-0000-00009DAC0000}"/>
    <cellStyle name="Table  - Style5 4 6 3" xfId="36882" xr:uid="{00000000-0005-0000-0000-00009EAC0000}"/>
    <cellStyle name="Table  - Style5 4 7" xfId="36883" xr:uid="{00000000-0005-0000-0000-00009FAC0000}"/>
    <cellStyle name="Table  - Style5 4 7 2" xfId="36884" xr:uid="{00000000-0005-0000-0000-0000A0AC0000}"/>
    <cellStyle name="Table  - Style5 4 7 3" xfId="36885" xr:uid="{00000000-0005-0000-0000-0000A1AC0000}"/>
    <cellStyle name="Table  - Style5 4 8" xfId="44729" xr:uid="{00000000-0005-0000-0000-0000A2AC0000}"/>
    <cellStyle name="Table  - Style5 5" xfId="36886" xr:uid="{00000000-0005-0000-0000-0000A3AC0000}"/>
    <cellStyle name="Table  - Style5 5 2" xfId="36887" xr:uid="{00000000-0005-0000-0000-0000A4AC0000}"/>
    <cellStyle name="Table  - Style5 5 2 2" xfId="36888" xr:uid="{00000000-0005-0000-0000-0000A5AC0000}"/>
    <cellStyle name="Table  - Style5 5 2 3" xfId="36889" xr:uid="{00000000-0005-0000-0000-0000A6AC0000}"/>
    <cellStyle name="Table  - Style5 5 3" xfId="36890" xr:uid="{00000000-0005-0000-0000-0000A7AC0000}"/>
    <cellStyle name="Table  - Style5 5 3 2" xfId="36891" xr:uid="{00000000-0005-0000-0000-0000A8AC0000}"/>
    <cellStyle name="Table  - Style5 5 3 3" xfId="36892" xr:uid="{00000000-0005-0000-0000-0000A9AC0000}"/>
    <cellStyle name="Table  - Style5 5 4" xfId="36893" xr:uid="{00000000-0005-0000-0000-0000AAAC0000}"/>
    <cellStyle name="Table  - Style5 5 4 2" xfId="36894" xr:uid="{00000000-0005-0000-0000-0000ABAC0000}"/>
    <cellStyle name="Table  - Style5 5 4 3" xfId="36895" xr:uid="{00000000-0005-0000-0000-0000ACAC0000}"/>
    <cellStyle name="Table  - Style5 5 5" xfId="36896" xr:uid="{00000000-0005-0000-0000-0000ADAC0000}"/>
    <cellStyle name="Table  - Style5 5 5 2" xfId="36897" xr:uid="{00000000-0005-0000-0000-0000AEAC0000}"/>
    <cellStyle name="Table  - Style5 5 5 3" xfId="36898" xr:uid="{00000000-0005-0000-0000-0000AFAC0000}"/>
    <cellStyle name="Table  - Style5 5 6" xfId="36899" xr:uid="{00000000-0005-0000-0000-0000B0AC0000}"/>
    <cellStyle name="Table  - Style5 5 6 2" xfId="36900" xr:uid="{00000000-0005-0000-0000-0000B1AC0000}"/>
    <cellStyle name="Table  - Style5 5 6 3" xfId="36901" xr:uid="{00000000-0005-0000-0000-0000B2AC0000}"/>
    <cellStyle name="Table  - Style5 5 7" xfId="36902" xr:uid="{00000000-0005-0000-0000-0000B3AC0000}"/>
    <cellStyle name="Table  - Style5 5 7 2" xfId="36903" xr:uid="{00000000-0005-0000-0000-0000B4AC0000}"/>
    <cellStyle name="Table  - Style5 5 7 3" xfId="36904" xr:uid="{00000000-0005-0000-0000-0000B5AC0000}"/>
    <cellStyle name="Table  - Style5 5 8" xfId="44730" xr:uid="{00000000-0005-0000-0000-0000B6AC0000}"/>
    <cellStyle name="Table  - Style5 6" xfId="36905" xr:uid="{00000000-0005-0000-0000-0000B7AC0000}"/>
    <cellStyle name="Table  - Style5 6 2" xfId="36906" xr:uid="{00000000-0005-0000-0000-0000B8AC0000}"/>
    <cellStyle name="Table  - Style5 7" xfId="36907" xr:uid="{00000000-0005-0000-0000-0000B9AC0000}"/>
    <cellStyle name="Table  - Style5 7 2" xfId="36908" xr:uid="{00000000-0005-0000-0000-0000BAAC0000}"/>
    <cellStyle name="Table  - Style5 7 3" xfId="36909" xr:uid="{00000000-0005-0000-0000-0000BBAC0000}"/>
    <cellStyle name="Table  - Style5 8" xfId="36910" xr:uid="{00000000-0005-0000-0000-0000BCAC0000}"/>
    <cellStyle name="Table  - Style5 8 2" xfId="36911" xr:uid="{00000000-0005-0000-0000-0000BDAC0000}"/>
    <cellStyle name="Table  - Style5 8 3" xfId="36912" xr:uid="{00000000-0005-0000-0000-0000BEAC0000}"/>
    <cellStyle name="Table  - Style5 9" xfId="36913" xr:uid="{00000000-0005-0000-0000-0000BFAC0000}"/>
    <cellStyle name="Table  - Style5 9 2" xfId="36914" xr:uid="{00000000-0005-0000-0000-0000C0AC0000}"/>
    <cellStyle name="Table  - Style5 9 3" xfId="36915" xr:uid="{00000000-0005-0000-0000-0000C1AC0000}"/>
    <cellStyle name="Table  - Style6" xfId="2320" xr:uid="{00000000-0005-0000-0000-0000C2AC0000}"/>
    <cellStyle name="Table  - Style6 10" xfId="36916" xr:uid="{00000000-0005-0000-0000-0000C3AC0000}"/>
    <cellStyle name="Table  - Style6 10 2" xfId="36917" xr:uid="{00000000-0005-0000-0000-0000C4AC0000}"/>
    <cellStyle name="Table  - Style6 10 3" xfId="36918" xr:uid="{00000000-0005-0000-0000-0000C5AC0000}"/>
    <cellStyle name="Table  - Style6 11" xfId="36919" xr:uid="{00000000-0005-0000-0000-0000C6AC0000}"/>
    <cellStyle name="Table  - Style6 11 2" xfId="36920" xr:uid="{00000000-0005-0000-0000-0000C7AC0000}"/>
    <cellStyle name="Table  - Style6 11 3" xfId="36921" xr:uid="{00000000-0005-0000-0000-0000C8AC0000}"/>
    <cellStyle name="Table  - Style6 12" xfId="44731" xr:uid="{00000000-0005-0000-0000-0000C9AC0000}"/>
    <cellStyle name="Table  - Style6 2" xfId="36922" xr:uid="{00000000-0005-0000-0000-0000CAAC0000}"/>
    <cellStyle name="Table  - Style6 2 2" xfId="36923" xr:uid="{00000000-0005-0000-0000-0000CBAC0000}"/>
    <cellStyle name="Table  - Style6 2 2 2" xfId="36924" xr:uid="{00000000-0005-0000-0000-0000CCAC0000}"/>
    <cellStyle name="Table  - Style6 2 2 3" xfId="36925" xr:uid="{00000000-0005-0000-0000-0000CDAC0000}"/>
    <cellStyle name="Table  - Style6 2 3" xfId="36926" xr:uid="{00000000-0005-0000-0000-0000CEAC0000}"/>
    <cellStyle name="Table  - Style6 2 3 2" xfId="36927" xr:uid="{00000000-0005-0000-0000-0000CFAC0000}"/>
    <cellStyle name="Table  - Style6 2 3 3" xfId="36928" xr:uid="{00000000-0005-0000-0000-0000D0AC0000}"/>
    <cellStyle name="Table  - Style6 2 4" xfId="36929" xr:uid="{00000000-0005-0000-0000-0000D1AC0000}"/>
    <cellStyle name="Table  - Style6 2 4 2" xfId="36930" xr:uid="{00000000-0005-0000-0000-0000D2AC0000}"/>
    <cellStyle name="Table  - Style6 2 4 3" xfId="36931" xr:uid="{00000000-0005-0000-0000-0000D3AC0000}"/>
    <cellStyle name="Table  - Style6 2 5" xfId="36932" xr:uid="{00000000-0005-0000-0000-0000D4AC0000}"/>
    <cellStyle name="Table  - Style6 2 5 2" xfId="36933" xr:uid="{00000000-0005-0000-0000-0000D5AC0000}"/>
    <cellStyle name="Table  - Style6 2 5 3" xfId="36934" xr:uid="{00000000-0005-0000-0000-0000D6AC0000}"/>
    <cellStyle name="Table  - Style6 2 6" xfId="36935" xr:uid="{00000000-0005-0000-0000-0000D7AC0000}"/>
    <cellStyle name="Table  - Style6 2 6 2" xfId="36936" xr:uid="{00000000-0005-0000-0000-0000D8AC0000}"/>
    <cellStyle name="Table  - Style6 2 6 3" xfId="36937" xr:uid="{00000000-0005-0000-0000-0000D9AC0000}"/>
    <cellStyle name="Table  - Style6 2 7" xfId="36938" xr:uid="{00000000-0005-0000-0000-0000DAAC0000}"/>
    <cellStyle name="Table  - Style6 2 7 2" xfId="36939" xr:uid="{00000000-0005-0000-0000-0000DBAC0000}"/>
    <cellStyle name="Table  - Style6 2 7 3" xfId="36940" xr:uid="{00000000-0005-0000-0000-0000DCAC0000}"/>
    <cellStyle name="Table  - Style6 2 8" xfId="44732" xr:uid="{00000000-0005-0000-0000-0000DDAC0000}"/>
    <cellStyle name="Table  - Style6 3" xfId="36941" xr:uid="{00000000-0005-0000-0000-0000DEAC0000}"/>
    <cellStyle name="Table  - Style6 3 2" xfId="36942" xr:uid="{00000000-0005-0000-0000-0000DFAC0000}"/>
    <cellStyle name="Table  - Style6 3 2 2" xfId="36943" xr:uid="{00000000-0005-0000-0000-0000E0AC0000}"/>
    <cellStyle name="Table  - Style6 3 2 3" xfId="36944" xr:uid="{00000000-0005-0000-0000-0000E1AC0000}"/>
    <cellStyle name="Table  - Style6 3 3" xfId="36945" xr:uid="{00000000-0005-0000-0000-0000E2AC0000}"/>
    <cellStyle name="Table  - Style6 3 3 2" xfId="36946" xr:uid="{00000000-0005-0000-0000-0000E3AC0000}"/>
    <cellStyle name="Table  - Style6 3 3 3" xfId="36947" xr:uid="{00000000-0005-0000-0000-0000E4AC0000}"/>
    <cellStyle name="Table  - Style6 3 4" xfId="36948" xr:uid="{00000000-0005-0000-0000-0000E5AC0000}"/>
    <cellStyle name="Table  - Style6 3 4 2" xfId="36949" xr:uid="{00000000-0005-0000-0000-0000E6AC0000}"/>
    <cellStyle name="Table  - Style6 3 4 3" xfId="36950" xr:uid="{00000000-0005-0000-0000-0000E7AC0000}"/>
    <cellStyle name="Table  - Style6 3 5" xfId="36951" xr:uid="{00000000-0005-0000-0000-0000E8AC0000}"/>
    <cellStyle name="Table  - Style6 3 5 2" xfId="36952" xr:uid="{00000000-0005-0000-0000-0000E9AC0000}"/>
    <cellStyle name="Table  - Style6 3 5 3" xfId="36953" xr:uid="{00000000-0005-0000-0000-0000EAAC0000}"/>
    <cellStyle name="Table  - Style6 3 6" xfId="36954" xr:uid="{00000000-0005-0000-0000-0000EBAC0000}"/>
    <cellStyle name="Table  - Style6 3 6 2" xfId="36955" xr:uid="{00000000-0005-0000-0000-0000ECAC0000}"/>
    <cellStyle name="Table  - Style6 3 6 3" xfId="36956" xr:uid="{00000000-0005-0000-0000-0000EDAC0000}"/>
    <cellStyle name="Table  - Style6 3 7" xfId="36957" xr:uid="{00000000-0005-0000-0000-0000EEAC0000}"/>
    <cellStyle name="Table  - Style6 3 7 2" xfId="36958" xr:uid="{00000000-0005-0000-0000-0000EFAC0000}"/>
    <cellStyle name="Table  - Style6 3 7 3" xfId="36959" xr:uid="{00000000-0005-0000-0000-0000F0AC0000}"/>
    <cellStyle name="Table  - Style6 3 8" xfId="44733" xr:uid="{00000000-0005-0000-0000-0000F1AC0000}"/>
    <cellStyle name="Table  - Style6 4" xfId="36960" xr:uid="{00000000-0005-0000-0000-0000F2AC0000}"/>
    <cellStyle name="Table  - Style6 4 2" xfId="36961" xr:uid="{00000000-0005-0000-0000-0000F3AC0000}"/>
    <cellStyle name="Table  - Style6 4 2 2" xfId="36962" xr:uid="{00000000-0005-0000-0000-0000F4AC0000}"/>
    <cellStyle name="Table  - Style6 4 2 3" xfId="36963" xr:uid="{00000000-0005-0000-0000-0000F5AC0000}"/>
    <cellStyle name="Table  - Style6 4 3" xfId="36964" xr:uid="{00000000-0005-0000-0000-0000F6AC0000}"/>
    <cellStyle name="Table  - Style6 4 3 2" xfId="36965" xr:uid="{00000000-0005-0000-0000-0000F7AC0000}"/>
    <cellStyle name="Table  - Style6 4 3 3" xfId="36966" xr:uid="{00000000-0005-0000-0000-0000F8AC0000}"/>
    <cellStyle name="Table  - Style6 4 4" xfId="36967" xr:uid="{00000000-0005-0000-0000-0000F9AC0000}"/>
    <cellStyle name="Table  - Style6 4 4 2" xfId="36968" xr:uid="{00000000-0005-0000-0000-0000FAAC0000}"/>
    <cellStyle name="Table  - Style6 4 4 3" xfId="36969" xr:uid="{00000000-0005-0000-0000-0000FBAC0000}"/>
    <cellStyle name="Table  - Style6 4 5" xfId="36970" xr:uid="{00000000-0005-0000-0000-0000FCAC0000}"/>
    <cellStyle name="Table  - Style6 4 5 2" xfId="36971" xr:uid="{00000000-0005-0000-0000-0000FDAC0000}"/>
    <cellStyle name="Table  - Style6 4 5 3" xfId="36972" xr:uid="{00000000-0005-0000-0000-0000FEAC0000}"/>
    <cellStyle name="Table  - Style6 4 6" xfId="36973" xr:uid="{00000000-0005-0000-0000-0000FFAC0000}"/>
    <cellStyle name="Table  - Style6 4 6 2" xfId="36974" xr:uid="{00000000-0005-0000-0000-000000AD0000}"/>
    <cellStyle name="Table  - Style6 4 6 3" xfId="36975" xr:uid="{00000000-0005-0000-0000-000001AD0000}"/>
    <cellStyle name="Table  - Style6 4 7" xfId="36976" xr:uid="{00000000-0005-0000-0000-000002AD0000}"/>
    <cellStyle name="Table  - Style6 4 7 2" xfId="36977" xr:uid="{00000000-0005-0000-0000-000003AD0000}"/>
    <cellStyle name="Table  - Style6 4 7 3" xfId="36978" xr:uid="{00000000-0005-0000-0000-000004AD0000}"/>
    <cellStyle name="Table  - Style6 4 8" xfId="44734" xr:uid="{00000000-0005-0000-0000-000005AD0000}"/>
    <cellStyle name="Table  - Style6 5" xfId="36979" xr:uid="{00000000-0005-0000-0000-000006AD0000}"/>
    <cellStyle name="Table  - Style6 5 2" xfId="36980" xr:uid="{00000000-0005-0000-0000-000007AD0000}"/>
    <cellStyle name="Table  - Style6 5 2 2" xfId="36981" xr:uid="{00000000-0005-0000-0000-000008AD0000}"/>
    <cellStyle name="Table  - Style6 5 2 3" xfId="36982" xr:uid="{00000000-0005-0000-0000-000009AD0000}"/>
    <cellStyle name="Table  - Style6 5 3" xfId="36983" xr:uid="{00000000-0005-0000-0000-00000AAD0000}"/>
    <cellStyle name="Table  - Style6 5 3 2" xfId="36984" xr:uid="{00000000-0005-0000-0000-00000BAD0000}"/>
    <cellStyle name="Table  - Style6 5 3 3" xfId="36985" xr:uid="{00000000-0005-0000-0000-00000CAD0000}"/>
    <cellStyle name="Table  - Style6 5 4" xfId="36986" xr:uid="{00000000-0005-0000-0000-00000DAD0000}"/>
    <cellStyle name="Table  - Style6 5 4 2" xfId="36987" xr:uid="{00000000-0005-0000-0000-00000EAD0000}"/>
    <cellStyle name="Table  - Style6 5 4 3" xfId="36988" xr:uid="{00000000-0005-0000-0000-00000FAD0000}"/>
    <cellStyle name="Table  - Style6 5 5" xfId="36989" xr:uid="{00000000-0005-0000-0000-000010AD0000}"/>
    <cellStyle name="Table  - Style6 5 5 2" xfId="36990" xr:uid="{00000000-0005-0000-0000-000011AD0000}"/>
    <cellStyle name="Table  - Style6 5 5 3" xfId="36991" xr:uid="{00000000-0005-0000-0000-000012AD0000}"/>
    <cellStyle name="Table  - Style6 5 6" xfId="36992" xr:uid="{00000000-0005-0000-0000-000013AD0000}"/>
    <cellStyle name="Table  - Style6 5 6 2" xfId="36993" xr:uid="{00000000-0005-0000-0000-000014AD0000}"/>
    <cellStyle name="Table  - Style6 5 6 3" xfId="36994" xr:uid="{00000000-0005-0000-0000-000015AD0000}"/>
    <cellStyle name="Table  - Style6 5 7" xfId="36995" xr:uid="{00000000-0005-0000-0000-000016AD0000}"/>
    <cellStyle name="Table  - Style6 5 7 2" xfId="36996" xr:uid="{00000000-0005-0000-0000-000017AD0000}"/>
    <cellStyle name="Table  - Style6 5 7 3" xfId="36997" xr:uid="{00000000-0005-0000-0000-000018AD0000}"/>
    <cellStyle name="Table  - Style6 5 8" xfId="44735" xr:uid="{00000000-0005-0000-0000-000019AD0000}"/>
    <cellStyle name="Table  - Style6 6" xfId="36998" xr:uid="{00000000-0005-0000-0000-00001AAD0000}"/>
    <cellStyle name="Table  - Style6 6 2" xfId="36999" xr:uid="{00000000-0005-0000-0000-00001BAD0000}"/>
    <cellStyle name="Table  - Style6 7" xfId="37000" xr:uid="{00000000-0005-0000-0000-00001CAD0000}"/>
    <cellStyle name="Table  - Style6 7 2" xfId="37001" xr:uid="{00000000-0005-0000-0000-00001DAD0000}"/>
    <cellStyle name="Table  - Style6 7 3" xfId="37002" xr:uid="{00000000-0005-0000-0000-00001EAD0000}"/>
    <cellStyle name="Table  - Style6 8" xfId="37003" xr:uid="{00000000-0005-0000-0000-00001FAD0000}"/>
    <cellStyle name="Table  - Style6 8 2" xfId="37004" xr:uid="{00000000-0005-0000-0000-000020AD0000}"/>
    <cellStyle name="Table  - Style6 8 3" xfId="37005" xr:uid="{00000000-0005-0000-0000-000021AD0000}"/>
    <cellStyle name="Table  - Style6 9" xfId="37006" xr:uid="{00000000-0005-0000-0000-000022AD0000}"/>
    <cellStyle name="Table  - Style6 9 2" xfId="37007" xr:uid="{00000000-0005-0000-0000-000023AD0000}"/>
    <cellStyle name="Table  - Style6 9 3" xfId="37008" xr:uid="{00000000-0005-0000-0000-000024AD0000}"/>
    <cellStyle name="Tax_Rate" xfId="605" xr:uid="{00000000-0005-0000-0000-000025AD0000}"/>
    <cellStyle name="Title  - Style1" xfId="2321" xr:uid="{00000000-0005-0000-0000-000026AD0000}"/>
    <cellStyle name="Title  - Style1 2" xfId="42416" xr:uid="{00000000-0005-0000-0000-000027AD0000}"/>
    <cellStyle name="Title  - Style6" xfId="2322" xr:uid="{00000000-0005-0000-0000-000028AD0000}"/>
    <cellStyle name="Title  - Style6 2" xfId="42417" xr:uid="{00000000-0005-0000-0000-000029AD0000}"/>
    <cellStyle name="Title 10" xfId="2323" xr:uid="{00000000-0005-0000-0000-00002AAD0000}"/>
    <cellStyle name="Title 10 2" xfId="42418" xr:uid="{00000000-0005-0000-0000-00002BAD0000}"/>
    <cellStyle name="Title 11" xfId="2324" xr:uid="{00000000-0005-0000-0000-00002CAD0000}"/>
    <cellStyle name="Title 11 2" xfId="42419" xr:uid="{00000000-0005-0000-0000-00002DAD0000}"/>
    <cellStyle name="Title 12" xfId="2325" xr:uid="{00000000-0005-0000-0000-00002EAD0000}"/>
    <cellStyle name="Title 12 2" xfId="42420" xr:uid="{00000000-0005-0000-0000-00002FAD0000}"/>
    <cellStyle name="Title 13" xfId="37009" xr:uid="{00000000-0005-0000-0000-000030AD0000}"/>
    <cellStyle name="Title 14" xfId="37010" xr:uid="{00000000-0005-0000-0000-000031AD0000}"/>
    <cellStyle name="Title 15" xfId="37011" xr:uid="{00000000-0005-0000-0000-000032AD0000}"/>
    <cellStyle name="Title 16" xfId="37012" xr:uid="{00000000-0005-0000-0000-000033AD0000}"/>
    <cellStyle name="Title 17" xfId="37013" xr:uid="{00000000-0005-0000-0000-000034AD0000}"/>
    <cellStyle name="Title 18" xfId="37014" xr:uid="{00000000-0005-0000-0000-000035AD0000}"/>
    <cellStyle name="Title 19" xfId="37015" xr:uid="{00000000-0005-0000-0000-000036AD0000}"/>
    <cellStyle name="Title 2" xfId="606" xr:uid="{00000000-0005-0000-0000-000037AD0000}"/>
    <cellStyle name="Title 2 2" xfId="2326" xr:uid="{00000000-0005-0000-0000-000038AD0000}"/>
    <cellStyle name="Title 2 2 2" xfId="2327" xr:uid="{00000000-0005-0000-0000-000039AD0000}"/>
    <cellStyle name="Title 2 2 2 2" xfId="37016" xr:uid="{00000000-0005-0000-0000-00003AAD0000}"/>
    <cellStyle name="Title 2 2 3" xfId="42421" xr:uid="{00000000-0005-0000-0000-00003BAD0000}"/>
    <cellStyle name="Title 2 2 4" xfId="42422" xr:uid="{00000000-0005-0000-0000-00003CAD0000}"/>
    <cellStyle name="Title 2 3" xfId="2328" xr:uid="{00000000-0005-0000-0000-00003DAD0000}"/>
    <cellStyle name="Title 2 3 2" xfId="37017" xr:uid="{00000000-0005-0000-0000-00003EAD0000}"/>
    <cellStyle name="Title 2 3 3" xfId="42423" xr:uid="{00000000-0005-0000-0000-00003FAD0000}"/>
    <cellStyle name="Title 2 4" xfId="2603" xr:uid="{00000000-0005-0000-0000-000040AD0000}"/>
    <cellStyle name="Title 2 5" xfId="42424" xr:uid="{00000000-0005-0000-0000-000041AD0000}"/>
    <cellStyle name="Title 2 6" xfId="42425" xr:uid="{00000000-0005-0000-0000-000042AD0000}"/>
    <cellStyle name="Title 2 7" xfId="46282" xr:uid="{00000000-0005-0000-0000-000043AD0000}"/>
    <cellStyle name="Title 20" xfId="37018" xr:uid="{00000000-0005-0000-0000-000044AD0000}"/>
    <cellStyle name="Title 21" xfId="37019" xr:uid="{00000000-0005-0000-0000-000045AD0000}"/>
    <cellStyle name="Title 22" xfId="37020" xr:uid="{00000000-0005-0000-0000-000046AD0000}"/>
    <cellStyle name="Title 23" xfId="37021" xr:uid="{00000000-0005-0000-0000-000047AD0000}"/>
    <cellStyle name="Title 24" xfId="37022" xr:uid="{00000000-0005-0000-0000-000048AD0000}"/>
    <cellStyle name="Title 25" xfId="37023" xr:uid="{00000000-0005-0000-0000-000049AD0000}"/>
    <cellStyle name="Title 3" xfId="607" xr:uid="{00000000-0005-0000-0000-00004AAD0000}"/>
    <cellStyle name="Title 3 2" xfId="608" xr:uid="{00000000-0005-0000-0000-00004BAD0000}"/>
    <cellStyle name="Title 3 2 2" xfId="37024" xr:uid="{00000000-0005-0000-0000-00004CAD0000}"/>
    <cellStyle name="Title 3 2 3" xfId="42426" xr:uid="{00000000-0005-0000-0000-00004DAD0000}"/>
    <cellStyle name="Title 3 3" xfId="37025" xr:uid="{00000000-0005-0000-0000-00004EAD0000}"/>
    <cellStyle name="Title 3 4" xfId="42427" xr:uid="{00000000-0005-0000-0000-00004FAD0000}"/>
    <cellStyle name="Title 3 5" xfId="42428" xr:uid="{00000000-0005-0000-0000-000050AD0000}"/>
    <cellStyle name="Title 3 6" xfId="42429" xr:uid="{00000000-0005-0000-0000-000051AD0000}"/>
    <cellStyle name="Title 4" xfId="682" xr:uid="{00000000-0005-0000-0000-000052AD0000}"/>
    <cellStyle name="Title 4 2" xfId="37026" xr:uid="{00000000-0005-0000-0000-000053AD0000}"/>
    <cellStyle name="Title 4 3" xfId="46120" xr:uid="{00000000-0005-0000-0000-000054AD0000}"/>
    <cellStyle name="Title 4 4" xfId="46283" xr:uid="{00000000-0005-0000-0000-000055AD0000}"/>
    <cellStyle name="Title 5" xfId="2329" xr:uid="{00000000-0005-0000-0000-000056AD0000}"/>
    <cellStyle name="Title 5 2" xfId="42430" xr:uid="{00000000-0005-0000-0000-000057AD0000}"/>
    <cellStyle name="Title 6" xfId="2330" xr:uid="{00000000-0005-0000-0000-000058AD0000}"/>
    <cellStyle name="Title 6 2" xfId="42431" xr:uid="{00000000-0005-0000-0000-000059AD0000}"/>
    <cellStyle name="Title 7" xfId="2331" xr:uid="{00000000-0005-0000-0000-00005AAD0000}"/>
    <cellStyle name="Title 7 2" xfId="42432" xr:uid="{00000000-0005-0000-0000-00005BAD0000}"/>
    <cellStyle name="Title 8" xfId="2332" xr:uid="{00000000-0005-0000-0000-00005CAD0000}"/>
    <cellStyle name="Title 8 2" xfId="42433" xr:uid="{00000000-0005-0000-0000-00005DAD0000}"/>
    <cellStyle name="Title 9" xfId="2333" xr:uid="{00000000-0005-0000-0000-00005EAD0000}"/>
    <cellStyle name="Title 9 2" xfId="42434" xr:uid="{00000000-0005-0000-0000-00005FAD0000}"/>
    <cellStyle name="Total 2" xfId="609" xr:uid="{00000000-0005-0000-0000-000060AD0000}"/>
    <cellStyle name="Total 2 2" xfId="610" xr:uid="{00000000-0005-0000-0000-000061AD0000}"/>
    <cellStyle name="Total 2 2 2" xfId="2334" xr:uid="{00000000-0005-0000-0000-000062AD0000}"/>
    <cellStyle name="Total 2 2 2 10" xfId="37027" xr:uid="{00000000-0005-0000-0000-000063AD0000}"/>
    <cellStyle name="Total 2 2 2 10 2" xfId="37028" xr:uid="{00000000-0005-0000-0000-000064AD0000}"/>
    <cellStyle name="Total 2 2 2 10 3" xfId="37029" xr:uid="{00000000-0005-0000-0000-000065AD0000}"/>
    <cellStyle name="Total 2 2 2 11" xfId="37030" xr:uid="{00000000-0005-0000-0000-000066AD0000}"/>
    <cellStyle name="Total 2 2 2 11 2" xfId="37031" xr:uid="{00000000-0005-0000-0000-000067AD0000}"/>
    <cellStyle name="Total 2 2 2 11 3" xfId="37032" xr:uid="{00000000-0005-0000-0000-000068AD0000}"/>
    <cellStyle name="Total 2 2 2 12" xfId="44736" xr:uid="{00000000-0005-0000-0000-000069AD0000}"/>
    <cellStyle name="Total 2 2 2 2" xfId="37033" xr:uid="{00000000-0005-0000-0000-00006AAD0000}"/>
    <cellStyle name="Total 2 2 2 2 2" xfId="37034" xr:uid="{00000000-0005-0000-0000-00006BAD0000}"/>
    <cellStyle name="Total 2 2 2 2 2 2" xfId="37035" xr:uid="{00000000-0005-0000-0000-00006CAD0000}"/>
    <cellStyle name="Total 2 2 2 2 2 3" xfId="37036" xr:uid="{00000000-0005-0000-0000-00006DAD0000}"/>
    <cellStyle name="Total 2 2 2 2 3" xfId="37037" xr:uid="{00000000-0005-0000-0000-00006EAD0000}"/>
    <cellStyle name="Total 2 2 2 2 3 2" xfId="37038" xr:uid="{00000000-0005-0000-0000-00006FAD0000}"/>
    <cellStyle name="Total 2 2 2 2 3 3" xfId="37039" xr:uid="{00000000-0005-0000-0000-000070AD0000}"/>
    <cellStyle name="Total 2 2 2 2 4" xfId="37040" xr:uid="{00000000-0005-0000-0000-000071AD0000}"/>
    <cellStyle name="Total 2 2 2 2 4 2" xfId="37041" xr:uid="{00000000-0005-0000-0000-000072AD0000}"/>
    <cellStyle name="Total 2 2 2 2 4 3" xfId="37042" xr:uid="{00000000-0005-0000-0000-000073AD0000}"/>
    <cellStyle name="Total 2 2 2 2 5" xfId="37043" xr:uid="{00000000-0005-0000-0000-000074AD0000}"/>
    <cellStyle name="Total 2 2 2 2 5 2" xfId="37044" xr:uid="{00000000-0005-0000-0000-000075AD0000}"/>
    <cellStyle name="Total 2 2 2 2 5 3" xfId="37045" xr:uid="{00000000-0005-0000-0000-000076AD0000}"/>
    <cellStyle name="Total 2 2 2 2 6" xfId="37046" xr:uid="{00000000-0005-0000-0000-000077AD0000}"/>
    <cellStyle name="Total 2 2 2 2 6 2" xfId="37047" xr:uid="{00000000-0005-0000-0000-000078AD0000}"/>
    <cellStyle name="Total 2 2 2 2 6 3" xfId="37048" xr:uid="{00000000-0005-0000-0000-000079AD0000}"/>
    <cellStyle name="Total 2 2 2 2 7" xfId="37049" xr:uid="{00000000-0005-0000-0000-00007AAD0000}"/>
    <cellStyle name="Total 2 2 2 2 7 2" xfId="37050" xr:uid="{00000000-0005-0000-0000-00007BAD0000}"/>
    <cellStyle name="Total 2 2 2 2 7 3" xfId="37051" xr:uid="{00000000-0005-0000-0000-00007CAD0000}"/>
    <cellStyle name="Total 2 2 2 2 8" xfId="44737" xr:uid="{00000000-0005-0000-0000-00007DAD0000}"/>
    <cellStyle name="Total 2 2 2 3" xfId="37052" xr:uid="{00000000-0005-0000-0000-00007EAD0000}"/>
    <cellStyle name="Total 2 2 2 3 2" xfId="37053" xr:uid="{00000000-0005-0000-0000-00007FAD0000}"/>
    <cellStyle name="Total 2 2 2 3 2 2" xfId="37054" xr:uid="{00000000-0005-0000-0000-000080AD0000}"/>
    <cellStyle name="Total 2 2 2 3 2 3" xfId="37055" xr:uid="{00000000-0005-0000-0000-000081AD0000}"/>
    <cellStyle name="Total 2 2 2 3 3" xfId="37056" xr:uid="{00000000-0005-0000-0000-000082AD0000}"/>
    <cellStyle name="Total 2 2 2 3 3 2" xfId="37057" xr:uid="{00000000-0005-0000-0000-000083AD0000}"/>
    <cellStyle name="Total 2 2 2 3 3 3" xfId="37058" xr:uid="{00000000-0005-0000-0000-000084AD0000}"/>
    <cellStyle name="Total 2 2 2 3 4" xfId="37059" xr:uid="{00000000-0005-0000-0000-000085AD0000}"/>
    <cellStyle name="Total 2 2 2 3 4 2" xfId="37060" xr:uid="{00000000-0005-0000-0000-000086AD0000}"/>
    <cellStyle name="Total 2 2 2 3 4 3" xfId="37061" xr:uid="{00000000-0005-0000-0000-000087AD0000}"/>
    <cellStyle name="Total 2 2 2 3 5" xfId="37062" xr:uid="{00000000-0005-0000-0000-000088AD0000}"/>
    <cellStyle name="Total 2 2 2 3 5 2" xfId="37063" xr:uid="{00000000-0005-0000-0000-000089AD0000}"/>
    <cellStyle name="Total 2 2 2 3 5 3" xfId="37064" xr:uid="{00000000-0005-0000-0000-00008AAD0000}"/>
    <cellStyle name="Total 2 2 2 3 6" xfId="37065" xr:uid="{00000000-0005-0000-0000-00008BAD0000}"/>
    <cellStyle name="Total 2 2 2 3 6 2" xfId="37066" xr:uid="{00000000-0005-0000-0000-00008CAD0000}"/>
    <cellStyle name="Total 2 2 2 3 6 3" xfId="37067" xr:uid="{00000000-0005-0000-0000-00008DAD0000}"/>
    <cellStyle name="Total 2 2 2 3 7" xfId="37068" xr:uid="{00000000-0005-0000-0000-00008EAD0000}"/>
    <cellStyle name="Total 2 2 2 3 7 2" xfId="37069" xr:uid="{00000000-0005-0000-0000-00008FAD0000}"/>
    <cellStyle name="Total 2 2 2 3 7 3" xfId="37070" xr:uid="{00000000-0005-0000-0000-000090AD0000}"/>
    <cellStyle name="Total 2 2 2 3 8" xfId="44738" xr:uid="{00000000-0005-0000-0000-000091AD0000}"/>
    <cellStyle name="Total 2 2 2 4" xfId="37071" xr:uid="{00000000-0005-0000-0000-000092AD0000}"/>
    <cellStyle name="Total 2 2 2 4 2" xfId="37072" xr:uid="{00000000-0005-0000-0000-000093AD0000}"/>
    <cellStyle name="Total 2 2 2 4 2 2" xfId="37073" xr:uid="{00000000-0005-0000-0000-000094AD0000}"/>
    <cellStyle name="Total 2 2 2 4 2 3" xfId="37074" xr:uid="{00000000-0005-0000-0000-000095AD0000}"/>
    <cellStyle name="Total 2 2 2 4 3" xfId="37075" xr:uid="{00000000-0005-0000-0000-000096AD0000}"/>
    <cellStyle name="Total 2 2 2 4 3 2" xfId="37076" xr:uid="{00000000-0005-0000-0000-000097AD0000}"/>
    <cellStyle name="Total 2 2 2 4 3 3" xfId="37077" xr:uid="{00000000-0005-0000-0000-000098AD0000}"/>
    <cellStyle name="Total 2 2 2 4 4" xfId="37078" xr:uid="{00000000-0005-0000-0000-000099AD0000}"/>
    <cellStyle name="Total 2 2 2 4 4 2" xfId="37079" xr:uid="{00000000-0005-0000-0000-00009AAD0000}"/>
    <cellStyle name="Total 2 2 2 4 4 3" xfId="37080" xr:uid="{00000000-0005-0000-0000-00009BAD0000}"/>
    <cellStyle name="Total 2 2 2 4 5" xfId="37081" xr:uid="{00000000-0005-0000-0000-00009CAD0000}"/>
    <cellStyle name="Total 2 2 2 4 5 2" xfId="37082" xr:uid="{00000000-0005-0000-0000-00009DAD0000}"/>
    <cellStyle name="Total 2 2 2 4 5 3" xfId="37083" xr:uid="{00000000-0005-0000-0000-00009EAD0000}"/>
    <cellStyle name="Total 2 2 2 4 6" xfId="37084" xr:uid="{00000000-0005-0000-0000-00009FAD0000}"/>
    <cellStyle name="Total 2 2 2 4 6 2" xfId="37085" xr:uid="{00000000-0005-0000-0000-0000A0AD0000}"/>
    <cellStyle name="Total 2 2 2 4 6 3" xfId="37086" xr:uid="{00000000-0005-0000-0000-0000A1AD0000}"/>
    <cellStyle name="Total 2 2 2 4 7" xfId="37087" xr:uid="{00000000-0005-0000-0000-0000A2AD0000}"/>
    <cellStyle name="Total 2 2 2 4 7 2" xfId="37088" xr:uid="{00000000-0005-0000-0000-0000A3AD0000}"/>
    <cellStyle name="Total 2 2 2 4 7 3" xfId="37089" xr:uid="{00000000-0005-0000-0000-0000A4AD0000}"/>
    <cellStyle name="Total 2 2 2 4 8" xfId="44739" xr:uid="{00000000-0005-0000-0000-0000A5AD0000}"/>
    <cellStyle name="Total 2 2 2 5" xfId="37090" xr:uid="{00000000-0005-0000-0000-0000A6AD0000}"/>
    <cellStyle name="Total 2 2 2 5 2" xfId="37091" xr:uid="{00000000-0005-0000-0000-0000A7AD0000}"/>
    <cellStyle name="Total 2 2 2 5 2 2" xfId="37092" xr:uid="{00000000-0005-0000-0000-0000A8AD0000}"/>
    <cellStyle name="Total 2 2 2 5 2 3" xfId="37093" xr:uid="{00000000-0005-0000-0000-0000A9AD0000}"/>
    <cellStyle name="Total 2 2 2 5 3" xfId="37094" xr:uid="{00000000-0005-0000-0000-0000AAAD0000}"/>
    <cellStyle name="Total 2 2 2 5 3 2" xfId="37095" xr:uid="{00000000-0005-0000-0000-0000ABAD0000}"/>
    <cellStyle name="Total 2 2 2 5 3 3" xfId="37096" xr:uid="{00000000-0005-0000-0000-0000ACAD0000}"/>
    <cellStyle name="Total 2 2 2 5 4" xfId="37097" xr:uid="{00000000-0005-0000-0000-0000ADAD0000}"/>
    <cellStyle name="Total 2 2 2 5 4 2" xfId="37098" xr:uid="{00000000-0005-0000-0000-0000AEAD0000}"/>
    <cellStyle name="Total 2 2 2 5 4 3" xfId="37099" xr:uid="{00000000-0005-0000-0000-0000AFAD0000}"/>
    <cellStyle name="Total 2 2 2 5 5" xfId="37100" xr:uid="{00000000-0005-0000-0000-0000B0AD0000}"/>
    <cellStyle name="Total 2 2 2 5 5 2" xfId="37101" xr:uid="{00000000-0005-0000-0000-0000B1AD0000}"/>
    <cellStyle name="Total 2 2 2 5 5 3" xfId="37102" xr:uid="{00000000-0005-0000-0000-0000B2AD0000}"/>
    <cellStyle name="Total 2 2 2 5 6" xfId="37103" xr:uid="{00000000-0005-0000-0000-0000B3AD0000}"/>
    <cellStyle name="Total 2 2 2 5 6 2" xfId="37104" xr:uid="{00000000-0005-0000-0000-0000B4AD0000}"/>
    <cellStyle name="Total 2 2 2 5 6 3" xfId="37105" xr:uid="{00000000-0005-0000-0000-0000B5AD0000}"/>
    <cellStyle name="Total 2 2 2 5 7" xfId="37106" xr:uid="{00000000-0005-0000-0000-0000B6AD0000}"/>
    <cellStyle name="Total 2 2 2 5 7 2" xfId="37107" xr:uid="{00000000-0005-0000-0000-0000B7AD0000}"/>
    <cellStyle name="Total 2 2 2 5 7 3" xfId="37108" xr:uid="{00000000-0005-0000-0000-0000B8AD0000}"/>
    <cellStyle name="Total 2 2 2 5 8" xfId="44740" xr:uid="{00000000-0005-0000-0000-0000B9AD0000}"/>
    <cellStyle name="Total 2 2 2 6" xfId="37109" xr:uid="{00000000-0005-0000-0000-0000BAAD0000}"/>
    <cellStyle name="Total 2 2 2 6 2" xfId="37110" xr:uid="{00000000-0005-0000-0000-0000BBAD0000}"/>
    <cellStyle name="Total 2 2 2 6 3" xfId="37111" xr:uid="{00000000-0005-0000-0000-0000BCAD0000}"/>
    <cellStyle name="Total 2 2 2 7" xfId="37112" xr:uid="{00000000-0005-0000-0000-0000BDAD0000}"/>
    <cellStyle name="Total 2 2 2 7 2" xfId="37113" xr:uid="{00000000-0005-0000-0000-0000BEAD0000}"/>
    <cellStyle name="Total 2 2 2 7 3" xfId="37114" xr:uid="{00000000-0005-0000-0000-0000BFAD0000}"/>
    <cellStyle name="Total 2 2 2 8" xfId="37115" xr:uid="{00000000-0005-0000-0000-0000C0AD0000}"/>
    <cellStyle name="Total 2 2 2 8 2" xfId="37116" xr:uid="{00000000-0005-0000-0000-0000C1AD0000}"/>
    <cellStyle name="Total 2 2 2 8 3" xfId="37117" xr:uid="{00000000-0005-0000-0000-0000C2AD0000}"/>
    <cellStyle name="Total 2 2 2 9" xfId="37118" xr:uid="{00000000-0005-0000-0000-0000C3AD0000}"/>
    <cellStyle name="Total 2 2 2 9 2" xfId="37119" xr:uid="{00000000-0005-0000-0000-0000C4AD0000}"/>
    <cellStyle name="Total 2 2 2 9 3" xfId="37120" xr:uid="{00000000-0005-0000-0000-0000C5AD0000}"/>
    <cellStyle name="Total 2 2 3" xfId="2335" xr:uid="{00000000-0005-0000-0000-0000C6AD0000}"/>
    <cellStyle name="Total 2 2 3 10" xfId="37121" xr:uid="{00000000-0005-0000-0000-0000C7AD0000}"/>
    <cellStyle name="Total 2 2 3 10 2" xfId="37122" xr:uid="{00000000-0005-0000-0000-0000C8AD0000}"/>
    <cellStyle name="Total 2 2 3 10 3" xfId="37123" xr:uid="{00000000-0005-0000-0000-0000C9AD0000}"/>
    <cellStyle name="Total 2 2 3 11" xfId="37124" xr:uid="{00000000-0005-0000-0000-0000CAAD0000}"/>
    <cellStyle name="Total 2 2 3 11 2" xfId="37125" xr:uid="{00000000-0005-0000-0000-0000CBAD0000}"/>
    <cellStyle name="Total 2 2 3 11 3" xfId="37126" xr:uid="{00000000-0005-0000-0000-0000CCAD0000}"/>
    <cellStyle name="Total 2 2 3 12" xfId="44741" xr:uid="{00000000-0005-0000-0000-0000CDAD0000}"/>
    <cellStyle name="Total 2 2 3 2" xfId="37127" xr:uid="{00000000-0005-0000-0000-0000CEAD0000}"/>
    <cellStyle name="Total 2 2 3 2 2" xfId="37128" xr:uid="{00000000-0005-0000-0000-0000CFAD0000}"/>
    <cellStyle name="Total 2 2 3 2 2 2" xfId="37129" xr:uid="{00000000-0005-0000-0000-0000D0AD0000}"/>
    <cellStyle name="Total 2 2 3 2 2 3" xfId="37130" xr:uid="{00000000-0005-0000-0000-0000D1AD0000}"/>
    <cellStyle name="Total 2 2 3 2 3" xfId="37131" xr:uid="{00000000-0005-0000-0000-0000D2AD0000}"/>
    <cellStyle name="Total 2 2 3 2 3 2" xfId="37132" xr:uid="{00000000-0005-0000-0000-0000D3AD0000}"/>
    <cellStyle name="Total 2 2 3 2 3 3" xfId="37133" xr:uid="{00000000-0005-0000-0000-0000D4AD0000}"/>
    <cellStyle name="Total 2 2 3 2 4" xfId="37134" xr:uid="{00000000-0005-0000-0000-0000D5AD0000}"/>
    <cellStyle name="Total 2 2 3 2 4 2" xfId="37135" xr:uid="{00000000-0005-0000-0000-0000D6AD0000}"/>
    <cellStyle name="Total 2 2 3 2 4 3" xfId="37136" xr:uid="{00000000-0005-0000-0000-0000D7AD0000}"/>
    <cellStyle name="Total 2 2 3 2 5" xfId="37137" xr:uid="{00000000-0005-0000-0000-0000D8AD0000}"/>
    <cellStyle name="Total 2 2 3 2 5 2" xfId="37138" xr:uid="{00000000-0005-0000-0000-0000D9AD0000}"/>
    <cellStyle name="Total 2 2 3 2 5 3" xfId="37139" xr:uid="{00000000-0005-0000-0000-0000DAAD0000}"/>
    <cellStyle name="Total 2 2 3 2 6" xfId="37140" xr:uid="{00000000-0005-0000-0000-0000DBAD0000}"/>
    <cellStyle name="Total 2 2 3 2 6 2" xfId="37141" xr:uid="{00000000-0005-0000-0000-0000DCAD0000}"/>
    <cellStyle name="Total 2 2 3 2 6 3" xfId="37142" xr:uid="{00000000-0005-0000-0000-0000DDAD0000}"/>
    <cellStyle name="Total 2 2 3 2 7" xfId="37143" xr:uid="{00000000-0005-0000-0000-0000DEAD0000}"/>
    <cellStyle name="Total 2 2 3 2 7 2" xfId="37144" xr:uid="{00000000-0005-0000-0000-0000DFAD0000}"/>
    <cellStyle name="Total 2 2 3 2 7 3" xfId="37145" xr:uid="{00000000-0005-0000-0000-0000E0AD0000}"/>
    <cellStyle name="Total 2 2 3 2 8" xfId="44742" xr:uid="{00000000-0005-0000-0000-0000E1AD0000}"/>
    <cellStyle name="Total 2 2 3 3" xfId="37146" xr:uid="{00000000-0005-0000-0000-0000E2AD0000}"/>
    <cellStyle name="Total 2 2 3 3 2" xfId="37147" xr:uid="{00000000-0005-0000-0000-0000E3AD0000}"/>
    <cellStyle name="Total 2 2 3 3 2 2" xfId="37148" xr:uid="{00000000-0005-0000-0000-0000E4AD0000}"/>
    <cellStyle name="Total 2 2 3 3 2 3" xfId="37149" xr:uid="{00000000-0005-0000-0000-0000E5AD0000}"/>
    <cellStyle name="Total 2 2 3 3 3" xfId="37150" xr:uid="{00000000-0005-0000-0000-0000E6AD0000}"/>
    <cellStyle name="Total 2 2 3 3 3 2" xfId="37151" xr:uid="{00000000-0005-0000-0000-0000E7AD0000}"/>
    <cellStyle name="Total 2 2 3 3 3 3" xfId="37152" xr:uid="{00000000-0005-0000-0000-0000E8AD0000}"/>
    <cellStyle name="Total 2 2 3 3 4" xfId="37153" xr:uid="{00000000-0005-0000-0000-0000E9AD0000}"/>
    <cellStyle name="Total 2 2 3 3 4 2" xfId="37154" xr:uid="{00000000-0005-0000-0000-0000EAAD0000}"/>
    <cellStyle name="Total 2 2 3 3 4 3" xfId="37155" xr:uid="{00000000-0005-0000-0000-0000EBAD0000}"/>
    <cellStyle name="Total 2 2 3 3 5" xfId="37156" xr:uid="{00000000-0005-0000-0000-0000ECAD0000}"/>
    <cellStyle name="Total 2 2 3 3 5 2" xfId="37157" xr:uid="{00000000-0005-0000-0000-0000EDAD0000}"/>
    <cellStyle name="Total 2 2 3 3 5 3" xfId="37158" xr:uid="{00000000-0005-0000-0000-0000EEAD0000}"/>
    <cellStyle name="Total 2 2 3 3 6" xfId="37159" xr:uid="{00000000-0005-0000-0000-0000EFAD0000}"/>
    <cellStyle name="Total 2 2 3 3 6 2" xfId="37160" xr:uid="{00000000-0005-0000-0000-0000F0AD0000}"/>
    <cellStyle name="Total 2 2 3 3 6 3" xfId="37161" xr:uid="{00000000-0005-0000-0000-0000F1AD0000}"/>
    <cellStyle name="Total 2 2 3 3 7" xfId="37162" xr:uid="{00000000-0005-0000-0000-0000F2AD0000}"/>
    <cellStyle name="Total 2 2 3 3 7 2" xfId="37163" xr:uid="{00000000-0005-0000-0000-0000F3AD0000}"/>
    <cellStyle name="Total 2 2 3 3 7 3" xfId="37164" xr:uid="{00000000-0005-0000-0000-0000F4AD0000}"/>
    <cellStyle name="Total 2 2 3 3 8" xfId="44743" xr:uid="{00000000-0005-0000-0000-0000F5AD0000}"/>
    <cellStyle name="Total 2 2 3 4" xfId="37165" xr:uid="{00000000-0005-0000-0000-0000F6AD0000}"/>
    <cellStyle name="Total 2 2 3 4 2" xfId="37166" xr:uid="{00000000-0005-0000-0000-0000F7AD0000}"/>
    <cellStyle name="Total 2 2 3 4 2 2" xfId="37167" xr:uid="{00000000-0005-0000-0000-0000F8AD0000}"/>
    <cellStyle name="Total 2 2 3 4 2 3" xfId="37168" xr:uid="{00000000-0005-0000-0000-0000F9AD0000}"/>
    <cellStyle name="Total 2 2 3 4 3" xfId="37169" xr:uid="{00000000-0005-0000-0000-0000FAAD0000}"/>
    <cellStyle name="Total 2 2 3 4 3 2" xfId="37170" xr:uid="{00000000-0005-0000-0000-0000FBAD0000}"/>
    <cellStyle name="Total 2 2 3 4 3 3" xfId="37171" xr:uid="{00000000-0005-0000-0000-0000FCAD0000}"/>
    <cellStyle name="Total 2 2 3 4 4" xfId="37172" xr:uid="{00000000-0005-0000-0000-0000FDAD0000}"/>
    <cellStyle name="Total 2 2 3 4 4 2" xfId="37173" xr:uid="{00000000-0005-0000-0000-0000FEAD0000}"/>
    <cellStyle name="Total 2 2 3 4 4 3" xfId="37174" xr:uid="{00000000-0005-0000-0000-0000FFAD0000}"/>
    <cellStyle name="Total 2 2 3 4 5" xfId="37175" xr:uid="{00000000-0005-0000-0000-000000AE0000}"/>
    <cellStyle name="Total 2 2 3 4 5 2" xfId="37176" xr:uid="{00000000-0005-0000-0000-000001AE0000}"/>
    <cellStyle name="Total 2 2 3 4 5 3" xfId="37177" xr:uid="{00000000-0005-0000-0000-000002AE0000}"/>
    <cellStyle name="Total 2 2 3 4 6" xfId="37178" xr:uid="{00000000-0005-0000-0000-000003AE0000}"/>
    <cellStyle name="Total 2 2 3 4 6 2" xfId="37179" xr:uid="{00000000-0005-0000-0000-000004AE0000}"/>
    <cellStyle name="Total 2 2 3 4 6 3" xfId="37180" xr:uid="{00000000-0005-0000-0000-000005AE0000}"/>
    <cellStyle name="Total 2 2 3 4 7" xfId="37181" xr:uid="{00000000-0005-0000-0000-000006AE0000}"/>
    <cellStyle name="Total 2 2 3 4 7 2" xfId="37182" xr:uid="{00000000-0005-0000-0000-000007AE0000}"/>
    <cellStyle name="Total 2 2 3 4 7 3" xfId="37183" xr:uid="{00000000-0005-0000-0000-000008AE0000}"/>
    <cellStyle name="Total 2 2 3 4 8" xfId="44744" xr:uid="{00000000-0005-0000-0000-000009AE0000}"/>
    <cellStyle name="Total 2 2 3 5" xfId="37184" xr:uid="{00000000-0005-0000-0000-00000AAE0000}"/>
    <cellStyle name="Total 2 2 3 5 2" xfId="37185" xr:uid="{00000000-0005-0000-0000-00000BAE0000}"/>
    <cellStyle name="Total 2 2 3 5 2 2" xfId="37186" xr:uid="{00000000-0005-0000-0000-00000CAE0000}"/>
    <cellStyle name="Total 2 2 3 5 2 3" xfId="37187" xr:uid="{00000000-0005-0000-0000-00000DAE0000}"/>
    <cellStyle name="Total 2 2 3 5 3" xfId="37188" xr:uid="{00000000-0005-0000-0000-00000EAE0000}"/>
    <cellStyle name="Total 2 2 3 5 3 2" xfId="37189" xr:uid="{00000000-0005-0000-0000-00000FAE0000}"/>
    <cellStyle name="Total 2 2 3 5 3 3" xfId="37190" xr:uid="{00000000-0005-0000-0000-000010AE0000}"/>
    <cellStyle name="Total 2 2 3 5 4" xfId="37191" xr:uid="{00000000-0005-0000-0000-000011AE0000}"/>
    <cellStyle name="Total 2 2 3 5 4 2" xfId="37192" xr:uid="{00000000-0005-0000-0000-000012AE0000}"/>
    <cellStyle name="Total 2 2 3 5 4 3" xfId="37193" xr:uid="{00000000-0005-0000-0000-000013AE0000}"/>
    <cellStyle name="Total 2 2 3 5 5" xfId="37194" xr:uid="{00000000-0005-0000-0000-000014AE0000}"/>
    <cellStyle name="Total 2 2 3 5 5 2" xfId="37195" xr:uid="{00000000-0005-0000-0000-000015AE0000}"/>
    <cellStyle name="Total 2 2 3 5 5 3" xfId="37196" xr:uid="{00000000-0005-0000-0000-000016AE0000}"/>
    <cellStyle name="Total 2 2 3 5 6" xfId="37197" xr:uid="{00000000-0005-0000-0000-000017AE0000}"/>
    <cellStyle name="Total 2 2 3 5 6 2" xfId="37198" xr:uid="{00000000-0005-0000-0000-000018AE0000}"/>
    <cellStyle name="Total 2 2 3 5 6 3" xfId="37199" xr:uid="{00000000-0005-0000-0000-000019AE0000}"/>
    <cellStyle name="Total 2 2 3 5 7" xfId="37200" xr:uid="{00000000-0005-0000-0000-00001AAE0000}"/>
    <cellStyle name="Total 2 2 3 5 7 2" xfId="37201" xr:uid="{00000000-0005-0000-0000-00001BAE0000}"/>
    <cellStyle name="Total 2 2 3 5 7 3" xfId="37202" xr:uid="{00000000-0005-0000-0000-00001CAE0000}"/>
    <cellStyle name="Total 2 2 3 5 8" xfId="44745" xr:uid="{00000000-0005-0000-0000-00001DAE0000}"/>
    <cellStyle name="Total 2 2 3 6" xfId="37203" xr:uid="{00000000-0005-0000-0000-00001EAE0000}"/>
    <cellStyle name="Total 2 2 3 6 2" xfId="37204" xr:uid="{00000000-0005-0000-0000-00001FAE0000}"/>
    <cellStyle name="Total 2 2 3 6 3" xfId="37205" xr:uid="{00000000-0005-0000-0000-000020AE0000}"/>
    <cellStyle name="Total 2 2 3 7" xfId="37206" xr:uid="{00000000-0005-0000-0000-000021AE0000}"/>
    <cellStyle name="Total 2 2 3 7 2" xfId="37207" xr:uid="{00000000-0005-0000-0000-000022AE0000}"/>
    <cellStyle name="Total 2 2 3 7 3" xfId="37208" xr:uid="{00000000-0005-0000-0000-000023AE0000}"/>
    <cellStyle name="Total 2 2 3 8" xfId="37209" xr:uid="{00000000-0005-0000-0000-000024AE0000}"/>
    <cellStyle name="Total 2 2 3 8 2" xfId="37210" xr:uid="{00000000-0005-0000-0000-000025AE0000}"/>
    <cellStyle name="Total 2 2 3 8 3" xfId="37211" xr:uid="{00000000-0005-0000-0000-000026AE0000}"/>
    <cellStyle name="Total 2 2 3 9" xfId="37212" xr:uid="{00000000-0005-0000-0000-000027AE0000}"/>
    <cellStyle name="Total 2 2 3 9 2" xfId="37213" xr:uid="{00000000-0005-0000-0000-000028AE0000}"/>
    <cellStyle name="Total 2 2 3 9 3" xfId="37214" xr:uid="{00000000-0005-0000-0000-000029AE0000}"/>
    <cellStyle name="Total 2 2 4" xfId="37215" xr:uid="{00000000-0005-0000-0000-00002AAE0000}"/>
    <cellStyle name="Total 2 2 4 2" xfId="37216" xr:uid="{00000000-0005-0000-0000-00002BAE0000}"/>
    <cellStyle name="Total 2 2 4 2 2" xfId="37217" xr:uid="{00000000-0005-0000-0000-00002CAE0000}"/>
    <cellStyle name="Total 2 2 4 2 3" xfId="37218" xr:uid="{00000000-0005-0000-0000-00002DAE0000}"/>
    <cellStyle name="Total 2 2 4 3" xfId="37219" xr:uid="{00000000-0005-0000-0000-00002EAE0000}"/>
    <cellStyle name="Total 2 2 4 3 2" xfId="37220" xr:uid="{00000000-0005-0000-0000-00002FAE0000}"/>
    <cellStyle name="Total 2 2 4 3 3" xfId="37221" xr:uid="{00000000-0005-0000-0000-000030AE0000}"/>
    <cellStyle name="Total 2 2 4 4" xfId="37222" xr:uid="{00000000-0005-0000-0000-000031AE0000}"/>
    <cellStyle name="Total 2 2 4 4 2" xfId="37223" xr:uid="{00000000-0005-0000-0000-000032AE0000}"/>
    <cellStyle name="Total 2 2 4 4 3" xfId="37224" xr:uid="{00000000-0005-0000-0000-000033AE0000}"/>
    <cellStyle name="Total 2 2 4 5" xfId="37225" xr:uid="{00000000-0005-0000-0000-000034AE0000}"/>
    <cellStyle name="Total 2 2 4 5 2" xfId="37226" xr:uid="{00000000-0005-0000-0000-000035AE0000}"/>
    <cellStyle name="Total 2 2 4 5 3" xfId="37227" xr:uid="{00000000-0005-0000-0000-000036AE0000}"/>
    <cellStyle name="Total 2 2 4 6" xfId="37228" xr:uid="{00000000-0005-0000-0000-000037AE0000}"/>
    <cellStyle name="Total 2 2 4 6 2" xfId="37229" xr:uid="{00000000-0005-0000-0000-000038AE0000}"/>
    <cellStyle name="Total 2 2 4 6 3" xfId="37230" xr:uid="{00000000-0005-0000-0000-000039AE0000}"/>
    <cellStyle name="Total 2 2 4 7" xfId="37231" xr:uid="{00000000-0005-0000-0000-00003AAE0000}"/>
    <cellStyle name="Total 2 2 4 7 2" xfId="37232" xr:uid="{00000000-0005-0000-0000-00003BAE0000}"/>
    <cellStyle name="Total 2 2 4 7 3" xfId="37233" xr:uid="{00000000-0005-0000-0000-00003CAE0000}"/>
    <cellStyle name="Total 2 2 4 8" xfId="44746" xr:uid="{00000000-0005-0000-0000-00003DAE0000}"/>
    <cellStyle name="Total 2 2 5" xfId="37234" xr:uid="{00000000-0005-0000-0000-00003EAE0000}"/>
    <cellStyle name="Total 2 2 5 2" xfId="37235" xr:uid="{00000000-0005-0000-0000-00003FAE0000}"/>
    <cellStyle name="Total 2 2 5 2 2" xfId="37236" xr:uid="{00000000-0005-0000-0000-000040AE0000}"/>
    <cellStyle name="Total 2 2 5 2 3" xfId="37237" xr:uid="{00000000-0005-0000-0000-000041AE0000}"/>
    <cellStyle name="Total 2 2 5 3" xfId="37238" xr:uid="{00000000-0005-0000-0000-000042AE0000}"/>
    <cellStyle name="Total 2 2 5 3 2" xfId="37239" xr:uid="{00000000-0005-0000-0000-000043AE0000}"/>
    <cellStyle name="Total 2 2 5 3 3" xfId="37240" xr:uid="{00000000-0005-0000-0000-000044AE0000}"/>
    <cellStyle name="Total 2 2 5 4" xfId="37241" xr:uid="{00000000-0005-0000-0000-000045AE0000}"/>
    <cellStyle name="Total 2 2 5 4 2" xfId="37242" xr:uid="{00000000-0005-0000-0000-000046AE0000}"/>
    <cellStyle name="Total 2 2 5 4 3" xfId="37243" xr:uid="{00000000-0005-0000-0000-000047AE0000}"/>
    <cellStyle name="Total 2 2 5 5" xfId="37244" xr:uid="{00000000-0005-0000-0000-000048AE0000}"/>
    <cellStyle name="Total 2 2 5 5 2" xfId="37245" xr:uid="{00000000-0005-0000-0000-000049AE0000}"/>
    <cellStyle name="Total 2 2 5 5 3" xfId="37246" xr:uid="{00000000-0005-0000-0000-00004AAE0000}"/>
    <cellStyle name="Total 2 2 5 6" xfId="37247" xr:uid="{00000000-0005-0000-0000-00004BAE0000}"/>
    <cellStyle name="Total 2 2 5 6 2" xfId="37248" xr:uid="{00000000-0005-0000-0000-00004CAE0000}"/>
    <cellStyle name="Total 2 2 5 6 3" xfId="37249" xr:uid="{00000000-0005-0000-0000-00004DAE0000}"/>
    <cellStyle name="Total 2 2 5 7" xfId="37250" xr:uid="{00000000-0005-0000-0000-00004EAE0000}"/>
    <cellStyle name="Total 2 2 5 7 2" xfId="37251" xr:uid="{00000000-0005-0000-0000-00004FAE0000}"/>
    <cellStyle name="Total 2 2 5 7 3" xfId="37252" xr:uid="{00000000-0005-0000-0000-000050AE0000}"/>
    <cellStyle name="Total 2 2 5 8" xfId="44747" xr:uid="{00000000-0005-0000-0000-000051AE0000}"/>
    <cellStyle name="Total 2 2 6" xfId="37253" xr:uid="{00000000-0005-0000-0000-000052AE0000}"/>
    <cellStyle name="Total 2 2 7" xfId="37254" xr:uid="{00000000-0005-0000-0000-000053AE0000}"/>
    <cellStyle name="Total 2 3" xfId="611" xr:uid="{00000000-0005-0000-0000-000054AE0000}"/>
    <cellStyle name="Total 2 3 10" xfId="37255" xr:uid="{00000000-0005-0000-0000-000055AE0000}"/>
    <cellStyle name="Total 2 3 10 2" xfId="37256" xr:uid="{00000000-0005-0000-0000-000056AE0000}"/>
    <cellStyle name="Total 2 3 10 3" xfId="37257" xr:uid="{00000000-0005-0000-0000-000057AE0000}"/>
    <cellStyle name="Total 2 3 11" xfId="37258" xr:uid="{00000000-0005-0000-0000-000058AE0000}"/>
    <cellStyle name="Total 2 3 11 2" xfId="37259" xr:uid="{00000000-0005-0000-0000-000059AE0000}"/>
    <cellStyle name="Total 2 3 11 3" xfId="37260" xr:uid="{00000000-0005-0000-0000-00005AAE0000}"/>
    <cellStyle name="Total 2 3 12" xfId="37261" xr:uid="{00000000-0005-0000-0000-00005BAE0000}"/>
    <cellStyle name="Total 2 3 12 2" xfId="37262" xr:uid="{00000000-0005-0000-0000-00005CAE0000}"/>
    <cellStyle name="Total 2 3 12 3" xfId="37263" xr:uid="{00000000-0005-0000-0000-00005DAE0000}"/>
    <cellStyle name="Total 2 3 13" xfId="37264" xr:uid="{00000000-0005-0000-0000-00005EAE0000}"/>
    <cellStyle name="Total 2 3 14" xfId="37265" xr:uid="{00000000-0005-0000-0000-00005FAE0000}"/>
    <cellStyle name="Total 2 3 2" xfId="37266" xr:uid="{00000000-0005-0000-0000-000060AE0000}"/>
    <cellStyle name="Total 2 3 2 10" xfId="37267" xr:uid="{00000000-0005-0000-0000-000061AE0000}"/>
    <cellStyle name="Total 2 3 2 10 2" xfId="37268" xr:uid="{00000000-0005-0000-0000-000062AE0000}"/>
    <cellStyle name="Total 2 3 2 10 3" xfId="37269" xr:uid="{00000000-0005-0000-0000-000063AE0000}"/>
    <cellStyle name="Total 2 3 2 11" xfId="37270" xr:uid="{00000000-0005-0000-0000-000064AE0000}"/>
    <cellStyle name="Total 2 3 2 11 2" xfId="37271" xr:uid="{00000000-0005-0000-0000-000065AE0000}"/>
    <cellStyle name="Total 2 3 2 11 3" xfId="37272" xr:uid="{00000000-0005-0000-0000-000066AE0000}"/>
    <cellStyle name="Total 2 3 2 12" xfId="37273" xr:uid="{00000000-0005-0000-0000-000067AE0000}"/>
    <cellStyle name="Total 2 3 2 13" xfId="37274" xr:uid="{00000000-0005-0000-0000-000068AE0000}"/>
    <cellStyle name="Total 2 3 2 2" xfId="37275" xr:uid="{00000000-0005-0000-0000-000069AE0000}"/>
    <cellStyle name="Total 2 3 2 2 2" xfId="37276" xr:uid="{00000000-0005-0000-0000-00006AAE0000}"/>
    <cellStyle name="Total 2 3 2 2 2 2" xfId="37277" xr:uid="{00000000-0005-0000-0000-00006BAE0000}"/>
    <cellStyle name="Total 2 3 2 2 2 3" xfId="37278" xr:uid="{00000000-0005-0000-0000-00006CAE0000}"/>
    <cellStyle name="Total 2 3 2 2 3" xfId="37279" xr:uid="{00000000-0005-0000-0000-00006DAE0000}"/>
    <cellStyle name="Total 2 3 2 2 3 2" xfId="37280" xr:uid="{00000000-0005-0000-0000-00006EAE0000}"/>
    <cellStyle name="Total 2 3 2 2 3 3" xfId="37281" xr:uid="{00000000-0005-0000-0000-00006FAE0000}"/>
    <cellStyle name="Total 2 3 2 2 4" xfId="37282" xr:uid="{00000000-0005-0000-0000-000070AE0000}"/>
    <cellStyle name="Total 2 3 2 2 4 2" xfId="37283" xr:uid="{00000000-0005-0000-0000-000071AE0000}"/>
    <cellStyle name="Total 2 3 2 2 4 3" xfId="37284" xr:uid="{00000000-0005-0000-0000-000072AE0000}"/>
    <cellStyle name="Total 2 3 2 2 5" xfId="37285" xr:uid="{00000000-0005-0000-0000-000073AE0000}"/>
    <cellStyle name="Total 2 3 2 2 5 2" xfId="37286" xr:uid="{00000000-0005-0000-0000-000074AE0000}"/>
    <cellStyle name="Total 2 3 2 2 5 3" xfId="37287" xr:uid="{00000000-0005-0000-0000-000075AE0000}"/>
    <cellStyle name="Total 2 3 2 2 6" xfId="37288" xr:uid="{00000000-0005-0000-0000-000076AE0000}"/>
    <cellStyle name="Total 2 3 2 2 6 2" xfId="37289" xr:uid="{00000000-0005-0000-0000-000077AE0000}"/>
    <cellStyle name="Total 2 3 2 2 6 3" xfId="37290" xr:uid="{00000000-0005-0000-0000-000078AE0000}"/>
    <cellStyle name="Total 2 3 2 2 7" xfId="37291" xr:uid="{00000000-0005-0000-0000-000079AE0000}"/>
    <cellStyle name="Total 2 3 2 2 7 2" xfId="37292" xr:uid="{00000000-0005-0000-0000-00007AAE0000}"/>
    <cellStyle name="Total 2 3 2 2 7 3" xfId="37293" xr:uid="{00000000-0005-0000-0000-00007BAE0000}"/>
    <cellStyle name="Total 2 3 2 2 8" xfId="37294" xr:uid="{00000000-0005-0000-0000-00007CAE0000}"/>
    <cellStyle name="Total 2 3 2 2 9" xfId="37295" xr:uid="{00000000-0005-0000-0000-00007DAE0000}"/>
    <cellStyle name="Total 2 3 2 3" xfId="37296" xr:uid="{00000000-0005-0000-0000-00007EAE0000}"/>
    <cellStyle name="Total 2 3 2 3 2" xfId="37297" xr:uid="{00000000-0005-0000-0000-00007FAE0000}"/>
    <cellStyle name="Total 2 3 2 3 2 2" xfId="37298" xr:uid="{00000000-0005-0000-0000-000080AE0000}"/>
    <cellStyle name="Total 2 3 2 3 2 3" xfId="37299" xr:uid="{00000000-0005-0000-0000-000081AE0000}"/>
    <cellStyle name="Total 2 3 2 3 3" xfId="37300" xr:uid="{00000000-0005-0000-0000-000082AE0000}"/>
    <cellStyle name="Total 2 3 2 3 3 2" xfId="37301" xr:uid="{00000000-0005-0000-0000-000083AE0000}"/>
    <cellStyle name="Total 2 3 2 3 3 3" xfId="37302" xr:uid="{00000000-0005-0000-0000-000084AE0000}"/>
    <cellStyle name="Total 2 3 2 3 4" xfId="37303" xr:uid="{00000000-0005-0000-0000-000085AE0000}"/>
    <cellStyle name="Total 2 3 2 3 4 2" xfId="37304" xr:uid="{00000000-0005-0000-0000-000086AE0000}"/>
    <cellStyle name="Total 2 3 2 3 4 3" xfId="37305" xr:uid="{00000000-0005-0000-0000-000087AE0000}"/>
    <cellStyle name="Total 2 3 2 3 5" xfId="37306" xr:uid="{00000000-0005-0000-0000-000088AE0000}"/>
    <cellStyle name="Total 2 3 2 3 5 2" xfId="37307" xr:uid="{00000000-0005-0000-0000-000089AE0000}"/>
    <cellStyle name="Total 2 3 2 3 5 3" xfId="37308" xr:uid="{00000000-0005-0000-0000-00008AAE0000}"/>
    <cellStyle name="Total 2 3 2 3 6" xfId="37309" xr:uid="{00000000-0005-0000-0000-00008BAE0000}"/>
    <cellStyle name="Total 2 3 2 3 6 2" xfId="37310" xr:uid="{00000000-0005-0000-0000-00008CAE0000}"/>
    <cellStyle name="Total 2 3 2 3 6 3" xfId="37311" xr:uid="{00000000-0005-0000-0000-00008DAE0000}"/>
    <cellStyle name="Total 2 3 2 3 7" xfId="37312" xr:uid="{00000000-0005-0000-0000-00008EAE0000}"/>
    <cellStyle name="Total 2 3 2 3 7 2" xfId="37313" xr:uid="{00000000-0005-0000-0000-00008FAE0000}"/>
    <cellStyle name="Total 2 3 2 3 7 3" xfId="37314" xr:uid="{00000000-0005-0000-0000-000090AE0000}"/>
    <cellStyle name="Total 2 3 2 3 8" xfId="37315" xr:uid="{00000000-0005-0000-0000-000091AE0000}"/>
    <cellStyle name="Total 2 3 2 3 9" xfId="37316" xr:uid="{00000000-0005-0000-0000-000092AE0000}"/>
    <cellStyle name="Total 2 3 2 4" xfId="37317" xr:uid="{00000000-0005-0000-0000-000093AE0000}"/>
    <cellStyle name="Total 2 3 2 4 2" xfId="37318" xr:uid="{00000000-0005-0000-0000-000094AE0000}"/>
    <cellStyle name="Total 2 3 2 4 2 2" xfId="37319" xr:uid="{00000000-0005-0000-0000-000095AE0000}"/>
    <cellStyle name="Total 2 3 2 4 2 3" xfId="37320" xr:uid="{00000000-0005-0000-0000-000096AE0000}"/>
    <cellStyle name="Total 2 3 2 4 3" xfId="37321" xr:uid="{00000000-0005-0000-0000-000097AE0000}"/>
    <cellStyle name="Total 2 3 2 4 3 2" xfId="37322" xr:uid="{00000000-0005-0000-0000-000098AE0000}"/>
    <cellStyle name="Total 2 3 2 4 3 3" xfId="37323" xr:uid="{00000000-0005-0000-0000-000099AE0000}"/>
    <cellStyle name="Total 2 3 2 4 4" xfId="37324" xr:uid="{00000000-0005-0000-0000-00009AAE0000}"/>
    <cellStyle name="Total 2 3 2 4 4 2" xfId="37325" xr:uid="{00000000-0005-0000-0000-00009BAE0000}"/>
    <cellStyle name="Total 2 3 2 4 4 3" xfId="37326" xr:uid="{00000000-0005-0000-0000-00009CAE0000}"/>
    <cellStyle name="Total 2 3 2 4 5" xfId="37327" xr:uid="{00000000-0005-0000-0000-00009DAE0000}"/>
    <cellStyle name="Total 2 3 2 4 5 2" xfId="37328" xr:uid="{00000000-0005-0000-0000-00009EAE0000}"/>
    <cellStyle name="Total 2 3 2 4 5 3" xfId="37329" xr:uid="{00000000-0005-0000-0000-00009FAE0000}"/>
    <cellStyle name="Total 2 3 2 4 6" xfId="37330" xr:uid="{00000000-0005-0000-0000-0000A0AE0000}"/>
    <cellStyle name="Total 2 3 2 4 6 2" xfId="37331" xr:uid="{00000000-0005-0000-0000-0000A1AE0000}"/>
    <cellStyle name="Total 2 3 2 4 6 3" xfId="37332" xr:uid="{00000000-0005-0000-0000-0000A2AE0000}"/>
    <cellStyle name="Total 2 3 2 4 7" xfId="37333" xr:uid="{00000000-0005-0000-0000-0000A3AE0000}"/>
    <cellStyle name="Total 2 3 2 4 7 2" xfId="37334" xr:uid="{00000000-0005-0000-0000-0000A4AE0000}"/>
    <cellStyle name="Total 2 3 2 4 7 3" xfId="37335" xr:uid="{00000000-0005-0000-0000-0000A5AE0000}"/>
    <cellStyle name="Total 2 3 2 4 8" xfId="37336" xr:uid="{00000000-0005-0000-0000-0000A6AE0000}"/>
    <cellStyle name="Total 2 3 2 4 9" xfId="37337" xr:uid="{00000000-0005-0000-0000-0000A7AE0000}"/>
    <cellStyle name="Total 2 3 2 5" xfId="37338" xr:uid="{00000000-0005-0000-0000-0000A8AE0000}"/>
    <cellStyle name="Total 2 3 2 5 2" xfId="37339" xr:uid="{00000000-0005-0000-0000-0000A9AE0000}"/>
    <cellStyle name="Total 2 3 2 5 2 2" xfId="37340" xr:uid="{00000000-0005-0000-0000-0000AAAE0000}"/>
    <cellStyle name="Total 2 3 2 5 2 3" xfId="37341" xr:uid="{00000000-0005-0000-0000-0000ABAE0000}"/>
    <cellStyle name="Total 2 3 2 5 3" xfId="37342" xr:uid="{00000000-0005-0000-0000-0000ACAE0000}"/>
    <cellStyle name="Total 2 3 2 5 3 2" xfId="37343" xr:uid="{00000000-0005-0000-0000-0000ADAE0000}"/>
    <cellStyle name="Total 2 3 2 5 3 3" xfId="37344" xr:uid="{00000000-0005-0000-0000-0000AEAE0000}"/>
    <cellStyle name="Total 2 3 2 5 4" xfId="37345" xr:uid="{00000000-0005-0000-0000-0000AFAE0000}"/>
    <cellStyle name="Total 2 3 2 5 4 2" xfId="37346" xr:uid="{00000000-0005-0000-0000-0000B0AE0000}"/>
    <cellStyle name="Total 2 3 2 5 4 3" xfId="37347" xr:uid="{00000000-0005-0000-0000-0000B1AE0000}"/>
    <cellStyle name="Total 2 3 2 5 5" xfId="37348" xr:uid="{00000000-0005-0000-0000-0000B2AE0000}"/>
    <cellStyle name="Total 2 3 2 5 5 2" xfId="37349" xr:uid="{00000000-0005-0000-0000-0000B3AE0000}"/>
    <cellStyle name="Total 2 3 2 5 5 3" xfId="37350" xr:uid="{00000000-0005-0000-0000-0000B4AE0000}"/>
    <cellStyle name="Total 2 3 2 5 6" xfId="37351" xr:uid="{00000000-0005-0000-0000-0000B5AE0000}"/>
    <cellStyle name="Total 2 3 2 5 6 2" xfId="37352" xr:uid="{00000000-0005-0000-0000-0000B6AE0000}"/>
    <cellStyle name="Total 2 3 2 5 6 3" xfId="37353" xr:uid="{00000000-0005-0000-0000-0000B7AE0000}"/>
    <cellStyle name="Total 2 3 2 5 7" xfId="37354" xr:uid="{00000000-0005-0000-0000-0000B8AE0000}"/>
    <cellStyle name="Total 2 3 2 5 7 2" xfId="37355" xr:uid="{00000000-0005-0000-0000-0000B9AE0000}"/>
    <cellStyle name="Total 2 3 2 5 7 3" xfId="37356" xr:uid="{00000000-0005-0000-0000-0000BAAE0000}"/>
    <cellStyle name="Total 2 3 2 5 8" xfId="37357" xr:uid="{00000000-0005-0000-0000-0000BBAE0000}"/>
    <cellStyle name="Total 2 3 2 5 9" xfId="37358" xr:uid="{00000000-0005-0000-0000-0000BCAE0000}"/>
    <cellStyle name="Total 2 3 2 6" xfId="37359" xr:uid="{00000000-0005-0000-0000-0000BDAE0000}"/>
    <cellStyle name="Total 2 3 2 6 2" xfId="37360" xr:uid="{00000000-0005-0000-0000-0000BEAE0000}"/>
    <cellStyle name="Total 2 3 2 6 3" xfId="37361" xr:uid="{00000000-0005-0000-0000-0000BFAE0000}"/>
    <cellStyle name="Total 2 3 2 7" xfId="37362" xr:uid="{00000000-0005-0000-0000-0000C0AE0000}"/>
    <cellStyle name="Total 2 3 2 7 2" xfId="37363" xr:uid="{00000000-0005-0000-0000-0000C1AE0000}"/>
    <cellStyle name="Total 2 3 2 7 3" xfId="37364" xr:uid="{00000000-0005-0000-0000-0000C2AE0000}"/>
    <cellStyle name="Total 2 3 2 8" xfId="37365" xr:uid="{00000000-0005-0000-0000-0000C3AE0000}"/>
    <cellStyle name="Total 2 3 2 8 2" xfId="37366" xr:uid="{00000000-0005-0000-0000-0000C4AE0000}"/>
    <cellStyle name="Total 2 3 2 8 3" xfId="37367" xr:uid="{00000000-0005-0000-0000-0000C5AE0000}"/>
    <cellStyle name="Total 2 3 2 9" xfId="37368" xr:uid="{00000000-0005-0000-0000-0000C6AE0000}"/>
    <cellStyle name="Total 2 3 2 9 2" xfId="37369" xr:uid="{00000000-0005-0000-0000-0000C7AE0000}"/>
    <cellStyle name="Total 2 3 2 9 3" xfId="37370" xr:uid="{00000000-0005-0000-0000-0000C8AE0000}"/>
    <cellStyle name="Total 2 3 3" xfId="37371" xr:uid="{00000000-0005-0000-0000-0000C9AE0000}"/>
    <cellStyle name="Total 2 3 3 2" xfId="37372" xr:uid="{00000000-0005-0000-0000-0000CAAE0000}"/>
    <cellStyle name="Total 2 3 3 2 2" xfId="37373" xr:uid="{00000000-0005-0000-0000-0000CBAE0000}"/>
    <cellStyle name="Total 2 3 3 2 3" xfId="37374" xr:uid="{00000000-0005-0000-0000-0000CCAE0000}"/>
    <cellStyle name="Total 2 3 3 3" xfId="37375" xr:uid="{00000000-0005-0000-0000-0000CDAE0000}"/>
    <cellStyle name="Total 2 3 3 3 2" xfId="37376" xr:uid="{00000000-0005-0000-0000-0000CEAE0000}"/>
    <cellStyle name="Total 2 3 3 3 3" xfId="37377" xr:uid="{00000000-0005-0000-0000-0000CFAE0000}"/>
    <cellStyle name="Total 2 3 3 4" xfId="37378" xr:uid="{00000000-0005-0000-0000-0000D0AE0000}"/>
    <cellStyle name="Total 2 3 3 4 2" xfId="37379" xr:uid="{00000000-0005-0000-0000-0000D1AE0000}"/>
    <cellStyle name="Total 2 3 3 4 3" xfId="37380" xr:uid="{00000000-0005-0000-0000-0000D2AE0000}"/>
    <cellStyle name="Total 2 3 3 5" xfId="37381" xr:uid="{00000000-0005-0000-0000-0000D3AE0000}"/>
    <cellStyle name="Total 2 3 3 5 2" xfId="37382" xr:uid="{00000000-0005-0000-0000-0000D4AE0000}"/>
    <cellStyle name="Total 2 3 3 5 3" xfId="37383" xr:uid="{00000000-0005-0000-0000-0000D5AE0000}"/>
    <cellStyle name="Total 2 3 3 6" xfId="37384" xr:uid="{00000000-0005-0000-0000-0000D6AE0000}"/>
    <cellStyle name="Total 2 3 3 6 2" xfId="37385" xr:uid="{00000000-0005-0000-0000-0000D7AE0000}"/>
    <cellStyle name="Total 2 3 3 6 3" xfId="37386" xr:uid="{00000000-0005-0000-0000-0000D8AE0000}"/>
    <cellStyle name="Total 2 3 3 7" xfId="37387" xr:uid="{00000000-0005-0000-0000-0000D9AE0000}"/>
    <cellStyle name="Total 2 3 3 7 2" xfId="37388" xr:uid="{00000000-0005-0000-0000-0000DAAE0000}"/>
    <cellStyle name="Total 2 3 3 7 3" xfId="37389" xr:uid="{00000000-0005-0000-0000-0000DBAE0000}"/>
    <cellStyle name="Total 2 3 3 8" xfId="37390" xr:uid="{00000000-0005-0000-0000-0000DCAE0000}"/>
    <cellStyle name="Total 2 3 3 9" xfId="37391" xr:uid="{00000000-0005-0000-0000-0000DDAE0000}"/>
    <cellStyle name="Total 2 3 4" xfId="37392" xr:uid="{00000000-0005-0000-0000-0000DEAE0000}"/>
    <cellStyle name="Total 2 3 4 2" xfId="37393" xr:uid="{00000000-0005-0000-0000-0000DFAE0000}"/>
    <cellStyle name="Total 2 3 4 2 2" xfId="37394" xr:uid="{00000000-0005-0000-0000-0000E0AE0000}"/>
    <cellStyle name="Total 2 3 4 2 3" xfId="37395" xr:uid="{00000000-0005-0000-0000-0000E1AE0000}"/>
    <cellStyle name="Total 2 3 4 3" xfId="37396" xr:uid="{00000000-0005-0000-0000-0000E2AE0000}"/>
    <cellStyle name="Total 2 3 4 3 2" xfId="37397" xr:uid="{00000000-0005-0000-0000-0000E3AE0000}"/>
    <cellStyle name="Total 2 3 4 3 3" xfId="37398" xr:uid="{00000000-0005-0000-0000-0000E4AE0000}"/>
    <cellStyle name="Total 2 3 4 4" xfId="37399" xr:uid="{00000000-0005-0000-0000-0000E5AE0000}"/>
    <cellStyle name="Total 2 3 4 4 2" xfId="37400" xr:uid="{00000000-0005-0000-0000-0000E6AE0000}"/>
    <cellStyle name="Total 2 3 4 4 3" xfId="37401" xr:uid="{00000000-0005-0000-0000-0000E7AE0000}"/>
    <cellStyle name="Total 2 3 4 5" xfId="37402" xr:uid="{00000000-0005-0000-0000-0000E8AE0000}"/>
    <cellStyle name="Total 2 3 4 5 2" xfId="37403" xr:uid="{00000000-0005-0000-0000-0000E9AE0000}"/>
    <cellStyle name="Total 2 3 4 5 3" xfId="37404" xr:uid="{00000000-0005-0000-0000-0000EAAE0000}"/>
    <cellStyle name="Total 2 3 4 6" xfId="37405" xr:uid="{00000000-0005-0000-0000-0000EBAE0000}"/>
    <cellStyle name="Total 2 3 4 6 2" xfId="37406" xr:uid="{00000000-0005-0000-0000-0000ECAE0000}"/>
    <cellStyle name="Total 2 3 4 6 3" xfId="37407" xr:uid="{00000000-0005-0000-0000-0000EDAE0000}"/>
    <cellStyle name="Total 2 3 4 7" xfId="37408" xr:uid="{00000000-0005-0000-0000-0000EEAE0000}"/>
    <cellStyle name="Total 2 3 4 7 2" xfId="37409" xr:uid="{00000000-0005-0000-0000-0000EFAE0000}"/>
    <cellStyle name="Total 2 3 4 7 3" xfId="37410" xr:uid="{00000000-0005-0000-0000-0000F0AE0000}"/>
    <cellStyle name="Total 2 3 4 8" xfId="37411" xr:uid="{00000000-0005-0000-0000-0000F1AE0000}"/>
    <cellStyle name="Total 2 3 4 9" xfId="37412" xr:uid="{00000000-0005-0000-0000-0000F2AE0000}"/>
    <cellStyle name="Total 2 3 5" xfId="37413" xr:uid="{00000000-0005-0000-0000-0000F3AE0000}"/>
    <cellStyle name="Total 2 3 5 2" xfId="37414" xr:uid="{00000000-0005-0000-0000-0000F4AE0000}"/>
    <cellStyle name="Total 2 3 5 2 2" xfId="37415" xr:uid="{00000000-0005-0000-0000-0000F5AE0000}"/>
    <cellStyle name="Total 2 3 5 2 3" xfId="37416" xr:uid="{00000000-0005-0000-0000-0000F6AE0000}"/>
    <cellStyle name="Total 2 3 5 3" xfId="37417" xr:uid="{00000000-0005-0000-0000-0000F7AE0000}"/>
    <cellStyle name="Total 2 3 5 3 2" xfId="37418" xr:uid="{00000000-0005-0000-0000-0000F8AE0000}"/>
    <cellStyle name="Total 2 3 5 3 3" xfId="37419" xr:uid="{00000000-0005-0000-0000-0000F9AE0000}"/>
    <cellStyle name="Total 2 3 5 4" xfId="37420" xr:uid="{00000000-0005-0000-0000-0000FAAE0000}"/>
    <cellStyle name="Total 2 3 5 4 2" xfId="37421" xr:uid="{00000000-0005-0000-0000-0000FBAE0000}"/>
    <cellStyle name="Total 2 3 5 4 3" xfId="37422" xr:uid="{00000000-0005-0000-0000-0000FCAE0000}"/>
    <cellStyle name="Total 2 3 5 5" xfId="37423" xr:uid="{00000000-0005-0000-0000-0000FDAE0000}"/>
    <cellStyle name="Total 2 3 5 5 2" xfId="37424" xr:uid="{00000000-0005-0000-0000-0000FEAE0000}"/>
    <cellStyle name="Total 2 3 5 5 3" xfId="37425" xr:uid="{00000000-0005-0000-0000-0000FFAE0000}"/>
    <cellStyle name="Total 2 3 5 6" xfId="37426" xr:uid="{00000000-0005-0000-0000-000000AF0000}"/>
    <cellStyle name="Total 2 3 5 6 2" xfId="37427" xr:uid="{00000000-0005-0000-0000-000001AF0000}"/>
    <cellStyle name="Total 2 3 5 6 3" xfId="37428" xr:uid="{00000000-0005-0000-0000-000002AF0000}"/>
    <cellStyle name="Total 2 3 5 7" xfId="37429" xr:uid="{00000000-0005-0000-0000-000003AF0000}"/>
    <cellStyle name="Total 2 3 5 7 2" xfId="37430" xr:uid="{00000000-0005-0000-0000-000004AF0000}"/>
    <cellStyle name="Total 2 3 5 7 3" xfId="37431" xr:uid="{00000000-0005-0000-0000-000005AF0000}"/>
    <cellStyle name="Total 2 3 5 8" xfId="37432" xr:uid="{00000000-0005-0000-0000-000006AF0000}"/>
    <cellStyle name="Total 2 3 5 9" xfId="37433" xr:uid="{00000000-0005-0000-0000-000007AF0000}"/>
    <cellStyle name="Total 2 3 6" xfId="37434" xr:uid="{00000000-0005-0000-0000-000008AF0000}"/>
    <cellStyle name="Total 2 3 6 2" xfId="37435" xr:uid="{00000000-0005-0000-0000-000009AF0000}"/>
    <cellStyle name="Total 2 3 6 2 2" xfId="37436" xr:uid="{00000000-0005-0000-0000-00000AAF0000}"/>
    <cellStyle name="Total 2 3 6 2 3" xfId="37437" xr:uid="{00000000-0005-0000-0000-00000BAF0000}"/>
    <cellStyle name="Total 2 3 6 3" xfId="37438" xr:uid="{00000000-0005-0000-0000-00000CAF0000}"/>
    <cellStyle name="Total 2 3 6 3 2" xfId="37439" xr:uid="{00000000-0005-0000-0000-00000DAF0000}"/>
    <cellStyle name="Total 2 3 6 3 3" xfId="37440" xr:uid="{00000000-0005-0000-0000-00000EAF0000}"/>
    <cellStyle name="Total 2 3 6 4" xfId="37441" xr:uid="{00000000-0005-0000-0000-00000FAF0000}"/>
    <cellStyle name="Total 2 3 6 4 2" xfId="37442" xr:uid="{00000000-0005-0000-0000-000010AF0000}"/>
    <cellStyle name="Total 2 3 6 4 3" xfId="37443" xr:uid="{00000000-0005-0000-0000-000011AF0000}"/>
    <cellStyle name="Total 2 3 6 5" xfId="37444" xr:uid="{00000000-0005-0000-0000-000012AF0000}"/>
    <cellStyle name="Total 2 3 6 5 2" xfId="37445" xr:uid="{00000000-0005-0000-0000-000013AF0000}"/>
    <cellStyle name="Total 2 3 6 5 3" xfId="37446" xr:uid="{00000000-0005-0000-0000-000014AF0000}"/>
    <cellStyle name="Total 2 3 6 6" xfId="37447" xr:uid="{00000000-0005-0000-0000-000015AF0000}"/>
    <cellStyle name="Total 2 3 6 6 2" xfId="37448" xr:uid="{00000000-0005-0000-0000-000016AF0000}"/>
    <cellStyle name="Total 2 3 6 6 3" xfId="37449" xr:uid="{00000000-0005-0000-0000-000017AF0000}"/>
    <cellStyle name="Total 2 3 6 7" xfId="37450" xr:uid="{00000000-0005-0000-0000-000018AF0000}"/>
    <cellStyle name="Total 2 3 6 7 2" xfId="37451" xr:uid="{00000000-0005-0000-0000-000019AF0000}"/>
    <cellStyle name="Total 2 3 6 7 3" xfId="37452" xr:uid="{00000000-0005-0000-0000-00001AAF0000}"/>
    <cellStyle name="Total 2 3 6 8" xfId="37453" xr:uid="{00000000-0005-0000-0000-00001BAF0000}"/>
    <cellStyle name="Total 2 3 6 9" xfId="37454" xr:uid="{00000000-0005-0000-0000-00001CAF0000}"/>
    <cellStyle name="Total 2 3 7" xfId="37455" xr:uid="{00000000-0005-0000-0000-00001DAF0000}"/>
    <cellStyle name="Total 2 3 7 2" xfId="37456" xr:uid="{00000000-0005-0000-0000-00001EAF0000}"/>
    <cellStyle name="Total 2 3 7 3" xfId="37457" xr:uid="{00000000-0005-0000-0000-00001FAF0000}"/>
    <cellStyle name="Total 2 3 8" xfId="37458" xr:uid="{00000000-0005-0000-0000-000020AF0000}"/>
    <cellStyle name="Total 2 3 8 2" xfId="37459" xr:uid="{00000000-0005-0000-0000-000021AF0000}"/>
    <cellStyle name="Total 2 3 8 3" xfId="37460" xr:uid="{00000000-0005-0000-0000-000022AF0000}"/>
    <cellStyle name="Total 2 3 9" xfId="37461" xr:uid="{00000000-0005-0000-0000-000023AF0000}"/>
    <cellStyle name="Total 2 3 9 2" xfId="37462" xr:uid="{00000000-0005-0000-0000-000024AF0000}"/>
    <cellStyle name="Total 2 3 9 3" xfId="37463" xr:uid="{00000000-0005-0000-0000-000025AF0000}"/>
    <cellStyle name="Total 2 4" xfId="2336" xr:uid="{00000000-0005-0000-0000-000026AF0000}"/>
    <cellStyle name="Total 2 4 10" xfId="37464" xr:uid="{00000000-0005-0000-0000-000027AF0000}"/>
    <cellStyle name="Total 2 4 10 2" xfId="37465" xr:uid="{00000000-0005-0000-0000-000028AF0000}"/>
    <cellStyle name="Total 2 4 10 3" xfId="37466" xr:uid="{00000000-0005-0000-0000-000029AF0000}"/>
    <cellStyle name="Total 2 4 11" xfId="37467" xr:uid="{00000000-0005-0000-0000-00002AAF0000}"/>
    <cellStyle name="Total 2 4 11 2" xfId="37468" xr:uid="{00000000-0005-0000-0000-00002BAF0000}"/>
    <cellStyle name="Total 2 4 11 3" xfId="37469" xr:uid="{00000000-0005-0000-0000-00002CAF0000}"/>
    <cellStyle name="Total 2 4 12" xfId="37470" xr:uid="{00000000-0005-0000-0000-00002DAF0000}"/>
    <cellStyle name="Total 2 4 12 2" xfId="37471" xr:uid="{00000000-0005-0000-0000-00002EAF0000}"/>
    <cellStyle name="Total 2 4 12 3" xfId="37472" xr:uid="{00000000-0005-0000-0000-00002FAF0000}"/>
    <cellStyle name="Total 2 4 13" xfId="37473" xr:uid="{00000000-0005-0000-0000-000030AF0000}"/>
    <cellStyle name="Total 2 4 14" xfId="37474" xr:uid="{00000000-0005-0000-0000-000031AF0000}"/>
    <cellStyle name="Total 2 4 2" xfId="37475" xr:uid="{00000000-0005-0000-0000-000032AF0000}"/>
    <cellStyle name="Total 2 4 2 10" xfId="37476" xr:uid="{00000000-0005-0000-0000-000033AF0000}"/>
    <cellStyle name="Total 2 4 2 10 2" xfId="37477" xr:uid="{00000000-0005-0000-0000-000034AF0000}"/>
    <cellStyle name="Total 2 4 2 10 3" xfId="37478" xr:uid="{00000000-0005-0000-0000-000035AF0000}"/>
    <cellStyle name="Total 2 4 2 11" xfId="37479" xr:uid="{00000000-0005-0000-0000-000036AF0000}"/>
    <cellStyle name="Total 2 4 2 11 2" xfId="37480" xr:uid="{00000000-0005-0000-0000-000037AF0000}"/>
    <cellStyle name="Total 2 4 2 11 3" xfId="37481" xr:uid="{00000000-0005-0000-0000-000038AF0000}"/>
    <cellStyle name="Total 2 4 2 12" xfId="37482" xr:uid="{00000000-0005-0000-0000-000039AF0000}"/>
    <cellStyle name="Total 2 4 2 13" xfId="37483" xr:uid="{00000000-0005-0000-0000-00003AAF0000}"/>
    <cellStyle name="Total 2 4 2 2" xfId="37484" xr:uid="{00000000-0005-0000-0000-00003BAF0000}"/>
    <cellStyle name="Total 2 4 2 2 2" xfId="37485" xr:uid="{00000000-0005-0000-0000-00003CAF0000}"/>
    <cellStyle name="Total 2 4 2 2 2 2" xfId="37486" xr:uid="{00000000-0005-0000-0000-00003DAF0000}"/>
    <cellStyle name="Total 2 4 2 2 2 3" xfId="37487" xr:uid="{00000000-0005-0000-0000-00003EAF0000}"/>
    <cellStyle name="Total 2 4 2 2 3" xfId="37488" xr:uid="{00000000-0005-0000-0000-00003FAF0000}"/>
    <cellStyle name="Total 2 4 2 2 3 2" xfId="37489" xr:uid="{00000000-0005-0000-0000-000040AF0000}"/>
    <cellStyle name="Total 2 4 2 2 3 3" xfId="37490" xr:uid="{00000000-0005-0000-0000-000041AF0000}"/>
    <cellStyle name="Total 2 4 2 2 4" xfId="37491" xr:uid="{00000000-0005-0000-0000-000042AF0000}"/>
    <cellStyle name="Total 2 4 2 2 4 2" xfId="37492" xr:uid="{00000000-0005-0000-0000-000043AF0000}"/>
    <cellStyle name="Total 2 4 2 2 4 3" xfId="37493" xr:uid="{00000000-0005-0000-0000-000044AF0000}"/>
    <cellStyle name="Total 2 4 2 2 5" xfId="37494" xr:uid="{00000000-0005-0000-0000-000045AF0000}"/>
    <cellStyle name="Total 2 4 2 2 5 2" xfId="37495" xr:uid="{00000000-0005-0000-0000-000046AF0000}"/>
    <cellStyle name="Total 2 4 2 2 5 3" xfId="37496" xr:uid="{00000000-0005-0000-0000-000047AF0000}"/>
    <cellStyle name="Total 2 4 2 2 6" xfId="37497" xr:uid="{00000000-0005-0000-0000-000048AF0000}"/>
    <cellStyle name="Total 2 4 2 2 6 2" xfId="37498" xr:uid="{00000000-0005-0000-0000-000049AF0000}"/>
    <cellStyle name="Total 2 4 2 2 6 3" xfId="37499" xr:uid="{00000000-0005-0000-0000-00004AAF0000}"/>
    <cellStyle name="Total 2 4 2 2 7" xfId="37500" xr:uid="{00000000-0005-0000-0000-00004BAF0000}"/>
    <cellStyle name="Total 2 4 2 2 7 2" xfId="37501" xr:uid="{00000000-0005-0000-0000-00004CAF0000}"/>
    <cellStyle name="Total 2 4 2 2 7 3" xfId="37502" xr:uid="{00000000-0005-0000-0000-00004DAF0000}"/>
    <cellStyle name="Total 2 4 2 2 8" xfId="37503" xr:uid="{00000000-0005-0000-0000-00004EAF0000}"/>
    <cellStyle name="Total 2 4 2 2 9" xfId="37504" xr:uid="{00000000-0005-0000-0000-00004FAF0000}"/>
    <cellStyle name="Total 2 4 2 3" xfId="37505" xr:uid="{00000000-0005-0000-0000-000050AF0000}"/>
    <cellStyle name="Total 2 4 2 3 2" xfId="37506" xr:uid="{00000000-0005-0000-0000-000051AF0000}"/>
    <cellStyle name="Total 2 4 2 3 2 2" xfId="37507" xr:uid="{00000000-0005-0000-0000-000052AF0000}"/>
    <cellStyle name="Total 2 4 2 3 2 3" xfId="37508" xr:uid="{00000000-0005-0000-0000-000053AF0000}"/>
    <cellStyle name="Total 2 4 2 3 3" xfId="37509" xr:uid="{00000000-0005-0000-0000-000054AF0000}"/>
    <cellStyle name="Total 2 4 2 3 3 2" xfId="37510" xr:uid="{00000000-0005-0000-0000-000055AF0000}"/>
    <cellStyle name="Total 2 4 2 3 3 3" xfId="37511" xr:uid="{00000000-0005-0000-0000-000056AF0000}"/>
    <cellStyle name="Total 2 4 2 3 4" xfId="37512" xr:uid="{00000000-0005-0000-0000-000057AF0000}"/>
    <cellStyle name="Total 2 4 2 3 4 2" xfId="37513" xr:uid="{00000000-0005-0000-0000-000058AF0000}"/>
    <cellStyle name="Total 2 4 2 3 4 3" xfId="37514" xr:uid="{00000000-0005-0000-0000-000059AF0000}"/>
    <cellStyle name="Total 2 4 2 3 5" xfId="37515" xr:uid="{00000000-0005-0000-0000-00005AAF0000}"/>
    <cellStyle name="Total 2 4 2 3 5 2" xfId="37516" xr:uid="{00000000-0005-0000-0000-00005BAF0000}"/>
    <cellStyle name="Total 2 4 2 3 5 3" xfId="37517" xr:uid="{00000000-0005-0000-0000-00005CAF0000}"/>
    <cellStyle name="Total 2 4 2 3 6" xfId="37518" xr:uid="{00000000-0005-0000-0000-00005DAF0000}"/>
    <cellStyle name="Total 2 4 2 3 6 2" xfId="37519" xr:uid="{00000000-0005-0000-0000-00005EAF0000}"/>
    <cellStyle name="Total 2 4 2 3 6 3" xfId="37520" xr:uid="{00000000-0005-0000-0000-00005FAF0000}"/>
    <cellStyle name="Total 2 4 2 3 7" xfId="37521" xr:uid="{00000000-0005-0000-0000-000060AF0000}"/>
    <cellStyle name="Total 2 4 2 3 7 2" xfId="37522" xr:uid="{00000000-0005-0000-0000-000061AF0000}"/>
    <cellStyle name="Total 2 4 2 3 7 3" xfId="37523" xr:uid="{00000000-0005-0000-0000-000062AF0000}"/>
    <cellStyle name="Total 2 4 2 3 8" xfId="37524" xr:uid="{00000000-0005-0000-0000-000063AF0000}"/>
    <cellStyle name="Total 2 4 2 3 9" xfId="37525" xr:uid="{00000000-0005-0000-0000-000064AF0000}"/>
    <cellStyle name="Total 2 4 2 4" xfId="37526" xr:uid="{00000000-0005-0000-0000-000065AF0000}"/>
    <cellStyle name="Total 2 4 2 4 2" xfId="37527" xr:uid="{00000000-0005-0000-0000-000066AF0000}"/>
    <cellStyle name="Total 2 4 2 4 2 2" xfId="37528" xr:uid="{00000000-0005-0000-0000-000067AF0000}"/>
    <cellStyle name="Total 2 4 2 4 2 3" xfId="37529" xr:uid="{00000000-0005-0000-0000-000068AF0000}"/>
    <cellStyle name="Total 2 4 2 4 3" xfId="37530" xr:uid="{00000000-0005-0000-0000-000069AF0000}"/>
    <cellStyle name="Total 2 4 2 4 3 2" xfId="37531" xr:uid="{00000000-0005-0000-0000-00006AAF0000}"/>
    <cellStyle name="Total 2 4 2 4 3 3" xfId="37532" xr:uid="{00000000-0005-0000-0000-00006BAF0000}"/>
    <cellStyle name="Total 2 4 2 4 4" xfId="37533" xr:uid="{00000000-0005-0000-0000-00006CAF0000}"/>
    <cellStyle name="Total 2 4 2 4 4 2" xfId="37534" xr:uid="{00000000-0005-0000-0000-00006DAF0000}"/>
    <cellStyle name="Total 2 4 2 4 4 3" xfId="37535" xr:uid="{00000000-0005-0000-0000-00006EAF0000}"/>
    <cellStyle name="Total 2 4 2 4 5" xfId="37536" xr:uid="{00000000-0005-0000-0000-00006FAF0000}"/>
    <cellStyle name="Total 2 4 2 4 5 2" xfId="37537" xr:uid="{00000000-0005-0000-0000-000070AF0000}"/>
    <cellStyle name="Total 2 4 2 4 5 3" xfId="37538" xr:uid="{00000000-0005-0000-0000-000071AF0000}"/>
    <cellStyle name="Total 2 4 2 4 6" xfId="37539" xr:uid="{00000000-0005-0000-0000-000072AF0000}"/>
    <cellStyle name="Total 2 4 2 4 6 2" xfId="37540" xr:uid="{00000000-0005-0000-0000-000073AF0000}"/>
    <cellStyle name="Total 2 4 2 4 6 3" xfId="37541" xr:uid="{00000000-0005-0000-0000-000074AF0000}"/>
    <cellStyle name="Total 2 4 2 4 7" xfId="37542" xr:uid="{00000000-0005-0000-0000-000075AF0000}"/>
    <cellStyle name="Total 2 4 2 4 7 2" xfId="37543" xr:uid="{00000000-0005-0000-0000-000076AF0000}"/>
    <cellStyle name="Total 2 4 2 4 7 3" xfId="37544" xr:uid="{00000000-0005-0000-0000-000077AF0000}"/>
    <cellStyle name="Total 2 4 2 4 8" xfId="37545" xr:uid="{00000000-0005-0000-0000-000078AF0000}"/>
    <cellStyle name="Total 2 4 2 4 9" xfId="37546" xr:uid="{00000000-0005-0000-0000-000079AF0000}"/>
    <cellStyle name="Total 2 4 2 5" xfId="37547" xr:uid="{00000000-0005-0000-0000-00007AAF0000}"/>
    <cellStyle name="Total 2 4 2 5 2" xfId="37548" xr:uid="{00000000-0005-0000-0000-00007BAF0000}"/>
    <cellStyle name="Total 2 4 2 5 2 2" xfId="37549" xr:uid="{00000000-0005-0000-0000-00007CAF0000}"/>
    <cellStyle name="Total 2 4 2 5 2 3" xfId="37550" xr:uid="{00000000-0005-0000-0000-00007DAF0000}"/>
    <cellStyle name="Total 2 4 2 5 3" xfId="37551" xr:uid="{00000000-0005-0000-0000-00007EAF0000}"/>
    <cellStyle name="Total 2 4 2 5 3 2" xfId="37552" xr:uid="{00000000-0005-0000-0000-00007FAF0000}"/>
    <cellStyle name="Total 2 4 2 5 3 3" xfId="37553" xr:uid="{00000000-0005-0000-0000-000080AF0000}"/>
    <cellStyle name="Total 2 4 2 5 4" xfId="37554" xr:uid="{00000000-0005-0000-0000-000081AF0000}"/>
    <cellStyle name="Total 2 4 2 5 4 2" xfId="37555" xr:uid="{00000000-0005-0000-0000-000082AF0000}"/>
    <cellStyle name="Total 2 4 2 5 4 3" xfId="37556" xr:uid="{00000000-0005-0000-0000-000083AF0000}"/>
    <cellStyle name="Total 2 4 2 5 5" xfId="37557" xr:uid="{00000000-0005-0000-0000-000084AF0000}"/>
    <cellStyle name="Total 2 4 2 5 5 2" xfId="37558" xr:uid="{00000000-0005-0000-0000-000085AF0000}"/>
    <cellStyle name="Total 2 4 2 5 5 3" xfId="37559" xr:uid="{00000000-0005-0000-0000-000086AF0000}"/>
    <cellStyle name="Total 2 4 2 5 6" xfId="37560" xr:uid="{00000000-0005-0000-0000-000087AF0000}"/>
    <cellStyle name="Total 2 4 2 5 6 2" xfId="37561" xr:uid="{00000000-0005-0000-0000-000088AF0000}"/>
    <cellStyle name="Total 2 4 2 5 6 3" xfId="37562" xr:uid="{00000000-0005-0000-0000-000089AF0000}"/>
    <cellStyle name="Total 2 4 2 5 7" xfId="37563" xr:uid="{00000000-0005-0000-0000-00008AAF0000}"/>
    <cellStyle name="Total 2 4 2 5 7 2" xfId="37564" xr:uid="{00000000-0005-0000-0000-00008BAF0000}"/>
    <cellStyle name="Total 2 4 2 5 7 3" xfId="37565" xr:uid="{00000000-0005-0000-0000-00008CAF0000}"/>
    <cellStyle name="Total 2 4 2 5 8" xfId="37566" xr:uid="{00000000-0005-0000-0000-00008DAF0000}"/>
    <cellStyle name="Total 2 4 2 5 9" xfId="37567" xr:uid="{00000000-0005-0000-0000-00008EAF0000}"/>
    <cellStyle name="Total 2 4 2 6" xfId="37568" xr:uid="{00000000-0005-0000-0000-00008FAF0000}"/>
    <cellStyle name="Total 2 4 2 6 2" xfId="37569" xr:uid="{00000000-0005-0000-0000-000090AF0000}"/>
    <cellStyle name="Total 2 4 2 6 3" xfId="37570" xr:uid="{00000000-0005-0000-0000-000091AF0000}"/>
    <cellStyle name="Total 2 4 2 7" xfId="37571" xr:uid="{00000000-0005-0000-0000-000092AF0000}"/>
    <cellStyle name="Total 2 4 2 7 2" xfId="37572" xr:uid="{00000000-0005-0000-0000-000093AF0000}"/>
    <cellStyle name="Total 2 4 2 7 3" xfId="37573" xr:uid="{00000000-0005-0000-0000-000094AF0000}"/>
    <cellStyle name="Total 2 4 2 8" xfId="37574" xr:uid="{00000000-0005-0000-0000-000095AF0000}"/>
    <cellStyle name="Total 2 4 2 8 2" xfId="37575" xr:uid="{00000000-0005-0000-0000-000096AF0000}"/>
    <cellStyle name="Total 2 4 2 8 3" xfId="37576" xr:uid="{00000000-0005-0000-0000-000097AF0000}"/>
    <cellStyle name="Total 2 4 2 9" xfId="37577" xr:uid="{00000000-0005-0000-0000-000098AF0000}"/>
    <cellStyle name="Total 2 4 2 9 2" xfId="37578" xr:uid="{00000000-0005-0000-0000-000099AF0000}"/>
    <cellStyle name="Total 2 4 2 9 3" xfId="37579" xr:uid="{00000000-0005-0000-0000-00009AAF0000}"/>
    <cellStyle name="Total 2 4 3" xfId="37580" xr:uid="{00000000-0005-0000-0000-00009BAF0000}"/>
    <cellStyle name="Total 2 4 3 2" xfId="37581" xr:uid="{00000000-0005-0000-0000-00009CAF0000}"/>
    <cellStyle name="Total 2 4 3 2 2" xfId="37582" xr:uid="{00000000-0005-0000-0000-00009DAF0000}"/>
    <cellStyle name="Total 2 4 3 2 3" xfId="37583" xr:uid="{00000000-0005-0000-0000-00009EAF0000}"/>
    <cellStyle name="Total 2 4 3 3" xfId="37584" xr:uid="{00000000-0005-0000-0000-00009FAF0000}"/>
    <cellStyle name="Total 2 4 3 3 2" xfId="37585" xr:uid="{00000000-0005-0000-0000-0000A0AF0000}"/>
    <cellStyle name="Total 2 4 3 3 3" xfId="37586" xr:uid="{00000000-0005-0000-0000-0000A1AF0000}"/>
    <cellStyle name="Total 2 4 3 4" xfId="37587" xr:uid="{00000000-0005-0000-0000-0000A2AF0000}"/>
    <cellStyle name="Total 2 4 3 4 2" xfId="37588" xr:uid="{00000000-0005-0000-0000-0000A3AF0000}"/>
    <cellStyle name="Total 2 4 3 4 3" xfId="37589" xr:uid="{00000000-0005-0000-0000-0000A4AF0000}"/>
    <cellStyle name="Total 2 4 3 5" xfId="37590" xr:uid="{00000000-0005-0000-0000-0000A5AF0000}"/>
    <cellStyle name="Total 2 4 3 5 2" xfId="37591" xr:uid="{00000000-0005-0000-0000-0000A6AF0000}"/>
    <cellStyle name="Total 2 4 3 5 3" xfId="37592" xr:uid="{00000000-0005-0000-0000-0000A7AF0000}"/>
    <cellStyle name="Total 2 4 3 6" xfId="37593" xr:uid="{00000000-0005-0000-0000-0000A8AF0000}"/>
    <cellStyle name="Total 2 4 3 6 2" xfId="37594" xr:uid="{00000000-0005-0000-0000-0000A9AF0000}"/>
    <cellStyle name="Total 2 4 3 6 3" xfId="37595" xr:uid="{00000000-0005-0000-0000-0000AAAF0000}"/>
    <cellStyle name="Total 2 4 3 7" xfId="37596" xr:uid="{00000000-0005-0000-0000-0000ABAF0000}"/>
    <cellStyle name="Total 2 4 3 7 2" xfId="37597" xr:uid="{00000000-0005-0000-0000-0000ACAF0000}"/>
    <cellStyle name="Total 2 4 3 7 3" xfId="37598" xr:uid="{00000000-0005-0000-0000-0000ADAF0000}"/>
    <cellStyle name="Total 2 4 3 8" xfId="37599" xr:uid="{00000000-0005-0000-0000-0000AEAF0000}"/>
    <cellStyle name="Total 2 4 3 9" xfId="37600" xr:uid="{00000000-0005-0000-0000-0000AFAF0000}"/>
    <cellStyle name="Total 2 4 4" xfId="37601" xr:uid="{00000000-0005-0000-0000-0000B0AF0000}"/>
    <cellStyle name="Total 2 4 4 2" xfId="37602" xr:uid="{00000000-0005-0000-0000-0000B1AF0000}"/>
    <cellStyle name="Total 2 4 4 2 2" xfId="37603" xr:uid="{00000000-0005-0000-0000-0000B2AF0000}"/>
    <cellStyle name="Total 2 4 4 2 3" xfId="37604" xr:uid="{00000000-0005-0000-0000-0000B3AF0000}"/>
    <cellStyle name="Total 2 4 4 3" xfId="37605" xr:uid="{00000000-0005-0000-0000-0000B4AF0000}"/>
    <cellStyle name="Total 2 4 4 3 2" xfId="37606" xr:uid="{00000000-0005-0000-0000-0000B5AF0000}"/>
    <cellStyle name="Total 2 4 4 3 3" xfId="37607" xr:uid="{00000000-0005-0000-0000-0000B6AF0000}"/>
    <cellStyle name="Total 2 4 4 4" xfId="37608" xr:uid="{00000000-0005-0000-0000-0000B7AF0000}"/>
    <cellStyle name="Total 2 4 4 4 2" xfId="37609" xr:uid="{00000000-0005-0000-0000-0000B8AF0000}"/>
    <cellStyle name="Total 2 4 4 4 3" xfId="37610" xr:uid="{00000000-0005-0000-0000-0000B9AF0000}"/>
    <cellStyle name="Total 2 4 4 5" xfId="37611" xr:uid="{00000000-0005-0000-0000-0000BAAF0000}"/>
    <cellStyle name="Total 2 4 4 5 2" xfId="37612" xr:uid="{00000000-0005-0000-0000-0000BBAF0000}"/>
    <cellStyle name="Total 2 4 4 5 3" xfId="37613" xr:uid="{00000000-0005-0000-0000-0000BCAF0000}"/>
    <cellStyle name="Total 2 4 4 6" xfId="37614" xr:uid="{00000000-0005-0000-0000-0000BDAF0000}"/>
    <cellStyle name="Total 2 4 4 6 2" xfId="37615" xr:uid="{00000000-0005-0000-0000-0000BEAF0000}"/>
    <cellStyle name="Total 2 4 4 6 3" xfId="37616" xr:uid="{00000000-0005-0000-0000-0000BFAF0000}"/>
    <cellStyle name="Total 2 4 4 7" xfId="37617" xr:uid="{00000000-0005-0000-0000-0000C0AF0000}"/>
    <cellStyle name="Total 2 4 4 7 2" xfId="37618" xr:uid="{00000000-0005-0000-0000-0000C1AF0000}"/>
    <cellStyle name="Total 2 4 4 7 3" xfId="37619" xr:uid="{00000000-0005-0000-0000-0000C2AF0000}"/>
    <cellStyle name="Total 2 4 4 8" xfId="37620" xr:uid="{00000000-0005-0000-0000-0000C3AF0000}"/>
    <cellStyle name="Total 2 4 4 9" xfId="37621" xr:uid="{00000000-0005-0000-0000-0000C4AF0000}"/>
    <cellStyle name="Total 2 4 5" xfId="37622" xr:uid="{00000000-0005-0000-0000-0000C5AF0000}"/>
    <cellStyle name="Total 2 4 5 2" xfId="37623" xr:uid="{00000000-0005-0000-0000-0000C6AF0000}"/>
    <cellStyle name="Total 2 4 5 2 2" xfId="37624" xr:uid="{00000000-0005-0000-0000-0000C7AF0000}"/>
    <cellStyle name="Total 2 4 5 2 3" xfId="37625" xr:uid="{00000000-0005-0000-0000-0000C8AF0000}"/>
    <cellStyle name="Total 2 4 5 3" xfId="37626" xr:uid="{00000000-0005-0000-0000-0000C9AF0000}"/>
    <cellStyle name="Total 2 4 5 3 2" xfId="37627" xr:uid="{00000000-0005-0000-0000-0000CAAF0000}"/>
    <cellStyle name="Total 2 4 5 3 3" xfId="37628" xr:uid="{00000000-0005-0000-0000-0000CBAF0000}"/>
    <cellStyle name="Total 2 4 5 4" xfId="37629" xr:uid="{00000000-0005-0000-0000-0000CCAF0000}"/>
    <cellStyle name="Total 2 4 5 4 2" xfId="37630" xr:uid="{00000000-0005-0000-0000-0000CDAF0000}"/>
    <cellStyle name="Total 2 4 5 4 3" xfId="37631" xr:uid="{00000000-0005-0000-0000-0000CEAF0000}"/>
    <cellStyle name="Total 2 4 5 5" xfId="37632" xr:uid="{00000000-0005-0000-0000-0000CFAF0000}"/>
    <cellStyle name="Total 2 4 5 5 2" xfId="37633" xr:uid="{00000000-0005-0000-0000-0000D0AF0000}"/>
    <cellStyle name="Total 2 4 5 5 3" xfId="37634" xr:uid="{00000000-0005-0000-0000-0000D1AF0000}"/>
    <cellStyle name="Total 2 4 5 6" xfId="37635" xr:uid="{00000000-0005-0000-0000-0000D2AF0000}"/>
    <cellStyle name="Total 2 4 5 6 2" xfId="37636" xr:uid="{00000000-0005-0000-0000-0000D3AF0000}"/>
    <cellStyle name="Total 2 4 5 6 3" xfId="37637" xr:uid="{00000000-0005-0000-0000-0000D4AF0000}"/>
    <cellStyle name="Total 2 4 5 7" xfId="37638" xr:uid="{00000000-0005-0000-0000-0000D5AF0000}"/>
    <cellStyle name="Total 2 4 5 7 2" xfId="37639" xr:uid="{00000000-0005-0000-0000-0000D6AF0000}"/>
    <cellStyle name="Total 2 4 5 7 3" xfId="37640" xr:uid="{00000000-0005-0000-0000-0000D7AF0000}"/>
    <cellStyle name="Total 2 4 5 8" xfId="37641" xr:uid="{00000000-0005-0000-0000-0000D8AF0000}"/>
    <cellStyle name="Total 2 4 5 9" xfId="37642" xr:uid="{00000000-0005-0000-0000-0000D9AF0000}"/>
    <cellStyle name="Total 2 4 6" xfId="37643" xr:uid="{00000000-0005-0000-0000-0000DAAF0000}"/>
    <cellStyle name="Total 2 4 6 2" xfId="37644" xr:uid="{00000000-0005-0000-0000-0000DBAF0000}"/>
    <cellStyle name="Total 2 4 6 2 2" xfId="37645" xr:uid="{00000000-0005-0000-0000-0000DCAF0000}"/>
    <cellStyle name="Total 2 4 6 2 3" xfId="37646" xr:uid="{00000000-0005-0000-0000-0000DDAF0000}"/>
    <cellStyle name="Total 2 4 6 3" xfId="37647" xr:uid="{00000000-0005-0000-0000-0000DEAF0000}"/>
    <cellStyle name="Total 2 4 6 3 2" xfId="37648" xr:uid="{00000000-0005-0000-0000-0000DFAF0000}"/>
    <cellStyle name="Total 2 4 6 3 3" xfId="37649" xr:uid="{00000000-0005-0000-0000-0000E0AF0000}"/>
    <cellStyle name="Total 2 4 6 4" xfId="37650" xr:uid="{00000000-0005-0000-0000-0000E1AF0000}"/>
    <cellStyle name="Total 2 4 6 4 2" xfId="37651" xr:uid="{00000000-0005-0000-0000-0000E2AF0000}"/>
    <cellStyle name="Total 2 4 6 4 3" xfId="37652" xr:uid="{00000000-0005-0000-0000-0000E3AF0000}"/>
    <cellStyle name="Total 2 4 6 5" xfId="37653" xr:uid="{00000000-0005-0000-0000-0000E4AF0000}"/>
    <cellStyle name="Total 2 4 6 5 2" xfId="37654" xr:uid="{00000000-0005-0000-0000-0000E5AF0000}"/>
    <cellStyle name="Total 2 4 6 5 3" xfId="37655" xr:uid="{00000000-0005-0000-0000-0000E6AF0000}"/>
    <cellStyle name="Total 2 4 6 6" xfId="37656" xr:uid="{00000000-0005-0000-0000-0000E7AF0000}"/>
    <cellStyle name="Total 2 4 6 6 2" xfId="37657" xr:uid="{00000000-0005-0000-0000-0000E8AF0000}"/>
    <cellStyle name="Total 2 4 6 6 3" xfId="37658" xr:uid="{00000000-0005-0000-0000-0000E9AF0000}"/>
    <cellStyle name="Total 2 4 6 7" xfId="37659" xr:uid="{00000000-0005-0000-0000-0000EAAF0000}"/>
    <cellStyle name="Total 2 4 6 7 2" xfId="37660" xr:uid="{00000000-0005-0000-0000-0000EBAF0000}"/>
    <cellStyle name="Total 2 4 6 7 3" xfId="37661" xr:uid="{00000000-0005-0000-0000-0000ECAF0000}"/>
    <cellStyle name="Total 2 4 6 8" xfId="37662" xr:uid="{00000000-0005-0000-0000-0000EDAF0000}"/>
    <cellStyle name="Total 2 4 6 9" xfId="37663" xr:uid="{00000000-0005-0000-0000-0000EEAF0000}"/>
    <cellStyle name="Total 2 4 7" xfId="37664" xr:uid="{00000000-0005-0000-0000-0000EFAF0000}"/>
    <cellStyle name="Total 2 4 7 2" xfId="37665" xr:uid="{00000000-0005-0000-0000-0000F0AF0000}"/>
    <cellStyle name="Total 2 4 7 3" xfId="37666" xr:uid="{00000000-0005-0000-0000-0000F1AF0000}"/>
    <cellStyle name="Total 2 4 8" xfId="37667" xr:uid="{00000000-0005-0000-0000-0000F2AF0000}"/>
    <cellStyle name="Total 2 4 8 2" xfId="37668" xr:uid="{00000000-0005-0000-0000-0000F3AF0000}"/>
    <cellStyle name="Total 2 4 8 3" xfId="37669" xr:uid="{00000000-0005-0000-0000-0000F4AF0000}"/>
    <cellStyle name="Total 2 4 9" xfId="37670" xr:uid="{00000000-0005-0000-0000-0000F5AF0000}"/>
    <cellStyle name="Total 2 4 9 2" xfId="37671" xr:uid="{00000000-0005-0000-0000-0000F6AF0000}"/>
    <cellStyle name="Total 2 4 9 3" xfId="37672" xr:uid="{00000000-0005-0000-0000-0000F7AF0000}"/>
    <cellStyle name="Total 2 5" xfId="2337" xr:uid="{00000000-0005-0000-0000-0000F8AF0000}"/>
    <cellStyle name="Total 2 5 10" xfId="37673" xr:uid="{00000000-0005-0000-0000-0000F9AF0000}"/>
    <cellStyle name="Total 2 5 10 2" xfId="37674" xr:uid="{00000000-0005-0000-0000-0000FAAF0000}"/>
    <cellStyle name="Total 2 5 10 3" xfId="37675" xr:uid="{00000000-0005-0000-0000-0000FBAF0000}"/>
    <cellStyle name="Total 2 5 11" xfId="37676" xr:uid="{00000000-0005-0000-0000-0000FCAF0000}"/>
    <cellStyle name="Total 2 5 11 2" xfId="37677" xr:uid="{00000000-0005-0000-0000-0000FDAF0000}"/>
    <cellStyle name="Total 2 5 11 3" xfId="37678" xr:uid="{00000000-0005-0000-0000-0000FEAF0000}"/>
    <cellStyle name="Total 2 5 12" xfId="44748" xr:uid="{00000000-0005-0000-0000-0000FFAF0000}"/>
    <cellStyle name="Total 2 5 2" xfId="37679" xr:uid="{00000000-0005-0000-0000-000000B00000}"/>
    <cellStyle name="Total 2 5 2 2" xfId="37680" xr:uid="{00000000-0005-0000-0000-000001B00000}"/>
    <cellStyle name="Total 2 5 2 2 2" xfId="37681" xr:uid="{00000000-0005-0000-0000-000002B00000}"/>
    <cellStyle name="Total 2 5 2 2 3" xfId="37682" xr:uid="{00000000-0005-0000-0000-000003B00000}"/>
    <cellStyle name="Total 2 5 2 3" xfId="37683" xr:uid="{00000000-0005-0000-0000-000004B00000}"/>
    <cellStyle name="Total 2 5 2 3 2" xfId="37684" xr:uid="{00000000-0005-0000-0000-000005B00000}"/>
    <cellStyle name="Total 2 5 2 3 3" xfId="37685" xr:uid="{00000000-0005-0000-0000-000006B00000}"/>
    <cellStyle name="Total 2 5 2 4" xfId="37686" xr:uid="{00000000-0005-0000-0000-000007B00000}"/>
    <cellStyle name="Total 2 5 2 4 2" xfId="37687" xr:uid="{00000000-0005-0000-0000-000008B00000}"/>
    <cellStyle name="Total 2 5 2 4 3" xfId="37688" xr:uid="{00000000-0005-0000-0000-000009B00000}"/>
    <cellStyle name="Total 2 5 2 5" xfId="37689" xr:uid="{00000000-0005-0000-0000-00000AB00000}"/>
    <cellStyle name="Total 2 5 2 5 2" xfId="37690" xr:uid="{00000000-0005-0000-0000-00000BB00000}"/>
    <cellStyle name="Total 2 5 2 5 3" xfId="37691" xr:uid="{00000000-0005-0000-0000-00000CB00000}"/>
    <cellStyle name="Total 2 5 2 6" xfId="37692" xr:uid="{00000000-0005-0000-0000-00000DB00000}"/>
    <cellStyle name="Total 2 5 2 6 2" xfId="37693" xr:uid="{00000000-0005-0000-0000-00000EB00000}"/>
    <cellStyle name="Total 2 5 2 6 3" xfId="37694" xr:uid="{00000000-0005-0000-0000-00000FB00000}"/>
    <cellStyle name="Total 2 5 2 7" xfId="37695" xr:uid="{00000000-0005-0000-0000-000010B00000}"/>
    <cellStyle name="Total 2 5 2 7 2" xfId="37696" xr:uid="{00000000-0005-0000-0000-000011B00000}"/>
    <cellStyle name="Total 2 5 2 7 3" xfId="37697" xr:uid="{00000000-0005-0000-0000-000012B00000}"/>
    <cellStyle name="Total 2 5 2 8" xfId="44749" xr:uid="{00000000-0005-0000-0000-000013B00000}"/>
    <cellStyle name="Total 2 5 3" xfId="37698" xr:uid="{00000000-0005-0000-0000-000014B00000}"/>
    <cellStyle name="Total 2 5 3 2" xfId="37699" xr:uid="{00000000-0005-0000-0000-000015B00000}"/>
    <cellStyle name="Total 2 5 3 2 2" xfId="37700" xr:uid="{00000000-0005-0000-0000-000016B00000}"/>
    <cellStyle name="Total 2 5 3 2 3" xfId="37701" xr:uid="{00000000-0005-0000-0000-000017B00000}"/>
    <cellStyle name="Total 2 5 3 3" xfId="37702" xr:uid="{00000000-0005-0000-0000-000018B00000}"/>
    <cellStyle name="Total 2 5 3 3 2" xfId="37703" xr:uid="{00000000-0005-0000-0000-000019B00000}"/>
    <cellStyle name="Total 2 5 3 3 3" xfId="37704" xr:uid="{00000000-0005-0000-0000-00001AB00000}"/>
    <cellStyle name="Total 2 5 3 4" xfId="37705" xr:uid="{00000000-0005-0000-0000-00001BB00000}"/>
    <cellStyle name="Total 2 5 3 4 2" xfId="37706" xr:uid="{00000000-0005-0000-0000-00001CB00000}"/>
    <cellStyle name="Total 2 5 3 4 3" xfId="37707" xr:uid="{00000000-0005-0000-0000-00001DB00000}"/>
    <cellStyle name="Total 2 5 3 5" xfId="37708" xr:uid="{00000000-0005-0000-0000-00001EB00000}"/>
    <cellStyle name="Total 2 5 3 5 2" xfId="37709" xr:uid="{00000000-0005-0000-0000-00001FB00000}"/>
    <cellStyle name="Total 2 5 3 5 3" xfId="37710" xr:uid="{00000000-0005-0000-0000-000020B00000}"/>
    <cellStyle name="Total 2 5 3 6" xfId="37711" xr:uid="{00000000-0005-0000-0000-000021B00000}"/>
    <cellStyle name="Total 2 5 3 6 2" xfId="37712" xr:uid="{00000000-0005-0000-0000-000022B00000}"/>
    <cellStyle name="Total 2 5 3 6 3" xfId="37713" xr:uid="{00000000-0005-0000-0000-000023B00000}"/>
    <cellStyle name="Total 2 5 3 7" xfId="37714" xr:uid="{00000000-0005-0000-0000-000024B00000}"/>
    <cellStyle name="Total 2 5 3 7 2" xfId="37715" xr:uid="{00000000-0005-0000-0000-000025B00000}"/>
    <cellStyle name="Total 2 5 3 7 3" xfId="37716" xr:uid="{00000000-0005-0000-0000-000026B00000}"/>
    <cellStyle name="Total 2 5 3 8" xfId="44750" xr:uid="{00000000-0005-0000-0000-000027B00000}"/>
    <cellStyle name="Total 2 5 4" xfId="37717" xr:uid="{00000000-0005-0000-0000-000028B00000}"/>
    <cellStyle name="Total 2 5 4 2" xfId="37718" xr:uid="{00000000-0005-0000-0000-000029B00000}"/>
    <cellStyle name="Total 2 5 4 2 2" xfId="37719" xr:uid="{00000000-0005-0000-0000-00002AB00000}"/>
    <cellStyle name="Total 2 5 4 2 3" xfId="37720" xr:uid="{00000000-0005-0000-0000-00002BB00000}"/>
    <cellStyle name="Total 2 5 4 3" xfId="37721" xr:uid="{00000000-0005-0000-0000-00002CB00000}"/>
    <cellStyle name="Total 2 5 4 3 2" xfId="37722" xr:uid="{00000000-0005-0000-0000-00002DB00000}"/>
    <cellStyle name="Total 2 5 4 3 3" xfId="37723" xr:uid="{00000000-0005-0000-0000-00002EB00000}"/>
    <cellStyle name="Total 2 5 4 4" xfId="37724" xr:uid="{00000000-0005-0000-0000-00002FB00000}"/>
    <cellStyle name="Total 2 5 4 4 2" xfId="37725" xr:uid="{00000000-0005-0000-0000-000030B00000}"/>
    <cellStyle name="Total 2 5 4 4 3" xfId="37726" xr:uid="{00000000-0005-0000-0000-000031B00000}"/>
    <cellStyle name="Total 2 5 4 5" xfId="37727" xr:uid="{00000000-0005-0000-0000-000032B00000}"/>
    <cellStyle name="Total 2 5 4 5 2" xfId="37728" xr:uid="{00000000-0005-0000-0000-000033B00000}"/>
    <cellStyle name="Total 2 5 4 5 3" xfId="37729" xr:uid="{00000000-0005-0000-0000-000034B00000}"/>
    <cellStyle name="Total 2 5 4 6" xfId="37730" xr:uid="{00000000-0005-0000-0000-000035B00000}"/>
    <cellStyle name="Total 2 5 4 6 2" xfId="37731" xr:uid="{00000000-0005-0000-0000-000036B00000}"/>
    <cellStyle name="Total 2 5 4 6 3" xfId="37732" xr:uid="{00000000-0005-0000-0000-000037B00000}"/>
    <cellStyle name="Total 2 5 4 7" xfId="37733" xr:uid="{00000000-0005-0000-0000-000038B00000}"/>
    <cellStyle name="Total 2 5 4 7 2" xfId="37734" xr:uid="{00000000-0005-0000-0000-000039B00000}"/>
    <cellStyle name="Total 2 5 4 7 3" xfId="37735" xr:uid="{00000000-0005-0000-0000-00003AB00000}"/>
    <cellStyle name="Total 2 5 4 8" xfId="44751" xr:uid="{00000000-0005-0000-0000-00003BB00000}"/>
    <cellStyle name="Total 2 5 5" xfId="37736" xr:uid="{00000000-0005-0000-0000-00003CB00000}"/>
    <cellStyle name="Total 2 5 5 2" xfId="37737" xr:uid="{00000000-0005-0000-0000-00003DB00000}"/>
    <cellStyle name="Total 2 5 5 2 2" xfId="37738" xr:uid="{00000000-0005-0000-0000-00003EB00000}"/>
    <cellStyle name="Total 2 5 5 2 3" xfId="37739" xr:uid="{00000000-0005-0000-0000-00003FB00000}"/>
    <cellStyle name="Total 2 5 5 3" xfId="37740" xr:uid="{00000000-0005-0000-0000-000040B00000}"/>
    <cellStyle name="Total 2 5 5 3 2" xfId="37741" xr:uid="{00000000-0005-0000-0000-000041B00000}"/>
    <cellStyle name="Total 2 5 5 3 3" xfId="37742" xr:uid="{00000000-0005-0000-0000-000042B00000}"/>
    <cellStyle name="Total 2 5 5 4" xfId="37743" xr:uid="{00000000-0005-0000-0000-000043B00000}"/>
    <cellStyle name="Total 2 5 5 4 2" xfId="37744" xr:uid="{00000000-0005-0000-0000-000044B00000}"/>
    <cellStyle name="Total 2 5 5 4 3" xfId="37745" xr:uid="{00000000-0005-0000-0000-000045B00000}"/>
    <cellStyle name="Total 2 5 5 5" xfId="37746" xr:uid="{00000000-0005-0000-0000-000046B00000}"/>
    <cellStyle name="Total 2 5 5 5 2" xfId="37747" xr:uid="{00000000-0005-0000-0000-000047B00000}"/>
    <cellStyle name="Total 2 5 5 5 3" xfId="37748" xr:uid="{00000000-0005-0000-0000-000048B00000}"/>
    <cellStyle name="Total 2 5 5 6" xfId="37749" xr:uid="{00000000-0005-0000-0000-000049B00000}"/>
    <cellStyle name="Total 2 5 5 6 2" xfId="37750" xr:uid="{00000000-0005-0000-0000-00004AB00000}"/>
    <cellStyle name="Total 2 5 5 6 3" xfId="37751" xr:uid="{00000000-0005-0000-0000-00004BB00000}"/>
    <cellStyle name="Total 2 5 5 7" xfId="37752" xr:uid="{00000000-0005-0000-0000-00004CB00000}"/>
    <cellStyle name="Total 2 5 5 7 2" xfId="37753" xr:uid="{00000000-0005-0000-0000-00004DB00000}"/>
    <cellStyle name="Total 2 5 5 7 3" xfId="37754" xr:uid="{00000000-0005-0000-0000-00004EB00000}"/>
    <cellStyle name="Total 2 5 5 8" xfId="44752" xr:uid="{00000000-0005-0000-0000-00004FB00000}"/>
    <cellStyle name="Total 2 5 6" xfId="37755" xr:uid="{00000000-0005-0000-0000-000050B00000}"/>
    <cellStyle name="Total 2 5 6 2" xfId="37756" xr:uid="{00000000-0005-0000-0000-000051B00000}"/>
    <cellStyle name="Total 2 5 6 3" xfId="37757" xr:uid="{00000000-0005-0000-0000-000052B00000}"/>
    <cellStyle name="Total 2 5 7" xfId="37758" xr:uid="{00000000-0005-0000-0000-000053B00000}"/>
    <cellStyle name="Total 2 5 7 2" xfId="37759" xr:uid="{00000000-0005-0000-0000-000054B00000}"/>
    <cellStyle name="Total 2 5 7 3" xfId="37760" xr:uid="{00000000-0005-0000-0000-000055B00000}"/>
    <cellStyle name="Total 2 5 8" xfId="37761" xr:uid="{00000000-0005-0000-0000-000056B00000}"/>
    <cellStyle name="Total 2 5 8 2" xfId="37762" xr:uid="{00000000-0005-0000-0000-000057B00000}"/>
    <cellStyle name="Total 2 5 8 3" xfId="37763" xr:uid="{00000000-0005-0000-0000-000058B00000}"/>
    <cellStyle name="Total 2 5 9" xfId="37764" xr:uid="{00000000-0005-0000-0000-000059B00000}"/>
    <cellStyle name="Total 2 5 9 2" xfId="37765" xr:uid="{00000000-0005-0000-0000-00005AB00000}"/>
    <cellStyle name="Total 2 5 9 3" xfId="37766" xr:uid="{00000000-0005-0000-0000-00005BB00000}"/>
    <cellStyle name="Total 2 6" xfId="2604" xr:uid="{00000000-0005-0000-0000-00005CB00000}"/>
    <cellStyle name="Total 2 6 2" xfId="37767" xr:uid="{00000000-0005-0000-0000-00005DB00000}"/>
    <cellStyle name="Total 2 6 2 2" xfId="37768" xr:uid="{00000000-0005-0000-0000-00005EB00000}"/>
    <cellStyle name="Total 2 6 2 3" xfId="37769" xr:uid="{00000000-0005-0000-0000-00005FB00000}"/>
    <cellStyle name="Total 2 6 3" xfId="37770" xr:uid="{00000000-0005-0000-0000-000060B00000}"/>
    <cellStyle name="Total 2 6 3 2" xfId="37771" xr:uid="{00000000-0005-0000-0000-000061B00000}"/>
    <cellStyle name="Total 2 6 3 3" xfId="37772" xr:uid="{00000000-0005-0000-0000-000062B00000}"/>
    <cellStyle name="Total 2 6 4" xfId="37773" xr:uid="{00000000-0005-0000-0000-000063B00000}"/>
    <cellStyle name="Total 2 6 4 2" xfId="37774" xr:uid="{00000000-0005-0000-0000-000064B00000}"/>
    <cellStyle name="Total 2 6 4 3" xfId="37775" xr:uid="{00000000-0005-0000-0000-000065B00000}"/>
    <cellStyle name="Total 2 6 5" xfId="37776" xr:uid="{00000000-0005-0000-0000-000066B00000}"/>
    <cellStyle name="Total 2 6 5 2" xfId="37777" xr:uid="{00000000-0005-0000-0000-000067B00000}"/>
    <cellStyle name="Total 2 6 5 3" xfId="37778" xr:uid="{00000000-0005-0000-0000-000068B00000}"/>
    <cellStyle name="Total 2 6 6" xfId="37779" xr:uid="{00000000-0005-0000-0000-000069B00000}"/>
    <cellStyle name="Total 2 6 6 2" xfId="37780" xr:uid="{00000000-0005-0000-0000-00006AB00000}"/>
    <cellStyle name="Total 2 6 6 3" xfId="37781" xr:uid="{00000000-0005-0000-0000-00006BB00000}"/>
    <cellStyle name="Total 2 6 7" xfId="37782" xr:uid="{00000000-0005-0000-0000-00006CB00000}"/>
    <cellStyle name="Total 2 6 7 2" xfId="37783" xr:uid="{00000000-0005-0000-0000-00006DB00000}"/>
    <cellStyle name="Total 2 6 7 3" xfId="37784" xr:uid="{00000000-0005-0000-0000-00006EB00000}"/>
    <cellStyle name="Total 2 6 8" xfId="44753" xr:uid="{00000000-0005-0000-0000-00006FB00000}"/>
    <cellStyle name="Total 2 7" xfId="37785" xr:uid="{00000000-0005-0000-0000-000070B00000}"/>
    <cellStyle name="Total 2 7 2" xfId="37786" xr:uid="{00000000-0005-0000-0000-000071B00000}"/>
    <cellStyle name="Total 2 7 3" xfId="37787" xr:uid="{00000000-0005-0000-0000-000072B00000}"/>
    <cellStyle name="Total 2 7 4" xfId="37788" xr:uid="{00000000-0005-0000-0000-000073B00000}"/>
    <cellStyle name="Total 2 8" xfId="37789" xr:uid="{00000000-0005-0000-0000-000074B00000}"/>
    <cellStyle name="Total 2 8 2" xfId="37790" xr:uid="{00000000-0005-0000-0000-000075B00000}"/>
    <cellStyle name="Total 2 8 2 2" xfId="37791" xr:uid="{00000000-0005-0000-0000-000076B00000}"/>
    <cellStyle name="Total 2 8 2 3" xfId="37792" xr:uid="{00000000-0005-0000-0000-000077B00000}"/>
    <cellStyle name="Total 2 8 3" xfId="37793" xr:uid="{00000000-0005-0000-0000-000078B00000}"/>
    <cellStyle name="Total 2 8 3 2" xfId="37794" xr:uid="{00000000-0005-0000-0000-000079B00000}"/>
    <cellStyle name="Total 2 8 3 3" xfId="37795" xr:uid="{00000000-0005-0000-0000-00007AB00000}"/>
    <cellStyle name="Total 2 8 4" xfId="37796" xr:uid="{00000000-0005-0000-0000-00007BB00000}"/>
    <cellStyle name="Total 2 8 4 2" xfId="37797" xr:uid="{00000000-0005-0000-0000-00007CB00000}"/>
    <cellStyle name="Total 2 8 4 3" xfId="37798" xr:uid="{00000000-0005-0000-0000-00007DB00000}"/>
    <cellStyle name="Total 2 8 5" xfId="37799" xr:uid="{00000000-0005-0000-0000-00007EB00000}"/>
    <cellStyle name="Total 2 8 5 2" xfId="37800" xr:uid="{00000000-0005-0000-0000-00007FB00000}"/>
    <cellStyle name="Total 2 8 5 3" xfId="37801" xr:uid="{00000000-0005-0000-0000-000080B00000}"/>
    <cellStyle name="Total 2 8 6" xfId="37802" xr:uid="{00000000-0005-0000-0000-000081B00000}"/>
    <cellStyle name="Total 2 8 6 2" xfId="37803" xr:uid="{00000000-0005-0000-0000-000082B00000}"/>
    <cellStyle name="Total 2 8 6 3" xfId="37804" xr:uid="{00000000-0005-0000-0000-000083B00000}"/>
    <cellStyle name="Total 2 8 7" xfId="37805" xr:uid="{00000000-0005-0000-0000-000084B00000}"/>
    <cellStyle name="Total 2 8 7 2" xfId="37806" xr:uid="{00000000-0005-0000-0000-000085B00000}"/>
    <cellStyle name="Total 2 8 7 3" xfId="37807" xr:uid="{00000000-0005-0000-0000-000086B00000}"/>
    <cellStyle name="Total 2 8 8" xfId="37808" xr:uid="{00000000-0005-0000-0000-000087B00000}"/>
    <cellStyle name="Total 2 8 9" xfId="37809" xr:uid="{00000000-0005-0000-0000-000088B00000}"/>
    <cellStyle name="Total 2 9" xfId="42435" xr:uid="{00000000-0005-0000-0000-000089B00000}"/>
    <cellStyle name="Total 3" xfId="612" xr:uid="{00000000-0005-0000-0000-00008AB00000}"/>
    <cellStyle name="Total 3 2" xfId="613" xr:uid="{00000000-0005-0000-0000-00008BB00000}"/>
    <cellStyle name="Total 3 2 2" xfId="2338" xr:uid="{00000000-0005-0000-0000-00008CB00000}"/>
    <cellStyle name="Total 3 2 2 10" xfId="37810" xr:uid="{00000000-0005-0000-0000-00008DB00000}"/>
    <cellStyle name="Total 3 2 2 10 2" xfId="37811" xr:uid="{00000000-0005-0000-0000-00008EB00000}"/>
    <cellStyle name="Total 3 2 2 10 3" xfId="37812" xr:uid="{00000000-0005-0000-0000-00008FB00000}"/>
    <cellStyle name="Total 3 2 2 11" xfId="37813" xr:uid="{00000000-0005-0000-0000-000090B00000}"/>
    <cellStyle name="Total 3 2 2 11 2" xfId="37814" xr:uid="{00000000-0005-0000-0000-000091B00000}"/>
    <cellStyle name="Total 3 2 2 11 3" xfId="37815" xr:uid="{00000000-0005-0000-0000-000092B00000}"/>
    <cellStyle name="Total 3 2 2 12" xfId="44754" xr:uid="{00000000-0005-0000-0000-000093B00000}"/>
    <cellStyle name="Total 3 2 2 2" xfId="37816" xr:uid="{00000000-0005-0000-0000-000094B00000}"/>
    <cellStyle name="Total 3 2 2 2 2" xfId="37817" xr:uid="{00000000-0005-0000-0000-000095B00000}"/>
    <cellStyle name="Total 3 2 2 2 2 2" xfId="37818" xr:uid="{00000000-0005-0000-0000-000096B00000}"/>
    <cellStyle name="Total 3 2 2 2 2 3" xfId="37819" xr:uid="{00000000-0005-0000-0000-000097B00000}"/>
    <cellStyle name="Total 3 2 2 2 3" xfId="37820" xr:uid="{00000000-0005-0000-0000-000098B00000}"/>
    <cellStyle name="Total 3 2 2 2 3 2" xfId="37821" xr:uid="{00000000-0005-0000-0000-000099B00000}"/>
    <cellStyle name="Total 3 2 2 2 3 3" xfId="37822" xr:uid="{00000000-0005-0000-0000-00009AB00000}"/>
    <cellStyle name="Total 3 2 2 2 4" xfId="37823" xr:uid="{00000000-0005-0000-0000-00009BB00000}"/>
    <cellStyle name="Total 3 2 2 2 4 2" xfId="37824" xr:uid="{00000000-0005-0000-0000-00009CB00000}"/>
    <cellStyle name="Total 3 2 2 2 4 3" xfId="37825" xr:uid="{00000000-0005-0000-0000-00009DB00000}"/>
    <cellStyle name="Total 3 2 2 2 5" xfId="37826" xr:uid="{00000000-0005-0000-0000-00009EB00000}"/>
    <cellStyle name="Total 3 2 2 2 5 2" xfId="37827" xr:uid="{00000000-0005-0000-0000-00009FB00000}"/>
    <cellStyle name="Total 3 2 2 2 5 3" xfId="37828" xr:uid="{00000000-0005-0000-0000-0000A0B00000}"/>
    <cellStyle name="Total 3 2 2 2 6" xfId="37829" xr:uid="{00000000-0005-0000-0000-0000A1B00000}"/>
    <cellStyle name="Total 3 2 2 2 6 2" xfId="37830" xr:uid="{00000000-0005-0000-0000-0000A2B00000}"/>
    <cellStyle name="Total 3 2 2 2 6 3" xfId="37831" xr:uid="{00000000-0005-0000-0000-0000A3B00000}"/>
    <cellStyle name="Total 3 2 2 2 7" xfId="37832" xr:uid="{00000000-0005-0000-0000-0000A4B00000}"/>
    <cellStyle name="Total 3 2 2 2 7 2" xfId="37833" xr:uid="{00000000-0005-0000-0000-0000A5B00000}"/>
    <cellStyle name="Total 3 2 2 2 7 3" xfId="37834" xr:uid="{00000000-0005-0000-0000-0000A6B00000}"/>
    <cellStyle name="Total 3 2 2 2 8" xfId="44755" xr:uid="{00000000-0005-0000-0000-0000A7B00000}"/>
    <cellStyle name="Total 3 2 2 3" xfId="37835" xr:uid="{00000000-0005-0000-0000-0000A8B00000}"/>
    <cellStyle name="Total 3 2 2 3 2" xfId="37836" xr:uid="{00000000-0005-0000-0000-0000A9B00000}"/>
    <cellStyle name="Total 3 2 2 3 2 2" xfId="37837" xr:uid="{00000000-0005-0000-0000-0000AAB00000}"/>
    <cellStyle name="Total 3 2 2 3 2 3" xfId="37838" xr:uid="{00000000-0005-0000-0000-0000ABB00000}"/>
    <cellStyle name="Total 3 2 2 3 3" xfId="37839" xr:uid="{00000000-0005-0000-0000-0000ACB00000}"/>
    <cellStyle name="Total 3 2 2 3 3 2" xfId="37840" xr:uid="{00000000-0005-0000-0000-0000ADB00000}"/>
    <cellStyle name="Total 3 2 2 3 3 3" xfId="37841" xr:uid="{00000000-0005-0000-0000-0000AEB00000}"/>
    <cellStyle name="Total 3 2 2 3 4" xfId="37842" xr:uid="{00000000-0005-0000-0000-0000AFB00000}"/>
    <cellStyle name="Total 3 2 2 3 4 2" xfId="37843" xr:uid="{00000000-0005-0000-0000-0000B0B00000}"/>
    <cellStyle name="Total 3 2 2 3 4 3" xfId="37844" xr:uid="{00000000-0005-0000-0000-0000B1B00000}"/>
    <cellStyle name="Total 3 2 2 3 5" xfId="37845" xr:uid="{00000000-0005-0000-0000-0000B2B00000}"/>
    <cellStyle name="Total 3 2 2 3 5 2" xfId="37846" xr:uid="{00000000-0005-0000-0000-0000B3B00000}"/>
    <cellStyle name="Total 3 2 2 3 5 3" xfId="37847" xr:uid="{00000000-0005-0000-0000-0000B4B00000}"/>
    <cellStyle name="Total 3 2 2 3 6" xfId="37848" xr:uid="{00000000-0005-0000-0000-0000B5B00000}"/>
    <cellStyle name="Total 3 2 2 3 6 2" xfId="37849" xr:uid="{00000000-0005-0000-0000-0000B6B00000}"/>
    <cellStyle name="Total 3 2 2 3 6 3" xfId="37850" xr:uid="{00000000-0005-0000-0000-0000B7B00000}"/>
    <cellStyle name="Total 3 2 2 3 7" xfId="37851" xr:uid="{00000000-0005-0000-0000-0000B8B00000}"/>
    <cellStyle name="Total 3 2 2 3 7 2" xfId="37852" xr:uid="{00000000-0005-0000-0000-0000B9B00000}"/>
    <cellStyle name="Total 3 2 2 3 7 3" xfId="37853" xr:uid="{00000000-0005-0000-0000-0000BAB00000}"/>
    <cellStyle name="Total 3 2 2 3 8" xfId="44756" xr:uid="{00000000-0005-0000-0000-0000BBB00000}"/>
    <cellStyle name="Total 3 2 2 4" xfId="37854" xr:uid="{00000000-0005-0000-0000-0000BCB00000}"/>
    <cellStyle name="Total 3 2 2 4 2" xfId="37855" xr:uid="{00000000-0005-0000-0000-0000BDB00000}"/>
    <cellStyle name="Total 3 2 2 4 2 2" xfId="37856" xr:uid="{00000000-0005-0000-0000-0000BEB00000}"/>
    <cellStyle name="Total 3 2 2 4 2 3" xfId="37857" xr:uid="{00000000-0005-0000-0000-0000BFB00000}"/>
    <cellStyle name="Total 3 2 2 4 3" xfId="37858" xr:uid="{00000000-0005-0000-0000-0000C0B00000}"/>
    <cellStyle name="Total 3 2 2 4 3 2" xfId="37859" xr:uid="{00000000-0005-0000-0000-0000C1B00000}"/>
    <cellStyle name="Total 3 2 2 4 3 3" xfId="37860" xr:uid="{00000000-0005-0000-0000-0000C2B00000}"/>
    <cellStyle name="Total 3 2 2 4 4" xfId="37861" xr:uid="{00000000-0005-0000-0000-0000C3B00000}"/>
    <cellStyle name="Total 3 2 2 4 4 2" xfId="37862" xr:uid="{00000000-0005-0000-0000-0000C4B00000}"/>
    <cellStyle name="Total 3 2 2 4 4 3" xfId="37863" xr:uid="{00000000-0005-0000-0000-0000C5B00000}"/>
    <cellStyle name="Total 3 2 2 4 5" xfId="37864" xr:uid="{00000000-0005-0000-0000-0000C6B00000}"/>
    <cellStyle name="Total 3 2 2 4 5 2" xfId="37865" xr:uid="{00000000-0005-0000-0000-0000C7B00000}"/>
    <cellStyle name="Total 3 2 2 4 5 3" xfId="37866" xr:uid="{00000000-0005-0000-0000-0000C8B00000}"/>
    <cellStyle name="Total 3 2 2 4 6" xfId="37867" xr:uid="{00000000-0005-0000-0000-0000C9B00000}"/>
    <cellStyle name="Total 3 2 2 4 6 2" xfId="37868" xr:uid="{00000000-0005-0000-0000-0000CAB00000}"/>
    <cellStyle name="Total 3 2 2 4 6 3" xfId="37869" xr:uid="{00000000-0005-0000-0000-0000CBB00000}"/>
    <cellStyle name="Total 3 2 2 4 7" xfId="37870" xr:uid="{00000000-0005-0000-0000-0000CCB00000}"/>
    <cellStyle name="Total 3 2 2 4 7 2" xfId="37871" xr:uid="{00000000-0005-0000-0000-0000CDB00000}"/>
    <cellStyle name="Total 3 2 2 4 7 3" xfId="37872" xr:uid="{00000000-0005-0000-0000-0000CEB00000}"/>
    <cellStyle name="Total 3 2 2 4 8" xfId="44757" xr:uid="{00000000-0005-0000-0000-0000CFB00000}"/>
    <cellStyle name="Total 3 2 2 5" xfId="37873" xr:uid="{00000000-0005-0000-0000-0000D0B00000}"/>
    <cellStyle name="Total 3 2 2 5 2" xfId="37874" xr:uid="{00000000-0005-0000-0000-0000D1B00000}"/>
    <cellStyle name="Total 3 2 2 5 2 2" xfId="37875" xr:uid="{00000000-0005-0000-0000-0000D2B00000}"/>
    <cellStyle name="Total 3 2 2 5 2 3" xfId="37876" xr:uid="{00000000-0005-0000-0000-0000D3B00000}"/>
    <cellStyle name="Total 3 2 2 5 3" xfId="37877" xr:uid="{00000000-0005-0000-0000-0000D4B00000}"/>
    <cellStyle name="Total 3 2 2 5 3 2" xfId="37878" xr:uid="{00000000-0005-0000-0000-0000D5B00000}"/>
    <cellStyle name="Total 3 2 2 5 3 3" xfId="37879" xr:uid="{00000000-0005-0000-0000-0000D6B00000}"/>
    <cellStyle name="Total 3 2 2 5 4" xfId="37880" xr:uid="{00000000-0005-0000-0000-0000D7B00000}"/>
    <cellStyle name="Total 3 2 2 5 4 2" xfId="37881" xr:uid="{00000000-0005-0000-0000-0000D8B00000}"/>
    <cellStyle name="Total 3 2 2 5 4 3" xfId="37882" xr:uid="{00000000-0005-0000-0000-0000D9B00000}"/>
    <cellStyle name="Total 3 2 2 5 5" xfId="37883" xr:uid="{00000000-0005-0000-0000-0000DAB00000}"/>
    <cellStyle name="Total 3 2 2 5 5 2" xfId="37884" xr:uid="{00000000-0005-0000-0000-0000DBB00000}"/>
    <cellStyle name="Total 3 2 2 5 5 3" xfId="37885" xr:uid="{00000000-0005-0000-0000-0000DCB00000}"/>
    <cellStyle name="Total 3 2 2 5 6" xfId="37886" xr:uid="{00000000-0005-0000-0000-0000DDB00000}"/>
    <cellStyle name="Total 3 2 2 5 6 2" xfId="37887" xr:uid="{00000000-0005-0000-0000-0000DEB00000}"/>
    <cellStyle name="Total 3 2 2 5 6 3" xfId="37888" xr:uid="{00000000-0005-0000-0000-0000DFB00000}"/>
    <cellStyle name="Total 3 2 2 5 7" xfId="37889" xr:uid="{00000000-0005-0000-0000-0000E0B00000}"/>
    <cellStyle name="Total 3 2 2 5 7 2" xfId="37890" xr:uid="{00000000-0005-0000-0000-0000E1B00000}"/>
    <cellStyle name="Total 3 2 2 5 7 3" xfId="37891" xr:uid="{00000000-0005-0000-0000-0000E2B00000}"/>
    <cellStyle name="Total 3 2 2 5 8" xfId="44758" xr:uid="{00000000-0005-0000-0000-0000E3B00000}"/>
    <cellStyle name="Total 3 2 2 6" xfId="37892" xr:uid="{00000000-0005-0000-0000-0000E4B00000}"/>
    <cellStyle name="Total 3 2 2 6 2" xfId="37893" xr:uid="{00000000-0005-0000-0000-0000E5B00000}"/>
    <cellStyle name="Total 3 2 2 6 3" xfId="37894" xr:uid="{00000000-0005-0000-0000-0000E6B00000}"/>
    <cellStyle name="Total 3 2 2 7" xfId="37895" xr:uid="{00000000-0005-0000-0000-0000E7B00000}"/>
    <cellStyle name="Total 3 2 2 7 2" xfId="37896" xr:uid="{00000000-0005-0000-0000-0000E8B00000}"/>
    <cellStyle name="Total 3 2 2 7 3" xfId="37897" xr:uid="{00000000-0005-0000-0000-0000E9B00000}"/>
    <cellStyle name="Total 3 2 2 8" xfId="37898" xr:uid="{00000000-0005-0000-0000-0000EAB00000}"/>
    <cellStyle name="Total 3 2 2 8 2" xfId="37899" xr:uid="{00000000-0005-0000-0000-0000EBB00000}"/>
    <cellStyle name="Total 3 2 2 8 3" xfId="37900" xr:uid="{00000000-0005-0000-0000-0000ECB00000}"/>
    <cellStyle name="Total 3 2 2 9" xfId="37901" xr:uid="{00000000-0005-0000-0000-0000EDB00000}"/>
    <cellStyle name="Total 3 2 2 9 2" xfId="37902" xr:uid="{00000000-0005-0000-0000-0000EEB00000}"/>
    <cellStyle name="Total 3 2 2 9 3" xfId="37903" xr:uid="{00000000-0005-0000-0000-0000EFB00000}"/>
    <cellStyle name="Total 3 2 3" xfId="2339" xr:uid="{00000000-0005-0000-0000-0000F0B00000}"/>
    <cellStyle name="Total 3 2 3 10" xfId="37904" xr:uid="{00000000-0005-0000-0000-0000F1B00000}"/>
    <cellStyle name="Total 3 2 3 10 2" xfId="37905" xr:uid="{00000000-0005-0000-0000-0000F2B00000}"/>
    <cellStyle name="Total 3 2 3 10 3" xfId="37906" xr:uid="{00000000-0005-0000-0000-0000F3B00000}"/>
    <cellStyle name="Total 3 2 3 11" xfId="37907" xr:uid="{00000000-0005-0000-0000-0000F4B00000}"/>
    <cellStyle name="Total 3 2 3 11 2" xfId="37908" xr:uid="{00000000-0005-0000-0000-0000F5B00000}"/>
    <cellStyle name="Total 3 2 3 11 3" xfId="37909" xr:uid="{00000000-0005-0000-0000-0000F6B00000}"/>
    <cellStyle name="Total 3 2 3 12" xfId="44759" xr:uid="{00000000-0005-0000-0000-0000F7B00000}"/>
    <cellStyle name="Total 3 2 3 2" xfId="37910" xr:uid="{00000000-0005-0000-0000-0000F8B00000}"/>
    <cellStyle name="Total 3 2 3 2 2" xfId="37911" xr:uid="{00000000-0005-0000-0000-0000F9B00000}"/>
    <cellStyle name="Total 3 2 3 2 2 2" xfId="37912" xr:uid="{00000000-0005-0000-0000-0000FAB00000}"/>
    <cellStyle name="Total 3 2 3 2 2 3" xfId="37913" xr:uid="{00000000-0005-0000-0000-0000FBB00000}"/>
    <cellStyle name="Total 3 2 3 2 3" xfId="37914" xr:uid="{00000000-0005-0000-0000-0000FCB00000}"/>
    <cellStyle name="Total 3 2 3 2 3 2" xfId="37915" xr:uid="{00000000-0005-0000-0000-0000FDB00000}"/>
    <cellStyle name="Total 3 2 3 2 3 3" xfId="37916" xr:uid="{00000000-0005-0000-0000-0000FEB00000}"/>
    <cellStyle name="Total 3 2 3 2 4" xfId="37917" xr:uid="{00000000-0005-0000-0000-0000FFB00000}"/>
    <cellStyle name="Total 3 2 3 2 4 2" xfId="37918" xr:uid="{00000000-0005-0000-0000-000000B10000}"/>
    <cellStyle name="Total 3 2 3 2 4 3" xfId="37919" xr:uid="{00000000-0005-0000-0000-000001B10000}"/>
    <cellStyle name="Total 3 2 3 2 5" xfId="37920" xr:uid="{00000000-0005-0000-0000-000002B10000}"/>
    <cellStyle name="Total 3 2 3 2 5 2" xfId="37921" xr:uid="{00000000-0005-0000-0000-000003B10000}"/>
    <cellStyle name="Total 3 2 3 2 5 3" xfId="37922" xr:uid="{00000000-0005-0000-0000-000004B10000}"/>
    <cellStyle name="Total 3 2 3 2 6" xfId="37923" xr:uid="{00000000-0005-0000-0000-000005B10000}"/>
    <cellStyle name="Total 3 2 3 2 6 2" xfId="37924" xr:uid="{00000000-0005-0000-0000-000006B10000}"/>
    <cellStyle name="Total 3 2 3 2 6 3" xfId="37925" xr:uid="{00000000-0005-0000-0000-000007B10000}"/>
    <cellStyle name="Total 3 2 3 2 7" xfId="37926" xr:uid="{00000000-0005-0000-0000-000008B10000}"/>
    <cellStyle name="Total 3 2 3 2 7 2" xfId="37927" xr:uid="{00000000-0005-0000-0000-000009B10000}"/>
    <cellStyle name="Total 3 2 3 2 7 3" xfId="37928" xr:uid="{00000000-0005-0000-0000-00000AB10000}"/>
    <cellStyle name="Total 3 2 3 2 8" xfId="44760" xr:uid="{00000000-0005-0000-0000-00000BB10000}"/>
    <cellStyle name="Total 3 2 3 3" xfId="37929" xr:uid="{00000000-0005-0000-0000-00000CB10000}"/>
    <cellStyle name="Total 3 2 3 3 2" xfId="37930" xr:uid="{00000000-0005-0000-0000-00000DB10000}"/>
    <cellStyle name="Total 3 2 3 3 2 2" xfId="37931" xr:uid="{00000000-0005-0000-0000-00000EB10000}"/>
    <cellStyle name="Total 3 2 3 3 2 3" xfId="37932" xr:uid="{00000000-0005-0000-0000-00000FB10000}"/>
    <cellStyle name="Total 3 2 3 3 3" xfId="37933" xr:uid="{00000000-0005-0000-0000-000010B10000}"/>
    <cellStyle name="Total 3 2 3 3 3 2" xfId="37934" xr:uid="{00000000-0005-0000-0000-000011B10000}"/>
    <cellStyle name="Total 3 2 3 3 3 3" xfId="37935" xr:uid="{00000000-0005-0000-0000-000012B10000}"/>
    <cellStyle name="Total 3 2 3 3 4" xfId="37936" xr:uid="{00000000-0005-0000-0000-000013B10000}"/>
    <cellStyle name="Total 3 2 3 3 4 2" xfId="37937" xr:uid="{00000000-0005-0000-0000-000014B10000}"/>
    <cellStyle name="Total 3 2 3 3 4 3" xfId="37938" xr:uid="{00000000-0005-0000-0000-000015B10000}"/>
    <cellStyle name="Total 3 2 3 3 5" xfId="37939" xr:uid="{00000000-0005-0000-0000-000016B10000}"/>
    <cellStyle name="Total 3 2 3 3 5 2" xfId="37940" xr:uid="{00000000-0005-0000-0000-000017B10000}"/>
    <cellStyle name="Total 3 2 3 3 5 3" xfId="37941" xr:uid="{00000000-0005-0000-0000-000018B10000}"/>
    <cellStyle name="Total 3 2 3 3 6" xfId="37942" xr:uid="{00000000-0005-0000-0000-000019B10000}"/>
    <cellStyle name="Total 3 2 3 3 6 2" xfId="37943" xr:uid="{00000000-0005-0000-0000-00001AB10000}"/>
    <cellStyle name="Total 3 2 3 3 6 3" xfId="37944" xr:uid="{00000000-0005-0000-0000-00001BB10000}"/>
    <cellStyle name="Total 3 2 3 3 7" xfId="37945" xr:uid="{00000000-0005-0000-0000-00001CB10000}"/>
    <cellStyle name="Total 3 2 3 3 7 2" xfId="37946" xr:uid="{00000000-0005-0000-0000-00001DB10000}"/>
    <cellStyle name="Total 3 2 3 3 7 3" xfId="37947" xr:uid="{00000000-0005-0000-0000-00001EB10000}"/>
    <cellStyle name="Total 3 2 3 3 8" xfId="44761" xr:uid="{00000000-0005-0000-0000-00001FB10000}"/>
    <cellStyle name="Total 3 2 3 4" xfId="37948" xr:uid="{00000000-0005-0000-0000-000020B10000}"/>
    <cellStyle name="Total 3 2 3 4 2" xfId="37949" xr:uid="{00000000-0005-0000-0000-000021B10000}"/>
    <cellStyle name="Total 3 2 3 4 2 2" xfId="37950" xr:uid="{00000000-0005-0000-0000-000022B10000}"/>
    <cellStyle name="Total 3 2 3 4 2 3" xfId="37951" xr:uid="{00000000-0005-0000-0000-000023B10000}"/>
    <cellStyle name="Total 3 2 3 4 3" xfId="37952" xr:uid="{00000000-0005-0000-0000-000024B10000}"/>
    <cellStyle name="Total 3 2 3 4 3 2" xfId="37953" xr:uid="{00000000-0005-0000-0000-000025B10000}"/>
    <cellStyle name="Total 3 2 3 4 3 3" xfId="37954" xr:uid="{00000000-0005-0000-0000-000026B10000}"/>
    <cellStyle name="Total 3 2 3 4 4" xfId="37955" xr:uid="{00000000-0005-0000-0000-000027B10000}"/>
    <cellStyle name="Total 3 2 3 4 4 2" xfId="37956" xr:uid="{00000000-0005-0000-0000-000028B10000}"/>
    <cellStyle name="Total 3 2 3 4 4 3" xfId="37957" xr:uid="{00000000-0005-0000-0000-000029B10000}"/>
    <cellStyle name="Total 3 2 3 4 5" xfId="37958" xr:uid="{00000000-0005-0000-0000-00002AB10000}"/>
    <cellStyle name="Total 3 2 3 4 5 2" xfId="37959" xr:uid="{00000000-0005-0000-0000-00002BB10000}"/>
    <cellStyle name="Total 3 2 3 4 5 3" xfId="37960" xr:uid="{00000000-0005-0000-0000-00002CB10000}"/>
    <cellStyle name="Total 3 2 3 4 6" xfId="37961" xr:uid="{00000000-0005-0000-0000-00002DB10000}"/>
    <cellStyle name="Total 3 2 3 4 6 2" xfId="37962" xr:uid="{00000000-0005-0000-0000-00002EB10000}"/>
    <cellStyle name="Total 3 2 3 4 6 3" xfId="37963" xr:uid="{00000000-0005-0000-0000-00002FB10000}"/>
    <cellStyle name="Total 3 2 3 4 7" xfId="37964" xr:uid="{00000000-0005-0000-0000-000030B10000}"/>
    <cellStyle name="Total 3 2 3 4 7 2" xfId="37965" xr:uid="{00000000-0005-0000-0000-000031B10000}"/>
    <cellStyle name="Total 3 2 3 4 7 3" xfId="37966" xr:uid="{00000000-0005-0000-0000-000032B10000}"/>
    <cellStyle name="Total 3 2 3 4 8" xfId="44762" xr:uid="{00000000-0005-0000-0000-000033B10000}"/>
    <cellStyle name="Total 3 2 3 5" xfId="37967" xr:uid="{00000000-0005-0000-0000-000034B10000}"/>
    <cellStyle name="Total 3 2 3 5 2" xfId="37968" xr:uid="{00000000-0005-0000-0000-000035B10000}"/>
    <cellStyle name="Total 3 2 3 5 2 2" xfId="37969" xr:uid="{00000000-0005-0000-0000-000036B10000}"/>
    <cellStyle name="Total 3 2 3 5 2 3" xfId="37970" xr:uid="{00000000-0005-0000-0000-000037B10000}"/>
    <cellStyle name="Total 3 2 3 5 3" xfId="37971" xr:uid="{00000000-0005-0000-0000-000038B10000}"/>
    <cellStyle name="Total 3 2 3 5 3 2" xfId="37972" xr:uid="{00000000-0005-0000-0000-000039B10000}"/>
    <cellStyle name="Total 3 2 3 5 3 3" xfId="37973" xr:uid="{00000000-0005-0000-0000-00003AB10000}"/>
    <cellStyle name="Total 3 2 3 5 4" xfId="37974" xr:uid="{00000000-0005-0000-0000-00003BB10000}"/>
    <cellStyle name="Total 3 2 3 5 4 2" xfId="37975" xr:uid="{00000000-0005-0000-0000-00003CB10000}"/>
    <cellStyle name="Total 3 2 3 5 4 3" xfId="37976" xr:uid="{00000000-0005-0000-0000-00003DB10000}"/>
    <cellStyle name="Total 3 2 3 5 5" xfId="37977" xr:uid="{00000000-0005-0000-0000-00003EB10000}"/>
    <cellStyle name="Total 3 2 3 5 5 2" xfId="37978" xr:uid="{00000000-0005-0000-0000-00003FB10000}"/>
    <cellStyle name="Total 3 2 3 5 5 3" xfId="37979" xr:uid="{00000000-0005-0000-0000-000040B10000}"/>
    <cellStyle name="Total 3 2 3 5 6" xfId="37980" xr:uid="{00000000-0005-0000-0000-000041B10000}"/>
    <cellStyle name="Total 3 2 3 5 6 2" xfId="37981" xr:uid="{00000000-0005-0000-0000-000042B10000}"/>
    <cellStyle name="Total 3 2 3 5 6 3" xfId="37982" xr:uid="{00000000-0005-0000-0000-000043B10000}"/>
    <cellStyle name="Total 3 2 3 5 7" xfId="37983" xr:uid="{00000000-0005-0000-0000-000044B10000}"/>
    <cellStyle name="Total 3 2 3 5 7 2" xfId="37984" xr:uid="{00000000-0005-0000-0000-000045B10000}"/>
    <cellStyle name="Total 3 2 3 5 7 3" xfId="37985" xr:uid="{00000000-0005-0000-0000-000046B10000}"/>
    <cellStyle name="Total 3 2 3 5 8" xfId="44763" xr:uid="{00000000-0005-0000-0000-000047B10000}"/>
    <cellStyle name="Total 3 2 3 6" xfId="37986" xr:uid="{00000000-0005-0000-0000-000048B10000}"/>
    <cellStyle name="Total 3 2 3 6 2" xfId="37987" xr:uid="{00000000-0005-0000-0000-000049B10000}"/>
    <cellStyle name="Total 3 2 3 6 3" xfId="37988" xr:uid="{00000000-0005-0000-0000-00004AB10000}"/>
    <cellStyle name="Total 3 2 3 7" xfId="37989" xr:uid="{00000000-0005-0000-0000-00004BB10000}"/>
    <cellStyle name="Total 3 2 3 7 2" xfId="37990" xr:uid="{00000000-0005-0000-0000-00004CB10000}"/>
    <cellStyle name="Total 3 2 3 7 3" xfId="37991" xr:uid="{00000000-0005-0000-0000-00004DB10000}"/>
    <cellStyle name="Total 3 2 3 8" xfId="37992" xr:uid="{00000000-0005-0000-0000-00004EB10000}"/>
    <cellStyle name="Total 3 2 3 8 2" xfId="37993" xr:uid="{00000000-0005-0000-0000-00004FB10000}"/>
    <cellStyle name="Total 3 2 3 8 3" xfId="37994" xr:uid="{00000000-0005-0000-0000-000050B10000}"/>
    <cellStyle name="Total 3 2 3 9" xfId="37995" xr:uid="{00000000-0005-0000-0000-000051B10000}"/>
    <cellStyle name="Total 3 2 3 9 2" xfId="37996" xr:uid="{00000000-0005-0000-0000-000052B10000}"/>
    <cellStyle name="Total 3 2 3 9 3" xfId="37997" xr:uid="{00000000-0005-0000-0000-000053B10000}"/>
    <cellStyle name="Total 3 2 4" xfId="37998" xr:uid="{00000000-0005-0000-0000-000054B10000}"/>
    <cellStyle name="Total 3 2 4 2" xfId="37999" xr:uid="{00000000-0005-0000-0000-000055B10000}"/>
    <cellStyle name="Total 3 2 4 2 2" xfId="38000" xr:uid="{00000000-0005-0000-0000-000056B10000}"/>
    <cellStyle name="Total 3 2 4 2 3" xfId="38001" xr:uid="{00000000-0005-0000-0000-000057B10000}"/>
    <cellStyle name="Total 3 2 4 3" xfId="38002" xr:uid="{00000000-0005-0000-0000-000058B10000}"/>
    <cellStyle name="Total 3 2 4 3 2" xfId="38003" xr:uid="{00000000-0005-0000-0000-000059B10000}"/>
    <cellStyle name="Total 3 2 4 3 3" xfId="38004" xr:uid="{00000000-0005-0000-0000-00005AB10000}"/>
    <cellStyle name="Total 3 2 4 4" xfId="38005" xr:uid="{00000000-0005-0000-0000-00005BB10000}"/>
    <cellStyle name="Total 3 2 4 4 2" xfId="38006" xr:uid="{00000000-0005-0000-0000-00005CB10000}"/>
    <cellStyle name="Total 3 2 4 4 3" xfId="38007" xr:uid="{00000000-0005-0000-0000-00005DB10000}"/>
    <cellStyle name="Total 3 2 4 5" xfId="38008" xr:uid="{00000000-0005-0000-0000-00005EB10000}"/>
    <cellStyle name="Total 3 2 4 5 2" xfId="38009" xr:uid="{00000000-0005-0000-0000-00005FB10000}"/>
    <cellStyle name="Total 3 2 4 5 3" xfId="38010" xr:uid="{00000000-0005-0000-0000-000060B10000}"/>
    <cellStyle name="Total 3 2 4 6" xfId="38011" xr:uid="{00000000-0005-0000-0000-000061B10000}"/>
    <cellStyle name="Total 3 2 4 6 2" xfId="38012" xr:uid="{00000000-0005-0000-0000-000062B10000}"/>
    <cellStyle name="Total 3 2 4 6 3" xfId="38013" xr:uid="{00000000-0005-0000-0000-000063B10000}"/>
    <cellStyle name="Total 3 2 4 7" xfId="38014" xr:uid="{00000000-0005-0000-0000-000064B10000}"/>
    <cellStyle name="Total 3 2 4 7 2" xfId="38015" xr:uid="{00000000-0005-0000-0000-000065B10000}"/>
    <cellStyle name="Total 3 2 4 7 3" xfId="38016" xr:uid="{00000000-0005-0000-0000-000066B10000}"/>
    <cellStyle name="Total 3 2 4 8" xfId="44764" xr:uid="{00000000-0005-0000-0000-000067B10000}"/>
    <cellStyle name="Total 3 2 5" xfId="38017" xr:uid="{00000000-0005-0000-0000-000068B10000}"/>
    <cellStyle name="Total 3 2 5 2" xfId="38018" xr:uid="{00000000-0005-0000-0000-000069B10000}"/>
    <cellStyle name="Total 3 2 5 2 2" xfId="38019" xr:uid="{00000000-0005-0000-0000-00006AB10000}"/>
    <cellStyle name="Total 3 2 5 2 3" xfId="38020" xr:uid="{00000000-0005-0000-0000-00006BB10000}"/>
    <cellStyle name="Total 3 2 5 3" xfId="38021" xr:uid="{00000000-0005-0000-0000-00006CB10000}"/>
    <cellStyle name="Total 3 2 5 3 2" xfId="38022" xr:uid="{00000000-0005-0000-0000-00006DB10000}"/>
    <cellStyle name="Total 3 2 5 3 3" xfId="38023" xr:uid="{00000000-0005-0000-0000-00006EB10000}"/>
    <cellStyle name="Total 3 2 5 4" xfId="38024" xr:uid="{00000000-0005-0000-0000-00006FB10000}"/>
    <cellStyle name="Total 3 2 5 4 2" xfId="38025" xr:uid="{00000000-0005-0000-0000-000070B10000}"/>
    <cellStyle name="Total 3 2 5 4 3" xfId="38026" xr:uid="{00000000-0005-0000-0000-000071B10000}"/>
    <cellStyle name="Total 3 2 5 5" xfId="38027" xr:uid="{00000000-0005-0000-0000-000072B10000}"/>
    <cellStyle name="Total 3 2 5 5 2" xfId="38028" xr:uid="{00000000-0005-0000-0000-000073B10000}"/>
    <cellStyle name="Total 3 2 5 5 3" xfId="38029" xr:uid="{00000000-0005-0000-0000-000074B10000}"/>
    <cellStyle name="Total 3 2 5 6" xfId="38030" xr:uid="{00000000-0005-0000-0000-000075B10000}"/>
    <cellStyle name="Total 3 2 5 6 2" xfId="38031" xr:uid="{00000000-0005-0000-0000-000076B10000}"/>
    <cellStyle name="Total 3 2 5 6 3" xfId="38032" xr:uid="{00000000-0005-0000-0000-000077B10000}"/>
    <cellStyle name="Total 3 2 5 7" xfId="38033" xr:uid="{00000000-0005-0000-0000-000078B10000}"/>
    <cellStyle name="Total 3 2 5 7 2" xfId="38034" xr:uid="{00000000-0005-0000-0000-000079B10000}"/>
    <cellStyle name="Total 3 2 5 7 3" xfId="38035" xr:uid="{00000000-0005-0000-0000-00007AB10000}"/>
    <cellStyle name="Total 3 2 5 8" xfId="44765" xr:uid="{00000000-0005-0000-0000-00007BB10000}"/>
    <cellStyle name="Total 3 3" xfId="614" xr:uid="{00000000-0005-0000-0000-00007CB10000}"/>
    <cellStyle name="Total 3 3 10" xfId="38036" xr:uid="{00000000-0005-0000-0000-00007DB10000}"/>
    <cellStyle name="Total 3 3 10 2" xfId="38037" xr:uid="{00000000-0005-0000-0000-00007EB10000}"/>
    <cellStyle name="Total 3 3 10 3" xfId="38038" xr:uid="{00000000-0005-0000-0000-00007FB10000}"/>
    <cellStyle name="Total 3 3 11" xfId="38039" xr:uid="{00000000-0005-0000-0000-000080B10000}"/>
    <cellStyle name="Total 3 3 11 2" xfId="38040" xr:uid="{00000000-0005-0000-0000-000081B10000}"/>
    <cellStyle name="Total 3 3 11 3" xfId="38041" xr:uid="{00000000-0005-0000-0000-000082B10000}"/>
    <cellStyle name="Total 3 3 12" xfId="38042" xr:uid="{00000000-0005-0000-0000-000083B10000}"/>
    <cellStyle name="Total 3 3 12 2" xfId="38043" xr:uid="{00000000-0005-0000-0000-000084B10000}"/>
    <cellStyle name="Total 3 3 12 3" xfId="38044" xr:uid="{00000000-0005-0000-0000-000085B10000}"/>
    <cellStyle name="Total 3 3 13" xfId="38045" xr:uid="{00000000-0005-0000-0000-000086B10000}"/>
    <cellStyle name="Total 3 3 14" xfId="38046" xr:uid="{00000000-0005-0000-0000-000087B10000}"/>
    <cellStyle name="Total 3 3 2" xfId="38047" xr:uid="{00000000-0005-0000-0000-000088B10000}"/>
    <cellStyle name="Total 3 3 2 10" xfId="38048" xr:uid="{00000000-0005-0000-0000-000089B10000}"/>
    <cellStyle name="Total 3 3 2 10 2" xfId="38049" xr:uid="{00000000-0005-0000-0000-00008AB10000}"/>
    <cellStyle name="Total 3 3 2 10 3" xfId="38050" xr:uid="{00000000-0005-0000-0000-00008BB10000}"/>
    <cellStyle name="Total 3 3 2 11" xfId="38051" xr:uid="{00000000-0005-0000-0000-00008CB10000}"/>
    <cellStyle name="Total 3 3 2 11 2" xfId="38052" xr:uid="{00000000-0005-0000-0000-00008DB10000}"/>
    <cellStyle name="Total 3 3 2 11 3" xfId="38053" xr:uid="{00000000-0005-0000-0000-00008EB10000}"/>
    <cellStyle name="Total 3 3 2 12" xfId="38054" xr:uid="{00000000-0005-0000-0000-00008FB10000}"/>
    <cellStyle name="Total 3 3 2 13" xfId="38055" xr:uid="{00000000-0005-0000-0000-000090B10000}"/>
    <cellStyle name="Total 3 3 2 2" xfId="38056" xr:uid="{00000000-0005-0000-0000-000091B10000}"/>
    <cellStyle name="Total 3 3 2 2 2" xfId="38057" xr:uid="{00000000-0005-0000-0000-000092B10000}"/>
    <cellStyle name="Total 3 3 2 2 2 2" xfId="38058" xr:uid="{00000000-0005-0000-0000-000093B10000}"/>
    <cellStyle name="Total 3 3 2 2 2 3" xfId="38059" xr:uid="{00000000-0005-0000-0000-000094B10000}"/>
    <cellStyle name="Total 3 3 2 2 3" xfId="38060" xr:uid="{00000000-0005-0000-0000-000095B10000}"/>
    <cellStyle name="Total 3 3 2 2 3 2" xfId="38061" xr:uid="{00000000-0005-0000-0000-000096B10000}"/>
    <cellStyle name="Total 3 3 2 2 3 3" xfId="38062" xr:uid="{00000000-0005-0000-0000-000097B10000}"/>
    <cellStyle name="Total 3 3 2 2 4" xfId="38063" xr:uid="{00000000-0005-0000-0000-000098B10000}"/>
    <cellStyle name="Total 3 3 2 2 4 2" xfId="38064" xr:uid="{00000000-0005-0000-0000-000099B10000}"/>
    <cellStyle name="Total 3 3 2 2 4 3" xfId="38065" xr:uid="{00000000-0005-0000-0000-00009AB10000}"/>
    <cellStyle name="Total 3 3 2 2 5" xfId="38066" xr:uid="{00000000-0005-0000-0000-00009BB10000}"/>
    <cellStyle name="Total 3 3 2 2 5 2" xfId="38067" xr:uid="{00000000-0005-0000-0000-00009CB10000}"/>
    <cellStyle name="Total 3 3 2 2 5 3" xfId="38068" xr:uid="{00000000-0005-0000-0000-00009DB10000}"/>
    <cellStyle name="Total 3 3 2 2 6" xfId="38069" xr:uid="{00000000-0005-0000-0000-00009EB10000}"/>
    <cellStyle name="Total 3 3 2 2 6 2" xfId="38070" xr:uid="{00000000-0005-0000-0000-00009FB10000}"/>
    <cellStyle name="Total 3 3 2 2 6 3" xfId="38071" xr:uid="{00000000-0005-0000-0000-0000A0B10000}"/>
    <cellStyle name="Total 3 3 2 2 7" xfId="38072" xr:uid="{00000000-0005-0000-0000-0000A1B10000}"/>
    <cellStyle name="Total 3 3 2 2 7 2" xfId="38073" xr:uid="{00000000-0005-0000-0000-0000A2B10000}"/>
    <cellStyle name="Total 3 3 2 2 7 3" xfId="38074" xr:uid="{00000000-0005-0000-0000-0000A3B10000}"/>
    <cellStyle name="Total 3 3 2 2 8" xfId="38075" xr:uid="{00000000-0005-0000-0000-0000A4B10000}"/>
    <cellStyle name="Total 3 3 2 2 9" xfId="38076" xr:uid="{00000000-0005-0000-0000-0000A5B10000}"/>
    <cellStyle name="Total 3 3 2 3" xfId="38077" xr:uid="{00000000-0005-0000-0000-0000A6B10000}"/>
    <cellStyle name="Total 3 3 2 3 2" xfId="38078" xr:uid="{00000000-0005-0000-0000-0000A7B10000}"/>
    <cellStyle name="Total 3 3 2 3 2 2" xfId="38079" xr:uid="{00000000-0005-0000-0000-0000A8B10000}"/>
    <cellStyle name="Total 3 3 2 3 2 3" xfId="38080" xr:uid="{00000000-0005-0000-0000-0000A9B10000}"/>
    <cellStyle name="Total 3 3 2 3 3" xfId="38081" xr:uid="{00000000-0005-0000-0000-0000AAB10000}"/>
    <cellStyle name="Total 3 3 2 3 3 2" xfId="38082" xr:uid="{00000000-0005-0000-0000-0000ABB10000}"/>
    <cellStyle name="Total 3 3 2 3 3 3" xfId="38083" xr:uid="{00000000-0005-0000-0000-0000ACB10000}"/>
    <cellStyle name="Total 3 3 2 3 4" xfId="38084" xr:uid="{00000000-0005-0000-0000-0000ADB10000}"/>
    <cellStyle name="Total 3 3 2 3 4 2" xfId="38085" xr:uid="{00000000-0005-0000-0000-0000AEB10000}"/>
    <cellStyle name="Total 3 3 2 3 4 3" xfId="38086" xr:uid="{00000000-0005-0000-0000-0000AFB10000}"/>
    <cellStyle name="Total 3 3 2 3 5" xfId="38087" xr:uid="{00000000-0005-0000-0000-0000B0B10000}"/>
    <cellStyle name="Total 3 3 2 3 5 2" xfId="38088" xr:uid="{00000000-0005-0000-0000-0000B1B10000}"/>
    <cellStyle name="Total 3 3 2 3 5 3" xfId="38089" xr:uid="{00000000-0005-0000-0000-0000B2B10000}"/>
    <cellStyle name="Total 3 3 2 3 6" xfId="38090" xr:uid="{00000000-0005-0000-0000-0000B3B10000}"/>
    <cellStyle name="Total 3 3 2 3 6 2" xfId="38091" xr:uid="{00000000-0005-0000-0000-0000B4B10000}"/>
    <cellStyle name="Total 3 3 2 3 6 3" xfId="38092" xr:uid="{00000000-0005-0000-0000-0000B5B10000}"/>
    <cellStyle name="Total 3 3 2 3 7" xfId="38093" xr:uid="{00000000-0005-0000-0000-0000B6B10000}"/>
    <cellStyle name="Total 3 3 2 3 7 2" xfId="38094" xr:uid="{00000000-0005-0000-0000-0000B7B10000}"/>
    <cellStyle name="Total 3 3 2 3 7 3" xfId="38095" xr:uid="{00000000-0005-0000-0000-0000B8B10000}"/>
    <cellStyle name="Total 3 3 2 3 8" xfId="38096" xr:uid="{00000000-0005-0000-0000-0000B9B10000}"/>
    <cellStyle name="Total 3 3 2 3 9" xfId="38097" xr:uid="{00000000-0005-0000-0000-0000BAB10000}"/>
    <cellStyle name="Total 3 3 2 4" xfId="38098" xr:uid="{00000000-0005-0000-0000-0000BBB10000}"/>
    <cellStyle name="Total 3 3 2 4 2" xfId="38099" xr:uid="{00000000-0005-0000-0000-0000BCB10000}"/>
    <cellStyle name="Total 3 3 2 4 2 2" xfId="38100" xr:uid="{00000000-0005-0000-0000-0000BDB10000}"/>
    <cellStyle name="Total 3 3 2 4 2 3" xfId="38101" xr:uid="{00000000-0005-0000-0000-0000BEB10000}"/>
    <cellStyle name="Total 3 3 2 4 3" xfId="38102" xr:uid="{00000000-0005-0000-0000-0000BFB10000}"/>
    <cellStyle name="Total 3 3 2 4 3 2" xfId="38103" xr:uid="{00000000-0005-0000-0000-0000C0B10000}"/>
    <cellStyle name="Total 3 3 2 4 3 3" xfId="38104" xr:uid="{00000000-0005-0000-0000-0000C1B10000}"/>
    <cellStyle name="Total 3 3 2 4 4" xfId="38105" xr:uid="{00000000-0005-0000-0000-0000C2B10000}"/>
    <cellStyle name="Total 3 3 2 4 4 2" xfId="38106" xr:uid="{00000000-0005-0000-0000-0000C3B10000}"/>
    <cellStyle name="Total 3 3 2 4 4 3" xfId="38107" xr:uid="{00000000-0005-0000-0000-0000C4B10000}"/>
    <cellStyle name="Total 3 3 2 4 5" xfId="38108" xr:uid="{00000000-0005-0000-0000-0000C5B10000}"/>
    <cellStyle name="Total 3 3 2 4 5 2" xfId="38109" xr:uid="{00000000-0005-0000-0000-0000C6B10000}"/>
    <cellStyle name="Total 3 3 2 4 5 3" xfId="38110" xr:uid="{00000000-0005-0000-0000-0000C7B10000}"/>
    <cellStyle name="Total 3 3 2 4 6" xfId="38111" xr:uid="{00000000-0005-0000-0000-0000C8B10000}"/>
    <cellStyle name="Total 3 3 2 4 6 2" xfId="38112" xr:uid="{00000000-0005-0000-0000-0000C9B10000}"/>
    <cellStyle name="Total 3 3 2 4 6 3" xfId="38113" xr:uid="{00000000-0005-0000-0000-0000CAB10000}"/>
    <cellStyle name="Total 3 3 2 4 7" xfId="38114" xr:uid="{00000000-0005-0000-0000-0000CBB10000}"/>
    <cellStyle name="Total 3 3 2 4 7 2" xfId="38115" xr:uid="{00000000-0005-0000-0000-0000CCB10000}"/>
    <cellStyle name="Total 3 3 2 4 7 3" xfId="38116" xr:uid="{00000000-0005-0000-0000-0000CDB10000}"/>
    <cellStyle name="Total 3 3 2 4 8" xfId="38117" xr:uid="{00000000-0005-0000-0000-0000CEB10000}"/>
    <cellStyle name="Total 3 3 2 4 9" xfId="38118" xr:uid="{00000000-0005-0000-0000-0000CFB10000}"/>
    <cellStyle name="Total 3 3 2 5" xfId="38119" xr:uid="{00000000-0005-0000-0000-0000D0B10000}"/>
    <cellStyle name="Total 3 3 2 5 2" xfId="38120" xr:uid="{00000000-0005-0000-0000-0000D1B10000}"/>
    <cellStyle name="Total 3 3 2 5 2 2" xfId="38121" xr:uid="{00000000-0005-0000-0000-0000D2B10000}"/>
    <cellStyle name="Total 3 3 2 5 2 3" xfId="38122" xr:uid="{00000000-0005-0000-0000-0000D3B10000}"/>
    <cellStyle name="Total 3 3 2 5 3" xfId="38123" xr:uid="{00000000-0005-0000-0000-0000D4B10000}"/>
    <cellStyle name="Total 3 3 2 5 3 2" xfId="38124" xr:uid="{00000000-0005-0000-0000-0000D5B10000}"/>
    <cellStyle name="Total 3 3 2 5 3 3" xfId="38125" xr:uid="{00000000-0005-0000-0000-0000D6B10000}"/>
    <cellStyle name="Total 3 3 2 5 4" xfId="38126" xr:uid="{00000000-0005-0000-0000-0000D7B10000}"/>
    <cellStyle name="Total 3 3 2 5 4 2" xfId="38127" xr:uid="{00000000-0005-0000-0000-0000D8B10000}"/>
    <cellStyle name="Total 3 3 2 5 4 3" xfId="38128" xr:uid="{00000000-0005-0000-0000-0000D9B10000}"/>
    <cellStyle name="Total 3 3 2 5 5" xfId="38129" xr:uid="{00000000-0005-0000-0000-0000DAB10000}"/>
    <cellStyle name="Total 3 3 2 5 5 2" xfId="38130" xr:uid="{00000000-0005-0000-0000-0000DBB10000}"/>
    <cellStyle name="Total 3 3 2 5 5 3" xfId="38131" xr:uid="{00000000-0005-0000-0000-0000DCB10000}"/>
    <cellStyle name="Total 3 3 2 5 6" xfId="38132" xr:uid="{00000000-0005-0000-0000-0000DDB10000}"/>
    <cellStyle name="Total 3 3 2 5 6 2" xfId="38133" xr:uid="{00000000-0005-0000-0000-0000DEB10000}"/>
    <cellStyle name="Total 3 3 2 5 6 3" xfId="38134" xr:uid="{00000000-0005-0000-0000-0000DFB10000}"/>
    <cellStyle name="Total 3 3 2 5 7" xfId="38135" xr:uid="{00000000-0005-0000-0000-0000E0B10000}"/>
    <cellStyle name="Total 3 3 2 5 7 2" xfId="38136" xr:uid="{00000000-0005-0000-0000-0000E1B10000}"/>
    <cellStyle name="Total 3 3 2 5 7 3" xfId="38137" xr:uid="{00000000-0005-0000-0000-0000E2B10000}"/>
    <cellStyle name="Total 3 3 2 5 8" xfId="38138" xr:uid="{00000000-0005-0000-0000-0000E3B10000}"/>
    <cellStyle name="Total 3 3 2 5 9" xfId="38139" xr:uid="{00000000-0005-0000-0000-0000E4B10000}"/>
    <cellStyle name="Total 3 3 2 6" xfId="38140" xr:uid="{00000000-0005-0000-0000-0000E5B10000}"/>
    <cellStyle name="Total 3 3 2 6 2" xfId="38141" xr:uid="{00000000-0005-0000-0000-0000E6B10000}"/>
    <cellStyle name="Total 3 3 2 6 3" xfId="38142" xr:uid="{00000000-0005-0000-0000-0000E7B10000}"/>
    <cellStyle name="Total 3 3 2 7" xfId="38143" xr:uid="{00000000-0005-0000-0000-0000E8B10000}"/>
    <cellStyle name="Total 3 3 2 7 2" xfId="38144" xr:uid="{00000000-0005-0000-0000-0000E9B10000}"/>
    <cellStyle name="Total 3 3 2 7 3" xfId="38145" xr:uid="{00000000-0005-0000-0000-0000EAB10000}"/>
    <cellStyle name="Total 3 3 2 8" xfId="38146" xr:uid="{00000000-0005-0000-0000-0000EBB10000}"/>
    <cellStyle name="Total 3 3 2 8 2" xfId="38147" xr:uid="{00000000-0005-0000-0000-0000ECB10000}"/>
    <cellStyle name="Total 3 3 2 8 3" xfId="38148" xr:uid="{00000000-0005-0000-0000-0000EDB10000}"/>
    <cellStyle name="Total 3 3 2 9" xfId="38149" xr:uid="{00000000-0005-0000-0000-0000EEB10000}"/>
    <cellStyle name="Total 3 3 2 9 2" xfId="38150" xr:uid="{00000000-0005-0000-0000-0000EFB10000}"/>
    <cellStyle name="Total 3 3 2 9 3" xfId="38151" xr:uid="{00000000-0005-0000-0000-0000F0B10000}"/>
    <cellStyle name="Total 3 3 3" xfId="38152" xr:uid="{00000000-0005-0000-0000-0000F1B10000}"/>
    <cellStyle name="Total 3 3 3 2" xfId="38153" xr:uid="{00000000-0005-0000-0000-0000F2B10000}"/>
    <cellStyle name="Total 3 3 3 2 2" xfId="38154" xr:uid="{00000000-0005-0000-0000-0000F3B10000}"/>
    <cellStyle name="Total 3 3 3 2 3" xfId="38155" xr:uid="{00000000-0005-0000-0000-0000F4B10000}"/>
    <cellStyle name="Total 3 3 3 3" xfId="38156" xr:uid="{00000000-0005-0000-0000-0000F5B10000}"/>
    <cellStyle name="Total 3 3 3 3 2" xfId="38157" xr:uid="{00000000-0005-0000-0000-0000F6B10000}"/>
    <cellStyle name="Total 3 3 3 3 3" xfId="38158" xr:uid="{00000000-0005-0000-0000-0000F7B10000}"/>
    <cellStyle name="Total 3 3 3 4" xfId="38159" xr:uid="{00000000-0005-0000-0000-0000F8B10000}"/>
    <cellStyle name="Total 3 3 3 4 2" xfId="38160" xr:uid="{00000000-0005-0000-0000-0000F9B10000}"/>
    <cellStyle name="Total 3 3 3 4 3" xfId="38161" xr:uid="{00000000-0005-0000-0000-0000FAB10000}"/>
    <cellStyle name="Total 3 3 3 5" xfId="38162" xr:uid="{00000000-0005-0000-0000-0000FBB10000}"/>
    <cellStyle name="Total 3 3 3 5 2" xfId="38163" xr:uid="{00000000-0005-0000-0000-0000FCB10000}"/>
    <cellStyle name="Total 3 3 3 5 3" xfId="38164" xr:uid="{00000000-0005-0000-0000-0000FDB10000}"/>
    <cellStyle name="Total 3 3 3 6" xfId="38165" xr:uid="{00000000-0005-0000-0000-0000FEB10000}"/>
    <cellStyle name="Total 3 3 3 6 2" xfId="38166" xr:uid="{00000000-0005-0000-0000-0000FFB10000}"/>
    <cellStyle name="Total 3 3 3 6 3" xfId="38167" xr:uid="{00000000-0005-0000-0000-000000B20000}"/>
    <cellStyle name="Total 3 3 3 7" xfId="38168" xr:uid="{00000000-0005-0000-0000-000001B20000}"/>
    <cellStyle name="Total 3 3 3 7 2" xfId="38169" xr:uid="{00000000-0005-0000-0000-000002B20000}"/>
    <cellStyle name="Total 3 3 3 7 3" xfId="38170" xr:uid="{00000000-0005-0000-0000-000003B20000}"/>
    <cellStyle name="Total 3 3 3 8" xfId="38171" xr:uid="{00000000-0005-0000-0000-000004B20000}"/>
    <cellStyle name="Total 3 3 3 9" xfId="38172" xr:uid="{00000000-0005-0000-0000-000005B20000}"/>
    <cellStyle name="Total 3 3 4" xfId="38173" xr:uid="{00000000-0005-0000-0000-000006B20000}"/>
    <cellStyle name="Total 3 3 4 2" xfId="38174" xr:uid="{00000000-0005-0000-0000-000007B20000}"/>
    <cellStyle name="Total 3 3 4 2 2" xfId="38175" xr:uid="{00000000-0005-0000-0000-000008B20000}"/>
    <cellStyle name="Total 3 3 4 2 3" xfId="38176" xr:uid="{00000000-0005-0000-0000-000009B20000}"/>
    <cellStyle name="Total 3 3 4 3" xfId="38177" xr:uid="{00000000-0005-0000-0000-00000AB20000}"/>
    <cellStyle name="Total 3 3 4 3 2" xfId="38178" xr:uid="{00000000-0005-0000-0000-00000BB20000}"/>
    <cellStyle name="Total 3 3 4 3 3" xfId="38179" xr:uid="{00000000-0005-0000-0000-00000CB20000}"/>
    <cellStyle name="Total 3 3 4 4" xfId="38180" xr:uid="{00000000-0005-0000-0000-00000DB20000}"/>
    <cellStyle name="Total 3 3 4 4 2" xfId="38181" xr:uid="{00000000-0005-0000-0000-00000EB20000}"/>
    <cellStyle name="Total 3 3 4 4 3" xfId="38182" xr:uid="{00000000-0005-0000-0000-00000FB20000}"/>
    <cellStyle name="Total 3 3 4 5" xfId="38183" xr:uid="{00000000-0005-0000-0000-000010B20000}"/>
    <cellStyle name="Total 3 3 4 5 2" xfId="38184" xr:uid="{00000000-0005-0000-0000-000011B20000}"/>
    <cellStyle name="Total 3 3 4 5 3" xfId="38185" xr:uid="{00000000-0005-0000-0000-000012B20000}"/>
    <cellStyle name="Total 3 3 4 6" xfId="38186" xr:uid="{00000000-0005-0000-0000-000013B20000}"/>
    <cellStyle name="Total 3 3 4 6 2" xfId="38187" xr:uid="{00000000-0005-0000-0000-000014B20000}"/>
    <cellStyle name="Total 3 3 4 6 3" xfId="38188" xr:uid="{00000000-0005-0000-0000-000015B20000}"/>
    <cellStyle name="Total 3 3 4 7" xfId="38189" xr:uid="{00000000-0005-0000-0000-000016B20000}"/>
    <cellStyle name="Total 3 3 4 7 2" xfId="38190" xr:uid="{00000000-0005-0000-0000-000017B20000}"/>
    <cellStyle name="Total 3 3 4 7 3" xfId="38191" xr:uid="{00000000-0005-0000-0000-000018B20000}"/>
    <cellStyle name="Total 3 3 4 8" xfId="38192" xr:uid="{00000000-0005-0000-0000-000019B20000}"/>
    <cellStyle name="Total 3 3 4 9" xfId="38193" xr:uid="{00000000-0005-0000-0000-00001AB20000}"/>
    <cellStyle name="Total 3 3 5" xfId="38194" xr:uid="{00000000-0005-0000-0000-00001BB20000}"/>
    <cellStyle name="Total 3 3 5 2" xfId="38195" xr:uid="{00000000-0005-0000-0000-00001CB20000}"/>
    <cellStyle name="Total 3 3 5 2 2" xfId="38196" xr:uid="{00000000-0005-0000-0000-00001DB20000}"/>
    <cellStyle name="Total 3 3 5 2 3" xfId="38197" xr:uid="{00000000-0005-0000-0000-00001EB20000}"/>
    <cellStyle name="Total 3 3 5 3" xfId="38198" xr:uid="{00000000-0005-0000-0000-00001FB20000}"/>
    <cellStyle name="Total 3 3 5 3 2" xfId="38199" xr:uid="{00000000-0005-0000-0000-000020B20000}"/>
    <cellStyle name="Total 3 3 5 3 3" xfId="38200" xr:uid="{00000000-0005-0000-0000-000021B20000}"/>
    <cellStyle name="Total 3 3 5 4" xfId="38201" xr:uid="{00000000-0005-0000-0000-000022B20000}"/>
    <cellStyle name="Total 3 3 5 4 2" xfId="38202" xr:uid="{00000000-0005-0000-0000-000023B20000}"/>
    <cellStyle name="Total 3 3 5 4 3" xfId="38203" xr:uid="{00000000-0005-0000-0000-000024B20000}"/>
    <cellStyle name="Total 3 3 5 5" xfId="38204" xr:uid="{00000000-0005-0000-0000-000025B20000}"/>
    <cellStyle name="Total 3 3 5 5 2" xfId="38205" xr:uid="{00000000-0005-0000-0000-000026B20000}"/>
    <cellStyle name="Total 3 3 5 5 3" xfId="38206" xr:uid="{00000000-0005-0000-0000-000027B20000}"/>
    <cellStyle name="Total 3 3 5 6" xfId="38207" xr:uid="{00000000-0005-0000-0000-000028B20000}"/>
    <cellStyle name="Total 3 3 5 6 2" xfId="38208" xr:uid="{00000000-0005-0000-0000-000029B20000}"/>
    <cellStyle name="Total 3 3 5 6 3" xfId="38209" xr:uid="{00000000-0005-0000-0000-00002AB20000}"/>
    <cellStyle name="Total 3 3 5 7" xfId="38210" xr:uid="{00000000-0005-0000-0000-00002BB20000}"/>
    <cellStyle name="Total 3 3 5 7 2" xfId="38211" xr:uid="{00000000-0005-0000-0000-00002CB20000}"/>
    <cellStyle name="Total 3 3 5 7 3" xfId="38212" xr:uid="{00000000-0005-0000-0000-00002DB20000}"/>
    <cellStyle name="Total 3 3 5 8" xfId="38213" xr:uid="{00000000-0005-0000-0000-00002EB20000}"/>
    <cellStyle name="Total 3 3 5 9" xfId="38214" xr:uid="{00000000-0005-0000-0000-00002FB20000}"/>
    <cellStyle name="Total 3 3 6" xfId="38215" xr:uid="{00000000-0005-0000-0000-000030B20000}"/>
    <cellStyle name="Total 3 3 6 2" xfId="38216" xr:uid="{00000000-0005-0000-0000-000031B20000}"/>
    <cellStyle name="Total 3 3 6 2 2" xfId="38217" xr:uid="{00000000-0005-0000-0000-000032B20000}"/>
    <cellStyle name="Total 3 3 6 2 3" xfId="38218" xr:uid="{00000000-0005-0000-0000-000033B20000}"/>
    <cellStyle name="Total 3 3 6 3" xfId="38219" xr:uid="{00000000-0005-0000-0000-000034B20000}"/>
    <cellStyle name="Total 3 3 6 3 2" xfId="38220" xr:uid="{00000000-0005-0000-0000-000035B20000}"/>
    <cellStyle name="Total 3 3 6 3 3" xfId="38221" xr:uid="{00000000-0005-0000-0000-000036B20000}"/>
    <cellStyle name="Total 3 3 6 4" xfId="38222" xr:uid="{00000000-0005-0000-0000-000037B20000}"/>
    <cellStyle name="Total 3 3 6 4 2" xfId="38223" xr:uid="{00000000-0005-0000-0000-000038B20000}"/>
    <cellStyle name="Total 3 3 6 4 3" xfId="38224" xr:uid="{00000000-0005-0000-0000-000039B20000}"/>
    <cellStyle name="Total 3 3 6 5" xfId="38225" xr:uid="{00000000-0005-0000-0000-00003AB20000}"/>
    <cellStyle name="Total 3 3 6 5 2" xfId="38226" xr:uid="{00000000-0005-0000-0000-00003BB20000}"/>
    <cellStyle name="Total 3 3 6 5 3" xfId="38227" xr:uid="{00000000-0005-0000-0000-00003CB20000}"/>
    <cellStyle name="Total 3 3 6 6" xfId="38228" xr:uid="{00000000-0005-0000-0000-00003DB20000}"/>
    <cellStyle name="Total 3 3 6 6 2" xfId="38229" xr:uid="{00000000-0005-0000-0000-00003EB20000}"/>
    <cellStyle name="Total 3 3 6 6 3" xfId="38230" xr:uid="{00000000-0005-0000-0000-00003FB20000}"/>
    <cellStyle name="Total 3 3 6 7" xfId="38231" xr:uid="{00000000-0005-0000-0000-000040B20000}"/>
    <cellStyle name="Total 3 3 6 7 2" xfId="38232" xr:uid="{00000000-0005-0000-0000-000041B20000}"/>
    <cellStyle name="Total 3 3 6 7 3" xfId="38233" xr:uid="{00000000-0005-0000-0000-000042B20000}"/>
    <cellStyle name="Total 3 3 6 8" xfId="38234" xr:uid="{00000000-0005-0000-0000-000043B20000}"/>
    <cellStyle name="Total 3 3 6 9" xfId="38235" xr:uid="{00000000-0005-0000-0000-000044B20000}"/>
    <cellStyle name="Total 3 3 7" xfId="38236" xr:uid="{00000000-0005-0000-0000-000045B20000}"/>
    <cellStyle name="Total 3 3 7 2" xfId="38237" xr:uid="{00000000-0005-0000-0000-000046B20000}"/>
    <cellStyle name="Total 3 3 7 3" xfId="38238" xr:uid="{00000000-0005-0000-0000-000047B20000}"/>
    <cellStyle name="Total 3 3 8" xfId="38239" xr:uid="{00000000-0005-0000-0000-000048B20000}"/>
    <cellStyle name="Total 3 3 8 2" xfId="38240" xr:uid="{00000000-0005-0000-0000-000049B20000}"/>
    <cellStyle name="Total 3 3 8 3" xfId="38241" xr:uid="{00000000-0005-0000-0000-00004AB20000}"/>
    <cellStyle name="Total 3 3 9" xfId="38242" xr:uid="{00000000-0005-0000-0000-00004BB20000}"/>
    <cellStyle name="Total 3 3 9 2" xfId="38243" xr:uid="{00000000-0005-0000-0000-00004CB20000}"/>
    <cellStyle name="Total 3 3 9 3" xfId="38244" xr:uid="{00000000-0005-0000-0000-00004DB20000}"/>
    <cellStyle name="Total 3 4" xfId="2340" xr:uid="{00000000-0005-0000-0000-00004EB20000}"/>
    <cellStyle name="Total 3 4 10" xfId="38245" xr:uid="{00000000-0005-0000-0000-00004FB20000}"/>
    <cellStyle name="Total 3 4 10 2" xfId="38246" xr:uid="{00000000-0005-0000-0000-000050B20000}"/>
    <cellStyle name="Total 3 4 10 3" xfId="38247" xr:uid="{00000000-0005-0000-0000-000051B20000}"/>
    <cellStyle name="Total 3 4 11" xfId="38248" xr:uid="{00000000-0005-0000-0000-000052B20000}"/>
    <cellStyle name="Total 3 4 11 2" xfId="38249" xr:uid="{00000000-0005-0000-0000-000053B20000}"/>
    <cellStyle name="Total 3 4 11 3" xfId="38250" xr:uid="{00000000-0005-0000-0000-000054B20000}"/>
    <cellStyle name="Total 3 4 12" xfId="44766" xr:uid="{00000000-0005-0000-0000-000055B20000}"/>
    <cellStyle name="Total 3 4 2" xfId="38251" xr:uid="{00000000-0005-0000-0000-000056B20000}"/>
    <cellStyle name="Total 3 4 2 2" xfId="38252" xr:uid="{00000000-0005-0000-0000-000057B20000}"/>
    <cellStyle name="Total 3 4 2 2 2" xfId="38253" xr:uid="{00000000-0005-0000-0000-000058B20000}"/>
    <cellStyle name="Total 3 4 2 2 3" xfId="38254" xr:uid="{00000000-0005-0000-0000-000059B20000}"/>
    <cellStyle name="Total 3 4 2 3" xfId="38255" xr:uid="{00000000-0005-0000-0000-00005AB20000}"/>
    <cellStyle name="Total 3 4 2 3 2" xfId="38256" xr:uid="{00000000-0005-0000-0000-00005BB20000}"/>
    <cellStyle name="Total 3 4 2 3 3" xfId="38257" xr:uid="{00000000-0005-0000-0000-00005CB20000}"/>
    <cellStyle name="Total 3 4 2 4" xfId="38258" xr:uid="{00000000-0005-0000-0000-00005DB20000}"/>
    <cellStyle name="Total 3 4 2 4 2" xfId="38259" xr:uid="{00000000-0005-0000-0000-00005EB20000}"/>
    <cellStyle name="Total 3 4 2 4 3" xfId="38260" xr:uid="{00000000-0005-0000-0000-00005FB20000}"/>
    <cellStyle name="Total 3 4 2 5" xfId="38261" xr:uid="{00000000-0005-0000-0000-000060B20000}"/>
    <cellStyle name="Total 3 4 2 5 2" xfId="38262" xr:uid="{00000000-0005-0000-0000-000061B20000}"/>
    <cellStyle name="Total 3 4 2 5 3" xfId="38263" xr:uid="{00000000-0005-0000-0000-000062B20000}"/>
    <cellStyle name="Total 3 4 2 6" xfId="38264" xr:uid="{00000000-0005-0000-0000-000063B20000}"/>
    <cellStyle name="Total 3 4 2 6 2" xfId="38265" xr:uid="{00000000-0005-0000-0000-000064B20000}"/>
    <cellStyle name="Total 3 4 2 6 3" xfId="38266" xr:uid="{00000000-0005-0000-0000-000065B20000}"/>
    <cellStyle name="Total 3 4 2 7" xfId="38267" xr:uid="{00000000-0005-0000-0000-000066B20000}"/>
    <cellStyle name="Total 3 4 2 7 2" xfId="38268" xr:uid="{00000000-0005-0000-0000-000067B20000}"/>
    <cellStyle name="Total 3 4 2 7 3" xfId="38269" xr:uid="{00000000-0005-0000-0000-000068B20000}"/>
    <cellStyle name="Total 3 4 2 8" xfId="44767" xr:uid="{00000000-0005-0000-0000-000069B20000}"/>
    <cellStyle name="Total 3 4 3" xfId="38270" xr:uid="{00000000-0005-0000-0000-00006AB20000}"/>
    <cellStyle name="Total 3 4 3 2" xfId="38271" xr:uid="{00000000-0005-0000-0000-00006BB20000}"/>
    <cellStyle name="Total 3 4 3 2 2" xfId="38272" xr:uid="{00000000-0005-0000-0000-00006CB20000}"/>
    <cellStyle name="Total 3 4 3 2 3" xfId="38273" xr:uid="{00000000-0005-0000-0000-00006DB20000}"/>
    <cellStyle name="Total 3 4 3 3" xfId="38274" xr:uid="{00000000-0005-0000-0000-00006EB20000}"/>
    <cellStyle name="Total 3 4 3 3 2" xfId="38275" xr:uid="{00000000-0005-0000-0000-00006FB20000}"/>
    <cellStyle name="Total 3 4 3 3 3" xfId="38276" xr:uid="{00000000-0005-0000-0000-000070B20000}"/>
    <cellStyle name="Total 3 4 3 4" xfId="38277" xr:uid="{00000000-0005-0000-0000-000071B20000}"/>
    <cellStyle name="Total 3 4 3 4 2" xfId="38278" xr:uid="{00000000-0005-0000-0000-000072B20000}"/>
    <cellStyle name="Total 3 4 3 4 3" xfId="38279" xr:uid="{00000000-0005-0000-0000-000073B20000}"/>
    <cellStyle name="Total 3 4 3 5" xfId="38280" xr:uid="{00000000-0005-0000-0000-000074B20000}"/>
    <cellStyle name="Total 3 4 3 5 2" xfId="38281" xr:uid="{00000000-0005-0000-0000-000075B20000}"/>
    <cellStyle name="Total 3 4 3 5 3" xfId="38282" xr:uid="{00000000-0005-0000-0000-000076B20000}"/>
    <cellStyle name="Total 3 4 3 6" xfId="38283" xr:uid="{00000000-0005-0000-0000-000077B20000}"/>
    <cellStyle name="Total 3 4 3 6 2" xfId="38284" xr:uid="{00000000-0005-0000-0000-000078B20000}"/>
    <cellStyle name="Total 3 4 3 6 3" xfId="38285" xr:uid="{00000000-0005-0000-0000-000079B20000}"/>
    <cellStyle name="Total 3 4 3 7" xfId="38286" xr:uid="{00000000-0005-0000-0000-00007AB20000}"/>
    <cellStyle name="Total 3 4 3 7 2" xfId="38287" xr:uid="{00000000-0005-0000-0000-00007BB20000}"/>
    <cellStyle name="Total 3 4 3 7 3" xfId="38288" xr:uid="{00000000-0005-0000-0000-00007CB20000}"/>
    <cellStyle name="Total 3 4 3 8" xfId="44768" xr:uid="{00000000-0005-0000-0000-00007DB20000}"/>
    <cellStyle name="Total 3 4 4" xfId="38289" xr:uid="{00000000-0005-0000-0000-00007EB20000}"/>
    <cellStyle name="Total 3 4 4 2" xfId="38290" xr:uid="{00000000-0005-0000-0000-00007FB20000}"/>
    <cellStyle name="Total 3 4 4 2 2" xfId="38291" xr:uid="{00000000-0005-0000-0000-000080B20000}"/>
    <cellStyle name="Total 3 4 4 2 3" xfId="38292" xr:uid="{00000000-0005-0000-0000-000081B20000}"/>
    <cellStyle name="Total 3 4 4 3" xfId="38293" xr:uid="{00000000-0005-0000-0000-000082B20000}"/>
    <cellStyle name="Total 3 4 4 3 2" xfId="38294" xr:uid="{00000000-0005-0000-0000-000083B20000}"/>
    <cellStyle name="Total 3 4 4 3 3" xfId="38295" xr:uid="{00000000-0005-0000-0000-000084B20000}"/>
    <cellStyle name="Total 3 4 4 4" xfId="38296" xr:uid="{00000000-0005-0000-0000-000085B20000}"/>
    <cellStyle name="Total 3 4 4 4 2" xfId="38297" xr:uid="{00000000-0005-0000-0000-000086B20000}"/>
    <cellStyle name="Total 3 4 4 4 3" xfId="38298" xr:uid="{00000000-0005-0000-0000-000087B20000}"/>
    <cellStyle name="Total 3 4 4 5" xfId="38299" xr:uid="{00000000-0005-0000-0000-000088B20000}"/>
    <cellStyle name="Total 3 4 4 5 2" xfId="38300" xr:uid="{00000000-0005-0000-0000-000089B20000}"/>
    <cellStyle name="Total 3 4 4 5 3" xfId="38301" xr:uid="{00000000-0005-0000-0000-00008AB20000}"/>
    <cellStyle name="Total 3 4 4 6" xfId="38302" xr:uid="{00000000-0005-0000-0000-00008BB20000}"/>
    <cellStyle name="Total 3 4 4 6 2" xfId="38303" xr:uid="{00000000-0005-0000-0000-00008CB20000}"/>
    <cellStyle name="Total 3 4 4 6 3" xfId="38304" xr:uid="{00000000-0005-0000-0000-00008DB20000}"/>
    <cellStyle name="Total 3 4 4 7" xfId="38305" xr:uid="{00000000-0005-0000-0000-00008EB20000}"/>
    <cellStyle name="Total 3 4 4 7 2" xfId="38306" xr:uid="{00000000-0005-0000-0000-00008FB20000}"/>
    <cellStyle name="Total 3 4 4 7 3" xfId="38307" xr:uid="{00000000-0005-0000-0000-000090B20000}"/>
    <cellStyle name="Total 3 4 4 8" xfId="44769" xr:uid="{00000000-0005-0000-0000-000091B20000}"/>
    <cellStyle name="Total 3 4 5" xfId="38308" xr:uid="{00000000-0005-0000-0000-000092B20000}"/>
    <cellStyle name="Total 3 4 5 2" xfId="38309" xr:uid="{00000000-0005-0000-0000-000093B20000}"/>
    <cellStyle name="Total 3 4 5 2 2" xfId="38310" xr:uid="{00000000-0005-0000-0000-000094B20000}"/>
    <cellStyle name="Total 3 4 5 2 3" xfId="38311" xr:uid="{00000000-0005-0000-0000-000095B20000}"/>
    <cellStyle name="Total 3 4 5 3" xfId="38312" xr:uid="{00000000-0005-0000-0000-000096B20000}"/>
    <cellStyle name="Total 3 4 5 3 2" xfId="38313" xr:uid="{00000000-0005-0000-0000-000097B20000}"/>
    <cellStyle name="Total 3 4 5 3 3" xfId="38314" xr:uid="{00000000-0005-0000-0000-000098B20000}"/>
    <cellStyle name="Total 3 4 5 4" xfId="38315" xr:uid="{00000000-0005-0000-0000-000099B20000}"/>
    <cellStyle name="Total 3 4 5 4 2" xfId="38316" xr:uid="{00000000-0005-0000-0000-00009AB20000}"/>
    <cellStyle name="Total 3 4 5 4 3" xfId="38317" xr:uid="{00000000-0005-0000-0000-00009BB20000}"/>
    <cellStyle name="Total 3 4 5 5" xfId="38318" xr:uid="{00000000-0005-0000-0000-00009CB20000}"/>
    <cellStyle name="Total 3 4 5 5 2" xfId="38319" xr:uid="{00000000-0005-0000-0000-00009DB20000}"/>
    <cellStyle name="Total 3 4 5 5 3" xfId="38320" xr:uid="{00000000-0005-0000-0000-00009EB20000}"/>
    <cellStyle name="Total 3 4 5 6" xfId="38321" xr:uid="{00000000-0005-0000-0000-00009FB20000}"/>
    <cellStyle name="Total 3 4 5 6 2" xfId="38322" xr:uid="{00000000-0005-0000-0000-0000A0B20000}"/>
    <cellStyle name="Total 3 4 5 6 3" xfId="38323" xr:uid="{00000000-0005-0000-0000-0000A1B20000}"/>
    <cellStyle name="Total 3 4 5 7" xfId="38324" xr:uid="{00000000-0005-0000-0000-0000A2B20000}"/>
    <cellStyle name="Total 3 4 5 7 2" xfId="38325" xr:uid="{00000000-0005-0000-0000-0000A3B20000}"/>
    <cellStyle name="Total 3 4 5 7 3" xfId="38326" xr:uid="{00000000-0005-0000-0000-0000A4B20000}"/>
    <cellStyle name="Total 3 4 5 8" xfId="44770" xr:uid="{00000000-0005-0000-0000-0000A5B20000}"/>
    <cellStyle name="Total 3 4 6" xfId="38327" xr:uid="{00000000-0005-0000-0000-0000A6B20000}"/>
    <cellStyle name="Total 3 4 6 2" xfId="38328" xr:uid="{00000000-0005-0000-0000-0000A7B20000}"/>
    <cellStyle name="Total 3 4 6 3" xfId="38329" xr:uid="{00000000-0005-0000-0000-0000A8B20000}"/>
    <cellStyle name="Total 3 4 7" xfId="38330" xr:uid="{00000000-0005-0000-0000-0000A9B20000}"/>
    <cellStyle name="Total 3 4 7 2" xfId="38331" xr:uid="{00000000-0005-0000-0000-0000AAB20000}"/>
    <cellStyle name="Total 3 4 7 3" xfId="38332" xr:uid="{00000000-0005-0000-0000-0000ABB20000}"/>
    <cellStyle name="Total 3 4 8" xfId="38333" xr:uid="{00000000-0005-0000-0000-0000ACB20000}"/>
    <cellStyle name="Total 3 4 8 2" xfId="38334" xr:uid="{00000000-0005-0000-0000-0000ADB20000}"/>
    <cellStyle name="Total 3 4 8 3" xfId="38335" xr:uid="{00000000-0005-0000-0000-0000AEB20000}"/>
    <cellStyle name="Total 3 4 9" xfId="38336" xr:uid="{00000000-0005-0000-0000-0000AFB20000}"/>
    <cellStyle name="Total 3 4 9 2" xfId="38337" xr:uid="{00000000-0005-0000-0000-0000B0B20000}"/>
    <cellStyle name="Total 3 4 9 3" xfId="38338" xr:uid="{00000000-0005-0000-0000-0000B1B20000}"/>
    <cellStyle name="Total 3 5" xfId="2341" xr:uid="{00000000-0005-0000-0000-0000B2B20000}"/>
    <cellStyle name="Total 3 5 10" xfId="38339" xr:uid="{00000000-0005-0000-0000-0000B3B20000}"/>
    <cellStyle name="Total 3 5 10 2" xfId="38340" xr:uid="{00000000-0005-0000-0000-0000B4B20000}"/>
    <cellStyle name="Total 3 5 10 3" xfId="38341" xr:uid="{00000000-0005-0000-0000-0000B5B20000}"/>
    <cellStyle name="Total 3 5 11" xfId="38342" xr:uid="{00000000-0005-0000-0000-0000B6B20000}"/>
    <cellStyle name="Total 3 5 11 2" xfId="38343" xr:uid="{00000000-0005-0000-0000-0000B7B20000}"/>
    <cellStyle name="Total 3 5 11 3" xfId="38344" xr:uid="{00000000-0005-0000-0000-0000B8B20000}"/>
    <cellStyle name="Total 3 5 12" xfId="44771" xr:uid="{00000000-0005-0000-0000-0000B9B20000}"/>
    <cellStyle name="Total 3 5 2" xfId="38345" xr:uid="{00000000-0005-0000-0000-0000BAB20000}"/>
    <cellStyle name="Total 3 5 2 2" xfId="38346" xr:uid="{00000000-0005-0000-0000-0000BBB20000}"/>
    <cellStyle name="Total 3 5 2 2 2" xfId="38347" xr:uid="{00000000-0005-0000-0000-0000BCB20000}"/>
    <cellStyle name="Total 3 5 2 2 3" xfId="38348" xr:uid="{00000000-0005-0000-0000-0000BDB20000}"/>
    <cellStyle name="Total 3 5 2 3" xfId="38349" xr:uid="{00000000-0005-0000-0000-0000BEB20000}"/>
    <cellStyle name="Total 3 5 2 3 2" xfId="38350" xr:uid="{00000000-0005-0000-0000-0000BFB20000}"/>
    <cellStyle name="Total 3 5 2 3 3" xfId="38351" xr:uid="{00000000-0005-0000-0000-0000C0B20000}"/>
    <cellStyle name="Total 3 5 2 4" xfId="38352" xr:uid="{00000000-0005-0000-0000-0000C1B20000}"/>
    <cellStyle name="Total 3 5 2 4 2" xfId="38353" xr:uid="{00000000-0005-0000-0000-0000C2B20000}"/>
    <cellStyle name="Total 3 5 2 4 3" xfId="38354" xr:uid="{00000000-0005-0000-0000-0000C3B20000}"/>
    <cellStyle name="Total 3 5 2 5" xfId="38355" xr:uid="{00000000-0005-0000-0000-0000C4B20000}"/>
    <cellStyle name="Total 3 5 2 5 2" xfId="38356" xr:uid="{00000000-0005-0000-0000-0000C5B20000}"/>
    <cellStyle name="Total 3 5 2 5 3" xfId="38357" xr:uid="{00000000-0005-0000-0000-0000C6B20000}"/>
    <cellStyle name="Total 3 5 2 6" xfId="38358" xr:uid="{00000000-0005-0000-0000-0000C7B20000}"/>
    <cellStyle name="Total 3 5 2 6 2" xfId="38359" xr:uid="{00000000-0005-0000-0000-0000C8B20000}"/>
    <cellStyle name="Total 3 5 2 6 3" xfId="38360" xr:uid="{00000000-0005-0000-0000-0000C9B20000}"/>
    <cellStyle name="Total 3 5 2 7" xfId="38361" xr:uid="{00000000-0005-0000-0000-0000CAB20000}"/>
    <cellStyle name="Total 3 5 2 7 2" xfId="38362" xr:uid="{00000000-0005-0000-0000-0000CBB20000}"/>
    <cellStyle name="Total 3 5 2 7 3" xfId="38363" xr:uid="{00000000-0005-0000-0000-0000CCB20000}"/>
    <cellStyle name="Total 3 5 2 8" xfId="44772" xr:uid="{00000000-0005-0000-0000-0000CDB20000}"/>
    <cellStyle name="Total 3 5 3" xfId="38364" xr:uid="{00000000-0005-0000-0000-0000CEB20000}"/>
    <cellStyle name="Total 3 5 3 2" xfId="38365" xr:uid="{00000000-0005-0000-0000-0000CFB20000}"/>
    <cellStyle name="Total 3 5 3 2 2" xfId="38366" xr:uid="{00000000-0005-0000-0000-0000D0B20000}"/>
    <cellStyle name="Total 3 5 3 2 3" xfId="38367" xr:uid="{00000000-0005-0000-0000-0000D1B20000}"/>
    <cellStyle name="Total 3 5 3 3" xfId="38368" xr:uid="{00000000-0005-0000-0000-0000D2B20000}"/>
    <cellStyle name="Total 3 5 3 3 2" xfId="38369" xr:uid="{00000000-0005-0000-0000-0000D3B20000}"/>
    <cellStyle name="Total 3 5 3 3 3" xfId="38370" xr:uid="{00000000-0005-0000-0000-0000D4B20000}"/>
    <cellStyle name="Total 3 5 3 4" xfId="38371" xr:uid="{00000000-0005-0000-0000-0000D5B20000}"/>
    <cellStyle name="Total 3 5 3 4 2" xfId="38372" xr:uid="{00000000-0005-0000-0000-0000D6B20000}"/>
    <cellStyle name="Total 3 5 3 4 3" xfId="38373" xr:uid="{00000000-0005-0000-0000-0000D7B20000}"/>
    <cellStyle name="Total 3 5 3 5" xfId="38374" xr:uid="{00000000-0005-0000-0000-0000D8B20000}"/>
    <cellStyle name="Total 3 5 3 5 2" xfId="38375" xr:uid="{00000000-0005-0000-0000-0000D9B20000}"/>
    <cellStyle name="Total 3 5 3 5 3" xfId="38376" xr:uid="{00000000-0005-0000-0000-0000DAB20000}"/>
    <cellStyle name="Total 3 5 3 6" xfId="38377" xr:uid="{00000000-0005-0000-0000-0000DBB20000}"/>
    <cellStyle name="Total 3 5 3 6 2" xfId="38378" xr:uid="{00000000-0005-0000-0000-0000DCB20000}"/>
    <cellStyle name="Total 3 5 3 6 3" xfId="38379" xr:uid="{00000000-0005-0000-0000-0000DDB20000}"/>
    <cellStyle name="Total 3 5 3 7" xfId="38380" xr:uid="{00000000-0005-0000-0000-0000DEB20000}"/>
    <cellStyle name="Total 3 5 3 7 2" xfId="38381" xr:uid="{00000000-0005-0000-0000-0000DFB20000}"/>
    <cellStyle name="Total 3 5 3 7 3" xfId="38382" xr:uid="{00000000-0005-0000-0000-0000E0B20000}"/>
    <cellStyle name="Total 3 5 3 8" xfId="44773" xr:uid="{00000000-0005-0000-0000-0000E1B20000}"/>
    <cellStyle name="Total 3 5 4" xfId="38383" xr:uid="{00000000-0005-0000-0000-0000E2B20000}"/>
    <cellStyle name="Total 3 5 4 2" xfId="38384" xr:uid="{00000000-0005-0000-0000-0000E3B20000}"/>
    <cellStyle name="Total 3 5 4 2 2" xfId="38385" xr:uid="{00000000-0005-0000-0000-0000E4B20000}"/>
    <cellStyle name="Total 3 5 4 2 3" xfId="38386" xr:uid="{00000000-0005-0000-0000-0000E5B20000}"/>
    <cellStyle name="Total 3 5 4 3" xfId="38387" xr:uid="{00000000-0005-0000-0000-0000E6B20000}"/>
    <cellStyle name="Total 3 5 4 3 2" xfId="38388" xr:uid="{00000000-0005-0000-0000-0000E7B20000}"/>
    <cellStyle name="Total 3 5 4 3 3" xfId="38389" xr:uid="{00000000-0005-0000-0000-0000E8B20000}"/>
    <cellStyle name="Total 3 5 4 4" xfId="38390" xr:uid="{00000000-0005-0000-0000-0000E9B20000}"/>
    <cellStyle name="Total 3 5 4 4 2" xfId="38391" xr:uid="{00000000-0005-0000-0000-0000EAB20000}"/>
    <cellStyle name="Total 3 5 4 4 3" xfId="38392" xr:uid="{00000000-0005-0000-0000-0000EBB20000}"/>
    <cellStyle name="Total 3 5 4 5" xfId="38393" xr:uid="{00000000-0005-0000-0000-0000ECB20000}"/>
    <cellStyle name="Total 3 5 4 5 2" xfId="38394" xr:uid="{00000000-0005-0000-0000-0000EDB20000}"/>
    <cellStyle name="Total 3 5 4 5 3" xfId="38395" xr:uid="{00000000-0005-0000-0000-0000EEB20000}"/>
    <cellStyle name="Total 3 5 4 6" xfId="38396" xr:uid="{00000000-0005-0000-0000-0000EFB20000}"/>
    <cellStyle name="Total 3 5 4 6 2" xfId="38397" xr:uid="{00000000-0005-0000-0000-0000F0B20000}"/>
    <cellStyle name="Total 3 5 4 6 3" xfId="38398" xr:uid="{00000000-0005-0000-0000-0000F1B20000}"/>
    <cellStyle name="Total 3 5 4 7" xfId="38399" xr:uid="{00000000-0005-0000-0000-0000F2B20000}"/>
    <cellStyle name="Total 3 5 4 7 2" xfId="38400" xr:uid="{00000000-0005-0000-0000-0000F3B20000}"/>
    <cellStyle name="Total 3 5 4 7 3" xfId="38401" xr:uid="{00000000-0005-0000-0000-0000F4B20000}"/>
    <cellStyle name="Total 3 5 4 8" xfId="44774" xr:uid="{00000000-0005-0000-0000-0000F5B20000}"/>
    <cellStyle name="Total 3 5 5" xfId="38402" xr:uid="{00000000-0005-0000-0000-0000F6B20000}"/>
    <cellStyle name="Total 3 5 5 2" xfId="38403" xr:uid="{00000000-0005-0000-0000-0000F7B20000}"/>
    <cellStyle name="Total 3 5 5 2 2" xfId="38404" xr:uid="{00000000-0005-0000-0000-0000F8B20000}"/>
    <cellStyle name="Total 3 5 5 2 3" xfId="38405" xr:uid="{00000000-0005-0000-0000-0000F9B20000}"/>
    <cellStyle name="Total 3 5 5 3" xfId="38406" xr:uid="{00000000-0005-0000-0000-0000FAB20000}"/>
    <cellStyle name="Total 3 5 5 3 2" xfId="38407" xr:uid="{00000000-0005-0000-0000-0000FBB20000}"/>
    <cellStyle name="Total 3 5 5 3 3" xfId="38408" xr:uid="{00000000-0005-0000-0000-0000FCB20000}"/>
    <cellStyle name="Total 3 5 5 4" xfId="38409" xr:uid="{00000000-0005-0000-0000-0000FDB20000}"/>
    <cellStyle name="Total 3 5 5 4 2" xfId="38410" xr:uid="{00000000-0005-0000-0000-0000FEB20000}"/>
    <cellStyle name="Total 3 5 5 4 3" xfId="38411" xr:uid="{00000000-0005-0000-0000-0000FFB20000}"/>
    <cellStyle name="Total 3 5 5 5" xfId="38412" xr:uid="{00000000-0005-0000-0000-000000B30000}"/>
    <cellStyle name="Total 3 5 5 5 2" xfId="38413" xr:uid="{00000000-0005-0000-0000-000001B30000}"/>
    <cellStyle name="Total 3 5 5 5 3" xfId="38414" xr:uid="{00000000-0005-0000-0000-000002B30000}"/>
    <cellStyle name="Total 3 5 5 6" xfId="38415" xr:uid="{00000000-0005-0000-0000-000003B30000}"/>
    <cellStyle name="Total 3 5 5 6 2" xfId="38416" xr:uid="{00000000-0005-0000-0000-000004B30000}"/>
    <cellStyle name="Total 3 5 5 6 3" xfId="38417" xr:uid="{00000000-0005-0000-0000-000005B30000}"/>
    <cellStyle name="Total 3 5 5 7" xfId="38418" xr:uid="{00000000-0005-0000-0000-000006B30000}"/>
    <cellStyle name="Total 3 5 5 7 2" xfId="38419" xr:uid="{00000000-0005-0000-0000-000007B30000}"/>
    <cellStyle name="Total 3 5 5 7 3" xfId="38420" xr:uid="{00000000-0005-0000-0000-000008B30000}"/>
    <cellStyle name="Total 3 5 5 8" xfId="44775" xr:uid="{00000000-0005-0000-0000-000009B30000}"/>
    <cellStyle name="Total 3 5 6" xfId="38421" xr:uid="{00000000-0005-0000-0000-00000AB30000}"/>
    <cellStyle name="Total 3 5 6 2" xfId="38422" xr:uid="{00000000-0005-0000-0000-00000BB30000}"/>
    <cellStyle name="Total 3 5 6 3" xfId="38423" xr:uid="{00000000-0005-0000-0000-00000CB30000}"/>
    <cellStyle name="Total 3 5 7" xfId="38424" xr:uid="{00000000-0005-0000-0000-00000DB30000}"/>
    <cellStyle name="Total 3 5 7 2" xfId="38425" xr:uid="{00000000-0005-0000-0000-00000EB30000}"/>
    <cellStyle name="Total 3 5 7 3" xfId="38426" xr:uid="{00000000-0005-0000-0000-00000FB30000}"/>
    <cellStyle name="Total 3 5 8" xfId="38427" xr:uid="{00000000-0005-0000-0000-000010B30000}"/>
    <cellStyle name="Total 3 5 8 2" xfId="38428" xr:uid="{00000000-0005-0000-0000-000011B30000}"/>
    <cellStyle name="Total 3 5 8 3" xfId="38429" xr:uid="{00000000-0005-0000-0000-000012B30000}"/>
    <cellStyle name="Total 3 5 9" xfId="38430" xr:uid="{00000000-0005-0000-0000-000013B30000}"/>
    <cellStyle name="Total 3 5 9 2" xfId="38431" xr:uid="{00000000-0005-0000-0000-000014B30000}"/>
    <cellStyle name="Total 3 5 9 3" xfId="38432" xr:uid="{00000000-0005-0000-0000-000015B30000}"/>
    <cellStyle name="Total 3 6" xfId="38433" xr:uid="{00000000-0005-0000-0000-000016B30000}"/>
    <cellStyle name="Total 3 6 2" xfId="38434" xr:uid="{00000000-0005-0000-0000-000017B30000}"/>
    <cellStyle name="Total 3 6 2 2" xfId="38435" xr:uid="{00000000-0005-0000-0000-000018B30000}"/>
    <cellStyle name="Total 3 6 2 3" xfId="38436" xr:uid="{00000000-0005-0000-0000-000019B30000}"/>
    <cellStyle name="Total 3 6 3" xfId="38437" xr:uid="{00000000-0005-0000-0000-00001AB30000}"/>
    <cellStyle name="Total 3 6 3 2" xfId="38438" xr:uid="{00000000-0005-0000-0000-00001BB30000}"/>
    <cellStyle name="Total 3 6 3 3" xfId="38439" xr:uid="{00000000-0005-0000-0000-00001CB30000}"/>
    <cellStyle name="Total 3 6 4" xfId="38440" xr:uid="{00000000-0005-0000-0000-00001DB30000}"/>
    <cellStyle name="Total 3 6 4 2" xfId="38441" xr:uid="{00000000-0005-0000-0000-00001EB30000}"/>
    <cellStyle name="Total 3 6 4 3" xfId="38442" xr:uid="{00000000-0005-0000-0000-00001FB30000}"/>
    <cellStyle name="Total 3 6 5" xfId="38443" xr:uid="{00000000-0005-0000-0000-000020B30000}"/>
    <cellStyle name="Total 3 6 5 2" xfId="38444" xr:uid="{00000000-0005-0000-0000-000021B30000}"/>
    <cellStyle name="Total 3 6 5 3" xfId="38445" xr:uid="{00000000-0005-0000-0000-000022B30000}"/>
    <cellStyle name="Total 3 6 6" xfId="38446" xr:uid="{00000000-0005-0000-0000-000023B30000}"/>
    <cellStyle name="Total 3 6 6 2" xfId="38447" xr:uid="{00000000-0005-0000-0000-000024B30000}"/>
    <cellStyle name="Total 3 6 6 3" xfId="38448" xr:uid="{00000000-0005-0000-0000-000025B30000}"/>
    <cellStyle name="Total 3 6 7" xfId="38449" xr:uid="{00000000-0005-0000-0000-000026B30000}"/>
    <cellStyle name="Total 3 6 7 2" xfId="38450" xr:uid="{00000000-0005-0000-0000-000027B30000}"/>
    <cellStyle name="Total 3 6 7 3" xfId="38451" xr:uid="{00000000-0005-0000-0000-000028B30000}"/>
    <cellStyle name="Total 3 6 8" xfId="44776" xr:uid="{00000000-0005-0000-0000-000029B30000}"/>
    <cellStyle name="Total 3 7" xfId="38452" xr:uid="{00000000-0005-0000-0000-00002AB30000}"/>
    <cellStyle name="Total 3 7 2" xfId="38453" xr:uid="{00000000-0005-0000-0000-00002BB30000}"/>
    <cellStyle name="Total 3 7 2 2" xfId="38454" xr:uid="{00000000-0005-0000-0000-00002CB30000}"/>
    <cellStyle name="Total 3 7 2 3" xfId="38455" xr:uid="{00000000-0005-0000-0000-00002DB30000}"/>
    <cellStyle name="Total 3 7 3" xfId="38456" xr:uid="{00000000-0005-0000-0000-00002EB30000}"/>
    <cellStyle name="Total 3 7 3 2" xfId="38457" xr:uid="{00000000-0005-0000-0000-00002FB30000}"/>
    <cellStyle name="Total 3 7 3 3" xfId="38458" xr:uid="{00000000-0005-0000-0000-000030B30000}"/>
    <cellStyle name="Total 3 7 4" xfId="38459" xr:uid="{00000000-0005-0000-0000-000031B30000}"/>
    <cellStyle name="Total 3 7 4 2" xfId="38460" xr:uid="{00000000-0005-0000-0000-000032B30000}"/>
    <cellStyle name="Total 3 7 4 3" xfId="38461" xr:uid="{00000000-0005-0000-0000-000033B30000}"/>
    <cellStyle name="Total 3 7 5" xfId="38462" xr:uid="{00000000-0005-0000-0000-000034B30000}"/>
    <cellStyle name="Total 3 7 5 2" xfId="38463" xr:uid="{00000000-0005-0000-0000-000035B30000}"/>
    <cellStyle name="Total 3 7 5 3" xfId="38464" xr:uid="{00000000-0005-0000-0000-000036B30000}"/>
    <cellStyle name="Total 3 7 6" xfId="38465" xr:uid="{00000000-0005-0000-0000-000037B30000}"/>
    <cellStyle name="Total 3 7 6 2" xfId="38466" xr:uid="{00000000-0005-0000-0000-000038B30000}"/>
    <cellStyle name="Total 3 7 6 3" xfId="38467" xr:uid="{00000000-0005-0000-0000-000039B30000}"/>
    <cellStyle name="Total 3 7 7" xfId="38468" xr:uid="{00000000-0005-0000-0000-00003AB30000}"/>
    <cellStyle name="Total 3 7 7 2" xfId="38469" xr:uid="{00000000-0005-0000-0000-00003BB30000}"/>
    <cellStyle name="Total 3 7 7 3" xfId="38470" xr:uid="{00000000-0005-0000-0000-00003CB30000}"/>
    <cellStyle name="Total 3 7 8" xfId="44777" xr:uid="{00000000-0005-0000-0000-00003DB30000}"/>
    <cellStyle name="Total 3 8" xfId="38471" xr:uid="{00000000-0005-0000-0000-00003EB30000}"/>
    <cellStyle name="Total 3 9" xfId="38472" xr:uid="{00000000-0005-0000-0000-00003FB30000}"/>
    <cellStyle name="Total 4" xfId="615" xr:uid="{00000000-0005-0000-0000-000040B30000}"/>
    <cellStyle name="Total 4 10" xfId="38473" xr:uid="{00000000-0005-0000-0000-000041B30000}"/>
    <cellStyle name="Total 4 10 2" xfId="38474" xr:uid="{00000000-0005-0000-0000-000042B30000}"/>
    <cellStyle name="Total 4 10 3" xfId="38475" xr:uid="{00000000-0005-0000-0000-000043B30000}"/>
    <cellStyle name="Total 4 11" xfId="38476" xr:uid="{00000000-0005-0000-0000-000044B30000}"/>
    <cellStyle name="Total 4 11 2" xfId="38477" xr:uid="{00000000-0005-0000-0000-000045B30000}"/>
    <cellStyle name="Total 4 11 3" xfId="38478" xr:uid="{00000000-0005-0000-0000-000046B30000}"/>
    <cellStyle name="Total 4 12" xfId="38479" xr:uid="{00000000-0005-0000-0000-000047B30000}"/>
    <cellStyle name="Total 4 12 2" xfId="38480" xr:uid="{00000000-0005-0000-0000-000048B30000}"/>
    <cellStyle name="Total 4 12 3" xfId="38481" xr:uid="{00000000-0005-0000-0000-000049B30000}"/>
    <cellStyle name="Total 4 13" xfId="38482" xr:uid="{00000000-0005-0000-0000-00004AB30000}"/>
    <cellStyle name="Total 4 13 2" xfId="38483" xr:uid="{00000000-0005-0000-0000-00004BB30000}"/>
    <cellStyle name="Total 4 13 3" xfId="38484" xr:uid="{00000000-0005-0000-0000-00004CB30000}"/>
    <cellStyle name="Total 4 14" xfId="38485" xr:uid="{00000000-0005-0000-0000-00004DB30000}"/>
    <cellStyle name="Total 4 15" xfId="38486" xr:uid="{00000000-0005-0000-0000-00004EB30000}"/>
    <cellStyle name="Total 4 2" xfId="2342" xr:uid="{00000000-0005-0000-0000-00004FB30000}"/>
    <cellStyle name="Total 4 2 2" xfId="42436" xr:uid="{00000000-0005-0000-0000-000050B30000}"/>
    <cellStyle name="Total 4 3" xfId="38487" xr:uid="{00000000-0005-0000-0000-000051B30000}"/>
    <cellStyle name="Total 4 3 10" xfId="38488" xr:uid="{00000000-0005-0000-0000-000052B30000}"/>
    <cellStyle name="Total 4 3 10 2" xfId="38489" xr:uid="{00000000-0005-0000-0000-000053B30000}"/>
    <cellStyle name="Total 4 3 10 3" xfId="38490" xr:uid="{00000000-0005-0000-0000-000054B30000}"/>
    <cellStyle name="Total 4 3 11" xfId="38491" xr:uid="{00000000-0005-0000-0000-000055B30000}"/>
    <cellStyle name="Total 4 3 11 2" xfId="38492" xr:uid="{00000000-0005-0000-0000-000056B30000}"/>
    <cellStyle name="Total 4 3 11 3" xfId="38493" xr:uid="{00000000-0005-0000-0000-000057B30000}"/>
    <cellStyle name="Total 4 3 12" xfId="38494" xr:uid="{00000000-0005-0000-0000-000058B30000}"/>
    <cellStyle name="Total 4 3 13" xfId="38495" xr:uid="{00000000-0005-0000-0000-000059B30000}"/>
    <cellStyle name="Total 4 3 2" xfId="38496" xr:uid="{00000000-0005-0000-0000-00005AB30000}"/>
    <cellStyle name="Total 4 3 2 2" xfId="38497" xr:uid="{00000000-0005-0000-0000-00005BB30000}"/>
    <cellStyle name="Total 4 3 2 2 2" xfId="38498" xr:uid="{00000000-0005-0000-0000-00005CB30000}"/>
    <cellStyle name="Total 4 3 2 2 3" xfId="38499" xr:uid="{00000000-0005-0000-0000-00005DB30000}"/>
    <cellStyle name="Total 4 3 2 3" xfId="38500" xr:uid="{00000000-0005-0000-0000-00005EB30000}"/>
    <cellStyle name="Total 4 3 2 3 2" xfId="38501" xr:uid="{00000000-0005-0000-0000-00005FB30000}"/>
    <cellStyle name="Total 4 3 2 3 3" xfId="38502" xr:uid="{00000000-0005-0000-0000-000060B30000}"/>
    <cellStyle name="Total 4 3 2 4" xfId="38503" xr:uid="{00000000-0005-0000-0000-000061B30000}"/>
    <cellStyle name="Total 4 3 2 4 2" xfId="38504" xr:uid="{00000000-0005-0000-0000-000062B30000}"/>
    <cellStyle name="Total 4 3 2 4 3" xfId="38505" xr:uid="{00000000-0005-0000-0000-000063B30000}"/>
    <cellStyle name="Total 4 3 2 5" xfId="38506" xr:uid="{00000000-0005-0000-0000-000064B30000}"/>
    <cellStyle name="Total 4 3 2 5 2" xfId="38507" xr:uid="{00000000-0005-0000-0000-000065B30000}"/>
    <cellStyle name="Total 4 3 2 5 3" xfId="38508" xr:uid="{00000000-0005-0000-0000-000066B30000}"/>
    <cellStyle name="Total 4 3 2 6" xfId="38509" xr:uid="{00000000-0005-0000-0000-000067B30000}"/>
    <cellStyle name="Total 4 3 2 6 2" xfId="38510" xr:uid="{00000000-0005-0000-0000-000068B30000}"/>
    <cellStyle name="Total 4 3 2 6 3" xfId="38511" xr:uid="{00000000-0005-0000-0000-000069B30000}"/>
    <cellStyle name="Total 4 3 2 7" xfId="38512" xr:uid="{00000000-0005-0000-0000-00006AB30000}"/>
    <cellStyle name="Total 4 3 2 7 2" xfId="38513" xr:uid="{00000000-0005-0000-0000-00006BB30000}"/>
    <cellStyle name="Total 4 3 2 7 3" xfId="38514" xr:uid="{00000000-0005-0000-0000-00006CB30000}"/>
    <cellStyle name="Total 4 3 2 8" xfId="38515" xr:uid="{00000000-0005-0000-0000-00006DB30000}"/>
    <cellStyle name="Total 4 3 2 9" xfId="38516" xr:uid="{00000000-0005-0000-0000-00006EB30000}"/>
    <cellStyle name="Total 4 3 3" xfId="38517" xr:uid="{00000000-0005-0000-0000-00006FB30000}"/>
    <cellStyle name="Total 4 3 3 2" xfId="38518" xr:uid="{00000000-0005-0000-0000-000070B30000}"/>
    <cellStyle name="Total 4 3 3 2 2" xfId="38519" xr:uid="{00000000-0005-0000-0000-000071B30000}"/>
    <cellStyle name="Total 4 3 3 2 3" xfId="38520" xr:uid="{00000000-0005-0000-0000-000072B30000}"/>
    <cellStyle name="Total 4 3 3 3" xfId="38521" xr:uid="{00000000-0005-0000-0000-000073B30000}"/>
    <cellStyle name="Total 4 3 3 3 2" xfId="38522" xr:uid="{00000000-0005-0000-0000-000074B30000}"/>
    <cellStyle name="Total 4 3 3 3 3" xfId="38523" xr:uid="{00000000-0005-0000-0000-000075B30000}"/>
    <cellStyle name="Total 4 3 3 4" xfId="38524" xr:uid="{00000000-0005-0000-0000-000076B30000}"/>
    <cellStyle name="Total 4 3 3 4 2" xfId="38525" xr:uid="{00000000-0005-0000-0000-000077B30000}"/>
    <cellStyle name="Total 4 3 3 4 3" xfId="38526" xr:uid="{00000000-0005-0000-0000-000078B30000}"/>
    <cellStyle name="Total 4 3 3 5" xfId="38527" xr:uid="{00000000-0005-0000-0000-000079B30000}"/>
    <cellStyle name="Total 4 3 3 5 2" xfId="38528" xr:uid="{00000000-0005-0000-0000-00007AB30000}"/>
    <cellStyle name="Total 4 3 3 5 3" xfId="38529" xr:uid="{00000000-0005-0000-0000-00007BB30000}"/>
    <cellStyle name="Total 4 3 3 6" xfId="38530" xr:uid="{00000000-0005-0000-0000-00007CB30000}"/>
    <cellStyle name="Total 4 3 3 6 2" xfId="38531" xr:uid="{00000000-0005-0000-0000-00007DB30000}"/>
    <cellStyle name="Total 4 3 3 6 3" xfId="38532" xr:uid="{00000000-0005-0000-0000-00007EB30000}"/>
    <cellStyle name="Total 4 3 3 7" xfId="38533" xr:uid="{00000000-0005-0000-0000-00007FB30000}"/>
    <cellStyle name="Total 4 3 3 7 2" xfId="38534" xr:uid="{00000000-0005-0000-0000-000080B30000}"/>
    <cellStyle name="Total 4 3 3 7 3" xfId="38535" xr:uid="{00000000-0005-0000-0000-000081B30000}"/>
    <cellStyle name="Total 4 3 3 8" xfId="38536" xr:uid="{00000000-0005-0000-0000-000082B30000}"/>
    <cellStyle name="Total 4 3 3 9" xfId="38537" xr:uid="{00000000-0005-0000-0000-000083B30000}"/>
    <cellStyle name="Total 4 3 4" xfId="38538" xr:uid="{00000000-0005-0000-0000-000084B30000}"/>
    <cellStyle name="Total 4 3 4 2" xfId="38539" xr:uid="{00000000-0005-0000-0000-000085B30000}"/>
    <cellStyle name="Total 4 3 4 2 2" xfId="38540" xr:uid="{00000000-0005-0000-0000-000086B30000}"/>
    <cellStyle name="Total 4 3 4 2 3" xfId="38541" xr:uid="{00000000-0005-0000-0000-000087B30000}"/>
    <cellStyle name="Total 4 3 4 3" xfId="38542" xr:uid="{00000000-0005-0000-0000-000088B30000}"/>
    <cellStyle name="Total 4 3 4 3 2" xfId="38543" xr:uid="{00000000-0005-0000-0000-000089B30000}"/>
    <cellStyle name="Total 4 3 4 3 3" xfId="38544" xr:uid="{00000000-0005-0000-0000-00008AB30000}"/>
    <cellStyle name="Total 4 3 4 4" xfId="38545" xr:uid="{00000000-0005-0000-0000-00008BB30000}"/>
    <cellStyle name="Total 4 3 4 4 2" xfId="38546" xr:uid="{00000000-0005-0000-0000-00008CB30000}"/>
    <cellStyle name="Total 4 3 4 4 3" xfId="38547" xr:uid="{00000000-0005-0000-0000-00008DB30000}"/>
    <cellStyle name="Total 4 3 4 5" xfId="38548" xr:uid="{00000000-0005-0000-0000-00008EB30000}"/>
    <cellStyle name="Total 4 3 4 5 2" xfId="38549" xr:uid="{00000000-0005-0000-0000-00008FB30000}"/>
    <cellStyle name="Total 4 3 4 5 3" xfId="38550" xr:uid="{00000000-0005-0000-0000-000090B30000}"/>
    <cellStyle name="Total 4 3 4 6" xfId="38551" xr:uid="{00000000-0005-0000-0000-000091B30000}"/>
    <cellStyle name="Total 4 3 4 6 2" xfId="38552" xr:uid="{00000000-0005-0000-0000-000092B30000}"/>
    <cellStyle name="Total 4 3 4 6 3" xfId="38553" xr:uid="{00000000-0005-0000-0000-000093B30000}"/>
    <cellStyle name="Total 4 3 4 7" xfId="38554" xr:uid="{00000000-0005-0000-0000-000094B30000}"/>
    <cellStyle name="Total 4 3 4 7 2" xfId="38555" xr:uid="{00000000-0005-0000-0000-000095B30000}"/>
    <cellStyle name="Total 4 3 4 7 3" xfId="38556" xr:uid="{00000000-0005-0000-0000-000096B30000}"/>
    <cellStyle name="Total 4 3 4 8" xfId="38557" xr:uid="{00000000-0005-0000-0000-000097B30000}"/>
    <cellStyle name="Total 4 3 4 9" xfId="38558" xr:uid="{00000000-0005-0000-0000-000098B30000}"/>
    <cellStyle name="Total 4 3 5" xfId="38559" xr:uid="{00000000-0005-0000-0000-000099B30000}"/>
    <cellStyle name="Total 4 3 5 2" xfId="38560" xr:uid="{00000000-0005-0000-0000-00009AB30000}"/>
    <cellStyle name="Total 4 3 5 2 2" xfId="38561" xr:uid="{00000000-0005-0000-0000-00009BB30000}"/>
    <cellStyle name="Total 4 3 5 2 3" xfId="38562" xr:uid="{00000000-0005-0000-0000-00009CB30000}"/>
    <cellStyle name="Total 4 3 5 3" xfId="38563" xr:uid="{00000000-0005-0000-0000-00009DB30000}"/>
    <cellStyle name="Total 4 3 5 3 2" xfId="38564" xr:uid="{00000000-0005-0000-0000-00009EB30000}"/>
    <cellStyle name="Total 4 3 5 3 3" xfId="38565" xr:uid="{00000000-0005-0000-0000-00009FB30000}"/>
    <cellStyle name="Total 4 3 5 4" xfId="38566" xr:uid="{00000000-0005-0000-0000-0000A0B30000}"/>
    <cellStyle name="Total 4 3 5 4 2" xfId="38567" xr:uid="{00000000-0005-0000-0000-0000A1B30000}"/>
    <cellStyle name="Total 4 3 5 4 3" xfId="38568" xr:uid="{00000000-0005-0000-0000-0000A2B30000}"/>
    <cellStyle name="Total 4 3 5 5" xfId="38569" xr:uid="{00000000-0005-0000-0000-0000A3B30000}"/>
    <cellStyle name="Total 4 3 5 5 2" xfId="38570" xr:uid="{00000000-0005-0000-0000-0000A4B30000}"/>
    <cellStyle name="Total 4 3 5 5 3" xfId="38571" xr:uid="{00000000-0005-0000-0000-0000A5B30000}"/>
    <cellStyle name="Total 4 3 5 6" xfId="38572" xr:uid="{00000000-0005-0000-0000-0000A6B30000}"/>
    <cellStyle name="Total 4 3 5 6 2" xfId="38573" xr:uid="{00000000-0005-0000-0000-0000A7B30000}"/>
    <cellStyle name="Total 4 3 5 6 3" xfId="38574" xr:uid="{00000000-0005-0000-0000-0000A8B30000}"/>
    <cellStyle name="Total 4 3 5 7" xfId="38575" xr:uid="{00000000-0005-0000-0000-0000A9B30000}"/>
    <cellStyle name="Total 4 3 5 7 2" xfId="38576" xr:uid="{00000000-0005-0000-0000-0000AAB30000}"/>
    <cellStyle name="Total 4 3 5 7 3" xfId="38577" xr:uid="{00000000-0005-0000-0000-0000ABB30000}"/>
    <cellStyle name="Total 4 3 5 8" xfId="38578" xr:uid="{00000000-0005-0000-0000-0000ACB30000}"/>
    <cellStyle name="Total 4 3 5 9" xfId="38579" xr:uid="{00000000-0005-0000-0000-0000ADB30000}"/>
    <cellStyle name="Total 4 3 6" xfId="38580" xr:uid="{00000000-0005-0000-0000-0000AEB30000}"/>
    <cellStyle name="Total 4 3 6 2" xfId="38581" xr:uid="{00000000-0005-0000-0000-0000AFB30000}"/>
    <cellStyle name="Total 4 3 6 3" xfId="38582" xr:uid="{00000000-0005-0000-0000-0000B0B30000}"/>
    <cellStyle name="Total 4 3 7" xfId="38583" xr:uid="{00000000-0005-0000-0000-0000B1B30000}"/>
    <cellStyle name="Total 4 3 7 2" xfId="38584" xr:uid="{00000000-0005-0000-0000-0000B2B30000}"/>
    <cellStyle name="Total 4 3 7 3" xfId="38585" xr:uid="{00000000-0005-0000-0000-0000B3B30000}"/>
    <cellStyle name="Total 4 3 8" xfId="38586" xr:uid="{00000000-0005-0000-0000-0000B4B30000}"/>
    <cellStyle name="Total 4 3 8 2" xfId="38587" xr:uid="{00000000-0005-0000-0000-0000B5B30000}"/>
    <cellStyle name="Total 4 3 8 3" xfId="38588" xr:uid="{00000000-0005-0000-0000-0000B6B30000}"/>
    <cellStyle name="Total 4 3 9" xfId="38589" xr:uid="{00000000-0005-0000-0000-0000B7B30000}"/>
    <cellStyle name="Total 4 3 9 2" xfId="38590" xr:uid="{00000000-0005-0000-0000-0000B8B30000}"/>
    <cellStyle name="Total 4 3 9 3" xfId="38591" xr:uid="{00000000-0005-0000-0000-0000B9B30000}"/>
    <cellStyle name="Total 4 4" xfId="38592" xr:uid="{00000000-0005-0000-0000-0000BAB30000}"/>
    <cellStyle name="Total 4 4 2" xfId="38593" xr:uid="{00000000-0005-0000-0000-0000BBB30000}"/>
    <cellStyle name="Total 4 4 2 2" xfId="38594" xr:uid="{00000000-0005-0000-0000-0000BCB30000}"/>
    <cellStyle name="Total 4 4 2 3" xfId="38595" xr:uid="{00000000-0005-0000-0000-0000BDB30000}"/>
    <cellStyle name="Total 4 4 3" xfId="38596" xr:uid="{00000000-0005-0000-0000-0000BEB30000}"/>
    <cellStyle name="Total 4 4 3 2" xfId="38597" xr:uid="{00000000-0005-0000-0000-0000BFB30000}"/>
    <cellStyle name="Total 4 4 3 3" xfId="38598" xr:uid="{00000000-0005-0000-0000-0000C0B30000}"/>
    <cellStyle name="Total 4 4 4" xfId="38599" xr:uid="{00000000-0005-0000-0000-0000C1B30000}"/>
    <cellStyle name="Total 4 4 4 2" xfId="38600" xr:uid="{00000000-0005-0000-0000-0000C2B30000}"/>
    <cellStyle name="Total 4 4 4 3" xfId="38601" xr:uid="{00000000-0005-0000-0000-0000C3B30000}"/>
    <cellStyle name="Total 4 4 5" xfId="38602" xr:uid="{00000000-0005-0000-0000-0000C4B30000}"/>
    <cellStyle name="Total 4 4 5 2" xfId="38603" xr:uid="{00000000-0005-0000-0000-0000C5B30000}"/>
    <cellStyle name="Total 4 4 5 3" xfId="38604" xr:uid="{00000000-0005-0000-0000-0000C6B30000}"/>
    <cellStyle name="Total 4 4 6" xfId="38605" xr:uid="{00000000-0005-0000-0000-0000C7B30000}"/>
    <cellStyle name="Total 4 4 6 2" xfId="38606" xr:uid="{00000000-0005-0000-0000-0000C8B30000}"/>
    <cellStyle name="Total 4 4 6 3" xfId="38607" xr:uid="{00000000-0005-0000-0000-0000C9B30000}"/>
    <cellStyle name="Total 4 4 7" xfId="38608" xr:uid="{00000000-0005-0000-0000-0000CAB30000}"/>
    <cellStyle name="Total 4 4 7 2" xfId="38609" xr:uid="{00000000-0005-0000-0000-0000CBB30000}"/>
    <cellStyle name="Total 4 4 7 3" xfId="38610" xr:uid="{00000000-0005-0000-0000-0000CCB30000}"/>
    <cellStyle name="Total 4 4 8" xfId="38611" xr:uid="{00000000-0005-0000-0000-0000CDB30000}"/>
    <cellStyle name="Total 4 4 9" xfId="38612" xr:uid="{00000000-0005-0000-0000-0000CEB30000}"/>
    <cellStyle name="Total 4 5" xfId="38613" xr:uid="{00000000-0005-0000-0000-0000CFB30000}"/>
    <cellStyle name="Total 4 5 2" xfId="38614" xr:uid="{00000000-0005-0000-0000-0000D0B30000}"/>
    <cellStyle name="Total 4 5 2 2" xfId="38615" xr:uid="{00000000-0005-0000-0000-0000D1B30000}"/>
    <cellStyle name="Total 4 5 2 3" xfId="38616" xr:uid="{00000000-0005-0000-0000-0000D2B30000}"/>
    <cellStyle name="Total 4 5 3" xfId="38617" xr:uid="{00000000-0005-0000-0000-0000D3B30000}"/>
    <cellStyle name="Total 4 5 3 2" xfId="38618" xr:uid="{00000000-0005-0000-0000-0000D4B30000}"/>
    <cellStyle name="Total 4 5 3 3" xfId="38619" xr:uid="{00000000-0005-0000-0000-0000D5B30000}"/>
    <cellStyle name="Total 4 5 4" xfId="38620" xr:uid="{00000000-0005-0000-0000-0000D6B30000}"/>
    <cellStyle name="Total 4 5 4 2" xfId="38621" xr:uid="{00000000-0005-0000-0000-0000D7B30000}"/>
    <cellStyle name="Total 4 5 4 3" xfId="38622" xr:uid="{00000000-0005-0000-0000-0000D8B30000}"/>
    <cellStyle name="Total 4 5 5" xfId="38623" xr:uid="{00000000-0005-0000-0000-0000D9B30000}"/>
    <cellStyle name="Total 4 5 5 2" xfId="38624" xr:uid="{00000000-0005-0000-0000-0000DAB30000}"/>
    <cellStyle name="Total 4 5 5 3" xfId="38625" xr:uid="{00000000-0005-0000-0000-0000DBB30000}"/>
    <cellStyle name="Total 4 5 6" xfId="38626" xr:uid="{00000000-0005-0000-0000-0000DCB30000}"/>
    <cellStyle name="Total 4 5 6 2" xfId="38627" xr:uid="{00000000-0005-0000-0000-0000DDB30000}"/>
    <cellStyle name="Total 4 5 6 3" xfId="38628" xr:uid="{00000000-0005-0000-0000-0000DEB30000}"/>
    <cellStyle name="Total 4 5 7" xfId="38629" xr:uid="{00000000-0005-0000-0000-0000DFB30000}"/>
    <cellStyle name="Total 4 5 7 2" xfId="38630" xr:uid="{00000000-0005-0000-0000-0000E0B30000}"/>
    <cellStyle name="Total 4 5 7 3" xfId="38631" xr:uid="{00000000-0005-0000-0000-0000E1B30000}"/>
    <cellStyle name="Total 4 5 8" xfId="38632" xr:uid="{00000000-0005-0000-0000-0000E2B30000}"/>
    <cellStyle name="Total 4 5 9" xfId="38633" xr:uid="{00000000-0005-0000-0000-0000E3B30000}"/>
    <cellStyle name="Total 4 6" xfId="38634" xr:uid="{00000000-0005-0000-0000-0000E4B30000}"/>
    <cellStyle name="Total 4 6 2" xfId="38635" xr:uid="{00000000-0005-0000-0000-0000E5B30000}"/>
    <cellStyle name="Total 4 6 2 2" xfId="38636" xr:uid="{00000000-0005-0000-0000-0000E6B30000}"/>
    <cellStyle name="Total 4 6 2 3" xfId="38637" xr:uid="{00000000-0005-0000-0000-0000E7B30000}"/>
    <cellStyle name="Total 4 6 3" xfId="38638" xr:uid="{00000000-0005-0000-0000-0000E8B30000}"/>
    <cellStyle name="Total 4 6 3 2" xfId="38639" xr:uid="{00000000-0005-0000-0000-0000E9B30000}"/>
    <cellStyle name="Total 4 6 3 3" xfId="38640" xr:uid="{00000000-0005-0000-0000-0000EAB30000}"/>
    <cellStyle name="Total 4 6 4" xfId="38641" xr:uid="{00000000-0005-0000-0000-0000EBB30000}"/>
    <cellStyle name="Total 4 6 4 2" xfId="38642" xr:uid="{00000000-0005-0000-0000-0000ECB30000}"/>
    <cellStyle name="Total 4 6 4 3" xfId="38643" xr:uid="{00000000-0005-0000-0000-0000EDB30000}"/>
    <cellStyle name="Total 4 6 5" xfId="38644" xr:uid="{00000000-0005-0000-0000-0000EEB30000}"/>
    <cellStyle name="Total 4 6 5 2" xfId="38645" xr:uid="{00000000-0005-0000-0000-0000EFB30000}"/>
    <cellStyle name="Total 4 6 5 3" xfId="38646" xr:uid="{00000000-0005-0000-0000-0000F0B30000}"/>
    <cellStyle name="Total 4 6 6" xfId="38647" xr:uid="{00000000-0005-0000-0000-0000F1B30000}"/>
    <cellStyle name="Total 4 6 6 2" xfId="38648" xr:uid="{00000000-0005-0000-0000-0000F2B30000}"/>
    <cellStyle name="Total 4 6 6 3" xfId="38649" xr:uid="{00000000-0005-0000-0000-0000F3B30000}"/>
    <cellStyle name="Total 4 6 7" xfId="38650" xr:uid="{00000000-0005-0000-0000-0000F4B30000}"/>
    <cellStyle name="Total 4 6 7 2" xfId="38651" xr:uid="{00000000-0005-0000-0000-0000F5B30000}"/>
    <cellStyle name="Total 4 6 7 3" xfId="38652" xr:uid="{00000000-0005-0000-0000-0000F6B30000}"/>
    <cellStyle name="Total 4 6 8" xfId="38653" xr:uid="{00000000-0005-0000-0000-0000F7B30000}"/>
    <cellStyle name="Total 4 6 9" xfId="38654" xr:uid="{00000000-0005-0000-0000-0000F8B30000}"/>
    <cellStyle name="Total 4 7" xfId="38655" xr:uid="{00000000-0005-0000-0000-0000F9B30000}"/>
    <cellStyle name="Total 4 7 2" xfId="38656" xr:uid="{00000000-0005-0000-0000-0000FAB30000}"/>
    <cellStyle name="Total 4 7 2 2" xfId="38657" xr:uid="{00000000-0005-0000-0000-0000FBB30000}"/>
    <cellStyle name="Total 4 7 2 3" xfId="38658" xr:uid="{00000000-0005-0000-0000-0000FCB30000}"/>
    <cellStyle name="Total 4 7 3" xfId="38659" xr:uid="{00000000-0005-0000-0000-0000FDB30000}"/>
    <cellStyle name="Total 4 7 3 2" xfId="38660" xr:uid="{00000000-0005-0000-0000-0000FEB30000}"/>
    <cellStyle name="Total 4 7 3 3" xfId="38661" xr:uid="{00000000-0005-0000-0000-0000FFB30000}"/>
    <cellStyle name="Total 4 7 4" xfId="38662" xr:uid="{00000000-0005-0000-0000-000000B40000}"/>
    <cellStyle name="Total 4 7 4 2" xfId="38663" xr:uid="{00000000-0005-0000-0000-000001B40000}"/>
    <cellStyle name="Total 4 7 4 3" xfId="38664" xr:uid="{00000000-0005-0000-0000-000002B40000}"/>
    <cellStyle name="Total 4 7 5" xfId="38665" xr:uid="{00000000-0005-0000-0000-000003B40000}"/>
    <cellStyle name="Total 4 7 5 2" xfId="38666" xr:uid="{00000000-0005-0000-0000-000004B40000}"/>
    <cellStyle name="Total 4 7 5 3" xfId="38667" xr:uid="{00000000-0005-0000-0000-000005B40000}"/>
    <cellStyle name="Total 4 7 6" xfId="38668" xr:uid="{00000000-0005-0000-0000-000006B40000}"/>
    <cellStyle name="Total 4 7 6 2" xfId="38669" xr:uid="{00000000-0005-0000-0000-000007B40000}"/>
    <cellStyle name="Total 4 7 6 3" xfId="38670" xr:uid="{00000000-0005-0000-0000-000008B40000}"/>
    <cellStyle name="Total 4 7 7" xfId="38671" xr:uid="{00000000-0005-0000-0000-000009B40000}"/>
    <cellStyle name="Total 4 7 7 2" xfId="38672" xr:uid="{00000000-0005-0000-0000-00000AB40000}"/>
    <cellStyle name="Total 4 7 7 3" xfId="38673" xr:uid="{00000000-0005-0000-0000-00000BB40000}"/>
    <cellStyle name="Total 4 7 8" xfId="38674" xr:uid="{00000000-0005-0000-0000-00000CB40000}"/>
    <cellStyle name="Total 4 7 9" xfId="38675" xr:uid="{00000000-0005-0000-0000-00000DB40000}"/>
    <cellStyle name="Total 4 8" xfId="38676" xr:uid="{00000000-0005-0000-0000-00000EB40000}"/>
    <cellStyle name="Total 4 8 2" xfId="38677" xr:uid="{00000000-0005-0000-0000-00000FB40000}"/>
    <cellStyle name="Total 4 8 3" xfId="38678" xr:uid="{00000000-0005-0000-0000-000010B40000}"/>
    <cellStyle name="Total 4 9" xfId="38679" xr:uid="{00000000-0005-0000-0000-000011B40000}"/>
    <cellStyle name="Total 4 9 2" xfId="38680" xr:uid="{00000000-0005-0000-0000-000012B40000}"/>
    <cellStyle name="Total 4 9 3" xfId="38681" xr:uid="{00000000-0005-0000-0000-000013B40000}"/>
    <cellStyle name="Total 5" xfId="38682" xr:uid="{00000000-0005-0000-0000-000014B40000}"/>
    <cellStyle name="Total 6" xfId="42437" xr:uid="{00000000-0005-0000-0000-000015B40000}"/>
    <cellStyle name="TotCol - Style5" xfId="2343" xr:uid="{00000000-0005-0000-0000-000016B40000}"/>
    <cellStyle name="TotCol - Style5 2" xfId="42438" xr:uid="{00000000-0005-0000-0000-000017B40000}"/>
    <cellStyle name="TotCol - Style7" xfId="2344" xr:uid="{00000000-0005-0000-0000-000018B40000}"/>
    <cellStyle name="TotCol - Style7 2" xfId="42439" xr:uid="{00000000-0005-0000-0000-000019B40000}"/>
    <cellStyle name="TotRow - Style4" xfId="2345" xr:uid="{00000000-0005-0000-0000-00001AB40000}"/>
    <cellStyle name="TotRow - Style4 10" xfId="38683" xr:uid="{00000000-0005-0000-0000-00001BB40000}"/>
    <cellStyle name="TotRow - Style4 10 2" xfId="38684" xr:uid="{00000000-0005-0000-0000-00001CB40000}"/>
    <cellStyle name="TotRow - Style4 10 3" xfId="38685" xr:uid="{00000000-0005-0000-0000-00001DB40000}"/>
    <cellStyle name="TotRow - Style4 11" xfId="38686" xr:uid="{00000000-0005-0000-0000-00001EB40000}"/>
    <cellStyle name="TotRow - Style4 11 2" xfId="38687" xr:uid="{00000000-0005-0000-0000-00001FB40000}"/>
    <cellStyle name="TotRow - Style4 11 3" xfId="38688" xr:uid="{00000000-0005-0000-0000-000020B40000}"/>
    <cellStyle name="TotRow - Style4 12" xfId="44778" xr:uid="{00000000-0005-0000-0000-000021B40000}"/>
    <cellStyle name="TotRow - Style4 2" xfId="38689" xr:uid="{00000000-0005-0000-0000-000022B40000}"/>
    <cellStyle name="TotRow - Style4 2 2" xfId="38690" xr:uid="{00000000-0005-0000-0000-000023B40000}"/>
    <cellStyle name="TotRow - Style4 2 2 2" xfId="38691" xr:uid="{00000000-0005-0000-0000-000024B40000}"/>
    <cellStyle name="TotRow - Style4 2 2 3" xfId="38692" xr:uid="{00000000-0005-0000-0000-000025B40000}"/>
    <cellStyle name="TotRow - Style4 2 3" xfId="38693" xr:uid="{00000000-0005-0000-0000-000026B40000}"/>
    <cellStyle name="TotRow - Style4 2 3 2" xfId="38694" xr:uid="{00000000-0005-0000-0000-000027B40000}"/>
    <cellStyle name="TotRow - Style4 2 3 3" xfId="38695" xr:uid="{00000000-0005-0000-0000-000028B40000}"/>
    <cellStyle name="TotRow - Style4 2 4" xfId="38696" xr:uid="{00000000-0005-0000-0000-000029B40000}"/>
    <cellStyle name="TotRow - Style4 2 4 2" xfId="38697" xr:uid="{00000000-0005-0000-0000-00002AB40000}"/>
    <cellStyle name="TotRow - Style4 2 4 3" xfId="38698" xr:uid="{00000000-0005-0000-0000-00002BB40000}"/>
    <cellStyle name="TotRow - Style4 2 5" xfId="38699" xr:uid="{00000000-0005-0000-0000-00002CB40000}"/>
    <cellStyle name="TotRow - Style4 2 5 2" xfId="38700" xr:uid="{00000000-0005-0000-0000-00002DB40000}"/>
    <cellStyle name="TotRow - Style4 2 5 3" xfId="38701" xr:uid="{00000000-0005-0000-0000-00002EB40000}"/>
    <cellStyle name="TotRow - Style4 2 6" xfId="38702" xr:uid="{00000000-0005-0000-0000-00002FB40000}"/>
    <cellStyle name="TotRow - Style4 2 6 2" xfId="38703" xr:uid="{00000000-0005-0000-0000-000030B40000}"/>
    <cellStyle name="TotRow - Style4 2 6 3" xfId="38704" xr:uid="{00000000-0005-0000-0000-000031B40000}"/>
    <cellStyle name="TotRow - Style4 2 7" xfId="38705" xr:uid="{00000000-0005-0000-0000-000032B40000}"/>
    <cellStyle name="TotRow - Style4 2 7 2" xfId="38706" xr:uid="{00000000-0005-0000-0000-000033B40000}"/>
    <cellStyle name="TotRow - Style4 2 7 3" xfId="38707" xr:uid="{00000000-0005-0000-0000-000034B40000}"/>
    <cellStyle name="TotRow - Style4 2 8" xfId="44779" xr:uid="{00000000-0005-0000-0000-000035B40000}"/>
    <cellStyle name="TotRow - Style4 3" xfId="38708" xr:uid="{00000000-0005-0000-0000-000036B40000}"/>
    <cellStyle name="TotRow - Style4 3 2" xfId="38709" xr:uid="{00000000-0005-0000-0000-000037B40000}"/>
    <cellStyle name="TotRow - Style4 3 2 2" xfId="38710" xr:uid="{00000000-0005-0000-0000-000038B40000}"/>
    <cellStyle name="TotRow - Style4 3 2 3" xfId="38711" xr:uid="{00000000-0005-0000-0000-000039B40000}"/>
    <cellStyle name="TotRow - Style4 3 3" xfId="38712" xr:uid="{00000000-0005-0000-0000-00003AB40000}"/>
    <cellStyle name="TotRow - Style4 3 3 2" xfId="38713" xr:uid="{00000000-0005-0000-0000-00003BB40000}"/>
    <cellStyle name="TotRow - Style4 3 3 3" xfId="38714" xr:uid="{00000000-0005-0000-0000-00003CB40000}"/>
    <cellStyle name="TotRow - Style4 3 4" xfId="38715" xr:uid="{00000000-0005-0000-0000-00003DB40000}"/>
    <cellStyle name="TotRow - Style4 3 4 2" xfId="38716" xr:uid="{00000000-0005-0000-0000-00003EB40000}"/>
    <cellStyle name="TotRow - Style4 3 4 3" xfId="38717" xr:uid="{00000000-0005-0000-0000-00003FB40000}"/>
    <cellStyle name="TotRow - Style4 3 5" xfId="38718" xr:uid="{00000000-0005-0000-0000-000040B40000}"/>
    <cellStyle name="TotRow - Style4 3 5 2" xfId="38719" xr:uid="{00000000-0005-0000-0000-000041B40000}"/>
    <cellStyle name="TotRow - Style4 3 5 3" xfId="38720" xr:uid="{00000000-0005-0000-0000-000042B40000}"/>
    <cellStyle name="TotRow - Style4 3 6" xfId="38721" xr:uid="{00000000-0005-0000-0000-000043B40000}"/>
    <cellStyle name="TotRow - Style4 3 6 2" xfId="38722" xr:uid="{00000000-0005-0000-0000-000044B40000}"/>
    <cellStyle name="TotRow - Style4 3 6 3" xfId="38723" xr:uid="{00000000-0005-0000-0000-000045B40000}"/>
    <cellStyle name="TotRow - Style4 3 7" xfId="38724" xr:uid="{00000000-0005-0000-0000-000046B40000}"/>
    <cellStyle name="TotRow - Style4 3 7 2" xfId="38725" xr:uid="{00000000-0005-0000-0000-000047B40000}"/>
    <cellStyle name="TotRow - Style4 3 7 3" xfId="38726" xr:uid="{00000000-0005-0000-0000-000048B40000}"/>
    <cellStyle name="TotRow - Style4 3 8" xfId="44780" xr:uid="{00000000-0005-0000-0000-000049B40000}"/>
    <cellStyle name="TotRow - Style4 4" xfId="38727" xr:uid="{00000000-0005-0000-0000-00004AB40000}"/>
    <cellStyle name="TotRow - Style4 4 2" xfId="38728" xr:uid="{00000000-0005-0000-0000-00004BB40000}"/>
    <cellStyle name="TotRow - Style4 4 2 2" xfId="38729" xr:uid="{00000000-0005-0000-0000-00004CB40000}"/>
    <cellStyle name="TotRow - Style4 4 2 3" xfId="38730" xr:uid="{00000000-0005-0000-0000-00004DB40000}"/>
    <cellStyle name="TotRow - Style4 4 3" xfId="38731" xr:uid="{00000000-0005-0000-0000-00004EB40000}"/>
    <cellStyle name="TotRow - Style4 4 3 2" xfId="38732" xr:uid="{00000000-0005-0000-0000-00004FB40000}"/>
    <cellStyle name="TotRow - Style4 4 3 3" xfId="38733" xr:uid="{00000000-0005-0000-0000-000050B40000}"/>
    <cellStyle name="TotRow - Style4 4 4" xfId="38734" xr:uid="{00000000-0005-0000-0000-000051B40000}"/>
    <cellStyle name="TotRow - Style4 4 4 2" xfId="38735" xr:uid="{00000000-0005-0000-0000-000052B40000}"/>
    <cellStyle name="TotRow - Style4 4 4 3" xfId="38736" xr:uid="{00000000-0005-0000-0000-000053B40000}"/>
    <cellStyle name="TotRow - Style4 4 5" xfId="38737" xr:uid="{00000000-0005-0000-0000-000054B40000}"/>
    <cellStyle name="TotRow - Style4 4 5 2" xfId="38738" xr:uid="{00000000-0005-0000-0000-000055B40000}"/>
    <cellStyle name="TotRow - Style4 4 5 3" xfId="38739" xr:uid="{00000000-0005-0000-0000-000056B40000}"/>
    <cellStyle name="TotRow - Style4 4 6" xfId="38740" xr:uid="{00000000-0005-0000-0000-000057B40000}"/>
    <cellStyle name="TotRow - Style4 4 6 2" xfId="38741" xr:uid="{00000000-0005-0000-0000-000058B40000}"/>
    <cellStyle name="TotRow - Style4 4 6 3" xfId="38742" xr:uid="{00000000-0005-0000-0000-000059B40000}"/>
    <cellStyle name="TotRow - Style4 4 7" xfId="38743" xr:uid="{00000000-0005-0000-0000-00005AB40000}"/>
    <cellStyle name="TotRow - Style4 4 7 2" xfId="38744" xr:uid="{00000000-0005-0000-0000-00005BB40000}"/>
    <cellStyle name="TotRow - Style4 4 7 3" xfId="38745" xr:uid="{00000000-0005-0000-0000-00005CB40000}"/>
    <cellStyle name="TotRow - Style4 4 8" xfId="44781" xr:uid="{00000000-0005-0000-0000-00005DB40000}"/>
    <cellStyle name="TotRow - Style4 5" xfId="38746" xr:uid="{00000000-0005-0000-0000-00005EB40000}"/>
    <cellStyle name="TotRow - Style4 5 2" xfId="38747" xr:uid="{00000000-0005-0000-0000-00005FB40000}"/>
    <cellStyle name="TotRow - Style4 5 2 2" xfId="38748" xr:uid="{00000000-0005-0000-0000-000060B40000}"/>
    <cellStyle name="TotRow - Style4 5 2 3" xfId="38749" xr:uid="{00000000-0005-0000-0000-000061B40000}"/>
    <cellStyle name="TotRow - Style4 5 3" xfId="38750" xr:uid="{00000000-0005-0000-0000-000062B40000}"/>
    <cellStyle name="TotRow - Style4 5 3 2" xfId="38751" xr:uid="{00000000-0005-0000-0000-000063B40000}"/>
    <cellStyle name="TotRow - Style4 5 3 3" xfId="38752" xr:uid="{00000000-0005-0000-0000-000064B40000}"/>
    <cellStyle name="TotRow - Style4 5 4" xfId="38753" xr:uid="{00000000-0005-0000-0000-000065B40000}"/>
    <cellStyle name="TotRow - Style4 5 4 2" xfId="38754" xr:uid="{00000000-0005-0000-0000-000066B40000}"/>
    <cellStyle name="TotRow - Style4 5 4 3" xfId="38755" xr:uid="{00000000-0005-0000-0000-000067B40000}"/>
    <cellStyle name="TotRow - Style4 5 5" xfId="38756" xr:uid="{00000000-0005-0000-0000-000068B40000}"/>
    <cellStyle name="TotRow - Style4 5 5 2" xfId="38757" xr:uid="{00000000-0005-0000-0000-000069B40000}"/>
    <cellStyle name="TotRow - Style4 5 5 3" xfId="38758" xr:uid="{00000000-0005-0000-0000-00006AB40000}"/>
    <cellStyle name="TotRow - Style4 5 6" xfId="38759" xr:uid="{00000000-0005-0000-0000-00006BB40000}"/>
    <cellStyle name="TotRow - Style4 5 6 2" xfId="38760" xr:uid="{00000000-0005-0000-0000-00006CB40000}"/>
    <cellStyle name="TotRow - Style4 5 6 3" xfId="38761" xr:uid="{00000000-0005-0000-0000-00006DB40000}"/>
    <cellStyle name="TotRow - Style4 5 7" xfId="38762" xr:uid="{00000000-0005-0000-0000-00006EB40000}"/>
    <cellStyle name="TotRow - Style4 5 7 2" xfId="38763" xr:uid="{00000000-0005-0000-0000-00006FB40000}"/>
    <cellStyle name="TotRow - Style4 5 7 3" xfId="38764" xr:uid="{00000000-0005-0000-0000-000070B40000}"/>
    <cellStyle name="TotRow - Style4 5 8" xfId="44782" xr:uid="{00000000-0005-0000-0000-000071B40000}"/>
    <cellStyle name="TotRow - Style4 6" xfId="38765" xr:uid="{00000000-0005-0000-0000-000072B40000}"/>
    <cellStyle name="TotRow - Style4 6 2" xfId="38766" xr:uid="{00000000-0005-0000-0000-000073B40000}"/>
    <cellStyle name="TotRow - Style4 7" xfId="38767" xr:uid="{00000000-0005-0000-0000-000074B40000}"/>
    <cellStyle name="TotRow - Style4 7 2" xfId="38768" xr:uid="{00000000-0005-0000-0000-000075B40000}"/>
    <cellStyle name="TotRow - Style4 7 3" xfId="38769" xr:uid="{00000000-0005-0000-0000-000076B40000}"/>
    <cellStyle name="TotRow - Style4 8" xfId="38770" xr:uid="{00000000-0005-0000-0000-000077B40000}"/>
    <cellStyle name="TotRow - Style4 8 2" xfId="38771" xr:uid="{00000000-0005-0000-0000-000078B40000}"/>
    <cellStyle name="TotRow - Style4 8 3" xfId="38772" xr:uid="{00000000-0005-0000-0000-000079B40000}"/>
    <cellStyle name="TotRow - Style4 9" xfId="38773" xr:uid="{00000000-0005-0000-0000-00007AB40000}"/>
    <cellStyle name="TotRow - Style4 9 2" xfId="38774" xr:uid="{00000000-0005-0000-0000-00007BB40000}"/>
    <cellStyle name="TotRow - Style4 9 3" xfId="38775" xr:uid="{00000000-0005-0000-0000-00007CB40000}"/>
    <cellStyle name="TotRow - Style8" xfId="2346" xr:uid="{00000000-0005-0000-0000-00007DB40000}"/>
    <cellStyle name="TotRow - Style8 10" xfId="38776" xr:uid="{00000000-0005-0000-0000-00007EB40000}"/>
    <cellStyle name="TotRow - Style8 10 2" xfId="38777" xr:uid="{00000000-0005-0000-0000-00007FB40000}"/>
    <cellStyle name="TotRow - Style8 10 3" xfId="38778" xr:uid="{00000000-0005-0000-0000-000080B40000}"/>
    <cellStyle name="TotRow - Style8 11" xfId="38779" xr:uid="{00000000-0005-0000-0000-000081B40000}"/>
    <cellStyle name="TotRow - Style8 11 2" xfId="38780" xr:uid="{00000000-0005-0000-0000-000082B40000}"/>
    <cellStyle name="TotRow - Style8 11 3" xfId="38781" xr:uid="{00000000-0005-0000-0000-000083B40000}"/>
    <cellStyle name="TotRow - Style8 12" xfId="44783" xr:uid="{00000000-0005-0000-0000-000084B40000}"/>
    <cellStyle name="TotRow - Style8 2" xfId="38782" xr:uid="{00000000-0005-0000-0000-000085B40000}"/>
    <cellStyle name="TotRow - Style8 2 2" xfId="38783" xr:uid="{00000000-0005-0000-0000-000086B40000}"/>
    <cellStyle name="TotRow - Style8 2 2 2" xfId="38784" xr:uid="{00000000-0005-0000-0000-000087B40000}"/>
    <cellStyle name="TotRow - Style8 2 2 3" xfId="38785" xr:uid="{00000000-0005-0000-0000-000088B40000}"/>
    <cellStyle name="TotRow - Style8 2 3" xfId="38786" xr:uid="{00000000-0005-0000-0000-000089B40000}"/>
    <cellStyle name="TotRow - Style8 2 3 2" xfId="38787" xr:uid="{00000000-0005-0000-0000-00008AB40000}"/>
    <cellStyle name="TotRow - Style8 2 3 3" xfId="38788" xr:uid="{00000000-0005-0000-0000-00008BB40000}"/>
    <cellStyle name="TotRow - Style8 2 4" xfId="38789" xr:uid="{00000000-0005-0000-0000-00008CB40000}"/>
    <cellStyle name="TotRow - Style8 2 4 2" xfId="38790" xr:uid="{00000000-0005-0000-0000-00008DB40000}"/>
    <cellStyle name="TotRow - Style8 2 4 3" xfId="38791" xr:uid="{00000000-0005-0000-0000-00008EB40000}"/>
    <cellStyle name="TotRow - Style8 2 5" xfId="38792" xr:uid="{00000000-0005-0000-0000-00008FB40000}"/>
    <cellStyle name="TotRow - Style8 2 5 2" xfId="38793" xr:uid="{00000000-0005-0000-0000-000090B40000}"/>
    <cellStyle name="TotRow - Style8 2 5 3" xfId="38794" xr:uid="{00000000-0005-0000-0000-000091B40000}"/>
    <cellStyle name="TotRow - Style8 2 6" xfId="38795" xr:uid="{00000000-0005-0000-0000-000092B40000}"/>
    <cellStyle name="TotRow - Style8 2 6 2" xfId="38796" xr:uid="{00000000-0005-0000-0000-000093B40000}"/>
    <cellStyle name="TotRow - Style8 2 6 3" xfId="38797" xr:uid="{00000000-0005-0000-0000-000094B40000}"/>
    <cellStyle name="TotRow - Style8 2 7" xfId="38798" xr:uid="{00000000-0005-0000-0000-000095B40000}"/>
    <cellStyle name="TotRow - Style8 2 7 2" xfId="38799" xr:uid="{00000000-0005-0000-0000-000096B40000}"/>
    <cellStyle name="TotRow - Style8 2 7 3" xfId="38800" xr:uid="{00000000-0005-0000-0000-000097B40000}"/>
    <cellStyle name="TotRow - Style8 2 8" xfId="44784" xr:uid="{00000000-0005-0000-0000-000098B40000}"/>
    <cellStyle name="TotRow - Style8 3" xfId="38801" xr:uid="{00000000-0005-0000-0000-000099B40000}"/>
    <cellStyle name="TotRow - Style8 3 2" xfId="38802" xr:uid="{00000000-0005-0000-0000-00009AB40000}"/>
    <cellStyle name="TotRow - Style8 3 2 2" xfId="38803" xr:uid="{00000000-0005-0000-0000-00009BB40000}"/>
    <cellStyle name="TotRow - Style8 3 2 3" xfId="38804" xr:uid="{00000000-0005-0000-0000-00009CB40000}"/>
    <cellStyle name="TotRow - Style8 3 3" xfId="38805" xr:uid="{00000000-0005-0000-0000-00009DB40000}"/>
    <cellStyle name="TotRow - Style8 3 3 2" xfId="38806" xr:uid="{00000000-0005-0000-0000-00009EB40000}"/>
    <cellStyle name="TotRow - Style8 3 3 3" xfId="38807" xr:uid="{00000000-0005-0000-0000-00009FB40000}"/>
    <cellStyle name="TotRow - Style8 3 4" xfId="38808" xr:uid="{00000000-0005-0000-0000-0000A0B40000}"/>
    <cellStyle name="TotRow - Style8 3 4 2" xfId="38809" xr:uid="{00000000-0005-0000-0000-0000A1B40000}"/>
    <cellStyle name="TotRow - Style8 3 4 3" xfId="38810" xr:uid="{00000000-0005-0000-0000-0000A2B40000}"/>
    <cellStyle name="TotRow - Style8 3 5" xfId="38811" xr:uid="{00000000-0005-0000-0000-0000A3B40000}"/>
    <cellStyle name="TotRow - Style8 3 5 2" xfId="38812" xr:uid="{00000000-0005-0000-0000-0000A4B40000}"/>
    <cellStyle name="TotRow - Style8 3 5 3" xfId="38813" xr:uid="{00000000-0005-0000-0000-0000A5B40000}"/>
    <cellStyle name="TotRow - Style8 3 6" xfId="38814" xr:uid="{00000000-0005-0000-0000-0000A6B40000}"/>
    <cellStyle name="TotRow - Style8 3 6 2" xfId="38815" xr:uid="{00000000-0005-0000-0000-0000A7B40000}"/>
    <cellStyle name="TotRow - Style8 3 6 3" xfId="38816" xr:uid="{00000000-0005-0000-0000-0000A8B40000}"/>
    <cellStyle name="TotRow - Style8 3 7" xfId="38817" xr:uid="{00000000-0005-0000-0000-0000A9B40000}"/>
    <cellStyle name="TotRow - Style8 3 7 2" xfId="38818" xr:uid="{00000000-0005-0000-0000-0000AAB40000}"/>
    <cellStyle name="TotRow - Style8 3 7 3" xfId="38819" xr:uid="{00000000-0005-0000-0000-0000ABB40000}"/>
    <cellStyle name="TotRow - Style8 3 8" xfId="44785" xr:uid="{00000000-0005-0000-0000-0000ACB40000}"/>
    <cellStyle name="TotRow - Style8 4" xfId="38820" xr:uid="{00000000-0005-0000-0000-0000ADB40000}"/>
    <cellStyle name="TotRow - Style8 4 2" xfId="38821" xr:uid="{00000000-0005-0000-0000-0000AEB40000}"/>
    <cellStyle name="TotRow - Style8 4 2 2" xfId="38822" xr:uid="{00000000-0005-0000-0000-0000AFB40000}"/>
    <cellStyle name="TotRow - Style8 4 2 3" xfId="38823" xr:uid="{00000000-0005-0000-0000-0000B0B40000}"/>
    <cellStyle name="TotRow - Style8 4 3" xfId="38824" xr:uid="{00000000-0005-0000-0000-0000B1B40000}"/>
    <cellStyle name="TotRow - Style8 4 3 2" xfId="38825" xr:uid="{00000000-0005-0000-0000-0000B2B40000}"/>
    <cellStyle name="TotRow - Style8 4 3 3" xfId="38826" xr:uid="{00000000-0005-0000-0000-0000B3B40000}"/>
    <cellStyle name="TotRow - Style8 4 4" xfId="38827" xr:uid="{00000000-0005-0000-0000-0000B4B40000}"/>
    <cellStyle name="TotRow - Style8 4 4 2" xfId="38828" xr:uid="{00000000-0005-0000-0000-0000B5B40000}"/>
    <cellStyle name="TotRow - Style8 4 4 3" xfId="38829" xr:uid="{00000000-0005-0000-0000-0000B6B40000}"/>
    <cellStyle name="TotRow - Style8 4 5" xfId="38830" xr:uid="{00000000-0005-0000-0000-0000B7B40000}"/>
    <cellStyle name="TotRow - Style8 4 5 2" xfId="38831" xr:uid="{00000000-0005-0000-0000-0000B8B40000}"/>
    <cellStyle name="TotRow - Style8 4 5 3" xfId="38832" xr:uid="{00000000-0005-0000-0000-0000B9B40000}"/>
    <cellStyle name="TotRow - Style8 4 6" xfId="38833" xr:uid="{00000000-0005-0000-0000-0000BAB40000}"/>
    <cellStyle name="TotRow - Style8 4 6 2" xfId="38834" xr:uid="{00000000-0005-0000-0000-0000BBB40000}"/>
    <cellStyle name="TotRow - Style8 4 6 3" xfId="38835" xr:uid="{00000000-0005-0000-0000-0000BCB40000}"/>
    <cellStyle name="TotRow - Style8 4 7" xfId="38836" xr:uid="{00000000-0005-0000-0000-0000BDB40000}"/>
    <cellStyle name="TotRow - Style8 4 7 2" xfId="38837" xr:uid="{00000000-0005-0000-0000-0000BEB40000}"/>
    <cellStyle name="TotRow - Style8 4 7 3" xfId="38838" xr:uid="{00000000-0005-0000-0000-0000BFB40000}"/>
    <cellStyle name="TotRow - Style8 4 8" xfId="44786" xr:uid="{00000000-0005-0000-0000-0000C0B40000}"/>
    <cellStyle name="TotRow - Style8 5" xfId="38839" xr:uid="{00000000-0005-0000-0000-0000C1B40000}"/>
    <cellStyle name="TotRow - Style8 5 2" xfId="38840" xr:uid="{00000000-0005-0000-0000-0000C2B40000}"/>
    <cellStyle name="TotRow - Style8 5 2 2" xfId="38841" xr:uid="{00000000-0005-0000-0000-0000C3B40000}"/>
    <cellStyle name="TotRow - Style8 5 2 3" xfId="38842" xr:uid="{00000000-0005-0000-0000-0000C4B40000}"/>
    <cellStyle name="TotRow - Style8 5 3" xfId="38843" xr:uid="{00000000-0005-0000-0000-0000C5B40000}"/>
    <cellStyle name="TotRow - Style8 5 3 2" xfId="38844" xr:uid="{00000000-0005-0000-0000-0000C6B40000}"/>
    <cellStyle name="TotRow - Style8 5 3 3" xfId="38845" xr:uid="{00000000-0005-0000-0000-0000C7B40000}"/>
    <cellStyle name="TotRow - Style8 5 4" xfId="38846" xr:uid="{00000000-0005-0000-0000-0000C8B40000}"/>
    <cellStyle name="TotRow - Style8 5 4 2" xfId="38847" xr:uid="{00000000-0005-0000-0000-0000C9B40000}"/>
    <cellStyle name="TotRow - Style8 5 4 3" xfId="38848" xr:uid="{00000000-0005-0000-0000-0000CAB40000}"/>
    <cellStyle name="TotRow - Style8 5 5" xfId="38849" xr:uid="{00000000-0005-0000-0000-0000CBB40000}"/>
    <cellStyle name="TotRow - Style8 5 5 2" xfId="38850" xr:uid="{00000000-0005-0000-0000-0000CCB40000}"/>
    <cellStyle name="TotRow - Style8 5 5 3" xfId="38851" xr:uid="{00000000-0005-0000-0000-0000CDB40000}"/>
    <cellStyle name="TotRow - Style8 5 6" xfId="38852" xr:uid="{00000000-0005-0000-0000-0000CEB40000}"/>
    <cellStyle name="TotRow - Style8 5 6 2" xfId="38853" xr:uid="{00000000-0005-0000-0000-0000CFB40000}"/>
    <cellStyle name="TotRow - Style8 5 6 3" xfId="38854" xr:uid="{00000000-0005-0000-0000-0000D0B40000}"/>
    <cellStyle name="TotRow - Style8 5 7" xfId="38855" xr:uid="{00000000-0005-0000-0000-0000D1B40000}"/>
    <cellStyle name="TotRow - Style8 5 7 2" xfId="38856" xr:uid="{00000000-0005-0000-0000-0000D2B40000}"/>
    <cellStyle name="TotRow - Style8 5 7 3" xfId="38857" xr:uid="{00000000-0005-0000-0000-0000D3B40000}"/>
    <cellStyle name="TotRow - Style8 5 8" xfId="44787" xr:uid="{00000000-0005-0000-0000-0000D4B40000}"/>
    <cellStyle name="TotRow - Style8 6" xfId="38858" xr:uid="{00000000-0005-0000-0000-0000D5B40000}"/>
    <cellStyle name="TotRow - Style8 6 2" xfId="38859" xr:uid="{00000000-0005-0000-0000-0000D6B40000}"/>
    <cellStyle name="TotRow - Style8 7" xfId="38860" xr:uid="{00000000-0005-0000-0000-0000D7B40000}"/>
    <cellStyle name="TotRow - Style8 7 2" xfId="38861" xr:uid="{00000000-0005-0000-0000-0000D8B40000}"/>
    <cellStyle name="TotRow - Style8 7 3" xfId="38862" xr:uid="{00000000-0005-0000-0000-0000D9B40000}"/>
    <cellStyle name="TotRow - Style8 8" xfId="38863" xr:uid="{00000000-0005-0000-0000-0000DAB40000}"/>
    <cellStyle name="TotRow - Style8 8 2" xfId="38864" xr:uid="{00000000-0005-0000-0000-0000DBB40000}"/>
    <cellStyle name="TotRow - Style8 8 3" xfId="38865" xr:uid="{00000000-0005-0000-0000-0000DCB40000}"/>
    <cellStyle name="TotRow - Style8 9" xfId="38866" xr:uid="{00000000-0005-0000-0000-0000DDB40000}"/>
    <cellStyle name="TotRow - Style8 9 2" xfId="38867" xr:uid="{00000000-0005-0000-0000-0000DEB40000}"/>
    <cellStyle name="TotRow - Style8 9 3" xfId="38868" xr:uid="{00000000-0005-0000-0000-0000DFB40000}"/>
    <cellStyle name="Transcript_Date" xfId="616" xr:uid="{00000000-0005-0000-0000-0000E0B40000}"/>
    <cellStyle name="Warning Text 2" xfId="617" xr:uid="{00000000-0005-0000-0000-0000E1B40000}"/>
    <cellStyle name="Warning Text 2 2" xfId="42440" xr:uid="{00000000-0005-0000-0000-0000E2B40000}"/>
    <cellStyle name="Warning Text 2 3" xfId="42441" xr:uid="{00000000-0005-0000-0000-0000E3B40000}"/>
    <cellStyle name="Warning Text 2 4" xfId="42442" xr:uid="{00000000-0005-0000-0000-0000E4B40000}"/>
    <cellStyle name="Warning Text 3" xfId="618" xr:uid="{00000000-0005-0000-0000-0000E5B40000}"/>
    <cellStyle name="Warning Text 3 2" xfId="42443" xr:uid="{00000000-0005-0000-0000-0000E6B40000}"/>
    <cellStyle name="Warning Text 3 3" xfId="42444" xr:uid="{00000000-0005-0000-0000-0000E7B40000}"/>
    <cellStyle name="Warning Text 3 4" xfId="42445" xr:uid="{00000000-0005-0000-0000-0000E8B40000}"/>
    <cellStyle name="Warning Text 4" xfId="2347" xr:uid="{00000000-0005-0000-0000-0000E9B40000}"/>
    <cellStyle name="Warning Text 4 2" xfId="42446" xr:uid="{00000000-0005-0000-0000-0000EAB40000}"/>
    <cellStyle name="Warning Text 5" xfId="38869" xr:uid="{00000000-0005-0000-0000-0000EBB40000}"/>
    <cellStyle name="Warning Text 6" xfId="42447" xr:uid="{00000000-0005-0000-0000-0000ECB40000}"/>
    <cellStyle name="WM_STANDARD" xfId="619" xr:uid="{00000000-0005-0000-0000-0000EDB40000}"/>
  </cellStyles>
  <dxfs count="25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0" formatCode="General"/>
    </dxf>
    <dxf>
      <numFmt numFmtId="0" formatCode="Genera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numFmt numFmtId="35" formatCode="_(* #,##0.00_);_(* \(#,##0.00\);_(* &quot;-&quot;??_);_(@_)"/>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border>
        <right style="thick">
          <color rgb="FFFF0000"/>
        </right>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numFmt numFmtId="35" formatCode="_(* #,##0.00_);_(* \(#,##0.00\);_(* &quot;-&quot;??_);_(@_)"/>
    </dxf>
    <dxf>
      <numFmt numFmtId="35" formatCode="_(* #,##0.00_);_(* \(#,##0.00\);_(* &quot;-&quot;??_);_(@_)"/>
    </dxf>
    <dxf>
      <numFmt numFmtId="35" formatCode="_(* #,##0.00_);_(* \(#,##0.00\);_(* &quot;-&quot;??_);_(@_)"/>
    </dxf>
    <dxf>
      <border>
        <left/>
        <right/>
        <top/>
        <bottom/>
      </border>
    </dxf>
    <dxf>
      <border>
        <left/>
        <right/>
        <top/>
        <bottom/>
      </border>
    </dxf>
    <dxf>
      <border>
        <left/>
        <right/>
        <top/>
        <bottom/>
      </border>
    </dxf>
    <dxf>
      <border>
        <left/>
        <right/>
        <top/>
        <bottom/>
      </border>
    </dxf>
    <dxf>
      <border>
        <left/>
        <right/>
        <top/>
        <bottom/>
      </border>
    </dxf>
    <dxf>
      <border>
        <left/>
        <right/>
        <top/>
        <bottom/>
      </border>
    </dxf>
    <dxf>
      <numFmt numFmtId="35" formatCode="_(* #,##0.00_);_(* \(#,##0.00\);_(* &quot;-&quot;??_);_(@_)"/>
    </dxf>
    <dxf>
      <numFmt numFmtId="35" formatCode="_(* #,##0.00_);_(* \(#,##0.00\);_(* &quot;-&quot;??_);_(@_)"/>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border>
        <left style="thick">
          <color rgb="FFFF0000"/>
        </left>
        <right style="thick">
          <color rgb="FFFF0000"/>
        </right>
        <top style="thick">
          <color rgb="FFFF0000"/>
        </top>
        <bottom style="thick">
          <color rgb="FFFF0000"/>
        </bottom>
      </border>
    </dxf>
    <dxf>
      <numFmt numFmtId="35" formatCode="_(* #,##0.00_);_(* \(#,##0.0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color rgb="FF0000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pivotCacheDefinition" Target="pivotCache/pivotCacheDefinition5.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pivotCacheDefinition" Target="pivotCache/pivotCacheDefinition6.xml"/><Relationship Id="rId118" Type="http://schemas.openxmlformats.org/officeDocument/2006/relationships/sharedStrings" Target="sharedStrings.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pivotCacheDefinition" Target="pivotCache/pivotCacheDefinition1.xml"/><Relationship Id="rId124" Type="http://schemas.openxmlformats.org/officeDocument/2006/relationships/customXml" Target="../customXml/item4.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pivotCacheDefinition" Target="pivotCache/pivotCacheDefinition7.xml"/><Relationship Id="rId119" Type="http://schemas.openxmlformats.org/officeDocument/2006/relationships/sheetMetadata" Target="metadata.xml"/><Relationship Id="rId44" Type="http://schemas.openxmlformats.org/officeDocument/2006/relationships/externalLink" Target="externalLinks/externalLink13.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pivotCacheDefinition" Target="pivotCache/pivotCacheDefinition2.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pivotCacheDefinition" Target="pivotCache/pivotCacheDefinition3.xml"/><Relationship Id="rId115" Type="http://schemas.openxmlformats.org/officeDocument/2006/relationships/pivotCacheDefinition" Target="pivotCache/pivotCacheDefinition8.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pivotCacheDefinition" Target="pivotCache/pivotCacheDefinition4.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85726</xdr:colOff>
      <xdr:row>0</xdr:row>
      <xdr:rowOff>85724</xdr:rowOff>
    </xdr:from>
    <xdr:to>
      <xdr:col>14</xdr:col>
      <xdr:colOff>219076</xdr:colOff>
      <xdr:row>9</xdr:row>
      <xdr:rowOff>133350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133726" y="85724"/>
          <a:ext cx="5619750" cy="1504951"/>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Note:  </a:t>
          </a:r>
          <a:r>
            <a:rPr lang="en-US" sz="1100" b="0">
              <a:solidFill>
                <a:schemeClr val="dk1"/>
              </a:solidFill>
              <a:effectLst/>
              <a:latin typeface="+mn-lt"/>
              <a:ea typeface="+mn-ea"/>
              <a:cs typeface="+mn-cs"/>
            </a:rPr>
            <a:t>We adjusted</a:t>
          </a:r>
          <a:r>
            <a:rPr lang="en-US" sz="1100" b="0" baseline="0">
              <a:solidFill>
                <a:schemeClr val="dk1"/>
              </a:solidFill>
              <a:effectLst/>
              <a:latin typeface="+mn-lt"/>
              <a:ea typeface="+mn-ea"/>
              <a:cs typeface="+mn-cs"/>
            </a:rPr>
            <a:t> our payroll schedule approach to align with Staff's approach on previous filings.  We ran the most recent payroll report to obtain employees current wage per hour (column E).  We then obtained a payroll report for the test period and determined the number of regular hours (including vacation, PTO &amp; holiday) and the number of overtime hours.  This information was used to determine the restated test period total pay (test period hours times current hourly rate) (Column M).  Next we multiplied the pay by the wage increase that the employee will receive in the rate year (2022) to determine forward looking wages to be included in rates beginning 8/1/2022.</a:t>
          </a:r>
          <a:endParaRPr lang="en-US" sz="1000">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959489" name="DataCompleted" hidden="1">
              <a:extLst>
                <a:ext uri="{63B3BB69-23CF-44E3-9099-C40C66FF867C}">
                  <a14:compatExt spid="_x0000_s959489"/>
                </a:ext>
                <a:ext uri="{FF2B5EF4-FFF2-40B4-BE49-F238E27FC236}">
                  <a16:creationId xmlns:a16="http://schemas.microsoft.com/office/drawing/2014/main" id="{00000000-0008-0000-1000-000001A40E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960513" name="DataCompleted" hidden="1">
              <a:extLst>
                <a:ext uri="{63B3BB69-23CF-44E3-9099-C40C66FF867C}">
                  <a14:compatExt spid="_x0000_s960513"/>
                </a:ext>
                <a:ext uri="{FF2B5EF4-FFF2-40B4-BE49-F238E27FC236}">
                  <a16:creationId xmlns:a16="http://schemas.microsoft.com/office/drawing/2014/main" id="{00000000-0008-0000-1100-000001A80E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961537" name="DataCompleted" hidden="1">
              <a:extLst>
                <a:ext uri="{63B3BB69-23CF-44E3-9099-C40C66FF867C}">
                  <a14:compatExt spid="_x0000_s961537"/>
                </a:ext>
                <a:ext uri="{FF2B5EF4-FFF2-40B4-BE49-F238E27FC236}">
                  <a16:creationId xmlns:a16="http://schemas.microsoft.com/office/drawing/2014/main" id="{00000000-0008-0000-1200-000001AC0E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1145857" name="DataCompleted" hidden="1">
              <a:extLst>
                <a:ext uri="{63B3BB69-23CF-44E3-9099-C40C66FF867C}">
                  <a14:compatExt spid="_x0000_s1145857"/>
                </a:ext>
                <a:ext uri="{FF2B5EF4-FFF2-40B4-BE49-F238E27FC236}">
                  <a16:creationId xmlns:a16="http://schemas.microsoft.com/office/drawing/2014/main" id="{00000000-0008-0000-1300-0000017C1100}"/>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6</xdr:col>
      <xdr:colOff>277348</xdr:colOff>
      <xdr:row>90</xdr:row>
      <xdr:rowOff>134410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9801225"/>
          <a:ext cx="8049748" cy="7592485"/>
        </a:xfrm>
        <a:prstGeom prst="rect">
          <a:avLst/>
        </a:prstGeom>
      </xdr:spPr>
    </xdr:pic>
    <xdr:clientData/>
  </xdr:twoCellAnchor>
  <xdr:twoCellAnchor editAs="oneCell">
    <xdr:from>
      <xdr:col>0</xdr:col>
      <xdr:colOff>0</xdr:colOff>
      <xdr:row>1</xdr:row>
      <xdr:rowOff>0</xdr:rowOff>
    </xdr:from>
    <xdr:to>
      <xdr:col>6</xdr:col>
      <xdr:colOff>9525</xdr:colOff>
      <xdr:row>49</xdr:row>
      <xdr:rowOff>171420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190500"/>
          <a:ext cx="7781925" cy="9429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estfile01\Distshares\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LeMay\2183-1%20Pacific%20Disp,%20Butlers%20Cove\Filing%20Possibly%202012\Filing\Audit\Final%20Outcome%208-14-2012\Pro%20Forma%20Pacific%20Disposal_Sta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estern%20Region\WUTC\WIP%20Files\2149%20Mason%20County\2014\Mason%20Budget%20Look%209-30-204\Staff%20final%20Mason%20Proforma%20Linked%203-13-2013%20%20-%20Budget%20Look%209-30-2014IR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estfile01\Distshares\Mason\Rate%20Increase%201-1-2013\1%20Filing%2011-14-2012\Revised%202-21-2013\staff%20Mason%20Proforma%209-30-2012-Linked%20Cust%20Count%20Fix%2012-2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Mason\Rate%20Increase%201-1-2013\1%20Filing%2011-14-2012\Revised%202-21-2013\staff%20Mason%20Proforma%209-30-2012-Linked%20Cust%20Count%20Fix%2012-2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Western%20Region\ControllerDir\JoeW\My%20Local%20Documents\OPF\Rate%20Reviews\2010\Clackamas%20County\Clackamas%20DCR%20WCI%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c_opf_joew\JoeW%20C%20Drive\Documents%20and%20Settings\joew\My%20Documents\OPF\Rate%20Reviews\2001\Gresham\Arrow\Gresham%202001%20DCR%202nd%20submi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estfile01\Distshares\Western%20Region\WUTC\WUTC-Columbia%202025\General%20Filing%204-15-2016\Filed%204-15-16\CRD%20Pro%20forma%203-31-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General%20Filings/12.31.2018%20Rate%20Review/Disposal%201.2018%20thru%2012.201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estfile01\Distshares\Western%20Region\ControllerDir\Brent_Blair_Kortney\PO%20Report%20by%20Division\PO%20Report_v3b%202013-08-26.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Western%20Region\ControllerDir\Brent_Blair_Kortney\PO%20Report%20by%20Division\PO%20Report_v3b%202013-08-26.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estfile01\DistShares\Vashon\Rate%20Incr%201-1-2012\Vashon%20Pro%20Form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Western%20Region\WUTC\WIP%20Files\2195%20Yakima\General%20Rate%20Filings\2017%20Rate%20Filing\.Yakima%20Waste%20Pro%20forma%20YE%206.3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Misc%20Analsysis%20Non-Filing\Pro%20froma%208.31.2013%20for%20Budgets\Consolidated%20Pro%20forma%20Year%20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Western%20Region/WUTC/WIP%20Files/LeMay%20Companies/2018/Budget%20Pro%20formas/PCR%20Pro%20Forma%207.31.18/PCR%20Pro%20froma%207-31-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estern%20Region/ControllerDir/JoeW/My%20Local%20Documents/OPF/Rate%20Reviews/2016/2016%20OPF%20Master%20DCR%20V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General%20Filings/3.31.22%20Rate%20Review/.Clark%20Co%20Proforma%20YE%203.31.2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estfile01\Distshares\Western%20Region\WUTC\WUTC-Murrey%20%202111\General%20Rate%20Filings\Rate%20Filing%201-1-2019\Fuel%20Stat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12.31.2010%20Test%20Year\Proforma%20Clark%20County%20101231%20Filing-Draft-FINAL%20VER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estfile01\Distshares\Western%20Region\WUTC\WIP%20Files\2010%20Clark%20County-%202009%20Vancouver\12.31.2010%20Test%20Year\Proforma%20Clark%20County%20101231%20Filing-Draft-FINAL%20VER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estfile01\Distshares\Annual%20Reports\2180%20LeMay\2009\LeMay%20Annual%20Report%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estern%20Region\WUTC\WIP%20Files\LeMay%20Companies\2014\Annual%20Report\District%20Schedules\North%20LeMay\N%20LeMay%20Annual%20Report%202013%20-%20with%20Heather's%20No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SRC%20Reports\SRC%20Format\Bonus%20Schedule\PNWR%20SRC%20Bonus%20Schedule%20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ww.utc.wa.gov/regulatedIndustries/transportation/TransportationDocuments/SolidWaste-NonPublic%20LG%202018%20V5.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Users\nealjohnson\Downloads\SolidWaste-NonPublic%20LG%202018%20V5.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Users\heatherg\AppData\Local\Microsoft\Windows\Temporary%20Internet%20Files\Content.Outlook\XS11RNOC\SolidWaste-NonPublic%20LG%202018%20V5.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estfile01\DistShares\LeMay\Master%20Truck%20Schedule\South_LeMay%20Master%20Truck%20Schedule-Shar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leffler\AppData\Local\Interject\FileCache\Budget%20Capital%20Input%20v2.18.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estfile01\Distshares\SRC%20Reports\SRC%20Format\Bonus%20Schedule\PNWR%20SRC%20Bonus%20Schedule%2020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estern%20Region/WUTC/WUTC-LeMay/General%20Rate%20Filing/Lewis%20Filed%207-16-2020/Audit/FINAL/Revised%20STAFF%20.Lewis%20GRC%20Pro%20forma%2005.31.2020%20(C)%20v2%20-%20FINAL%208.13.202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estfile01\Distshares\Western%20Region\WUTC\WIP%20Files\2112%20Olympic%20Disposal\Misc%20Analysis\2017%20PA%20Transfer%20Analysis\Master%20DCR%20Olympic%2016123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Western%20Region/WUTC/WIP%20Files/2112%20Olympic%20Disposal/Misc%20Analysis/2018%20Budget%20Pro%20forma/Olympic%20Pro%20forma%2018073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estfile01\DistShares\Western%20Region\WUTC\WIP%20Files\2149%20Mason%20County\2021\General%20Rate%20Filing\.Mason%20Pro%20forma11.30.2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Western%20Region/WUTC/WIP%20Files/2149%20Mason%20County/2021/General%20Rate%20Filing/.Mason%20Pro%20forma11.30.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Yakima%20Price%20Out%200421-0322.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Time%20Study-Mark%20Complete%20-%206.9.2022.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Work%20Order%20Report%20Pivot%20-%20for%20RO%20Hr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Payroll/4.1.21%20-%203.31.22%20Yakima%20Payroll%20Detail.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2195%20Yakima/Depreciation/2022/Yakima%20Depreciation%203.31.2022%20with%20F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3%20&amp;%205%20Year%20Insuranc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JE%20Queries%20202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6.15.2022%20General%20Rate%20Filing/JE%20Queries%202022-%20From%20Distric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est-file01\DistShare$\2000%20Western%20Region%20Office\ControllerDir\WRO%20Controllers\RegionOffice_Files\Compensation\FY%202021%20Compensation%20Entry\KJ_Pay_Calculation_Results_-_Earning_Register_by_EE_and_Period_-8.2.2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General/Region%20Customer%20Counts/2021%20Customer%20Coun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General/Region%20Customer%20Counts/2022%20Customer%20Count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stfile01\DistShares\Western%20Region\WUTC\WIP%20Files\General\Corp%20Statements\2022\Corp%20OH%203.31.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Vashon\Rate%20Incr%201-1-2013\ProForma%20Pacific%20Disposal_Staff%20Final%20outcome%208-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49 IS"/>
      <sheetName val="Tariff Rate Sheet"/>
      <sheetName val="Class A IS"/>
      <sheetName val="2149 BS"/>
      <sheetName val="9-30-11 BS"/>
      <sheetName val="Consolidated IS"/>
      <sheetName val="Restating Expl"/>
      <sheetName val="Pro forma Adj"/>
      <sheetName val="LG-Combined"/>
      <sheetName val="Ratios"/>
      <sheetName val="Restating Adj"/>
      <sheetName val="Pro-forma"/>
      <sheetName val="LG-Pckr,RO"/>
      <sheetName val="LG-Recycl"/>
      <sheetName val="Price Out"/>
      <sheetName val="Rate Sheet"/>
      <sheetName val="Pckr, RO, Matrix"/>
      <sheetName val="COS Packer,RO "/>
      <sheetName val="Recycl Matrix"/>
      <sheetName val="COS Recycle"/>
      <sheetName val="Legal Exp"/>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2012 Capital Structure"/>
      <sheetName val="Corp Debt Equity"/>
      <sheetName val="Balance Sheet"/>
      <sheetName val="P&amp;L"/>
      <sheetName val="70195 JE-WRRA Dues"/>
      <sheetName val="Non-Reg Price Out"/>
      <sheetName val="56095 JE"/>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sheetData sheetId="1">
        <row r="107">
          <cell r="L107">
            <v>1716509.2252988855</v>
          </cell>
        </row>
        <row r="214">
          <cell r="L214">
            <v>834355.80752853106</v>
          </cell>
        </row>
        <row r="278">
          <cell r="L278">
            <v>843458.81563034293</v>
          </cell>
        </row>
      </sheetData>
      <sheetData sheetId="2"/>
      <sheetData sheetId="3">
        <row r="28">
          <cell r="AC28">
            <v>280405.81</v>
          </cell>
        </row>
      </sheetData>
      <sheetData sheetId="4">
        <row r="27">
          <cell r="G27">
            <v>249369.96</v>
          </cell>
        </row>
      </sheetData>
      <sheetData sheetId="5"/>
      <sheetData sheetId="6"/>
      <sheetData sheetId="7"/>
      <sheetData sheetId="8"/>
      <sheetData sheetId="9"/>
      <sheetData sheetId="10">
        <row r="25">
          <cell r="Q25">
            <v>-4761.58</v>
          </cell>
        </row>
      </sheetData>
      <sheetData sheetId="11"/>
      <sheetData sheetId="12"/>
      <sheetData sheetId="13"/>
      <sheetData sheetId="14">
        <row r="298">
          <cell r="Q298">
            <v>451760.15</v>
          </cell>
        </row>
      </sheetData>
      <sheetData sheetId="15"/>
      <sheetData sheetId="16"/>
      <sheetData sheetId="17"/>
      <sheetData sheetId="18"/>
      <sheetData sheetId="19">
        <row r="10">
          <cell r="B10">
            <v>51.715631364562121</v>
          </cell>
        </row>
      </sheetData>
      <sheetData sheetId="20">
        <row r="7">
          <cell r="C7">
            <v>4357.9799999999996</v>
          </cell>
        </row>
      </sheetData>
      <sheetData sheetId="21"/>
      <sheetData sheetId="22">
        <row r="9">
          <cell r="N9">
            <v>4662.59</v>
          </cell>
        </row>
      </sheetData>
      <sheetData sheetId="23">
        <row r="26">
          <cell r="B26">
            <v>-224.59174846928363</v>
          </cell>
        </row>
      </sheetData>
      <sheetData sheetId="24"/>
      <sheetData sheetId="25">
        <row r="11">
          <cell r="E11">
            <v>3482.9279999999999</v>
          </cell>
        </row>
      </sheetData>
      <sheetData sheetId="26"/>
      <sheetData sheetId="27">
        <row r="10">
          <cell r="B10">
            <v>8923.8229110791472</v>
          </cell>
        </row>
      </sheetData>
      <sheetData sheetId="28">
        <row r="8">
          <cell r="D8">
            <v>234.96687499999999</v>
          </cell>
        </row>
      </sheetData>
      <sheetData sheetId="29">
        <row r="23">
          <cell r="E23">
            <v>231889.68419999999</v>
          </cell>
          <cell r="L23">
            <v>2329.3388396454475</v>
          </cell>
        </row>
      </sheetData>
      <sheetData sheetId="30">
        <row r="31">
          <cell r="R31">
            <v>419.48505</v>
          </cell>
        </row>
      </sheetData>
      <sheetData sheetId="31">
        <row r="79">
          <cell r="G79">
            <v>3.1340790232937947E-2</v>
          </cell>
        </row>
      </sheetData>
      <sheetData sheetId="32"/>
      <sheetData sheetId="33">
        <row r="4">
          <cell r="B4">
            <v>4127702.4799999995</v>
          </cell>
        </row>
      </sheetData>
      <sheetData sheetId="34"/>
      <sheetData sheetId="35"/>
      <sheetData sheetId="36">
        <row r="41">
          <cell r="C41">
            <v>2254</v>
          </cell>
        </row>
      </sheetData>
      <sheetData sheetId="37">
        <row r="188">
          <cell r="A188">
            <v>1</v>
          </cell>
        </row>
      </sheetData>
      <sheetData sheetId="38">
        <row r="15">
          <cell r="C15">
            <v>728.11417232646193</v>
          </cell>
        </row>
      </sheetData>
      <sheetData sheetId="39">
        <row r="21">
          <cell r="H21">
            <v>2944.2864695784374</v>
          </cell>
        </row>
      </sheetData>
      <sheetData sheetId="40">
        <row r="43">
          <cell r="T43">
            <v>71.58</v>
          </cell>
        </row>
      </sheetData>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Inputs"/>
      <sheetName val="AllocationMethods"/>
      <sheetName val="Gen'l Info"/>
      <sheetName val="AccrualExpense"/>
      <sheetName val="AccrualRevenue"/>
      <sheetName val="TypeSUMM"/>
      <sheetName val="ServiceSUMM"/>
      <sheetName val="SUMM"/>
      <sheetName val="Rev Summary"/>
      <sheetName val="Dir_Costs"/>
      <sheetName val="G and A Costs"/>
      <sheetName val="Itemize"/>
      <sheetName val="Cust_Count1"/>
      <sheetName val="Cust_Count2"/>
      <sheetName val="DropBoxPullsbyType"/>
      <sheetName val="Rev_Breakdown"/>
      <sheetName val="Truck Hours"/>
      <sheetName val="NoDB_TkHr"/>
      <sheetName val="Labor Hours"/>
      <sheetName val="NoDB_LbrHr"/>
      <sheetName val="Container Breakdown"/>
      <sheetName val="Cart Breakdown"/>
      <sheetName val="Gross Yardage Worksheet"/>
      <sheetName val="RecycleContainerYds"/>
      <sheetName val="CartYardage"/>
      <sheetName val="TonnageAllocation"/>
      <sheetName val="ContainerTonsAllocation"/>
      <sheetName val="CanCartTonsAllocate"/>
      <sheetName val="TONWKSHT"/>
      <sheetName val="TONWKSHT_DropBox"/>
      <sheetName val="PrintInstructions"/>
      <sheetName val="grphResiCust"/>
      <sheetName val="grhpMFcancarts"/>
      <sheetName val="grphCMcancarts"/>
      <sheetName val="grphJuris1ResiCrt"/>
      <sheetName val="grphJuris2ResiCrt"/>
      <sheetName val="grphJuris3ResiCrt"/>
      <sheetName val="grphJuris4ResiCrt"/>
      <sheetName val="Juris5ResiCrt"/>
      <sheetName val="Juris1MFcancarts"/>
      <sheetName val="Juris2MFcancarts"/>
      <sheetName val="Juris3MFcancarts"/>
      <sheetName val="Juris4MFcancarts"/>
      <sheetName val="Juris5MFcancarts"/>
      <sheetName val="Juris1CMcarts"/>
      <sheetName val="Juris2CMcarts"/>
      <sheetName val="Juris3CMcarts"/>
      <sheetName val="Juris4CMcarts"/>
      <sheetName val="Juris5CMcarts"/>
      <sheetName val="grphCollect_TkHr"/>
      <sheetName val="grphRecycleRevPerCust"/>
      <sheetName val="grphDirCst per TkHr"/>
      <sheetName val="grphCompareDirCostPerTrkHr "/>
      <sheetName val="grphG_A CostperTkHr"/>
      <sheetName val="grphDBxDirCst per Pull"/>
      <sheetName val="grphDBxTkHrs per Pull"/>
      <sheetName val="grphLbr Csts per TkHr"/>
      <sheetName val="Grph AdminSal per TkHr"/>
      <sheetName val="Program data"/>
      <sheetName val="Census Data"/>
      <sheetName val="Financial Data"/>
    </sheetNames>
    <sheetDataSet>
      <sheetData sheetId="0">
        <row r="3">
          <cell r="C3">
            <v>2010</v>
          </cell>
        </row>
        <row r="4">
          <cell r="C4" t="str">
            <v>Clackamas County</v>
          </cell>
        </row>
        <row r="5">
          <cell r="C5" t="str">
            <v>Arrow</v>
          </cell>
        </row>
        <row r="6">
          <cell r="C6" t="str">
            <v>American</v>
          </cell>
        </row>
        <row r="7">
          <cell r="C7" t="str">
            <v>Other</v>
          </cell>
        </row>
        <row r="8">
          <cell r="C8" t="str">
            <v>Other</v>
          </cell>
        </row>
      </sheetData>
      <sheetData sheetId="1"/>
      <sheetData sheetId="2"/>
      <sheetData sheetId="3"/>
      <sheetData sheetId="4"/>
      <sheetData sheetId="5"/>
      <sheetData sheetId="6"/>
      <sheetData sheetId="7"/>
      <sheetData sheetId="8"/>
      <sheetData sheetId="9"/>
      <sheetData sheetId="10"/>
      <sheetData sheetId="11"/>
      <sheetData sheetId="12">
        <row r="7">
          <cell r="C7">
            <v>155</v>
          </cell>
        </row>
        <row r="30">
          <cell r="C30">
            <v>459.2632034958001</v>
          </cell>
          <cell r="D30">
            <v>1119.4009262496004</v>
          </cell>
          <cell r="E30">
            <v>16017.642352085402</v>
          </cell>
          <cell r="F30">
            <v>0</v>
          </cell>
          <cell r="G30">
            <v>0</v>
          </cell>
        </row>
        <row r="60">
          <cell r="C60" t="e">
            <v>#REF!</v>
          </cell>
          <cell r="D60" t="e">
            <v>#REF!</v>
          </cell>
          <cell r="E60" t="e">
            <v>#REF!</v>
          </cell>
          <cell r="F60" t="e">
            <v>#REF!</v>
          </cell>
          <cell r="G60" t="e">
            <v>#REF!</v>
          </cell>
        </row>
      </sheetData>
      <sheetData sheetId="13">
        <row r="15">
          <cell r="E15">
            <v>3586.96</v>
          </cell>
        </row>
        <row r="28">
          <cell r="E28">
            <v>5</v>
          </cell>
          <cell r="F28">
            <v>2</v>
          </cell>
          <cell r="G28">
            <v>2125.58</v>
          </cell>
        </row>
        <row r="39">
          <cell r="E39">
            <v>0.02</v>
          </cell>
          <cell r="F39">
            <v>0.05</v>
          </cell>
          <cell r="G39">
            <v>0.93</v>
          </cell>
          <cell r="H39">
            <v>0</v>
          </cell>
          <cell r="I39">
            <v>0</v>
          </cell>
        </row>
      </sheetData>
      <sheetData sheetId="14"/>
      <sheetData sheetId="15"/>
      <sheetData sheetId="16"/>
      <sheetData sheetId="17"/>
      <sheetData sheetId="18"/>
      <sheetData sheetId="19"/>
      <sheetData sheetId="20"/>
      <sheetData sheetId="21"/>
      <sheetData sheetId="22">
        <row r="16">
          <cell r="L16">
            <v>3586.96</v>
          </cell>
          <cell r="X16">
            <v>0</v>
          </cell>
        </row>
        <row r="33">
          <cell r="L33">
            <v>3476.46</v>
          </cell>
          <cell r="X33">
            <v>546</v>
          </cell>
        </row>
        <row r="51">
          <cell r="L51">
            <v>256944.47999999998</v>
          </cell>
          <cell r="X51">
            <v>126700.08</v>
          </cell>
        </row>
        <row r="68">
          <cell r="L68">
            <v>0</v>
          </cell>
          <cell r="X68">
            <v>0</v>
          </cell>
        </row>
        <row r="85">
          <cell r="L85">
            <v>0</v>
          </cell>
          <cell r="X85">
            <v>0</v>
          </cell>
        </row>
      </sheetData>
      <sheetData sheetId="23"/>
      <sheetData sheetId="24"/>
      <sheetData sheetId="25"/>
      <sheetData sheetId="26"/>
      <sheetData sheetId="27">
        <row r="3">
          <cell r="E3">
            <v>0</v>
          </cell>
        </row>
      </sheetData>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venue"/>
      <sheetName val="Dir_Costs"/>
      <sheetName val="G and A Costs"/>
      <sheetName val="Itemize"/>
      <sheetName val="Cust_Count1"/>
      <sheetName val="Cust_Count2"/>
      <sheetName val="DropBoxPullsbyType "/>
      <sheetName val="Rev_Breakdown"/>
      <sheetName val="TruckHours"/>
      <sheetName val="NoDB_TkHr"/>
      <sheetName val="LaborHours"/>
      <sheetName val="NoDB_LbrHr"/>
      <sheetName val="Container Breakdown"/>
      <sheetName val="Cart Breakdown"/>
      <sheetName val="Gross Yardage Worksheet"/>
      <sheetName val="Tonnage Allocation "/>
      <sheetName val="TONWKSHT"/>
      <sheetName val="TONWKSHT_DropBox"/>
      <sheetName val="PoundsPerReceptacle"/>
      <sheetName val="PrintInstructions"/>
    </sheetNames>
    <sheetDataSet>
      <sheetData sheetId="0"/>
      <sheetData sheetId="1"/>
      <sheetData sheetId="2"/>
      <sheetData sheetId="3"/>
      <sheetData sheetId="4"/>
      <sheetData sheetId="5" refreshError="1">
        <row r="28">
          <cell r="M28">
            <v>403.64620554239997</v>
          </cell>
          <cell r="N28">
            <v>4560.3873359231993</v>
          </cell>
          <cell r="O28" t="e">
            <v>#REF!</v>
          </cell>
        </row>
      </sheetData>
      <sheetData sheetId="6"/>
      <sheetData sheetId="7"/>
      <sheetData sheetId="8"/>
      <sheetData sheetId="9"/>
      <sheetData sheetId="10"/>
      <sheetData sheetId="11"/>
      <sheetData sheetId="12"/>
      <sheetData sheetId="13"/>
      <sheetData sheetId="14"/>
      <sheetData sheetId="15" refreshError="1">
        <row r="16">
          <cell r="L16">
            <v>7280</v>
          </cell>
        </row>
        <row r="31">
          <cell r="L31">
            <v>3848</v>
          </cell>
        </row>
        <row r="49">
          <cell r="L49">
            <v>249236</v>
          </cell>
        </row>
        <row r="64">
          <cell r="L64">
            <v>0</v>
          </cell>
        </row>
        <row r="82">
          <cell r="L82">
            <v>0</v>
          </cell>
        </row>
        <row r="98">
          <cell r="L98">
            <v>0</v>
          </cell>
        </row>
        <row r="101">
          <cell r="N101">
            <v>260364</v>
          </cell>
        </row>
      </sheetData>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Query"/>
      <sheetName val="JE Lookup"/>
      <sheetName val="Waste Works Breakdown"/>
      <sheetName val="WW Rpt Jan 2018 to Dec 2018"/>
      <sheetName val="WW All RO 2018"/>
      <sheetName val="WW RO - Garbage Only 2018"/>
      <sheetName val="WW RO Food Waste 2018"/>
      <sheetName val="WW RO Other 2018"/>
      <sheetName val="WW All Resi and Comm 2018"/>
      <sheetName val="WW MSW Only 2018"/>
      <sheetName val="WW MSW FW 2018"/>
      <sheetName val="WW Resi Comm Other 2018"/>
    </sheetNames>
    <sheetDataSet>
      <sheetData sheetId="0">
        <row r="6">
          <cell r="D6">
            <v>10000</v>
          </cell>
        </row>
        <row r="8">
          <cell r="J8" t="str">
            <v>2018-12</v>
          </cell>
        </row>
        <row r="12">
          <cell r="I12" t="str">
            <v>2018-01</v>
          </cell>
        </row>
        <row r="13">
          <cell r="I13" t="str">
            <v>2018-12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row r="5">
          <cell r="D5">
            <v>10.71</v>
          </cell>
        </row>
      </sheetData>
      <sheetData sheetId="4">
        <row r="6">
          <cell r="F6" t="str">
            <v>Time Series</v>
          </cell>
        </row>
      </sheetData>
      <sheetData sheetId="5">
        <row r="4">
          <cell r="B4" t="str">
            <v>P&amp;L Trend</v>
          </cell>
          <cell r="D4" t="str">
            <v>(no extension)</v>
          </cell>
          <cell r="AA4" t="str">
            <v>XLS</v>
          </cell>
        </row>
        <row r="5">
          <cell r="B5" t="str">
            <v>Ereports</v>
          </cell>
          <cell r="AA5" t="str">
            <v>XLS5</v>
          </cell>
        </row>
        <row r="6">
          <cell r="B6" t="str">
            <v>Ereports</v>
          </cell>
          <cell r="D6" t="str">
            <v>(XLS file format only)</v>
          </cell>
          <cell r="AA6" t="str">
            <v>CSV</v>
          </cell>
        </row>
        <row r="7">
          <cell r="AA7" t="str">
            <v>PRN</v>
          </cell>
        </row>
        <row r="8">
          <cell r="D8" t="str">
            <v>Source Tab Name:</v>
          </cell>
          <cell r="AA8" t="str">
            <v>WK1</v>
          </cell>
        </row>
        <row r="9">
          <cell r="B9" t="b">
            <v>1</v>
          </cell>
          <cell r="D9" t="str">
            <v>Target Tab Name:</v>
          </cell>
          <cell r="AA9" t="str">
            <v>WK4</v>
          </cell>
        </row>
        <row r="10">
          <cell r="B10" t="b">
            <v>0</v>
          </cell>
          <cell r="D10" t="str">
            <v>Retain Excel Formulas:</v>
          </cell>
          <cell r="AA10" t="str">
            <v>HTML</v>
          </cell>
        </row>
        <row r="11">
          <cell r="B11" t="b">
            <v>0</v>
          </cell>
          <cell r="D11" t="str">
            <v>Protect with Password:</v>
          </cell>
        </row>
        <row r="12">
          <cell r="D12" t="str">
            <v>Password:</v>
          </cell>
        </row>
        <row r="13">
          <cell r="D13" t="str">
            <v>Top Left Cell to Lock:</v>
          </cell>
        </row>
        <row r="14">
          <cell r="D14" t="str">
            <v>Bottom Right Cell to Lock:</v>
          </cell>
        </row>
        <row r="17">
          <cell r="D17" t="str">
            <v>Column with Delete Chars:</v>
          </cell>
        </row>
        <row r="18">
          <cell r="B18" t="str">
            <v>brentd@wcnx.org</v>
          </cell>
        </row>
        <row r="19">
          <cell r="B19" t="b">
            <v>1</v>
          </cell>
        </row>
        <row r="20">
          <cell r="B20" t="b">
            <v>0</v>
          </cell>
          <cell r="D20" t="str">
            <v>Columns to Delete:</v>
          </cell>
        </row>
        <row r="26">
          <cell r="B26" t="str">
            <v>C</v>
          </cell>
        </row>
        <row r="31">
          <cell r="D31" t="str">
            <v>Rows to Delete:</v>
          </cell>
        </row>
      </sheetData>
      <sheetData sheetId="6" refreshError="1"/>
      <sheetData sheetId="7">
        <row r="11">
          <cell r="D11">
            <v>47001</v>
          </cell>
          <cell r="F11">
            <v>1843.92</v>
          </cell>
          <cell r="G11">
            <v>5768.4</v>
          </cell>
          <cell r="H11">
            <v>6357.6</v>
          </cell>
          <cell r="I11">
            <v>4940.2700000000004</v>
          </cell>
          <cell r="J11">
            <v>4133.1400000000003</v>
          </cell>
          <cell r="K11">
            <v>434.11</v>
          </cell>
          <cell r="L11">
            <v>2232.0700000000002</v>
          </cell>
          <cell r="M11">
            <v>3534.05</v>
          </cell>
          <cell r="N11">
            <v>14494.59</v>
          </cell>
          <cell r="O11">
            <v>13165.37</v>
          </cell>
          <cell r="P11">
            <v>8843.58</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 val="Yakima BS "/>
      <sheetName val="Pro-forma Adj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 val="Yakima BS "/>
      <sheetName val="Pro-forma Adj Detail"/>
    </sheetNames>
    <sheetDataSet>
      <sheetData sheetId="0">
        <row r="30">
          <cell r="AC30">
            <v>749099.65</v>
          </cell>
        </row>
      </sheetData>
      <sheetData sheetId="1"/>
      <sheetData sheetId="2"/>
      <sheetData sheetId="3">
        <row r="1">
          <cell r="A1" t="str">
            <v>Yakima Waste Systems, Inc G-89</v>
          </cell>
        </row>
      </sheetData>
      <sheetData sheetId="4">
        <row r="8">
          <cell r="B8">
            <v>0</v>
          </cell>
        </row>
      </sheetData>
      <sheetData sheetId="5">
        <row r="16">
          <cell r="P16">
            <v>0</v>
          </cell>
        </row>
      </sheetData>
      <sheetData sheetId="6"/>
      <sheetData sheetId="7"/>
      <sheetData sheetId="8">
        <row r="36">
          <cell r="E36">
            <v>8.8546485705000733E-2</v>
          </cell>
        </row>
      </sheetData>
      <sheetData sheetId="9">
        <row r="36">
          <cell r="E36">
            <v>-5.2505146465273579E-2</v>
          </cell>
        </row>
      </sheetData>
      <sheetData sheetId="10">
        <row r="6">
          <cell r="J6">
            <v>-5.3162356997751466E-2</v>
          </cell>
        </row>
      </sheetData>
      <sheetData sheetId="11"/>
      <sheetData sheetId="12"/>
      <sheetData sheetId="13">
        <row r="21">
          <cell r="F21">
            <v>1708297.48</v>
          </cell>
        </row>
      </sheetData>
      <sheetData sheetId="14"/>
      <sheetData sheetId="15">
        <row r="64">
          <cell r="Y64">
            <v>22919.914580870409</v>
          </cell>
        </row>
      </sheetData>
      <sheetData sheetId="16">
        <row r="10">
          <cell r="B10">
            <v>3635.19</v>
          </cell>
        </row>
      </sheetData>
      <sheetData sheetId="17">
        <row r="39">
          <cell r="B39">
            <v>2349.7995013614564</v>
          </cell>
        </row>
      </sheetData>
      <sheetData sheetId="18">
        <row r="13">
          <cell r="L13">
            <v>3949.02</v>
          </cell>
        </row>
      </sheetData>
      <sheetData sheetId="19"/>
      <sheetData sheetId="20">
        <row r="25">
          <cell r="C25">
            <v>22665.762188783203</v>
          </cell>
        </row>
      </sheetData>
      <sheetData sheetId="21"/>
      <sheetData sheetId="22"/>
      <sheetData sheetId="23"/>
      <sheetData sheetId="24"/>
      <sheetData sheetId="25"/>
      <sheetData sheetId="26"/>
      <sheetData sheetId="27">
        <row r="173">
          <cell r="E173">
            <v>218</v>
          </cell>
        </row>
      </sheetData>
      <sheetData sheetId="28">
        <row r="64">
          <cell r="D64">
            <v>1271</v>
          </cell>
        </row>
      </sheetData>
      <sheetData sheetId="29">
        <row r="128">
          <cell r="E128">
            <v>4587.2300000000005</v>
          </cell>
        </row>
      </sheetData>
      <sheetData sheetId="30">
        <row r="35">
          <cell r="P35">
            <v>655883.93000000005</v>
          </cell>
        </row>
      </sheetData>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0 IS"/>
      <sheetName val="2182 IS"/>
      <sheetName val="Converted IS"/>
      <sheetName val="Ratios"/>
      <sheetName val="2018 YW Tons"/>
      <sheetName val="2180 Disposal"/>
      <sheetName val="LG Total District"/>
      <sheetName val="LG County Area"/>
      <sheetName val="LG EQR"/>
      <sheetName val="LG Cities"/>
      <sheetName val="LG JLBM"/>
      <sheetName val="40109"/>
      <sheetName val="41129"/>
      <sheetName val="43002"/>
      <sheetName val="Revenue-Cust"/>
      <sheetName val="YW Tons"/>
      <sheetName val="Recycle Tons"/>
      <sheetName val="Revenue Summary"/>
      <sheetName val="Explanations-Instructions"/>
      <sheetName val="Restating Adj"/>
      <sheetName val="Restating Adj Expl"/>
      <sheetName val="Pro forma Adj"/>
      <sheetName val="Recycl Mat, Tons, for 2180"/>
      <sheetName val="To Delete --&gt;"/>
      <sheetName val="Disposal"/>
    </sheetNames>
    <sheetDataSet>
      <sheetData sheetId="0"/>
      <sheetData sheetId="1"/>
      <sheetData sheetId="2"/>
      <sheetData sheetId="3"/>
      <sheetData sheetId="4"/>
      <sheetData sheetId="5"/>
      <sheetData sheetId="6"/>
      <sheetData sheetId="7">
        <row r="7">
          <cell r="K7">
            <v>30836341.217517916</v>
          </cell>
        </row>
        <row r="8">
          <cell r="K8">
            <v>28756984.927165326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um"/>
      <sheetName val="Cust Count"/>
      <sheetName val="Disposal"/>
      <sheetName val="Taxes &amp; Fees"/>
      <sheetName val="Ton Alloc"/>
      <sheetName val="2011_IS210 170306"/>
      <sheetName val="Sorted Master"/>
      <sheetName val="EBITDA by Area"/>
      <sheetName val="Vital Metrics"/>
      <sheetName val="Gresham"/>
      <sheetName val="Clackamas Rural"/>
      <sheetName val="Clackamas Dist Rural"/>
      <sheetName val="PDX Arrow"/>
      <sheetName val="All Areas"/>
      <sheetName val="Interject_LastPulledValues"/>
      <sheetName val="Debt"/>
      <sheetName val="Capex"/>
      <sheetName val="3rd Party Disposal-39"/>
      <sheetName val="TRF Disposal-39"/>
      <sheetName val="Interco Disposal-39"/>
      <sheetName val="Rent-43"/>
      <sheetName val="Co Op &amp; Sub-54"/>
      <sheetName val="Advertising-69"/>
      <sheetName val="Dues-78"/>
      <sheetName val="Contributions-70"/>
      <sheetName val="Prof Fees-71"/>
      <sheetName val="Misc Exp-86"/>
      <sheetName val="Travel-87"/>
      <sheetName val="Shop Allocation"/>
      <sheetName val="Mgmt Reclasses"/>
      <sheetName val="Proceeds- 35518"/>
      <sheetName val="Estacada-not used"/>
    </sheetNames>
    <sheetDataSet>
      <sheetData sheetId="0"/>
      <sheetData sheetId="1"/>
      <sheetData sheetId="2"/>
      <sheetData sheetId="3"/>
      <sheetData sheetId="4"/>
      <sheetData sheetId="5"/>
      <sheetData sheetId="6">
        <row r="8">
          <cell r="Z8">
            <v>22770.134694115299</v>
          </cell>
          <cell r="AD8">
            <v>16658.304514730477</v>
          </cell>
        </row>
        <row r="9">
          <cell r="K9">
            <v>78561.19</v>
          </cell>
          <cell r="Z9">
            <v>1372.6699999999998</v>
          </cell>
        </row>
      </sheetData>
      <sheetData sheetId="7"/>
      <sheetData sheetId="8"/>
      <sheetData sheetId="9">
        <row r="12">
          <cell r="E12" t="str">
            <v>Rate Code</v>
          </cell>
          <cell r="F12" t="str">
            <v>Base</v>
          </cell>
          <cell r="G12" t="str">
            <v>Franchise Percent of Total Company</v>
          </cell>
          <cell r="H12" t="str">
            <v>Reverse Mt View Sanitary</v>
          </cell>
          <cell r="I12" t="str">
            <v xml:space="preserve">Adjust In/Out </v>
          </cell>
          <cell r="J12" t="str">
            <v>Same Line Reclass</v>
          </cell>
          <cell r="K12"/>
          <cell r="L12" t="str">
            <v>Base Allocation</v>
          </cell>
          <cell r="M12" t="str">
            <v>Adjust</v>
          </cell>
          <cell r="N12" t="str">
            <v>Descrip</v>
          </cell>
          <cell r="O12" t="str">
            <v>Res SW Adjusted</v>
          </cell>
          <cell r="P12" t="str">
            <v>Base Allocation</v>
          </cell>
          <cell r="Q12" t="str">
            <v>Adjust</v>
          </cell>
          <cell r="R12" t="str">
            <v>Descrip</v>
          </cell>
          <cell r="S12" t="str">
            <v>FEL SW Adjusted</v>
          </cell>
          <cell r="T12" t="str">
            <v>Base Allocation</v>
          </cell>
          <cell r="U12" t="str">
            <v>Adjust</v>
          </cell>
          <cell r="V12" t="str">
            <v>Descrip</v>
          </cell>
          <cell r="W12" t="str">
            <v>Res Rec Adjusted</v>
          </cell>
          <cell r="X12" t="str">
            <v>Base Allocation</v>
          </cell>
          <cell r="Y12" t="str">
            <v>Adjust</v>
          </cell>
          <cell r="Z12" t="str">
            <v>Descrip</v>
          </cell>
          <cell r="AA12" t="str">
            <v>Com Rec Adjusted</v>
          </cell>
          <cell r="AB12" t="str">
            <v>Base Allocation</v>
          </cell>
          <cell r="AC12" t="str">
            <v>Adjust</v>
          </cell>
          <cell r="AD12" t="str">
            <v>Descrip</v>
          </cell>
          <cell r="AE12" t="str">
            <v>Debris Adjusted</v>
          </cell>
          <cell r="AF12" t="str">
            <v>Base Allocation</v>
          </cell>
          <cell r="AG12" t="str">
            <v>Adjust</v>
          </cell>
          <cell r="AH12" t="str">
            <v>Descrip</v>
          </cell>
          <cell r="AI12" t="str">
            <v>Drop Box Adjusted</v>
          </cell>
        </row>
        <row r="13">
          <cell r="E13">
            <v>18</v>
          </cell>
          <cell r="F13" t="str">
            <v>ACT</v>
          </cell>
          <cell r="G13">
            <v>3.7309466339435216E-2</v>
          </cell>
          <cell r="H13"/>
          <cell r="I13"/>
          <cell r="J13"/>
          <cell r="K13"/>
          <cell r="L13">
            <v>0</v>
          </cell>
          <cell r="M13"/>
          <cell r="N13"/>
          <cell r="O13">
            <v>0</v>
          </cell>
          <cell r="P13">
            <v>0</v>
          </cell>
          <cell r="Q13"/>
          <cell r="R13"/>
          <cell r="S13">
            <v>0</v>
          </cell>
          <cell r="T13">
            <v>0</v>
          </cell>
          <cell r="U13"/>
          <cell r="V13"/>
          <cell r="W13">
            <v>0</v>
          </cell>
          <cell r="X13">
            <v>0</v>
          </cell>
          <cell r="Y13"/>
          <cell r="Z13"/>
          <cell r="AA13">
            <v>0</v>
          </cell>
          <cell r="AB13">
            <v>0</v>
          </cell>
          <cell r="AC13"/>
          <cell r="AD13"/>
          <cell r="AE13">
            <v>0</v>
          </cell>
          <cell r="AF13">
            <v>0</v>
          </cell>
          <cell r="AG13">
            <v>132534.08000000002</v>
          </cell>
          <cell r="AH13"/>
          <cell r="AI13">
            <v>132534.08000000002</v>
          </cell>
        </row>
        <row r="14">
          <cell r="E14">
            <v>18</v>
          </cell>
          <cell r="F14" t="str">
            <v>ACT</v>
          </cell>
          <cell r="G14">
            <v>0</v>
          </cell>
          <cell r="H14"/>
          <cell r="I14"/>
          <cell r="J14"/>
          <cell r="K14"/>
          <cell r="L14">
            <v>0</v>
          </cell>
          <cell r="M14"/>
          <cell r="N14"/>
          <cell r="O14">
            <v>0</v>
          </cell>
          <cell r="P14">
            <v>0</v>
          </cell>
          <cell r="Q14"/>
          <cell r="R14"/>
          <cell r="S14">
            <v>0</v>
          </cell>
          <cell r="T14">
            <v>0</v>
          </cell>
          <cell r="U14"/>
          <cell r="V14"/>
          <cell r="W14">
            <v>0</v>
          </cell>
          <cell r="X14">
            <v>0</v>
          </cell>
          <cell r="Y14"/>
          <cell r="Z14"/>
          <cell r="AA14">
            <v>0</v>
          </cell>
          <cell r="AB14">
            <v>0</v>
          </cell>
          <cell r="AC14"/>
          <cell r="AD14"/>
          <cell r="AE14">
            <v>0</v>
          </cell>
          <cell r="AF14">
            <v>0</v>
          </cell>
          <cell r="AG14"/>
          <cell r="AH14"/>
          <cell r="AI14">
            <v>0</v>
          </cell>
        </row>
        <row r="15">
          <cell r="E15">
            <v>18</v>
          </cell>
          <cell r="F15" t="str">
            <v>ACT</v>
          </cell>
          <cell r="G15">
            <v>0</v>
          </cell>
          <cell r="H15"/>
          <cell r="I15"/>
          <cell r="J15"/>
          <cell r="K15"/>
          <cell r="L15">
            <v>0</v>
          </cell>
          <cell r="M15"/>
          <cell r="N15"/>
          <cell r="O15">
            <v>0</v>
          </cell>
          <cell r="P15">
            <v>0</v>
          </cell>
          <cell r="Q15"/>
          <cell r="R15"/>
          <cell r="S15">
            <v>0</v>
          </cell>
          <cell r="T15">
            <v>0</v>
          </cell>
          <cell r="U15"/>
          <cell r="V15"/>
          <cell r="W15">
            <v>0</v>
          </cell>
          <cell r="X15">
            <v>0</v>
          </cell>
          <cell r="Y15"/>
          <cell r="Z15"/>
          <cell r="AA15">
            <v>0</v>
          </cell>
          <cell r="AB15">
            <v>0</v>
          </cell>
          <cell r="AC15"/>
          <cell r="AD15"/>
          <cell r="AE15">
            <v>0</v>
          </cell>
          <cell r="AF15">
            <v>0</v>
          </cell>
          <cell r="AG15"/>
          <cell r="AH15"/>
          <cell r="AI15">
            <v>0</v>
          </cell>
        </row>
        <row r="16">
          <cell r="E16">
            <v>18</v>
          </cell>
          <cell r="F16" t="str">
            <v>ACT</v>
          </cell>
          <cell r="G16">
            <v>0</v>
          </cell>
          <cell r="H16"/>
          <cell r="I16"/>
          <cell r="J16"/>
          <cell r="K16"/>
          <cell r="L16">
            <v>0</v>
          </cell>
          <cell r="M16"/>
          <cell r="N16"/>
          <cell r="O16">
            <v>0</v>
          </cell>
          <cell r="P16">
            <v>0</v>
          </cell>
          <cell r="Q16"/>
          <cell r="R16"/>
          <cell r="S16">
            <v>0</v>
          </cell>
          <cell r="T16">
            <v>0</v>
          </cell>
          <cell r="U16"/>
          <cell r="V16"/>
          <cell r="W16">
            <v>0</v>
          </cell>
          <cell r="X16">
            <v>0</v>
          </cell>
          <cell r="Y16"/>
          <cell r="Z16"/>
          <cell r="AA16">
            <v>0</v>
          </cell>
          <cell r="AB16">
            <v>0</v>
          </cell>
          <cell r="AC16"/>
          <cell r="AD16"/>
          <cell r="AE16">
            <v>0</v>
          </cell>
          <cell r="AF16">
            <v>0</v>
          </cell>
          <cell r="AG16"/>
          <cell r="AH16"/>
          <cell r="AI16">
            <v>0</v>
          </cell>
        </row>
        <row r="17">
          <cell r="E17">
            <v>18</v>
          </cell>
          <cell r="F17" t="str">
            <v>ACT</v>
          </cell>
          <cell r="G17">
            <v>0</v>
          </cell>
          <cell r="H17"/>
          <cell r="I17"/>
          <cell r="J17"/>
          <cell r="K17"/>
          <cell r="L17">
            <v>0</v>
          </cell>
          <cell r="M17"/>
          <cell r="N17"/>
          <cell r="O17">
            <v>0</v>
          </cell>
          <cell r="P17">
            <v>0</v>
          </cell>
          <cell r="Q17"/>
          <cell r="R17"/>
          <cell r="S17">
            <v>0</v>
          </cell>
          <cell r="T17">
            <v>0</v>
          </cell>
          <cell r="U17"/>
          <cell r="V17"/>
          <cell r="W17">
            <v>0</v>
          </cell>
          <cell r="X17">
            <v>0</v>
          </cell>
          <cell r="Y17"/>
          <cell r="Z17"/>
          <cell r="AA17">
            <v>0</v>
          </cell>
          <cell r="AB17">
            <v>0</v>
          </cell>
          <cell r="AC17"/>
          <cell r="AD17"/>
          <cell r="AE17">
            <v>0</v>
          </cell>
          <cell r="AF17">
            <v>0</v>
          </cell>
          <cell r="AG17"/>
          <cell r="AH17"/>
          <cell r="AI17">
            <v>0</v>
          </cell>
        </row>
        <row r="18">
          <cell r="E18">
            <v>18</v>
          </cell>
          <cell r="F18" t="str">
            <v>ACT</v>
          </cell>
          <cell r="G18">
            <v>0</v>
          </cell>
          <cell r="H18"/>
          <cell r="I18"/>
          <cell r="J18"/>
          <cell r="K18"/>
          <cell r="L18">
            <v>0</v>
          </cell>
          <cell r="M18"/>
          <cell r="N18"/>
          <cell r="O18">
            <v>0</v>
          </cell>
          <cell r="P18">
            <v>0</v>
          </cell>
          <cell r="Q18"/>
          <cell r="R18"/>
          <cell r="S18">
            <v>0</v>
          </cell>
          <cell r="T18">
            <v>0</v>
          </cell>
          <cell r="U18"/>
          <cell r="V18"/>
          <cell r="W18">
            <v>0</v>
          </cell>
          <cell r="X18">
            <v>0</v>
          </cell>
          <cell r="Y18"/>
          <cell r="Z18"/>
          <cell r="AA18">
            <v>0</v>
          </cell>
          <cell r="AB18">
            <v>0</v>
          </cell>
          <cell r="AC18"/>
          <cell r="AD18"/>
          <cell r="AE18">
            <v>0</v>
          </cell>
          <cell r="AF18">
            <v>0</v>
          </cell>
          <cell r="AG18"/>
          <cell r="AH18"/>
          <cell r="AI18">
            <v>0</v>
          </cell>
        </row>
        <row r="19">
          <cell r="E19">
            <v>18</v>
          </cell>
          <cell r="F19" t="str">
            <v>ACT</v>
          </cell>
          <cell r="G19">
            <v>0.18043182976003175</v>
          </cell>
          <cell r="H19"/>
          <cell r="I19"/>
          <cell r="J19"/>
          <cell r="K19"/>
          <cell r="L19">
            <v>0</v>
          </cell>
          <cell r="M19">
            <v>1853120.12</v>
          </cell>
          <cell r="N19" t="str">
            <v>Res Can</v>
          </cell>
          <cell r="O19">
            <v>1853120.12</v>
          </cell>
          <cell r="P19">
            <v>0</v>
          </cell>
          <cell r="Q19">
            <v>27865.999999999996</v>
          </cell>
          <cell r="R19" t="str">
            <v>Res Cont</v>
          </cell>
          <cell r="S19">
            <v>27865.999999999996</v>
          </cell>
          <cell r="T19">
            <v>0</v>
          </cell>
          <cell r="U19">
            <v>1448.5700000000002</v>
          </cell>
          <cell r="V19" t="str">
            <v>Res Rec Can</v>
          </cell>
          <cell r="W19">
            <v>1448.5700000000002</v>
          </cell>
          <cell r="X19">
            <v>0</v>
          </cell>
          <cell r="Y19">
            <v>537.6</v>
          </cell>
          <cell r="Z19" t="str">
            <v>Comm Rec Can</v>
          </cell>
          <cell r="AA19">
            <v>537.6</v>
          </cell>
          <cell r="AB19">
            <v>0</v>
          </cell>
          <cell r="AC19">
            <v>5464.8999999999987</v>
          </cell>
          <cell r="AD19" t="str">
            <v>Res Can</v>
          </cell>
          <cell r="AE19">
            <v>5464.8999999999987</v>
          </cell>
          <cell r="AF19">
            <v>0</v>
          </cell>
          <cell r="AG19"/>
          <cell r="AH19"/>
          <cell r="AI19">
            <v>0</v>
          </cell>
        </row>
        <row r="20">
          <cell r="E20">
            <v>18</v>
          </cell>
          <cell r="F20" t="str">
            <v>ACT</v>
          </cell>
          <cell r="G20">
            <v>0</v>
          </cell>
          <cell r="H20"/>
          <cell r="I20"/>
          <cell r="J20"/>
          <cell r="K20"/>
          <cell r="L20">
            <v>0</v>
          </cell>
          <cell r="M20"/>
          <cell r="N20"/>
          <cell r="O20">
            <v>0</v>
          </cell>
          <cell r="P20">
            <v>0</v>
          </cell>
          <cell r="Q20"/>
          <cell r="R20"/>
          <cell r="S20">
            <v>0</v>
          </cell>
          <cell r="T20">
            <v>0</v>
          </cell>
          <cell r="U20"/>
          <cell r="V20"/>
          <cell r="W20">
            <v>0</v>
          </cell>
          <cell r="X20">
            <v>0</v>
          </cell>
          <cell r="Y20"/>
          <cell r="Z20"/>
          <cell r="AA20">
            <v>0</v>
          </cell>
          <cell r="AB20">
            <v>0</v>
          </cell>
          <cell r="AC20">
            <v>10975.320000000002</v>
          </cell>
          <cell r="AD20" t="str">
            <v>Comm Can</v>
          </cell>
          <cell r="AE20">
            <v>10975.320000000002</v>
          </cell>
          <cell r="AF20">
            <v>0</v>
          </cell>
          <cell r="AG20"/>
          <cell r="AH20"/>
          <cell r="AI20">
            <v>0</v>
          </cell>
        </row>
        <row r="21">
          <cell r="E21">
            <v>18</v>
          </cell>
          <cell r="F21" t="str">
            <v>ACT</v>
          </cell>
          <cell r="G21">
            <v>7.9848082741454565E-2</v>
          </cell>
          <cell r="H21"/>
          <cell r="I21"/>
          <cell r="J21"/>
          <cell r="K21"/>
          <cell r="L21">
            <v>0</v>
          </cell>
          <cell r="M21">
            <v>57863.759999999995</v>
          </cell>
          <cell r="N21" t="str">
            <v>Comm Can</v>
          </cell>
          <cell r="O21">
            <v>57863.759999999995</v>
          </cell>
          <cell r="P21">
            <v>0</v>
          </cell>
          <cell r="Q21">
            <v>617570.07999999984</v>
          </cell>
          <cell r="R21" t="str">
            <v>Comm Cont</v>
          </cell>
          <cell r="S21">
            <v>617570.07999999984</v>
          </cell>
          <cell r="T21">
            <v>0</v>
          </cell>
          <cell r="U21">
            <v>0</v>
          </cell>
          <cell r="V21" t="str">
            <v>Res Rec Cont</v>
          </cell>
          <cell r="W21">
            <v>0</v>
          </cell>
          <cell r="X21">
            <v>0</v>
          </cell>
          <cell r="Y21">
            <v>5536.83</v>
          </cell>
          <cell r="Z21" t="str">
            <v>Comm Rec Cont</v>
          </cell>
          <cell r="AA21">
            <v>5536.83</v>
          </cell>
          <cell r="AB21">
            <v>0</v>
          </cell>
          <cell r="AC21">
            <v>1230.4000000000001</v>
          </cell>
          <cell r="AD21" t="str">
            <v>Comm Cont</v>
          </cell>
          <cell r="AE21">
            <v>1230.4000000000001</v>
          </cell>
          <cell r="AF21">
            <v>0</v>
          </cell>
          <cell r="AG21"/>
          <cell r="AH21"/>
          <cell r="AI21">
            <v>0</v>
          </cell>
        </row>
        <row r="22">
          <cell r="E22">
            <v>18</v>
          </cell>
          <cell r="F22" t="str">
            <v>ACT</v>
          </cell>
          <cell r="G22">
            <v>0</v>
          </cell>
          <cell r="H22"/>
          <cell r="I22"/>
          <cell r="J22"/>
          <cell r="K22"/>
          <cell r="L22">
            <v>0</v>
          </cell>
          <cell r="M22"/>
          <cell r="N22"/>
          <cell r="O22">
            <v>0</v>
          </cell>
          <cell r="P22">
            <v>0</v>
          </cell>
          <cell r="Q22"/>
          <cell r="R22"/>
          <cell r="S22">
            <v>0</v>
          </cell>
          <cell r="T22">
            <v>0</v>
          </cell>
          <cell r="U22"/>
          <cell r="V22"/>
          <cell r="W22">
            <v>0</v>
          </cell>
          <cell r="X22">
            <v>0</v>
          </cell>
          <cell r="Y22">
            <v>1602.7800000000002</v>
          </cell>
          <cell r="Z22" t="str">
            <v>Food Cont</v>
          </cell>
          <cell r="AA22">
            <v>1602.7800000000002</v>
          </cell>
          <cell r="AB22">
            <v>0</v>
          </cell>
          <cell r="AC22"/>
          <cell r="AD22"/>
          <cell r="AE22">
            <v>0</v>
          </cell>
          <cell r="AF22">
            <v>0</v>
          </cell>
          <cell r="AG22"/>
          <cell r="AH22"/>
          <cell r="AI22">
            <v>0</v>
          </cell>
        </row>
        <row r="23">
          <cell r="E23">
            <v>18</v>
          </cell>
          <cell r="F23" t="str">
            <v>ACT</v>
          </cell>
          <cell r="G23">
            <v>0</v>
          </cell>
          <cell r="H23"/>
          <cell r="I23"/>
          <cell r="J23"/>
          <cell r="K23"/>
          <cell r="L23">
            <v>0</v>
          </cell>
          <cell r="O23">
            <v>0</v>
          </cell>
          <cell r="P23">
            <v>0</v>
          </cell>
          <cell r="Q23"/>
          <cell r="S23">
            <v>0</v>
          </cell>
          <cell r="T23">
            <v>0</v>
          </cell>
          <cell r="U23"/>
          <cell r="W23">
            <v>0</v>
          </cell>
          <cell r="X23">
            <v>0</v>
          </cell>
          <cell r="Y23">
            <v>3007.32</v>
          </cell>
          <cell r="Z23" t="str">
            <v>Food Can</v>
          </cell>
          <cell r="AA23">
            <v>3007.32</v>
          </cell>
          <cell r="AB23">
            <v>0</v>
          </cell>
          <cell r="AE23">
            <v>0</v>
          </cell>
          <cell r="AF23">
            <v>0</v>
          </cell>
          <cell r="AG23"/>
          <cell r="AI23">
            <v>0</v>
          </cell>
        </row>
        <row r="24">
          <cell r="E24">
            <v>19</v>
          </cell>
          <cell r="F24" t="str">
            <v>ACT</v>
          </cell>
          <cell r="G24">
            <v>1.3062872838081262E-2</v>
          </cell>
          <cell r="H24"/>
          <cell r="I24"/>
          <cell r="J24"/>
          <cell r="K24"/>
          <cell r="L24">
            <v>0</v>
          </cell>
          <cell r="O24">
            <v>0</v>
          </cell>
          <cell r="P24">
            <v>0</v>
          </cell>
          <cell r="S24">
            <v>0</v>
          </cell>
          <cell r="T24">
            <v>0</v>
          </cell>
          <cell r="U24">
            <v>10336.727432729604</v>
          </cell>
          <cell r="W24">
            <v>10336.727432729604</v>
          </cell>
          <cell r="X24">
            <v>0</v>
          </cell>
          <cell r="Y24">
            <v>120.21500674709182</v>
          </cell>
          <cell r="AA24">
            <v>120.21500674709182</v>
          </cell>
          <cell r="AB24">
            <v>0</v>
          </cell>
          <cell r="AC24"/>
          <cell r="AE24">
            <v>0</v>
          </cell>
          <cell r="AF24">
            <v>0</v>
          </cell>
          <cell r="AG24">
            <v>0</v>
          </cell>
          <cell r="AI24">
            <v>0</v>
          </cell>
        </row>
        <row r="25">
          <cell r="E25">
            <v>19</v>
          </cell>
          <cell r="F25" t="str">
            <v>ACT</v>
          </cell>
          <cell r="G25">
            <v>0</v>
          </cell>
          <cell r="H25"/>
          <cell r="I25"/>
          <cell r="J25"/>
          <cell r="K25"/>
          <cell r="L25">
            <v>0</v>
          </cell>
          <cell r="O25">
            <v>0</v>
          </cell>
          <cell r="P25">
            <v>0</v>
          </cell>
          <cell r="S25">
            <v>0</v>
          </cell>
          <cell r="T25">
            <v>0</v>
          </cell>
          <cell r="U25"/>
          <cell r="W25">
            <v>0</v>
          </cell>
          <cell r="X25">
            <v>0</v>
          </cell>
          <cell r="Y25"/>
          <cell r="AA25">
            <v>0</v>
          </cell>
          <cell r="AB25">
            <v>0</v>
          </cell>
          <cell r="AE25">
            <v>0</v>
          </cell>
          <cell r="AF25">
            <v>0</v>
          </cell>
          <cell r="AG25"/>
          <cell r="AI25">
            <v>0</v>
          </cell>
        </row>
        <row r="26">
          <cell r="E26">
            <v>19</v>
          </cell>
          <cell r="F26" t="str">
            <v>ACT</v>
          </cell>
          <cell r="G26">
            <v>0</v>
          </cell>
          <cell r="H26"/>
          <cell r="I26"/>
          <cell r="J26"/>
          <cell r="K26"/>
          <cell r="L26">
            <v>0</v>
          </cell>
          <cell r="O26">
            <v>0</v>
          </cell>
          <cell r="P26">
            <v>0</v>
          </cell>
          <cell r="S26">
            <v>0</v>
          </cell>
          <cell r="T26">
            <v>0</v>
          </cell>
          <cell r="U26"/>
          <cell r="W26">
            <v>0</v>
          </cell>
          <cell r="X26">
            <v>0</v>
          </cell>
          <cell r="Y26"/>
          <cell r="AA26">
            <v>0</v>
          </cell>
          <cell r="AB26">
            <v>0</v>
          </cell>
          <cell r="AE26">
            <v>0</v>
          </cell>
          <cell r="AF26">
            <v>0</v>
          </cell>
          <cell r="AG26"/>
          <cell r="AI26">
            <v>0</v>
          </cell>
        </row>
        <row r="27">
          <cell r="E27">
            <v>19</v>
          </cell>
          <cell r="F27" t="str">
            <v>ACT</v>
          </cell>
          <cell r="G27">
            <v>0</v>
          </cell>
          <cell r="H27"/>
          <cell r="I27"/>
          <cell r="J27"/>
          <cell r="K27"/>
          <cell r="L27">
            <v>0</v>
          </cell>
          <cell r="O27">
            <v>0</v>
          </cell>
          <cell r="P27">
            <v>0</v>
          </cell>
          <cell r="S27">
            <v>0</v>
          </cell>
          <cell r="T27">
            <v>0</v>
          </cell>
          <cell r="U27"/>
          <cell r="W27">
            <v>0</v>
          </cell>
          <cell r="X27">
            <v>0</v>
          </cell>
          <cell r="Y27"/>
          <cell r="AA27">
            <v>0</v>
          </cell>
          <cell r="AB27">
            <v>0</v>
          </cell>
          <cell r="AE27">
            <v>0</v>
          </cell>
          <cell r="AF27">
            <v>0</v>
          </cell>
          <cell r="AG27"/>
          <cell r="AI27">
            <v>0</v>
          </cell>
        </row>
        <row r="28">
          <cell r="E28">
            <v>19</v>
          </cell>
          <cell r="F28" t="str">
            <v>ACT</v>
          </cell>
          <cell r="G28">
            <v>0</v>
          </cell>
          <cell r="H28"/>
          <cell r="I28"/>
          <cell r="J28"/>
          <cell r="K28"/>
          <cell r="L28">
            <v>0</v>
          </cell>
          <cell r="O28">
            <v>0</v>
          </cell>
          <cell r="P28">
            <v>0</v>
          </cell>
          <cell r="S28">
            <v>0</v>
          </cell>
          <cell r="T28">
            <v>0</v>
          </cell>
          <cell r="U28"/>
          <cell r="W28">
            <v>0</v>
          </cell>
          <cell r="X28">
            <v>0</v>
          </cell>
          <cell r="Y28"/>
          <cell r="AA28">
            <v>0</v>
          </cell>
          <cell r="AB28">
            <v>0</v>
          </cell>
          <cell r="AE28">
            <v>0</v>
          </cell>
          <cell r="AF28">
            <v>0</v>
          </cell>
          <cell r="AG28"/>
          <cell r="AI28">
            <v>0</v>
          </cell>
        </row>
        <row r="29">
          <cell r="E29">
            <v>19</v>
          </cell>
          <cell r="F29" t="str">
            <v>ACT</v>
          </cell>
          <cell r="G29">
            <v>0</v>
          </cell>
          <cell r="H29"/>
          <cell r="I29"/>
          <cell r="J29"/>
          <cell r="K29"/>
          <cell r="L29">
            <v>0</v>
          </cell>
          <cell r="O29">
            <v>0</v>
          </cell>
          <cell r="P29">
            <v>0</v>
          </cell>
          <cell r="S29">
            <v>0</v>
          </cell>
          <cell r="T29">
            <v>0</v>
          </cell>
          <cell r="U29"/>
          <cell r="W29">
            <v>0</v>
          </cell>
          <cell r="X29">
            <v>0</v>
          </cell>
          <cell r="Y29"/>
          <cell r="AA29">
            <v>0</v>
          </cell>
          <cell r="AB29">
            <v>0</v>
          </cell>
          <cell r="AE29">
            <v>0</v>
          </cell>
          <cell r="AF29">
            <v>0</v>
          </cell>
          <cell r="AG29"/>
          <cell r="AI29">
            <v>0</v>
          </cell>
        </row>
        <row r="30">
          <cell r="E30">
            <v>19</v>
          </cell>
          <cell r="F30" t="str">
            <v>ACT</v>
          </cell>
          <cell r="G30">
            <v>0</v>
          </cell>
          <cell r="H30"/>
          <cell r="I30"/>
          <cell r="K30"/>
          <cell r="L30">
            <v>0</v>
          </cell>
          <cell r="O30">
            <v>0</v>
          </cell>
          <cell r="P30">
            <v>0</v>
          </cell>
          <cell r="S30">
            <v>0</v>
          </cell>
          <cell r="T30">
            <v>0</v>
          </cell>
          <cell r="U30"/>
          <cell r="W30">
            <v>0</v>
          </cell>
          <cell r="X30">
            <v>0</v>
          </cell>
          <cell r="AA30">
            <v>0</v>
          </cell>
          <cell r="AB30">
            <v>0</v>
          </cell>
          <cell r="AE30">
            <v>0</v>
          </cell>
          <cell r="AF30">
            <v>0</v>
          </cell>
          <cell r="AI30">
            <v>0</v>
          </cell>
        </row>
        <row r="31">
          <cell r="E31">
            <v>19</v>
          </cell>
          <cell r="F31" t="str">
            <v>ACT</v>
          </cell>
          <cell r="G31">
            <v>0</v>
          </cell>
          <cell r="H31"/>
          <cell r="I31"/>
          <cell r="K31"/>
          <cell r="L31">
            <v>0</v>
          </cell>
          <cell r="O31">
            <v>0</v>
          </cell>
          <cell r="P31">
            <v>0</v>
          </cell>
          <cell r="S31">
            <v>0</v>
          </cell>
          <cell r="T31">
            <v>0</v>
          </cell>
          <cell r="U31"/>
          <cell r="W31">
            <v>0</v>
          </cell>
          <cell r="X31">
            <v>0</v>
          </cell>
          <cell r="AA31">
            <v>0</v>
          </cell>
          <cell r="AB31">
            <v>0</v>
          </cell>
          <cell r="AE31">
            <v>0</v>
          </cell>
          <cell r="AF31">
            <v>0</v>
          </cell>
          <cell r="AI31">
            <v>0</v>
          </cell>
        </row>
        <row r="32">
          <cell r="E32">
            <v>19</v>
          </cell>
          <cell r="F32" t="str">
            <v>ACT</v>
          </cell>
          <cell r="G32">
            <v>0</v>
          </cell>
          <cell r="H32"/>
          <cell r="I32"/>
          <cell r="K32"/>
          <cell r="L32">
            <v>0</v>
          </cell>
          <cell r="O32">
            <v>0</v>
          </cell>
          <cell r="P32">
            <v>0</v>
          </cell>
          <cell r="S32">
            <v>0</v>
          </cell>
          <cell r="T32">
            <v>0</v>
          </cell>
          <cell r="U32"/>
          <cell r="W32">
            <v>0</v>
          </cell>
          <cell r="X32">
            <v>0</v>
          </cell>
          <cell r="AA32">
            <v>0</v>
          </cell>
          <cell r="AB32">
            <v>0</v>
          </cell>
          <cell r="AE32">
            <v>0</v>
          </cell>
          <cell r="AF32">
            <v>0</v>
          </cell>
          <cell r="AI32">
            <v>0</v>
          </cell>
        </row>
        <row r="33">
          <cell r="E33">
            <v>19</v>
          </cell>
          <cell r="F33" t="str">
            <v>ACT</v>
          </cell>
          <cell r="G33">
            <v>0</v>
          </cell>
          <cell r="H33"/>
          <cell r="I33"/>
          <cell r="J33"/>
          <cell r="K33"/>
          <cell r="L33">
            <v>0</v>
          </cell>
          <cell r="O33">
            <v>0</v>
          </cell>
          <cell r="P33">
            <v>0</v>
          </cell>
          <cell r="S33">
            <v>0</v>
          </cell>
          <cell r="T33">
            <v>0</v>
          </cell>
          <cell r="U33"/>
          <cell r="W33">
            <v>0</v>
          </cell>
          <cell r="X33">
            <v>0</v>
          </cell>
          <cell r="Y33"/>
          <cell r="AA33">
            <v>0</v>
          </cell>
          <cell r="AB33">
            <v>0</v>
          </cell>
          <cell r="AE33">
            <v>0</v>
          </cell>
          <cell r="AF33">
            <v>0</v>
          </cell>
          <cell r="AG33"/>
          <cell r="AI33">
            <v>0</v>
          </cell>
        </row>
        <row r="34">
          <cell r="E34">
            <v>20</v>
          </cell>
          <cell r="F34" t="str">
            <v>ACT</v>
          </cell>
          <cell r="G34">
            <v>0</v>
          </cell>
          <cell r="H34"/>
          <cell r="I34"/>
          <cell r="K34"/>
          <cell r="L34">
            <v>0</v>
          </cell>
          <cell r="O34">
            <v>0</v>
          </cell>
          <cell r="P34">
            <v>0</v>
          </cell>
          <cell r="S34">
            <v>0</v>
          </cell>
          <cell r="T34">
            <v>0</v>
          </cell>
          <cell r="W34">
            <v>0</v>
          </cell>
          <cell r="X34">
            <v>0</v>
          </cell>
          <cell r="AA34">
            <v>0</v>
          </cell>
          <cell r="AB34">
            <v>0</v>
          </cell>
          <cell r="AC34"/>
          <cell r="AD34"/>
          <cell r="AE34">
            <v>0</v>
          </cell>
          <cell r="AF34">
            <v>0</v>
          </cell>
          <cell r="AI34">
            <v>0</v>
          </cell>
        </row>
        <row r="35">
          <cell r="E35">
            <v>20</v>
          </cell>
          <cell r="F35" t="str">
            <v>REV</v>
          </cell>
          <cell r="G35">
            <v>0.12050036179656672</v>
          </cell>
          <cell r="H35"/>
          <cell r="I35"/>
          <cell r="K35"/>
          <cell r="L35">
            <v>669.859631661192</v>
          </cell>
          <cell r="O35">
            <v>669.859631661192</v>
          </cell>
          <cell r="P35">
            <v>226.2455373562039</v>
          </cell>
          <cell r="S35">
            <v>226.2455373562039</v>
          </cell>
          <cell r="T35">
            <v>0.50776910092797478</v>
          </cell>
          <cell r="W35">
            <v>0.50776910092797478</v>
          </cell>
          <cell r="X35">
            <v>3.7452620114581792</v>
          </cell>
          <cell r="AA35">
            <v>3.7452620114581792</v>
          </cell>
          <cell r="AB35">
            <v>6.1941051038195543</v>
          </cell>
          <cell r="AC35"/>
          <cell r="AD35"/>
          <cell r="AE35">
            <v>6.1941051038195543</v>
          </cell>
          <cell r="AF35">
            <v>46.457341132231299</v>
          </cell>
          <cell r="AI35">
            <v>46.457341132231299</v>
          </cell>
        </row>
        <row r="36">
          <cell r="E36">
            <v>20</v>
          </cell>
          <cell r="F36" t="str">
            <v>REV</v>
          </cell>
          <cell r="G36">
            <v>0.12050036179656672</v>
          </cell>
          <cell r="H36"/>
          <cell r="I36"/>
          <cell r="K36"/>
          <cell r="L36">
            <v>4496.2719671540799</v>
          </cell>
          <cell r="O36">
            <v>4496.2719671540799</v>
          </cell>
          <cell r="P36">
            <v>1518.6188556932343</v>
          </cell>
          <cell r="S36">
            <v>1518.6188556932343</v>
          </cell>
          <cell r="T36">
            <v>3.4082781919962537</v>
          </cell>
          <cell r="W36">
            <v>3.4082781919962537</v>
          </cell>
          <cell r="X36">
            <v>25.139172142685357</v>
          </cell>
          <cell r="AA36">
            <v>25.139172142685357</v>
          </cell>
          <cell r="AB36">
            <v>41.576443516746068</v>
          </cell>
          <cell r="AC36"/>
          <cell r="AD36"/>
          <cell r="AE36">
            <v>41.576443516746068</v>
          </cell>
          <cell r="AF36">
            <v>311.8337495324954</v>
          </cell>
          <cell r="AI36">
            <v>311.8337495324954</v>
          </cell>
        </row>
        <row r="37">
          <cell r="E37">
            <v>20</v>
          </cell>
          <cell r="F37" t="str">
            <v>REV</v>
          </cell>
          <cell r="G37">
            <v>0.1205003617965667</v>
          </cell>
          <cell r="H37"/>
          <cell r="I37"/>
          <cell r="K37"/>
          <cell r="L37">
            <v>48.701541226408828</v>
          </cell>
          <cell r="O37">
            <v>48.701541226408828</v>
          </cell>
          <cell r="P37">
            <v>16.44897803069469</v>
          </cell>
          <cell r="S37">
            <v>16.44897803069469</v>
          </cell>
          <cell r="T37">
            <v>3.6916895172521835E-2</v>
          </cell>
          <cell r="W37">
            <v>3.6916895172521835E-2</v>
          </cell>
          <cell r="X37">
            <v>0.27229590145982913</v>
          </cell>
          <cell r="AA37">
            <v>0.27229590145982913</v>
          </cell>
          <cell r="AB37">
            <v>0.45033683299631211</v>
          </cell>
          <cell r="AC37"/>
          <cell r="AD37"/>
          <cell r="AE37">
            <v>0.45033683299631211</v>
          </cell>
          <cell r="AF37">
            <v>3.3776391462936703</v>
          </cell>
          <cell r="AI37">
            <v>3.3776391462936703</v>
          </cell>
        </row>
        <row r="38">
          <cell r="E38">
            <v>20</v>
          </cell>
          <cell r="F38" t="str">
            <v>REV</v>
          </cell>
          <cell r="G38">
            <v>0</v>
          </cell>
          <cell r="H38"/>
          <cell r="I38"/>
          <cell r="K38"/>
          <cell r="L38">
            <v>0</v>
          </cell>
          <cell r="O38">
            <v>0</v>
          </cell>
          <cell r="P38">
            <v>0</v>
          </cell>
          <cell r="S38">
            <v>0</v>
          </cell>
          <cell r="T38">
            <v>0</v>
          </cell>
          <cell r="W38">
            <v>0</v>
          </cell>
          <cell r="X38">
            <v>0</v>
          </cell>
          <cell r="AA38">
            <v>0</v>
          </cell>
          <cell r="AB38">
            <v>0</v>
          </cell>
          <cell r="AC38"/>
          <cell r="AD38"/>
          <cell r="AE38">
            <v>0</v>
          </cell>
          <cell r="AF38">
            <v>0</v>
          </cell>
          <cell r="AI38">
            <v>0</v>
          </cell>
        </row>
        <row r="39">
          <cell r="E39">
            <v>20</v>
          </cell>
          <cell r="F39" t="str">
            <v>REV</v>
          </cell>
          <cell r="G39">
            <v>0</v>
          </cell>
          <cell r="H39"/>
          <cell r="I39"/>
          <cell r="K39"/>
          <cell r="L39">
            <v>0</v>
          </cell>
          <cell r="O39">
            <v>0</v>
          </cell>
          <cell r="P39">
            <v>0</v>
          </cell>
          <cell r="S39">
            <v>0</v>
          </cell>
          <cell r="T39">
            <v>0</v>
          </cell>
          <cell r="W39">
            <v>0</v>
          </cell>
          <cell r="X39">
            <v>0</v>
          </cell>
          <cell r="AA39">
            <v>0</v>
          </cell>
          <cell r="AB39">
            <v>0</v>
          </cell>
          <cell r="AC39"/>
          <cell r="AD39"/>
          <cell r="AE39">
            <v>0</v>
          </cell>
          <cell r="AF39">
            <v>0</v>
          </cell>
          <cell r="AI39">
            <v>0</v>
          </cell>
        </row>
        <row r="40">
          <cell r="E40"/>
          <cell r="F40"/>
          <cell r="G40"/>
          <cell r="H40"/>
          <cell r="I40"/>
          <cell r="K40"/>
          <cell r="L40"/>
          <cell r="O40"/>
          <cell r="P40"/>
          <cell r="S40"/>
          <cell r="T40"/>
          <cell r="W40"/>
          <cell r="X40"/>
          <cell r="AA40"/>
          <cell r="AB40"/>
          <cell r="AC40"/>
          <cell r="AD40"/>
          <cell r="AE40"/>
          <cell r="AF40"/>
          <cell r="AI40"/>
        </row>
        <row r="41">
          <cell r="E41"/>
          <cell r="F41"/>
          <cell r="G41">
            <v>0.11682876518931071</v>
          </cell>
          <cell r="H41">
            <v>0</v>
          </cell>
          <cell r="I41">
            <v>0</v>
          </cell>
          <cell r="J41">
            <v>0</v>
          </cell>
          <cell r="K41">
            <v>0</v>
          </cell>
          <cell r="L41">
            <v>5214.833140041681</v>
          </cell>
          <cell r="M41">
            <v>1910983.8800000001</v>
          </cell>
          <cell r="N41">
            <v>0</v>
          </cell>
          <cell r="O41">
            <v>1916198.7131400416</v>
          </cell>
          <cell r="P41">
            <v>1761.3133710801328</v>
          </cell>
          <cell r="Q41">
            <v>645436.07999999984</v>
          </cell>
          <cell r="R41">
            <v>0</v>
          </cell>
          <cell r="S41">
            <v>647197.39337108005</v>
          </cell>
          <cell r="T41">
            <v>3.9529641880967503</v>
          </cell>
          <cell r="U41">
            <v>11785.297432729603</v>
          </cell>
          <cell r="V41"/>
          <cell r="W41">
            <v>11789.250396917701</v>
          </cell>
          <cell r="X41">
            <v>29.156730055603365</v>
          </cell>
          <cell r="Y41">
            <v>10804.745006747093</v>
          </cell>
          <cell r="Z41">
            <v>0</v>
          </cell>
          <cell r="AA41">
            <v>10833.901736802696</v>
          </cell>
          <cell r="AB41">
            <v>48.220885453561934</v>
          </cell>
          <cell r="AC41">
            <v>17670.620000000003</v>
          </cell>
          <cell r="AD41">
            <v>0</v>
          </cell>
          <cell r="AE41">
            <v>17718.840885453566</v>
          </cell>
          <cell r="AF41">
            <v>361.6687298110204</v>
          </cell>
          <cell r="AG41">
            <v>132534.08000000002</v>
          </cell>
          <cell r="AH41">
            <v>0</v>
          </cell>
          <cell r="AI41">
            <v>132895.74872981102</v>
          </cell>
        </row>
        <row r="42">
          <cell r="E42"/>
          <cell r="F42"/>
          <cell r="G42"/>
          <cell r="H42"/>
          <cell r="I42"/>
          <cell r="K42"/>
        </row>
        <row r="43">
          <cell r="E43"/>
          <cell r="F43"/>
          <cell r="G43"/>
          <cell r="H43"/>
          <cell r="I43"/>
          <cell r="J43"/>
          <cell r="K43"/>
        </row>
        <row r="44">
          <cell r="E44"/>
          <cell r="F44"/>
          <cell r="G44"/>
          <cell r="H44"/>
          <cell r="I44"/>
          <cell r="J44"/>
          <cell r="K44"/>
        </row>
        <row r="45">
          <cell r="E45"/>
          <cell r="F45"/>
          <cell r="G45"/>
          <cell r="H45"/>
          <cell r="I45"/>
          <cell r="J45"/>
          <cell r="K45"/>
          <cell r="M45" t="str">
            <v>NEED TO CHECK PERCENTS AGAINST THE BLACK BOX!</v>
          </cell>
          <cell r="N45"/>
          <cell r="O45"/>
          <cell r="P45"/>
          <cell r="Q45" t="str">
            <v>NEED TO CHECK PERCENTS AGAINST THE BLACK BOX!</v>
          </cell>
        </row>
        <row r="46">
          <cell r="E46">
            <v>39</v>
          </cell>
          <cell r="F46" t="str">
            <v>Act</v>
          </cell>
          <cell r="G46">
            <v>9.5772165128849479E-2</v>
          </cell>
          <cell r="H46"/>
          <cell r="I46"/>
          <cell r="J46"/>
          <cell r="K46"/>
          <cell r="L46">
            <v>0</v>
          </cell>
          <cell r="M46">
            <v>295020.6315689031</v>
          </cell>
          <cell r="N46"/>
          <cell r="O46">
            <v>295020.6315689031</v>
          </cell>
          <cell r="P46">
            <v>0</v>
          </cell>
          <cell r="Q46">
            <v>263307.58865990676</v>
          </cell>
          <cell r="S46">
            <v>263307.58865990676</v>
          </cell>
          <cell r="T46">
            <v>0</v>
          </cell>
          <cell r="W46">
            <v>0</v>
          </cell>
          <cell r="X46">
            <v>0</v>
          </cell>
          <cell r="Y46">
            <v>3874.1574784596964</v>
          </cell>
          <cell r="Z46" t="str">
            <v>Food Waste</v>
          </cell>
          <cell r="AA46">
            <v>3874.1574784596964</v>
          </cell>
          <cell r="AB46">
            <v>0</v>
          </cell>
          <cell r="AC46">
            <v>55800.366266949328</v>
          </cell>
          <cell r="AD46" t="str">
            <v>Yard Deb</v>
          </cell>
          <cell r="AE46">
            <v>55800.366266949328</v>
          </cell>
          <cell r="AF46">
            <v>0</v>
          </cell>
          <cell r="AG46">
            <v>73418.010941884408</v>
          </cell>
          <cell r="AI46">
            <v>73418.010941884408</v>
          </cell>
        </row>
        <row r="47">
          <cell r="E47">
            <v>39</v>
          </cell>
          <cell r="F47" t="str">
            <v>Act</v>
          </cell>
          <cell r="G47">
            <v>0</v>
          </cell>
          <cell r="H47"/>
          <cell r="I47"/>
          <cell r="J47"/>
          <cell r="K47"/>
          <cell r="L47">
            <v>0</v>
          </cell>
          <cell r="M47"/>
          <cell r="N47"/>
          <cell r="O47">
            <v>0</v>
          </cell>
          <cell r="P47">
            <v>0</v>
          </cell>
          <cell r="Q47"/>
          <cell r="S47">
            <v>0</v>
          </cell>
          <cell r="T47">
            <v>0</v>
          </cell>
          <cell r="W47">
            <v>0</v>
          </cell>
          <cell r="X47">
            <v>0</v>
          </cell>
          <cell r="AA47">
            <v>0</v>
          </cell>
          <cell r="AB47">
            <v>0</v>
          </cell>
          <cell r="AD47"/>
          <cell r="AE47">
            <v>0</v>
          </cell>
          <cell r="AF47">
            <v>0</v>
          </cell>
          <cell r="AG47"/>
          <cell r="AI47">
            <v>0</v>
          </cell>
        </row>
        <row r="48">
          <cell r="E48">
            <v>54</v>
          </cell>
          <cell r="F48" t="str">
            <v>Act</v>
          </cell>
          <cell r="G48">
            <v>0</v>
          </cell>
          <cell r="H48"/>
          <cell r="I48"/>
          <cell r="J48"/>
          <cell r="K48"/>
          <cell r="L48">
            <v>0</v>
          </cell>
          <cell r="M48"/>
          <cell r="N48"/>
          <cell r="O48">
            <v>0</v>
          </cell>
          <cell r="P48">
            <v>0</v>
          </cell>
          <cell r="Q48"/>
          <cell r="S48">
            <v>0</v>
          </cell>
          <cell r="T48">
            <v>0</v>
          </cell>
          <cell r="W48">
            <v>0</v>
          </cell>
          <cell r="X48">
            <v>0</v>
          </cell>
          <cell r="AA48">
            <v>0</v>
          </cell>
          <cell r="AB48">
            <v>0</v>
          </cell>
          <cell r="AD48"/>
          <cell r="AE48">
            <v>0</v>
          </cell>
          <cell r="AF48">
            <v>0</v>
          </cell>
          <cell r="AG48"/>
          <cell r="AI48">
            <v>0</v>
          </cell>
        </row>
        <row r="49">
          <cell r="E49">
            <v>39</v>
          </cell>
          <cell r="F49" t="str">
            <v>Act</v>
          </cell>
          <cell r="G49">
            <v>0</v>
          </cell>
          <cell r="H49"/>
          <cell r="I49"/>
          <cell r="J49"/>
          <cell r="K49"/>
          <cell r="L49">
            <v>0</v>
          </cell>
          <cell r="M49"/>
          <cell r="N49"/>
          <cell r="O49">
            <v>0</v>
          </cell>
          <cell r="P49">
            <v>0</v>
          </cell>
          <cell r="Q49"/>
          <cell r="S49">
            <v>0</v>
          </cell>
          <cell r="T49">
            <v>0</v>
          </cell>
          <cell r="W49">
            <v>0</v>
          </cell>
          <cell r="X49">
            <v>0</v>
          </cell>
          <cell r="AA49">
            <v>0</v>
          </cell>
          <cell r="AB49">
            <v>0</v>
          </cell>
          <cell r="AD49"/>
          <cell r="AE49">
            <v>0</v>
          </cell>
          <cell r="AF49">
            <v>0</v>
          </cell>
          <cell r="AG49"/>
          <cell r="AI49">
            <v>0</v>
          </cell>
        </row>
        <row r="50">
          <cell r="E50">
            <v>39</v>
          </cell>
          <cell r="F50" t="str">
            <v>Act</v>
          </cell>
          <cell r="G50">
            <v>0</v>
          </cell>
          <cell r="H50"/>
          <cell r="I50"/>
          <cell r="J50"/>
          <cell r="K50"/>
          <cell r="L50">
            <v>0</v>
          </cell>
          <cell r="M50"/>
          <cell r="N50"/>
          <cell r="O50">
            <v>0</v>
          </cell>
          <cell r="P50">
            <v>0</v>
          </cell>
          <cell r="Q50"/>
          <cell r="S50">
            <v>0</v>
          </cell>
          <cell r="T50">
            <v>0</v>
          </cell>
          <cell r="W50">
            <v>0</v>
          </cell>
          <cell r="X50">
            <v>0</v>
          </cell>
          <cell r="AA50">
            <v>0</v>
          </cell>
          <cell r="AB50">
            <v>0</v>
          </cell>
          <cell r="AD50"/>
          <cell r="AE50">
            <v>0</v>
          </cell>
          <cell r="AF50">
            <v>0</v>
          </cell>
          <cell r="AG50"/>
          <cell r="AI50">
            <v>0</v>
          </cell>
        </row>
        <row r="51">
          <cell r="E51">
            <v>54</v>
          </cell>
          <cell r="F51" t="str">
            <v>Act</v>
          </cell>
          <cell r="G51">
            <v>0</v>
          </cell>
          <cell r="H51"/>
          <cell r="J51"/>
          <cell r="K51"/>
          <cell r="L51">
            <v>0</v>
          </cell>
          <cell r="M51"/>
          <cell r="N51"/>
          <cell r="O51">
            <v>0</v>
          </cell>
          <cell r="P51">
            <v>0</v>
          </cell>
          <cell r="S51">
            <v>0</v>
          </cell>
          <cell r="T51">
            <v>0</v>
          </cell>
          <cell r="W51">
            <v>0</v>
          </cell>
          <cell r="X51">
            <v>0</v>
          </cell>
          <cell r="AA51">
            <v>0</v>
          </cell>
          <cell r="AB51">
            <v>0</v>
          </cell>
          <cell r="AC51"/>
          <cell r="AD51"/>
          <cell r="AE51">
            <v>0</v>
          </cell>
          <cell r="AF51">
            <v>0</v>
          </cell>
          <cell r="AI51">
            <v>0</v>
          </cell>
        </row>
        <row r="52">
          <cell r="E52">
            <v>54</v>
          </cell>
          <cell r="F52" t="str">
            <v>Act</v>
          </cell>
          <cell r="G52">
            <v>0</v>
          </cell>
          <cell r="H52"/>
          <cell r="I52"/>
          <cell r="J52"/>
          <cell r="K52"/>
          <cell r="L52">
            <v>0</v>
          </cell>
          <cell r="O52">
            <v>0</v>
          </cell>
          <cell r="P52">
            <v>0</v>
          </cell>
          <cell r="S52">
            <v>0</v>
          </cell>
          <cell r="T52">
            <v>0</v>
          </cell>
          <cell r="U52"/>
          <cell r="W52">
            <v>0</v>
          </cell>
          <cell r="X52">
            <v>0</v>
          </cell>
          <cell r="Y52"/>
          <cell r="AA52">
            <v>0</v>
          </cell>
          <cell r="AB52">
            <v>0</v>
          </cell>
          <cell r="AE52">
            <v>0</v>
          </cell>
          <cell r="AF52">
            <v>0</v>
          </cell>
          <cell r="AG52"/>
          <cell r="AI52">
            <v>0</v>
          </cell>
        </row>
        <row r="53">
          <cell r="E53">
            <v>48</v>
          </cell>
          <cell r="F53" t="str">
            <v>Act</v>
          </cell>
          <cell r="G53">
            <v>0.21335384186549883</v>
          </cell>
          <cell r="H53"/>
          <cell r="I53"/>
          <cell r="J53"/>
          <cell r="K53"/>
          <cell r="L53">
            <v>0</v>
          </cell>
          <cell r="M53">
            <v>164934.89010562061</v>
          </cell>
          <cell r="O53">
            <v>164934.89010562061</v>
          </cell>
          <cell r="P53">
            <v>0</v>
          </cell>
          <cell r="Q53">
            <v>60225.333011235838</v>
          </cell>
          <cell r="R53"/>
          <cell r="S53">
            <v>60225.333011235838</v>
          </cell>
          <cell r="T53">
            <v>0</v>
          </cell>
          <cell r="U53"/>
          <cell r="W53">
            <v>0</v>
          </cell>
          <cell r="X53">
            <v>0</v>
          </cell>
          <cell r="AA53">
            <v>0</v>
          </cell>
          <cell r="AB53">
            <v>0</v>
          </cell>
          <cell r="AC53"/>
          <cell r="AE53">
            <v>0</v>
          </cell>
          <cell r="AF53">
            <v>0</v>
          </cell>
          <cell r="AG53">
            <v>7481.8268831435735</v>
          </cell>
          <cell r="AI53">
            <v>7481.8268831435735</v>
          </cell>
        </row>
        <row r="54">
          <cell r="E54">
            <v>54</v>
          </cell>
          <cell r="F54" t="str">
            <v>Act</v>
          </cell>
          <cell r="G54">
            <v>0</v>
          </cell>
          <cell r="H54"/>
          <cell r="I54"/>
          <cell r="J54"/>
          <cell r="K54"/>
          <cell r="L54">
            <v>0</v>
          </cell>
          <cell r="O54">
            <v>0</v>
          </cell>
          <cell r="P54">
            <v>0</v>
          </cell>
          <cell r="R54"/>
          <cell r="S54">
            <v>0</v>
          </cell>
          <cell r="T54">
            <v>0</v>
          </cell>
          <cell r="W54">
            <v>0</v>
          </cell>
          <cell r="X54">
            <v>0</v>
          </cell>
          <cell r="AA54">
            <v>0</v>
          </cell>
          <cell r="AB54">
            <v>0</v>
          </cell>
          <cell r="AC54"/>
          <cell r="AD54"/>
          <cell r="AE54">
            <v>0</v>
          </cell>
          <cell r="AF54">
            <v>0</v>
          </cell>
          <cell r="AI54">
            <v>0</v>
          </cell>
        </row>
        <row r="55">
          <cell r="E55">
            <v>39</v>
          </cell>
          <cell r="F55" t="str">
            <v>Act</v>
          </cell>
          <cell r="G55">
            <v>5.5405754530033581E-2</v>
          </cell>
          <cell r="H55"/>
          <cell r="I55"/>
          <cell r="J55"/>
          <cell r="K55"/>
          <cell r="L55">
            <v>0</v>
          </cell>
          <cell r="O55">
            <v>0</v>
          </cell>
          <cell r="P55">
            <v>0</v>
          </cell>
          <cell r="R55"/>
          <cell r="S55">
            <v>0</v>
          </cell>
          <cell r="T55">
            <v>0</v>
          </cell>
          <cell r="U55">
            <v>6302.445557525336</v>
          </cell>
          <cell r="W55">
            <v>6302.445557525336</v>
          </cell>
          <cell r="X55">
            <v>0</v>
          </cell>
          <cell r="Y55">
            <v>4359.7126272290916</v>
          </cell>
          <cell r="AA55">
            <v>4359.7126272290916</v>
          </cell>
          <cell r="AB55">
            <v>0</v>
          </cell>
          <cell r="AC55"/>
          <cell r="AD55"/>
          <cell r="AE55">
            <v>0</v>
          </cell>
          <cell r="AF55">
            <v>0</v>
          </cell>
          <cell r="AG55">
            <v>0</v>
          </cell>
          <cell r="AI55">
            <v>0</v>
          </cell>
        </row>
        <row r="56">
          <cell r="E56">
            <v>54</v>
          </cell>
          <cell r="F56" t="str">
            <v>Act</v>
          </cell>
          <cell r="G56">
            <v>0</v>
          </cell>
          <cell r="H56"/>
          <cell r="I56"/>
          <cell r="J56"/>
          <cell r="K56"/>
          <cell r="L56">
            <v>0</v>
          </cell>
          <cell r="O56">
            <v>0</v>
          </cell>
          <cell r="P56">
            <v>0</v>
          </cell>
          <cell r="S56">
            <v>0</v>
          </cell>
          <cell r="T56">
            <v>0</v>
          </cell>
          <cell r="W56">
            <v>0</v>
          </cell>
          <cell r="X56">
            <v>0</v>
          </cell>
          <cell r="AA56">
            <v>0</v>
          </cell>
          <cell r="AB56">
            <v>0</v>
          </cell>
          <cell r="AC56"/>
          <cell r="AD56"/>
          <cell r="AE56">
            <v>0</v>
          </cell>
          <cell r="AF56">
            <v>0</v>
          </cell>
          <cell r="AI56">
            <v>0</v>
          </cell>
        </row>
        <row r="57">
          <cell r="E57">
            <v>54</v>
          </cell>
          <cell r="F57" t="str">
            <v>Act</v>
          </cell>
          <cell r="G57">
            <v>0</v>
          </cell>
          <cell r="H57"/>
          <cell r="I57"/>
          <cell r="J57"/>
          <cell r="K57"/>
          <cell r="L57">
            <v>0</v>
          </cell>
          <cell r="O57">
            <v>0</v>
          </cell>
          <cell r="P57">
            <v>0</v>
          </cell>
          <cell r="S57">
            <v>0</v>
          </cell>
          <cell r="T57">
            <v>0</v>
          </cell>
          <cell r="W57">
            <v>0</v>
          </cell>
          <cell r="X57">
            <v>0</v>
          </cell>
          <cell r="AA57">
            <v>0</v>
          </cell>
          <cell r="AB57">
            <v>0</v>
          </cell>
          <cell r="AC57"/>
          <cell r="AD57"/>
          <cell r="AE57">
            <v>0</v>
          </cell>
          <cell r="AF57">
            <v>0</v>
          </cell>
          <cell r="AI57">
            <v>0</v>
          </cell>
        </row>
        <row r="58">
          <cell r="E58">
            <v>54</v>
          </cell>
          <cell r="F58" t="str">
            <v>Act</v>
          </cell>
          <cell r="G58">
            <v>0</v>
          </cell>
          <cell r="H58"/>
          <cell r="I58"/>
          <cell r="J58"/>
          <cell r="K58"/>
          <cell r="L58">
            <v>0</v>
          </cell>
          <cell r="O58">
            <v>0</v>
          </cell>
          <cell r="P58">
            <v>0</v>
          </cell>
          <cell r="S58">
            <v>0</v>
          </cell>
          <cell r="T58">
            <v>0</v>
          </cell>
          <cell r="W58">
            <v>0</v>
          </cell>
          <cell r="X58">
            <v>0</v>
          </cell>
          <cell r="AA58">
            <v>0</v>
          </cell>
          <cell r="AB58">
            <v>0</v>
          </cell>
          <cell r="AC58"/>
          <cell r="AD58"/>
          <cell r="AE58">
            <v>0</v>
          </cell>
          <cell r="AF58">
            <v>0</v>
          </cell>
          <cell r="AI58">
            <v>0</v>
          </cell>
        </row>
        <row r="59">
          <cell r="E59">
            <v>22</v>
          </cell>
          <cell r="F59" t="str">
            <v>DH</v>
          </cell>
          <cell r="G59">
            <v>0.10951493477640761</v>
          </cell>
          <cell r="H59"/>
          <cell r="I59">
            <v>0</v>
          </cell>
          <cell r="J59"/>
          <cell r="K59"/>
          <cell r="L59">
            <v>109907.81996125523</v>
          </cell>
          <cell r="M59"/>
          <cell r="O59">
            <v>109907.81996125523</v>
          </cell>
          <cell r="P59">
            <v>48391.065282337433</v>
          </cell>
          <cell r="S59">
            <v>48391.065282337433</v>
          </cell>
          <cell r="T59">
            <v>89980.477135606416</v>
          </cell>
          <cell r="W59">
            <v>89980.477135606416</v>
          </cell>
          <cell r="X59">
            <v>41326.49360727099</v>
          </cell>
          <cell r="AA59">
            <v>41326.49360727099</v>
          </cell>
          <cell r="AB59">
            <v>87632.456329744018</v>
          </cell>
          <cell r="AC59"/>
          <cell r="AD59"/>
          <cell r="AE59">
            <v>87632.456329744018</v>
          </cell>
          <cell r="AF59">
            <v>19743.786478955604</v>
          </cell>
          <cell r="AI59">
            <v>19743.786478955604</v>
          </cell>
        </row>
        <row r="60">
          <cell r="E60">
            <v>22</v>
          </cell>
          <cell r="F60" t="str">
            <v>DH</v>
          </cell>
          <cell r="G60">
            <v>0</v>
          </cell>
          <cell r="H60"/>
          <cell r="I60"/>
          <cell r="J60"/>
          <cell r="K60"/>
          <cell r="L60">
            <v>0</v>
          </cell>
          <cell r="O60">
            <v>0</v>
          </cell>
          <cell r="P60">
            <v>0</v>
          </cell>
          <cell r="S60">
            <v>0</v>
          </cell>
          <cell r="T60">
            <v>0</v>
          </cell>
          <cell r="W60">
            <v>0</v>
          </cell>
          <cell r="X60">
            <v>0</v>
          </cell>
          <cell r="AA60">
            <v>0</v>
          </cell>
          <cell r="AB60">
            <v>0</v>
          </cell>
          <cell r="AC60"/>
          <cell r="AD60"/>
          <cell r="AE60">
            <v>0</v>
          </cell>
          <cell r="AF60">
            <v>0</v>
          </cell>
          <cell r="AI60">
            <v>0</v>
          </cell>
        </row>
        <row r="61">
          <cell r="E61">
            <v>22</v>
          </cell>
          <cell r="F61" t="str">
            <v>DH</v>
          </cell>
          <cell r="G61">
            <v>0.11021083809358594</v>
          </cell>
          <cell r="H61"/>
          <cell r="I61"/>
          <cell r="J61"/>
          <cell r="K61"/>
          <cell r="L61">
            <v>1482.5598048577583</v>
          </cell>
          <cell r="O61">
            <v>1482.5598048577583</v>
          </cell>
          <cell r="P61">
            <v>652.44766278053555</v>
          </cell>
          <cell r="S61">
            <v>652.44766278053555</v>
          </cell>
          <cell r="T61">
            <v>1292.9312994140553</v>
          </cell>
          <cell r="W61">
            <v>1292.9312994140553</v>
          </cell>
          <cell r="X61">
            <v>567.20793216437187</v>
          </cell>
          <cell r="AA61">
            <v>567.20793216437187</v>
          </cell>
          <cell r="AB61">
            <v>1216.6125299274947</v>
          </cell>
          <cell r="AC61"/>
          <cell r="AD61"/>
          <cell r="AE61">
            <v>1216.6125299274947</v>
          </cell>
          <cell r="AF61">
            <v>265.35352412453517</v>
          </cell>
          <cell r="AI61">
            <v>265.35352412453517</v>
          </cell>
        </row>
        <row r="62">
          <cell r="E62">
            <v>22</v>
          </cell>
          <cell r="F62" t="str">
            <v>DH</v>
          </cell>
          <cell r="G62">
            <v>0.11021083809358595</v>
          </cell>
          <cell r="H62"/>
          <cell r="I62"/>
          <cell r="J62"/>
          <cell r="K62"/>
          <cell r="L62">
            <v>177.50141133982515</v>
          </cell>
          <cell r="O62">
            <v>177.50141133982515</v>
          </cell>
          <cell r="P62">
            <v>78.115149614505171</v>
          </cell>
          <cell r="S62">
            <v>78.115149614505171</v>
          </cell>
          <cell r="T62">
            <v>154.79789055352649</v>
          </cell>
          <cell r="W62">
            <v>154.79789055352649</v>
          </cell>
          <cell r="X62">
            <v>67.909711400802081</v>
          </cell>
          <cell r="AA62">
            <v>67.909711400802081</v>
          </cell>
          <cell r="AB62">
            <v>145.66052607676394</v>
          </cell>
          <cell r="AC62"/>
          <cell r="AD62"/>
          <cell r="AE62">
            <v>145.66052607676394</v>
          </cell>
          <cell r="AF62">
            <v>31.769797671413549</v>
          </cell>
          <cell r="AI62">
            <v>31.769797671413549</v>
          </cell>
        </row>
        <row r="63">
          <cell r="E63">
            <v>22</v>
          </cell>
          <cell r="F63" t="str">
            <v>DH</v>
          </cell>
          <cell r="G63">
            <v>0.11021083809358595</v>
          </cell>
          <cell r="H63"/>
          <cell r="I63"/>
          <cell r="J63"/>
          <cell r="K63"/>
          <cell r="L63">
            <v>596.78927877276556</v>
          </cell>
          <cell r="O63">
            <v>596.78927877276556</v>
          </cell>
          <cell r="P63">
            <v>262.63613031457453</v>
          </cell>
          <cell r="S63">
            <v>262.63613031457453</v>
          </cell>
          <cell r="T63">
            <v>520.45626432862798</v>
          </cell>
          <cell r="W63">
            <v>520.45626432862798</v>
          </cell>
          <cell r="X63">
            <v>228.32374899240193</v>
          </cell>
          <cell r="AA63">
            <v>228.32374899240193</v>
          </cell>
          <cell r="AB63">
            <v>489.73492462315869</v>
          </cell>
          <cell r="AC63"/>
          <cell r="AD63"/>
          <cell r="AE63">
            <v>489.73492462315869</v>
          </cell>
          <cell r="AF63">
            <v>106.81534583846792</v>
          </cell>
          <cell r="AI63">
            <v>106.81534583846792</v>
          </cell>
        </row>
        <row r="64">
          <cell r="E64">
            <v>24</v>
          </cell>
          <cell r="F64" t="str">
            <v>DH</v>
          </cell>
          <cell r="G64">
            <v>0.1095159744420213</v>
          </cell>
          <cell r="H64"/>
          <cell r="I64"/>
          <cell r="J64"/>
          <cell r="K64"/>
          <cell r="L64">
            <v>10652.264468431229</v>
          </cell>
          <cell r="O64">
            <v>10652.264468431229</v>
          </cell>
          <cell r="P64">
            <v>4690.0581883060158</v>
          </cell>
          <cell r="S64">
            <v>4690.0581883060158</v>
          </cell>
          <cell r="T64">
            <v>8721.7428828797492</v>
          </cell>
          <cell r="W64">
            <v>8721.7428828797492</v>
          </cell>
          <cell r="X64">
            <v>4005.4661946963706</v>
          </cell>
          <cell r="AA64">
            <v>4005.4661946963706</v>
          </cell>
          <cell r="AB64">
            <v>8493.7011938091073</v>
          </cell>
          <cell r="AC64"/>
          <cell r="AD64"/>
          <cell r="AE64">
            <v>8493.7011938091073</v>
          </cell>
          <cell r="AF64">
            <v>1913.5572520630421</v>
          </cell>
          <cell r="AI64">
            <v>1913.5572520630421</v>
          </cell>
        </row>
        <row r="65">
          <cell r="E65">
            <v>25</v>
          </cell>
          <cell r="F65" t="str">
            <v>DH</v>
          </cell>
          <cell r="G65">
            <v>0</v>
          </cell>
          <cell r="H65"/>
          <cell r="I65"/>
          <cell r="J65"/>
          <cell r="K65"/>
          <cell r="L65">
            <v>0</v>
          </cell>
          <cell r="O65">
            <v>0</v>
          </cell>
          <cell r="P65">
            <v>0</v>
          </cell>
          <cell r="S65">
            <v>0</v>
          </cell>
          <cell r="T65">
            <v>0</v>
          </cell>
          <cell r="W65">
            <v>0</v>
          </cell>
          <cell r="X65">
            <v>0</v>
          </cell>
          <cell r="AA65">
            <v>0</v>
          </cell>
          <cell r="AB65">
            <v>0</v>
          </cell>
          <cell r="AC65"/>
          <cell r="AD65"/>
          <cell r="AE65">
            <v>0</v>
          </cell>
          <cell r="AF65">
            <v>0</v>
          </cell>
          <cell r="AI65">
            <v>0</v>
          </cell>
        </row>
        <row r="66">
          <cell r="E66">
            <v>22</v>
          </cell>
          <cell r="F66" t="str">
            <v>DH</v>
          </cell>
          <cell r="G66">
            <v>0</v>
          </cell>
          <cell r="H66"/>
          <cell r="I66"/>
          <cell r="J66"/>
          <cell r="K66"/>
          <cell r="L66">
            <v>0</v>
          </cell>
          <cell r="O66">
            <v>0</v>
          </cell>
          <cell r="P66">
            <v>0</v>
          </cell>
          <cell r="S66">
            <v>0</v>
          </cell>
          <cell r="T66">
            <v>0</v>
          </cell>
          <cell r="W66">
            <v>0</v>
          </cell>
          <cell r="X66">
            <v>0</v>
          </cell>
          <cell r="AA66">
            <v>0</v>
          </cell>
          <cell r="AB66">
            <v>0</v>
          </cell>
          <cell r="AC66"/>
          <cell r="AD66"/>
          <cell r="AE66">
            <v>0</v>
          </cell>
          <cell r="AF66">
            <v>0</v>
          </cell>
          <cell r="AI66">
            <v>0</v>
          </cell>
        </row>
        <row r="67">
          <cell r="E67">
            <v>22</v>
          </cell>
          <cell r="F67" t="str">
            <v>DH</v>
          </cell>
          <cell r="G67">
            <v>0</v>
          </cell>
          <cell r="H67"/>
          <cell r="I67"/>
          <cell r="J67"/>
          <cell r="K67"/>
          <cell r="L67">
            <v>0</v>
          </cell>
          <cell r="O67">
            <v>0</v>
          </cell>
          <cell r="P67">
            <v>0</v>
          </cell>
          <cell r="S67">
            <v>0</v>
          </cell>
          <cell r="T67">
            <v>0</v>
          </cell>
          <cell r="W67">
            <v>0</v>
          </cell>
          <cell r="X67">
            <v>0</v>
          </cell>
          <cell r="AA67">
            <v>0</v>
          </cell>
          <cell r="AB67">
            <v>0</v>
          </cell>
          <cell r="AC67"/>
          <cell r="AD67"/>
          <cell r="AE67">
            <v>0</v>
          </cell>
          <cell r="AF67">
            <v>0</v>
          </cell>
          <cell r="AI67">
            <v>0</v>
          </cell>
        </row>
        <row r="68">
          <cell r="E68">
            <v>29</v>
          </cell>
          <cell r="F68" t="str">
            <v>DH</v>
          </cell>
          <cell r="G68">
            <v>0.11021083809358595</v>
          </cell>
          <cell r="H68"/>
          <cell r="I68"/>
          <cell r="J68"/>
          <cell r="K68"/>
          <cell r="L68">
            <v>1335.5098793396542</v>
          </cell>
          <cell r="O68">
            <v>1335.5098793396542</v>
          </cell>
          <cell r="P68">
            <v>587.73365940477038</v>
          </cell>
          <cell r="S68">
            <v>587.73365940477038</v>
          </cell>
          <cell r="T68">
            <v>1164.6899626019435</v>
          </cell>
          <cell r="W68">
            <v>1164.6899626019435</v>
          </cell>
          <cell r="X68">
            <v>510.94855975676012</v>
          </cell>
          <cell r="AA68">
            <v>510.94855975676012</v>
          </cell>
          <cell r="AB68">
            <v>1095.9409851277253</v>
          </cell>
          <cell r="AC68"/>
          <cell r="AD68"/>
          <cell r="AE68">
            <v>1095.9409851277253</v>
          </cell>
          <cell r="AF68">
            <v>239.03403547346988</v>
          </cell>
          <cell r="AI68">
            <v>239.03403547346988</v>
          </cell>
        </row>
        <row r="69">
          <cell r="E69">
            <v>29</v>
          </cell>
          <cell r="F69" t="str">
            <v>DH</v>
          </cell>
          <cell r="G69">
            <v>0</v>
          </cell>
          <cell r="H69"/>
          <cell r="I69"/>
          <cell r="J69"/>
          <cell r="K69"/>
          <cell r="L69">
            <v>0</v>
          </cell>
          <cell r="O69">
            <v>0</v>
          </cell>
          <cell r="P69">
            <v>0</v>
          </cell>
          <cell r="S69">
            <v>0</v>
          </cell>
          <cell r="T69">
            <v>0</v>
          </cell>
          <cell r="W69">
            <v>0</v>
          </cell>
          <cell r="X69">
            <v>0</v>
          </cell>
          <cell r="AA69">
            <v>0</v>
          </cell>
          <cell r="AB69">
            <v>0</v>
          </cell>
          <cell r="AC69"/>
          <cell r="AD69"/>
          <cell r="AE69">
            <v>0</v>
          </cell>
          <cell r="AF69">
            <v>0</v>
          </cell>
          <cell r="AI69">
            <v>0</v>
          </cell>
        </row>
        <row r="70">
          <cell r="E70">
            <v>28</v>
          </cell>
          <cell r="F70" t="str">
            <v>DH</v>
          </cell>
          <cell r="G70">
            <v>0.11021083809358598</v>
          </cell>
          <cell r="H70"/>
          <cell r="I70"/>
          <cell r="J70"/>
          <cell r="K70"/>
          <cell r="L70">
            <v>1591.4138132291298</v>
          </cell>
          <cell r="O70">
            <v>1591.4138132291298</v>
          </cell>
          <cell r="P70">
            <v>700.35233624698526</v>
          </cell>
          <cell r="S70">
            <v>700.35233624698526</v>
          </cell>
          <cell r="T70">
            <v>1387.8622114952236</v>
          </cell>
          <cell r="W70">
            <v>1387.8622114952236</v>
          </cell>
          <cell r="X70">
            <v>608.85404775028087</v>
          </cell>
          <cell r="AA70">
            <v>608.85404775028087</v>
          </cell>
          <cell r="AB70">
            <v>1305.9398879763992</v>
          </cell>
          <cell r="AC70"/>
          <cell r="AD70"/>
          <cell r="AE70">
            <v>1305.9398879763992</v>
          </cell>
          <cell r="AF70">
            <v>284.83657947365572</v>
          </cell>
          <cell r="AI70">
            <v>284.83657947365572</v>
          </cell>
        </row>
        <row r="71">
          <cell r="E71">
            <v>26</v>
          </cell>
          <cell r="F71" t="str">
            <v>DH</v>
          </cell>
          <cell r="G71">
            <v>0</v>
          </cell>
          <cell r="H71"/>
          <cell r="I71"/>
          <cell r="J71"/>
          <cell r="K71"/>
          <cell r="L71">
            <v>0</v>
          </cell>
          <cell r="O71">
            <v>0</v>
          </cell>
          <cell r="P71">
            <v>0</v>
          </cell>
          <cell r="S71">
            <v>0</v>
          </cell>
          <cell r="T71">
            <v>0</v>
          </cell>
          <cell r="W71">
            <v>0</v>
          </cell>
          <cell r="X71">
            <v>0</v>
          </cell>
          <cell r="AA71">
            <v>0</v>
          </cell>
          <cell r="AB71">
            <v>0</v>
          </cell>
          <cell r="AC71"/>
          <cell r="AD71"/>
          <cell r="AE71">
            <v>0</v>
          </cell>
          <cell r="AF71">
            <v>0</v>
          </cell>
          <cell r="AI71">
            <v>0</v>
          </cell>
        </row>
        <row r="72">
          <cell r="E72">
            <v>25</v>
          </cell>
          <cell r="F72" t="str">
            <v>DH</v>
          </cell>
          <cell r="G72">
            <v>0.11021083809358592</v>
          </cell>
          <cell r="H72"/>
          <cell r="I72"/>
          <cell r="J72"/>
          <cell r="K72"/>
          <cell r="L72">
            <v>25651.866155037507</v>
          </cell>
          <cell r="O72">
            <v>25651.866155037507</v>
          </cell>
          <cell r="P72">
            <v>11288.920732893537</v>
          </cell>
          <cell r="S72">
            <v>11288.920732893537</v>
          </cell>
          <cell r="T72">
            <v>22370.834911047743</v>
          </cell>
          <cell r="W72">
            <v>22370.834911047743</v>
          </cell>
          <cell r="X72">
            <v>9814.0674732187472</v>
          </cell>
          <cell r="AA72">
            <v>9814.0674732187472</v>
          </cell>
          <cell r="AB72">
            <v>21050.335829950476</v>
          </cell>
          <cell r="AC72"/>
          <cell r="AD72"/>
          <cell r="AE72">
            <v>21050.335829950476</v>
          </cell>
          <cell r="AF72">
            <v>4591.2570017795406</v>
          </cell>
          <cell r="AI72">
            <v>4591.2570017795406</v>
          </cell>
        </row>
        <row r="73">
          <cell r="E73">
            <v>26</v>
          </cell>
          <cell r="F73" t="str">
            <v>DH</v>
          </cell>
          <cell r="G73">
            <v>0.11021083809358595</v>
          </cell>
          <cell r="H73"/>
          <cell r="I73"/>
          <cell r="J73"/>
          <cell r="K73"/>
          <cell r="L73">
            <v>9433.5493730845938</v>
          </cell>
          <cell r="O73">
            <v>9433.5493730845938</v>
          </cell>
          <cell r="P73">
            <v>4151.5338673196738</v>
          </cell>
          <cell r="S73">
            <v>4151.5338673196738</v>
          </cell>
          <cell r="T73">
            <v>8226.9404640975845</v>
          </cell>
          <cell r="W73">
            <v>8226.9404640975845</v>
          </cell>
          <cell r="X73">
            <v>3609.1522347668065</v>
          </cell>
          <cell r="AA73">
            <v>3609.1522347668065</v>
          </cell>
          <cell r="AB73">
            <v>7741.3230355894602</v>
          </cell>
          <cell r="AC73"/>
          <cell r="AD73"/>
          <cell r="AE73">
            <v>7741.3230355894602</v>
          </cell>
          <cell r="AF73">
            <v>1688.4482925739135</v>
          </cell>
          <cell r="AI73">
            <v>1688.4482925739135</v>
          </cell>
        </row>
        <row r="74">
          <cell r="E74">
            <v>22</v>
          </cell>
          <cell r="F74" t="str">
            <v>DH</v>
          </cell>
          <cell r="G74">
            <v>0</v>
          </cell>
          <cell r="H74"/>
          <cell r="I74"/>
          <cell r="J74"/>
          <cell r="K74"/>
          <cell r="L74">
            <v>0</v>
          </cell>
          <cell r="O74">
            <v>0</v>
          </cell>
          <cell r="P74">
            <v>0</v>
          </cell>
          <cell r="S74">
            <v>0</v>
          </cell>
          <cell r="T74">
            <v>0</v>
          </cell>
          <cell r="W74">
            <v>0</v>
          </cell>
          <cell r="X74">
            <v>0</v>
          </cell>
          <cell r="AA74">
            <v>0</v>
          </cell>
          <cell r="AB74">
            <v>0</v>
          </cell>
          <cell r="AC74"/>
          <cell r="AD74"/>
          <cell r="AE74">
            <v>0</v>
          </cell>
          <cell r="AF74">
            <v>0</v>
          </cell>
          <cell r="AI74">
            <v>0</v>
          </cell>
        </row>
        <row r="75">
          <cell r="E75">
            <v>22</v>
          </cell>
          <cell r="F75" t="str">
            <v>DH</v>
          </cell>
          <cell r="G75">
            <v>0</v>
          </cell>
          <cell r="H75"/>
          <cell r="I75"/>
          <cell r="J75"/>
          <cell r="K75"/>
          <cell r="L75">
            <v>0</v>
          </cell>
          <cell r="O75">
            <v>0</v>
          </cell>
          <cell r="P75">
            <v>0</v>
          </cell>
          <cell r="S75">
            <v>0</v>
          </cell>
          <cell r="T75">
            <v>0</v>
          </cell>
          <cell r="W75">
            <v>0</v>
          </cell>
          <cell r="X75">
            <v>0</v>
          </cell>
          <cell r="AA75">
            <v>0</v>
          </cell>
          <cell r="AB75">
            <v>0</v>
          </cell>
          <cell r="AC75"/>
          <cell r="AD75"/>
          <cell r="AE75">
            <v>0</v>
          </cell>
          <cell r="AF75">
            <v>0</v>
          </cell>
          <cell r="AI75">
            <v>0</v>
          </cell>
        </row>
        <row r="76">
          <cell r="E76">
            <v>54</v>
          </cell>
          <cell r="F76" t="str">
            <v>DH</v>
          </cell>
          <cell r="G76">
            <v>0</v>
          </cell>
          <cell r="H76"/>
          <cell r="I76"/>
          <cell r="J76"/>
          <cell r="K76"/>
          <cell r="L76">
            <v>0</v>
          </cell>
          <cell r="O76">
            <v>0</v>
          </cell>
          <cell r="P76">
            <v>0</v>
          </cell>
          <cell r="Q76"/>
          <cell r="R76"/>
          <cell r="S76">
            <v>0</v>
          </cell>
          <cell r="T76">
            <v>0</v>
          </cell>
          <cell r="W76">
            <v>0</v>
          </cell>
          <cell r="X76">
            <v>0</v>
          </cell>
          <cell r="AA76">
            <v>0</v>
          </cell>
          <cell r="AB76">
            <v>0</v>
          </cell>
          <cell r="AC76"/>
          <cell r="AD76"/>
          <cell r="AE76">
            <v>0</v>
          </cell>
          <cell r="AF76">
            <v>0</v>
          </cell>
          <cell r="AI76">
            <v>0</v>
          </cell>
        </row>
        <row r="77">
          <cell r="E77">
            <v>35</v>
          </cell>
          <cell r="F77" t="str">
            <v>TH</v>
          </cell>
          <cell r="G77">
            <v>0.12882804907631315</v>
          </cell>
          <cell r="H77"/>
          <cell r="I77"/>
          <cell r="J77"/>
          <cell r="K77"/>
          <cell r="L77">
            <v>28308.571266994888</v>
          </cell>
          <cell r="O77">
            <v>28308.571266994888</v>
          </cell>
          <cell r="P77">
            <v>17720.604324025688</v>
          </cell>
          <cell r="Q77"/>
          <cell r="R77"/>
          <cell r="S77">
            <v>17720.604324025688</v>
          </cell>
          <cell r="T77">
            <v>62453.897148033037</v>
          </cell>
          <cell r="W77">
            <v>62453.897148033037</v>
          </cell>
          <cell r="X77">
            <v>3554.3353707004512</v>
          </cell>
          <cell r="AA77">
            <v>3554.3353707004512</v>
          </cell>
          <cell r="AB77">
            <v>17887.560807564998</v>
          </cell>
          <cell r="AC77"/>
          <cell r="AD77"/>
          <cell r="AE77">
            <v>17887.560807564998</v>
          </cell>
          <cell r="AF77">
            <v>3805.7526649593115</v>
          </cell>
          <cell r="AI77">
            <v>3805.7526649593115</v>
          </cell>
        </row>
        <row r="78">
          <cell r="E78">
            <v>47</v>
          </cell>
          <cell r="F78" t="str">
            <v>TH</v>
          </cell>
          <cell r="G78">
            <v>0.10792364863995128</v>
          </cell>
          <cell r="H78"/>
          <cell r="I78"/>
          <cell r="J78"/>
          <cell r="K78"/>
          <cell r="L78">
            <v>1693.6444886329532</v>
          </cell>
          <cell r="O78">
            <v>1693.6444886329532</v>
          </cell>
          <cell r="P78">
            <v>857.52611642594184</v>
          </cell>
          <cell r="Q78"/>
          <cell r="R78"/>
          <cell r="S78">
            <v>857.52611642594184</v>
          </cell>
          <cell r="T78">
            <v>1536.5797541106647</v>
          </cell>
          <cell r="W78">
            <v>1536.5797541106647</v>
          </cell>
          <cell r="X78">
            <v>738.44928901078606</v>
          </cell>
          <cell r="AA78">
            <v>738.44928901078606</v>
          </cell>
          <cell r="AB78">
            <v>1376.0454654445682</v>
          </cell>
          <cell r="AC78"/>
          <cell r="AD78"/>
          <cell r="AE78">
            <v>1376.0454654445682</v>
          </cell>
          <cell r="AF78">
            <v>370.68929673727695</v>
          </cell>
          <cell r="AI78">
            <v>370.68929673727695</v>
          </cell>
        </row>
        <row r="79">
          <cell r="E79">
            <v>23</v>
          </cell>
          <cell r="F79" t="str">
            <v>TH</v>
          </cell>
          <cell r="G79">
            <v>0</v>
          </cell>
          <cell r="H79"/>
          <cell r="I79"/>
          <cell r="J79"/>
          <cell r="K79"/>
          <cell r="L79">
            <v>0</v>
          </cell>
          <cell r="O79">
            <v>0</v>
          </cell>
          <cell r="P79">
            <v>0</v>
          </cell>
          <cell r="Q79"/>
          <cell r="R79"/>
          <cell r="S79">
            <v>0</v>
          </cell>
          <cell r="T79">
            <v>0</v>
          </cell>
          <cell r="W79">
            <v>0</v>
          </cell>
          <cell r="X79">
            <v>0</v>
          </cell>
          <cell r="AA79">
            <v>0</v>
          </cell>
          <cell r="AB79">
            <v>0</v>
          </cell>
          <cell r="AC79"/>
          <cell r="AD79"/>
          <cell r="AE79">
            <v>0</v>
          </cell>
          <cell r="AF79">
            <v>0</v>
          </cell>
          <cell r="AI79">
            <v>0</v>
          </cell>
        </row>
        <row r="80">
          <cell r="E80">
            <v>23</v>
          </cell>
          <cell r="F80" t="str">
            <v>TH</v>
          </cell>
          <cell r="G80">
            <v>0.10792364863995127</v>
          </cell>
          <cell r="H80"/>
          <cell r="I80"/>
          <cell r="J80"/>
          <cell r="K80"/>
          <cell r="L80">
            <v>8534.5623532853224</v>
          </cell>
          <cell r="O80">
            <v>8534.5623532853224</v>
          </cell>
          <cell r="P80">
            <v>4321.219806947277</v>
          </cell>
          <cell r="Q80"/>
          <cell r="R80"/>
          <cell r="S80">
            <v>4321.219806947277</v>
          </cell>
          <cell r="T80">
            <v>7743.0864684231665</v>
          </cell>
          <cell r="W80">
            <v>7743.0864684231665</v>
          </cell>
          <cell r="X80">
            <v>3721.1714407011009</v>
          </cell>
          <cell r="AA80">
            <v>3721.1714407011009</v>
          </cell>
          <cell r="AB80">
            <v>6934.1269107021772</v>
          </cell>
          <cell r="AC80"/>
          <cell r="AD80"/>
          <cell r="AE80">
            <v>6934.1269107021772</v>
          </cell>
          <cell r="AF80">
            <v>1867.9663518129312</v>
          </cell>
          <cell r="AI80">
            <v>1867.9663518129312</v>
          </cell>
        </row>
        <row r="81">
          <cell r="E81">
            <v>23</v>
          </cell>
          <cell r="F81" t="str">
            <v>TH</v>
          </cell>
          <cell r="G81">
            <v>0.10792364863995128</v>
          </cell>
          <cell r="H81"/>
          <cell r="I81"/>
          <cell r="J81"/>
          <cell r="K81"/>
          <cell r="L81">
            <v>1395.9778677125855</v>
          </cell>
          <cell r="O81">
            <v>1395.9778677125855</v>
          </cell>
          <cell r="P81">
            <v>706.81154607740905</v>
          </cell>
          <cell r="Q81"/>
          <cell r="R81"/>
          <cell r="S81">
            <v>706.81154607740905</v>
          </cell>
          <cell r="T81">
            <v>1266.5180580164872</v>
          </cell>
          <cell r="W81">
            <v>1266.5180580164872</v>
          </cell>
          <cell r="X81">
            <v>608.66307587327401</v>
          </cell>
          <cell r="AA81">
            <v>608.66307587327401</v>
          </cell>
          <cell r="AB81">
            <v>1134.1984859392674</v>
          </cell>
          <cell r="AC81"/>
          <cell r="AD81"/>
          <cell r="AE81">
            <v>1134.1984859392674</v>
          </cell>
          <cell r="AF81">
            <v>305.53877009977901</v>
          </cell>
          <cell r="AI81">
            <v>305.53877009977901</v>
          </cell>
        </row>
        <row r="82">
          <cell r="E82">
            <v>23</v>
          </cell>
          <cell r="F82" t="str">
            <v>TH</v>
          </cell>
          <cell r="G82">
            <v>0.10792364863995128</v>
          </cell>
          <cell r="H82"/>
          <cell r="I82"/>
          <cell r="J82"/>
          <cell r="K82"/>
          <cell r="L82">
            <v>161.71473786331126</v>
          </cell>
          <cell r="O82">
            <v>161.71473786331126</v>
          </cell>
          <cell r="P82">
            <v>81.879409793195435</v>
          </cell>
          <cell r="S82">
            <v>81.879409793195435</v>
          </cell>
          <cell r="T82">
            <v>146.71768119568429</v>
          </cell>
          <cell r="W82">
            <v>146.71768119568429</v>
          </cell>
          <cell r="X82">
            <v>70.509563252036259</v>
          </cell>
          <cell r="AA82">
            <v>70.509563252036259</v>
          </cell>
          <cell r="AB82">
            <v>131.38934010406268</v>
          </cell>
          <cell r="AC82"/>
          <cell r="AD82"/>
          <cell r="AE82">
            <v>131.38934010406268</v>
          </cell>
          <cell r="AF82">
            <v>35.394631431174815</v>
          </cell>
          <cell r="AI82">
            <v>35.394631431174815</v>
          </cell>
        </row>
        <row r="83">
          <cell r="E83">
            <v>23</v>
          </cell>
          <cell r="F83" t="str">
            <v>TH</v>
          </cell>
          <cell r="G83">
            <v>0.10792364863995126</v>
          </cell>
          <cell r="H83"/>
          <cell r="I83"/>
          <cell r="J83"/>
          <cell r="K83"/>
          <cell r="L83">
            <v>8.3425886202692592</v>
          </cell>
          <cell r="O83">
            <v>8.3425886202692592</v>
          </cell>
          <cell r="P83">
            <v>4.2240196620326067</v>
          </cell>
          <cell r="S83">
            <v>4.2240196620326067</v>
          </cell>
          <cell r="T83">
            <v>7.5689159424046704</v>
          </cell>
          <cell r="W83">
            <v>7.5689159424046704</v>
          </cell>
          <cell r="X83">
            <v>3.6374685930220796</v>
          </cell>
          <cell r="AA83">
            <v>3.6374685930220796</v>
          </cell>
          <cell r="AB83">
            <v>6.7781528638616599</v>
          </cell>
          <cell r="AC83"/>
          <cell r="AD83"/>
          <cell r="AE83">
            <v>6.7781528638616599</v>
          </cell>
          <cell r="AF83">
            <v>1.8259489103951079</v>
          </cell>
          <cell r="AI83">
            <v>1.8259489103951079</v>
          </cell>
        </row>
        <row r="84">
          <cell r="E84">
            <v>23</v>
          </cell>
          <cell r="F84" t="str">
            <v>TH</v>
          </cell>
          <cell r="G84">
            <v>0.10792364863995128</v>
          </cell>
          <cell r="H84"/>
          <cell r="I84"/>
          <cell r="J84"/>
          <cell r="K84"/>
          <cell r="L84">
            <v>-26.362580040050855</v>
          </cell>
          <cell r="O84">
            <v>-26.362580040050855</v>
          </cell>
          <cell r="P84">
            <v>-13.347902132023036</v>
          </cell>
          <cell r="S84">
            <v>-13.347902132023036</v>
          </cell>
          <cell r="T84">
            <v>-23.917774377998761</v>
          </cell>
          <cell r="W84">
            <v>-23.917774377998761</v>
          </cell>
          <cell r="X84">
            <v>-11.494400753949771</v>
          </cell>
          <cell r="AA84">
            <v>-11.494400753949771</v>
          </cell>
          <cell r="AB84">
            <v>-21.418963049802848</v>
          </cell>
          <cell r="AC84"/>
          <cell r="AD84"/>
          <cell r="AE84">
            <v>-21.418963049802848</v>
          </cell>
          <cell r="AF84">
            <v>-5.7699985568485408</v>
          </cell>
          <cell r="AI84">
            <v>-5.7699985568485408</v>
          </cell>
        </row>
        <row r="85">
          <cell r="E85">
            <v>24</v>
          </cell>
          <cell r="F85" t="str">
            <v>TH</v>
          </cell>
          <cell r="G85">
            <v>0.10792364863995127</v>
          </cell>
          <cell r="H85"/>
          <cell r="I85"/>
          <cell r="J85"/>
          <cell r="K85"/>
          <cell r="L85">
            <v>934.41212542913149</v>
          </cell>
          <cell r="O85">
            <v>934.41212542913149</v>
          </cell>
          <cell r="P85">
            <v>473.11156883185015</v>
          </cell>
          <cell r="S85">
            <v>473.11156883185015</v>
          </cell>
          <cell r="T85">
            <v>847.75687198016487</v>
          </cell>
          <cell r="W85">
            <v>847.75687198016487</v>
          </cell>
          <cell r="X85">
            <v>407.41488210619377</v>
          </cell>
          <cell r="AA85">
            <v>407.41488210619377</v>
          </cell>
          <cell r="AB85">
            <v>759.18740720552387</v>
          </cell>
          <cell r="AC85"/>
          <cell r="AD85"/>
          <cell r="AE85">
            <v>759.18740720552387</v>
          </cell>
          <cell r="AF85">
            <v>204.51551430234994</v>
          </cell>
          <cell r="AI85">
            <v>204.51551430234994</v>
          </cell>
        </row>
        <row r="86">
          <cell r="E86">
            <v>25</v>
          </cell>
          <cell r="F86" t="str">
            <v>TH</v>
          </cell>
          <cell r="G86">
            <v>0.10792364863995127</v>
          </cell>
          <cell r="H86"/>
          <cell r="I86"/>
          <cell r="J86"/>
          <cell r="K86"/>
          <cell r="L86">
            <v>1984.9132433137609</v>
          </cell>
          <cell r="O86">
            <v>1984.9132433137609</v>
          </cell>
          <cell r="P86">
            <v>1005.001318992957</v>
          </cell>
          <cell r="S86">
            <v>1005.001318992957</v>
          </cell>
          <cell r="T86">
            <v>1800.836907516458</v>
          </cell>
          <cell r="W86">
            <v>1800.836907516458</v>
          </cell>
          <cell r="X86">
            <v>865.44595581345709</v>
          </cell>
          <cell r="AA86">
            <v>865.44595581345709</v>
          </cell>
          <cell r="AB86">
            <v>1612.6943323078385</v>
          </cell>
          <cell r="AC86"/>
          <cell r="AD86"/>
          <cell r="AE86">
            <v>1612.6943323078385</v>
          </cell>
          <cell r="AF86">
            <v>434.43951737615521</v>
          </cell>
          <cell r="AI86">
            <v>434.43951737615521</v>
          </cell>
        </row>
        <row r="87">
          <cell r="E87">
            <v>23</v>
          </cell>
          <cell r="F87" t="str">
            <v>TH</v>
          </cell>
          <cell r="G87">
            <v>0.10792364863995127</v>
          </cell>
          <cell r="H87"/>
          <cell r="I87"/>
          <cell r="J87"/>
          <cell r="K87"/>
          <cell r="L87">
            <v>602.61659979251829</v>
          </cell>
          <cell r="O87">
            <v>602.61659979251829</v>
          </cell>
          <cell r="P87">
            <v>305.11685066267552</v>
          </cell>
          <cell r="S87">
            <v>305.11685066267552</v>
          </cell>
          <cell r="T87">
            <v>546.73130810327245</v>
          </cell>
          <cell r="W87">
            <v>546.73130810327245</v>
          </cell>
          <cell r="X87">
            <v>262.74805760568518</v>
          </cell>
          <cell r="AA87">
            <v>262.74805760568518</v>
          </cell>
          <cell r="AB87">
            <v>489.61151239918161</v>
          </cell>
          <cell r="AC87"/>
          <cell r="AD87"/>
          <cell r="AE87">
            <v>489.61151239918161</v>
          </cell>
          <cell r="AF87">
            <v>131.89516753873448</v>
          </cell>
          <cell r="AI87">
            <v>131.89516753873448</v>
          </cell>
        </row>
        <row r="88">
          <cell r="E88">
            <v>23</v>
          </cell>
          <cell r="F88" t="str">
            <v>TH</v>
          </cell>
          <cell r="G88">
            <v>0.10792364863995128</v>
          </cell>
          <cell r="H88"/>
          <cell r="I88"/>
          <cell r="J88"/>
          <cell r="K88"/>
          <cell r="L88">
            <v>212.52160528932521</v>
          </cell>
          <cell r="O88">
            <v>212.52160528932521</v>
          </cell>
          <cell r="P88">
            <v>107.60394407651722</v>
          </cell>
          <cell r="S88">
            <v>107.60394407651722</v>
          </cell>
          <cell r="T88">
            <v>192.81283539159932</v>
          </cell>
          <cell r="W88">
            <v>192.81283539159932</v>
          </cell>
          <cell r="X88">
            <v>92.661966179222361</v>
          </cell>
          <cell r="AA88">
            <v>92.661966179222361</v>
          </cell>
          <cell r="AB88">
            <v>172.66869949987108</v>
          </cell>
          <cell r="AC88"/>
          <cell r="AD88"/>
          <cell r="AE88">
            <v>172.66869949987108</v>
          </cell>
          <cell r="AF88">
            <v>46.514770328078093</v>
          </cell>
          <cell r="AI88">
            <v>46.514770328078093</v>
          </cell>
        </row>
        <row r="89">
          <cell r="E89">
            <v>29</v>
          </cell>
          <cell r="F89" t="str">
            <v>TH</v>
          </cell>
          <cell r="G89">
            <v>0.10792364863995128</v>
          </cell>
          <cell r="H89"/>
          <cell r="I89"/>
          <cell r="J89"/>
          <cell r="K89"/>
          <cell r="L89">
            <v>7.6540469728097031</v>
          </cell>
          <cell r="O89">
            <v>7.6540469728097031</v>
          </cell>
          <cell r="P89">
            <v>3.8753972392595157</v>
          </cell>
          <cell r="S89">
            <v>3.8753972392595157</v>
          </cell>
          <cell r="T89">
            <v>6.9442280799582052</v>
          </cell>
          <cell r="W89">
            <v>6.9442280799582052</v>
          </cell>
          <cell r="X89">
            <v>3.3372561851446574</v>
          </cell>
          <cell r="AA89">
            <v>3.3372561851446574</v>
          </cell>
          <cell r="AB89">
            <v>6.2187293141642783</v>
          </cell>
          <cell r="AC89"/>
          <cell r="AD89"/>
          <cell r="AE89">
            <v>6.2187293141642783</v>
          </cell>
          <cell r="AF89">
            <v>1.6752472603238318</v>
          </cell>
          <cell r="AI89">
            <v>1.6752472603238318</v>
          </cell>
        </row>
        <row r="90">
          <cell r="E90">
            <v>28</v>
          </cell>
          <cell r="F90" t="str">
            <v>TH</v>
          </cell>
          <cell r="G90">
            <v>0.10792364863995128</v>
          </cell>
          <cell r="H90"/>
          <cell r="I90"/>
          <cell r="J90"/>
          <cell r="K90"/>
          <cell r="L90">
            <v>72.904491521096347</v>
          </cell>
          <cell r="O90">
            <v>72.904491521096347</v>
          </cell>
          <cell r="P90">
            <v>36.913003823225942</v>
          </cell>
          <cell r="S90">
            <v>36.913003823225942</v>
          </cell>
          <cell r="T90">
            <v>66.143494934684014</v>
          </cell>
          <cell r="W90">
            <v>66.143494934684014</v>
          </cell>
          <cell r="X90">
            <v>31.787231789654452</v>
          </cell>
          <cell r="AA90">
            <v>31.787231789654452</v>
          </cell>
          <cell r="AB90">
            <v>59.233148185143065</v>
          </cell>
          <cell r="AC90"/>
          <cell r="AD90"/>
          <cell r="AE90">
            <v>59.233148185143065</v>
          </cell>
          <cell r="AF90">
            <v>15.956663203124448</v>
          </cell>
          <cell r="AI90">
            <v>15.956663203124448</v>
          </cell>
        </row>
        <row r="91">
          <cell r="E91">
            <v>26</v>
          </cell>
          <cell r="F91" t="str">
            <v>TH</v>
          </cell>
          <cell r="G91">
            <v>0.10792364863995127</v>
          </cell>
          <cell r="H91"/>
          <cell r="I91"/>
          <cell r="J91"/>
          <cell r="K91"/>
          <cell r="L91">
            <v>207.04720204629956</v>
          </cell>
          <cell r="O91">
            <v>207.04720204629956</v>
          </cell>
          <cell r="P91">
            <v>104.83214410063768</v>
          </cell>
          <cell r="S91">
            <v>104.83214410063768</v>
          </cell>
          <cell r="T91">
            <v>187.84611584359033</v>
          </cell>
          <cell r="W91">
            <v>187.84611584359033</v>
          </cell>
          <cell r="X91">
            <v>90.275060775105572</v>
          </cell>
          <cell r="AA91">
            <v>90.275060775105572</v>
          </cell>
          <cell r="AB91">
            <v>168.22087836081911</v>
          </cell>
          <cell r="AC91"/>
          <cell r="AD91"/>
          <cell r="AE91">
            <v>168.22087836081911</v>
          </cell>
          <cell r="AF91">
            <v>45.316583399337567</v>
          </cell>
          <cell r="AI91">
            <v>45.316583399337567</v>
          </cell>
        </row>
        <row r="92">
          <cell r="E92">
            <v>31</v>
          </cell>
          <cell r="F92" t="str">
            <v>TH</v>
          </cell>
          <cell r="G92">
            <v>0.10792364863995128</v>
          </cell>
          <cell r="H92"/>
          <cell r="I92"/>
          <cell r="J92"/>
          <cell r="K92"/>
          <cell r="L92">
            <v>9337.6753495451612</v>
          </cell>
          <cell r="O92">
            <v>9337.6753495451612</v>
          </cell>
          <cell r="P92">
            <v>4727.8519976792213</v>
          </cell>
          <cell r="S92">
            <v>4727.8519976792213</v>
          </cell>
          <cell r="T92">
            <v>8471.7205935884194</v>
          </cell>
          <cell r="W92">
            <v>8471.7205935884194</v>
          </cell>
          <cell r="X92">
            <v>4071.3383293626612</v>
          </cell>
          <cell r="AA92">
            <v>4071.3383293626612</v>
          </cell>
          <cell r="AB92">
            <v>7586.636929280493</v>
          </cell>
          <cell r="AC92"/>
          <cell r="AD92"/>
          <cell r="AE92">
            <v>7586.636929280493</v>
          </cell>
          <cell r="AF92">
            <v>2043.7443227992885</v>
          </cell>
          <cell r="AI92">
            <v>2043.7443227992885</v>
          </cell>
        </row>
        <row r="93">
          <cell r="E93">
            <v>31</v>
          </cell>
          <cell r="F93" t="str">
            <v>TH</v>
          </cell>
          <cell r="G93">
            <v>0.10792364863995128</v>
          </cell>
          <cell r="H93"/>
          <cell r="I93"/>
          <cell r="J93"/>
          <cell r="K93"/>
          <cell r="L93">
            <v>228.49349120283068</v>
          </cell>
          <cell r="O93">
            <v>228.49349120283068</v>
          </cell>
          <cell r="P93">
            <v>115.69082971947864</v>
          </cell>
          <cell r="S93">
            <v>115.69082971947864</v>
          </cell>
          <cell r="T93">
            <v>207.30352496333305</v>
          </cell>
          <cell r="W93">
            <v>207.30352496333305</v>
          </cell>
          <cell r="X93">
            <v>99.625899800563133</v>
          </cell>
          <cell r="AA93">
            <v>99.625899800563133</v>
          </cell>
          <cell r="AB93">
            <v>185.64547315773422</v>
          </cell>
          <cell r="AC93"/>
          <cell r="AD93"/>
          <cell r="AE93">
            <v>185.64547315773422</v>
          </cell>
          <cell r="AF93">
            <v>50.010549517029531</v>
          </cell>
          <cell r="AI93">
            <v>50.010549517029531</v>
          </cell>
        </row>
        <row r="94">
          <cell r="E94">
            <v>31</v>
          </cell>
          <cell r="F94" t="str">
            <v>TH</v>
          </cell>
          <cell r="G94">
            <v>0.10792364863995128</v>
          </cell>
          <cell r="H94"/>
          <cell r="I94"/>
          <cell r="J94"/>
          <cell r="K94"/>
          <cell r="L94">
            <v>871.74294695665776</v>
          </cell>
          <cell r="O94">
            <v>871.74294695665776</v>
          </cell>
          <cell r="P94">
            <v>441.38090894673934</v>
          </cell>
          <cell r="S94">
            <v>441.38090894673934</v>
          </cell>
          <cell r="T94">
            <v>790.89949046128561</v>
          </cell>
          <cell r="W94">
            <v>790.89949046128561</v>
          </cell>
          <cell r="X94">
            <v>380.09036943751545</v>
          </cell>
          <cell r="AA94">
            <v>380.09036943751545</v>
          </cell>
          <cell r="AB94">
            <v>708.27020501878269</v>
          </cell>
          <cell r="AC94"/>
          <cell r="AD94"/>
          <cell r="AE94">
            <v>708.27020501878269</v>
          </cell>
          <cell r="AF94">
            <v>190.79906208880706</v>
          </cell>
          <cell r="AI94">
            <v>190.79906208880706</v>
          </cell>
        </row>
        <row r="95">
          <cell r="E95">
            <v>31</v>
          </cell>
          <cell r="F95" t="str">
            <v>TH</v>
          </cell>
          <cell r="G95">
            <v>0.10792364863995126</v>
          </cell>
          <cell r="H95"/>
          <cell r="I95"/>
          <cell r="J95"/>
          <cell r="K95"/>
          <cell r="L95">
            <v>4167.2386997200292</v>
          </cell>
          <cell r="O95">
            <v>4167.2386997200292</v>
          </cell>
          <cell r="P95">
            <v>2109.9563942579339</v>
          </cell>
          <cell r="S95">
            <v>2109.9563942579339</v>
          </cell>
          <cell r="T95">
            <v>3780.7784688655347</v>
          </cell>
          <cell r="W95">
            <v>3780.7784688655347</v>
          </cell>
          <cell r="X95">
            <v>1816.9660017790186</v>
          </cell>
          <cell r="AA95">
            <v>1816.9660017790186</v>
          </cell>
          <cell r="AB95">
            <v>3385.7813458852779</v>
          </cell>
          <cell r="AC95"/>
          <cell r="AD95"/>
          <cell r="AE95">
            <v>3385.7813458852779</v>
          </cell>
          <cell r="AF95">
            <v>912.08680056724722</v>
          </cell>
          <cell r="AI95">
            <v>912.08680056724722</v>
          </cell>
        </row>
        <row r="96">
          <cell r="E96">
            <v>30</v>
          </cell>
          <cell r="F96" t="str">
            <v>TH</v>
          </cell>
          <cell r="G96">
            <v>0.10792364863995128</v>
          </cell>
          <cell r="H96"/>
          <cell r="I96"/>
          <cell r="J96"/>
          <cell r="K96"/>
          <cell r="L96">
            <v>18913.777154390733</v>
          </cell>
          <cell r="O96">
            <v>18913.777154390733</v>
          </cell>
          <cell r="P96">
            <v>9576.4240836881909</v>
          </cell>
          <cell r="S96">
            <v>9576.4240836881909</v>
          </cell>
          <cell r="T96">
            <v>17159.756515758396</v>
          </cell>
          <cell r="W96">
            <v>17159.756515758396</v>
          </cell>
          <cell r="X96">
            <v>8246.6334498816905</v>
          </cell>
          <cell r="AA96">
            <v>8246.6334498816905</v>
          </cell>
          <cell r="AB96">
            <v>15366.989626456862</v>
          </cell>
          <cell r="AC96"/>
          <cell r="AD96"/>
          <cell r="AE96">
            <v>15366.989626456862</v>
          </cell>
          <cell r="AF96">
            <v>4139.6732307532857</v>
          </cell>
          <cell r="AI96">
            <v>4139.6732307532857</v>
          </cell>
        </row>
        <row r="97">
          <cell r="E97">
            <v>30</v>
          </cell>
          <cell r="F97" t="str">
            <v>TH</v>
          </cell>
          <cell r="G97">
            <v>0</v>
          </cell>
          <cell r="H97"/>
          <cell r="I97"/>
          <cell r="J97"/>
          <cell r="K97"/>
          <cell r="L97">
            <v>0</v>
          </cell>
          <cell r="O97">
            <v>0</v>
          </cell>
          <cell r="P97">
            <v>0</v>
          </cell>
          <cell r="S97">
            <v>0</v>
          </cell>
          <cell r="T97">
            <v>0</v>
          </cell>
          <cell r="W97">
            <v>0</v>
          </cell>
          <cell r="X97">
            <v>0</v>
          </cell>
          <cell r="AA97">
            <v>0</v>
          </cell>
          <cell r="AB97">
            <v>0</v>
          </cell>
          <cell r="AC97"/>
          <cell r="AD97"/>
          <cell r="AE97">
            <v>0</v>
          </cell>
          <cell r="AF97">
            <v>0</v>
          </cell>
          <cell r="AI97">
            <v>0</v>
          </cell>
        </row>
        <row r="98">
          <cell r="E98">
            <v>30</v>
          </cell>
          <cell r="F98" t="str">
            <v>TH</v>
          </cell>
          <cell r="G98">
            <v>0.10792364863995126</v>
          </cell>
          <cell r="H98"/>
          <cell r="I98"/>
          <cell r="J98"/>
          <cell r="K98"/>
          <cell r="L98">
            <v>1778.0136435223112</v>
          </cell>
          <cell r="O98">
            <v>1778.0136435223112</v>
          </cell>
          <cell r="P98">
            <v>900.24390886938852</v>
          </cell>
          <cell r="S98">
            <v>900.24390886938852</v>
          </cell>
          <cell r="T98">
            <v>1613.1247056305992</v>
          </cell>
          <cell r="W98">
            <v>1613.1247056305992</v>
          </cell>
          <cell r="X98">
            <v>775.23525138992454</v>
          </cell>
          <cell r="AA98">
            <v>775.23525138992454</v>
          </cell>
          <cell r="AB98">
            <v>1444.5933772336587</v>
          </cell>
          <cell r="AC98"/>
          <cell r="AD98"/>
          <cell r="AE98">
            <v>1444.5933772336587</v>
          </cell>
          <cell r="AF98">
            <v>389.15523979803004</v>
          </cell>
          <cell r="AI98">
            <v>389.15523979803004</v>
          </cell>
        </row>
        <row r="99">
          <cell r="E99">
            <v>31</v>
          </cell>
          <cell r="F99" t="str">
            <v>TH</v>
          </cell>
          <cell r="G99">
            <v>0.10792364863995127</v>
          </cell>
          <cell r="H99"/>
          <cell r="I99"/>
          <cell r="J99"/>
          <cell r="K99"/>
          <cell r="L99">
            <v>969.17659562535721</v>
          </cell>
          <cell r="O99">
            <v>969.17659562535721</v>
          </cell>
          <cell r="P99">
            <v>490.71351618092899</v>
          </cell>
          <cell r="S99">
            <v>490.71351618092899</v>
          </cell>
          <cell r="T99">
            <v>879.29736434702579</v>
          </cell>
          <cell r="W99">
            <v>879.29736434702579</v>
          </cell>
          <cell r="X99">
            <v>422.57260763332658</v>
          </cell>
          <cell r="AA99">
            <v>422.57260763332658</v>
          </cell>
          <cell r="AB99">
            <v>787.43270419268072</v>
          </cell>
          <cell r="AC99"/>
          <cell r="AD99"/>
          <cell r="AE99">
            <v>787.43270419268072</v>
          </cell>
          <cell r="AF99">
            <v>212.1244411432389</v>
          </cell>
          <cell r="AI99">
            <v>212.1244411432389</v>
          </cell>
        </row>
        <row r="100">
          <cell r="E100">
            <v>23</v>
          </cell>
          <cell r="F100" t="str">
            <v>TH</v>
          </cell>
          <cell r="G100">
            <v>0</v>
          </cell>
          <cell r="H100"/>
          <cell r="I100"/>
          <cell r="J100"/>
          <cell r="K100"/>
          <cell r="L100">
            <v>0</v>
          </cell>
          <cell r="O100">
            <v>0</v>
          </cell>
          <cell r="P100">
            <v>0</v>
          </cell>
          <cell r="S100">
            <v>0</v>
          </cell>
          <cell r="T100">
            <v>0</v>
          </cell>
          <cell r="W100">
            <v>0</v>
          </cell>
          <cell r="X100">
            <v>0</v>
          </cell>
          <cell r="AA100">
            <v>0</v>
          </cell>
          <cell r="AB100">
            <v>0</v>
          </cell>
          <cell r="AC100"/>
          <cell r="AD100"/>
          <cell r="AE100">
            <v>0</v>
          </cell>
          <cell r="AF100">
            <v>0</v>
          </cell>
          <cell r="AI100">
            <v>0</v>
          </cell>
        </row>
        <row r="101">
          <cell r="E101">
            <v>31</v>
          </cell>
          <cell r="F101" t="str">
            <v>TH</v>
          </cell>
          <cell r="G101">
            <v>0</v>
          </cell>
          <cell r="H101"/>
          <cell r="I101"/>
          <cell r="J101"/>
          <cell r="K101"/>
          <cell r="L101">
            <v>0</v>
          </cell>
          <cell r="O101">
            <v>0</v>
          </cell>
          <cell r="P101">
            <v>0</v>
          </cell>
          <cell r="S101">
            <v>0</v>
          </cell>
          <cell r="T101">
            <v>0</v>
          </cell>
          <cell r="W101">
            <v>0</v>
          </cell>
          <cell r="X101">
            <v>0</v>
          </cell>
          <cell r="AA101">
            <v>0</v>
          </cell>
          <cell r="AB101">
            <v>0</v>
          </cell>
          <cell r="AC101"/>
          <cell r="AD101"/>
          <cell r="AE101">
            <v>0</v>
          </cell>
          <cell r="AF101">
            <v>0</v>
          </cell>
          <cell r="AI101">
            <v>0</v>
          </cell>
        </row>
        <row r="102">
          <cell r="E102">
            <v>31</v>
          </cell>
          <cell r="F102" t="str">
            <v>TH</v>
          </cell>
          <cell r="G102">
            <v>0.10792364863995127</v>
          </cell>
          <cell r="H102"/>
          <cell r="I102"/>
          <cell r="J102"/>
          <cell r="K102"/>
          <cell r="L102">
            <v>18.392627044820294</v>
          </cell>
          <cell r="O102">
            <v>18.392627044820294</v>
          </cell>
          <cell r="P102">
            <v>9.3125553482278853</v>
          </cell>
          <cell r="S102">
            <v>9.3125553482278853</v>
          </cell>
          <cell r="T102">
            <v>16.686936681021496</v>
          </cell>
          <cell r="W102">
            <v>16.686936681021496</v>
          </cell>
          <cell r="X102">
            <v>8.0194057580826783</v>
          </cell>
          <cell r="AA102">
            <v>8.0194057580826783</v>
          </cell>
          <cell r="AB102">
            <v>14.943567680527005</v>
          </cell>
          <cell r="AC102"/>
          <cell r="AD102"/>
          <cell r="AE102">
            <v>14.943567680527005</v>
          </cell>
          <cell r="AF102">
            <v>4.0256086977844143</v>
          </cell>
          <cell r="AI102">
            <v>4.0256086977844143</v>
          </cell>
        </row>
        <row r="103">
          <cell r="E103">
            <v>31</v>
          </cell>
          <cell r="F103" t="str">
            <v>TH</v>
          </cell>
          <cell r="G103">
            <v>0.10792364863995128</v>
          </cell>
          <cell r="H103"/>
          <cell r="I103"/>
          <cell r="J103"/>
          <cell r="K103"/>
          <cell r="L103">
            <v>1.9466040113961602</v>
          </cell>
          <cell r="O103">
            <v>1.9466040113961602</v>
          </cell>
          <cell r="P103">
            <v>0.98560458780760818</v>
          </cell>
          <cell r="S103">
            <v>0.98560458780760818</v>
          </cell>
          <cell r="T103">
            <v>1.7660803865610899</v>
          </cell>
          <cell r="W103">
            <v>1.7660803865610899</v>
          </cell>
          <cell r="X103">
            <v>0.84874267170515183</v>
          </cell>
          <cell r="AA103">
            <v>0.84874267170515183</v>
          </cell>
          <cell r="AB103">
            <v>1.5815690015677206</v>
          </cell>
          <cell r="AC103"/>
          <cell r="AD103"/>
          <cell r="AE103">
            <v>1.5815690015677206</v>
          </cell>
          <cell r="AF103">
            <v>0.42605474575885854</v>
          </cell>
          <cell r="AI103">
            <v>0.42605474575885854</v>
          </cell>
        </row>
        <row r="104">
          <cell r="E104">
            <v>31</v>
          </cell>
          <cell r="F104" t="str">
            <v>TH</v>
          </cell>
          <cell r="G104">
            <v>0.10792364863995127</v>
          </cell>
          <cell r="H104"/>
          <cell r="I104"/>
          <cell r="J104"/>
          <cell r="K104"/>
          <cell r="L104">
            <v>165.74498898176279</v>
          </cell>
          <cell r="O104">
            <v>165.74498898176279</v>
          </cell>
          <cell r="P104">
            <v>83.920006632155804</v>
          </cell>
          <cell r="S104">
            <v>83.920006632155804</v>
          </cell>
          <cell r="T104">
            <v>150.3741759997344</v>
          </cell>
          <cell r="W104">
            <v>150.3741759997344</v>
          </cell>
          <cell r="X104">
            <v>72.266801027100655</v>
          </cell>
          <cell r="AA104">
            <v>72.266801027100655</v>
          </cell>
          <cell r="AB104">
            <v>134.66382233062754</v>
          </cell>
          <cell r="AC104"/>
          <cell r="AD104"/>
          <cell r="AE104">
            <v>134.66382233062754</v>
          </cell>
          <cell r="AF104">
            <v>36.276735652456409</v>
          </cell>
          <cell r="AI104">
            <v>36.276735652456409</v>
          </cell>
        </row>
        <row r="105">
          <cell r="E105">
            <v>31</v>
          </cell>
          <cell r="F105" t="str">
            <v>TH</v>
          </cell>
          <cell r="G105">
            <v>0</v>
          </cell>
          <cell r="H105"/>
          <cell r="I105"/>
          <cell r="J105"/>
          <cell r="K105"/>
          <cell r="L105">
            <v>0</v>
          </cell>
          <cell r="O105">
            <v>0</v>
          </cell>
          <cell r="P105">
            <v>0</v>
          </cell>
          <cell r="S105">
            <v>0</v>
          </cell>
          <cell r="T105">
            <v>0</v>
          </cell>
          <cell r="W105">
            <v>0</v>
          </cell>
          <cell r="X105">
            <v>0</v>
          </cell>
          <cell r="AA105">
            <v>0</v>
          </cell>
          <cell r="AB105">
            <v>0</v>
          </cell>
          <cell r="AC105"/>
          <cell r="AD105"/>
          <cell r="AE105">
            <v>0</v>
          </cell>
          <cell r="AF105">
            <v>0</v>
          </cell>
          <cell r="AI105">
            <v>0</v>
          </cell>
        </row>
        <row r="106">
          <cell r="E106">
            <v>31</v>
          </cell>
          <cell r="F106" t="str">
            <v>TH</v>
          </cell>
          <cell r="G106">
            <v>0.10792364863995128</v>
          </cell>
          <cell r="H106"/>
          <cell r="I106"/>
          <cell r="J106"/>
          <cell r="K106"/>
          <cell r="L106">
            <v>16.608147338944701</v>
          </cell>
          <cell r="O106">
            <v>16.608147338944701</v>
          </cell>
          <cell r="P106">
            <v>8.409037542519112</v>
          </cell>
          <cell r="S106">
            <v>8.409037542519112</v>
          </cell>
          <cell r="T106">
            <v>15.067945560941139</v>
          </cell>
          <cell r="W106">
            <v>15.067945560941139</v>
          </cell>
          <cell r="X106">
            <v>7.2413512260352562</v>
          </cell>
          <cell r="AA106">
            <v>7.2413512260352562</v>
          </cell>
          <cell r="AB106">
            <v>13.493720782946996</v>
          </cell>
          <cell r="AC106"/>
          <cell r="AD106"/>
          <cell r="AE106">
            <v>13.493720782946996</v>
          </cell>
          <cell r="AF106">
            <v>3.6350382258509009</v>
          </cell>
          <cell r="AI106">
            <v>3.6350382258509009</v>
          </cell>
        </row>
        <row r="107">
          <cell r="E107">
            <v>31</v>
          </cell>
          <cell r="F107" t="str">
            <v>TH</v>
          </cell>
          <cell r="G107">
            <v>0</v>
          </cell>
          <cell r="H107"/>
          <cell r="I107"/>
          <cell r="J107"/>
          <cell r="K107"/>
          <cell r="L107">
            <v>0</v>
          </cell>
          <cell r="O107">
            <v>0</v>
          </cell>
          <cell r="P107">
            <v>0</v>
          </cell>
          <cell r="S107">
            <v>0</v>
          </cell>
          <cell r="T107">
            <v>0</v>
          </cell>
          <cell r="W107">
            <v>0</v>
          </cell>
          <cell r="X107">
            <v>0</v>
          </cell>
          <cell r="AA107">
            <v>0</v>
          </cell>
          <cell r="AB107">
            <v>0</v>
          </cell>
          <cell r="AC107"/>
          <cell r="AD107"/>
          <cell r="AE107">
            <v>0</v>
          </cell>
          <cell r="AF107">
            <v>0</v>
          </cell>
          <cell r="AI107">
            <v>0</v>
          </cell>
        </row>
        <row r="108">
          <cell r="E108">
            <v>23</v>
          </cell>
          <cell r="F108" t="str">
            <v>TH</v>
          </cell>
          <cell r="G108">
            <v>0</v>
          </cell>
          <cell r="H108"/>
          <cell r="I108"/>
          <cell r="J108"/>
          <cell r="K108"/>
          <cell r="L108">
            <v>0</v>
          </cell>
          <cell r="O108">
            <v>0</v>
          </cell>
          <cell r="P108">
            <v>0</v>
          </cell>
          <cell r="S108">
            <v>0</v>
          </cell>
          <cell r="T108">
            <v>0</v>
          </cell>
          <cell r="W108">
            <v>0</v>
          </cell>
          <cell r="X108">
            <v>0</v>
          </cell>
          <cell r="AA108">
            <v>0</v>
          </cell>
          <cell r="AB108">
            <v>0</v>
          </cell>
          <cell r="AC108"/>
          <cell r="AD108"/>
          <cell r="AE108">
            <v>0</v>
          </cell>
          <cell r="AF108">
            <v>0</v>
          </cell>
          <cell r="AI108">
            <v>0</v>
          </cell>
        </row>
        <row r="109">
          <cell r="E109">
            <v>23</v>
          </cell>
          <cell r="F109" t="str">
            <v>TH</v>
          </cell>
          <cell r="G109">
            <v>0</v>
          </cell>
          <cell r="H109"/>
          <cell r="I109"/>
          <cell r="J109"/>
          <cell r="K109"/>
          <cell r="L109">
            <v>0</v>
          </cell>
          <cell r="O109">
            <v>0</v>
          </cell>
          <cell r="P109">
            <v>0</v>
          </cell>
          <cell r="S109">
            <v>0</v>
          </cell>
          <cell r="T109">
            <v>0</v>
          </cell>
          <cell r="W109">
            <v>0</v>
          </cell>
          <cell r="X109">
            <v>0</v>
          </cell>
          <cell r="AA109">
            <v>0</v>
          </cell>
          <cell r="AB109">
            <v>0</v>
          </cell>
          <cell r="AC109"/>
          <cell r="AD109"/>
          <cell r="AE109">
            <v>0</v>
          </cell>
          <cell r="AF109">
            <v>0</v>
          </cell>
          <cell r="AI109">
            <v>0</v>
          </cell>
        </row>
        <row r="110">
          <cell r="E110">
            <v>36</v>
          </cell>
          <cell r="F110" t="str">
            <v>Act</v>
          </cell>
          <cell r="G110">
            <v>0.20338583504660807</v>
          </cell>
          <cell r="H110"/>
          <cell r="I110"/>
          <cell r="J110"/>
          <cell r="K110"/>
          <cell r="L110">
            <v>0</v>
          </cell>
          <cell r="M110">
            <v>14716.164445392491</v>
          </cell>
          <cell r="O110">
            <v>14716.164445392491</v>
          </cell>
          <cell r="P110">
            <v>0</v>
          </cell>
          <cell r="Q110">
            <v>3719.6306371549163</v>
          </cell>
          <cell r="S110">
            <v>3719.6306371549163</v>
          </cell>
          <cell r="T110">
            <v>0</v>
          </cell>
          <cell r="U110">
            <v>5720.5636080203649</v>
          </cell>
          <cell r="W110">
            <v>5720.5636080203649</v>
          </cell>
          <cell r="X110">
            <v>0</v>
          </cell>
          <cell r="Y110">
            <v>1761.9498309671424</v>
          </cell>
          <cell r="AA110">
            <v>1761.9498309671424</v>
          </cell>
          <cell r="AB110">
            <v>0</v>
          </cell>
          <cell r="AC110">
            <v>21102.903194076753</v>
          </cell>
          <cell r="AD110"/>
          <cell r="AE110">
            <v>21102.903194076753</v>
          </cell>
          <cell r="AF110">
            <v>0</v>
          </cell>
          <cell r="AG110">
            <v>899.90180182292522</v>
          </cell>
          <cell r="AI110">
            <v>899.90180182292522</v>
          </cell>
        </row>
        <row r="111">
          <cell r="E111">
            <v>36</v>
          </cell>
          <cell r="F111" t="str">
            <v>Cont</v>
          </cell>
          <cell r="G111">
            <v>0</v>
          </cell>
          <cell r="H111"/>
          <cell r="I111"/>
          <cell r="J111"/>
          <cell r="K111"/>
          <cell r="L111">
            <v>0</v>
          </cell>
          <cell r="O111">
            <v>0</v>
          </cell>
          <cell r="P111">
            <v>0</v>
          </cell>
          <cell r="S111">
            <v>0</v>
          </cell>
          <cell r="T111">
            <v>0</v>
          </cell>
          <cell r="W111">
            <v>0</v>
          </cell>
          <cell r="X111">
            <v>0</v>
          </cell>
          <cell r="AA111">
            <v>0</v>
          </cell>
          <cell r="AB111">
            <v>0</v>
          </cell>
          <cell r="AC111"/>
          <cell r="AD111"/>
          <cell r="AE111">
            <v>0</v>
          </cell>
          <cell r="AF111">
            <v>0</v>
          </cell>
          <cell r="AI111">
            <v>0</v>
          </cell>
        </row>
        <row r="112">
          <cell r="E112">
            <v>23</v>
          </cell>
          <cell r="F112" t="str">
            <v>Cont</v>
          </cell>
          <cell r="G112">
            <v>8.1252907606838676E-2</v>
          </cell>
          <cell r="H112"/>
          <cell r="I112"/>
          <cell r="J112"/>
          <cell r="K112"/>
          <cell r="L112">
            <v>879.94748755281762</v>
          </cell>
          <cell r="O112">
            <v>879.94748755281762</v>
          </cell>
          <cell r="P112">
            <v>2912.3787952388561</v>
          </cell>
          <cell r="S112">
            <v>2912.3787952388561</v>
          </cell>
          <cell r="T112">
            <v>1365.6390202525579</v>
          </cell>
          <cell r="W112">
            <v>1365.6390202525579</v>
          </cell>
          <cell r="X112">
            <v>1379.5631412231742</v>
          </cell>
          <cell r="AA112">
            <v>1379.5631412231742</v>
          </cell>
          <cell r="AB112">
            <v>576.59697146760948</v>
          </cell>
          <cell r="AC112"/>
          <cell r="AD112"/>
          <cell r="AE112">
            <v>576.59697146760948</v>
          </cell>
          <cell r="AF112">
            <v>205.47804824864178</v>
          </cell>
          <cell r="AI112">
            <v>205.47804824864178</v>
          </cell>
        </row>
        <row r="113">
          <cell r="E113">
            <v>23</v>
          </cell>
          <cell r="F113" t="str">
            <v>Cont</v>
          </cell>
          <cell r="G113">
            <v>8.1252907606838648E-2</v>
          </cell>
          <cell r="H113"/>
          <cell r="I113"/>
          <cell r="J113"/>
          <cell r="K113"/>
          <cell r="L113">
            <v>334.80517711295226</v>
          </cell>
          <cell r="O113">
            <v>334.80517711295226</v>
          </cell>
          <cell r="P113">
            <v>1108.1110090690772</v>
          </cell>
          <cell r="S113">
            <v>1108.1110090690772</v>
          </cell>
          <cell r="T113">
            <v>519.60261324181806</v>
          </cell>
          <cell r="W113">
            <v>519.60261324181806</v>
          </cell>
          <cell r="X113">
            <v>524.90050641573271</v>
          </cell>
          <cell r="AA113">
            <v>524.90050641573271</v>
          </cell>
          <cell r="AB113">
            <v>219.38542229591567</v>
          </cell>
          <cell r="AC113"/>
          <cell r="AD113"/>
          <cell r="AE113">
            <v>219.38542229591567</v>
          </cell>
          <cell r="AF113">
            <v>78.180931600854123</v>
          </cell>
          <cell r="AI113">
            <v>78.180931600854123</v>
          </cell>
        </row>
        <row r="114">
          <cell r="E114">
            <v>23</v>
          </cell>
          <cell r="F114" t="str">
            <v>Cont</v>
          </cell>
          <cell r="G114">
            <v>8.1252907606838662E-2</v>
          </cell>
          <cell r="H114"/>
          <cell r="I114"/>
          <cell r="J114"/>
          <cell r="K114"/>
          <cell r="L114">
            <v>34.84133338277492</v>
          </cell>
          <cell r="O114">
            <v>34.84133338277492</v>
          </cell>
          <cell r="P114">
            <v>115.31501819959536</v>
          </cell>
          <cell r="S114">
            <v>115.31501819959536</v>
          </cell>
          <cell r="T114">
            <v>54.072186190871442</v>
          </cell>
          <cell r="W114">
            <v>54.072186190871442</v>
          </cell>
          <cell r="X114">
            <v>54.623508795528814</v>
          </cell>
          <cell r="AA114">
            <v>54.623508795528814</v>
          </cell>
          <cell r="AB114">
            <v>22.830234297584155</v>
          </cell>
          <cell r="AC114"/>
          <cell r="AD114"/>
          <cell r="AE114">
            <v>22.830234297584155</v>
          </cell>
          <cell r="AF114">
            <v>8.1358595633732325</v>
          </cell>
          <cell r="AI114">
            <v>8.1358595633732325</v>
          </cell>
        </row>
        <row r="115">
          <cell r="E115">
            <v>23</v>
          </cell>
          <cell r="F115" t="str">
            <v>Cont</v>
          </cell>
          <cell r="G115">
            <v>0</v>
          </cell>
          <cell r="H115"/>
          <cell r="I115"/>
          <cell r="J115"/>
          <cell r="K115"/>
          <cell r="L115">
            <v>0</v>
          </cell>
          <cell r="O115">
            <v>0</v>
          </cell>
          <cell r="P115">
            <v>0</v>
          </cell>
          <cell r="S115">
            <v>0</v>
          </cell>
          <cell r="T115">
            <v>0</v>
          </cell>
          <cell r="W115">
            <v>0</v>
          </cell>
          <cell r="X115">
            <v>0</v>
          </cell>
          <cell r="AA115">
            <v>0</v>
          </cell>
          <cell r="AB115">
            <v>0</v>
          </cell>
          <cell r="AC115"/>
          <cell r="AD115"/>
          <cell r="AE115">
            <v>0</v>
          </cell>
          <cell r="AF115">
            <v>0</v>
          </cell>
          <cell r="AI115">
            <v>0</v>
          </cell>
        </row>
        <row r="116">
          <cell r="E116">
            <v>23</v>
          </cell>
          <cell r="F116" t="str">
            <v>Cont</v>
          </cell>
          <cell r="G116">
            <v>8.5711859435757487E-2</v>
          </cell>
          <cell r="H116"/>
          <cell r="I116"/>
          <cell r="J116"/>
          <cell r="K116"/>
          <cell r="L116">
            <v>307.99026612627989</v>
          </cell>
          <cell r="O116">
            <v>307.99026612627989</v>
          </cell>
          <cell r="P116">
            <v>754.23319948014591</v>
          </cell>
          <cell r="S116">
            <v>754.23319948014591</v>
          </cell>
          <cell r="T116">
            <v>477.98707448979593</v>
          </cell>
          <cell r="W116">
            <v>477.98707448979593</v>
          </cell>
          <cell r="X116">
            <v>357.2723175950394</v>
          </cell>
          <cell r="AA116">
            <v>357.2723175950394</v>
          </cell>
          <cell r="AB116">
            <v>201.81460507807483</v>
          </cell>
          <cell r="AC116"/>
          <cell r="AD116"/>
          <cell r="AE116">
            <v>201.81460507807483</v>
          </cell>
          <cell r="AF116">
            <v>47.749474234020788</v>
          </cell>
          <cell r="AI116">
            <v>47.749474234020788</v>
          </cell>
        </row>
        <row r="117">
          <cell r="E117">
            <v>24</v>
          </cell>
          <cell r="F117" t="str">
            <v>Cont</v>
          </cell>
          <cell r="G117">
            <v>8.1252907606838676E-2</v>
          </cell>
          <cell r="H117"/>
          <cell r="I117"/>
          <cell r="J117"/>
          <cell r="K117"/>
          <cell r="L117">
            <v>136.02235317814308</v>
          </cell>
          <cell r="O117">
            <v>136.02235317814308</v>
          </cell>
          <cell r="P117">
            <v>450.19574767606389</v>
          </cell>
          <cell r="S117">
            <v>450.19574767606389</v>
          </cell>
          <cell r="T117">
            <v>211.10058924453364</v>
          </cell>
          <cell r="W117">
            <v>211.10058924453364</v>
          </cell>
          <cell r="X117">
            <v>213.2529809805765</v>
          </cell>
          <cell r="AA117">
            <v>213.2529809805765</v>
          </cell>
          <cell r="AB117">
            <v>89.130406079723272</v>
          </cell>
          <cell r="AC117"/>
          <cell r="AD117"/>
          <cell r="AE117">
            <v>89.130406079723272</v>
          </cell>
          <cell r="AF117">
            <v>31.762813173047036</v>
          </cell>
          <cell r="AI117">
            <v>31.762813173047036</v>
          </cell>
        </row>
        <row r="118">
          <cell r="E118">
            <v>25</v>
          </cell>
          <cell r="F118" t="str">
            <v>Cont</v>
          </cell>
          <cell r="G118">
            <v>8.1252907606838662E-2</v>
          </cell>
          <cell r="H118"/>
          <cell r="I118"/>
          <cell r="J118"/>
          <cell r="K118"/>
          <cell r="L118">
            <v>278.94010834588977</v>
          </cell>
          <cell r="O118">
            <v>278.94010834588977</v>
          </cell>
          <cell r="P118">
            <v>923.21333736342604</v>
          </cell>
          <cell r="S118">
            <v>923.21333736342604</v>
          </cell>
          <cell r="T118">
            <v>432.90253300229847</v>
          </cell>
          <cell r="W118">
            <v>432.90253300229847</v>
          </cell>
          <cell r="X118">
            <v>437.31642799842666</v>
          </cell>
          <cell r="AA118">
            <v>437.31642799842666</v>
          </cell>
          <cell r="AB118">
            <v>182.77911349048878</v>
          </cell>
          <cell r="AC118"/>
          <cell r="AD118"/>
          <cell r="AE118">
            <v>182.77911349048878</v>
          </cell>
          <cell r="AF118">
            <v>65.13578350064644</v>
          </cell>
          <cell r="AI118">
            <v>65.13578350064644</v>
          </cell>
        </row>
        <row r="119">
          <cell r="E119">
            <v>23</v>
          </cell>
          <cell r="F119" t="str">
            <v>Cont</v>
          </cell>
          <cell r="G119">
            <v>8.1252907606838676E-2</v>
          </cell>
          <cell r="H119"/>
          <cell r="I119"/>
          <cell r="J119"/>
          <cell r="K119"/>
          <cell r="L119">
            <v>90.012239490130867</v>
          </cell>
          <cell r="O119">
            <v>90.012239490130867</v>
          </cell>
          <cell r="P119">
            <v>297.915206658606</v>
          </cell>
          <cell r="S119">
            <v>297.915206658606</v>
          </cell>
          <cell r="T119">
            <v>139.69495712738492</v>
          </cell>
          <cell r="W119">
            <v>139.69495712738492</v>
          </cell>
          <cell r="X119">
            <v>141.11929361248846</v>
          </cell>
          <cell r="AA119">
            <v>141.11929361248846</v>
          </cell>
          <cell r="AB119">
            <v>58.981684042721191</v>
          </cell>
          <cell r="AC119"/>
          <cell r="AD119"/>
          <cell r="AE119">
            <v>58.981684042721191</v>
          </cell>
          <cell r="AF119">
            <v>21.018912549382375</v>
          </cell>
          <cell r="AI119">
            <v>21.018912549382375</v>
          </cell>
        </row>
        <row r="120">
          <cell r="E120">
            <v>23</v>
          </cell>
          <cell r="F120" t="str">
            <v>Cont</v>
          </cell>
          <cell r="G120">
            <v>8.1252907606838662E-2</v>
          </cell>
          <cell r="H120"/>
          <cell r="I120"/>
          <cell r="J120"/>
          <cell r="K120"/>
          <cell r="L120">
            <v>37.953583769665173</v>
          </cell>
          <cell r="O120">
            <v>37.953583769665173</v>
          </cell>
          <cell r="P120">
            <v>125.61569200168863</v>
          </cell>
          <cell r="S120">
            <v>125.61569200168863</v>
          </cell>
          <cell r="T120">
            <v>58.902259154604209</v>
          </cell>
          <cell r="W120">
            <v>58.902259154604209</v>
          </cell>
          <cell r="X120">
            <v>59.502829414935242</v>
          </cell>
          <cell r="AA120">
            <v>59.502829414935242</v>
          </cell>
          <cell r="AB120">
            <v>24.869576613931301</v>
          </cell>
          <cell r="AC120"/>
          <cell r="AD120"/>
          <cell r="AE120">
            <v>24.869576613931301</v>
          </cell>
          <cell r="AF120">
            <v>8.8626064933948978</v>
          </cell>
          <cell r="AI120">
            <v>8.8626064933948978</v>
          </cell>
        </row>
        <row r="121">
          <cell r="E121">
            <v>29</v>
          </cell>
          <cell r="F121" t="str">
            <v>Cont</v>
          </cell>
          <cell r="G121">
            <v>0</v>
          </cell>
          <cell r="H121"/>
          <cell r="I121"/>
          <cell r="J121"/>
          <cell r="K121"/>
          <cell r="L121">
            <v>0</v>
          </cell>
          <cell r="O121">
            <v>0</v>
          </cell>
          <cell r="P121">
            <v>0</v>
          </cell>
          <cell r="S121">
            <v>0</v>
          </cell>
          <cell r="T121">
            <v>0</v>
          </cell>
          <cell r="W121">
            <v>0</v>
          </cell>
          <cell r="X121">
            <v>0</v>
          </cell>
          <cell r="AA121">
            <v>0</v>
          </cell>
          <cell r="AB121">
            <v>0</v>
          </cell>
          <cell r="AC121"/>
          <cell r="AD121"/>
          <cell r="AE121">
            <v>0</v>
          </cell>
          <cell r="AF121">
            <v>0</v>
          </cell>
          <cell r="AI121">
            <v>0</v>
          </cell>
        </row>
        <row r="122">
          <cell r="E122">
            <v>28</v>
          </cell>
          <cell r="F122" t="str">
            <v>Cont</v>
          </cell>
          <cell r="G122">
            <v>0</v>
          </cell>
          <cell r="H122"/>
          <cell r="I122"/>
          <cell r="J122"/>
          <cell r="K122"/>
          <cell r="L122">
            <v>0</v>
          </cell>
          <cell r="O122">
            <v>0</v>
          </cell>
          <cell r="P122">
            <v>0</v>
          </cell>
          <cell r="S122">
            <v>0</v>
          </cell>
          <cell r="T122">
            <v>0</v>
          </cell>
          <cell r="W122">
            <v>0</v>
          </cell>
          <cell r="X122">
            <v>0</v>
          </cell>
          <cell r="AA122">
            <v>0</v>
          </cell>
          <cell r="AB122">
            <v>0</v>
          </cell>
          <cell r="AC122"/>
          <cell r="AD122"/>
          <cell r="AE122">
            <v>0</v>
          </cell>
          <cell r="AF122">
            <v>0</v>
          </cell>
          <cell r="AI122">
            <v>0</v>
          </cell>
        </row>
        <row r="123">
          <cell r="E123">
            <v>26</v>
          </cell>
          <cell r="F123" t="str">
            <v>Cont</v>
          </cell>
          <cell r="G123">
            <v>8.1252907606838662E-2</v>
          </cell>
          <cell r="H123"/>
          <cell r="I123"/>
          <cell r="J123"/>
          <cell r="K123"/>
          <cell r="L123">
            <v>13.204311180016864</v>
          </cell>
          <cell r="O123">
            <v>13.204311180016864</v>
          </cell>
          <cell r="P123">
            <v>43.702557743945164</v>
          </cell>
          <cell r="S123">
            <v>43.702557743945164</v>
          </cell>
          <cell r="T123">
            <v>20.492498516175107</v>
          </cell>
          <cell r="W123">
            <v>20.492498516175107</v>
          </cell>
          <cell r="X123">
            <v>20.701441014227505</v>
          </cell>
          <cell r="AA123">
            <v>20.701441014227505</v>
          </cell>
          <cell r="AB123">
            <v>8.6522956703784306</v>
          </cell>
          <cell r="AC123"/>
          <cell r="AD123"/>
          <cell r="AE123">
            <v>8.6522956703784306</v>
          </cell>
          <cell r="AF123">
            <v>3.0833613688506949</v>
          </cell>
          <cell r="AI123">
            <v>3.0833613688506949</v>
          </cell>
        </row>
        <row r="124">
          <cell r="E124">
            <v>32</v>
          </cell>
          <cell r="F124" t="str">
            <v>Cont</v>
          </cell>
          <cell r="G124">
            <v>6.3544208719584716E-2</v>
          </cell>
          <cell r="H124"/>
          <cell r="I124"/>
          <cell r="J124"/>
          <cell r="K124"/>
          <cell r="L124">
            <v>0</v>
          </cell>
          <cell r="O124">
            <v>0</v>
          </cell>
          <cell r="P124">
            <v>1535.0979023714008</v>
          </cell>
          <cell r="S124">
            <v>1535.0979023714008</v>
          </cell>
          <cell r="T124">
            <v>0</v>
          </cell>
          <cell r="W124">
            <v>0</v>
          </cell>
          <cell r="X124">
            <v>727.15969768173943</v>
          </cell>
          <cell r="AA124">
            <v>727.15969768173943</v>
          </cell>
          <cell r="AB124">
            <v>0</v>
          </cell>
          <cell r="AC124"/>
          <cell r="AD124"/>
          <cell r="AE124">
            <v>0</v>
          </cell>
          <cell r="AF124">
            <v>144.38907242474826</v>
          </cell>
          <cell r="AI124">
            <v>144.38907242474826</v>
          </cell>
        </row>
        <row r="125">
          <cell r="E125">
            <v>32</v>
          </cell>
          <cell r="F125" t="str">
            <v>Cont</v>
          </cell>
          <cell r="G125">
            <v>6.3544208719584716E-2</v>
          </cell>
          <cell r="H125"/>
          <cell r="I125"/>
          <cell r="J125"/>
          <cell r="K125"/>
          <cell r="L125">
            <v>0</v>
          </cell>
          <cell r="O125">
            <v>0</v>
          </cell>
          <cell r="P125">
            <v>1736.4174798253289</v>
          </cell>
          <cell r="S125">
            <v>1736.4174798253289</v>
          </cell>
          <cell r="T125">
            <v>0</v>
          </cell>
          <cell r="W125">
            <v>0</v>
          </cell>
          <cell r="X125">
            <v>822.52265977859975</v>
          </cell>
          <cell r="AA125">
            <v>822.52265977859975</v>
          </cell>
          <cell r="AB125">
            <v>0</v>
          </cell>
          <cell r="AC125"/>
          <cell r="AD125"/>
          <cell r="AE125">
            <v>0</v>
          </cell>
          <cell r="AF125">
            <v>163.32489860535242</v>
          </cell>
          <cell r="AI125">
            <v>163.32489860535242</v>
          </cell>
        </row>
        <row r="126">
          <cell r="E126">
            <v>32</v>
          </cell>
          <cell r="F126" t="str">
            <v>Cont</v>
          </cell>
          <cell r="G126">
            <v>6.3544208719584716E-2</v>
          </cell>
          <cell r="H126"/>
          <cell r="I126"/>
          <cell r="J126"/>
          <cell r="K126"/>
          <cell r="L126">
            <v>0</v>
          </cell>
          <cell r="O126">
            <v>0</v>
          </cell>
          <cell r="P126">
            <v>32.369791469194311</v>
          </cell>
          <cell r="S126">
            <v>32.369791469194311</v>
          </cell>
          <cell r="T126">
            <v>0</v>
          </cell>
          <cell r="W126">
            <v>0</v>
          </cell>
          <cell r="X126">
            <v>15.333229067930489</v>
          </cell>
          <cell r="AA126">
            <v>15.333229067930489</v>
          </cell>
          <cell r="AB126">
            <v>0</v>
          </cell>
          <cell r="AC126"/>
          <cell r="AD126"/>
          <cell r="AE126">
            <v>0</v>
          </cell>
          <cell r="AF126">
            <v>3.0446554305099349</v>
          </cell>
          <cell r="AI126">
            <v>3.0446554305099349</v>
          </cell>
        </row>
        <row r="127">
          <cell r="E127">
            <v>32</v>
          </cell>
          <cell r="F127" t="str">
            <v>Cont</v>
          </cell>
          <cell r="G127">
            <v>0</v>
          </cell>
          <cell r="H127"/>
          <cell r="I127"/>
          <cell r="J127"/>
          <cell r="K127"/>
          <cell r="L127">
            <v>0</v>
          </cell>
          <cell r="O127">
            <v>0</v>
          </cell>
          <cell r="P127">
            <v>0</v>
          </cell>
          <cell r="S127">
            <v>0</v>
          </cell>
          <cell r="T127">
            <v>0</v>
          </cell>
          <cell r="W127">
            <v>0</v>
          </cell>
          <cell r="X127">
            <v>0</v>
          </cell>
          <cell r="AA127">
            <v>0</v>
          </cell>
          <cell r="AB127">
            <v>0</v>
          </cell>
          <cell r="AC127"/>
          <cell r="AD127"/>
          <cell r="AE127">
            <v>0</v>
          </cell>
          <cell r="AF127">
            <v>0</v>
          </cell>
          <cell r="AI127">
            <v>0</v>
          </cell>
        </row>
        <row r="128">
          <cell r="E128">
            <v>32</v>
          </cell>
          <cell r="F128" t="str">
            <v>Cont</v>
          </cell>
          <cell r="G128">
            <v>6.3544208719584702E-2</v>
          </cell>
          <cell r="H128"/>
          <cell r="I128"/>
          <cell r="J128"/>
          <cell r="K128"/>
          <cell r="L128">
            <v>0</v>
          </cell>
          <cell r="O128">
            <v>0</v>
          </cell>
          <cell r="P128">
            <v>2.371131202509162</v>
          </cell>
          <cell r="S128">
            <v>2.371131202509162</v>
          </cell>
          <cell r="T128">
            <v>0</v>
          </cell>
          <cell r="W128">
            <v>0</v>
          </cell>
          <cell r="X128">
            <v>1.1231798608523873</v>
          </cell>
          <cell r="AA128">
            <v>1.1231798608523873</v>
          </cell>
          <cell r="AB128">
            <v>0</v>
          </cell>
          <cell r="AC128"/>
          <cell r="AD128"/>
          <cell r="AE128">
            <v>0</v>
          </cell>
          <cell r="AF128">
            <v>0.22302514673415544</v>
          </cell>
          <cell r="AI128">
            <v>0.22302514673415544</v>
          </cell>
        </row>
        <row r="129">
          <cell r="E129">
            <v>32</v>
          </cell>
          <cell r="F129" t="str">
            <v>Cont</v>
          </cell>
          <cell r="G129">
            <v>0</v>
          </cell>
          <cell r="H129"/>
          <cell r="I129"/>
          <cell r="J129"/>
          <cell r="K129"/>
          <cell r="L129">
            <v>0</v>
          </cell>
          <cell r="O129">
            <v>0</v>
          </cell>
          <cell r="P129">
            <v>0</v>
          </cell>
          <cell r="S129">
            <v>0</v>
          </cell>
          <cell r="T129">
            <v>0</v>
          </cell>
          <cell r="W129">
            <v>0</v>
          </cell>
          <cell r="X129">
            <v>0</v>
          </cell>
          <cell r="AA129">
            <v>0</v>
          </cell>
          <cell r="AB129">
            <v>0</v>
          </cell>
          <cell r="AC129"/>
          <cell r="AD129"/>
          <cell r="AE129">
            <v>0</v>
          </cell>
          <cell r="AF129">
            <v>0</v>
          </cell>
          <cell r="AI129">
            <v>0</v>
          </cell>
        </row>
        <row r="130">
          <cell r="E130">
            <v>32</v>
          </cell>
          <cell r="F130" t="str">
            <v>ACT</v>
          </cell>
          <cell r="G130">
            <v>0</v>
          </cell>
          <cell r="H130"/>
          <cell r="I130"/>
          <cell r="J130"/>
          <cell r="K130"/>
          <cell r="L130">
            <v>0</v>
          </cell>
          <cell r="O130">
            <v>0</v>
          </cell>
          <cell r="P130">
            <v>0</v>
          </cell>
          <cell r="S130">
            <v>0</v>
          </cell>
          <cell r="T130">
            <v>0</v>
          </cell>
          <cell r="W130">
            <v>0</v>
          </cell>
          <cell r="X130">
            <v>0</v>
          </cell>
          <cell r="AA130">
            <v>0</v>
          </cell>
          <cell r="AB130">
            <v>0</v>
          </cell>
          <cell r="AC130"/>
          <cell r="AD130"/>
          <cell r="AE130">
            <v>0</v>
          </cell>
          <cell r="AF130">
            <v>0</v>
          </cell>
          <cell r="AI130">
            <v>0</v>
          </cell>
        </row>
        <row r="131">
          <cell r="E131">
            <v>32</v>
          </cell>
          <cell r="F131" t="str">
            <v>Cont</v>
          </cell>
          <cell r="G131">
            <v>6.3544208719584716E-2</v>
          </cell>
          <cell r="H131"/>
          <cell r="I131"/>
          <cell r="J131"/>
          <cell r="K131"/>
          <cell r="L131">
            <v>0</v>
          </cell>
          <cell r="O131">
            <v>0</v>
          </cell>
          <cell r="P131">
            <v>10.43662518519802</v>
          </cell>
          <cell r="S131">
            <v>10.43662518519802</v>
          </cell>
          <cell r="T131">
            <v>0</v>
          </cell>
          <cell r="W131">
            <v>0</v>
          </cell>
          <cell r="X131">
            <v>4.9437193567671995</v>
          </cell>
          <cell r="AA131">
            <v>4.9437193567671995</v>
          </cell>
          <cell r="AB131">
            <v>0</v>
          </cell>
          <cell r="AC131"/>
          <cell r="AD131"/>
          <cell r="AE131">
            <v>0</v>
          </cell>
          <cell r="AF131">
            <v>0.98165376124064407</v>
          </cell>
          <cell r="AI131">
            <v>0.98165376124064407</v>
          </cell>
        </row>
        <row r="132">
          <cell r="E132">
            <v>56</v>
          </cell>
          <cell r="F132" t="str">
            <v>DH</v>
          </cell>
          <cell r="G132">
            <v>0.11021083809358596</v>
          </cell>
          <cell r="H132"/>
          <cell r="I132"/>
          <cell r="J132"/>
          <cell r="K132"/>
          <cell r="L132">
            <v>18008.821526107193</v>
          </cell>
          <cell r="O132">
            <v>18008.821526107193</v>
          </cell>
          <cell r="P132">
            <v>7925.3555071714309</v>
          </cell>
          <cell r="S132">
            <v>7925.3555071714309</v>
          </cell>
          <cell r="T132">
            <v>15705.382636418868</v>
          </cell>
          <cell r="W132">
            <v>15705.382636418868</v>
          </cell>
          <cell r="X132">
            <v>6889.9388645711497</v>
          </cell>
          <cell r="AA132">
            <v>6889.9388645711497</v>
          </cell>
          <cell r="AB132">
            <v>14778.329917012754</v>
          </cell>
          <cell r="AC132"/>
          <cell r="AD132"/>
          <cell r="AE132">
            <v>14778.329917012754</v>
          </cell>
          <cell r="AF132">
            <v>3223.2792509444957</v>
          </cell>
          <cell r="AI132">
            <v>3223.2792509444957</v>
          </cell>
        </row>
        <row r="133">
          <cell r="E133">
            <v>62</v>
          </cell>
          <cell r="F133" t="str">
            <v>CUST</v>
          </cell>
          <cell r="G133">
            <v>0</v>
          </cell>
          <cell r="H133"/>
          <cell r="I133"/>
          <cell r="J133"/>
          <cell r="K133"/>
          <cell r="L133">
            <v>0</v>
          </cell>
          <cell r="O133">
            <v>0</v>
          </cell>
          <cell r="P133">
            <v>0</v>
          </cell>
          <cell r="S133">
            <v>0</v>
          </cell>
          <cell r="T133">
            <v>0</v>
          </cell>
          <cell r="W133">
            <v>0</v>
          </cell>
          <cell r="X133">
            <v>0</v>
          </cell>
          <cell r="AA133">
            <v>0</v>
          </cell>
          <cell r="AB133">
            <v>0</v>
          </cell>
          <cell r="AC133"/>
          <cell r="AD133"/>
          <cell r="AE133">
            <v>0</v>
          </cell>
          <cell r="AF133">
            <v>0</v>
          </cell>
          <cell r="AI133">
            <v>0</v>
          </cell>
        </row>
        <row r="134">
          <cell r="E134">
            <v>62</v>
          </cell>
          <cell r="F134" t="str">
            <v>CUST</v>
          </cell>
          <cell r="G134">
            <v>0</v>
          </cell>
          <cell r="H134"/>
          <cell r="I134"/>
          <cell r="J134"/>
          <cell r="K134"/>
          <cell r="L134">
            <v>0</v>
          </cell>
          <cell r="O134">
            <v>0</v>
          </cell>
          <cell r="P134">
            <v>0</v>
          </cell>
          <cell r="S134">
            <v>0</v>
          </cell>
          <cell r="T134">
            <v>0</v>
          </cell>
          <cell r="W134">
            <v>0</v>
          </cell>
          <cell r="X134">
            <v>0</v>
          </cell>
          <cell r="AA134">
            <v>0</v>
          </cell>
          <cell r="AB134">
            <v>0</v>
          </cell>
          <cell r="AC134"/>
          <cell r="AD134"/>
          <cell r="AE134">
            <v>0</v>
          </cell>
          <cell r="AF134">
            <v>0</v>
          </cell>
          <cell r="AI134">
            <v>0</v>
          </cell>
        </row>
        <row r="135">
          <cell r="E135">
            <v>62</v>
          </cell>
          <cell r="F135" t="str">
            <v>CUST</v>
          </cell>
          <cell r="G135">
            <v>0.1683087563617382</v>
          </cell>
          <cell r="H135"/>
          <cell r="I135"/>
          <cell r="J135"/>
          <cell r="K135"/>
          <cell r="L135">
            <v>196.05898473182825</v>
          </cell>
          <cell r="O135">
            <v>196.05898473182825</v>
          </cell>
          <cell r="P135">
            <v>5.7940754273783117</v>
          </cell>
          <cell r="S135">
            <v>5.7940754273783117</v>
          </cell>
          <cell r="T135">
            <v>0</v>
          </cell>
          <cell r="W135">
            <v>0</v>
          </cell>
          <cell r="X135">
            <v>0</v>
          </cell>
          <cell r="AA135">
            <v>0</v>
          </cell>
          <cell r="AB135">
            <v>0</v>
          </cell>
          <cell r="AC135"/>
          <cell r="AD135"/>
          <cell r="AE135">
            <v>0</v>
          </cell>
          <cell r="AF135">
            <v>0.1174474748792901</v>
          </cell>
          <cell r="AI135">
            <v>0.1174474748792901</v>
          </cell>
        </row>
        <row r="136">
          <cell r="E136">
            <v>56</v>
          </cell>
          <cell r="F136" t="str">
            <v>DH</v>
          </cell>
          <cell r="G136">
            <v>0.11021083809358595</v>
          </cell>
          <cell r="H136"/>
          <cell r="I136"/>
          <cell r="J136"/>
          <cell r="K136"/>
          <cell r="L136">
            <v>1028.8183552539012</v>
          </cell>
          <cell r="O136">
            <v>1028.8183552539012</v>
          </cell>
          <cell r="P136">
            <v>452.76428587346237</v>
          </cell>
          <cell r="S136">
            <v>452.76428587346237</v>
          </cell>
          <cell r="T136">
            <v>897.22616825368539</v>
          </cell>
          <cell r="W136">
            <v>897.22616825368539</v>
          </cell>
          <cell r="X136">
            <v>393.6124060184564</v>
          </cell>
          <cell r="AA136">
            <v>393.6124060184564</v>
          </cell>
          <cell r="AB136">
            <v>844.26496517716021</v>
          </cell>
          <cell r="AC136"/>
          <cell r="AD136"/>
          <cell r="AE136">
            <v>844.26496517716021</v>
          </cell>
          <cell r="AF136">
            <v>184.14135831560822</v>
          </cell>
          <cell r="AI136">
            <v>184.14135831560822</v>
          </cell>
        </row>
        <row r="137">
          <cell r="E137">
            <v>57</v>
          </cell>
          <cell r="F137" t="str">
            <v>DH</v>
          </cell>
          <cell r="G137">
            <v>0.11021083809358595</v>
          </cell>
          <cell r="H137"/>
          <cell r="I137"/>
          <cell r="J137"/>
          <cell r="K137"/>
          <cell r="L137">
            <v>1208.5194496403387</v>
          </cell>
          <cell r="O137">
            <v>1208.5194496403387</v>
          </cell>
          <cell r="P137">
            <v>531.8474760742007</v>
          </cell>
          <cell r="S137">
            <v>531.8474760742007</v>
          </cell>
          <cell r="T137">
            <v>1053.9423888809374</v>
          </cell>
          <cell r="W137">
            <v>1053.9423888809374</v>
          </cell>
          <cell r="X137">
            <v>462.36368729603367</v>
          </cell>
          <cell r="AA137">
            <v>462.36368729603367</v>
          </cell>
          <cell r="AB137">
            <v>991.73058670276146</v>
          </cell>
          <cell r="AC137"/>
          <cell r="AD137"/>
          <cell r="AE137">
            <v>991.73058670276146</v>
          </cell>
          <cell r="AF137">
            <v>216.30486263309641</v>
          </cell>
          <cell r="AI137">
            <v>216.30486263309641</v>
          </cell>
        </row>
        <row r="138">
          <cell r="E138">
            <v>58</v>
          </cell>
          <cell r="F138" t="str">
            <v>DH</v>
          </cell>
          <cell r="G138">
            <v>0.11021083809358594</v>
          </cell>
          <cell r="H138"/>
          <cell r="I138"/>
          <cell r="J138"/>
          <cell r="K138"/>
          <cell r="L138">
            <v>1295.4175311477331</v>
          </cell>
          <cell r="O138">
            <v>1295.4175311477331</v>
          </cell>
          <cell r="P138">
            <v>570.08974461125422</v>
          </cell>
          <cell r="S138">
            <v>570.08974461125422</v>
          </cell>
          <cell r="T138">
            <v>1129.7256720050361</v>
          </cell>
          <cell r="W138">
            <v>1129.7256720050361</v>
          </cell>
          <cell r="X138">
            <v>495.60975329577207</v>
          </cell>
          <cell r="AA138">
            <v>495.60975329577207</v>
          </cell>
          <cell r="AB138">
            <v>1063.0405564201044</v>
          </cell>
          <cell r="AC138"/>
          <cell r="AD138"/>
          <cell r="AE138">
            <v>1063.0405564201044</v>
          </cell>
          <cell r="AF138">
            <v>231.85817258531148</v>
          </cell>
          <cell r="AI138">
            <v>231.85817258531148</v>
          </cell>
        </row>
        <row r="139">
          <cell r="E139">
            <v>56</v>
          </cell>
          <cell r="F139" t="str">
            <v>DH</v>
          </cell>
          <cell r="G139">
            <v>0.11021083809358596</v>
          </cell>
          <cell r="H139"/>
          <cell r="I139"/>
          <cell r="J139"/>
          <cell r="K139"/>
          <cell r="L139">
            <v>240.69967014099589</v>
          </cell>
          <cell r="O139">
            <v>240.69967014099589</v>
          </cell>
          <cell r="P139">
            <v>105.92755631237821</v>
          </cell>
          <cell r="S139">
            <v>105.92755631237821</v>
          </cell>
          <cell r="T139">
            <v>209.91270386815236</v>
          </cell>
          <cell r="W139">
            <v>209.91270386815236</v>
          </cell>
          <cell r="X139">
            <v>92.088536142674869</v>
          </cell>
          <cell r="AA139">
            <v>92.088536142674869</v>
          </cell>
          <cell r="AB139">
            <v>197.52203835787006</v>
          </cell>
          <cell r="AC139"/>
          <cell r="AD139"/>
          <cell r="AE139">
            <v>197.52203835787006</v>
          </cell>
          <cell r="AF139">
            <v>43.081233902503087</v>
          </cell>
          <cell r="AI139">
            <v>43.081233902503087</v>
          </cell>
        </row>
        <row r="140">
          <cell r="E140">
            <v>56</v>
          </cell>
          <cell r="F140" t="str">
            <v>DH</v>
          </cell>
          <cell r="G140">
            <v>0.11021083809358598</v>
          </cell>
          <cell r="H140"/>
          <cell r="I140"/>
          <cell r="J140"/>
          <cell r="K140"/>
          <cell r="L140">
            <v>10.548655302481038</v>
          </cell>
          <cell r="O140">
            <v>10.548655302481038</v>
          </cell>
          <cell r="P140">
            <v>4.6422717485191649</v>
          </cell>
          <cell r="S140">
            <v>4.6422717485191649</v>
          </cell>
          <cell r="T140">
            <v>9.1994174957524333</v>
          </cell>
          <cell r="W140">
            <v>9.1994174957524333</v>
          </cell>
          <cell r="X140">
            <v>4.0357771346762377</v>
          </cell>
          <cell r="AA140">
            <v>4.0357771346762377</v>
          </cell>
          <cell r="AB140">
            <v>8.6563969782762591</v>
          </cell>
          <cell r="AC140"/>
          <cell r="AD140"/>
          <cell r="AE140">
            <v>8.6563969782762591</v>
          </cell>
          <cell r="AF140">
            <v>1.8880336901868624</v>
          </cell>
          <cell r="AI140">
            <v>1.8880336901868624</v>
          </cell>
        </row>
        <row r="141">
          <cell r="E141">
            <v>29</v>
          </cell>
          <cell r="F141" t="str">
            <v>DH</v>
          </cell>
          <cell r="G141">
            <v>0</v>
          </cell>
          <cell r="H141"/>
          <cell r="I141"/>
          <cell r="J141"/>
          <cell r="K141"/>
          <cell r="L141">
            <v>0</v>
          </cell>
          <cell r="O141">
            <v>0</v>
          </cell>
          <cell r="P141">
            <v>0</v>
          </cell>
          <cell r="S141">
            <v>0</v>
          </cell>
          <cell r="T141">
            <v>0</v>
          </cell>
          <cell r="W141">
            <v>0</v>
          </cell>
          <cell r="X141">
            <v>0</v>
          </cell>
          <cell r="AA141">
            <v>0</v>
          </cell>
          <cell r="AB141">
            <v>0</v>
          </cell>
          <cell r="AC141"/>
          <cell r="AD141"/>
          <cell r="AE141">
            <v>0</v>
          </cell>
          <cell r="AF141">
            <v>0</v>
          </cell>
          <cell r="AI141">
            <v>0</v>
          </cell>
        </row>
        <row r="142">
          <cell r="E142">
            <v>28</v>
          </cell>
          <cell r="F142" t="str">
            <v>DH</v>
          </cell>
          <cell r="G142">
            <v>0.11021083809358598</v>
          </cell>
          <cell r="H142"/>
          <cell r="I142"/>
          <cell r="J142"/>
          <cell r="K142"/>
          <cell r="L142">
            <v>48.120185131677005</v>
          </cell>
          <cell r="O142">
            <v>48.120185131677005</v>
          </cell>
          <cell r="P142">
            <v>21.176820131543742</v>
          </cell>
          <cell r="S142">
            <v>21.176820131543742</v>
          </cell>
          <cell r="T142">
            <v>41.965317882278129</v>
          </cell>
          <cell r="W142">
            <v>41.965317882278129</v>
          </cell>
          <cell r="X142">
            <v>18.41015155980433</v>
          </cell>
          <cell r="AA142">
            <v>18.41015155980433</v>
          </cell>
          <cell r="AB142">
            <v>39.488201408000428</v>
          </cell>
          <cell r="AC142"/>
          <cell r="AD142"/>
          <cell r="AE142">
            <v>39.488201408000428</v>
          </cell>
          <cell r="AF142">
            <v>8.6127120567933098</v>
          </cell>
          <cell r="AI142">
            <v>8.6127120567933098</v>
          </cell>
        </row>
        <row r="143">
          <cell r="E143">
            <v>86</v>
          </cell>
          <cell r="F143" t="str">
            <v>DH</v>
          </cell>
          <cell r="G143">
            <v>0</v>
          </cell>
          <cell r="H143"/>
          <cell r="I143"/>
          <cell r="J143"/>
          <cell r="K143"/>
          <cell r="L143">
            <v>0</v>
          </cell>
          <cell r="O143">
            <v>0</v>
          </cell>
          <cell r="P143">
            <v>0</v>
          </cell>
          <cell r="S143">
            <v>0</v>
          </cell>
          <cell r="T143">
            <v>0</v>
          </cell>
          <cell r="W143">
            <v>0</v>
          </cell>
          <cell r="X143">
            <v>0</v>
          </cell>
          <cell r="AA143">
            <v>0</v>
          </cell>
          <cell r="AB143">
            <v>0</v>
          </cell>
          <cell r="AC143"/>
          <cell r="AD143"/>
          <cell r="AE143">
            <v>0</v>
          </cell>
          <cell r="AF143">
            <v>0</v>
          </cell>
          <cell r="AI143">
            <v>0</v>
          </cell>
        </row>
        <row r="144">
          <cell r="E144">
            <v>60</v>
          </cell>
          <cell r="F144" t="str">
            <v>DH</v>
          </cell>
          <cell r="G144">
            <v>0.11021083809358595</v>
          </cell>
          <cell r="H144"/>
          <cell r="I144"/>
          <cell r="J144"/>
          <cell r="K144"/>
          <cell r="L144">
            <v>266.00779153765819</v>
          </cell>
          <cell r="O144">
            <v>266.00779153765819</v>
          </cell>
          <cell r="P144">
            <v>117.06520121581779</v>
          </cell>
          <cell r="S144">
            <v>117.06520121581779</v>
          </cell>
          <cell r="T144">
            <v>231.98376108682194</v>
          </cell>
          <cell r="W144">
            <v>231.98376108682194</v>
          </cell>
          <cell r="X144">
            <v>101.77109138080436</v>
          </cell>
          <cell r="AA144">
            <v>101.77109138080436</v>
          </cell>
          <cell r="AB144">
            <v>218.29029168513438</v>
          </cell>
          <cell r="AC144"/>
          <cell r="AD144"/>
          <cell r="AE144">
            <v>218.29029168513438</v>
          </cell>
          <cell r="AF144">
            <v>47.610966315031433</v>
          </cell>
          <cell r="AI144">
            <v>47.610966315031433</v>
          </cell>
        </row>
        <row r="145">
          <cell r="E145">
            <v>84</v>
          </cell>
          <cell r="F145" t="str">
            <v>CUST</v>
          </cell>
          <cell r="G145">
            <v>0</v>
          </cell>
          <cell r="H145"/>
          <cell r="I145"/>
          <cell r="J145"/>
          <cell r="K145"/>
          <cell r="L145">
            <v>0</v>
          </cell>
          <cell r="O145">
            <v>0</v>
          </cell>
          <cell r="P145">
            <v>0</v>
          </cell>
          <cell r="S145">
            <v>0</v>
          </cell>
          <cell r="T145">
            <v>0</v>
          </cell>
          <cell r="W145">
            <v>0</v>
          </cell>
          <cell r="X145">
            <v>0</v>
          </cell>
          <cell r="AA145">
            <v>0</v>
          </cell>
          <cell r="AB145">
            <v>0</v>
          </cell>
          <cell r="AC145"/>
          <cell r="AD145"/>
          <cell r="AE145">
            <v>0</v>
          </cell>
          <cell r="AF145">
            <v>0</v>
          </cell>
          <cell r="AI145">
            <v>0</v>
          </cell>
        </row>
        <row r="146">
          <cell r="E146">
            <v>30</v>
          </cell>
          <cell r="F146" t="str">
            <v>TH</v>
          </cell>
          <cell r="G146">
            <v>0.10792364863995128</v>
          </cell>
          <cell r="H146"/>
          <cell r="I146"/>
          <cell r="J146"/>
          <cell r="K146"/>
          <cell r="L146">
            <v>2.0122323752089453</v>
          </cell>
          <cell r="O146">
            <v>2.0122323752089453</v>
          </cell>
          <cell r="P146">
            <v>1.0188335424822648</v>
          </cell>
          <cell r="S146">
            <v>1.0188335424822648</v>
          </cell>
          <cell r="T146">
            <v>1.8256225253080067</v>
          </cell>
          <cell r="W146">
            <v>1.8256225253080067</v>
          </cell>
          <cell r="X146">
            <v>0.87735742463692556</v>
          </cell>
          <cell r="AA146">
            <v>0.87735742463692556</v>
          </cell>
          <cell r="AB146">
            <v>1.6348904707634324</v>
          </cell>
          <cell r="AC146"/>
          <cell r="AD146"/>
          <cell r="AE146">
            <v>1.6348904707634324</v>
          </cell>
          <cell r="AF146">
            <v>0.4404188771873</v>
          </cell>
          <cell r="AI146">
            <v>0.4404188771873</v>
          </cell>
        </row>
        <row r="147">
          <cell r="E147">
            <v>74</v>
          </cell>
          <cell r="F147" t="str">
            <v>CUST</v>
          </cell>
          <cell r="G147">
            <v>0</v>
          </cell>
          <cell r="H147"/>
          <cell r="I147"/>
          <cell r="J147"/>
          <cell r="K147"/>
          <cell r="L147">
            <v>0</v>
          </cell>
          <cell r="O147">
            <v>0</v>
          </cell>
          <cell r="P147">
            <v>0</v>
          </cell>
          <cell r="S147">
            <v>0</v>
          </cell>
          <cell r="T147">
            <v>0</v>
          </cell>
          <cell r="W147">
            <v>0</v>
          </cell>
          <cell r="X147">
            <v>0</v>
          </cell>
          <cell r="AA147">
            <v>0</v>
          </cell>
          <cell r="AB147">
            <v>0</v>
          </cell>
          <cell r="AC147"/>
          <cell r="AD147"/>
          <cell r="AE147">
            <v>0</v>
          </cell>
          <cell r="AF147">
            <v>0</v>
          </cell>
          <cell r="AI147">
            <v>0</v>
          </cell>
        </row>
        <row r="148">
          <cell r="E148">
            <v>87</v>
          </cell>
          <cell r="F148" t="str">
            <v>REV</v>
          </cell>
          <cell r="G148">
            <v>0</v>
          </cell>
          <cell r="H148"/>
          <cell r="I148"/>
          <cell r="J148"/>
          <cell r="K148"/>
          <cell r="L148">
            <v>0</v>
          </cell>
          <cell r="O148">
            <v>0</v>
          </cell>
          <cell r="P148">
            <v>0</v>
          </cell>
          <cell r="S148">
            <v>0</v>
          </cell>
          <cell r="T148">
            <v>0</v>
          </cell>
          <cell r="W148">
            <v>0</v>
          </cell>
          <cell r="X148">
            <v>0</v>
          </cell>
          <cell r="AA148">
            <v>0</v>
          </cell>
          <cell r="AB148">
            <v>0</v>
          </cell>
          <cell r="AC148"/>
          <cell r="AD148"/>
          <cell r="AE148">
            <v>0</v>
          </cell>
          <cell r="AF148">
            <v>0</v>
          </cell>
          <cell r="AI148">
            <v>0</v>
          </cell>
        </row>
        <row r="149">
          <cell r="E149">
            <v>87</v>
          </cell>
          <cell r="F149" t="str">
            <v>REV</v>
          </cell>
          <cell r="G149">
            <v>0</v>
          </cell>
          <cell r="H149"/>
          <cell r="I149"/>
          <cell r="J149"/>
          <cell r="K149"/>
          <cell r="L149">
            <v>0</v>
          </cell>
          <cell r="O149">
            <v>0</v>
          </cell>
          <cell r="P149">
            <v>0</v>
          </cell>
          <cell r="S149">
            <v>0</v>
          </cell>
          <cell r="T149">
            <v>0</v>
          </cell>
          <cell r="W149">
            <v>0</v>
          </cell>
          <cell r="X149">
            <v>0</v>
          </cell>
          <cell r="AA149">
            <v>0</v>
          </cell>
          <cell r="AB149">
            <v>0</v>
          </cell>
          <cell r="AC149"/>
          <cell r="AD149"/>
          <cell r="AE149">
            <v>0</v>
          </cell>
          <cell r="AF149">
            <v>0</v>
          </cell>
          <cell r="AI149">
            <v>0</v>
          </cell>
        </row>
        <row r="150">
          <cell r="E150">
            <v>56</v>
          </cell>
          <cell r="F150" t="str">
            <v>DH</v>
          </cell>
          <cell r="G150">
            <v>0</v>
          </cell>
          <cell r="H150"/>
          <cell r="I150"/>
          <cell r="J150"/>
          <cell r="K150"/>
          <cell r="L150">
            <v>0</v>
          </cell>
          <cell r="O150">
            <v>0</v>
          </cell>
          <cell r="P150">
            <v>0</v>
          </cell>
          <cell r="S150">
            <v>0</v>
          </cell>
          <cell r="T150">
            <v>0</v>
          </cell>
          <cell r="W150">
            <v>0</v>
          </cell>
          <cell r="X150">
            <v>0</v>
          </cell>
          <cell r="AA150">
            <v>0</v>
          </cell>
          <cell r="AB150">
            <v>0</v>
          </cell>
          <cell r="AC150"/>
          <cell r="AD150"/>
          <cell r="AE150">
            <v>0</v>
          </cell>
          <cell r="AF150">
            <v>0</v>
          </cell>
          <cell r="AI150">
            <v>0</v>
          </cell>
        </row>
        <row r="151">
          <cell r="E151">
            <v>42</v>
          </cell>
          <cell r="F151" t="str">
            <v>DH</v>
          </cell>
          <cell r="G151">
            <v>0.11021083809358594</v>
          </cell>
          <cell r="H151"/>
          <cell r="I151"/>
          <cell r="J151"/>
          <cell r="K151"/>
          <cell r="L151">
            <v>486.50451952948498</v>
          </cell>
          <cell r="O151">
            <v>486.50451952948498</v>
          </cell>
          <cell r="P151">
            <v>214.1018093564422</v>
          </cell>
          <cell r="S151">
            <v>214.1018093564422</v>
          </cell>
          <cell r="T151">
            <v>424.27760320024169</v>
          </cell>
          <cell r="W151">
            <v>424.27760320024169</v>
          </cell>
          <cell r="X151">
            <v>186.1302468924118</v>
          </cell>
          <cell r="AA151">
            <v>186.1302468924118</v>
          </cell>
          <cell r="AB151">
            <v>399.23346929179331</v>
          </cell>
          <cell r="AC151"/>
          <cell r="AD151"/>
          <cell r="AE151">
            <v>399.23346929179331</v>
          </cell>
          <cell r="AF151">
            <v>87.076209901730365</v>
          </cell>
          <cell r="AI151">
            <v>87.076209901730365</v>
          </cell>
        </row>
        <row r="152">
          <cell r="E152">
            <v>42</v>
          </cell>
          <cell r="F152" t="str">
            <v>DH</v>
          </cell>
          <cell r="G152">
            <v>0</v>
          </cell>
          <cell r="H152"/>
          <cell r="I152"/>
          <cell r="J152"/>
          <cell r="K152"/>
          <cell r="L152">
            <v>0</v>
          </cell>
          <cell r="O152">
            <v>0</v>
          </cell>
          <cell r="P152">
            <v>0</v>
          </cell>
          <cell r="S152">
            <v>0</v>
          </cell>
          <cell r="T152">
            <v>0</v>
          </cell>
          <cell r="W152">
            <v>0</v>
          </cell>
          <cell r="X152">
            <v>0</v>
          </cell>
          <cell r="AA152">
            <v>0</v>
          </cell>
          <cell r="AB152">
            <v>0</v>
          </cell>
          <cell r="AC152"/>
          <cell r="AD152"/>
          <cell r="AE152">
            <v>0</v>
          </cell>
          <cell r="AF152">
            <v>0</v>
          </cell>
          <cell r="AI152">
            <v>0</v>
          </cell>
        </row>
        <row r="153">
          <cell r="E153">
            <v>34</v>
          </cell>
          <cell r="F153" t="str">
            <v>DH</v>
          </cell>
          <cell r="G153">
            <v>0.11021083809358596</v>
          </cell>
          <cell r="H153"/>
          <cell r="I153"/>
          <cell r="J153"/>
          <cell r="K153"/>
          <cell r="L153">
            <v>1018.4556651176597</v>
          </cell>
          <cell r="O153">
            <v>1018.4556651176597</v>
          </cell>
          <cell r="P153">
            <v>448.20385401947829</v>
          </cell>
          <cell r="S153">
            <v>448.20385401947829</v>
          </cell>
          <cell r="T153">
            <v>888.18892983714693</v>
          </cell>
          <cell r="W153">
            <v>888.18892983714693</v>
          </cell>
          <cell r="X153">
            <v>389.64777671677257</v>
          </cell>
          <cell r="AA153">
            <v>389.64777671677257</v>
          </cell>
          <cell r="AB153">
            <v>835.76117421898209</v>
          </cell>
          <cell r="AC153"/>
          <cell r="AD153"/>
          <cell r="AE153">
            <v>835.76117421898209</v>
          </cell>
          <cell r="AF153">
            <v>182.28660929431925</v>
          </cell>
          <cell r="AI153">
            <v>182.28660929431925</v>
          </cell>
        </row>
        <row r="154">
          <cell r="E154">
            <v>75</v>
          </cell>
          <cell r="F154" t="str">
            <v>CUST</v>
          </cell>
          <cell r="G154">
            <v>0.1683087563617382</v>
          </cell>
          <cell r="H154"/>
          <cell r="I154"/>
          <cell r="J154"/>
          <cell r="K154"/>
          <cell r="L154">
            <v>4784.3163043194572</v>
          </cell>
          <cell r="O154">
            <v>4784.3163043194572</v>
          </cell>
          <cell r="P154">
            <v>141.38953934490408</v>
          </cell>
          <cell r="S154">
            <v>141.38953934490408</v>
          </cell>
          <cell r="T154">
            <v>0</v>
          </cell>
          <cell r="W154">
            <v>0</v>
          </cell>
          <cell r="X154">
            <v>0</v>
          </cell>
          <cell r="AA154">
            <v>0</v>
          </cell>
          <cell r="AB154">
            <v>0</v>
          </cell>
          <cell r="AC154"/>
          <cell r="AD154"/>
          <cell r="AE154">
            <v>0</v>
          </cell>
          <cell r="AF154">
            <v>2.8660041759102182</v>
          </cell>
          <cell r="AI154">
            <v>2.8660041759102182</v>
          </cell>
        </row>
        <row r="155">
          <cell r="E155">
            <v>75</v>
          </cell>
          <cell r="F155" t="str">
            <v>CUST</v>
          </cell>
          <cell r="G155">
            <v>0.1683087563617382</v>
          </cell>
          <cell r="H155"/>
          <cell r="I155"/>
          <cell r="J155"/>
          <cell r="K155"/>
          <cell r="L155">
            <v>369.60059506720597</v>
          </cell>
          <cell r="O155">
            <v>369.60059506720597</v>
          </cell>
          <cell r="P155">
            <v>10.922701291922222</v>
          </cell>
          <cell r="S155">
            <v>10.922701291922222</v>
          </cell>
          <cell r="T155">
            <v>0</v>
          </cell>
          <cell r="W155">
            <v>0</v>
          </cell>
          <cell r="X155">
            <v>0</v>
          </cell>
          <cell r="AA155">
            <v>0</v>
          </cell>
          <cell r="AB155">
            <v>0</v>
          </cell>
          <cell r="AC155"/>
          <cell r="AD155"/>
          <cell r="AE155">
            <v>0</v>
          </cell>
          <cell r="AF155">
            <v>0.22140610726869375</v>
          </cell>
          <cell r="AI155">
            <v>0.22140610726869375</v>
          </cell>
        </row>
        <row r="156">
          <cell r="E156">
            <v>43</v>
          </cell>
          <cell r="F156" t="str">
            <v>DH</v>
          </cell>
          <cell r="G156">
            <v>0.11021083809358594</v>
          </cell>
          <cell r="H156"/>
          <cell r="I156"/>
          <cell r="J156"/>
          <cell r="K156"/>
          <cell r="L156">
            <v>8224.6681056296711</v>
          </cell>
          <cell r="O156">
            <v>8224.6681056296711</v>
          </cell>
          <cell r="P156">
            <v>3619.5271617919948</v>
          </cell>
          <cell r="S156">
            <v>3619.5271617919948</v>
          </cell>
          <cell r="T156">
            <v>7172.6825361229621</v>
          </cell>
          <cell r="W156">
            <v>7172.6825361229621</v>
          </cell>
          <cell r="X156">
            <v>3146.6501207214724</v>
          </cell>
          <cell r="AA156">
            <v>3146.6501207214724</v>
          </cell>
          <cell r="AB156">
            <v>6749.2955353420784</v>
          </cell>
          <cell r="AC156"/>
          <cell r="AD156"/>
          <cell r="AE156">
            <v>6749.2955353420784</v>
          </cell>
          <cell r="AF156">
            <v>1472.0786705753762</v>
          </cell>
          <cell r="AI156">
            <v>1472.0786705753762</v>
          </cell>
        </row>
        <row r="157">
          <cell r="E157">
            <v>43</v>
          </cell>
          <cell r="F157" t="str">
            <v>DH</v>
          </cell>
          <cell r="G157">
            <v>0.11021083809358596</v>
          </cell>
          <cell r="H157"/>
          <cell r="I157"/>
          <cell r="J157"/>
          <cell r="K157"/>
          <cell r="L157">
            <v>51.609654053428152</v>
          </cell>
          <cell r="O157">
            <v>51.609654053428152</v>
          </cell>
          <cell r="P157">
            <v>22.712472072788898</v>
          </cell>
          <cell r="S157">
            <v>22.712472072788898</v>
          </cell>
          <cell r="T157">
            <v>45.008462295395098</v>
          </cell>
          <cell r="W157">
            <v>45.008462295395098</v>
          </cell>
          <cell r="X157">
            <v>19.745176592165983</v>
          </cell>
          <cell r="AA157">
            <v>19.745176592165983</v>
          </cell>
          <cell r="AB157">
            <v>42.351715985344811</v>
          </cell>
          <cell r="AC157"/>
          <cell r="AD157"/>
          <cell r="AE157">
            <v>42.351715985344811</v>
          </cell>
          <cell r="AF157">
            <v>9.2372689027807464</v>
          </cell>
          <cell r="AI157">
            <v>9.2372689027807464</v>
          </cell>
        </row>
        <row r="158">
          <cell r="E158">
            <v>85</v>
          </cell>
          <cell r="F158" t="str">
            <v>DH</v>
          </cell>
          <cell r="G158">
            <v>0</v>
          </cell>
          <cell r="H158"/>
          <cell r="I158"/>
          <cell r="J158"/>
          <cell r="K158"/>
          <cell r="L158">
            <v>0</v>
          </cell>
          <cell r="O158">
            <v>0</v>
          </cell>
          <cell r="P158">
            <v>0</v>
          </cell>
          <cell r="S158">
            <v>0</v>
          </cell>
          <cell r="T158">
            <v>0</v>
          </cell>
          <cell r="W158">
            <v>0</v>
          </cell>
          <cell r="X158">
            <v>0</v>
          </cell>
          <cell r="AA158">
            <v>0</v>
          </cell>
          <cell r="AB158">
            <v>0</v>
          </cell>
          <cell r="AC158"/>
          <cell r="AD158"/>
          <cell r="AE158">
            <v>0</v>
          </cell>
          <cell r="AF158">
            <v>0</v>
          </cell>
          <cell r="AI158">
            <v>0</v>
          </cell>
        </row>
        <row r="159">
          <cell r="E159">
            <v>54</v>
          </cell>
          <cell r="F159" t="str">
            <v>DH</v>
          </cell>
          <cell r="G159">
            <v>0</v>
          </cell>
          <cell r="H159"/>
          <cell r="I159"/>
          <cell r="J159"/>
          <cell r="K159"/>
          <cell r="L159">
            <v>0</v>
          </cell>
          <cell r="O159">
            <v>0</v>
          </cell>
          <cell r="P159">
            <v>0</v>
          </cell>
          <cell r="S159">
            <v>0</v>
          </cell>
          <cell r="T159">
            <v>0</v>
          </cell>
          <cell r="W159">
            <v>0</v>
          </cell>
          <cell r="X159">
            <v>0</v>
          </cell>
          <cell r="AA159">
            <v>0</v>
          </cell>
          <cell r="AB159">
            <v>0</v>
          </cell>
          <cell r="AC159"/>
          <cell r="AD159"/>
          <cell r="AE159">
            <v>0</v>
          </cell>
          <cell r="AF159">
            <v>0</v>
          </cell>
          <cell r="AI159">
            <v>0</v>
          </cell>
        </row>
        <row r="160">
          <cell r="E160">
            <v>54</v>
          </cell>
          <cell r="F160" t="str">
            <v>DH</v>
          </cell>
          <cell r="G160">
            <v>0.11021083809358595</v>
          </cell>
          <cell r="H160"/>
          <cell r="I160"/>
          <cell r="J160"/>
          <cell r="K160"/>
          <cell r="L160">
            <v>1415.8347869223701</v>
          </cell>
          <cell r="O160">
            <v>1415.8347869223701</v>
          </cell>
          <cell r="P160">
            <v>623.08319339570005</v>
          </cell>
          <cell r="S160">
            <v>623.08319339570005</v>
          </cell>
          <cell r="T160">
            <v>1234.7408211210702</v>
          </cell>
          <cell r="W160">
            <v>1234.7408211210702</v>
          </cell>
          <cell r="X160">
            <v>541.67981564404477</v>
          </cell>
          <cell r="AA160">
            <v>541.67981564404477</v>
          </cell>
          <cell r="AB160">
            <v>1161.8569021181877</v>
          </cell>
          <cell r="AC160"/>
          <cell r="AD160"/>
          <cell r="AE160">
            <v>1161.8569021181877</v>
          </cell>
          <cell r="AF160">
            <v>253.41085672021629</v>
          </cell>
          <cell r="AI160">
            <v>253.41085672021629</v>
          </cell>
        </row>
        <row r="161">
          <cell r="E161">
            <v>54</v>
          </cell>
          <cell r="F161" t="str">
            <v>DH</v>
          </cell>
          <cell r="G161">
            <v>0.11021083809358598</v>
          </cell>
          <cell r="H161"/>
          <cell r="I161"/>
          <cell r="J161"/>
          <cell r="K161"/>
          <cell r="L161">
            <v>205.44132677151256</v>
          </cell>
          <cell r="O161">
            <v>205.44132677151256</v>
          </cell>
          <cell r="P161">
            <v>90.410999307691228</v>
          </cell>
          <cell r="S161">
            <v>90.410999307691228</v>
          </cell>
          <cell r="T161">
            <v>179.16411918473932</v>
          </cell>
          <cell r="W161">
            <v>179.16411918473932</v>
          </cell>
          <cell r="X161">
            <v>78.599156511163287</v>
          </cell>
          <cell r="AA161">
            <v>78.599156511163287</v>
          </cell>
          <cell r="AB161">
            <v>168.58847211167401</v>
          </cell>
          <cell r="AC161"/>
          <cell r="AD161"/>
          <cell r="AE161">
            <v>168.58847211167401</v>
          </cell>
          <cell r="AF161">
            <v>36.770577403365778</v>
          </cell>
          <cell r="AI161">
            <v>36.770577403365778</v>
          </cell>
        </row>
        <row r="162">
          <cell r="E162">
            <v>37</v>
          </cell>
          <cell r="F162" t="str">
            <v>DH</v>
          </cell>
          <cell r="G162">
            <v>0</v>
          </cell>
          <cell r="H162"/>
          <cell r="I162"/>
          <cell r="J162"/>
          <cell r="K162"/>
          <cell r="L162">
            <v>0</v>
          </cell>
          <cell r="O162">
            <v>0</v>
          </cell>
          <cell r="P162">
            <v>0</v>
          </cell>
          <cell r="S162">
            <v>0</v>
          </cell>
          <cell r="T162">
            <v>0</v>
          </cell>
          <cell r="W162">
            <v>0</v>
          </cell>
          <cell r="X162">
            <v>0</v>
          </cell>
          <cell r="AA162">
            <v>0</v>
          </cell>
          <cell r="AB162">
            <v>0</v>
          </cell>
          <cell r="AC162"/>
          <cell r="AD162"/>
          <cell r="AE162">
            <v>0</v>
          </cell>
          <cell r="AF162">
            <v>0</v>
          </cell>
          <cell r="AI162">
            <v>0</v>
          </cell>
        </row>
        <row r="163">
          <cell r="E163">
            <v>54</v>
          </cell>
          <cell r="F163" t="str">
            <v>DH</v>
          </cell>
          <cell r="G163">
            <v>0.11021083809358596</v>
          </cell>
          <cell r="H163"/>
          <cell r="I163"/>
          <cell r="J163"/>
          <cell r="K163"/>
          <cell r="L163">
            <v>2003.17770907316</v>
          </cell>
          <cell r="O163">
            <v>2003.17770907316</v>
          </cell>
          <cell r="P163">
            <v>881.56215360515989</v>
          </cell>
          <cell r="S163">
            <v>881.56215360515989</v>
          </cell>
          <cell r="T163">
            <v>1746.9589758625095</v>
          </cell>
          <cell r="W163">
            <v>1746.9589758625095</v>
          </cell>
          <cell r="X163">
            <v>766.38951251626793</v>
          </cell>
          <cell r="AA163">
            <v>766.38951251626793</v>
          </cell>
          <cell r="AB163">
            <v>1643.8399938703874</v>
          </cell>
          <cell r="AC163"/>
          <cell r="AD163"/>
          <cell r="AE163">
            <v>1643.8399938703874</v>
          </cell>
          <cell r="AF163">
            <v>358.53546198176775</v>
          </cell>
          <cell r="AI163">
            <v>358.53546198176775</v>
          </cell>
        </row>
        <row r="164">
          <cell r="E164">
            <v>47</v>
          </cell>
          <cell r="F164" t="str">
            <v>TH</v>
          </cell>
          <cell r="G164">
            <v>0.10792364863995126</v>
          </cell>
          <cell r="H164"/>
          <cell r="I164"/>
          <cell r="J164"/>
          <cell r="K164"/>
          <cell r="L164">
            <v>2816.2960719836683</v>
          </cell>
          <cell r="O164">
            <v>2816.2960719836683</v>
          </cell>
          <cell r="P164">
            <v>1425.9470919207643</v>
          </cell>
          <cell r="S164">
            <v>1425.9470919207643</v>
          </cell>
          <cell r="T164">
            <v>2555.1191851865342</v>
          </cell>
          <cell r="W164">
            <v>2555.1191851865342</v>
          </cell>
          <cell r="X164">
            <v>1227.9388301135493</v>
          </cell>
          <cell r="AA164">
            <v>1227.9388301135493</v>
          </cell>
          <cell r="AB164">
            <v>2288.1729106741373</v>
          </cell>
          <cell r="AC164"/>
          <cell r="AD164"/>
          <cell r="AE164">
            <v>2288.1729106741373</v>
          </cell>
          <cell r="AF164">
            <v>616.40492874052677</v>
          </cell>
          <cell r="AI164">
            <v>616.40492874052677</v>
          </cell>
        </row>
        <row r="165">
          <cell r="E165">
            <v>86</v>
          </cell>
          <cell r="F165" t="str">
            <v>REV</v>
          </cell>
          <cell r="G165">
            <v>0</v>
          </cell>
          <cell r="H165"/>
          <cell r="I165"/>
          <cell r="J165"/>
          <cell r="K165"/>
          <cell r="L165">
            <v>0</v>
          </cell>
          <cell r="O165">
            <v>0</v>
          </cell>
          <cell r="P165">
            <v>0</v>
          </cell>
          <cell r="S165">
            <v>0</v>
          </cell>
          <cell r="T165">
            <v>0</v>
          </cell>
          <cell r="W165">
            <v>0</v>
          </cell>
          <cell r="X165">
            <v>0</v>
          </cell>
          <cell r="AA165">
            <v>0</v>
          </cell>
          <cell r="AB165">
            <v>0</v>
          </cell>
          <cell r="AC165"/>
          <cell r="AD165"/>
          <cell r="AE165">
            <v>0</v>
          </cell>
          <cell r="AF165">
            <v>0</v>
          </cell>
          <cell r="AI165">
            <v>0</v>
          </cell>
        </row>
        <row r="166">
          <cell r="E166">
            <v>54</v>
          </cell>
          <cell r="F166" t="str">
            <v>DH</v>
          </cell>
          <cell r="G166">
            <v>0.11021083809358595</v>
          </cell>
          <cell r="H166"/>
          <cell r="I166"/>
          <cell r="J166"/>
          <cell r="K166"/>
          <cell r="L166">
            <v>156.0043496572238</v>
          </cell>
          <cell r="O166">
            <v>156.0043496572238</v>
          </cell>
          <cell r="P166">
            <v>68.654682923377024</v>
          </cell>
          <cell r="S166">
            <v>68.654682923377024</v>
          </cell>
          <cell r="T166">
            <v>136.05043510262377</v>
          </cell>
          <cell r="W166">
            <v>136.05043510262377</v>
          </cell>
          <cell r="X166">
            <v>59.685217613336867</v>
          </cell>
          <cell r="AA166">
            <v>59.685217613336867</v>
          </cell>
          <cell r="AB166">
            <v>128.01968992703016</v>
          </cell>
          <cell r="AC166"/>
          <cell r="AD166"/>
          <cell r="AE166">
            <v>128.01968992703016</v>
          </cell>
          <cell r="AF166">
            <v>27.922181503006723</v>
          </cell>
          <cell r="AI166">
            <v>27.922181503006723</v>
          </cell>
        </row>
        <row r="167">
          <cell r="E167">
            <v>34</v>
          </cell>
          <cell r="F167" t="str">
            <v>DH</v>
          </cell>
          <cell r="G167">
            <v>0.11021083809358595</v>
          </cell>
          <cell r="H167"/>
          <cell r="I167"/>
          <cell r="J167"/>
          <cell r="K167"/>
          <cell r="L167">
            <v>45.065967569833091</v>
          </cell>
          <cell r="O167">
            <v>45.065967569833091</v>
          </cell>
          <cell r="P167">
            <v>19.832714414311301</v>
          </cell>
          <cell r="S167">
            <v>19.832714414311301</v>
          </cell>
          <cell r="T167">
            <v>39.301753506669719</v>
          </cell>
          <cell r="W167">
            <v>39.301753506669719</v>
          </cell>
          <cell r="X167">
            <v>17.241647987835574</v>
          </cell>
          <cell r="AA167">
            <v>17.241647987835574</v>
          </cell>
          <cell r="AB167">
            <v>36.981861129052682</v>
          </cell>
          <cell r="AC167"/>
          <cell r="AD167"/>
          <cell r="AE167">
            <v>36.981861129052682</v>
          </cell>
          <cell r="AF167">
            <v>8.066057958373257</v>
          </cell>
          <cell r="AI167">
            <v>8.066057958373257</v>
          </cell>
        </row>
        <row r="168">
          <cell r="E168">
            <v>47</v>
          </cell>
          <cell r="F168" t="str">
            <v>TH</v>
          </cell>
          <cell r="G168">
            <v>0.10792364863995128</v>
          </cell>
          <cell r="H168"/>
          <cell r="I168"/>
          <cell r="J168"/>
          <cell r="K168"/>
          <cell r="L168">
            <v>226.53631991251552</v>
          </cell>
          <cell r="O168">
            <v>226.53631991251552</v>
          </cell>
          <cell r="P168">
            <v>114.69987470676581</v>
          </cell>
          <cell r="S168">
            <v>114.69987470676581</v>
          </cell>
          <cell r="T168">
            <v>205.52785728324491</v>
          </cell>
          <cell r="W168">
            <v>205.52785728324491</v>
          </cell>
          <cell r="X168">
            <v>98.772549668640167</v>
          </cell>
          <cell r="AA168">
            <v>98.772549668640167</v>
          </cell>
          <cell r="AB168">
            <v>184.05531849587229</v>
          </cell>
          <cell r="AC168"/>
          <cell r="AD168"/>
          <cell r="AE168">
            <v>184.05531849587229</v>
          </cell>
          <cell r="AF168">
            <v>49.582181902650838</v>
          </cell>
          <cell r="AI168">
            <v>49.582181902650838</v>
          </cell>
        </row>
        <row r="169">
          <cell r="E169">
            <v>46</v>
          </cell>
          <cell r="F169" t="str">
            <v>DH</v>
          </cell>
          <cell r="G169">
            <v>0.11021083809358598</v>
          </cell>
          <cell r="H169"/>
          <cell r="I169"/>
          <cell r="J169"/>
          <cell r="K169"/>
          <cell r="L169">
            <v>4.6239863458273778</v>
          </cell>
          <cell r="O169">
            <v>4.6239863458273778</v>
          </cell>
          <cell r="P169">
            <v>2.0349324689492945</v>
          </cell>
          <cell r="S169">
            <v>2.0349324689492945</v>
          </cell>
          <cell r="T169">
            <v>4.0325500900498499</v>
          </cell>
          <cell r="W169">
            <v>4.0325500900498499</v>
          </cell>
          <cell r="X169">
            <v>1.7690765154830794</v>
          </cell>
          <cell r="AA169">
            <v>1.7690765154830794</v>
          </cell>
          <cell r="AB169">
            <v>3.7945179062014138</v>
          </cell>
          <cell r="AC169"/>
          <cell r="AD169"/>
          <cell r="AE169">
            <v>3.7945179062014138</v>
          </cell>
          <cell r="AF169">
            <v>0.8276165779948067</v>
          </cell>
          <cell r="AI169">
            <v>0.8276165779948067</v>
          </cell>
        </row>
        <row r="170">
          <cell r="E170">
            <v>46</v>
          </cell>
          <cell r="F170" t="str">
            <v>DH</v>
          </cell>
          <cell r="G170">
            <v>0.11021083809358595</v>
          </cell>
          <cell r="H170"/>
          <cell r="I170"/>
          <cell r="J170"/>
          <cell r="K170"/>
          <cell r="L170">
            <v>2571.5103792303044</v>
          </cell>
          <cell r="O170">
            <v>2571.5103792303044</v>
          </cell>
          <cell r="P170">
            <v>1131.675046933889</v>
          </cell>
          <cell r="S170">
            <v>1131.675046933889</v>
          </cell>
          <cell r="T170">
            <v>2242.5984066079268</v>
          </cell>
          <cell r="W170">
            <v>2242.5984066079268</v>
          </cell>
          <cell r="X170">
            <v>983.82613636444955</v>
          </cell>
          <cell r="AA170">
            <v>983.82613636444955</v>
          </cell>
          <cell r="AB170">
            <v>2110.2229656835689</v>
          </cell>
          <cell r="AC170"/>
          <cell r="AD170"/>
          <cell r="AE170">
            <v>2110.2229656835689</v>
          </cell>
          <cell r="AF170">
            <v>460.2575486100198</v>
          </cell>
          <cell r="AI170">
            <v>460.2575486100198</v>
          </cell>
        </row>
        <row r="171">
          <cell r="E171">
            <v>46</v>
          </cell>
          <cell r="F171" t="str">
            <v>DH</v>
          </cell>
          <cell r="G171">
            <v>0.11021083809358595</v>
          </cell>
          <cell r="H171"/>
          <cell r="I171"/>
          <cell r="J171"/>
          <cell r="K171"/>
          <cell r="L171">
            <v>1554.1307604835738</v>
          </cell>
          <cell r="O171">
            <v>1554.1307604835738</v>
          </cell>
          <cell r="P171">
            <v>683.94474139283</v>
          </cell>
          <cell r="S171">
            <v>683.94474139283</v>
          </cell>
          <cell r="T171">
            <v>1355.3478902014128</v>
          </cell>
          <cell r="W171">
            <v>1355.3478902014128</v>
          </cell>
          <cell r="X171">
            <v>594.59004087292521</v>
          </cell>
          <cell r="AA171">
            <v>594.59004087292521</v>
          </cell>
          <cell r="AB171">
            <v>1275.3448125025009</v>
          </cell>
          <cell r="AC171"/>
          <cell r="AD171"/>
          <cell r="AE171">
            <v>1275.3448125025009</v>
          </cell>
          <cell r="AF171">
            <v>278.16353370259259</v>
          </cell>
          <cell r="AI171">
            <v>278.16353370259259</v>
          </cell>
        </row>
        <row r="172">
          <cell r="E172">
            <v>46</v>
          </cell>
          <cell r="F172" t="str">
            <v>DH</v>
          </cell>
          <cell r="G172">
            <v>0.11021083809358595</v>
          </cell>
          <cell r="H172"/>
          <cell r="I172"/>
          <cell r="J172"/>
          <cell r="K172"/>
          <cell r="L172">
            <v>274.96579553717464</v>
          </cell>
          <cell r="O172">
            <v>274.96579553717464</v>
          </cell>
          <cell r="P172">
            <v>121.00745619501841</v>
          </cell>
          <cell r="S172">
            <v>121.00745619501841</v>
          </cell>
          <cell r="T172">
            <v>239.79598135159725</v>
          </cell>
          <cell r="W172">
            <v>239.79598135159725</v>
          </cell>
          <cell r="X172">
            <v>105.19830619415443</v>
          </cell>
          <cell r="AA172">
            <v>105.19830619415443</v>
          </cell>
          <cell r="AB172">
            <v>225.64137450367735</v>
          </cell>
          <cell r="AC172"/>
          <cell r="AD172"/>
          <cell r="AE172">
            <v>225.64137450367735</v>
          </cell>
          <cell r="AF172">
            <v>49.214299902388085</v>
          </cell>
          <cell r="AI172">
            <v>49.214299902388085</v>
          </cell>
        </row>
        <row r="173">
          <cell r="E173">
            <v>27</v>
          </cell>
          <cell r="F173" t="str">
            <v>DH</v>
          </cell>
          <cell r="G173">
            <v>0.11021083809358596</v>
          </cell>
          <cell r="H173"/>
          <cell r="I173"/>
          <cell r="J173"/>
          <cell r="K173"/>
          <cell r="L173">
            <v>746.50470867796435</v>
          </cell>
          <cell r="O173">
            <v>746.50470867796435</v>
          </cell>
          <cell r="P173">
            <v>328.52317379421476</v>
          </cell>
          <cell r="S173">
            <v>328.52317379421476</v>
          </cell>
          <cell r="T173">
            <v>651.02217114426207</v>
          </cell>
          <cell r="W173">
            <v>651.02217114426207</v>
          </cell>
          <cell r="X173">
            <v>285.60290841071304</v>
          </cell>
          <cell r="AA173">
            <v>285.60290841071304</v>
          </cell>
          <cell r="AB173">
            <v>612.59382539014814</v>
          </cell>
          <cell r="AC173"/>
          <cell r="AD173"/>
          <cell r="AE173">
            <v>612.59382539014814</v>
          </cell>
          <cell r="AF173">
            <v>133.61191540078377</v>
          </cell>
          <cell r="AI173">
            <v>133.61191540078377</v>
          </cell>
        </row>
        <row r="174">
          <cell r="E174">
            <v>27</v>
          </cell>
          <cell r="F174" t="str">
            <v>DH</v>
          </cell>
          <cell r="G174">
            <v>0.11021083809358595</v>
          </cell>
          <cell r="H174"/>
          <cell r="I174"/>
          <cell r="J174"/>
          <cell r="K174"/>
          <cell r="L174">
            <v>551.57773021346384</v>
          </cell>
          <cell r="O174">
            <v>551.57773021346384</v>
          </cell>
          <cell r="P174">
            <v>242.73934834898273</v>
          </cell>
          <cell r="S174">
            <v>242.73934834898273</v>
          </cell>
          <cell r="T174">
            <v>481.0275505352522</v>
          </cell>
          <cell r="W174">
            <v>481.0275505352522</v>
          </cell>
          <cell r="X174">
            <v>211.02640362782083</v>
          </cell>
          <cell r="AA174">
            <v>211.02640362782083</v>
          </cell>
          <cell r="AB174">
            <v>452.63359738196243</v>
          </cell>
          <cell r="AC174"/>
          <cell r="AD174"/>
          <cell r="AE174">
            <v>452.63359738196243</v>
          </cell>
          <cell r="AF174">
            <v>98.723231306542317</v>
          </cell>
          <cell r="AI174">
            <v>98.723231306542317</v>
          </cell>
        </row>
        <row r="175">
          <cell r="E175">
            <v>46</v>
          </cell>
          <cell r="F175" t="str">
            <v>DH</v>
          </cell>
          <cell r="G175">
            <v>0.11021083809358595</v>
          </cell>
          <cell r="H175"/>
          <cell r="I175"/>
          <cell r="J175"/>
          <cell r="K175"/>
          <cell r="L175">
            <v>1033.0987857489456</v>
          </cell>
          <cell r="O175">
            <v>1033.0987857489456</v>
          </cell>
          <cell r="P175">
            <v>454.64802564776056</v>
          </cell>
          <cell r="S175">
            <v>454.64802564776056</v>
          </cell>
          <cell r="T175">
            <v>900.95910539650799</v>
          </cell>
          <cell r="W175">
            <v>900.95910539650799</v>
          </cell>
          <cell r="X175">
            <v>395.25004257241682</v>
          </cell>
          <cell r="AA175">
            <v>395.25004257241682</v>
          </cell>
          <cell r="AB175">
            <v>847.7775556012981</v>
          </cell>
          <cell r="AC175"/>
          <cell r="AD175"/>
          <cell r="AE175">
            <v>847.7775556012981</v>
          </cell>
          <cell r="AF175">
            <v>184.90748411566602</v>
          </cell>
          <cell r="AI175">
            <v>184.90748411566602</v>
          </cell>
        </row>
        <row r="176">
          <cell r="E176">
            <v>46</v>
          </cell>
          <cell r="F176" t="str">
            <v>DH</v>
          </cell>
          <cell r="G176">
            <v>0.11021083809358596</v>
          </cell>
          <cell r="H176"/>
          <cell r="I176"/>
          <cell r="J176"/>
          <cell r="K176"/>
          <cell r="L176">
            <v>-391.0451554760262</v>
          </cell>
          <cell r="O176">
            <v>-391.0451554760262</v>
          </cell>
          <cell r="P176">
            <v>-172.09187575165853</v>
          </cell>
          <cell r="S176">
            <v>-172.09187575165853</v>
          </cell>
          <cell r="T176">
            <v>-341.02807815412092</v>
          </cell>
          <cell r="W176">
            <v>-341.02807815412092</v>
          </cell>
          <cell r="X176">
            <v>-149.60874650296668</v>
          </cell>
          <cell r="AA176">
            <v>-149.60874650296668</v>
          </cell>
          <cell r="AB176">
            <v>-320.89797279053022</v>
          </cell>
          <cell r="AC176"/>
          <cell r="AD176"/>
          <cell r="AE176">
            <v>-320.89797279053022</v>
          </cell>
          <cell r="AF176">
            <v>-69.990572897897977</v>
          </cell>
          <cell r="AI176">
            <v>-69.990572897897977</v>
          </cell>
        </row>
        <row r="177">
          <cell r="E177">
            <v>62</v>
          </cell>
          <cell r="F177" t="str">
            <v>CUST</v>
          </cell>
          <cell r="G177">
            <v>3.3286414346783443E-2</v>
          </cell>
          <cell r="H177"/>
          <cell r="I177"/>
          <cell r="J177"/>
          <cell r="K177"/>
          <cell r="L177">
            <v>0</v>
          </cell>
          <cell r="O177">
            <v>0</v>
          </cell>
          <cell r="P177">
            <v>4665.9718695652173</v>
          </cell>
          <cell r="S177">
            <v>4665.9718695652173</v>
          </cell>
          <cell r="T177">
            <v>0</v>
          </cell>
          <cell r="W177">
            <v>0</v>
          </cell>
          <cell r="X177">
            <v>0</v>
          </cell>
          <cell r="AA177">
            <v>0</v>
          </cell>
          <cell r="AB177">
            <v>0</v>
          </cell>
          <cell r="AC177"/>
          <cell r="AD177"/>
          <cell r="AE177">
            <v>0</v>
          </cell>
          <cell r="AF177">
            <v>1126.8009064748203</v>
          </cell>
          <cell r="AI177">
            <v>1126.8009064748203</v>
          </cell>
        </row>
        <row r="178">
          <cell r="E178">
            <v>62</v>
          </cell>
          <cell r="F178" t="str">
            <v>CUST</v>
          </cell>
          <cell r="G178">
            <v>0.16830875636173823</v>
          </cell>
          <cell r="H178"/>
          <cell r="I178"/>
          <cell r="J178"/>
          <cell r="K178"/>
          <cell r="L178">
            <v>81.691243638261781</v>
          </cell>
          <cell r="O178">
            <v>81.691243638261781</v>
          </cell>
          <cell r="P178">
            <v>2.4141980947409629</v>
          </cell>
          <cell r="S178">
            <v>2.4141980947409629</v>
          </cell>
          <cell r="T178">
            <v>0</v>
          </cell>
          <cell r="W178">
            <v>0</v>
          </cell>
          <cell r="X178">
            <v>0</v>
          </cell>
          <cell r="AA178">
            <v>0</v>
          </cell>
          <cell r="AB178">
            <v>0</v>
          </cell>
          <cell r="AC178"/>
          <cell r="AD178"/>
          <cell r="AE178">
            <v>0</v>
          </cell>
          <cell r="AF178">
            <v>4.8936447866370879E-2</v>
          </cell>
          <cell r="AI178">
            <v>4.8936447866370879E-2</v>
          </cell>
        </row>
        <row r="179">
          <cell r="E179">
            <v>62</v>
          </cell>
          <cell r="F179" t="str">
            <v>CUST</v>
          </cell>
          <cell r="G179">
            <v>0</v>
          </cell>
          <cell r="H179"/>
          <cell r="I179"/>
          <cell r="J179"/>
          <cell r="K179"/>
          <cell r="L179">
            <v>0</v>
          </cell>
          <cell r="O179">
            <v>0</v>
          </cell>
          <cell r="P179">
            <v>0</v>
          </cell>
          <cell r="S179">
            <v>0</v>
          </cell>
          <cell r="T179">
            <v>0</v>
          </cell>
          <cell r="W179">
            <v>0</v>
          </cell>
          <cell r="X179">
            <v>0</v>
          </cell>
          <cell r="AA179">
            <v>0</v>
          </cell>
          <cell r="AB179">
            <v>0</v>
          </cell>
          <cell r="AC179"/>
          <cell r="AD179"/>
          <cell r="AE179">
            <v>0</v>
          </cell>
          <cell r="AF179">
            <v>0</v>
          </cell>
          <cell r="AI179">
            <v>0</v>
          </cell>
        </row>
        <row r="180">
          <cell r="E180">
            <v>62</v>
          </cell>
          <cell r="F180" t="str">
            <v>CUST</v>
          </cell>
          <cell r="G180">
            <v>3.3286414346783449E-2</v>
          </cell>
          <cell r="H180"/>
          <cell r="I180"/>
          <cell r="J180"/>
          <cell r="K180"/>
          <cell r="L180">
            <v>0</v>
          </cell>
          <cell r="O180">
            <v>0</v>
          </cell>
          <cell r="P180">
            <v>2300.8289130434782</v>
          </cell>
          <cell r="S180">
            <v>2300.8289130434782</v>
          </cell>
          <cell r="T180">
            <v>0</v>
          </cell>
          <cell r="W180">
            <v>0</v>
          </cell>
          <cell r="X180">
            <v>0</v>
          </cell>
          <cell r="AA180">
            <v>0</v>
          </cell>
          <cell r="AB180">
            <v>0</v>
          </cell>
          <cell r="AC180"/>
          <cell r="AD180"/>
          <cell r="AE180">
            <v>0</v>
          </cell>
          <cell r="AF180">
            <v>555.63474820143892</v>
          </cell>
          <cell r="AI180">
            <v>555.63474820143892</v>
          </cell>
        </row>
        <row r="181">
          <cell r="E181">
            <v>63</v>
          </cell>
          <cell r="F181" t="str">
            <v>CUST</v>
          </cell>
          <cell r="G181">
            <v>3.3286414346783443E-2</v>
          </cell>
          <cell r="H181"/>
          <cell r="I181"/>
          <cell r="J181"/>
          <cell r="K181"/>
          <cell r="L181">
            <v>0</v>
          </cell>
          <cell r="O181">
            <v>0</v>
          </cell>
          <cell r="P181">
            <v>620.02481884057966</v>
          </cell>
          <cell r="S181">
            <v>620.02481884057966</v>
          </cell>
          <cell r="T181">
            <v>0</v>
          </cell>
          <cell r="W181">
            <v>0</v>
          </cell>
          <cell r="X181">
            <v>0</v>
          </cell>
          <cell r="AA181">
            <v>0</v>
          </cell>
          <cell r="AB181">
            <v>0</v>
          </cell>
          <cell r="AC181"/>
          <cell r="AD181"/>
          <cell r="AE181">
            <v>0</v>
          </cell>
          <cell r="AF181">
            <v>149.73183453237411</v>
          </cell>
          <cell r="AI181">
            <v>149.73183453237411</v>
          </cell>
        </row>
        <row r="182">
          <cell r="E182">
            <v>64</v>
          </cell>
          <cell r="F182" t="str">
            <v>CUST</v>
          </cell>
          <cell r="G182">
            <v>3.3286414346783443E-2</v>
          </cell>
          <cell r="H182"/>
          <cell r="I182"/>
          <cell r="J182"/>
          <cell r="K182"/>
          <cell r="L182">
            <v>0</v>
          </cell>
          <cell r="O182">
            <v>0</v>
          </cell>
          <cell r="P182">
            <v>797.544384057971</v>
          </cell>
          <cell r="S182">
            <v>797.544384057971</v>
          </cell>
          <cell r="T182">
            <v>0</v>
          </cell>
          <cell r="W182">
            <v>0</v>
          </cell>
          <cell r="X182">
            <v>0</v>
          </cell>
          <cell r="AA182">
            <v>0</v>
          </cell>
          <cell r="AB182">
            <v>0</v>
          </cell>
          <cell r="AC182"/>
          <cell r="AD182"/>
          <cell r="AE182">
            <v>0</v>
          </cell>
          <cell r="AF182">
            <v>192.60161870503597</v>
          </cell>
          <cell r="AI182">
            <v>192.60161870503597</v>
          </cell>
        </row>
        <row r="183">
          <cell r="E183">
            <v>62</v>
          </cell>
          <cell r="F183" t="str">
            <v>CUST</v>
          </cell>
          <cell r="G183">
            <v>3.3286414346783443E-2</v>
          </cell>
          <cell r="H183"/>
          <cell r="I183"/>
          <cell r="J183"/>
          <cell r="K183"/>
          <cell r="L183">
            <v>0</v>
          </cell>
          <cell r="O183">
            <v>0</v>
          </cell>
          <cell r="P183">
            <v>-46.133637681159421</v>
          </cell>
          <cell r="S183">
            <v>-46.133637681159421</v>
          </cell>
          <cell r="T183">
            <v>0</v>
          </cell>
          <cell r="W183">
            <v>0</v>
          </cell>
          <cell r="X183">
            <v>0</v>
          </cell>
          <cell r="AA183">
            <v>0</v>
          </cell>
          <cell r="AB183">
            <v>0</v>
          </cell>
          <cell r="AC183"/>
          <cell r="AD183"/>
          <cell r="AE183">
            <v>0</v>
          </cell>
          <cell r="AF183">
            <v>-11.140964028776979</v>
          </cell>
          <cell r="AI183">
            <v>-11.140964028776979</v>
          </cell>
        </row>
        <row r="184">
          <cell r="E184">
            <v>62</v>
          </cell>
          <cell r="F184" t="str">
            <v>CUST</v>
          </cell>
          <cell r="G184">
            <v>0</v>
          </cell>
          <cell r="H184"/>
          <cell r="I184"/>
          <cell r="J184"/>
          <cell r="K184"/>
          <cell r="L184">
            <v>0</v>
          </cell>
          <cell r="O184">
            <v>0</v>
          </cell>
          <cell r="P184">
            <v>0</v>
          </cell>
          <cell r="S184">
            <v>0</v>
          </cell>
          <cell r="T184">
            <v>0</v>
          </cell>
          <cell r="W184">
            <v>0</v>
          </cell>
          <cell r="X184">
            <v>0</v>
          </cell>
          <cell r="AA184">
            <v>0</v>
          </cell>
          <cell r="AB184">
            <v>0</v>
          </cell>
          <cell r="AC184"/>
          <cell r="AD184"/>
          <cell r="AE184">
            <v>0</v>
          </cell>
          <cell r="AF184">
            <v>0</v>
          </cell>
          <cell r="AI184">
            <v>0</v>
          </cell>
        </row>
        <row r="185">
          <cell r="E185">
            <v>86</v>
          </cell>
          <cell r="F185" t="str">
            <v>CUST</v>
          </cell>
          <cell r="G185">
            <v>0</v>
          </cell>
          <cell r="H185"/>
          <cell r="I185"/>
          <cell r="J185"/>
          <cell r="K185"/>
          <cell r="L185">
            <v>0</v>
          </cell>
          <cell r="O185">
            <v>0</v>
          </cell>
          <cell r="P185">
            <v>0</v>
          </cell>
          <cell r="S185">
            <v>0</v>
          </cell>
          <cell r="T185">
            <v>0</v>
          </cell>
          <cell r="W185">
            <v>0</v>
          </cell>
          <cell r="X185">
            <v>0</v>
          </cell>
          <cell r="AA185">
            <v>0</v>
          </cell>
          <cell r="AB185">
            <v>0</v>
          </cell>
          <cell r="AC185"/>
          <cell r="AD185"/>
          <cell r="AE185">
            <v>0</v>
          </cell>
          <cell r="AF185">
            <v>0</v>
          </cell>
          <cell r="AI185">
            <v>0</v>
          </cell>
        </row>
        <row r="186">
          <cell r="E186">
            <v>66</v>
          </cell>
          <cell r="F186" t="str">
            <v>CUST</v>
          </cell>
          <cell r="G186">
            <v>3.3286414346783443E-2</v>
          </cell>
          <cell r="H186"/>
          <cell r="I186"/>
          <cell r="J186"/>
          <cell r="K186"/>
          <cell r="L186">
            <v>0</v>
          </cell>
          <cell r="O186">
            <v>0</v>
          </cell>
          <cell r="P186">
            <v>71.94569565217391</v>
          </cell>
          <cell r="S186">
            <v>71.94569565217391</v>
          </cell>
          <cell r="T186">
            <v>0</v>
          </cell>
          <cell r="W186">
            <v>0</v>
          </cell>
          <cell r="X186">
            <v>0</v>
          </cell>
          <cell r="AA186">
            <v>0</v>
          </cell>
          <cell r="AB186">
            <v>0</v>
          </cell>
          <cell r="AC186"/>
          <cell r="AD186"/>
          <cell r="AE186">
            <v>0</v>
          </cell>
          <cell r="AF186">
            <v>17.374402877697843</v>
          </cell>
          <cell r="AI186">
            <v>17.374402877697843</v>
          </cell>
        </row>
        <row r="187">
          <cell r="E187">
            <v>62</v>
          </cell>
          <cell r="F187" t="str">
            <v>CUST</v>
          </cell>
          <cell r="G187">
            <v>0</v>
          </cell>
          <cell r="H187"/>
          <cell r="I187"/>
          <cell r="J187"/>
          <cell r="K187"/>
          <cell r="L187">
            <v>0</v>
          </cell>
          <cell r="O187">
            <v>0</v>
          </cell>
          <cell r="P187">
            <v>0</v>
          </cell>
          <cell r="S187">
            <v>0</v>
          </cell>
          <cell r="T187">
            <v>0</v>
          </cell>
          <cell r="W187">
            <v>0</v>
          </cell>
          <cell r="X187">
            <v>0</v>
          </cell>
          <cell r="AA187">
            <v>0</v>
          </cell>
          <cell r="AB187">
            <v>0</v>
          </cell>
          <cell r="AC187"/>
          <cell r="AD187"/>
          <cell r="AE187">
            <v>0</v>
          </cell>
          <cell r="AF187">
            <v>0</v>
          </cell>
          <cell r="AI187">
            <v>0</v>
          </cell>
        </row>
        <row r="188">
          <cell r="E188">
            <v>74</v>
          </cell>
          <cell r="F188" t="str">
            <v>CUST</v>
          </cell>
          <cell r="G188">
            <v>0</v>
          </cell>
          <cell r="H188"/>
          <cell r="I188"/>
          <cell r="J188"/>
          <cell r="K188"/>
          <cell r="L188">
            <v>0</v>
          </cell>
          <cell r="O188">
            <v>0</v>
          </cell>
          <cell r="P188">
            <v>0</v>
          </cell>
          <cell r="S188">
            <v>0</v>
          </cell>
          <cell r="T188">
            <v>0</v>
          </cell>
          <cell r="W188">
            <v>0</v>
          </cell>
          <cell r="X188">
            <v>0</v>
          </cell>
          <cell r="AA188">
            <v>0</v>
          </cell>
          <cell r="AB188">
            <v>0</v>
          </cell>
          <cell r="AC188"/>
          <cell r="AD188"/>
          <cell r="AE188">
            <v>0</v>
          </cell>
          <cell r="AF188">
            <v>0</v>
          </cell>
          <cell r="AI188">
            <v>0</v>
          </cell>
        </row>
        <row r="189">
          <cell r="E189">
            <v>78</v>
          </cell>
          <cell r="F189" t="str">
            <v>CUST</v>
          </cell>
          <cell r="G189">
            <v>3.3286414346783443E-2</v>
          </cell>
          <cell r="H189"/>
          <cell r="I189"/>
          <cell r="J189"/>
          <cell r="K189"/>
          <cell r="L189">
            <v>0</v>
          </cell>
          <cell r="O189">
            <v>0</v>
          </cell>
          <cell r="P189">
            <v>168.53768115942029</v>
          </cell>
          <cell r="S189">
            <v>168.53768115942029</v>
          </cell>
          <cell r="T189">
            <v>0</v>
          </cell>
          <cell r="W189">
            <v>0</v>
          </cell>
          <cell r="X189">
            <v>0</v>
          </cell>
          <cell r="AA189">
            <v>0</v>
          </cell>
          <cell r="AB189">
            <v>0</v>
          </cell>
          <cell r="AC189"/>
          <cell r="AD189"/>
          <cell r="AE189">
            <v>0</v>
          </cell>
          <cell r="AF189">
            <v>40.700719424460431</v>
          </cell>
          <cell r="AI189">
            <v>40.700719424460431</v>
          </cell>
        </row>
        <row r="190">
          <cell r="E190">
            <v>87</v>
          </cell>
          <cell r="F190" t="str">
            <v>ACT</v>
          </cell>
          <cell r="G190">
            <v>0</v>
          </cell>
          <cell r="H190"/>
          <cell r="I190"/>
          <cell r="J190"/>
          <cell r="K190"/>
          <cell r="L190">
            <v>0</v>
          </cell>
          <cell r="O190">
            <v>0</v>
          </cell>
          <cell r="P190">
            <v>0</v>
          </cell>
          <cell r="S190">
            <v>0</v>
          </cell>
          <cell r="T190">
            <v>0</v>
          </cell>
          <cell r="W190">
            <v>0</v>
          </cell>
          <cell r="X190">
            <v>0</v>
          </cell>
          <cell r="AA190">
            <v>0</v>
          </cell>
          <cell r="AB190">
            <v>0</v>
          </cell>
          <cell r="AC190"/>
          <cell r="AD190"/>
          <cell r="AE190">
            <v>0</v>
          </cell>
          <cell r="AF190">
            <v>0</v>
          </cell>
          <cell r="AI190">
            <v>0</v>
          </cell>
        </row>
        <row r="191">
          <cell r="E191">
            <v>87</v>
          </cell>
          <cell r="F191" t="str">
            <v>ACT</v>
          </cell>
          <cell r="G191">
            <v>0</v>
          </cell>
          <cell r="H191"/>
          <cell r="I191"/>
          <cell r="J191"/>
          <cell r="K191"/>
          <cell r="L191">
            <v>0</v>
          </cell>
          <cell r="O191">
            <v>0</v>
          </cell>
          <cell r="P191">
            <v>0</v>
          </cell>
          <cell r="S191">
            <v>0</v>
          </cell>
          <cell r="T191">
            <v>0</v>
          </cell>
          <cell r="W191">
            <v>0</v>
          </cell>
          <cell r="X191">
            <v>0</v>
          </cell>
          <cell r="AA191">
            <v>0</v>
          </cell>
          <cell r="AB191">
            <v>0</v>
          </cell>
          <cell r="AC191"/>
          <cell r="AD191"/>
          <cell r="AE191">
            <v>0</v>
          </cell>
          <cell r="AF191">
            <v>0</v>
          </cell>
          <cell r="AI191">
            <v>0</v>
          </cell>
        </row>
        <row r="192">
          <cell r="E192">
            <v>87</v>
          </cell>
          <cell r="F192" t="str">
            <v>ACT</v>
          </cell>
          <cell r="G192">
            <v>0</v>
          </cell>
          <cell r="H192"/>
          <cell r="I192"/>
          <cell r="J192"/>
          <cell r="K192"/>
          <cell r="L192">
            <v>0</v>
          </cell>
          <cell r="O192">
            <v>0</v>
          </cell>
          <cell r="P192">
            <v>0</v>
          </cell>
          <cell r="S192">
            <v>0</v>
          </cell>
          <cell r="T192">
            <v>0</v>
          </cell>
          <cell r="W192">
            <v>0</v>
          </cell>
          <cell r="X192">
            <v>0</v>
          </cell>
          <cell r="AA192">
            <v>0</v>
          </cell>
          <cell r="AB192">
            <v>0</v>
          </cell>
          <cell r="AC192"/>
          <cell r="AD192"/>
          <cell r="AE192">
            <v>0</v>
          </cell>
          <cell r="AF192">
            <v>0</v>
          </cell>
          <cell r="AI192">
            <v>0</v>
          </cell>
        </row>
        <row r="193">
          <cell r="E193">
            <v>87</v>
          </cell>
          <cell r="F193" t="str">
            <v>ACT</v>
          </cell>
          <cell r="G193">
            <v>0</v>
          </cell>
          <cell r="H193"/>
          <cell r="I193"/>
          <cell r="J193"/>
          <cell r="K193"/>
          <cell r="L193">
            <v>0</v>
          </cell>
          <cell r="O193">
            <v>0</v>
          </cell>
          <cell r="P193">
            <v>0</v>
          </cell>
          <cell r="S193">
            <v>0</v>
          </cell>
          <cell r="T193">
            <v>0</v>
          </cell>
          <cell r="W193">
            <v>0</v>
          </cell>
          <cell r="X193">
            <v>0</v>
          </cell>
          <cell r="AA193">
            <v>0</v>
          </cell>
          <cell r="AB193">
            <v>0</v>
          </cell>
          <cell r="AC193"/>
          <cell r="AD193"/>
          <cell r="AE193">
            <v>0</v>
          </cell>
          <cell r="AF193">
            <v>0</v>
          </cell>
          <cell r="AI193">
            <v>0</v>
          </cell>
        </row>
        <row r="194">
          <cell r="E194">
            <v>84</v>
          </cell>
          <cell r="F194" t="str">
            <v>CUST</v>
          </cell>
          <cell r="G194">
            <v>3.3286414346783443E-2</v>
          </cell>
          <cell r="H194"/>
          <cell r="I194"/>
          <cell r="J194"/>
          <cell r="K194"/>
          <cell r="L194">
            <v>0</v>
          </cell>
          <cell r="O194">
            <v>0</v>
          </cell>
          <cell r="P194">
            <v>9.3162246376811595</v>
          </cell>
          <cell r="S194">
            <v>9.3162246376811595</v>
          </cell>
          <cell r="T194">
            <v>0</v>
          </cell>
          <cell r="W194">
            <v>0</v>
          </cell>
          <cell r="X194">
            <v>0</v>
          </cell>
          <cell r="AA194">
            <v>0</v>
          </cell>
          <cell r="AB194">
            <v>0</v>
          </cell>
          <cell r="AC194"/>
          <cell r="AD194"/>
          <cell r="AE194">
            <v>0</v>
          </cell>
          <cell r="AF194">
            <v>2.2498057553956836</v>
          </cell>
          <cell r="AI194">
            <v>2.2498057553956836</v>
          </cell>
        </row>
        <row r="195">
          <cell r="E195">
            <v>69</v>
          </cell>
          <cell r="F195" t="str">
            <v>ACT</v>
          </cell>
          <cell r="G195">
            <v>0</v>
          </cell>
          <cell r="H195"/>
          <cell r="I195"/>
          <cell r="J195"/>
          <cell r="K195"/>
          <cell r="L195">
            <v>0</v>
          </cell>
          <cell r="O195">
            <v>0</v>
          </cell>
          <cell r="P195">
            <v>0</v>
          </cell>
          <cell r="S195">
            <v>0</v>
          </cell>
          <cell r="T195">
            <v>0</v>
          </cell>
          <cell r="W195">
            <v>0</v>
          </cell>
          <cell r="X195">
            <v>0</v>
          </cell>
          <cell r="AA195">
            <v>0</v>
          </cell>
          <cell r="AB195">
            <v>0</v>
          </cell>
          <cell r="AC195"/>
          <cell r="AD195"/>
          <cell r="AE195">
            <v>0</v>
          </cell>
          <cell r="AF195">
            <v>0</v>
          </cell>
          <cell r="AI195">
            <v>0</v>
          </cell>
        </row>
        <row r="196">
          <cell r="E196">
            <v>71</v>
          </cell>
          <cell r="F196" t="str">
            <v>ACT</v>
          </cell>
          <cell r="G196">
            <v>0</v>
          </cell>
          <cell r="H196"/>
          <cell r="I196"/>
          <cell r="J196"/>
          <cell r="K196"/>
          <cell r="L196">
            <v>0</v>
          </cell>
          <cell r="O196">
            <v>0</v>
          </cell>
          <cell r="P196">
            <v>0</v>
          </cell>
          <cell r="S196">
            <v>0</v>
          </cell>
          <cell r="T196">
            <v>0</v>
          </cell>
          <cell r="W196">
            <v>0</v>
          </cell>
          <cell r="X196">
            <v>0</v>
          </cell>
          <cell r="AA196">
            <v>0</v>
          </cell>
          <cell r="AB196">
            <v>0</v>
          </cell>
          <cell r="AC196"/>
          <cell r="AD196"/>
          <cell r="AE196">
            <v>0</v>
          </cell>
          <cell r="AF196">
            <v>0</v>
          </cell>
          <cell r="AI196">
            <v>0</v>
          </cell>
        </row>
        <row r="197">
          <cell r="E197">
            <v>62</v>
          </cell>
          <cell r="F197" t="str">
            <v>CUST</v>
          </cell>
          <cell r="G197">
            <v>0.16830875636173823</v>
          </cell>
          <cell r="H197"/>
          <cell r="I197"/>
          <cell r="J197"/>
          <cell r="K197"/>
          <cell r="L197">
            <v>43522.800839869538</v>
          </cell>
          <cell r="O197">
            <v>43522.800839869538</v>
          </cell>
          <cell r="P197">
            <v>1286.2169577277739</v>
          </cell>
          <cell r="S197">
            <v>1286.2169577277739</v>
          </cell>
          <cell r="T197">
            <v>0</v>
          </cell>
          <cell r="W197">
            <v>0</v>
          </cell>
          <cell r="X197">
            <v>0</v>
          </cell>
          <cell r="AA197">
            <v>0</v>
          </cell>
          <cell r="AB197">
            <v>0</v>
          </cell>
          <cell r="AC197"/>
          <cell r="AD197"/>
          <cell r="AE197">
            <v>0</v>
          </cell>
          <cell r="AF197">
            <v>26.07196535934677</v>
          </cell>
          <cell r="AI197">
            <v>26.07196535934677</v>
          </cell>
        </row>
        <row r="198">
          <cell r="E198">
            <v>62</v>
          </cell>
          <cell r="F198" t="str">
            <v>CUST</v>
          </cell>
          <cell r="G198">
            <v>0.16830875636173823</v>
          </cell>
          <cell r="H198"/>
          <cell r="I198"/>
          <cell r="J198"/>
          <cell r="K198"/>
          <cell r="L198">
            <v>61031.334698520157</v>
          </cell>
          <cell r="O198">
            <v>61031.334698520157</v>
          </cell>
          <cell r="P198">
            <v>1803.6416803875766</v>
          </cell>
          <cell r="S198">
            <v>1803.6416803875766</v>
          </cell>
          <cell r="T198">
            <v>0</v>
          </cell>
          <cell r="W198">
            <v>0</v>
          </cell>
          <cell r="X198">
            <v>0</v>
          </cell>
          <cell r="AA198">
            <v>0</v>
          </cell>
          <cell r="AB198">
            <v>0</v>
          </cell>
          <cell r="AC198"/>
          <cell r="AD198"/>
          <cell r="AE198">
            <v>0</v>
          </cell>
          <cell r="AF198">
            <v>36.560304332180607</v>
          </cell>
          <cell r="AI198">
            <v>36.560304332180607</v>
          </cell>
        </row>
        <row r="199">
          <cell r="E199">
            <v>62</v>
          </cell>
          <cell r="F199" t="str">
            <v>CUST</v>
          </cell>
          <cell r="G199">
            <v>0.1683087563617382</v>
          </cell>
          <cell r="H199"/>
          <cell r="I199"/>
          <cell r="J199"/>
          <cell r="K199"/>
          <cell r="L199">
            <v>5873.4321336291268</v>
          </cell>
          <cell r="O199">
            <v>5873.4321336291268</v>
          </cell>
          <cell r="P199">
            <v>173.57586976380009</v>
          </cell>
          <cell r="S199">
            <v>173.57586976380009</v>
          </cell>
          <cell r="T199">
            <v>0</v>
          </cell>
          <cell r="W199">
            <v>0</v>
          </cell>
          <cell r="X199">
            <v>0</v>
          </cell>
          <cell r="AA199">
            <v>0</v>
          </cell>
          <cell r="AB199">
            <v>0</v>
          </cell>
          <cell r="AC199"/>
          <cell r="AD199"/>
          <cell r="AE199">
            <v>0</v>
          </cell>
          <cell r="AF199">
            <v>3.5184297925094619</v>
          </cell>
          <cell r="AI199">
            <v>3.5184297925094619</v>
          </cell>
        </row>
        <row r="200">
          <cell r="E200">
            <v>62</v>
          </cell>
          <cell r="F200" t="str">
            <v>CUST</v>
          </cell>
          <cell r="G200">
            <v>0.1683087563617382</v>
          </cell>
          <cell r="H200"/>
          <cell r="I200"/>
          <cell r="J200"/>
          <cell r="K200"/>
          <cell r="L200">
            <v>102.22515463917526</v>
          </cell>
          <cell r="O200">
            <v>102.22515463917526</v>
          </cell>
          <cell r="P200">
            <v>3.0210309278350511</v>
          </cell>
          <cell r="S200">
            <v>3.0210309278350511</v>
          </cell>
          <cell r="T200">
            <v>0</v>
          </cell>
          <cell r="W200">
            <v>0</v>
          </cell>
          <cell r="X200">
            <v>0</v>
          </cell>
          <cell r="AA200">
            <v>0</v>
          </cell>
          <cell r="AB200">
            <v>0</v>
          </cell>
          <cell r="AC200"/>
          <cell r="AD200"/>
          <cell r="AE200">
            <v>0</v>
          </cell>
          <cell r="AF200">
            <v>6.1237113402061859E-2</v>
          </cell>
          <cell r="AI200">
            <v>6.1237113402061859E-2</v>
          </cell>
        </row>
        <row r="201">
          <cell r="E201">
            <v>62</v>
          </cell>
          <cell r="F201" t="str">
            <v>DH</v>
          </cell>
          <cell r="G201">
            <v>0.11021083809358594</v>
          </cell>
          <cell r="H201"/>
          <cell r="I201"/>
          <cell r="J201"/>
          <cell r="K201"/>
          <cell r="L201">
            <v>573.97095028205649</v>
          </cell>
          <cell r="O201">
            <v>573.97095028205649</v>
          </cell>
          <cell r="P201">
            <v>252.59419808118983</v>
          </cell>
          <cell r="S201">
            <v>252.59419808118983</v>
          </cell>
          <cell r="T201">
            <v>500.55654021005876</v>
          </cell>
          <cell r="W201">
            <v>500.55654021005876</v>
          </cell>
          <cell r="X201">
            <v>219.59375585738351</v>
          </cell>
          <cell r="AA201">
            <v>219.59375585738351</v>
          </cell>
          <cell r="AB201">
            <v>471.0098355826787</v>
          </cell>
          <cell r="AC201"/>
          <cell r="AD201"/>
          <cell r="AE201">
            <v>471.0098355826787</v>
          </cell>
          <cell r="AF201">
            <v>102.73124490722633</v>
          </cell>
          <cell r="AI201">
            <v>102.73124490722633</v>
          </cell>
        </row>
        <row r="202">
          <cell r="E202">
            <v>62</v>
          </cell>
          <cell r="F202" t="str">
            <v>CUST</v>
          </cell>
          <cell r="G202">
            <v>0.1683087563617382</v>
          </cell>
          <cell r="H202"/>
          <cell r="I202"/>
          <cell r="J202"/>
          <cell r="K202"/>
          <cell r="L202">
            <v>5629.3305285136366</v>
          </cell>
          <cell r="O202">
            <v>5629.3305285136366</v>
          </cell>
          <cell r="P202">
            <v>166.36200443690458</v>
          </cell>
          <cell r="S202">
            <v>166.36200443690458</v>
          </cell>
          <cell r="T202">
            <v>0</v>
          </cell>
          <cell r="W202">
            <v>0</v>
          </cell>
          <cell r="X202">
            <v>0</v>
          </cell>
          <cell r="AA202">
            <v>0</v>
          </cell>
          <cell r="AB202">
            <v>0</v>
          </cell>
          <cell r="AC202"/>
          <cell r="AD202"/>
          <cell r="AE202">
            <v>0</v>
          </cell>
          <cell r="AF202">
            <v>3.3722027926399587</v>
          </cell>
          <cell r="AI202">
            <v>3.3722027926399587</v>
          </cell>
        </row>
        <row r="203">
          <cell r="E203">
            <v>63</v>
          </cell>
          <cell r="F203" t="str">
            <v>CUST</v>
          </cell>
          <cell r="G203">
            <v>0.16830875636173823</v>
          </cell>
          <cell r="H203"/>
          <cell r="I203"/>
          <cell r="J203"/>
          <cell r="K203"/>
          <cell r="L203">
            <v>11430.114914663713</v>
          </cell>
          <cell r="O203">
            <v>11430.114914663713</v>
          </cell>
          <cell r="P203">
            <v>337.79093597648352</v>
          </cell>
          <cell r="S203">
            <v>337.79093597648352</v>
          </cell>
          <cell r="T203">
            <v>0</v>
          </cell>
          <cell r="W203">
            <v>0</v>
          </cell>
          <cell r="X203">
            <v>0</v>
          </cell>
          <cell r="AA203">
            <v>0</v>
          </cell>
          <cell r="AB203">
            <v>0</v>
          </cell>
          <cell r="AC203"/>
          <cell r="AD203"/>
          <cell r="AE203">
            <v>0</v>
          </cell>
          <cell r="AF203">
            <v>6.8471135670908829</v>
          </cell>
          <cell r="AI203">
            <v>6.8471135670908829</v>
          </cell>
        </row>
        <row r="204">
          <cell r="E204">
            <v>64</v>
          </cell>
          <cell r="F204" t="str">
            <v>CUST</v>
          </cell>
          <cell r="G204">
            <v>0.1683087563617382</v>
          </cell>
          <cell r="H204"/>
          <cell r="I204"/>
          <cell r="J204"/>
          <cell r="K204"/>
          <cell r="L204">
            <v>28572.386558788989</v>
          </cell>
          <cell r="O204">
            <v>28572.386558788989</v>
          </cell>
          <cell r="P204">
            <v>844.39161555526562</v>
          </cell>
          <cell r="S204">
            <v>844.39161555526562</v>
          </cell>
          <cell r="T204">
            <v>0</v>
          </cell>
          <cell r="W204">
            <v>0</v>
          </cell>
          <cell r="X204">
            <v>0</v>
          </cell>
          <cell r="AA204">
            <v>0</v>
          </cell>
          <cell r="AB204">
            <v>0</v>
          </cell>
          <cell r="AC204"/>
          <cell r="AD204"/>
          <cell r="AE204">
            <v>0</v>
          </cell>
          <cell r="AF204">
            <v>17.116046261255384</v>
          </cell>
          <cell r="AI204">
            <v>17.116046261255384</v>
          </cell>
        </row>
        <row r="205">
          <cell r="E205">
            <v>62</v>
          </cell>
          <cell r="F205" t="str">
            <v>CUST</v>
          </cell>
          <cell r="G205">
            <v>0.16830875636173823</v>
          </cell>
          <cell r="H205"/>
          <cell r="I205"/>
          <cell r="J205"/>
          <cell r="K205"/>
          <cell r="L205">
            <v>4352.948959937361</v>
          </cell>
          <cell r="O205">
            <v>4352.948959937361</v>
          </cell>
          <cell r="P205">
            <v>128.64146287354822</v>
          </cell>
          <cell r="S205">
            <v>128.64146287354822</v>
          </cell>
          <cell r="T205">
            <v>0</v>
          </cell>
          <cell r="W205">
            <v>0</v>
          </cell>
          <cell r="X205">
            <v>0</v>
          </cell>
          <cell r="AA205">
            <v>0</v>
          </cell>
          <cell r="AB205">
            <v>0</v>
          </cell>
          <cell r="AC205"/>
          <cell r="AD205"/>
          <cell r="AE205">
            <v>0</v>
          </cell>
          <cell r="AF205">
            <v>2.6075972204097613</v>
          </cell>
          <cell r="AI205">
            <v>2.6075972204097613</v>
          </cell>
        </row>
        <row r="206">
          <cell r="E206">
            <v>62</v>
          </cell>
          <cell r="F206" t="str">
            <v>CUST</v>
          </cell>
          <cell r="G206">
            <v>0.16830875636173825</v>
          </cell>
          <cell r="H206"/>
          <cell r="I206"/>
          <cell r="J206"/>
          <cell r="K206"/>
          <cell r="L206">
            <v>1099.4530392796555</v>
          </cell>
          <cell r="O206">
            <v>1099.4530392796555</v>
          </cell>
          <cell r="P206">
            <v>32.491823045804516</v>
          </cell>
          <cell r="S206">
            <v>32.491823045804516</v>
          </cell>
          <cell r="T206">
            <v>0</v>
          </cell>
          <cell r="W206">
            <v>0</v>
          </cell>
          <cell r="X206">
            <v>0</v>
          </cell>
          <cell r="AA206">
            <v>0</v>
          </cell>
          <cell r="AB206">
            <v>0</v>
          </cell>
          <cell r="AC206"/>
          <cell r="AD206"/>
          <cell r="AE206">
            <v>0</v>
          </cell>
          <cell r="AF206">
            <v>0.65861803471225377</v>
          </cell>
          <cell r="AI206">
            <v>0.65861803471225377</v>
          </cell>
        </row>
        <row r="207">
          <cell r="E207">
            <v>72</v>
          </cell>
          <cell r="F207" t="str">
            <v>DH</v>
          </cell>
          <cell r="G207">
            <v>0.11021083809358594</v>
          </cell>
          <cell r="H207"/>
          <cell r="I207"/>
          <cell r="J207"/>
          <cell r="K207"/>
          <cell r="L207">
            <v>67.182046779375838</v>
          </cell>
          <cell r="O207">
            <v>67.182046779375838</v>
          </cell>
          <cell r="P207">
            <v>29.565599484347167</v>
          </cell>
          <cell r="S207">
            <v>29.565599484347167</v>
          </cell>
          <cell r="T207">
            <v>58.589050340595236</v>
          </cell>
          <cell r="W207">
            <v>58.589050340595236</v>
          </cell>
          <cell r="X207">
            <v>25.70296976043803</v>
          </cell>
          <cell r="AA207">
            <v>25.70296976043803</v>
          </cell>
          <cell r="AB207">
            <v>55.130673063003762</v>
          </cell>
          <cell r="AC207"/>
          <cell r="AD207"/>
          <cell r="AE207">
            <v>55.130673063003762</v>
          </cell>
          <cell r="AF207">
            <v>12.024467958995515</v>
          </cell>
          <cell r="AI207">
            <v>12.024467958995515</v>
          </cell>
        </row>
        <row r="208">
          <cell r="E208">
            <v>86</v>
          </cell>
          <cell r="F208" t="str">
            <v>CUST</v>
          </cell>
          <cell r="G208">
            <v>0.16830875636173823</v>
          </cell>
          <cell r="H208"/>
          <cell r="I208"/>
          <cell r="J208"/>
          <cell r="K208"/>
          <cell r="L208">
            <v>10420.773576928095</v>
          </cell>
          <cell r="O208">
            <v>10420.773576928095</v>
          </cell>
          <cell r="P208">
            <v>307.96215842359391</v>
          </cell>
          <cell r="S208">
            <v>307.96215842359391</v>
          </cell>
          <cell r="T208">
            <v>0</v>
          </cell>
          <cell r="W208">
            <v>0</v>
          </cell>
          <cell r="X208">
            <v>0</v>
          </cell>
          <cell r="AA208">
            <v>0</v>
          </cell>
          <cell r="AB208">
            <v>0</v>
          </cell>
          <cell r="AC208"/>
          <cell r="AD208"/>
          <cell r="AE208">
            <v>0</v>
          </cell>
          <cell r="AF208">
            <v>6.2424761842620384</v>
          </cell>
          <cell r="AI208">
            <v>6.2424761842620384</v>
          </cell>
        </row>
        <row r="209">
          <cell r="E209">
            <v>61</v>
          </cell>
          <cell r="F209" t="str">
            <v>CUST</v>
          </cell>
          <cell r="G209">
            <v>0.16830875636173823</v>
          </cell>
          <cell r="H209"/>
          <cell r="I209"/>
          <cell r="J209"/>
          <cell r="K209"/>
          <cell r="L209">
            <v>3586.7651520292316</v>
          </cell>
          <cell r="O209">
            <v>3586.7651520292316</v>
          </cell>
          <cell r="P209">
            <v>105.99865065901082</v>
          </cell>
          <cell r="S209">
            <v>105.99865065901082</v>
          </cell>
          <cell r="T209">
            <v>0</v>
          </cell>
          <cell r="W209">
            <v>0</v>
          </cell>
          <cell r="X209">
            <v>0</v>
          </cell>
          <cell r="AA209">
            <v>0</v>
          </cell>
          <cell r="AB209">
            <v>0</v>
          </cell>
          <cell r="AC209"/>
          <cell r="AD209"/>
          <cell r="AE209">
            <v>0</v>
          </cell>
          <cell r="AF209">
            <v>2.1486212971421117</v>
          </cell>
          <cell r="AI209">
            <v>2.1486212971421117</v>
          </cell>
        </row>
        <row r="210">
          <cell r="E210">
            <v>61</v>
          </cell>
          <cell r="F210" t="str">
            <v>CUST</v>
          </cell>
          <cell r="G210">
            <v>0</v>
          </cell>
          <cell r="H210"/>
          <cell r="I210"/>
          <cell r="J210"/>
          <cell r="K210"/>
          <cell r="L210">
            <v>0</v>
          </cell>
          <cell r="O210">
            <v>0</v>
          </cell>
          <cell r="P210">
            <v>0</v>
          </cell>
          <cell r="S210">
            <v>0</v>
          </cell>
          <cell r="T210">
            <v>0</v>
          </cell>
          <cell r="W210">
            <v>0</v>
          </cell>
          <cell r="X210">
            <v>0</v>
          </cell>
          <cell r="AA210">
            <v>0</v>
          </cell>
          <cell r="AB210">
            <v>0</v>
          </cell>
          <cell r="AC210"/>
          <cell r="AD210"/>
          <cell r="AE210">
            <v>0</v>
          </cell>
          <cell r="AF210">
            <v>0</v>
          </cell>
          <cell r="AI210">
            <v>0</v>
          </cell>
        </row>
        <row r="211">
          <cell r="E211">
            <v>70</v>
          </cell>
          <cell r="F211" t="str">
            <v>REV</v>
          </cell>
          <cell r="G211">
            <v>0.12050036179656672</v>
          </cell>
          <cell r="H211"/>
          <cell r="I211"/>
          <cell r="J211"/>
          <cell r="K211"/>
          <cell r="L211">
            <v>897.68374755168111</v>
          </cell>
          <cell r="O211">
            <v>897.68374755168111</v>
          </cell>
          <cell r="P211">
            <v>303.19328444542742</v>
          </cell>
          <cell r="S211">
            <v>303.19328444542742</v>
          </cell>
          <cell r="T211">
            <v>0.68046505247911293</v>
          </cell>
          <cell r="W211">
            <v>0.68046505247911293</v>
          </cell>
          <cell r="X211">
            <v>5.0190527673254701</v>
          </cell>
          <cell r="AA211">
            <v>5.0190527673254701</v>
          </cell>
          <cell r="AB211">
            <v>8.3007651446864585</v>
          </cell>
          <cell r="AC211"/>
          <cell r="AD211"/>
          <cell r="AE211">
            <v>8.3007651446864585</v>
          </cell>
          <cell r="AF211">
            <v>62.257819575492341</v>
          </cell>
          <cell r="AI211">
            <v>62.257819575492341</v>
          </cell>
        </row>
        <row r="212">
          <cell r="E212">
            <v>70</v>
          </cell>
          <cell r="F212" t="str">
            <v>REV</v>
          </cell>
          <cell r="G212">
            <v>0</v>
          </cell>
          <cell r="H212"/>
          <cell r="I212"/>
          <cell r="J212"/>
          <cell r="K212"/>
          <cell r="L212">
            <v>0</v>
          </cell>
          <cell r="O212">
            <v>0</v>
          </cell>
          <cell r="P212">
            <v>0</v>
          </cell>
          <cell r="S212">
            <v>0</v>
          </cell>
          <cell r="T212">
            <v>0</v>
          </cell>
          <cell r="W212">
            <v>0</v>
          </cell>
          <cell r="X212">
            <v>0</v>
          </cell>
          <cell r="AA212">
            <v>0</v>
          </cell>
          <cell r="AB212">
            <v>0</v>
          </cell>
          <cell r="AC212"/>
          <cell r="AD212"/>
          <cell r="AE212">
            <v>0</v>
          </cell>
          <cell r="AF212">
            <v>0</v>
          </cell>
          <cell r="AI212">
            <v>0</v>
          </cell>
        </row>
        <row r="213">
          <cell r="E213">
            <v>66</v>
          </cell>
          <cell r="F213" t="str">
            <v>CUST</v>
          </cell>
          <cell r="G213">
            <v>0.1683087563617382</v>
          </cell>
          <cell r="H213"/>
          <cell r="I213"/>
          <cell r="J213"/>
          <cell r="K213"/>
          <cell r="L213">
            <v>1633.9996920266215</v>
          </cell>
          <cell r="O213">
            <v>1633.9996920266215</v>
          </cell>
          <cell r="P213">
            <v>48.289128278742005</v>
          </cell>
          <cell r="S213">
            <v>48.289128278742005</v>
          </cell>
          <cell r="T213">
            <v>0</v>
          </cell>
          <cell r="W213">
            <v>0</v>
          </cell>
          <cell r="X213">
            <v>0</v>
          </cell>
          <cell r="AA213">
            <v>0</v>
          </cell>
          <cell r="AB213">
            <v>0</v>
          </cell>
          <cell r="AC213"/>
          <cell r="AD213"/>
          <cell r="AE213">
            <v>0</v>
          </cell>
          <cell r="AF213">
            <v>0.97883368132585158</v>
          </cell>
          <cell r="AI213">
            <v>0.97883368132585158</v>
          </cell>
        </row>
        <row r="214">
          <cell r="E214">
            <v>81</v>
          </cell>
          <cell r="F214" t="str">
            <v>CUST</v>
          </cell>
          <cell r="G214">
            <v>0.16830875636173823</v>
          </cell>
          <cell r="H214"/>
          <cell r="I214"/>
          <cell r="J214"/>
          <cell r="K214"/>
          <cell r="L214">
            <v>1711.8383766149029</v>
          </cell>
          <cell r="O214">
            <v>1711.8383766149029</v>
          </cell>
          <cell r="P214">
            <v>50.589472791334984</v>
          </cell>
          <cell r="S214">
            <v>50.589472791334984</v>
          </cell>
          <cell r="T214">
            <v>0</v>
          </cell>
          <cell r="W214">
            <v>0</v>
          </cell>
          <cell r="X214">
            <v>0</v>
          </cell>
          <cell r="AA214">
            <v>0</v>
          </cell>
          <cell r="AB214">
            <v>0</v>
          </cell>
          <cell r="AC214"/>
          <cell r="AD214"/>
          <cell r="AE214">
            <v>0</v>
          </cell>
          <cell r="AF214">
            <v>1.0254622863108445</v>
          </cell>
          <cell r="AI214">
            <v>1.0254622863108445</v>
          </cell>
        </row>
        <row r="215">
          <cell r="E215">
            <v>62</v>
          </cell>
          <cell r="F215" t="str">
            <v>CUST</v>
          </cell>
          <cell r="G215">
            <v>0.1683087563617382</v>
          </cell>
          <cell r="H215"/>
          <cell r="I215"/>
          <cell r="J215"/>
          <cell r="K215"/>
          <cell r="L215">
            <v>9506.601179694635</v>
          </cell>
          <cell r="O215">
            <v>9506.601179694635</v>
          </cell>
          <cell r="P215">
            <v>280.94588150854759</v>
          </cell>
          <cell r="S215">
            <v>280.94588150854759</v>
          </cell>
          <cell r="T215">
            <v>0</v>
          </cell>
          <cell r="W215">
            <v>0</v>
          </cell>
          <cell r="X215">
            <v>0</v>
          </cell>
          <cell r="AA215">
            <v>0</v>
          </cell>
          <cell r="AB215">
            <v>0</v>
          </cell>
          <cell r="AC215"/>
          <cell r="AD215"/>
          <cell r="AE215">
            <v>0</v>
          </cell>
          <cell r="AF215">
            <v>5.6948489494975858</v>
          </cell>
          <cell r="AI215">
            <v>5.6948489494975858</v>
          </cell>
        </row>
        <row r="216">
          <cell r="E216">
            <v>90</v>
          </cell>
          <cell r="F216" t="str">
            <v>DH</v>
          </cell>
          <cell r="G216">
            <v>0.11021083809358596</v>
          </cell>
          <cell r="H216"/>
          <cell r="I216"/>
          <cell r="J216"/>
          <cell r="K216"/>
          <cell r="L216">
            <v>16383.435456180312</v>
          </cell>
          <cell r="O216">
            <v>16383.435456180312</v>
          </cell>
          <cell r="P216">
            <v>7210.0525973224885</v>
          </cell>
          <cell r="S216">
            <v>7210.0525973224885</v>
          </cell>
          <cell r="T216">
            <v>14287.893428527055</v>
          </cell>
          <cell r="W216">
            <v>14287.893428527055</v>
          </cell>
          <cell r="X216">
            <v>6268.0874770782484</v>
          </cell>
          <cell r="AA216">
            <v>6268.0874770782484</v>
          </cell>
          <cell r="AB216">
            <v>13444.51184629258</v>
          </cell>
          <cell r="AC216"/>
          <cell r="AD216"/>
          <cell r="AE216">
            <v>13444.51184629258</v>
          </cell>
          <cell r="AF216">
            <v>2932.3622030757883</v>
          </cell>
          <cell r="AI216">
            <v>2932.3622030757883</v>
          </cell>
        </row>
        <row r="217">
          <cell r="E217">
            <v>75</v>
          </cell>
          <cell r="F217" t="str">
            <v>CUST</v>
          </cell>
          <cell r="G217">
            <v>0.16830875636173823</v>
          </cell>
          <cell r="H217"/>
          <cell r="I217"/>
          <cell r="J217"/>
          <cell r="K217"/>
          <cell r="L217">
            <v>3283.9357118621951</v>
          </cell>
          <cell r="O217">
            <v>3283.9357118621951</v>
          </cell>
          <cell r="P217">
            <v>97.04921832180608</v>
          </cell>
          <cell r="S217">
            <v>97.04921832180608</v>
          </cell>
          <cell r="T217">
            <v>0</v>
          </cell>
          <cell r="W217">
            <v>0</v>
          </cell>
          <cell r="X217">
            <v>0</v>
          </cell>
          <cell r="AA217">
            <v>0</v>
          </cell>
          <cell r="AB217">
            <v>0</v>
          </cell>
          <cell r="AC217"/>
          <cell r="AD217"/>
          <cell r="AE217">
            <v>0</v>
          </cell>
          <cell r="AF217">
            <v>1.9672138849014749</v>
          </cell>
          <cell r="AI217">
            <v>1.9672138849014749</v>
          </cell>
        </row>
        <row r="218">
          <cell r="E218">
            <v>74</v>
          </cell>
          <cell r="F218" t="str">
            <v>CUST</v>
          </cell>
          <cell r="G218">
            <v>0.16830875636173823</v>
          </cell>
          <cell r="H218"/>
          <cell r="I218"/>
          <cell r="J218"/>
          <cell r="K218"/>
          <cell r="L218">
            <v>7557.2373430771231</v>
          </cell>
          <cell r="O218">
            <v>7557.2373430771231</v>
          </cell>
          <cell r="P218">
            <v>223.33688633694376</v>
          </cell>
          <cell r="S218">
            <v>223.33688633694376</v>
          </cell>
          <cell r="T218">
            <v>0</v>
          </cell>
          <cell r="W218">
            <v>0</v>
          </cell>
          <cell r="X218">
            <v>0</v>
          </cell>
          <cell r="AA218">
            <v>0</v>
          </cell>
          <cell r="AB218">
            <v>0</v>
          </cell>
          <cell r="AC218"/>
          <cell r="AD218"/>
          <cell r="AE218">
            <v>0</v>
          </cell>
          <cell r="AF218">
            <v>4.5270990473704815</v>
          </cell>
          <cell r="AI218">
            <v>4.5270990473704815</v>
          </cell>
        </row>
        <row r="219">
          <cell r="E219">
            <v>74</v>
          </cell>
          <cell r="F219" t="str">
            <v>CUST</v>
          </cell>
          <cell r="G219">
            <v>0.16830875636173823</v>
          </cell>
          <cell r="H219"/>
          <cell r="I219"/>
          <cell r="J219"/>
          <cell r="K219"/>
          <cell r="L219">
            <v>7039.2772804384704</v>
          </cell>
          <cell r="O219">
            <v>7039.2772804384704</v>
          </cell>
          <cell r="P219">
            <v>208.02975988516249</v>
          </cell>
          <cell r="S219">
            <v>208.02975988516249</v>
          </cell>
          <cell r="T219">
            <v>0</v>
          </cell>
          <cell r="W219">
            <v>0</v>
          </cell>
          <cell r="X219">
            <v>0</v>
          </cell>
          <cell r="AA219">
            <v>0</v>
          </cell>
          <cell r="AB219">
            <v>0</v>
          </cell>
          <cell r="AC219"/>
          <cell r="AD219"/>
          <cell r="AE219">
            <v>0</v>
          </cell>
          <cell r="AF219">
            <v>4.2168194571316722</v>
          </cell>
          <cell r="AI219">
            <v>4.2168194571316722</v>
          </cell>
        </row>
        <row r="220">
          <cell r="E220">
            <v>74</v>
          </cell>
          <cell r="F220" t="str">
            <v>CUST</v>
          </cell>
          <cell r="G220">
            <v>0.1683087563617382</v>
          </cell>
          <cell r="H220"/>
          <cell r="I220"/>
          <cell r="J220"/>
          <cell r="K220"/>
          <cell r="L220">
            <v>2240.0621271042673</v>
          </cell>
          <cell r="O220">
            <v>2240.0621271042673</v>
          </cell>
          <cell r="P220">
            <v>66.199919091739531</v>
          </cell>
          <cell r="S220">
            <v>66.199919091739531</v>
          </cell>
          <cell r="T220">
            <v>0</v>
          </cell>
          <cell r="W220">
            <v>0</v>
          </cell>
          <cell r="X220">
            <v>0</v>
          </cell>
          <cell r="AA220">
            <v>0</v>
          </cell>
          <cell r="AB220">
            <v>0</v>
          </cell>
          <cell r="AC220"/>
          <cell r="AD220"/>
          <cell r="AE220">
            <v>0</v>
          </cell>
          <cell r="AF220">
            <v>1.3418902518595852</v>
          </cell>
          <cell r="AI220">
            <v>1.3418902518595852</v>
          </cell>
        </row>
        <row r="221">
          <cell r="E221">
            <v>85</v>
          </cell>
          <cell r="F221" t="str">
            <v>CUST</v>
          </cell>
          <cell r="G221">
            <v>0.1683087563617382</v>
          </cell>
          <cell r="H221"/>
          <cell r="I221"/>
          <cell r="J221"/>
          <cell r="K221"/>
          <cell r="L221">
            <v>1251.1732846143807</v>
          </cell>
          <cell r="O221">
            <v>1251.1732846143807</v>
          </cell>
          <cell r="P221">
            <v>36.975568315281222</v>
          </cell>
          <cell r="S221">
            <v>36.975568315281222</v>
          </cell>
          <cell r="T221">
            <v>0</v>
          </cell>
          <cell r="W221">
            <v>0</v>
          </cell>
          <cell r="X221">
            <v>0</v>
          </cell>
          <cell r="AA221">
            <v>0</v>
          </cell>
          <cell r="AB221">
            <v>0</v>
          </cell>
          <cell r="AC221"/>
          <cell r="AD221"/>
          <cell r="AE221">
            <v>0</v>
          </cell>
          <cell r="AF221">
            <v>0.74950476314759229</v>
          </cell>
          <cell r="AI221">
            <v>0.74950476314759229</v>
          </cell>
        </row>
        <row r="222">
          <cell r="E222">
            <v>78</v>
          </cell>
          <cell r="F222" t="str">
            <v>REV</v>
          </cell>
          <cell r="G222">
            <v>0.12050036179656672</v>
          </cell>
          <cell r="H222"/>
          <cell r="I222"/>
          <cell r="J222"/>
          <cell r="K222"/>
          <cell r="L222">
            <v>1710.8190785843394</v>
          </cell>
          <cell r="O222">
            <v>1710.8190785843394</v>
          </cell>
          <cell r="P222">
            <v>577.83028482201928</v>
          </cell>
          <cell r="S222">
            <v>577.83028482201928</v>
          </cell>
          <cell r="T222">
            <v>1.2968404488398491</v>
          </cell>
          <cell r="W222">
            <v>1.2968404488398491</v>
          </cell>
          <cell r="X222">
            <v>9.5653856429739896</v>
          </cell>
          <cell r="AA222">
            <v>9.5653856429739896</v>
          </cell>
          <cell r="AB222">
            <v>15.81972205145655</v>
          </cell>
          <cell r="AC222"/>
          <cell r="AD222"/>
          <cell r="AE222">
            <v>15.81972205145655</v>
          </cell>
          <cell r="AF222">
            <v>118.65188136836775</v>
          </cell>
          <cell r="AI222">
            <v>118.65188136836775</v>
          </cell>
        </row>
        <row r="223">
          <cell r="E223">
            <v>78</v>
          </cell>
          <cell r="F223" t="str">
            <v>ACT</v>
          </cell>
          <cell r="G223">
            <v>0</v>
          </cell>
          <cell r="H223"/>
          <cell r="I223"/>
          <cell r="J223"/>
          <cell r="L223">
            <v>0</v>
          </cell>
          <cell r="O223">
            <v>0</v>
          </cell>
          <cell r="P223">
            <v>0</v>
          </cell>
          <cell r="S223">
            <v>0</v>
          </cell>
          <cell r="T223">
            <v>0</v>
          </cell>
          <cell r="W223">
            <v>0</v>
          </cell>
          <cell r="X223">
            <v>0</v>
          </cell>
          <cell r="AA223">
            <v>0</v>
          </cell>
          <cell r="AB223">
            <v>0</v>
          </cell>
          <cell r="AC223"/>
          <cell r="AD223"/>
          <cell r="AE223">
            <v>0</v>
          </cell>
          <cell r="AF223">
            <v>0</v>
          </cell>
          <cell r="AI223">
            <v>0</v>
          </cell>
        </row>
        <row r="224">
          <cell r="E224">
            <v>87</v>
          </cell>
          <cell r="F224" t="str">
            <v>REV</v>
          </cell>
          <cell r="G224">
            <v>0.1205003617965667</v>
          </cell>
          <cell r="H224"/>
          <cell r="I224"/>
          <cell r="J224"/>
          <cell r="K224"/>
          <cell r="L224">
            <v>157.08152757999619</v>
          </cell>
          <cell r="O224">
            <v>157.08152757999619</v>
          </cell>
          <cell r="P224">
            <v>53.054390705611077</v>
          </cell>
          <cell r="S224">
            <v>53.054390705611077</v>
          </cell>
          <cell r="T224">
            <v>0.11907143267297216</v>
          </cell>
          <cell r="W224">
            <v>0.11907143267297216</v>
          </cell>
          <cell r="X224">
            <v>0.87826083277808542</v>
          </cell>
          <cell r="AA224">
            <v>0.87826083277808542</v>
          </cell>
          <cell r="AB224">
            <v>1.4525125051738443</v>
          </cell>
          <cell r="AC224"/>
          <cell r="AD224"/>
          <cell r="AE224">
            <v>1.4525125051738443</v>
          </cell>
          <cell r="AF224">
            <v>10.89420793168042</v>
          </cell>
          <cell r="AI224">
            <v>10.89420793168042</v>
          </cell>
        </row>
        <row r="225">
          <cell r="E225">
            <v>87</v>
          </cell>
          <cell r="F225" t="str">
            <v>REV</v>
          </cell>
          <cell r="G225">
            <v>0.12050036179656672</v>
          </cell>
          <cell r="H225"/>
          <cell r="I225"/>
          <cell r="J225"/>
          <cell r="K225"/>
          <cell r="L225">
            <v>1064.5445446099402</v>
          </cell>
          <cell r="O225">
            <v>1064.5445446099402</v>
          </cell>
          <cell r="P225">
            <v>359.55062993960195</v>
          </cell>
          <cell r="S225">
            <v>359.55062993960195</v>
          </cell>
          <cell r="T225">
            <v>0.80694939770272733</v>
          </cell>
          <cell r="W225">
            <v>0.80694939770272733</v>
          </cell>
          <cell r="X225">
            <v>5.9519906171166896</v>
          </cell>
          <cell r="AA225">
            <v>5.9519906171166896</v>
          </cell>
          <cell r="AB225">
            <v>9.8437052859259619</v>
          </cell>
          <cell r="AC225"/>
          <cell r="AD225"/>
          <cell r="AE225">
            <v>9.8437052859259619</v>
          </cell>
          <cell r="AF225">
            <v>73.830257447748536</v>
          </cell>
          <cell r="AI225">
            <v>73.830257447748536</v>
          </cell>
        </row>
        <row r="226">
          <cell r="E226">
            <v>87</v>
          </cell>
          <cell r="F226" t="str">
            <v>REV</v>
          </cell>
          <cell r="G226">
            <v>0.12050036179656672</v>
          </cell>
          <cell r="H226"/>
          <cell r="I226"/>
          <cell r="J226"/>
          <cell r="K226"/>
          <cell r="L226">
            <v>1467.8458189307973</v>
          </cell>
          <cell r="O226">
            <v>1467.8458189307973</v>
          </cell>
          <cell r="P226">
            <v>495.76590432310877</v>
          </cell>
          <cell r="S226">
            <v>495.76590432310877</v>
          </cell>
          <cell r="T226">
            <v>1.1126610957746985</v>
          </cell>
          <cell r="W226">
            <v>1.1126610957746985</v>
          </cell>
          <cell r="X226">
            <v>8.2068942872195603</v>
          </cell>
          <cell r="AA226">
            <v>8.2068942872195603</v>
          </cell>
          <cell r="AB226">
            <v>13.572979843720567</v>
          </cell>
          <cell r="AC226"/>
          <cell r="AD226"/>
          <cell r="AE226">
            <v>13.572979843720567</v>
          </cell>
          <cell r="AF226">
            <v>101.80075155518307</v>
          </cell>
          <cell r="AI226">
            <v>101.80075155518307</v>
          </cell>
        </row>
        <row r="227">
          <cell r="E227">
            <v>87</v>
          </cell>
          <cell r="F227" t="str">
            <v>REV</v>
          </cell>
          <cell r="G227">
            <v>0.12050036179656673</v>
          </cell>
          <cell r="H227"/>
          <cell r="I227"/>
          <cell r="J227"/>
          <cell r="K227"/>
          <cell r="L227">
            <v>95.425376387362647</v>
          </cell>
          <cell r="O227">
            <v>95.425376387362647</v>
          </cell>
          <cell r="P227">
            <v>32.229984518751607</v>
          </cell>
          <cell r="S227">
            <v>32.229984518751607</v>
          </cell>
          <cell r="T227">
            <v>7.2334643384559527E-2</v>
          </cell>
          <cell r="W227">
            <v>7.2334643384559527E-2</v>
          </cell>
          <cell r="X227">
            <v>0.53353422152994179</v>
          </cell>
          <cell r="AA227">
            <v>0.53353422152994179</v>
          </cell>
          <cell r="AB227">
            <v>0.8823860746005131</v>
          </cell>
          <cell r="AC227"/>
          <cell r="AD227"/>
          <cell r="AE227">
            <v>0.8823860746005131</v>
          </cell>
          <cell r="AF227">
            <v>6.618116772472634</v>
          </cell>
          <cell r="AI227">
            <v>6.618116772472634</v>
          </cell>
        </row>
        <row r="228">
          <cell r="E228">
            <v>87</v>
          </cell>
          <cell r="F228" t="str">
            <v>REV</v>
          </cell>
          <cell r="G228">
            <v>0</v>
          </cell>
          <cell r="H228"/>
          <cell r="I228"/>
          <cell r="J228"/>
          <cell r="K228"/>
          <cell r="L228">
            <v>0</v>
          </cell>
          <cell r="O228">
            <v>0</v>
          </cell>
          <cell r="P228">
            <v>0</v>
          </cell>
          <cell r="S228">
            <v>0</v>
          </cell>
          <cell r="T228">
            <v>0</v>
          </cell>
          <cell r="W228">
            <v>0</v>
          </cell>
          <cell r="X228">
            <v>0</v>
          </cell>
          <cell r="AA228">
            <v>0</v>
          </cell>
          <cell r="AB228">
            <v>0</v>
          </cell>
          <cell r="AC228"/>
          <cell r="AD228"/>
          <cell r="AE228">
            <v>0</v>
          </cell>
          <cell r="AF228">
            <v>0</v>
          </cell>
          <cell r="AI228">
            <v>0</v>
          </cell>
        </row>
        <row r="229">
          <cell r="E229">
            <v>87</v>
          </cell>
          <cell r="F229" t="str">
            <v>REV</v>
          </cell>
          <cell r="G229">
            <v>0.1205003617965667</v>
          </cell>
          <cell r="H229"/>
          <cell r="I229"/>
          <cell r="J229"/>
          <cell r="K229"/>
          <cell r="L229">
            <v>196.6475066556564</v>
          </cell>
          <cell r="O229">
            <v>196.6475066556564</v>
          </cell>
          <cell r="P229">
            <v>66.417826526930583</v>
          </cell>
          <cell r="S229">
            <v>66.417826526930583</v>
          </cell>
          <cell r="T229">
            <v>0.1490633603440884</v>
          </cell>
          <cell r="W229">
            <v>0.1490633603440884</v>
          </cell>
          <cell r="X229">
            <v>1.0994787587049455</v>
          </cell>
          <cell r="AA229">
            <v>1.0994787587049455</v>
          </cell>
          <cell r="AB229">
            <v>1.8183739802449697</v>
          </cell>
          <cell r="AC229"/>
          <cell r="AD229"/>
          <cell r="AE229">
            <v>1.8183739802449697</v>
          </cell>
          <cell r="AF229">
            <v>13.638260715679767</v>
          </cell>
          <cell r="AI229">
            <v>13.638260715679767</v>
          </cell>
        </row>
        <row r="230">
          <cell r="E230">
            <v>87</v>
          </cell>
          <cell r="F230" t="str">
            <v>REV</v>
          </cell>
          <cell r="G230">
            <v>0.1205003617965667</v>
          </cell>
          <cell r="H230"/>
          <cell r="I230"/>
          <cell r="J230"/>
          <cell r="K230"/>
          <cell r="L230">
            <v>50.252367695722818</v>
          </cell>
          <cell r="O230">
            <v>50.252367695722818</v>
          </cell>
          <cell r="P230">
            <v>16.972770705028633</v>
          </cell>
          <cell r="S230">
            <v>16.972770705028633</v>
          </cell>
          <cell r="T230">
            <v>3.8092457521406824E-2</v>
          </cell>
          <cell r="W230">
            <v>3.8092457521406824E-2</v>
          </cell>
          <cell r="X230">
            <v>0.28096675007848909</v>
          </cell>
          <cell r="AA230">
            <v>0.28096675007848909</v>
          </cell>
          <cell r="AB230">
            <v>0.46467712414789897</v>
          </cell>
          <cell r="AC230"/>
          <cell r="AD230"/>
          <cell r="AE230">
            <v>0.46467712414789897</v>
          </cell>
          <cell r="AF230">
            <v>3.4851949250217347</v>
          </cell>
          <cell r="AI230">
            <v>3.4851949250217347</v>
          </cell>
        </row>
        <row r="231">
          <cell r="E231">
            <v>87</v>
          </cell>
          <cell r="F231" t="str">
            <v>REV</v>
          </cell>
          <cell r="G231">
            <v>0.1205003617965667</v>
          </cell>
          <cell r="H231"/>
          <cell r="I231"/>
          <cell r="J231"/>
          <cell r="K231"/>
          <cell r="L231">
            <v>3.0491399724360311</v>
          </cell>
          <cell r="O231">
            <v>3.0491399724360311</v>
          </cell>
          <cell r="P231">
            <v>1.0298490593130589</v>
          </cell>
          <cell r="S231">
            <v>1.0298490593130589</v>
          </cell>
          <cell r="T231">
            <v>2.311318654279628E-3</v>
          </cell>
          <cell r="W231">
            <v>2.311318654279628E-3</v>
          </cell>
          <cell r="X231">
            <v>1.7048091221832779E-2</v>
          </cell>
          <cell r="AA231">
            <v>1.7048091221832779E-2</v>
          </cell>
          <cell r="AB231">
            <v>2.8195001718029973E-2</v>
          </cell>
          <cell r="AC231"/>
          <cell r="AD231"/>
          <cell r="AE231">
            <v>2.8195001718029973E-2</v>
          </cell>
          <cell r="AF231">
            <v>0.21146958133316893</v>
          </cell>
          <cell r="AI231">
            <v>0.21146958133316893</v>
          </cell>
        </row>
        <row r="232">
          <cell r="E232">
            <v>84</v>
          </cell>
          <cell r="F232" t="str">
            <v>CUST</v>
          </cell>
          <cell r="G232">
            <v>0.1683087563617382</v>
          </cell>
          <cell r="H232"/>
          <cell r="I232"/>
          <cell r="J232"/>
          <cell r="K232"/>
          <cell r="L232">
            <v>3515.2542711731703</v>
          </cell>
          <cell r="O232">
            <v>3515.2542711731703</v>
          </cell>
          <cell r="P232">
            <v>103.8853099308365</v>
          </cell>
          <cell r="S232">
            <v>103.8853099308365</v>
          </cell>
          <cell r="T232">
            <v>0</v>
          </cell>
          <cell r="W232">
            <v>0</v>
          </cell>
          <cell r="X232">
            <v>0</v>
          </cell>
          <cell r="AA232">
            <v>0</v>
          </cell>
          <cell r="AB232">
            <v>0</v>
          </cell>
          <cell r="AC232"/>
          <cell r="AD232"/>
          <cell r="AE232">
            <v>0</v>
          </cell>
          <cell r="AF232">
            <v>2.1057833094088481</v>
          </cell>
          <cell r="AI232">
            <v>2.1057833094088481</v>
          </cell>
        </row>
        <row r="233">
          <cell r="E233">
            <v>86</v>
          </cell>
          <cell r="F233" t="str">
            <v>REV</v>
          </cell>
          <cell r="G233">
            <v>0.12050036179656673</v>
          </cell>
          <cell r="H233"/>
          <cell r="I233"/>
          <cell r="J233"/>
          <cell r="K233"/>
          <cell r="L233">
            <v>6038.7971528931157</v>
          </cell>
          <cell r="O233">
            <v>6038.7971528931157</v>
          </cell>
          <cell r="P233">
            <v>2039.6077659632022</v>
          </cell>
          <cell r="S233">
            <v>2039.6077659632022</v>
          </cell>
          <cell r="T233">
            <v>4.5775479758449773</v>
          </cell>
          <cell r="W233">
            <v>4.5775479758449773</v>
          </cell>
          <cell r="X233">
            <v>33.763607332993871</v>
          </cell>
          <cell r="AA233">
            <v>33.763607332993871</v>
          </cell>
          <cell r="AB233">
            <v>55.839973776155638</v>
          </cell>
          <cell r="AC233"/>
          <cell r="AD233"/>
          <cell r="AE233">
            <v>55.839973776155638</v>
          </cell>
          <cell r="AF233">
            <v>418.81380232538038</v>
          </cell>
          <cell r="AI233">
            <v>418.81380232538038</v>
          </cell>
        </row>
        <row r="234">
          <cell r="E234">
            <v>69</v>
          </cell>
          <cell r="F234" t="str">
            <v>CUST</v>
          </cell>
          <cell r="G234">
            <v>0.1683087563617382</v>
          </cell>
          <cell r="H234"/>
          <cell r="I234"/>
          <cell r="J234"/>
          <cell r="K234"/>
          <cell r="L234">
            <v>4094.8438418374008</v>
          </cell>
          <cell r="O234">
            <v>4094.8438418374008</v>
          </cell>
          <cell r="P234">
            <v>121.01375570925225</v>
          </cell>
          <cell r="S234">
            <v>121.01375570925225</v>
          </cell>
          <cell r="T234">
            <v>0</v>
          </cell>
          <cell r="W234">
            <v>0</v>
          </cell>
          <cell r="X234">
            <v>0</v>
          </cell>
          <cell r="AA234">
            <v>0</v>
          </cell>
          <cell r="AB234">
            <v>0</v>
          </cell>
          <cell r="AC234"/>
          <cell r="AD234"/>
          <cell r="AE234">
            <v>0</v>
          </cell>
          <cell r="AF234">
            <v>2.4529815346470052</v>
          </cell>
          <cell r="AI234">
            <v>2.4529815346470052</v>
          </cell>
        </row>
        <row r="235">
          <cell r="E235">
            <v>71</v>
          </cell>
          <cell r="F235" t="str">
            <v>REV</v>
          </cell>
          <cell r="G235">
            <v>0</v>
          </cell>
          <cell r="H235"/>
          <cell r="I235"/>
          <cell r="J235"/>
          <cell r="K235"/>
          <cell r="L235">
            <v>0</v>
          </cell>
          <cell r="O235">
            <v>0</v>
          </cell>
          <cell r="P235">
            <v>0</v>
          </cell>
          <cell r="S235">
            <v>0</v>
          </cell>
          <cell r="T235">
            <v>0</v>
          </cell>
          <cell r="W235">
            <v>0</v>
          </cell>
          <cell r="X235">
            <v>0</v>
          </cell>
          <cell r="AA235">
            <v>0</v>
          </cell>
          <cell r="AB235">
            <v>0</v>
          </cell>
          <cell r="AC235"/>
          <cell r="AD235"/>
          <cell r="AE235">
            <v>0</v>
          </cell>
          <cell r="AF235">
            <v>0</v>
          </cell>
          <cell r="AI235">
            <v>0</v>
          </cell>
        </row>
        <row r="236">
          <cell r="E236">
            <v>69</v>
          </cell>
          <cell r="F236" t="str">
            <v>REV</v>
          </cell>
          <cell r="G236">
            <v>0.1205003617965667</v>
          </cell>
          <cell r="H236"/>
          <cell r="I236"/>
          <cell r="J236"/>
          <cell r="K236"/>
          <cell r="L236">
            <v>29.644416398683635</v>
          </cell>
          <cell r="O236">
            <v>29.644416398683635</v>
          </cell>
          <cell r="P236">
            <v>10.012421409988072</v>
          </cell>
          <cell r="S236">
            <v>10.012421409988072</v>
          </cell>
          <cell r="T236">
            <v>2.2471153583274159E-2</v>
          </cell>
          <cell r="W236">
            <v>2.2471153583274159E-2</v>
          </cell>
          <cell r="X236">
            <v>0.16574533132337427</v>
          </cell>
          <cell r="AA236">
            <v>0.16574533132337427</v>
          </cell>
          <cell r="AB236">
            <v>0.27411807225862478</v>
          </cell>
          <cell r="AC236"/>
          <cell r="AD236"/>
          <cell r="AE236">
            <v>0.27411807225862478</v>
          </cell>
          <cell r="AF236">
            <v>2.0559542629613645</v>
          </cell>
          <cell r="AI236">
            <v>2.0559542629613645</v>
          </cell>
        </row>
        <row r="237">
          <cell r="E237">
            <v>71</v>
          </cell>
          <cell r="F237" t="str">
            <v>REV</v>
          </cell>
          <cell r="G237">
            <v>0.12050036179656669</v>
          </cell>
          <cell r="H237"/>
          <cell r="I237"/>
          <cell r="J237"/>
          <cell r="K237"/>
          <cell r="L237">
            <v>1197.0085018291438</v>
          </cell>
          <cell r="O237">
            <v>1197.0085018291438</v>
          </cell>
          <cell r="P237">
            <v>404.29041983717576</v>
          </cell>
          <cell r="S237">
            <v>404.29041983717576</v>
          </cell>
          <cell r="T237">
            <v>0.90736014240718921</v>
          </cell>
          <cell r="W237">
            <v>0.90736014240718921</v>
          </cell>
          <cell r="X237">
            <v>6.6926117911829506</v>
          </cell>
          <cell r="AA237">
            <v>6.6926117911829506</v>
          </cell>
          <cell r="AB237">
            <v>11.068582311951323</v>
          </cell>
          <cell r="AC237"/>
          <cell r="AD237"/>
          <cell r="AE237">
            <v>11.068582311951323</v>
          </cell>
          <cell r="AF237">
            <v>83.017142217915463</v>
          </cell>
          <cell r="AI237">
            <v>83.017142217915463</v>
          </cell>
        </row>
        <row r="238">
          <cell r="E238">
            <v>71</v>
          </cell>
          <cell r="F238" t="str">
            <v>REV</v>
          </cell>
          <cell r="G238">
            <v>0.12050036179656672</v>
          </cell>
          <cell r="H238"/>
          <cell r="I238"/>
          <cell r="J238"/>
          <cell r="K238"/>
          <cell r="L238">
            <v>318.87990530068578</v>
          </cell>
          <cell r="O238">
            <v>318.87990530068578</v>
          </cell>
          <cell r="P238">
            <v>107.70190069214283</v>
          </cell>
          <cell r="S238">
            <v>107.70190069214283</v>
          </cell>
          <cell r="T238">
            <v>0.241718346897523</v>
          </cell>
          <cell r="W238">
            <v>0.241718346897523</v>
          </cell>
          <cell r="X238">
            <v>1.7828941155601672</v>
          </cell>
          <cell r="AA238">
            <v>1.7828941155601672</v>
          </cell>
          <cell r="AB238">
            <v>2.9486411116164963</v>
          </cell>
          <cell r="AC238"/>
          <cell r="AD238"/>
          <cell r="AE238">
            <v>2.9486411116164963</v>
          </cell>
          <cell r="AF238">
            <v>22.11554755737318</v>
          </cell>
          <cell r="AI238">
            <v>22.11554755737318</v>
          </cell>
        </row>
        <row r="239">
          <cell r="E239">
            <v>71</v>
          </cell>
          <cell r="F239" t="str">
            <v>REV</v>
          </cell>
          <cell r="G239">
            <v>0.12050036179656669</v>
          </cell>
          <cell r="H239"/>
          <cell r="I239"/>
          <cell r="J239"/>
          <cell r="K239"/>
          <cell r="L239">
            <v>431.0806334364006</v>
          </cell>
          <cell r="O239">
            <v>431.0806334364006</v>
          </cell>
          <cell r="P239">
            <v>145.59777145221511</v>
          </cell>
          <cell r="S239">
            <v>145.59777145221511</v>
          </cell>
          <cell r="T239">
            <v>0.32676909507837754</v>
          </cell>
          <cell r="W239">
            <v>0.32676909507837754</v>
          </cell>
          <cell r="X239">
            <v>2.4102212522955586</v>
          </cell>
          <cell r="AA239">
            <v>2.4102212522955586</v>
          </cell>
          <cell r="AB239">
            <v>3.9861466873357041</v>
          </cell>
          <cell r="AC239"/>
          <cell r="AD239"/>
          <cell r="AE239">
            <v>3.9861466873357041</v>
          </cell>
          <cell r="AF239">
            <v>29.897099476480459</v>
          </cell>
          <cell r="AI239">
            <v>29.897099476480459</v>
          </cell>
        </row>
        <row r="240">
          <cell r="E240">
            <v>71</v>
          </cell>
          <cell r="F240" t="str">
            <v>ACT</v>
          </cell>
          <cell r="G240">
            <v>0.18106525480033178</v>
          </cell>
          <cell r="H240"/>
          <cell r="I240"/>
          <cell r="J240"/>
          <cell r="K240"/>
          <cell r="L240">
            <v>0</v>
          </cell>
          <cell r="M240">
            <v>877.54</v>
          </cell>
          <cell r="N240" t="str">
            <v>LedgerSource</v>
          </cell>
          <cell r="O240">
            <v>877.54</v>
          </cell>
          <cell r="P240">
            <v>0</v>
          </cell>
          <cell r="S240">
            <v>0</v>
          </cell>
          <cell r="T240">
            <v>0</v>
          </cell>
          <cell r="W240">
            <v>0</v>
          </cell>
          <cell r="X240">
            <v>0</v>
          </cell>
          <cell r="AA240">
            <v>0</v>
          </cell>
          <cell r="AB240">
            <v>0</v>
          </cell>
          <cell r="AC240"/>
          <cell r="AD240"/>
          <cell r="AE240">
            <v>0</v>
          </cell>
          <cell r="AF240">
            <v>0</v>
          </cell>
          <cell r="AI240">
            <v>0</v>
          </cell>
        </row>
        <row r="241">
          <cell r="E241">
            <v>76</v>
          </cell>
          <cell r="F241" t="str">
            <v>DH</v>
          </cell>
          <cell r="G241">
            <v>0</v>
          </cell>
          <cell r="H241"/>
          <cell r="I241"/>
          <cell r="J241"/>
          <cell r="K241"/>
          <cell r="L241">
            <v>0</v>
          </cell>
          <cell r="M241"/>
          <cell r="N241"/>
          <cell r="O241">
            <v>0</v>
          </cell>
          <cell r="P241">
            <v>0</v>
          </cell>
          <cell r="S241">
            <v>0</v>
          </cell>
          <cell r="T241">
            <v>0</v>
          </cell>
          <cell r="W241">
            <v>0</v>
          </cell>
          <cell r="X241">
            <v>0</v>
          </cell>
          <cell r="AA241">
            <v>0</v>
          </cell>
          <cell r="AB241">
            <v>0</v>
          </cell>
          <cell r="AC241"/>
          <cell r="AD241"/>
          <cell r="AE241">
            <v>0</v>
          </cell>
          <cell r="AF241">
            <v>0</v>
          </cell>
          <cell r="AI241">
            <v>0</v>
          </cell>
        </row>
        <row r="242">
          <cell r="E242">
            <v>80</v>
          </cell>
          <cell r="F242" t="str">
            <v>CUST</v>
          </cell>
          <cell r="G242">
            <v>0.16830875636173823</v>
          </cell>
          <cell r="H242"/>
          <cell r="I242"/>
          <cell r="J242"/>
          <cell r="K242"/>
          <cell r="L242">
            <v>3732.1216494845357</v>
          </cell>
          <cell r="O242">
            <v>3732.1216494845357</v>
          </cell>
          <cell r="P242">
            <v>110.29432989690721</v>
          </cell>
          <cell r="S242">
            <v>110.29432989690721</v>
          </cell>
          <cell r="T242">
            <v>0</v>
          </cell>
          <cell r="W242">
            <v>0</v>
          </cell>
          <cell r="X242">
            <v>0</v>
          </cell>
          <cell r="AA242">
            <v>0</v>
          </cell>
          <cell r="AB242">
            <v>0</v>
          </cell>
          <cell r="AC242"/>
          <cell r="AD242"/>
          <cell r="AE242">
            <v>0</v>
          </cell>
          <cell r="AF242">
            <v>2.2356958762886601</v>
          </cell>
          <cell r="AI242">
            <v>2.2356958762886601</v>
          </cell>
        </row>
        <row r="243">
          <cell r="E243">
            <v>91</v>
          </cell>
          <cell r="F243" t="str">
            <v>ACT</v>
          </cell>
          <cell r="G243">
            <v>0</v>
          </cell>
          <cell r="H243"/>
          <cell r="I243"/>
          <cell r="J243"/>
          <cell r="K243"/>
          <cell r="L243">
            <v>0</v>
          </cell>
          <cell r="O243">
            <v>0</v>
          </cell>
          <cell r="P243">
            <v>0</v>
          </cell>
          <cell r="S243">
            <v>0</v>
          </cell>
          <cell r="T243">
            <v>0</v>
          </cell>
          <cell r="W243">
            <v>0</v>
          </cell>
          <cell r="X243">
            <v>0</v>
          </cell>
          <cell r="AA243">
            <v>0</v>
          </cell>
          <cell r="AB243">
            <v>0</v>
          </cell>
          <cell r="AC243"/>
          <cell r="AD243"/>
          <cell r="AE243">
            <v>0</v>
          </cell>
          <cell r="AF243">
            <v>0</v>
          </cell>
          <cell r="AI243">
            <v>0</v>
          </cell>
        </row>
        <row r="244">
          <cell r="E244">
            <v>91</v>
          </cell>
          <cell r="F244" t="str">
            <v>ACT</v>
          </cell>
          <cell r="G244">
            <v>0</v>
          </cell>
          <cell r="H244"/>
          <cell r="I244"/>
          <cell r="J244"/>
          <cell r="K244"/>
          <cell r="L244">
            <v>0</v>
          </cell>
          <cell r="O244">
            <v>0</v>
          </cell>
          <cell r="P244">
            <v>0</v>
          </cell>
          <cell r="S244">
            <v>0</v>
          </cell>
          <cell r="T244">
            <v>0</v>
          </cell>
          <cell r="W244">
            <v>0</v>
          </cell>
          <cell r="X244">
            <v>0</v>
          </cell>
          <cell r="AA244">
            <v>0</v>
          </cell>
          <cell r="AB244">
            <v>0</v>
          </cell>
          <cell r="AC244"/>
          <cell r="AD244"/>
          <cell r="AE244">
            <v>0</v>
          </cell>
          <cell r="AF244">
            <v>0</v>
          </cell>
          <cell r="AI244">
            <v>0</v>
          </cell>
        </row>
        <row r="245">
          <cell r="E245">
            <v>77</v>
          </cell>
          <cell r="F245" t="str">
            <v>ACT</v>
          </cell>
          <cell r="G245">
            <v>5.3629611088429799E-2</v>
          </cell>
          <cell r="H245"/>
          <cell r="I245"/>
          <cell r="J245"/>
          <cell r="K245"/>
          <cell r="L245">
            <v>0</v>
          </cell>
          <cell r="M245">
            <v>2606.8201291311166</v>
          </cell>
          <cell r="N245" t="str">
            <v>Mult Co Tax</v>
          </cell>
          <cell r="O245">
            <v>2606.8201291311166</v>
          </cell>
          <cell r="P245">
            <v>0</v>
          </cell>
          <cell r="Q245">
            <v>964.24900143612444</v>
          </cell>
          <cell r="R245" t="str">
            <v>Mult Co Tax</v>
          </cell>
          <cell r="S245">
            <v>964.24900143612444</v>
          </cell>
          <cell r="T245">
            <v>0</v>
          </cell>
          <cell r="W245">
            <v>0</v>
          </cell>
          <cell r="X245">
            <v>0</v>
          </cell>
          <cell r="AA245">
            <v>0</v>
          </cell>
          <cell r="AB245">
            <v>0</v>
          </cell>
          <cell r="AC245"/>
          <cell r="AD245"/>
          <cell r="AE245">
            <v>0</v>
          </cell>
          <cell r="AF245">
            <v>0</v>
          </cell>
          <cell r="AG245">
            <v>183.00364562284466</v>
          </cell>
          <cell r="AH245" t="str">
            <v>Mult Co Tax</v>
          </cell>
          <cell r="AI245">
            <v>183.00364562284466</v>
          </cell>
        </row>
        <row r="246">
          <cell r="E246">
            <v>84</v>
          </cell>
          <cell r="F246" t="str">
            <v>CUST</v>
          </cell>
          <cell r="G246">
            <v>0.16830875636173823</v>
          </cell>
          <cell r="H246"/>
          <cell r="I246"/>
          <cell r="J246"/>
          <cell r="K246"/>
          <cell r="L246">
            <v>13648.626616207752</v>
          </cell>
          <cell r="O246">
            <v>13648.626616207752</v>
          </cell>
          <cell r="P246">
            <v>403.35398146939843</v>
          </cell>
          <cell r="S246">
            <v>403.35398146939843</v>
          </cell>
          <cell r="T246">
            <v>0</v>
          </cell>
          <cell r="W246">
            <v>0</v>
          </cell>
          <cell r="X246">
            <v>0</v>
          </cell>
          <cell r="AA246">
            <v>0</v>
          </cell>
          <cell r="AB246">
            <v>0</v>
          </cell>
          <cell r="AC246"/>
          <cell r="AD246"/>
          <cell r="AE246">
            <v>0</v>
          </cell>
          <cell r="AF246">
            <v>8.176094218974292</v>
          </cell>
          <cell r="AI246">
            <v>8.176094218974292</v>
          </cell>
        </row>
        <row r="247">
          <cell r="E247">
            <v>84</v>
          </cell>
          <cell r="F247" t="str">
            <v>CUST</v>
          </cell>
          <cell r="G247">
            <v>0.1683087563617382</v>
          </cell>
          <cell r="H247"/>
          <cell r="I247"/>
          <cell r="J247"/>
          <cell r="K247"/>
          <cell r="L247">
            <v>271.01070076993346</v>
          </cell>
          <cell r="O247">
            <v>271.01070076993346</v>
          </cell>
          <cell r="P247">
            <v>8.0091021793031452</v>
          </cell>
          <cell r="S247">
            <v>8.0091021793031452</v>
          </cell>
          <cell r="T247">
            <v>0</v>
          </cell>
          <cell r="W247">
            <v>0</v>
          </cell>
          <cell r="X247">
            <v>0</v>
          </cell>
          <cell r="AA247">
            <v>0</v>
          </cell>
          <cell r="AB247">
            <v>0</v>
          </cell>
          <cell r="AC247"/>
          <cell r="AD247"/>
          <cell r="AE247">
            <v>0</v>
          </cell>
          <cell r="AF247">
            <v>0.16234666579668539</v>
          </cell>
          <cell r="AI247">
            <v>0.16234666579668539</v>
          </cell>
        </row>
        <row r="248">
          <cell r="E248">
            <v>84</v>
          </cell>
          <cell r="F248" t="str">
            <v>CUST</v>
          </cell>
          <cell r="G248">
            <v>0.16830875636173823</v>
          </cell>
          <cell r="H248"/>
          <cell r="I248"/>
          <cell r="J248"/>
          <cell r="K248"/>
          <cell r="L248">
            <v>650.18224194179822</v>
          </cell>
          <cell r="O248">
            <v>650.18224194179822</v>
          </cell>
          <cell r="P248">
            <v>19.214650920005219</v>
          </cell>
          <cell r="S248">
            <v>19.214650920005219</v>
          </cell>
          <cell r="T248">
            <v>0</v>
          </cell>
          <cell r="W248">
            <v>0</v>
          </cell>
          <cell r="X248">
            <v>0</v>
          </cell>
          <cell r="AA248">
            <v>0</v>
          </cell>
          <cell r="AB248">
            <v>0</v>
          </cell>
          <cell r="AC248"/>
          <cell r="AD248"/>
          <cell r="AE248">
            <v>0</v>
          </cell>
          <cell r="AF248">
            <v>0.38948616729740315</v>
          </cell>
          <cell r="AI248">
            <v>0.38948616729740315</v>
          </cell>
        </row>
        <row r="249">
          <cell r="E249">
            <v>89</v>
          </cell>
          <cell r="F249" t="str">
            <v>ACT</v>
          </cell>
          <cell r="G249">
            <v>5.8968756281498613E-2</v>
          </cell>
          <cell r="H249"/>
          <cell r="I249"/>
          <cell r="J249"/>
          <cell r="K249"/>
          <cell r="L249">
            <v>0</v>
          </cell>
          <cell r="M249">
            <v>1610.7677407759197</v>
          </cell>
          <cell r="O249">
            <v>1610.7677407759197</v>
          </cell>
          <cell r="P249">
            <v>0</v>
          </cell>
          <cell r="Q249">
            <v>543.60869987850617</v>
          </cell>
          <cell r="S249">
            <v>543.60869987850617</v>
          </cell>
          <cell r="T249">
            <v>0</v>
          </cell>
          <cell r="W249">
            <v>0</v>
          </cell>
          <cell r="X249">
            <v>0</v>
          </cell>
          <cell r="AA249">
            <v>0</v>
          </cell>
          <cell r="AB249">
            <v>0</v>
          </cell>
          <cell r="AC249"/>
          <cell r="AD249"/>
          <cell r="AE249">
            <v>0</v>
          </cell>
          <cell r="AF249">
            <v>0</v>
          </cell>
          <cell r="AG249">
            <v>110.40355934557408</v>
          </cell>
          <cell r="AI249">
            <v>110.40355934557408</v>
          </cell>
        </row>
        <row r="250">
          <cell r="E250">
            <v>89</v>
          </cell>
          <cell r="F250" t="str">
            <v>ACT</v>
          </cell>
          <cell r="G250">
            <v>5.8968756281498627E-2</v>
          </cell>
          <cell r="H250"/>
          <cell r="I250"/>
          <cell r="J250"/>
          <cell r="K250"/>
          <cell r="L250">
            <v>0</v>
          </cell>
          <cell r="M250">
            <v>763.68707974869699</v>
          </cell>
          <cell r="N250"/>
          <cell r="O250">
            <v>763.68707974869699</v>
          </cell>
          <cell r="P250">
            <v>0</v>
          </cell>
          <cell r="Q250">
            <v>257.73234093713756</v>
          </cell>
          <cell r="S250">
            <v>257.73234093713756</v>
          </cell>
          <cell r="T250">
            <v>0</v>
          </cell>
          <cell r="U250">
            <v>0</v>
          </cell>
          <cell r="W250">
            <v>0</v>
          </cell>
          <cell r="X250">
            <v>0</v>
          </cell>
          <cell r="Y250">
            <v>0</v>
          </cell>
          <cell r="AA250">
            <v>0</v>
          </cell>
          <cell r="AB250">
            <v>0</v>
          </cell>
          <cell r="AC250">
            <v>0</v>
          </cell>
          <cell r="AD250"/>
          <cell r="AE250">
            <v>0</v>
          </cell>
          <cell r="AF250">
            <v>0</v>
          </cell>
          <cell r="AG250">
            <v>52.343841819099758</v>
          </cell>
          <cell r="AI250">
            <v>52.343841819099758</v>
          </cell>
        </row>
        <row r="251">
          <cell r="E251">
            <v>86</v>
          </cell>
          <cell r="F251" t="str">
            <v>REV</v>
          </cell>
          <cell r="G251">
            <v>0</v>
          </cell>
          <cell r="H251"/>
          <cell r="I251"/>
          <cell r="J251"/>
          <cell r="K251"/>
          <cell r="L251">
            <v>0</v>
          </cell>
          <cell r="O251">
            <v>0</v>
          </cell>
          <cell r="P251">
            <v>0</v>
          </cell>
          <cell r="S251">
            <v>0</v>
          </cell>
          <cell r="T251">
            <v>0</v>
          </cell>
          <cell r="W251">
            <v>0</v>
          </cell>
          <cell r="X251">
            <v>0</v>
          </cell>
          <cell r="AA251">
            <v>0</v>
          </cell>
          <cell r="AB251">
            <v>0</v>
          </cell>
          <cell r="AC251"/>
          <cell r="AD251"/>
          <cell r="AE251">
            <v>0</v>
          </cell>
          <cell r="AF251">
            <v>0</v>
          </cell>
          <cell r="AI251">
            <v>0</v>
          </cell>
        </row>
        <row r="252">
          <cell r="E252">
            <v>86</v>
          </cell>
          <cell r="F252" t="str">
            <v>REV</v>
          </cell>
          <cell r="G252">
            <v>0</v>
          </cell>
          <cell r="H252"/>
          <cell r="I252"/>
          <cell r="J252"/>
          <cell r="K252"/>
          <cell r="L252">
            <v>0</v>
          </cell>
          <cell r="O252">
            <v>0</v>
          </cell>
          <cell r="P252">
            <v>0</v>
          </cell>
          <cell r="S252">
            <v>0</v>
          </cell>
          <cell r="T252">
            <v>0</v>
          </cell>
          <cell r="W252">
            <v>0</v>
          </cell>
          <cell r="X252">
            <v>0</v>
          </cell>
          <cell r="AA252">
            <v>0</v>
          </cell>
          <cell r="AB252">
            <v>0</v>
          </cell>
          <cell r="AC252"/>
          <cell r="AD252"/>
          <cell r="AE252">
            <v>0</v>
          </cell>
          <cell r="AF252">
            <v>0</v>
          </cell>
          <cell r="AI252">
            <v>0</v>
          </cell>
        </row>
        <row r="253">
          <cell r="E253">
            <v>86</v>
          </cell>
          <cell r="F253" t="str">
            <v>CUST</v>
          </cell>
          <cell r="G253">
            <v>0.1683087563617382</v>
          </cell>
          <cell r="H253"/>
          <cell r="I253"/>
          <cell r="J253"/>
          <cell r="K253"/>
          <cell r="L253">
            <v>13.560746443951453</v>
          </cell>
          <cell r="O253">
            <v>13.560746443951453</v>
          </cell>
          <cell r="P253">
            <v>0.40075688372699991</v>
          </cell>
          <cell r="S253">
            <v>0.40075688372699991</v>
          </cell>
          <cell r="T253">
            <v>0</v>
          </cell>
          <cell r="W253">
            <v>0</v>
          </cell>
          <cell r="X253">
            <v>0</v>
          </cell>
          <cell r="AA253">
            <v>0</v>
          </cell>
          <cell r="AB253">
            <v>0</v>
          </cell>
          <cell r="AC253"/>
          <cell r="AD253"/>
          <cell r="AE253">
            <v>0</v>
          </cell>
          <cell r="AF253">
            <v>8.1234503458175664E-3</v>
          </cell>
          <cell r="AI253">
            <v>8.1234503458175664E-3</v>
          </cell>
        </row>
        <row r="254">
          <cell r="E254">
            <v>84</v>
          </cell>
          <cell r="F254" t="str">
            <v>CUST</v>
          </cell>
          <cell r="G254">
            <v>0.1683087563617382</v>
          </cell>
          <cell r="H254"/>
          <cell r="I254"/>
          <cell r="J254"/>
          <cell r="K254"/>
          <cell r="L254">
            <v>3321.0660159206573</v>
          </cell>
          <cell r="O254">
            <v>3321.0660159206573</v>
          </cell>
          <cell r="P254">
            <v>98.14651963982773</v>
          </cell>
          <cell r="S254">
            <v>98.14651963982773</v>
          </cell>
          <cell r="T254">
            <v>0</v>
          </cell>
          <cell r="W254">
            <v>0</v>
          </cell>
          <cell r="X254">
            <v>0</v>
          </cell>
          <cell r="AA254">
            <v>0</v>
          </cell>
          <cell r="AB254">
            <v>0</v>
          </cell>
          <cell r="AC254"/>
          <cell r="AD254"/>
          <cell r="AE254">
            <v>0</v>
          </cell>
          <cell r="AF254">
            <v>1.9894564791856975</v>
          </cell>
          <cell r="AI254">
            <v>1.9894564791856975</v>
          </cell>
        </row>
        <row r="255">
          <cell r="E255">
            <v>72</v>
          </cell>
          <cell r="F255" t="str">
            <v>DH</v>
          </cell>
          <cell r="G255">
            <v>0.11021083809358595</v>
          </cell>
          <cell r="H255"/>
          <cell r="I255"/>
          <cell r="J255"/>
          <cell r="K255"/>
          <cell r="L255">
            <v>16.819377430822421</v>
          </cell>
          <cell r="O255">
            <v>16.819377430822421</v>
          </cell>
          <cell r="P255">
            <v>7.4019027483458846</v>
          </cell>
          <cell r="S255">
            <v>7.4019027483458846</v>
          </cell>
          <cell r="T255">
            <v>14.668075746903906</v>
          </cell>
          <cell r="W255">
            <v>14.668075746903906</v>
          </cell>
          <cell r="X255">
            <v>6.4348731576087745</v>
          </cell>
          <cell r="AA255">
            <v>6.4348731576087745</v>
          </cell>
          <cell r="AB255">
            <v>13.802252874299077</v>
          </cell>
          <cell r="AC255"/>
          <cell r="AD255"/>
          <cell r="AE255">
            <v>13.802252874299077</v>
          </cell>
          <cell r="AF255">
            <v>3.0103885591836903</v>
          </cell>
          <cell r="AI255">
            <v>3.0103885591836903</v>
          </cell>
        </row>
        <row r="256">
          <cell r="E256">
            <v>76</v>
          </cell>
          <cell r="F256" t="str">
            <v>DH</v>
          </cell>
          <cell r="G256">
            <v>0</v>
          </cell>
          <cell r="H256"/>
          <cell r="I256"/>
          <cell r="J256"/>
          <cell r="K256"/>
          <cell r="L256">
            <v>0</v>
          </cell>
          <cell r="O256">
            <v>0</v>
          </cell>
          <cell r="P256">
            <v>0</v>
          </cell>
          <cell r="S256">
            <v>0</v>
          </cell>
          <cell r="T256">
            <v>0</v>
          </cell>
          <cell r="W256">
            <v>0</v>
          </cell>
          <cell r="X256">
            <v>0</v>
          </cell>
          <cell r="AA256">
            <v>0</v>
          </cell>
          <cell r="AB256">
            <v>0</v>
          </cell>
          <cell r="AC256"/>
          <cell r="AD256"/>
          <cell r="AE256">
            <v>0</v>
          </cell>
          <cell r="AF256">
            <v>0</v>
          </cell>
          <cell r="AI256">
            <v>0</v>
          </cell>
        </row>
        <row r="257">
          <cell r="E257">
            <v>62</v>
          </cell>
          <cell r="F257" t="str">
            <v>CUST</v>
          </cell>
          <cell r="G257">
            <v>0</v>
          </cell>
          <cell r="H257"/>
          <cell r="I257"/>
          <cell r="J257"/>
          <cell r="K257"/>
          <cell r="L257">
            <v>0</v>
          </cell>
          <cell r="O257">
            <v>0</v>
          </cell>
          <cell r="P257">
            <v>0</v>
          </cell>
          <cell r="S257">
            <v>0</v>
          </cell>
          <cell r="T257">
            <v>0</v>
          </cell>
          <cell r="W257">
            <v>0</v>
          </cell>
          <cell r="X257">
            <v>0</v>
          </cell>
          <cell r="AA257">
            <v>0</v>
          </cell>
          <cell r="AB257">
            <v>0</v>
          </cell>
          <cell r="AC257"/>
          <cell r="AD257"/>
          <cell r="AE257">
            <v>0</v>
          </cell>
          <cell r="AF257">
            <v>0</v>
          </cell>
          <cell r="AI257">
            <v>0</v>
          </cell>
        </row>
        <row r="258">
          <cell r="E258">
            <v>93</v>
          </cell>
          <cell r="F258" t="str">
            <v>DH</v>
          </cell>
          <cell r="G258">
            <v>0.11021083809358592</v>
          </cell>
          <cell r="H258"/>
          <cell r="I258"/>
          <cell r="J258"/>
          <cell r="K258"/>
          <cell r="L258">
            <v>12916.824683951092</v>
          </cell>
          <cell r="O258">
            <v>12916.824683951092</v>
          </cell>
          <cell r="P258">
            <v>5684.4601128238392</v>
          </cell>
          <cell r="S258">
            <v>5684.4601128238392</v>
          </cell>
          <cell r="T258">
            <v>11264.683467205385</v>
          </cell>
          <cell r="W258">
            <v>11264.683467205385</v>
          </cell>
          <cell r="X258">
            <v>4941.8076728557644</v>
          </cell>
          <cell r="AA258">
            <v>4941.8076728557644</v>
          </cell>
          <cell r="AB258">
            <v>10599.755035770297</v>
          </cell>
          <cell r="AC258"/>
          <cell r="AD258"/>
          <cell r="AE258">
            <v>10599.755035770297</v>
          </cell>
          <cell r="AF258">
            <v>2311.8965853212617</v>
          </cell>
          <cell r="AI258">
            <v>2311.8965853212617</v>
          </cell>
        </row>
        <row r="259">
          <cell r="E259">
            <v>93</v>
          </cell>
          <cell r="F259" t="str">
            <v>REV</v>
          </cell>
          <cell r="G259">
            <v>0</v>
          </cell>
          <cell r="H259"/>
          <cell r="I259"/>
          <cell r="J259"/>
          <cell r="K259"/>
          <cell r="L259">
            <v>0</v>
          </cell>
          <cell r="O259">
            <v>0</v>
          </cell>
          <cell r="P259">
            <v>0</v>
          </cell>
          <cell r="S259">
            <v>0</v>
          </cell>
          <cell r="T259">
            <v>0</v>
          </cell>
          <cell r="W259">
            <v>0</v>
          </cell>
          <cell r="X259">
            <v>0</v>
          </cell>
          <cell r="AA259">
            <v>0</v>
          </cell>
          <cell r="AB259">
            <v>0</v>
          </cell>
          <cell r="AC259"/>
          <cell r="AD259"/>
          <cell r="AE259">
            <v>0</v>
          </cell>
          <cell r="AF259">
            <v>0</v>
          </cell>
          <cell r="AI259">
            <v>0</v>
          </cell>
        </row>
        <row r="260">
          <cell r="E260">
            <v>93</v>
          </cell>
          <cell r="F260" t="str">
            <v>DH</v>
          </cell>
          <cell r="G260">
            <v>0.11021083809358596</v>
          </cell>
          <cell r="H260"/>
          <cell r="I260"/>
          <cell r="J260"/>
          <cell r="K260"/>
          <cell r="L260">
            <v>-2866.5114842802591</v>
          </cell>
          <cell r="O260">
            <v>-2866.5114842802591</v>
          </cell>
          <cell r="P260">
            <v>-1261.4996792197917</v>
          </cell>
          <cell r="S260">
            <v>-1261.4996792197917</v>
          </cell>
          <cell r="T260">
            <v>-2499.8670583217199</v>
          </cell>
          <cell r="W260">
            <v>-2499.8670583217199</v>
          </cell>
          <cell r="X260">
            <v>-1096.6896891421018</v>
          </cell>
          <cell r="AA260">
            <v>-1096.6896891421018</v>
          </cell>
          <cell r="AB260">
            <v>-2352.3056388885575</v>
          </cell>
          <cell r="AC260"/>
          <cell r="AD260"/>
          <cell r="AE260">
            <v>-2352.3056388885575</v>
          </cell>
          <cell r="AF260">
            <v>-513.05783537696618</v>
          </cell>
          <cell r="AI260">
            <v>-513.05783537696618</v>
          </cell>
        </row>
        <row r="261">
          <cell r="E261"/>
          <cell r="F261"/>
          <cell r="G261">
            <v>0.11167423884376183</v>
          </cell>
          <cell r="H261">
            <v>0</v>
          </cell>
          <cell r="I261">
            <v>0</v>
          </cell>
          <cell r="J261">
            <v>0</v>
          </cell>
          <cell r="K261">
            <v>0</v>
          </cell>
          <cell r="L261">
            <v>573888.75266681588</v>
          </cell>
          <cell r="M261">
            <v>480530.501069572</v>
          </cell>
          <cell r="N261">
            <v>0</v>
          </cell>
          <cell r="O261">
            <v>1054419.2537363875</v>
          </cell>
          <cell r="P261">
            <v>177431.8162779196</v>
          </cell>
          <cell r="Q261">
            <v>329018.14235054923</v>
          </cell>
          <cell r="R261">
            <v>0</v>
          </cell>
          <cell r="S261">
            <v>506449.95862846845</v>
          </cell>
          <cell r="T261">
            <v>310046.24167260336</v>
          </cell>
          <cell r="U261">
            <v>12023.0091655457</v>
          </cell>
          <cell r="V261">
            <v>0</v>
          </cell>
          <cell r="W261">
            <v>322069.25083814905</v>
          </cell>
          <cell r="X261">
            <v>119697.68546582865</v>
          </cell>
          <cell r="Y261">
            <v>9995.8199366559293</v>
          </cell>
          <cell r="Z261">
            <v>0</v>
          </cell>
          <cell r="AA261">
            <v>129693.50540248457</v>
          </cell>
          <cell r="AB261">
            <v>250249.72314694535</v>
          </cell>
          <cell r="AC261">
            <v>76903.269461026081</v>
          </cell>
          <cell r="AD261">
            <v>0</v>
          </cell>
          <cell r="AE261">
            <v>327152.99260797136</v>
          </cell>
          <cell r="AF261">
            <v>61100.888366053172</v>
          </cell>
          <cell r="AG261">
            <v>82145.490673638415</v>
          </cell>
          <cell r="AH261">
            <v>0</v>
          </cell>
          <cell r="AI261">
            <v>143246.37903969144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To-Do"/>
      <sheetName val="2010 IS (C)"/>
      <sheetName val="Master IS (C)"/>
      <sheetName val="LOB (C)"/>
      <sheetName val="Restating Adj (C)"/>
      <sheetName val="Pro forma Adj (C)"/>
      <sheetName val="Allocators (C)"/>
      <sheetName val="Proposed Rates"/>
      <sheetName val="Automation Data"/>
      <sheetName val="Clark Co. Regulated - Price Out"/>
      <sheetName val="LG Public"/>
      <sheetName val="LG Public-No Automation"/>
      <sheetName val="LG - Routed"/>
      <sheetName val="LG - RO"/>
      <sheetName val="2022 Vancouver Payroll (C)"/>
      <sheetName val="Dep Summary (C)"/>
      <sheetName val="Disposal"/>
      <sheetName val="Shop Outside Labor"/>
      <sheetName val="2010 BS 2022.03"/>
      <sheetName val="2010 BS 2021.03"/>
      <sheetName val="Insurance Claims JE Query"/>
      <sheetName val="3 Yr Insurance"/>
      <sheetName val="43001 JE Query"/>
      <sheetName val="57170 JE Query"/>
      <sheetName val="60225 JE Query (C)"/>
      <sheetName val="70195 JE Query"/>
      <sheetName val="41201 JE Query"/>
      <sheetName val="70225 JE Query"/>
      <sheetName val="70255 JE Query (C)"/>
      <sheetName val="91010 JE Query"/>
      <sheetName val="70235 JE Query (C)"/>
      <sheetName val="Interject_LastPulledValues"/>
      <sheetName val="DVP-DivCon Allocs  (C)"/>
      <sheetName val="Region OH (C)"/>
      <sheetName val="Corp-OH (C)"/>
      <sheetName val="Corp BS &amp; IS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Ranges"/>
      <sheetName val="StatEntry_Trend"/>
      <sheetName val="StatEntry_Detail"/>
      <sheetName val="StatEntry_Reclass_LOB_Sbst"/>
      <sheetName val="ChangeHistory"/>
      <sheetName val="Stat Lookup"/>
    </sheetNames>
    <sheetDataSet>
      <sheetData sheetId="0">
        <row r="5">
          <cell r="B5" t="str">
            <v>Can_Commercial</v>
          </cell>
          <cell r="D5" t="str">
            <v>Act</v>
          </cell>
        </row>
        <row r="6">
          <cell r="B6" t="str">
            <v>Can_Commercial Recycling</v>
          </cell>
          <cell r="D6" t="str">
            <v>Bud</v>
          </cell>
        </row>
        <row r="7">
          <cell r="B7" t="str">
            <v>Can_Landfill</v>
          </cell>
          <cell r="D7" t="str">
            <v>Proj</v>
          </cell>
        </row>
        <row r="8">
          <cell r="B8" t="str">
            <v>Can_Landfill Gas</v>
          </cell>
        </row>
        <row r="9">
          <cell r="B9" t="str">
            <v>Can_MRF</v>
          </cell>
        </row>
        <row r="10">
          <cell r="B10" t="str">
            <v>Can_Other</v>
          </cell>
        </row>
        <row r="11">
          <cell r="B11" t="str">
            <v>Can_Residential</v>
          </cell>
        </row>
        <row r="12">
          <cell r="B12" t="str">
            <v>Can_Residential Recycling</v>
          </cell>
        </row>
        <row r="13">
          <cell r="B13" t="str">
            <v>Can_Roll Off</v>
          </cell>
        </row>
        <row r="14">
          <cell r="B14" t="str">
            <v>Can_Transfer Station</v>
          </cell>
        </row>
      </sheetData>
      <sheetData sheetId="1"/>
      <sheetData sheetId="2"/>
      <sheetData sheetId="3"/>
      <sheetData sheetId="4"/>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refreshError="1"/>
      <sheetData sheetId="1" refreshError="1">
        <row r="9">
          <cell r="L9">
            <v>11501</v>
          </cell>
        </row>
        <row r="10">
          <cell r="L10" t="str">
            <v>11501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 Capital Input"/>
      <sheetName val="Capital Summary By PO Type"/>
      <sheetName val="PO vs Truck Center Recon"/>
      <sheetName val="Truck Center Summary"/>
      <sheetName val="Bud Closure Input"/>
      <sheetName val="Closure Summary By PO Type"/>
      <sheetName val="TruckCenterReference"/>
      <sheetName val="AssetTypeList"/>
      <sheetName val="Reference"/>
      <sheetName val="ClosureReference"/>
    </sheetNames>
    <sheetDataSet>
      <sheetData sheetId="0"/>
      <sheetData sheetId="1"/>
      <sheetData sheetId="2"/>
      <sheetData sheetId="3"/>
      <sheetData sheetId="4"/>
      <sheetData sheetId="5"/>
      <sheetData sheetId="6"/>
      <sheetData sheetId="7">
        <row r="11">
          <cell r="F11" t="str">
            <v>OK!: ReportRange Formula OK [jAction{}]</v>
          </cell>
        </row>
        <row r="52">
          <cell r="C52" t="str">
            <v>Front Load</v>
          </cell>
          <cell r="D52" t="str">
            <v>Front Loader</v>
          </cell>
        </row>
        <row r="53">
          <cell r="C53" t="str">
            <v>Grapple Brush Truck</v>
          </cell>
          <cell r="D53" t="str">
            <v>Grapple Truck</v>
          </cell>
        </row>
        <row r="54">
          <cell r="C54" t="str">
            <v>Hook Lift</v>
          </cell>
          <cell r="D54" t="str">
            <v>Hook Lift</v>
          </cell>
        </row>
        <row r="55">
          <cell r="C55" t="str">
            <v>Sideloader</v>
          </cell>
          <cell r="D55" t="str">
            <v>Manual Sideloader</v>
          </cell>
        </row>
        <row r="56">
          <cell r="C56" t="str">
            <v>Other Truck</v>
          </cell>
          <cell r="D56" t="str">
            <v>Other</v>
          </cell>
        </row>
        <row r="57">
          <cell r="C57" t="str">
            <v>Pickup</v>
          </cell>
          <cell r="D57" t="str">
            <v>Pickup</v>
          </cell>
        </row>
        <row r="58">
          <cell r="C58" t="str">
            <v>Pumper Truck</v>
          </cell>
          <cell r="D58" t="str">
            <v>Pumper Truck</v>
          </cell>
        </row>
        <row r="59">
          <cell r="C59" t="str">
            <v>Rear Load</v>
          </cell>
          <cell r="D59" t="str">
            <v>Rear Loader</v>
          </cell>
        </row>
        <row r="60">
          <cell r="C60" t="str">
            <v>Recycle Truck</v>
          </cell>
          <cell r="D60" t="str">
            <v>Recycle</v>
          </cell>
        </row>
        <row r="61">
          <cell r="C61" t="str">
            <v>Retriever</v>
          </cell>
          <cell r="D61" t="str">
            <v>Retriever</v>
          </cell>
        </row>
        <row r="62">
          <cell r="C62" t="str">
            <v>Roll Off</v>
          </cell>
          <cell r="D62" t="str">
            <v>Roll Off</v>
          </cell>
        </row>
        <row r="63">
          <cell r="C63" t="str">
            <v>Service Truck</v>
          </cell>
          <cell r="D63" t="str">
            <v>Serv Trk-Complete</v>
          </cell>
        </row>
        <row r="64">
          <cell r="C64" t="str">
            <v>Tipper Trailer</v>
          </cell>
          <cell r="D64" t="str">
            <v>Trailer</v>
          </cell>
        </row>
        <row r="65">
          <cell r="C65" t="str">
            <v>Walking Floor Trailer</v>
          </cell>
          <cell r="D65" t="str">
            <v>Trailer</v>
          </cell>
        </row>
        <row r="66">
          <cell r="C66" t="str">
            <v>Roll Off Pup Trailer</v>
          </cell>
          <cell r="D66" t="str">
            <v>Trailer</v>
          </cell>
        </row>
        <row r="67">
          <cell r="C67" t="str">
            <v>Barge</v>
          </cell>
          <cell r="D67" t="str">
            <v>Trailer</v>
          </cell>
        </row>
        <row r="68">
          <cell r="C68" t="str">
            <v>Railroad Cars</v>
          </cell>
          <cell r="D68" t="str">
            <v>Trailer</v>
          </cell>
        </row>
        <row r="69">
          <cell r="C69" t="str">
            <v>Container Delivery Trailer</v>
          </cell>
          <cell r="D69" t="str">
            <v>Trailer</v>
          </cell>
        </row>
        <row r="70">
          <cell r="C70" t="str">
            <v>Other Trailer</v>
          </cell>
          <cell r="D70" t="str">
            <v>Trailer</v>
          </cell>
        </row>
        <row r="71">
          <cell r="C71" t="str">
            <v>Transfer Tractor</v>
          </cell>
          <cell r="D71" t="str">
            <v>Transfer Tractor</v>
          </cell>
        </row>
        <row r="72">
          <cell r="C72" t="str">
            <v>Yard Mule</v>
          </cell>
          <cell r="D72" t="str">
            <v>Yard Mule</v>
          </cell>
        </row>
        <row r="73">
          <cell r="C73" t="str">
            <v>ATV/Gator</v>
          </cell>
          <cell r="D73" t="str">
            <v>Yard Mule</v>
          </cell>
        </row>
      </sheetData>
      <sheetData sheetId="8">
        <row r="7">
          <cell r="C7" t="str">
            <v>OK!: ReportRange Formula OK [jAction{}]</v>
          </cell>
        </row>
      </sheetData>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9 IS (C)"/>
      <sheetName val="2188 IS (C)"/>
      <sheetName val="Master IS (C)"/>
      <sheetName val="Lewis LOB (C)"/>
      <sheetName val="Joe's LOB (C)"/>
      <sheetName val="Restating Adj (C)"/>
      <sheetName val="Staff Restating"/>
      <sheetName val="Pro forma Adj (C)"/>
      <sheetName val="Allocators (C)"/>
      <sheetName val="Lewis Co. Regulated - Price Out"/>
      <sheetName val="Joe's Reg- Price Out "/>
      <sheetName val="Rate Sheet"/>
      <sheetName val="Deprec. Summary"/>
      <sheetName val="Lewis Payroll (C)"/>
      <sheetName val="40131 Allocation"/>
      <sheetName val="2188_BS 5.2019 (C)"/>
      <sheetName val="2189_BS 5.2019 (C)"/>
      <sheetName val="2188_BS 5.2020 (C)"/>
      <sheetName val="2189_BS 5.2020 (C)"/>
      <sheetName val="LG Total"/>
      <sheetName val="LG Lewis"/>
      <sheetName val="LG Lewis MSW"/>
      <sheetName val="LG Lewis Recycling"/>
      <sheetName val="LG Lewis Yard Waste"/>
      <sheetName val="LG Joe's"/>
      <sheetName val="LG Joe's MSW"/>
      <sheetName val="LG Joe's Recycling"/>
      <sheetName val="LG Joe's Yard Waste"/>
      <sheetName val="Interject_LastPulledValues"/>
      <sheetName val="40861 JE Query"/>
      <sheetName val="41121 JE Query - Brokerage"/>
      <sheetName val="70195 - Dues &amp; Subs (C)"/>
      <sheetName val="2188 43001 JE Query"/>
      <sheetName val="2189 43001 JE Query (C)"/>
      <sheetName val="57175 JE Query"/>
      <sheetName val="59343, 59341 - CY Claims (C)"/>
      <sheetName val="59342 - PY CLaims (C)"/>
      <sheetName val="70095 - Employ &amp; Comm (C)"/>
      <sheetName val="91010 JE Query"/>
      <sheetName val="DVP-DivCon Allocs  (C)"/>
      <sheetName val="Region OH (C)"/>
      <sheetName val="Corp-OH (C)"/>
      <sheetName val="Corp IS-BS"/>
      <sheetName val="59341 prior 4 yrs"/>
      <sheetName val="59342 prior 4 yrs"/>
      <sheetName val="59343 prior 4 y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3023_IS210"/>
      <sheetName val="Key Allocators"/>
      <sheetName val="Truck Maint. Allocation"/>
      <sheetName val="Vital Metrics"/>
      <sheetName val="Rollup By Area"/>
      <sheetName val="Sorted Master"/>
      <sheetName val="Clallum"/>
      <sheetName val="Jefferson"/>
      <sheetName val="Sequim"/>
      <sheetName val="Townsend"/>
      <sheetName val="Angeles"/>
      <sheetName val="Transfer"/>
    </sheetNames>
    <sheetDataSet>
      <sheetData sheetId="0"/>
      <sheetData sheetId="1"/>
      <sheetData sheetId="2"/>
      <sheetData sheetId="3"/>
      <sheetData sheetId="4"/>
      <sheetData sheetId="5"/>
      <sheetData sheetId="6">
        <row r="1">
          <cell r="A1" t="str">
            <v>Olympic Disposal Districts (2112/2113/2148)</v>
          </cell>
        </row>
        <row r="6">
          <cell r="J6">
            <v>23111.409811328012</v>
          </cell>
          <cell r="M6">
            <v>6963.6100841549987</v>
          </cell>
          <cell r="Q6">
            <v>9841.9458220652614</v>
          </cell>
          <cell r="U6">
            <v>0</v>
          </cell>
          <cell r="Y6">
            <v>0</v>
          </cell>
          <cell r="AC6">
            <v>6305.8539051077496</v>
          </cell>
        </row>
        <row r="7">
          <cell r="M7">
            <v>22534.42</v>
          </cell>
          <cell r="Q7">
            <v>118013.19</v>
          </cell>
          <cell r="U7">
            <v>0</v>
          </cell>
          <cell r="AC7">
            <v>149446.02000000002</v>
          </cell>
        </row>
        <row r="8">
          <cell r="J8">
            <v>5772542.6799999997</v>
          </cell>
          <cell r="M8">
            <v>2004676.4903856632</v>
          </cell>
          <cell r="Q8">
            <v>2748201.2896143356</v>
          </cell>
          <cell r="U8">
            <v>0</v>
          </cell>
          <cell r="Y8">
            <v>0</v>
          </cell>
          <cell r="AC8">
            <v>1019664.8999999999</v>
          </cell>
        </row>
        <row r="11">
          <cell r="J11">
            <v>227817.91</v>
          </cell>
          <cell r="M11">
            <v>72518.938856382272</v>
          </cell>
          <cell r="Q11">
            <v>119091.20206975448</v>
          </cell>
          <cell r="U11">
            <v>0</v>
          </cell>
          <cell r="Y11">
            <v>0</v>
          </cell>
          <cell r="AC11">
            <v>36207.769073863252</v>
          </cell>
        </row>
        <row r="12">
          <cell r="J12">
            <v>12494.02</v>
          </cell>
          <cell r="M12">
            <v>7081</v>
          </cell>
          <cell r="Q12">
            <v>3702</v>
          </cell>
          <cell r="U12">
            <v>0</v>
          </cell>
          <cell r="Y12">
            <v>0</v>
          </cell>
          <cell r="AC12">
            <v>1711.02</v>
          </cell>
        </row>
        <row r="13">
          <cell r="J13">
            <v>835491.39999999991</v>
          </cell>
          <cell r="M13">
            <v>410814.16087843827</v>
          </cell>
          <cell r="Q13">
            <v>304579.9837533274</v>
          </cell>
          <cell r="U13">
            <v>0</v>
          </cell>
          <cell r="Y13">
            <v>0</v>
          </cell>
          <cell r="AC13">
            <v>120097.25536823424</v>
          </cell>
        </row>
      </sheetData>
      <sheetData sheetId="7"/>
      <sheetData sheetId="8"/>
      <sheetData sheetId="9"/>
      <sheetData sheetId="10"/>
      <sheetData sheetId="11"/>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Total Reg"/>
      <sheetName val="LG Total Clallum"/>
      <sheetName val="LG Total Jefferson"/>
      <sheetName val="LG Total Mill Haul"/>
      <sheetName val="2112-2148_IS210"/>
      <sheetName val="2113_IS210"/>
      <sheetName val="Revenue"/>
      <sheetName val="Interject_LastPulledValues"/>
      <sheetName val="Debt"/>
      <sheetName val="Converted IS"/>
      <sheetName val="Deprec. Summary"/>
      <sheetName val="Sorted Master-2112-2148"/>
      <sheetName val="2112-2148 Key Allocators"/>
      <sheetName val="Bud Proforma Calcs - Revenue"/>
      <sheetName val="43001"/>
      <sheetName val="52170 - Real Estate Rental"/>
      <sheetName val="Pri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solidated IS"/>
      <sheetName val="Ratios"/>
      <sheetName val="Restating Adj Expl"/>
      <sheetName val="Aug Av. Fuel Price"/>
      <sheetName val="Pro forma Adj"/>
      <sheetName val="LG Total Regulated"/>
      <sheetName val="LG Public - BRG"/>
      <sheetName val="Revenue Summary"/>
      <sheetName val="Region OH"/>
      <sheetName val="70255 JE Query"/>
      <sheetName val="Bud Capital Input 2021"/>
      <sheetName val="2149_BS 08.2020"/>
      <sheetName val="2149_BS 08-2019"/>
    </sheetNames>
    <sheetDataSet>
      <sheetData sheetId="0"/>
      <sheetData sheetId="1">
        <row r="31">
          <cell r="A31">
            <v>57147</v>
          </cell>
        </row>
      </sheetData>
      <sheetData sheetId="2"/>
      <sheetData sheetId="3"/>
      <sheetData sheetId="4">
        <row r="15">
          <cell r="E15">
            <v>44074</v>
          </cell>
        </row>
      </sheetData>
      <sheetData sheetId="5"/>
      <sheetData sheetId="6"/>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solidated IS"/>
      <sheetName val="Ratios"/>
      <sheetName val="Restating Adj Expl"/>
      <sheetName val="Aug Av. Fuel Price"/>
      <sheetName val="Pro forma Adj"/>
      <sheetName val="LG Total Regulated"/>
      <sheetName val="LG Public - BRG"/>
      <sheetName val="Revenue Summary"/>
      <sheetName val="Region OH"/>
      <sheetName val="70255 JE Query"/>
      <sheetName val="Bud Capital Input 2021"/>
      <sheetName val="2149_BS 08.2020"/>
      <sheetName val="2149_BS 08-2019"/>
    </sheetNames>
    <sheetDataSet>
      <sheetData sheetId="0"/>
      <sheetData sheetId="1">
        <row r="31">
          <cell r="A31">
            <v>57147</v>
          </cell>
        </row>
      </sheetData>
      <sheetData sheetId="2"/>
      <sheetData sheetId="3"/>
      <sheetData sheetId="4">
        <row r="15">
          <cell r="E15">
            <v>44074</v>
          </cell>
        </row>
      </sheetData>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Count Summary"/>
      <sheetName val="Revenue Summary"/>
      <sheetName val="Non-Reg Container Counts"/>
      <sheetName val="2195_IS210"/>
      <sheetName val="Yakima Regulated Price Out"/>
      <sheetName val="Indian Nation Price Out"/>
      <sheetName val="Zillah Price Out"/>
      <sheetName val="Tieton Price Out"/>
      <sheetName val="Sunnyside Price Out"/>
      <sheetName val="Naches Price Out"/>
      <sheetName val="Mabton Price Out"/>
      <sheetName val="Comm Recy-Storage Price Out"/>
      <sheetName val="2021 Pivot - Value"/>
      <sheetName val="2021 Pivot"/>
      <sheetName val="MM001"/>
      <sheetName val="Bill Area Layout"/>
    </sheetNames>
    <sheetDataSet>
      <sheetData sheetId="0">
        <row r="3">
          <cell r="L3">
            <v>8935.092860892295</v>
          </cell>
        </row>
        <row r="5">
          <cell r="B5">
            <v>667.19630787798997</v>
          </cell>
          <cell r="L5">
            <v>425.33035359555026</v>
          </cell>
          <cell r="M5">
            <v>1092.5266614735401</v>
          </cell>
        </row>
        <row r="6">
          <cell r="L6">
            <v>1607.9727350360058</v>
          </cell>
        </row>
        <row r="7">
          <cell r="J7">
            <v>11.384301150417262</v>
          </cell>
          <cell r="L7">
            <v>189.31827464699387</v>
          </cell>
        </row>
        <row r="8">
          <cell r="L8">
            <v>927.6590349412204</v>
          </cell>
        </row>
        <row r="9">
          <cell r="B9">
            <v>26238.051218151231</v>
          </cell>
          <cell r="L9">
            <v>12085.373259112066</v>
          </cell>
        </row>
      </sheetData>
      <sheetData sheetId="1">
        <row r="6">
          <cell r="L6">
            <v>1731368.6199999999</v>
          </cell>
        </row>
        <row r="8">
          <cell r="L8">
            <v>41384.5</v>
          </cell>
        </row>
        <row r="9">
          <cell r="L9">
            <v>1964515.9399999997</v>
          </cell>
        </row>
        <row r="12">
          <cell r="L12">
            <v>969814.21000000008</v>
          </cell>
        </row>
        <row r="13">
          <cell r="L13">
            <v>1002513.2099999998</v>
          </cell>
        </row>
        <row r="14">
          <cell r="L14">
            <v>126038.98</v>
          </cell>
        </row>
        <row r="15">
          <cell r="L15">
            <v>546513.17000000004</v>
          </cell>
        </row>
        <row r="16">
          <cell r="L16">
            <v>8327.9199999999983</v>
          </cell>
        </row>
        <row r="17">
          <cell r="L17">
            <v>10342.210000000001</v>
          </cell>
        </row>
        <row r="18">
          <cell r="B18">
            <v>13671079.709999999</v>
          </cell>
          <cell r="M18">
            <v>20071898.469999999</v>
          </cell>
        </row>
      </sheetData>
      <sheetData sheetId="2">
        <row r="2">
          <cell r="C2">
            <v>8275.7884150391765</v>
          </cell>
        </row>
        <row r="3">
          <cell r="C3">
            <v>0</v>
          </cell>
        </row>
        <row r="4">
          <cell r="C4">
            <v>0</v>
          </cell>
        </row>
        <row r="5">
          <cell r="C5">
            <v>177.97033279401839</v>
          </cell>
        </row>
        <row r="6">
          <cell r="C6">
            <v>11.384301150417262</v>
          </cell>
        </row>
        <row r="7">
          <cell r="C7">
            <v>75.468916620028835</v>
          </cell>
        </row>
        <row r="8">
          <cell r="C8">
            <v>1521.4907553307887</v>
          </cell>
        </row>
        <row r="9">
          <cell r="C9">
            <v>132.62022482862125</v>
          </cell>
        </row>
        <row r="10">
          <cell r="C10">
            <v>757.81470350599272</v>
          </cell>
        </row>
        <row r="11">
          <cell r="C11">
            <v>0</v>
          </cell>
        </row>
        <row r="12">
          <cell r="C12">
            <v>0</v>
          </cell>
        </row>
        <row r="13">
          <cell r="C13">
            <v>425.33035359555026</v>
          </cell>
        </row>
        <row r="14">
          <cell r="C14">
            <v>11377.868002864596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O - Routed Containers By Area"/>
      <sheetName val="Time Study Input"/>
      <sheetName val="Time Study Output"/>
      <sheetName val="Volume Output"/>
      <sheetName val="RO Summary"/>
    </sheetNames>
    <sheetDataSet>
      <sheetData sheetId="0"/>
      <sheetData sheetId="1"/>
      <sheetData sheetId="2">
        <row r="238">
          <cell r="Q238">
            <v>728.62613875152977</v>
          </cell>
          <cell r="R238">
            <v>257.30386124847041</v>
          </cell>
        </row>
        <row r="239">
          <cell r="Q239">
            <v>252.42860214360735</v>
          </cell>
          <cell r="R239">
            <v>61.392897856392672</v>
          </cell>
        </row>
        <row r="240">
          <cell r="Q240">
            <v>63.274999999999999</v>
          </cell>
        </row>
        <row r="241">
          <cell r="Q241">
            <v>7.8667127071823213</v>
          </cell>
          <cell r="R241">
            <v>1.0532872928176797</v>
          </cell>
        </row>
        <row r="242">
          <cell r="R242">
            <v>112.95499999999998</v>
          </cell>
        </row>
      </sheetData>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
      <sheetName val="Pivot"/>
    </sheetNames>
    <sheetDataSet>
      <sheetData sheetId="0"/>
      <sheetData sheetId="1">
        <row r="135">
          <cell r="K135">
            <v>453.01401100288587</v>
          </cell>
          <cell r="L135">
            <v>180.67598899711408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2021 - 3.2022 Payroll Summary"/>
      <sheetName val="Payroll Summary"/>
      <sheetName val="EE Listing with Position"/>
      <sheetName val="2195 IS210"/>
      <sheetName val="Payroll Pivots"/>
      <sheetName val="COVID"/>
      <sheetName val="Payroll Report"/>
      <sheetName val="J. Hill Pivot"/>
      <sheetName val="J. Hill Payroll"/>
      <sheetName val="C. Miller Pivot"/>
      <sheetName val="C. Miller"/>
      <sheetName val="Driver JE Query"/>
      <sheetName val="TV JE Query"/>
      <sheetName val="Cont JE Query"/>
      <sheetName val="Sup JE Query"/>
      <sheetName val="G&amp;A JE Query"/>
    </sheetNames>
    <sheetDataSet>
      <sheetData sheetId="0"/>
      <sheetData sheetId="1"/>
      <sheetData sheetId="2">
        <row r="1">
          <cell r="A1" t="str">
            <v>Employee ID</v>
          </cell>
          <cell r="B1" t="str">
            <v>Employee</v>
          </cell>
          <cell r="C1" t="str">
            <v>GL Prefix</v>
          </cell>
          <cell r="D1" t="str">
            <v>Position</v>
          </cell>
          <cell r="E1" t="str">
            <v>Position Summary</v>
          </cell>
          <cell r="F1" t="str">
            <v>Raise % (Per District)</v>
          </cell>
          <cell r="G1" t="str">
            <v>Raise Date</v>
          </cell>
          <cell r="H1" t="str">
            <v>Raise Summary</v>
          </cell>
        </row>
        <row r="2">
          <cell r="A2">
            <v>114469</v>
          </cell>
          <cell r="B2" t="str">
            <v xml:space="preserve">Josh Moore </v>
          </cell>
          <cell r="C2" t="str">
            <v>50XXX</v>
          </cell>
          <cell r="D2" t="str">
            <v>Comm Reg MSW</v>
          </cell>
          <cell r="E2" t="str">
            <v>Comm MSW</v>
          </cell>
          <cell r="F2" t="str">
            <v>Complete for 2022</v>
          </cell>
          <cell r="G2"/>
          <cell r="H2">
            <v>0</v>
          </cell>
        </row>
        <row r="3">
          <cell r="A3">
            <v>151918</v>
          </cell>
          <cell r="B3" t="str">
            <v xml:space="preserve">Sergio Valencia </v>
          </cell>
          <cell r="C3" t="str">
            <v>50XXX</v>
          </cell>
          <cell r="D3" t="str">
            <v>Comm Reg MSW</v>
          </cell>
          <cell r="E3" t="str">
            <v>Comm MSW</v>
          </cell>
          <cell r="F3" t="str">
            <v>Complete for 2022</v>
          </cell>
          <cell r="G3"/>
          <cell r="H3">
            <v>0</v>
          </cell>
        </row>
        <row r="4">
          <cell r="A4">
            <v>114439</v>
          </cell>
          <cell r="B4" t="str">
            <v xml:space="preserve">Roberto Ayungua </v>
          </cell>
          <cell r="C4" t="str">
            <v>50XXX</v>
          </cell>
          <cell r="D4" t="str">
            <v>Container Repair</v>
          </cell>
          <cell r="E4" t="str">
            <v>Container Repair</v>
          </cell>
          <cell r="F4" t="str">
            <v>Complete for 2022</v>
          </cell>
          <cell r="G4"/>
          <cell r="H4">
            <v>0</v>
          </cell>
        </row>
        <row r="5">
          <cell r="A5">
            <v>114479</v>
          </cell>
          <cell r="B5" t="str">
            <v xml:space="preserve">Steven Powers </v>
          </cell>
          <cell r="C5" t="str">
            <v>50XXX</v>
          </cell>
          <cell r="D5" t="str">
            <v>Container Delivery</v>
          </cell>
          <cell r="E5" t="str">
            <v>Delivery</v>
          </cell>
          <cell r="F5" t="str">
            <v>Complete for 2022</v>
          </cell>
          <cell r="G5"/>
          <cell r="H5">
            <v>0</v>
          </cell>
        </row>
        <row r="6">
          <cell r="A6">
            <v>317612</v>
          </cell>
          <cell r="B6" t="str">
            <v xml:space="preserve">NICOLE MOSER </v>
          </cell>
          <cell r="C6" t="str">
            <v>70XXX</v>
          </cell>
          <cell r="D6" t="str">
            <v>Controller</v>
          </cell>
          <cell r="E6" t="str">
            <v>Controller</v>
          </cell>
          <cell r="F6">
            <v>6.25E-2</v>
          </cell>
          <cell r="G6">
            <v>44593</v>
          </cell>
          <cell r="H6">
            <v>0</v>
          </cell>
        </row>
        <row r="7">
          <cell r="A7">
            <v>114508</v>
          </cell>
          <cell r="B7" t="str">
            <v xml:space="preserve">Debra Hansen </v>
          </cell>
          <cell r="C7" t="str">
            <v>70XXX</v>
          </cell>
          <cell r="D7" t="str">
            <v>CSR</v>
          </cell>
          <cell r="E7" t="str">
            <v>Customer Service Representative</v>
          </cell>
          <cell r="F7" t="str">
            <v>Complete for 2022</v>
          </cell>
          <cell r="G7"/>
          <cell r="H7">
            <v>0</v>
          </cell>
        </row>
        <row r="8">
          <cell r="A8">
            <v>153091</v>
          </cell>
          <cell r="B8" t="str">
            <v xml:space="preserve">Kathleen Winter </v>
          </cell>
          <cell r="C8" t="str">
            <v>70XXX</v>
          </cell>
          <cell r="D8" t="str">
            <v>CSR</v>
          </cell>
          <cell r="E8" t="str">
            <v>Customer Service Representative</v>
          </cell>
          <cell r="F8" t="str">
            <v>Complete for 2022</v>
          </cell>
          <cell r="G8"/>
          <cell r="H8">
            <v>0</v>
          </cell>
        </row>
        <row r="9">
          <cell r="A9">
            <v>154751</v>
          </cell>
          <cell r="B9" t="str">
            <v xml:space="preserve">Deborah Lago </v>
          </cell>
          <cell r="C9" t="str">
            <v>70XXX</v>
          </cell>
          <cell r="D9" t="str">
            <v>CSR</v>
          </cell>
          <cell r="E9" t="str">
            <v>Customer Service Representative</v>
          </cell>
          <cell r="F9">
            <v>6.0299999999999999E-2</v>
          </cell>
          <cell r="G9">
            <v>44319</v>
          </cell>
          <cell r="H9">
            <v>0</v>
          </cell>
        </row>
        <row r="10">
          <cell r="A10">
            <v>302985</v>
          </cell>
          <cell r="B10" t="str">
            <v xml:space="preserve">Lynsey Ackerman </v>
          </cell>
          <cell r="C10" t="str">
            <v>70XXX</v>
          </cell>
          <cell r="D10" t="str">
            <v>CSR</v>
          </cell>
          <cell r="E10" t="str">
            <v>Customer Service Representative</v>
          </cell>
          <cell r="F10" t="str">
            <v>Complete for 2022</v>
          </cell>
          <cell r="G10"/>
          <cell r="H10">
            <v>0</v>
          </cell>
        </row>
        <row r="11">
          <cell r="A11">
            <v>307242</v>
          </cell>
          <cell r="B11" t="str">
            <v xml:space="preserve">Susanna Martinez </v>
          </cell>
          <cell r="C11" t="str">
            <v>70XXX</v>
          </cell>
          <cell r="D11" t="str">
            <v>CSR</v>
          </cell>
          <cell r="E11" t="str">
            <v>Customer Service Representative</v>
          </cell>
          <cell r="F11" t="str">
            <v>Complete for 2022</v>
          </cell>
          <cell r="G11"/>
          <cell r="H11">
            <v>0</v>
          </cell>
        </row>
        <row r="12">
          <cell r="A12">
            <v>308516</v>
          </cell>
          <cell r="B12" t="str">
            <v xml:space="preserve">Becky Moller </v>
          </cell>
          <cell r="C12" t="str">
            <v>70XXX</v>
          </cell>
          <cell r="D12" t="str">
            <v>CSR</v>
          </cell>
          <cell r="E12" t="str">
            <v>Customer Service Representative</v>
          </cell>
          <cell r="F12" t="str">
            <v>Complete for 2022</v>
          </cell>
          <cell r="G12"/>
          <cell r="H12">
            <v>0</v>
          </cell>
        </row>
        <row r="13">
          <cell r="A13">
            <v>311377</v>
          </cell>
          <cell r="B13" t="str">
            <v xml:space="preserve">Chelsea Myers </v>
          </cell>
          <cell r="C13" t="str">
            <v>70XXX</v>
          </cell>
          <cell r="D13" t="str">
            <v>CSR</v>
          </cell>
          <cell r="E13" t="str">
            <v>Customer Service Representative</v>
          </cell>
          <cell r="F13" t="str">
            <v>Complete for 2022</v>
          </cell>
          <cell r="G13"/>
          <cell r="H13">
            <v>0</v>
          </cell>
        </row>
        <row r="14">
          <cell r="A14">
            <v>319811</v>
          </cell>
          <cell r="B14" t="str">
            <v xml:space="preserve">KAREN SIMOND </v>
          </cell>
          <cell r="C14" t="str">
            <v>70XXX</v>
          </cell>
          <cell r="D14" t="str">
            <v>CSR</v>
          </cell>
          <cell r="E14" t="str">
            <v>Customer Service Representative</v>
          </cell>
          <cell r="F14" t="str">
            <v>Complete for 2022</v>
          </cell>
          <cell r="G14"/>
          <cell r="H14">
            <v>0</v>
          </cell>
        </row>
        <row r="15">
          <cell r="A15">
            <v>323475</v>
          </cell>
          <cell r="B15" t="str">
            <v xml:space="preserve">DANIELLE WALLACE </v>
          </cell>
          <cell r="C15" t="str">
            <v>70XXX</v>
          </cell>
          <cell r="D15" t="str">
            <v>CSR</v>
          </cell>
          <cell r="E15" t="str">
            <v>Customer Service Representative</v>
          </cell>
          <cell r="F15" t="str">
            <v>Complete for 2022</v>
          </cell>
          <cell r="G15"/>
          <cell r="H15">
            <v>0</v>
          </cell>
        </row>
        <row r="16">
          <cell r="A16">
            <v>325506</v>
          </cell>
          <cell r="B16" t="str">
            <v xml:space="preserve">Roxanne Torres </v>
          </cell>
          <cell r="C16" t="str">
            <v>70XXX</v>
          </cell>
          <cell r="D16" t="str">
            <v>CSR</v>
          </cell>
          <cell r="E16" t="str">
            <v>Customer Service Representative</v>
          </cell>
          <cell r="F16" t="str">
            <v>Complete for 2022</v>
          </cell>
          <cell r="G16"/>
          <cell r="H16">
            <v>0</v>
          </cell>
        </row>
        <row r="17">
          <cell r="A17">
            <v>102740</v>
          </cell>
          <cell r="B17" t="str">
            <v xml:space="preserve">Keith Kovalenko </v>
          </cell>
          <cell r="C17" t="str">
            <v>70XXX</v>
          </cell>
          <cell r="D17" t="str">
            <v>District Manager</v>
          </cell>
          <cell r="E17" t="str">
            <v>District Manager</v>
          </cell>
          <cell r="F17">
            <v>-0.50009999999999999</v>
          </cell>
          <cell r="G17">
            <v>44501</v>
          </cell>
          <cell r="H17">
            <v>0</v>
          </cell>
        </row>
        <row r="18">
          <cell r="A18">
            <v>316716</v>
          </cell>
          <cell r="B18" t="str">
            <v xml:space="preserve">Mark Lanter </v>
          </cell>
          <cell r="C18" t="str">
            <v>70XXX</v>
          </cell>
          <cell r="D18" t="str">
            <v>District Manager</v>
          </cell>
          <cell r="E18" t="str">
            <v>District Manager</v>
          </cell>
          <cell r="F18">
            <v>8.6499999999999994E-2</v>
          </cell>
          <cell r="G18">
            <v>44459</v>
          </cell>
          <cell r="H18">
            <v>0.12820512820512819</v>
          </cell>
        </row>
        <row r="19">
          <cell r="A19">
            <v>312518</v>
          </cell>
          <cell r="B19" t="str">
            <v xml:space="preserve">Jason Wilson </v>
          </cell>
          <cell r="C19" t="str">
            <v>50XXX</v>
          </cell>
          <cell r="D19" t="str">
            <v>General Laborer</v>
          </cell>
          <cell r="E19" t="str">
            <v>General Laborer</v>
          </cell>
          <cell r="F19" t="str">
            <v>Complete for 2022</v>
          </cell>
          <cell r="G19"/>
          <cell r="H19">
            <v>0</v>
          </cell>
        </row>
        <row r="20">
          <cell r="A20">
            <v>152785</v>
          </cell>
          <cell r="B20" t="str">
            <v xml:space="preserve">Anna Spence </v>
          </cell>
          <cell r="C20" t="str">
            <v>52XXX</v>
          </cell>
          <cell r="D20" t="str">
            <v>Maintenance Clerk</v>
          </cell>
          <cell r="E20" t="str">
            <v>Maintenance Clerk</v>
          </cell>
          <cell r="F20" t="str">
            <v>Complete for 2022</v>
          </cell>
          <cell r="G20"/>
          <cell r="H20">
            <v>0</v>
          </cell>
        </row>
        <row r="21">
          <cell r="A21">
            <v>156743</v>
          </cell>
          <cell r="B21" t="str">
            <v xml:space="preserve">Joshua Nathanson </v>
          </cell>
          <cell r="C21" t="str">
            <v>52XXX</v>
          </cell>
          <cell r="D21" t="str">
            <v>Maintenance Manager</v>
          </cell>
          <cell r="E21" t="str">
            <v>Maintenance Manager</v>
          </cell>
          <cell r="F21">
            <v>0.02</v>
          </cell>
          <cell r="G21">
            <v>44835</v>
          </cell>
          <cell r="H21">
            <v>0.03</v>
          </cell>
        </row>
        <row r="22">
          <cell r="A22">
            <v>156668</v>
          </cell>
          <cell r="B22" t="str">
            <v xml:space="preserve">Jose Martinez </v>
          </cell>
          <cell r="C22" t="str">
            <v>52XXX</v>
          </cell>
          <cell r="D22" t="str">
            <v>Mechanic</v>
          </cell>
          <cell r="E22" t="str">
            <v>Mechanic</v>
          </cell>
          <cell r="F22" t="str">
            <v>Complete for 2022</v>
          </cell>
          <cell r="G22"/>
          <cell r="H22">
            <v>0</v>
          </cell>
        </row>
        <row r="23">
          <cell r="A23">
            <v>158542</v>
          </cell>
          <cell r="B23" t="str">
            <v xml:space="preserve">Christopher Hubble </v>
          </cell>
          <cell r="C23" t="str">
            <v>52XXX</v>
          </cell>
          <cell r="D23" t="str">
            <v>Mechanic</v>
          </cell>
          <cell r="E23" t="str">
            <v>Mechanic</v>
          </cell>
          <cell r="F23" t="str">
            <v>Complete for 2022</v>
          </cell>
          <cell r="G23"/>
          <cell r="H23">
            <v>0</v>
          </cell>
        </row>
        <row r="24">
          <cell r="A24">
            <v>302247</v>
          </cell>
          <cell r="B24" t="str">
            <v xml:space="preserve">James Wood </v>
          </cell>
          <cell r="C24" t="str">
            <v>52XXX</v>
          </cell>
          <cell r="D24" t="str">
            <v>Mechanic</v>
          </cell>
          <cell r="E24" t="str">
            <v>Mechanic</v>
          </cell>
          <cell r="F24" t="str">
            <v>Complete for 2022</v>
          </cell>
          <cell r="G24"/>
          <cell r="H24">
            <v>0</v>
          </cell>
        </row>
        <row r="25">
          <cell r="A25">
            <v>303295</v>
          </cell>
          <cell r="B25" t="str">
            <v xml:space="preserve">Salvador Gonzalez </v>
          </cell>
          <cell r="C25" t="str">
            <v>52XXX</v>
          </cell>
          <cell r="D25" t="str">
            <v>Mechanic</v>
          </cell>
          <cell r="E25" t="str">
            <v>Mechanic</v>
          </cell>
          <cell r="F25" t="str">
            <v>Complete for 2022</v>
          </cell>
          <cell r="G25"/>
          <cell r="H25">
            <v>0</v>
          </cell>
        </row>
        <row r="26">
          <cell r="A26">
            <v>303857</v>
          </cell>
          <cell r="B26" t="str">
            <v xml:space="preserve">Angel Espinoza </v>
          </cell>
          <cell r="C26" t="str">
            <v>52XXX</v>
          </cell>
          <cell r="D26" t="str">
            <v>Mechanic</v>
          </cell>
          <cell r="E26" t="str">
            <v>Mechanic</v>
          </cell>
          <cell r="F26" t="str">
            <v>Complete for 2022</v>
          </cell>
          <cell r="G26"/>
          <cell r="H26">
            <v>0</v>
          </cell>
        </row>
        <row r="27">
          <cell r="A27">
            <v>305700</v>
          </cell>
          <cell r="B27" t="str">
            <v xml:space="preserve">William Mallory </v>
          </cell>
          <cell r="C27" t="str">
            <v>52XXX</v>
          </cell>
          <cell r="D27" t="str">
            <v>Mechanic</v>
          </cell>
          <cell r="E27" t="str">
            <v>Mechanic</v>
          </cell>
          <cell r="F27" t="str">
            <v>Complete for 2022</v>
          </cell>
          <cell r="G27"/>
          <cell r="H27">
            <v>0</v>
          </cell>
        </row>
        <row r="28">
          <cell r="A28">
            <v>317063</v>
          </cell>
          <cell r="B28" t="str">
            <v xml:space="preserve">Joshua Bailey </v>
          </cell>
          <cell r="C28" t="str">
            <v>52XXX</v>
          </cell>
          <cell r="D28" t="str">
            <v>Mechanic</v>
          </cell>
          <cell r="E28" t="str">
            <v>Mechanic</v>
          </cell>
          <cell r="F28" t="str">
            <v>Complete for 2022</v>
          </cell>
          <cell r="G28"/>
          <cell r="H28">
            <v>0</v>
          </cell>
        </row>
        <row r="29">
          <cell r="A29">
            <v>322561</v>
          </cell>
          <cell r="B29" t="str">
            <v xml:space="preserve">Shane Linker </v>
          </cell>
          <cell r="C29" t="str">
            <v>52XXX</v>
          </cell>
          <cell r="D29" t="str">
            <v>Mechanic</v>
          </cell>
          <cell r="E29" t="str">
            <v>Mechanic</v>
          </cell>
          <cell r="F29" t="str">
            <v>Complete for 2022</v>
          </cell>
          <cell r="G29"/>
          <cell r="H29">
            <v>0</v>
          </cell>
        </row>
        <row r="30">
          <cell r="A30">
            <v>322879</v>
          </cell>
          <cell r="B30" t="str">
            <v xml:space="preserve">Jose Garibay, chavez </v>
          </cell>
          <cell r="C30" t="str">
            <v>50XXX</v>
          </cell>
          <cell r="D30" t="str">
            <v>Resi MSW</v>
          </cell>
          <cell r="E30" t="str">
            <v>Resi MSW</v>
          </cell>
          <cell r="F30">
            <v>0</v>
          </cell>
          <cell r="G30">
            <v>44266</v>
          </cell>
          <cell r="H30">
            <v>0</v>
          </cell>
        </row>
        <row r="31">
          <cell r="A31">
            <v>324127</v>
          </cell>
          <cell r="B31" t="str">
            <v xml:space="preserve">Fransisco Morales </v>
          </cell>
          <cell r="C31" t="str">
            <v>50XXX</v>
          </cell>
          <cell r="D31" t="str">
            <v>Resi MSW</v>
          </cell>
          <cell r="E31" t="str">
            <v>Resi MSW</v>
          </cell>
          <cell r="F31">
            <v>0</v>
          </cell>
          <cell r="G31">
            <v>44340</v>
          </cell>
          <cell r="H31">
            <v>0</v>
          </cell>
        </row>
        <row r="32">
          <cell r="A32">
            <v>324364</v>
          </cell>
          <cell r="B32" t="str">
            <v xml:space="preserve">Marquise Andrade </v>
          </cell>
          <cell r="C32" t="str">
            <v>50XXX</v>
          </cell>
          <cell r="D32" t="str">
            <v>Resi MSW</v>
          </cell>
          <cell r="E32" t="str">
            <v>Resi MSW</v>
          </cell>
          <cell r="F32">
            <v>0</v>
          </cell>
          <cell r="G32">
            <v>44355</v>
          </cell>
          <cell r="H32">
            <v>0</v>
          </cell>
        </row>
        <row r="33">
          <cell r="A33">
            <v>114473</v>
          </cell>
          <cell r="B33" t="str">
            <v xml:space="preserve">Jesus Ortega </v>
          </cell>
          <cell r="C33" t="str">
            <v>50XXX</v>
          </cell>
          <cell r="D33" t="str">
            <v>Non Reg FEL</v>
          </cell>
          <cell r="E33" t="str">
            <v>Comm MSW</v>
          </cell>
          <cell r="F33" t="str">
            <v>Complete for 2022</v>
          </cell>
          <cell r="G33"/>
          <cell r="H33">
            <v>0</v>
          </cell>
        </row>
        <row r="34">
          <cell r="A34">
            <v>114487</v>
          </cell>
          <cell r="B34" t="str">
            <v xml:space="preserve">Noel Trevino </v>
          </cell>
          <cell r="C34" t="str">
            <v>50XXX</v>
          </cell>
          <cell r="D34" t="str">
            <v>Non Reg MSW</v>
          </cell>
          <cell r="E34" t="str">
            <v>Resi MSW</v>
          </cell>
          <cell r="F34" t="str">
            <v>Complete for 2022</v>
          </cell>
          <cell r="G34"/>
          <cell r="H34">
            <v>0</v>
          </cell>
        </row>
        <row r="35">
          <cell r="A35">
            <v>307420</v>
          </cell>
          <cell r="B35" t="str">
            <v xml:space="preserve">Leevi Creeley </v>
          </cell>
          <cell r="C35" t="str">
            <v>50XXX</v>
          </cell>
          <cell r="D35" t="str">
            <v>Non Reg REL</v>
          </cell>
          <cell r="E35" t="str">
            <v>Resi MSW</v>
          </cell>
          <cell r="F35" t="str">
            <v>Complete for 2022</v>
          </cell>
          <cell r="G35"/>
          <cell r="H35">
            <v>0</v>
          </cell>
        </row>
        <row r="36">
          <cell r="A36">
            <v>114472</v>
          </cell>
          <cell r="B36" t="str">
            <v xml:space="preserve">Raymond Munoz </v>
          </cell>
          <cell r="C36" t="str">
            <v>50XXX</v>
          </cell>
          <cell r="D36" t="str">
            <v>Non Reg RO</v>
          </cell>
          <cell r="E36" t="str">
            <v>RO</v>
          </cell>
          <cell r="F36" t="str">
            <v>Complete for 2022</v>
          </cell>
          <cell r="G36"/>
          <cell r="H36">
            <v>0</v>
          </cell>
        </row>
        <row r="37">
          <cell r="A37">
            <v>114480</v>
          </cell>
          <cell r="B37" t="str">
            <v xml:space="preserve">Isidro Ramirez </v>
          </cell>
          <cell r="C37" t="str">
            <v>50XXX</v>
          </cell>
          <cell r="D37" t="str">
            <v>Non Reg RO</v>
          </cell>
          <cell r="E37" t="str">
            <v>RO</v>
          </cell>
          <cell r="F37" t="str">
            <v>Complete for 2022</v>
          </cell>
          <cell r="G37"/>
          <cell r="H37">
            <v>0</v>
          </cell>
        </row>
        <row r="38">
          <cell r="A38">
            <v>155118</v>
          </cell>
          <cell r="B38" t="str">
            <v xml:space="preserve">Forrest Quick </v>
          </cell>
          <cell r="C38" t="str">
            <v>50XXX</v>
          </cell>
          <cell r="D38" t="str">
            <v>Non Reg RO</v>
          </cell>
          <cell r="E38" t="str">
            <v>RO</v>
          </cell>
          <cell r="F38" t="str">
            <v>Complete for 2022</v>
          </cell>
          <cell r="G38"/>
          <cell r="H38">
            <v>0</v>
          </cell>
        </row>
        <row r="39">
          <cell r="A39">
            <v>155303</v>
          </cell>
          <cell r="B39" t="str">
            <v xml:space="preserve">Javier Castro </v>
          </cell>
          <cell r="C39" t="str">
            <v>50XXX</v>
          </cell>
          <cell r="D39" t="str">
            <v>Non Resi Reg MSW</v>
          </cell>
          <cell r="E39" t="str">
            <v>Resi MSW</v>
          </cell>
          <cell r="F39" t="str">
            <v>Complete for 2022</v>
          </cell>
          <cell r="G39"/>
          <cell r="H39">
            <v>0</v>
          </cell>
        </row>
        <row r="40">
          <cell r="A40">
            <v>157794</v>
          </cell>
          <cell r="B40" t="str">
            <v xml:space="preserve">Jose Jimenez </v>
          </cell>
          <cell r="C40" t="str">
            <v>50XXX</v>
          </cell>
          <cell r="D40" t="str">
            <v>Non Resi Reg MSW</v>
          </cell>
          <cell r="E40" t="str">
            <v>Resi MSW</v>
          </cell>
          <cell r="F40" t="str">
            <v>Complete for 2022</v>
          </cell>
          <cell r="G40"/>
          <cell r="H40">
            <v>0</v>
          </cell>
        </row>
        <row r="41">
          <cell r="A41">
            <v>300490</v>
          </cell>
          <cell r="B41" t="str">
            <v xml:space="preserve">Edward Castro </v>
          </cell>
          <cell r="C41" t="str">
            <v>50XXX</v>
          </cell>
          <cell r="D41" t="str">
            <v>Non Resi Reg MSW</v>
          </cell>
          <cell r="E41" t="str">
            <v>Resi MSW</v>
          </cell>
          <cell r="F41" t="str">
            <v>Complete for 2022</v>
          </cell>
          <cell r="G41"/>
          <cell r="H41">
            <v>0</v>
          </cell>
        </row>
        <row r="42">
          <cell r="A42">
            <v>114460</v>
          </cell>
          <cell r="B42" t="str">
            <v xml:space="preserve">Christie Herbst </v>
          </cell>
          <cell r="C42" t="str">
            <v>70XXX</v>
          </cell>
          <cell r="D42" t="str">
            <v>Office Manager</v>
          </cell>
          <cell r="E42" t="str">
            <v>Office Manager</v>
          </cell>
          <cell r="F42">
            <v>0.03</v>
          </cell>
          <cell r="G42">
            <v>44713</v>
          </cell>
          <cell r="H42">
            <v>0</v>
          </cell>
        </row>
        <row r="43">
          <cell r="A43">
            <v>114461</v>
          </cell>
          <cell r="B43" t="str">
            <v xml:space="preserve">Carl Herbst </v>
          </cell>
          <cell r="C43" t="str">
            <v>56XXX</v>
          </cell>
          <cell r="D43" t="str">
            <v>Ops Manager</v>
          </cell>
          <cell r="E43" t="str">
            <v>Ops Manager</v>
          </cell>
          <cell r="F43">
            <v>0.03</v>
          </cell>
          <cell r="G43">
            <v>44682</v>
          </cell>
          <cell r="H43">
            <v>0</v>
          </cell>
        </row>
        <row r="44">
          <cell r="A44">
            <v>114455</v>
          </cell>
          <cell r="B44" t="str">
            <v xml:space="preserve">Robert Garcia </v>
          </cell>
          <cell r="C44" t="str">
            <v>56XXX</v>
          </cell>
          <cell r="D44" t="str">
            <v>Ops Supervisor</v>
          </cell>
          <cell r="E44" t="str">
            <v>Ops Supervisor</v>
          </cell>
          <cell r="F44">
            <v>0.03</v>
          </cell>
          <cell r="G44">
            <v>44682</v>
          </cell>
          <cell r="H44">
            <v>0</v>
          </cell>
        </row>
        <row r="45">
          <cell r="A45">
            <v>312399</v>
          </cell>
          <cell r="B45" t="str">
            <v xml:space="preserve">Arturo Obispo </v>
          </cell>
          <cell r="C45" t="str">
            <v>56XXX</v>
          </cell>
          <cell r="D45" t="str">
            <v>Ops Supervisor</v>
          </cell>
          <cell r="E45" t="str">
            <v>Ops Supervisor</v>
          </cell>
          <cell r="F45">
            <v>0.12</v>
          </cell>
          <cell r="G45">
            <v>44319</v>
          </cell>
          <cell r="H45">
            <v>0</v>
          </cell>
        </row>
        <row r="46">
          <cell r="A46">
            <v>327365</v>
          </cell>
          <cell r="B46" t="str">
            <v xml:space="preserve">Zachary Wonderly </v>
          </cell>
          <cell r="C46" t="str">
            <v>56XXX</v>
          </cell>
          <cell r="D46" t="str">
            <v>Ops Supervisor</v>
          </cell>
          <cell r="E46" t="str">
            <v>Ops Supervisor</v>
          </cell>
          <cell r="F46">
            <v>0</v>
          </cell>
          <cell r="G46">
            <v>44866</v>
          </cell>
          <cell r="H46">
            <v>0.03</v>
          </cell>
        </row>
        <row r="47">
          <cell r="A47">
            <v>114478</v>
          </cell>
          <cell r="B47" t="str">
            <v xml:space="preserve">Victor Ponce </v>
          </cell>
          <cell r="C47" t="str">
            <v>50XXX</v>
          </cell>
          <cell r="D47" t="str">
            <v>Reg and Non Reg MSW</v>
          </cell>
          <cell r="E47" t="str">
            <v>Resi MSW</v>
          </cell>
          <cell r="F47" t="str">
            <v>Complete for 2022</v>
          </cell>
          <cell r="G47"/>
          <cell r="H47">
            <v>0</v>
          </cell>
        </row>
        <row r="48">
          <cell r="A48">
            <v>114465</v>
          </cell>
          <cell r="B48" t="str">
            <v xml:space="preserve">Miguel Martinez </v>
          </cell>
          <cell r="C48" t="str">
            <v>50XXX</v>
          </cell>
          <cell r="D48" t="str">
            <v>Reg and Non Reg RO</v>
          </cell>
          <cell r="E48" t="str">
            <v>RO</v>
          </cell>
          <cell r="F48" t="str">
            <v>Complete for 2022</v>
          </cell>
          <cell r="G48"/>
          <cell r="H48">
            <v>0</v>
          </cell>
        </row>
        <row r="49">
          <cell r="A49">
            <v>114615</v>
          </cell>
          <cell r="B49" t="str">
            <v xml:space="preserve">Ruben Caridad </v>
          </cell>
          <cell r="C49" t="str">
            <v>50XXX</v>
          </cell>
          <cell r="D49" t="str">
            <v>Reg and Non Reg RO</v>
          </cell>
          <cell r="E49" t="str">
            <v>RO</v>
          </cell>
          <cell r="F49" t="str">
            <v>Complete for 2022</v>
          </cell>
          <cell r="G49"/>
          <cell r="H49">
            <v>0</v>
          </cell>
        </row>
        <row r="50">
          <cell r="A50">
            <v>114442</v>
          </cell>
          <cell r="B50" t="str">
            <v xml:space="preserve">Jerry Basford </v>
          </cell>
          <cell r="C50" t="str">
            <v>50XXX</v>
          </cell>
          <cell r="D50" t="str">
            <v>Reg Resi Recycling</v>
          </cell>
          <cell r="E50" t="str">
            <v>Resi Recycle</v>
          </cell>
          <cell r="F50" t="str">
            <v>Complete for 2022</v>
          </cell>
          <cell r="G50"/>
          <cell r="H50">
            <v>0</v>
          </cell>
        </row>
        <row r="51">
          <cell r="A51">
            <v>114437</v>
          </cell>
          <cell r="B51" t="str">
            <v xml:space="preserve">Servando Arguello </v>
          </cell>
          <cell r="C51" t="str">
            <v>50XXX</v>
          </cell>
          <cell r="D51" t="str">
            <v>Reg RO</v>
          </cell>
          <cell r="E51" t="str">
            <v>RO</v>
          </cell>
          <cell r="F51" t="str">
            <v>Complete for 2022</v>
          </cell>
          <cell r="G51"/>
          <cell r="H51">
            <v>0</v>
          </cell>
        </row>
        <row r="52">
          <cell r="A52">
            <v>114457</v>
          </cell>
          <cell r="B52" t="str">
            <v xml:space="preserve">Darrick Groth </v>
          </cell>
          <cell r="C52" t="str">
            <v>50XXX</v>
          </cell>
          <cell r="D52" t="str">
            <v>Reg RO</v>
          </cell>
          <cell r="E52" t="str">
            <v>RO</v>
          </cell>
          <cell r="F52" t="str">
            <v>Complete for 2022</v>
          </cell>
          <cell r="G52"/>
          <cell r="H52">
            <v>0</v>
          </cell>
        </row>
        <row r="53">
          <cell r="A53">
            <v>114463</v>
          </cell>
          <cell r="B53" t="str">
            <v xml:space="preserve">William Johns </v>
          </cell>
          <cell r="C53" t="str">
            <v>50XXX</v>
          </cell>
          <cell r="D53" t="str">
            <v>Reg RO</v>
          </cell>
          <cell r="E53" t="str">
            <v>RO</v>
          </cell>
          <cell r="F53" t="str">
            <v>Complete for 2022</v>
          </cell>
          <cell r="G53"/>
          <cell r="H53">
            <v>0</v>
          </cell>
        </row>
        <row r="54">
          <cell r="A54">
            <v>114475</v>
          </cell>
          <cell r="B54" t="str">
            <v xml:space="preserve">Terry Ough </v>
          </cell>
          <cell r="C54" t="str">
            <v>50XXX</v>
          </cell>
          <cell r="D54" t="str">
            <v>Reg RO</v>
          </cell>
          <cell r="E54" t="str">
            <v>RO</v>
          </cell>
          <cell r="F54" t="str">
            <v>Complete for 2022</v>
          </cell>
          <cell r="G54"/>
          <cell r="H54">
            <v>0</v>
          </cell>
        </row>
        <row r="55">
          <cell r="A55">
            <v>114483</v>
          </cell>
          <cell r="B55" t="str">
            <v xml:space="preserve">Randy Schuster </v>
          </cell>
          <cell r="C55" t="str">
            <v>50XXX</v>
          </cell>
          <cell r="D55" t="str">
            <v>Reg RO</v>
          </cell>
          <cell r="E55" t="str">
            <v>RO</v>
          </cell>
          <cell r="F55" t="str">
            <v>Complete for 2022</v>
          </cell>
          <cell r="G55"/>
          <cell r="H55">
            <v>0</v>
          </cell>
        </row>
        <row r="56">
          <cell r="A56">
            <v>114490</v>
          </cell>
          <cell r="B56" t="str">
            <v xml:space="preserve">Robert Bossert </v>
          </cell>
          <cell r="C56" t="str">
            <v>50XXX</v>
          </cell>
          <cell r="D56" t="str">
            <v>Reg RO</v>
          </cell>
          <cell r="E56" t="str">
            <v>RO</v>
          </cell>
          <cell r="F56" t="str">
            <v>Complete for 2022</v>
          </cell>
          <cell r="G56"/>
          <cell r="H56">
            <v>0</v>
          </cell>
        </row>
        <row r="57">
          <cell r="A57">
            <v>116135</v>
          </cell>
          <cell r="B57" t="str">
            <v xml:space="preserve">Andres Garcia </v>
          </cell>
          <cell r="C57" t="str">
            <v>50XXX</v>
          </cell>
          <cell r="D57" t="str">
            <v>Reg RO</v>
          </cell>
          <cell r="E57" t="str">
            <v>RO</v>
          </cell>
          <cell r="F57">
            <v>7.46E-2</v>
          </cell>
          <cell r="G57">
            <v>44319</v>
          </cell>
          <cell r="H57">
            <v>0</v>
          </cell>
        </row>
        <row r="58">
          <cell r="A58">
            <v>116218</v>
          </cell>
          <cell r="B58" t="str">
            <v xml:space="preserve">Richard Startin </v>
          </cell>
          <cell r="C58" t="str">
            <v>50XXX</v>
          </cell>
          <cell r="D58" t="str">
            <v>Reg RO</v>
          </cell>
          <cell r="E58" t="str">
            <v>RO</v>
          </cell>
          <cell r="F58" t="str">
            <v>Complete for 2022</v>
          </cell>
          <cell r="G58"/>
          <cell r="H58">
            <v>0</v>
          </cell>
        </row>
        <row r="59">
          <cell r="A59">
            <v>156572</v>
          </cell>
          <cell r="B59" t="str">
            <v xml:space="preserve">Marco Camacho </v>
          </cell>
          <cell r="C59" t="str">
            <v>50XXX</v>
          </cell>
          <cell r="D59" t="str">
            <v>Reg RO</v>
          </cell>
          <cell r="E59" t="str">
            <v>RO</v>
          </cell>
          <cell r="F59" t="str">
            <v>Complete for 2022</v>
          </cell>
          <cell r="G59"/>
          <cell r="H59">
            <v>0</v>
          </cell>
        </row>
        <row r="60">
          <cell r="A60">
            <v>156839</v>
          </cell>
          <cell r="B60" t="str">
            <v xml:space="preserve">Jose Martinez </v>
          </cell>
          <cell r="C60" t="str">
            <v>50XXX</v>
          </cell>
          <cell r="D60" t="str">
            <v>Reg RO</v>
          </cell>
          <cell r="E60" t="str">
            <v>RO</v>
          </cell>
          <cell r="F60" t="str">
            <v>Complete for 2022</v>
          </cell>
          <cell r="G60"/>
          <cell r="H60">
            <v>0</v>
          </cell>
        </row>
        <row r="61">
          <cell r="A61">
            <v>157983</v>
          </cell>
          <cell r="B61" t="str">
            <v xml:space="preserve">Peter Graham </v>
          </cell>
          <cell r="C61" t="str">
            <v>50XXX</v>
          </cell>
          <cell r="D61" t="str">
            <v>Reg RO</v>
          </cell>
          <cell r="E61" t="str">
            <v>RO</v>
          </cell>
          <cell r="F61" t="str">
            <v>Complete for 2022</v>
          </cell>
          <cell r="G61"/>
          <cell r="H61">
            <v>0</v>
          </cell>
        </row>
        <row r="62">
          <cell r="A62">
            <v>306712</v>
          </cell>
          <cell r="B62" t="str">
            <v xml:space="preserve">James Bone </v>
          </cell>
          <cell r="C62" t="str">
            <v>50XXX</v>
          </cell>
          <cell r="D62" t="str">
            <v>Reg Yard Waste</v>
          </cell>
          <cell r="E62" t="str">
            <v>Yard Waste</v>
          </cell>
          <cell r="F62" t="str">
            <v>Complete for 2022</v>
          </cell>
          <cell r="G62"/>
          <cell r="H62">
            <v>0</v>
          </cell>
        </row>
        <row r="63">
          <cell r="A63">
            <v>157637</v>
          </cell>
          <cell r="B63" t="str">
            <v xml:space="preserve">Scott Betker </v>
          </cell>
          <cell r="C63" t="str">
            <v>50XXX</v>
          </cell>
          <cell r="D63" t="str">
            <v>Regulared FEL</v>
          </cell>
          <cell r="E63" t="str">
            <v>Comm MSW</v>
          </cell>
          <cell r="F63" t="str">
            <v>Complete for 2022</v>
          </cell>
          <cell r="G63"/>
          <cell r="H63">
            <v>0</v>
          </cell>
        </row>
        <row r="64">
          <cell r="A64">
            <v>156957</v>
          </cell>
          <cell r="B64" t="str">
            <v xml:space="preserve">Race Kennedy </v>
          </cell>
          <cell r="C64" t="str">
            <v>50XXX</v>
          </cell>
          <cell r="D64" t="str">
            <v>Regulared REL</v>
          </cell>
          <cell r="E64" t="str">
            <v>Resi MSW</v>
          </cell>
          <cell r="F64" t="str">
            <v>Complete for 2022</v>
          </cell>
          <cell r="G64"/>
          <cell r="H64">
            <v>0</v>
          </cell>
        </row>
        <row r="65">
          <cell r="A65">
            <v>312209</v>
          </cell>
          <cell r="B65" t="str">
            <v xml:space="preserve">Wilson Collazo </v>
          </cell>
          <cell r="C65" t="str">
            <v>50XXX</v>
          </cell>
          <cell r="D65" t="str">
            <v>Regulated and Non Reg MSW</v>
          </cell>
          <cell r="E65" t="str">
            <v>Resi MSW</v>
          </cell>
          <cell r="F65" t="str">
            <v>Complete for 2022</v>
          </cell>
          <cell r="G65"/>
          <cell r="H65">
            <v>0</v>
          </cell>
        </row>
        <row r="66">
          <cell r="A66">
            <v>304800</v>
          </cell>
          <cell r="B66" t="str">
            <v xml:space="preserve">Christopher Price </v>
          </cell>
          <cell r="C66" t="str">
            <v>50XXX</v>
          </cell>
          <cell r="D66" t="str">
            <v>Regulated and Non Reg RO</v>
          </cell>
          <cell r="E66" t="str">
            <v>RO</v>
          </cell>
          <cell r="F66" t="str">
            <v>Complete for 2022</v>
          </cell>
          <cell r="G66"/>
          <cell r="H66">
            <v>0</v>
          </cell>
        </row>
        <row r="67">
          <cell r="A67">
            <v>157840</v>
          </cell>
          <cell r="B67" t="str">
            <v xml:space="preserve">Michael Leiferman </v>
          </cell>
          <cell r="C67" t="str">
            <v>50XXX</v>
          </cell>
          <cell r="D67" t="str">
            <v>Regulated FEL</v>
          </cell>
          <cell r="E67" t="str">
            <v>Comm MSW</v>
          </cell>
          <cell r="F67" t="str">
            <v>Complete for 2022</v>
          </cell>
          <cell r="G67"/>
          <cell r="H67">
            <v>0</v>
          </cell>
        </row>
        <row r="68">
          <cell r="A68">
            <v>158366</v>
          </cell>
          <cell r="B68" t="str">
            <v xml:space="preserve">Hector Barrera Ortiz </v>
          </cell>
          <cell r="C68" t="str">
            <v>50XXX</v>
          </cell>
          <cell r="D68" t="str">
            <v>Regulated FEL</v>
          </cell>
          <cell r="E68" t="str">
            <v>Comm MSW</v>
          </cell>
          <cell r="F68" t="str">
            <v>Complete for 2022</v>
          </cell>
          <cell r="G68"/>
          <cell r="H68">
            <v>0</v>
          </cell>
        </row>
        <row r="69">
          <cell r="A69">
            <v>115644</v>
          </cell>
          <cell r="B69" t="str">
            <v xml:space="preserve">Juan Ortega </v>
          </cell>
          <cell r="C69" t="str">
            <v>50XXX</v>
          </cell>
          <cell r="D69" t="str">
            <v>Resi Reg and Non Reg MSW</v>
          </cell>
          <cell r="E69" t="str">
            <v>Resi MSW</v>
          </cell>
          <cell r="F69" t="str">
            <v>Complete for 2022</v>
          </cell>
          <cell r="G69"/>
          <cell r="H69">
            <v>0</v>
          </cell>
        </row>
        <row r="70">
          <cell r="A70">
            <v>114454</v>
          </cell>
          <cell r="B70" t="str">
            <v xml:space="preserve">Javier Garcia </v>
          </cell>
          <cell r="C70" t="str">
            <v>50XXX</v>
          </cell>
          <cell r="D70" t="str">
            <v>Resi Reg MSW</v>
          </cell>
          <cell r="E70" t="str">
            <v>Resi MSW</v>
          </cell>
          <cell r="F70" t="str">
            <v>Complete for 2022</v>
          </cell>
          <cell r="G70"/>
          <cell r="H70">
            <v>0</v>
          </cell>
        </row>
        <row r="71">
          <cell r="A71">
            <v>114462</v>
          </cell>
          <cell r="B71" t="str">
            <v xml:space="preserve">Cornelio Hernandez </v>
          </cell>
          <cell r="C71" t="str">
            <v>50XXX</v>
          </cell>
          <cell r="D71" t="str">
            <v>Resi Reg MSW</v>
          </cell>
          <cell r="E71" t="str">
            <v>Commercial Recycling</v>
          </cell>
          <cell r="F71" t="str">
            <v>Complete for 2022</v>
          </cell>
          <cell r="G71"/>
          <cell r="H71">
            <v>0</v>
          </cell>
        </row>
        <row r="72">
          <cell r="A72">
            <v>114467</v>
          </cell>
          <cell r="B72" t="str">
            <v xml:space="preserve">Felix Medina </v>
          </cell>
          <cell r="C72" t="str">
            <v>50XXX</v>
          </cell>
          <cell r="D72" t="str">
            <v>Resi Reg MSW</v>
          </cell>
          <cell r="E72" t="str">
            <v>Resi MSW</v>
          </cell>
          <cell r="F72" t="str">
            <v>Complete for 2022</v>
          </cell>
          <cell r="G72"/>
          <cell r="H72">
            <v>0</v>
          </cell>
        </row>
        <row r="73">
          <cell r="A73">
            <v>155169</v>
          </cell>
          <cell r="B73" t="str">
            <v xml:space="preserve">Jose Rodriguez </v>
          </cell>
          <cell r="C73" t="str">
            <v>50XXX</v>
          </cell>
          <cell r="D73" t="str">
            <v>Resi Reg MSW</v>
          </cell>
          <cell r="E73" t="str">
            <v>Resi MSW</v>
          </cell>
          <cell r="F73">
            <v>7.1599999999999997E-2</v>
          </cell>
          <cell r="G73">
            <v>44319</v>
          </cell>
          <cell r="H73">
            <v>0</v>
          </cell>
        </row>
        <row r="74">
          <cell r="A74">
            <v>156896</v>
          </cell>
          <cell r="B74" t="str">
            <v xml:space="preserve">Tyler Noble </v>
          </cell>
          <cell r="C74" t="str">
            <v>50XXX</v>
          </cell>
          <cell r="D74" t="str">
            <v>Resi Reg MSW</v>
          </cell>
          <cell r="E74" t="str">
            <v>Resi MSW</v>
          </cell>
          <cell r="F74" t="str">
            <v>Complete for 2022</v>
          </cell>
          <cell r="G74"/>
          <cell r="H74">
            <v>0</v>
          </cell>
        </row>
        <row r="75">
          <cell r="A75">
            <v>158932</v>
          </cell>
          <cell r="B75" t="str">
            <v xml:space="preserve">Sean Cole </v>
          </cell>
          <cell r="C75" t="str">
            <v>50XXX</v>
          </cell>
          <cell r="D75" t="str">
            <v>Resi Reg MSW</v>
          </cell>
          <cell r="E75" t="str">
            <v>Resi MSW</v>
          </cell>
          <cell r="F75" t="str">
            <v>Complete for 2022</v>
          </cell>
          <cell r="G75"/>
          <cell r="H75">
            <v>0</v>
          </cell>
        </row>
        <row r="76">
          <cell r="A76">
            <v>302872</v>
          </cell>
          <cell r="B76" t="str">
            <v xml:space="preserve">Eddie Flores </v>
          </cell>
          <cell r="C76" t="str">
            <v>50XXX</v>
          </cell>
          <cell r="D76" t="str">
            <v>Resi Reg MSW</v>
          </cell>
          <cell r="E76" t="str">
            <v>Resi MSW</v>
          </cell>
          <cell r="F76" t="str">
            <v>Complete for 2022</v>
          </cell>
          <cell r="G76"/>
          <cell r="H76">
            <v>0</v>
          </cell>
        </row>
        <row r="77">
          <cell r="A77">
            <v>306452</v>
          </cell>
          <cell r="B77" t="str">
            <v xml:space="preserve">Jonathon Rivera </v>
          </cell>
          <cell r="C77" t="str">
            <v>50XXX</v>
          </cell>
          <cell r="D77" t="str">
            <v>Resi Reg MSW</v>
          </cell>
          <cell r="E77" t="str">
            <v>Resi MSW</v>
          </cell>
          <cell r="F77" t="str">
            <v>Complete for 2022</v>
          </cell>
          <cell r="G77"/>
          <cell r="H77">
            <v>0</v>
          </cell>
        </row>
        <row r="78">
          <cell r="A78">
            <v>313292</v>
          </cell>
          <cell r="B78" t="str">
            <v xml:space="preserve">Juan Martinez </v>
          </cell>
          <cell r="C78" t="str">
            <v>50XXX</v>
          </cell>
          <cell r="D78" t="str">
            <v>Resi Reg MSW</v>
          </cell>
          <cell r="E78" t="str">
            <v>Resi MSW</v>
          </cell>
          <cell r="F78" t="str">
            <v>Complete for 2022</v>
          </cell>
          <cell r="G78"/>
          <cell r="H78">
            <v>0</v>
          </cell>
        </row>
        <row r="79">
          <cell r="A79">
            <v>313298</v>
          </cell>
          <cell r="B79" t="str">
            <v xml:space="preserve">Erik Venegas Madrid </v>
          </cell>
          <cell r="C79" t="str">
            <v>50XXX</v>
          </cell>
          <cell r="D79" t="str">
            <v>Resi Reg MSW</v>
          </cell>
          <cell r="E79" t="str">
            <v>Resi MSW</v>
          </cell>
          <cell r="F79" t="str">
            <v>Complete for 2022</v>
          </cell>
          <cell r="G79"/>
          <cell r="H79">
            <v>0</v>
          </cell>
        </row>
        <row r="80">
          <cell r="A80">
            <v>313743</v>
          </cell>
          <cell r="B80" t="str">
            <v xml:space="preserve">Carlos Borja Rodriguez </v>
          </cell>
          <cell r="C80" t="str">
            <v>50XXX</v>
          </cell>
          <cell r="D80" t="str">
            <v>Resi Reg MSW</v>
          </cell>
          <cell r="E80" t="str">
            <v>Resi MSW</v>
          </cell>
          <cell r="F80" t="str">
            <v>Complete for 2022</v>
          </cell>
          <cell r="G80"/>
          <cell r="H80">
            <v>0</v>
          </cell>
        </row>
        <row r="81">
          <cell r="A81">
            <v>313979</v>
          </cell>
          <cell r="B81" t="str">
            <v xml:space="preserve">Adrian Espinoza </v>
          </cell>
          <cell r="C81" t="str">
            <v>50XXX</v>
          </cell>
          <cell r="D81" t="str">
            <v>Resi Reg MSW</v>
          </cell>
          <cell r="E81" t="str">
            <v>Resi MSW</v>
          </cell>
          <cell r="F81" t="str">
            <v>Complete for 2022</v>
          </cell>
          <cell r="G81"/>
          <cell r="H81">
            <v>0</v>
          </cell>
        </row>
        <row r="82">
          <cell r="A82">
            <v>317359</v>
          </cell>
          <cell r="B82" t="str">
            <v xml:space="preserve">Jesus Cisneros </v>
          </cell>
          <cell r="C82" t="str">
            <v>50XXX</v>
          </cell>
          <cell r="D82" t="str">
            <v>Resi Reg MSW</v>
          </cell>
          <cell r="E82" t="str">
            <v>Resi MSW</v>
          </cell>
          <cell r="F82">
            <v>7.1599999999999997E-2</v>
          </cell>
          <cell r="G82">
            <v>44319</v>
          </cell>
          <cell r="H82">
            <v>0</v>
          </cell>
        </row>
        <row r="83">
          <cell r="A83">
            <v>321451</v>
          </cell>
          <cell r="B83" t="str">
            <v xml:space="preserve">Eduardo Gonzales </v>
          </cell>
          <cell r="C83" t="str">
            <v>50XXX</v>
          </cell>
          <cell r="D83" t="str">
            <v>Resi Reg MSW</v>
          </cell>
          <cell r="E83" t="str">
            <v>Resi MSW</v>
          </cell>
          <cell r="F83">
            <v>4.5499999999999999E-2</v>
          </cell>
          <cell r="G83">
            <v>44445</v>
          </cell>
          <cell r="H83">
            <v>0</v>
          </cell>
        </row>
        <row r="84">
          <cell r="A84">
            <v>321586</v>
          </cell>
          <cell r="B84" t="str">
            <v xml:space="preserve">Miguel Castellanos </v>
          </cell>
          <cell r="C84" t="str">
            <v>50XXX</v>
          </cell>
          <cell r="D84" t="str">
            <v>Resi Reg MSW</v>
          </cell>
          <cell r="E84" t="str">
            <v>Resi MSW</v>
          </cell>
          <cell r="F84">
            <v>4.5499999999999999E-2</v>
          </cell>
          <cell r="G84">
            <v>44375</v>
          </cell>
          <cell r="H84">
            <v>0</v>
          </cell>
        </row>
        <row r="85">
          <cell r="A85">
            <v>323624</v>
          </cell>
          <cell r="B85" t="str">
            <v xml:space="preserve">Eddie Lopez-Hernandez </v>
          </cell>
          <cell r="C85" t="str">
            <v>50XXX</v>
          </cell>
          <cell r="D85" t="str">
            <v>Resi Reg MSW</v>
          </cell>
          <cell r="E85" t="str">
            <v>Resi MSW</v>
          </cell>
          <cell r="F85">
            <v>5.5199999999999999E-2</v>
          </cell>
          <cell r="G85">
            <v>44683</v>
          </cell>
          <cell r="H85">
            <v>0</v>
          </cell>
        </row>
        <row r="86">
          <cell r="A86">
            <v>324877</v>
          </cell>
          <cell r="B86" t="str">
            <v xml:space="preserve">Leonardo Nunez </v>
          </cell>
          <cell r="C86" t="str">
            <v>50XXX</v>
          </cell>
          <cell r="D86" t="str">
            <v>Resi Reg MSW</v>
          </cell>
          <cell r="E86" t="str">
            <v>Resi MSW</v>
          </cell>
          <cell r="F86" t="str">
            <v>Complete for 2022</v>
          </cell>
          <cell r="G86"/>
          <cell r="H86">
            <v>0</v>
          </cell>
        </row>
        <row r="87">
          <cell r="A87">
            <v>325259</v>
          </cell>
          <cell r="B87" t="str">
            <v xml:space="preserve">Jacob Breshears </v>
          </cell>
          <cell r="C87" t="str">
            <v>50XXX</v>
          </cell>
          <cell r="D87" t="str">
            <v>Resi Reg MSW</v>
          </cell>
          <cell r="E87" t="str">
            <v>Resi MSW</v>
          </cell>
          <cell r="F87" t="str">
            <v>Complete for 2022</v>
          </cell>
          <cell r="G87"/>
          <cell r="H87">
            <v>0</v>
          </cell>
        </row>
        <row r="88">
          <cell r="A88">
            <v>326633</v>
          </cell>
          <cell r="B88" t="str">
            <v xml:space="preserve">Juan Perea </v>
          </cell>
          <cell r="C88" t="str">
            <v>50XXX</v>
          </cell>
          <cell r="D88" t="str">
            <v>Resi Reg MSW</v>
          </cell>
          <cell r="E88" t="str">
            <v>Resi MSW</v>
          </cell>
          <cell r="F88">
            <v>0</v>
          </cell>
          <cell r="G88">
            <v>44459</v>
          </cell>
          <cell r="H88">
            <v>0</v>
          </cell>
        </row>
        <row r="89">
          <cell r="A89">
            <v>326661</v>
          </cell>
          <cell r="B89" t="str">
            <v xml:space="preserve">Pedro Alvarado </v>
          </cell>
          <cell r="C89" t="str">
            <v>50XXX</v>
          </cell>
          <cell r="D89" t="str">
            <v>Resi Reg MSW</v>
          </cell>
          <cell r="E89" t="str">
            <v>Resi MSW</v>
          </cell>
          <cell r="F89">
            <v>0</v>
          </cell>
          <cell r="G89">
            <v>44459</v>
          </cell>
          <cell r="H89">
            <v>0</v>
          </cell>
        </row>
        <row r="90">
          <cell r="A90">
            <v>327790</v>
          </cell>
          <cell r="B90" t="str">
            <v xml:space="preserve">Joshua Vickers </v>
          </cell>
          <cell r="C90" t="str">
            <v>50XXX</v>
          </cell>
          <cell r="D90" t="str">
            <v>Resi Reg MSW</v>
          </cell>
          <cell r="E90" t="str">
            <v>Resi MSW</v>
          </cell>
          <cell r="F90" t="str">
            <v>Complete for 2022</v>
          </cell>
          <cell r="G90"/>
          <cell r="H90">
            <v>0</v>
          </cell>
        </row>
        <row r="91">
          <cell r="A91">
            <v>328133</v>
          </cell>
          <cell r="B91" t="str">
            <v xml:space="preserve">Carlos Contreras </v>
          </cell>
          <cell r="C91" t="str">
            <v>50XXX</v>
          </cell>
          <cell r="D91" t="str">
            <v>Resi Reg MSW</v>
          </cell>
          <cell r="E91" t="str">
            <v>Resi MSW</v>
          </cell>
          <cell r="F91">
            <v>0.1032</v>
          </cell>
          <cell r="G91">
            <v>44711</v>
          </cell>
          <cell r="H91">
            <v>0</v>
          </cell>
        </row>
        <row r="92">
          <cell r="A92">
            <v>328350</v>
          </cell>
          <cell r="B92" t="str">
            <v xml:space="preserve">Marvin Morales </v>
          </cell>
          <cell r="C92" t="str">
            <v>50XXX</v>
          </cell>
          <cell r="D92" t="str">
            <v>Resi Reg MSW</v>
          </cell>
          <cell r="E92" t="str">
            <v>Resi MSW</v>
          </cell>
          <cell r="F92" t="str">
            <v>Complete for 2022</v>
          </cell>
          <cell r="G92"/>
          <cell r="H92">
            <v>0</v>
          </cell>
        </row>
        <row r="93">
          <cell r="A93">
            <v>328888</v>
          </cell>
          <cell r="B93" t="str">
            <v xml:space="preserve">Luis Gonzalez </v>
          </cell>
          <cell r="C93" t="str">
            <v>50XXX</v>
          </cell>
          <cell r="D93" t="str">
            <v>Resi Reg MSW</v>
          </cell>
          <cell r="E93" t="str">
            <v>Resi MSW</v>
          </cell>
          <cell r="F93" t="str">
            <v>Complete for 2022</v>
          </cell>
          <cell r="G93"/>
          <cell r="H93">
            <v>0</v>
          </cell>
        </row>
        <row r="94">
          <cell r="A94">
            <v>328938</v>
          </cell>
          <cell r="B94" t="str">
            <v xml:space="preserve">Bryan Hernandez </v>
          </cell>
          <cell r="C94" t="str">
            <v>50XXX</v>
          </cell>
          <cell r="D94" t="str">
            <v>Resi Reg MSW</v>
          </cell>
          <cell r="E94" t="str">
            <v>Resi MSW</v>
          </cell>
          <cell r="F94">
            <v>0</v>
          </cell>
          <cell r="G94">
            <v>44586</v>
          </cell>
          <cell r="H94">
            <v>0</v>
          </cell>
        </row>
        <row r="95">
          <cell r="A95">
            <v>329595</v>
          </cell>
          <cell r="B95" t="str">
            <v xml:space="preserve">Antony Rivera </v>
          </cell>
          <cell r="C95" t="str">
            <v>50XXX</v>
          </cell>
          <cell r="D95" t="str">
            <v>Resi Reg MSW</v>
          </cell>
          <cell r="E95" t="str">
            <v>Resi MSW</v>
          </cell>
          <cell r="F95" t="str">
            <v>Complete for 2022</v>
          </cell>
          <cell r="G95"/>
          <cell r="H95">
            <v>0</v>
          </cell>
        </row>
        <row r="96">
          <cell r="A96">
            <v>156717</v>
          </cell>
          <cell r="B96" t="str">
            <v xml:space="preserve">Tony Jenkins </v>
          </cell>
          <cell r="C96" t="str">
            <v>55XXX</v>
          </cell>
          <cell r="D96" t="str">
            <v>Welder</v>
          </cell>
          <cell r="E96" t="str">
            <v>Welder</v>
          </cell>
          <cell r="F96" t="str">
            <v>Complete for 2022</v>
          </cell>
          <cell r="G96"/>
          <cell r="H96">
            <v>0</v>
          </cell>
        </row>
        <row r="97">
          <cell r="A97">
            <v>311428</v>
          </cell>
          <cell r="B97" t="str">
            <v xml:space="preserve">BRANDON LANSDEN </v>
          </cell>
          <cell r="C97" t="str">
            <v>55XXX</v>
          </cell>
          <cell r="D97" t="str">
            <v>Welder</v>
          </cell>
          <cell r="E97" t="str">
            <v>Welder</v>
          </cell>
          <cell r="F97" t="str">
            <v>Complete for 2022</v>
          </cell>
          <cell r="G97"/>
          <cell r="H97">
            <v>0</v>
          </cell>
        </row>
        <row r="98">
          <cell r="A98">
            <v>114443</v>
          </cell>
          <cell r="B98" t="str">
            <v>Freddie Broadie</v>
          </cell>
          <cell r="E98" t="str">
            <v>Ignore - No hours worked.  Only deductions</v>
          </cell>
        </row>
      </sheetData>
      <sheetData sheetId="3">
        <row r="1">
          <cell r="D1" t="str">
            <v>Acct</v>
          </cell>
          <cell r="E1" t="str">
            <v>AcctName</v>
          </cell>
          <cell r="F1"/>
          <cell r="G1"/>
          <cell r="J1" t="str">
            <v>Act(-11)</v>
          </cell>
          <cell r="L1" t="str">
            <v>Act(-10)</v>
          </cell>
          <cell r="N1" t="str">
            <v>Act(-9)</v>
          </cell>
          <cell r="P1" t="str">
            <v>Act(-8)</v>
          </cell>
          <cell r="R1" t="str">
            <v>Act(-7)</v>
          </cell>
          <cell r="T1" t="str">
            <v>Act(-6)</v>
          </cell>
          <cell r="V1" t="str">
            <v>Act(-5)</v>
          </cell>
          <cell r="X1" t="str">
            <v>Act(-4)</v>
          </cell>
          <cell r="Z1" t="str">
            <v>Act(-3)</v>
          </cell>
          <cell r="AB1" t="str">
            <v>Act(-2)</v>
          </cell>
          <cell r="AD1" t="str">
            <v>Act(-1)</v>
          </cell>
          <cell r="AF1" t="str">
            <v>Act</v>
          </cell>
          <cell r="AH1"/>
        </row>
        <row r="2">
          <cell r="D2"/>
          <cell r="E2"/>
          <cell r="F2"/>
          <cell r="G2"/>
          <cell r="H2"/>
          <cell r="I2"/>
          <cell r="J2">
            <v>0</v>
          </cell>
          <cell r="K2"/>
          <cell r="L2">
            <v>0</v>
          </cell>
          <cell r="M2"/>
          <cell r="N2">
            <v>0</v>
          </cell>
          <cell r="O2"/>
          <cell r="P2">
            <v>0</v>
          </cell>
          <cell r="Q2"/>
          <cell r="R2">
            <v>0</v>
          </cell>
          <cell r="S2"/>
          <cell r="T2">
            <v>0</v>
          </cell>
          <cell r="U2"/>
          <cell r="V2">
            <v>0</v>
          </cell>
          <cell r="W2"/>
          <cell r="X2">
            <v>0</v>
          </cell>
          <cell r="Y2"/>
          <cell r="Z2">
            <v>0</v>
          </cell>
          <cell r="AA2"/>
          <cell r="AB2">
            <v>0</v>
          </cell>
          <cell r="AC2"/>
          <cell r="AD2">
            <v>0</v>
          </cell>
          <cell r="AE2"/>
          <cell r="AF2">
            <v>0</v>
          </cell>
          <cell r="AG2"/>
          <cell r="AH2">
            <v>0</v>
          </cell>
        </row>
        <row r="3">
          <cell r="D3"/>
          <cell r="E3"/>
          <cell r="F3"/>
          <cell r="G3"/>
          <cell r="H3"/>
          <cell r="I3"/>
          <cell r="J3" t="str">
            <v>2021-04</v>
          </cell>
          <cell r="L3" t="str">
            <v>2021-05</v>
          </cell>
          <cell r="N3" t="str">
            <v>2021-06</v>
          </cell>
          <cell r="P3" t="str">
            <v>2021-07</v>
          </cell>
          <cell r="R3" t="str">
            <v>2021-08</v>
          </cell>
          <cell r="T3" t="str">
            <v>2021-09</v>
          </cell>
          <cell r="V3" t="str">
            <v>2021-10</v>
          </cell>
          <cell r="X3" t="str">
            <v>2021-11</v>
          </cell>
          <cell r="Z3" t="str">
            <v>2021-12</v>
          </cell>
          <cell r="AB3" t="str">
            <v>2022-01</v>
          </cell>
          <cell r="AD3" t="str">
            <v>2022-02</v>
          </cell>
          <cell r="AF3" t="str">
            <v>2022-03</v>
          </cell>
          <cell r="AH3"/>
        </row>
        <row r="4">
          <cell r="G4"/>
          <cell r="J4"/>
          <cell r="L4"/>
          <cell r="N4"/>
          <cell r="P4"/>
          <cell r="R4"/>
          <cell r="T4"/>
          <cell r="V4"/>
          <cell r="X4"/>
          <cell r="Z4"/>
          <cell r="AB4"/>
          <cell r="AD4"/>
          <cell r="AF4"/>
          <cell r="AH4"/>
        </row>
        <row r="5">
          <cell r="J5"/>
          <cell r="L5"/>
          <cell r="N5"/>
          <cell r="P5"/>
          <cell r="R5"/>
          <cell r="T5"/>
          <cell r="V5"/>
          <cell r="X5"/>
          <cell r="Z5"/>
          <cell r="AB5"/>
          <cell r="AD5"/>
          <cell r="AF5"/>
          <cell r="AH5"/>
        </row>
        <row r="6">
          <cell r="D6" t="str">
            <v>Waste Connections, Inc.</v>
          </cell>
          <cell r="M6" t="str">
            <v>Districts/Grouping:</v>
          </cell>
          <cell r="N6" t="str">
            <v>2195</v>
          </cell>
          <cell r="Q6" t="str">
            <v>Exclude IC:</v>
          </cell>
          <cell r="R6"/>
          <cell r="S6"/>
          <cell r="T6"/>
          <cell r="Y6"/>
          <cell r="Z6"/>
          <cell r="AE6"/>
          <cell r="AF6"/>
          <cell r="AH6"/>
        </row>
        <row r="7">
          <cell r="D7" t="str">
            <v>IS 210 - PL Review</v>
          </cell>
          <cell r="N7" t="str">
            <v/>
          </cell>
          <cell r="Q7" t="str">
            <v>System:</v>
          </cell>
          <cell r="R7" t="str">
            <v/>
          </cell>
          <cell r="T7" t="str">
            <v/>
          </cell>
          <cell r="Z7" t="str">
            <v/>
          </cell>
          <cell r="AF7" t="str">
            <v/>
          </cell>
        </row>
        <row r="8">
          <cell r="D8" t="str">
            <v>2022-03</v>
          </cell>
        </row>
        <row r="9">
          <cell r="D9"/>
        </row>
        <row r="10">
          <cell r="D10"/>
        </row>
        <row r="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row>
        <row r="12">
          <cell r="D12"/>
          <cell r="E12"/>
          <cell r="F12"/>
          <cell r="G12"/>
          <cell r="H12"/>
          <cell r="I12"/>
          <cell r="J12">
            <v>44290</v>
          </cell>
          <cell r="K12"/>
          <cell r="L12">
            <v>44321</v>
          </cell>
          <cell r="M12"/>
          <cell r="N12">
            <v>44353</v>
          </cell>
          <cell r="O12"/>
          <cell r="P12">
            <v>44384</v>
          </cell>
          <cell r="Q12"/>
          <cell r="R12">
            <v>44416</v>
          </cell>
          <cell r="S12"/>
          <cell r="T12">
            <v>44448</v>
          </cell>
          <cell r="U12"/>
          <cell r="V12">
            <v>44479</v>
          </cell>
          <cell r="W12"/>
          <cell r="X12">
            <v>44511</v>
          </cell>
          <cell r="Y12"/>
          <cell r="Z12">
            <v>44542</v>
          </cell>
          <cell r="AA12"/>
          <cell r="AB12">
            <v>44562</v>
          </cell>
          <cell r="AC12"/>
          <cell r="AD12">
            <v>44594</v>
          </cell>
          <cell r="AE12"/>
          <cell r="AF12">
            <v>44623</v>
          </cell>
          <cell r="AG12"/>
          <cell r="AH12" t="str">
            <v>Total</v>
          </cell>
        </row>
        <row r="13">
          <cell r="D13">
            <v>98501</v>
          </cell>
          <cell r="E13" t="str">
            <v>Days - Weekdays</v>
          </cell>
          <cell r="F13"/>
          <cell r="G13"/>
          <cell r="H13"/>
          <cell r="I13"/>
          <cell r="J13">
            <v>22</v>
          </cell>
          <cell r="K13"/>
          <cell r="L13">
            <v>21</v>
          </cell>
          <cell r="M13"/>
          <cell r="N13">
            <v>22</v>
          </cell>
          <cell r="O13"/>
          <cell r="P13">
            <v>22</v>
          </cell>
          <cell r="Q13"/>
          <cell r="R13">
            <v>22</v>
          </cell>
          <cell r="S13"/>
          <cell r="T13">
            <v>22</v>
          </cell>
          <cell r="U13"/>
          <cell r="V13">
            <v>21</v>
          </cell>
          <cell r="W13"/>
          <cell r="X13">
            <v>22</v>
          </cell>
          <cell r="Y13"/>
          <cell r="Z13">
            <v>23</v>
          </cell>
          <cell r="AA13"/>
          <cell r="AB13">
            <v>21</v>
          </cell>
          <cell r="AC13"/>
          <cell r="AD13">
            <v>20</v>
          </cell>
          <cell r="AE13"/>
          <cell r="AF13">
            <v>23</v>
          </cell>
          <cell r="AG13"/>
          <cell r="AH13">
            <v>261</v>
          </cell>
        </row>
        <row r="14">
          <cell r="J14"/>
          <cell r="K14"/>
          <cell r="L14"/>
          <cell r="M14"/>
          <cell r="N14"/>
          <cell r="O14"/>
          <cell r="P14"/>
          <cell r="Q14"/>
          <cell r="R14"/>
          <cell r="S14"/>
          <cell r="T14"/>
          <cell r="U14"/>
          <cell r="V14"/>
          <cell r="W14"/>
          <cell r="X14"/>
          <cell r="Y14"/>
          <cell r="Z14"/>
          <cell r="AA14"/>
          <cell r="AB14"/>
          <cell r="AC14"/>
          <cell r="AD14"/>
          <cell r="AE14"/>
          <cell r="AF14"/>
          <cell r="AG14"/>
          <cell r="AH14"/>
        </row>
        <row r="15">
          <cell r="J15"/>
          <cell r="K15"/>
          <cell r="L15"/>
          <cell r="M15"/>
          <cell r="N15"/>
          <cell r="O15"/>
          <cell r="P15"/>
          <cell r="Q15"/>
          <cell r="R15"/>
          <cell r="S15"/>
          <cell r="T15"/>
          <cell r="U15"/>
          <cell r="V15"/>
          <cell r="W15"/>
          <cell r="X15"/>
          <cell r="Y15"/>
          <cell r="Z15"/>
          <cell r="AA15"/>
          <cell r="AB15"/>
          <cell r="AC15"/>
          <cell r="AD15"/>
          <cell r="AE15"/>
          <cell r="AF15"/>
          <cell r="AG15"/>
          <cell r="AH15"/>
        </row>
        <row r="16">
          <cell r="D16">
            <v>31000</v>
          </cell>
          <cell r="E16" t="str">
            <v>Hauling Revenue - Roll Off Permanent</v>
          </cell>
          <cell r="F16"/>
          <cell r="G16"/>
          <cell r="H16"/>
          <cell r="I16"/>
          <cell r="J16">
            <v>208291.26</v>
          </cell>
          <cell r="K16"/>
          <cell r="L16">
            <v>206664.97</v>
          </cell>
          <cell r="M16"/>
          <cell r="N16">
            <v>231327.04</v>
          </cell>
          <cell r="O16"/>
          <cell r="P16">
            <v>220193.84</v>
          </cell>
          <cell r="Q16"/>
          <cell r="R16">
            <v>226004.34</v>
          </cell>
          <cell r="S16"/>
          <cell r="T16">
            <v>225138.14</v>
          </cell>
          <cell r="U16"/>
          <cell r="V16">
            <v>225026.54</v>
          </cell>
          <cell r="W16"/>
          <cell r="X16">
            <v>215362.94</v>
          </cell>
          <cell r="Y16"/>
          <cell r="Z16">
            <v>178595.87</v>
          </cell>
          <cell r="AA16"/>
          <cell r="AB16">
            <v>170753.89</v>
          </cell>
          <cell r="AC16"/>
          <cell r="AD16">
            <v>199451.67</v>
          </cell>
          <cell r="AE16"/>
          <cell r="AF16">
            <v>227880.24</v>
          </cell>
          <cell r="AG16"/>
          <cell r="AH16">
            <v>2534690.7400000002</v>
          </cell>
        </row>
        <row r="17">
          <cell r="D17">
            <v>31002</v>
          </cell>
          <cell r="E17" t="str">
            <v>Hauling Revenue - Roll Off Rental</v>
          </cell>
          <cell r="F17"/>
          <cell r="G17"/>
          <cell r="H17"/>
          <cell r="I17"/>
          <cell r="J17">
            <v>63929.96</v>
          </cell>
          <cell r="K17"/>
          <cell r="L17">
            <v>67867.97</v>
          </cell>
          <cell r="M17"/>
          <cell r="N17">
            <v>69543.990000000005</v>
          </cell>
          <cell r="O17"/>
          <cell r="P17">
            <v>62458.1</v>
          </cell>
          <cell r="Q17"/>
          <cell r="R17">
            <v>66949.66</v>
          </cell>
          <cell r="S17"/>
          <cell r="T17">
            <v>68568.960000000006</v>
          </cell>
          <cell r="U17"/>
          <cell r="V17">
            <v>70205.899999999994</v>
          </cell>
          <cell r="W17"/>
          <cell r="X17">
            <v>66317.990000000005</v>
          </cell>
          <cell r="Y17"/>
          <cell r="Z17">
            <v>62983.18</v>
          </cell>
          <cell r="AA17"/>
          <cell r="AB17">
            <v>58633.66</v>
          </cell>
          <cell r="AC17"/>
          <cell r="AD17">
            <v>59717.3</v>
          </cell>
          <cell r="AE17"/>
          <cell r="AF17">
            <v>64405.27</v>
          </cell>
          <cell r="AG17"/>
          <cell r="AH17">
            <v>781581.94</v>
          </cell>
        </row>
        <row r="18">
          <cell r="D18">
            <v>31005</v>
          </cell>
          <cell r="E18" t="str">
            <v>Hauling Revenue - Roll Off Disposal Chg</v>
          </cell>
          <cell r="F18"/>
          <cell r="G18"/>
          <cell r="H18"/>
          <cell r="I18"/>
          <cell r="J18">
            <v>178202.96</v>
          </cell>
          <cell r="K18"/>
          <cell r="L18">
            <v>173894.01</v>
          </cell>
          <cell r="M18"/>
          <cell r="N18">
            <v>199565</v>
          </cell>
          <cell r="O18"/>
          <cell r="P18">
            <v>195216.39</v>
          </cell>
          <cell r="Q18"/>
          <cell r="R18">
            <v>190258.43</v>
          </cell>
          <cell r="S18"/>
          <cell r="T18">
            <v>183583.85</v>
          </cell>
          <cell r="U18"/>
          <cell r="V18">
            <v>192108.25</v>
          </cell>
          <cell r="W18"/>
          <cell r="X18">
            <v>200388.49</v>
          </cell>
          <cell r="Y18"/>
          <cell r="Z18">
            <v>147951.09</v>
          </cell>
          <cell r="AA18"/>
          <cell r="AB18">
            <v>127617.75</v>
          </cell>
          <cell r="AC18"/>
          <cell r="AD18">
            <v>162225.12</v>
          </cell>
          <cell r="AE18"/>
          <cell r="AF18">
            <v>185827.66</v>
          </cell>
          <cell r="AG18"/>
          <cell r="AH18">
            <v>2136839</v>
          </cell>
        </row>
        <row r="19">
          <cell r="D19">
            <v>31010</v>
          </cell>
          <cell r="E19" t="str">
            <v>Hauling Revenue - Roll Off Extras</v>
          </cell>
          <cell r="F19"/>
          <cell r="G19"/>
          <cell r="H19"/>
          <cell r="I19"/>
          <cell r="J19">
            <v>26434.36</v>
          </cell>
          <cell r="K19"/>
          <cell r="L19">
            <v>25542.74</v>
          </cell>
          <cell r="M19"/>
          <cell r="N19">
            <v>28218.36</v>
          </cell>
          <cell r="O19"/>
          <cell r="P19">
            <v>27183.83</v>
          </cell>
          <cell r="Q19"/>
          <cell r="R19">
            <v>29387.21</v>
          </cell>
          <cell r="S19"/>
          <cell r="T19">
            <v>30436.87</v>
          </cell>
          <cell r="U19"/>
          <cell r="V19">
            <v>30174.14</v>
          </cell>
          <cell r="W19"/>
          <cell r="X19">
            <v>27581.09</v>
          </cell>
          <cell r="Y19"/>
          <cell r="Z19">
            <v>20894.11</v>
          </cell>
          <cell r="AA19"/>
          <cell r="AB19">
            <v>18895.82</v>
          </cell>
          <cell r="AC19"/>
          <cell r="AD19">
            <v>23318.720000000001</v>
          </cell>
          <cell r="AE19"/>
          <cell r="AF19">
            <v>29618.34</v>
          </cell>
          <cell r="AG19"/>
          <cell r="AH19">
            <v>317685.58999999997</v>
          </cell>
        </row>
        <row r="20">
          <cell r="D20">
            <v>32000</v>
          </cell>
          <cell r="E20" t="str">
            <v>Hauling Revenue - Residential MSW</v>
          </cell>
          <cell r="F20"/>
          <cell r="G20"/>
          <cell r="H20"/>
          <cell r="I20"/>
          <cell r="J20">
            <v>287539.59999999998</v>
          </cell>
          <cell r="K20"/>
          <cell r="L20">
            <v>299354.19</v>
          </cell>
          <cell r="M20"/>
          <cell r="N20">
            <v>300522.59999999998</v>
          </cell>
          <cell r="O20"/>
          <cell r="P20">
            <v>302372.03999999998</v>
          </cell>
          <cell r="Q20"/>
          <cell r="R20">
            <v>305235.18</v>
          </cell>
          <cell r="S20"/>
          <cell r="T20">
            <v>307396.93</v>
          </cell>
          <cell r="U20"/>
          <cell r="V20">
            <v>307851.52000000002</v>
          </cell>
          <cell r="W20"/>
          <cell r="X20">
            <v>308509.73</v>
          </cell>
          <cell r="Y20"/>
          <cell r="Z20">
            <v>330157.78000000003</v>
          </cell>
          <cell r="AA20"/>
          <cell r="AB20">
            <v>309350.45</v>
          </cell>
          <cell r="AC20"/>
          <cell r="AD20">
            <v>329936.51</v>
          </cell>
          <cell r="AE20"/>
          <cell r="AF20">
            <v>317078.18</v>
          </cell>
          <cell r="AG20"/>
          <cell r="AH20">
            <v>3705304.7100000004</v>
          </cell>
        </row>
        <row r="21">
          <cell r="D21">
            <v>32001</v>
          </cell>
          <cell r="E21" t="str">
            <v>Hauling Revenue - Residential MSW Extras</v>
          </cell>
          <cell r="F21"/>
          <cell r="G21"/>
          <cell r="H21"/>
          <cell r="I21"/>
          <cell r="J21">
            <v>28444.34</v>
          </cell>
          <cell r="K21"/>
          <cell r="L21">
            <v>26216.29</v>
          </cell>
          <cell r="M21"/>
          <cell r="N21">
            <v>30016.55</v>
          </cell>
          <cell r="O21"/>
          <cell r="P21">
            <v>27970.18</v>
          </cell>
          <cell r="Q21"/>
          <cell r="R21">
            <v>26425.47</v>
          </cell>
          <cell r="S21"/>
          <cell r="T21">
            <v>24859.65</v>
          </cell>
          <cell r="U21"/>
          <cell r="V21">
            <v>23031.14</v>
          </cell>
          <cell r="W21"/>
          <cell r="X21">
            <v>26203.37</v>
          </cell>
          <cell r="Y21"/>
          <cell r="Z21">
            <v>17538.080000000002</v>
          </cell>
          <cell r="AA21"/>
          <cell r="AB21">
            <v>30679.52</v>
          </cell>
          <cell r="AC21"/>
          <cell r="AD21">
            <v>20155.03</v>
          </cell>
          <cell r="AE21"/>
          <cell r="AF21">
            <v>22317.37</v>
          </cell>
          <cell r="AG21"/>
          <cell r="AH21">
            <v>303856.99</v>
          </cell>
        </row>
        <row r="22">
          <cell r="D22">
            <v>32100</v>
          </cell>
          <cell r="E22" t="str">
            <v>Hauling Revenue - Residential Recycling</v>
          </cell>
          <cell r="F22"/>
          <cell r="G22"/>
          <cell r="H22"/>
          <cell r="I22"/>
          <cell r="J22">
            <v>28150.26</v>
          </cell>
          <cell r="K22"/>
          <cell r="L22">
            <v>29732.5</v>
          </cell>
          <cell r="M22"/>
          <cell r="N22">
            <v>30081.61</v>
          </cell>
          <cell r="O22"/>
          <cell r="P22">
            <v>30219.13</v>
          </cell>
          <cell r="Q22"/>
          <cell r="R22">
            <v>30258.57</v>
          </cell>
          <cell r="S22"/>
          <cell r="T22">
            <v>30558.71</v>
          </cell>
          <cell r="U22"/>
          <cell r="V22">
            <v>30858.57</v>
          </cell>
          <cell r="W22"/>
          <cell r="X22">
            <v>31115.42</v>
          </cell>
          <cell r="Y22"/>
          <cell r="Z22">
            <v>14935.74</v>
          </cell>
          <cell r="AA22"/>
          <cell r="AB22">
            <v>29910.75</v>
          </cell>
          <cell r="AC22"/>
          <cell r="AD22">
            <v>16509.419999999998</v>
          </cell>
          <cell r="AE22"/>
          <cell r="AF22">
            <v>31397.759999999998</v>
          </cell>
          <cell r="AG22"/>
          <cell r="AH22">
            <v>333728.44</v>
          </cell>
        </row>
        <row r="23">
          <cell r="D23">
            <v>32110</v>
          </cell>
          <cell r="E23" t="str">
            <v>Hauling Revenue - Residential Composting</v>
          </cell>
          <cell r="F23"/>
          <cell r="G23"/>
          <cell r="H23"/>
          <cell r="I23"/>
          <cell r="J23">
            <v>10104.450000000001</v>
          </cell>
          <cell r="K23"/>
          <cell r="L23">
            <v>10550.71</v>
          </cell>
          <cell r="M23"/>
          <cell r="N23">
            <v>11383.28</v>
          </cell>
          <cell r="O23"/>
          <cell r="P23">
            <v>11502.85</v>
          </cell>
          <cell r="Q23"/>
          <cell r="R23">
            <v>11670.45</v>
          </cell>
          <cell r="S23"/>
          <cell r="T23">
            <v>11728.67</v>
          </cell>
          <cell r="U23"/>
          <cell r="V23">
            <v>11593.67</v>
          </cell>
          <cell r="W23"/>
          <cell r="X23">
            <v>11005.14</v>
          </cell>
          <cell r="Y23"/>
          <cell r="Z23">
            <v>9820.2000000000007</v>
          </cell>
          <cell r="AA23"/>
          <cell r="AB23">
            <v>9424.01</v>
          </cell>
          <cell r="AC23"/>
          <cell r="AD23">
            <v>9254.2999999999993</v>
          </cell>
          <cell r="AE23"/>
          <cell r="AF23">
            <v>9773.9699999999993</v>
          </cell>
          <cell r="AG23"/>
          <cell r="AH23">
            <v>127811.7</v>
          </cell>
        </row>
        <row r="24">
          <cell r="D24">
            <v>33000</v>
          </cell>
          <cell r="E24" t="str">
            <v>Hauling Revenue - Commercial FEL</v>
          </cell>
          <cell r="F24"/>
          <cell r="G24"/>
          <cell r="H24"/>
          <cell r="I24"/>
          <cell r="J24">
            <v>634217.76</v>
          </cell>
          <cell r="K24"/>
          <cell r="L24">
            <v>690080</v>
          </cell>
          <cell r="M24"/>
          <cell r="N24">
            <v>701286.39</v>
          </cell>
          <cell r="O24"/>
          <cell r="P24">
            <v>701229.85</v>
          </cell>
          <cell r="Q24"/>
          <cell r="R24">
            <v>702831.69</v>
          </cell>
          <cell r="S24"/>
          <cell r="T24">
            <v>704398.99</v>
          </cell>
          <cell r="U24"/>
          <cell r="V24">
            <v>700818.78</v>
          </cell>
          <cell r="W24"/>
          <cell r="X24">
            <v>695949.72</v>
          </cell>
          <cell r="Y24"/>
          <cell r="Z24">
            <v>694688.65</v>
          </cell>
          <cell r="AA24"/>
          <cell r="AB24">
            <v>689181.43</v>
          </cell>
          <cell r="AC24"/>
          <cell r="AD24">
            <v>703737.94</v>
          </cell>
          <cell r="AE24"/>
          <cell r="AF24">
            <v>697365.21</v>
          </cell>
          <cell r="AG24"/>
          <cell r="AH24">
            <v>8315786.4099999992</v>
          </cell>
        </row>
        <row r="25">
          <cell r="D25">
            <v>33001</v>
          </cell>
          <cell r="E25" t="str">
            <v>Hauling Revenue - Commercial FEL Extras</v>
          </cell>
          <cell r="F25"/>
          <cell r="G25"/>
          <cell r="H25"/>
          <cell r="I25"/>
          <cell r="J25">
            <v>757.1</v>
          </cell>
          <cell r="K25"/>
          <cell r="L25">
            <v>416</v>
          </cell>
          <cell r="M25"/>
          <cell r="N25">
            <v>572.58000000000004</v>
          </cell>
          <cell r="O25"/>
          <cell r="P25">
            <v>515.54</v>
          </cell>
          <cell r="Q25"/>
          <cell r="R25">
            <v>323.45999999999998</v>
          </cell>
          <cell r="S25"/>
          <cell r="T25">
            <v>304.92</v>
          </cell>
          <cell r="U25"/>
          <cell r="V25">
            <v>325.41000000000003</v>
          </cell>
          <cell r="W25"/>
          <cell r="X25">
            <v>474.71</v>
          </cell>
          <cell r="Y25"/>
          <cell r="Z25">
            <v>236.8</v>
          </cell>
          <cell r="AA25"/>
          <cell r="AB25">
            <v>334.56</v>
          </cell>
          <cell r="AC25"/>
          <cell r="AD25">
            <v>382.92</v>
          </cell>
          <cell r="AE25"/>
          <cell r="AF25">
            <v>334.27</v>
          </cell>
          <cell r="AG25"/>
          <cell r="AH25">
            <v>4978.2700000000004</v>
          </cell>
        </row>
        <row r="26">
          <cell r="D26">
            <v>33011</v>
          </cell>
          <cell r="E26" t="str">
            <v>Hauling Revenue - Commercial REL Extras</v>
          </cell>
          <cell r="F26"/>
          <cell r="G26"/>
          <cell r="H26"/>
          <cell r="I26"/>
          <cell r="J26">
            <v>43039.33</v>
          </cell>
          <cell r="K26"/>
          <cell r="L26">
            <v>44410.48</v>
          </cell>
          <cell r="M26"/>
          <cell r="N26">
            <v>44704.13</v>
          </cell>
          <cell r="O26"/>
          <cell r="P26">
            <v>43990.77</v>
          </cell>
          <cell r="Q26"/>
          <cell r="R26">
            <v>42429.94</v>
          </cell>
          <cell r="S26"/>
          <cell r="T26">
            <v>38442.199999999997</v>
          </cell>
          <cell r="U26"/>
          <cell r="V26">
            <v>40431.31</v>
          </cell>
          <cell r="W26"/>
          <cell r="X26">
            <v>36554.67</v>
          </cell>
          <cell r="Y26"/>
          <cell r="Z26">
            <v>35391.78</v>
          </cell>
          <cell r="AA26"/>
          <cell r="AB26">
            <v>39239.25</v>
          </cell>
          <cell r="AC26"/>
          <cell r="AD26">
            <v>38554.25</v>
          </cell>
          <cell r="AE26"/>
          <cell r="AF26">
            <v>42641.05</v>
          </cell>
          <cell r="AG26"/>
          <cell r="AH26">
            <v>489829.16000000003</v>
          </cell>
        </row>
        <row r="27">
          <cell r="D27">
            <v>33020</v>
          </cell>
          <cell r="E27" t="str">
            <v>Hauling Revenue - Commercial Recycling F</v>
          </cell>
          <cell r="F27"/>
          <cell r="G27"/>
          <cell r="H27"/>
          <cell r="I27"/>
          <cell r="J27">
            <v>79721.16</v>
          </cell>
          <cell r="K27"/>
          <cell r="L27">
            <v>80453.22</v>
          </cell>
          <cell r="M27"/>
          <cell r="N27">
            <v>81617.570000000007</v>
          </cell>
          <cell r="O27"/>
          <cell r="P27">
            <v>80553.84</v>
          </cell>
          <cell r="Q27"/>
          <cell r="R27">
            <v>81671.87</v>
          </cell>
          <cell r="S27"/>
          <cell r="T27">
            <v>82519.94</v>
          </cell>
          <cell r="U27"/>
          <cell r="V27">
            <v>81664.89</v>
          </cell>
          <cell r="W27"/>
          <cell r="X27">
            <v>81983.95</v>
          </cell>
          <cell r="Y27"/>
          <cell r="Z27">
            <v>74046.33</v>
          </cell>
          <cell r="AA27"/>
          <cell r="AB27">
            <v>86796.46</v>
          </cell>
          <cell r="AC27"/>
          <cell r="AD27">
            <v>84045.43</v>
          </cell>
          <cell r="AE27"/>
          <cell r="AF27">
            <v>83796.44</v>
          </cell>
          <cell r="AG27"/>
          <cell r="AH27">
            <v>978871.1</v>
          </cell>
        </row>
        <row r="28">
          <cell r="J28"/>
          <cell r="K28"/>
          <cell r="L28"/>
          <cell r="M28"/>
          <cell r="N28"/>
          <cell r="O28"/>
          <cell r="P28"/>
          <cell r="Q28"/>
          <cell r="R28"/>
          <cell r="S28"/>
          <cell r="T28"/>
          <cell r="U28"/>
          <cell r="V28"/>
          <cell r="W28"/>
          <cell r="X28"/>
          <cell r="Y28"/>
          <cell r="Z28"/>
          <cell r="AA28"/>
          <cell r="AB28"/>
          <cell r="AC28"/>
          <cell r="AD28"/>
          <cell r="AE28"/>
          <cell r="AF28"/>
          <cell r="AG28"/>
          <cell r="AH28"/>
        </row>
        <row r="29">
          <cell r="F29" t="str">
            <v>Hauling Revenue</v>
          </cell>
          <cell r="J29">
            <v>1588832.54</v>
          </cell>
          <cell r="K29"/>
          <cell r="L29">
            <v>1655183.0799999998</v>
          </cell>
          <cell r="M29"/>
          <cell r="N29">
            <v>1728839.1</v>
          </cell>
          <cell r="O29"/>
          <cell r="P29">
            <v>1703406.36</v>
          </cell>
          <cell r="Q29"/>
          <cell r="R29">
            <v>1713446.27</v>
          </cell>
          <cell r="S29"/>
          <cell r="T29">
            <v>1707937.8299999998</v>
          </cell>
          <cell r="U29"/>
          <cell r="V29">
            <v>1714090.12</v>
          </cell>
          <cell r="W29"/>
          <cell r="X29">
            <v>1701447.22</v>
          </cell>
          <cell r="Y29"/>
          <cell r="Z29">
            <v>1587239.61</v>
          </cell>
          <cell r="AA29"/>
          <cell r="AB29">
            <v>1570817.5500000003</v>
          </cell>
          <cell r="AC29"/>
          <cell r="AD29">
            <v>1647288.61</v>
          </cell>
          <cell r="AE29"/>
          <cell r="AF29">
            <v>1712435.76</v>
          </cell>
          <cell r="AG29"/>
          <cell r="AH29">
            <v>20030964.050000001</v>
          </cell>
        </row>
        <row r="30">
          <cell r="J30"/>
          <cell r="K30"/>
          <cell r="L30"/>
          <cell r="M30"/>
          <cell r="N30"/>
          <cell r="O30"/>
          <cell r="P30"/>
          <cell r="Q30"/>
          <cell r="R30"/>
          <cell r="S30"/>
          <cell r="T30"/>
          <cell r="U30"/>
          <cell r="V30"/>
          <cell r="W30"/>
          <cell r="X30"/>
          <cell r="Y30"/>
          <cell r="Z30"/>
          <cell r="AA30"/>
          <cell r="AB30"/>
          <cell r="AC30"/>
          <cell r="AD30"/>
          <cell r="AE30"/>
          <cell r="AF30"/>
          <cell r="AG30"/>
          <cell r="AH30"/>
        </row>
        <row r="31">
          <cell r="D31">
            <v>35000</v>
          </cell>
          <cell r="E31" t="str">
            <v>Transfer Station - Third Party</v>
          </cell>
          <cell r="F31"/>
          <cell r="G31"/>
          <cell r="H31"/>
          <cell r="I31"/>
          <cell r="J31">
            <v>0</v>
          </cell>
          <cell r="K31"/>
          <cell r="L31">
            <v>0</v>
          </cell>
          <cell r="M31"/>
          <cell r="N31">
            <v>0</v>
          </cell>
          <cell r="O31"/>
          <cell r="P31">
            <v>0</v>
          </cell>
          <cell r="Q31"/>
          <cell r="R31">
            <v>0</v>
          </cell>
          <cell r="S31"/>
          <cell r="T31">
            <v>0</v>
          </cell>
          <cell r="U31"/>
          <cell r="V31">
            <v>0</v>
          </cell>
          <cell r="W31"/>
          <cell r="X31">
            <v>0</v>
          </cell>
          <cell r="Y31"/>
          <cell r="Z31">
            <v>0</v>
          </cell>
          <cell r="AA31"/>
          <cell r="AB31">
            <v>0</v>
          </cell>
          <cell r="AC31"/>
          <cell r="AD31">
            <v>0</v>
          </cell>
          <cell r="AE31"/>
          <cell r="AF31">
            <v>0</v>
          </cell>
          <cell r="AG31"/>
          <cell r="AH31">
            <v>0</v>
          </cell>
        </row>
        <row r="32">
          <cell r="D32"/>
          <cell r="E32"/>
          <cell r="F32"/>
          <cell r="G32"/>
          <cell r="J32"/>
          <cell r="K32"/>
          <cell r="L32"/>
          <cell r="M32"/>
          <cell r="N32"/>
          <cell r="O32"/>
          <cell r="P32"/>
          <cell r="Q32"/>
          <cell r="R32"/>
          <cell r="S32"/>
          <cell r="T32"/>
          <cell r="U32"/>
          <cell r="V32"/>
          <cell r="W32"/>
          <cell r="X32"/>
          <cell r="Y32"/>
          <cell r="Z32"/>
          <cell r="AA32"/>
          <cell r="AB32"/>
          <cell r="AC32"/>
          <cell r="AD32"/>
          <cell r="AE32"/>
          <cell r="AF32"/>
          <cell r="AG32"/>
          <cell r="AH32"/>
        </row>
        <row r="33">
          <cell r="F33" t="str">
            <v>Transfer and MRF</v>
          </cell>
          <cell r="J33">
            <v>0</v>
          </cell>
          <cell r="K33"/>
          <cell r="L33">
            <v>0</v>
          </cell>
          <cell r="M33"/>
          <cell r="N33">
            <v>0</v>
          </cell>
          <cell r="O33"/>
          <cell r="P33">
            <v>0</v>
          </cell>
          <cell r="Q33"/>
          <cell r="R33">
            <v>0</v>
          </cell>
          <cell r="S33"/>
          <cell r="T33">
            <v>0</v>
          </cell>
          <cell r="U33"/>
          <cell r="V33">
            <v>0</v>
          </cell>
          <cell r="W33"/>
          <cell r="X33">
            <v>0</v>
          </cell>
          <cell r="Y33"/>
          <cell r="Z33">
            <v>0</v>
          </cell>
          <cell r="AA33"/>
          <cell r="AB33">
            <v>0</v>
          </cell>
          <cell r="AC33"/>
          <cell r="AD33">
            <v>0</v>
          </cell>
          <cell r="AE33"/>
          <cell r="AF33">
            <v>0</v>
          </cell>
          <cell r="AG33"/>
          <cell r="AH33">
            <v>0</v>
          </cell>
        </row>
        <row r="34">
          <cell r="J34"/>
          <cell r="K34"/>
          <cell r="L34"/>
          <cell r="M34"/>
          <cell r="N34"/>
          <cell r="O34"/>
          <cell r="P34"/>
          <cell r="Q34"/>
          <cell r="R34"/>
          <cell r="S34"/>
          <cell r="T34"/>
          <cell r="U34"/>
          <cell r="V34"/>
          <cell r="W34"/>
          <cell r="X34"/>
          <cell r="Y34"/>
          <cell r="Z34"/>
          <cell r="AA34"/>
          <cell r="AB34"/>
          <cell r="AC34"/>
          <cell r="AD34"/>
          <cell r="AE34"/>
          <cell r="AF34"/>
          <cell r="AG34"/>
          <cell r="AH34"/>
        </row>
        <row r="35">
          <cell r="J35"/>
          <cell r="K35"/>
          <cell r="L35"/>
          <cell r="M35"/>
          <cell r="N35"/>
          <cell r="O35"/>
          <cell r="P35"/>
          <cell r="Q35"/>
          <cell r="R35"/>
          <cell r="S35"/>
          <cell r="T35"/>
          <cell r="U35"/>
          <cell r="V35"/>
          <cell r="W35"/>
          <cell r="X35"/>
          <cell r="Y35"/>
          <cell r="Z35"/>
          <cell r="AA35"/>
          <cell r="AB35"/>
          <cell r="AC35"/>
          <cell r="AD35"/>
          <cell r="AE35"/>
          <cell r="AF35"/>
          <cell r="AG35"/>
          <cell r="AH35"/>
        </row>
        <row r="36">
          <cell r="D36">
            <v>35517</v>
          </cell>
          <cell r="E36" t="str">
            <v>Proceeds - Other Recyclables</v>
          </cell>
          <cell r="F36"/>
          <cell r="G36"/>
          <cell r="H36"/>
          <cell r="I36"/>
          <cell r="J36">
            <v>470.68</v>
          </cell>
          <cell r="K36"/>
          <cell r="L36">
            <v>449.47</v>
          </cell>
          <cell r="M36"/>
          <cell r="N36">
            <v>0</v>
          </cell>
          <cell r="O36"/>
          <cell r="P36">
            <v>342.58</v>
          </cell>
          <cell r="Q36"/>
          <cell r="R36">
            <v>0</v>
          </cell>
          <cell r="S36"/>
          <cell r="T36">
            <v>1248.03</v>
          </cell>
          <cell r="U36"/>
          <cell r="V36">
            <v>465.85</v>
          </cell>
          <cell r="W36"/>
          <cell r="X36">
            <v>0</v>
          </cell>
          <cell r="Y36"/>
          <cell r="Z36">
            <v>384.09</v>
          </cell>
          <cell r="AA36"/>
          <cell r="AB36">
            <v>0</v>
          </cell>
          <cell r="AC36"/>
          <cell r="AD36">
            <v>374.99</v>
          </cell>
          <cell r="AE36"/>
          <cell r="AF36">
            <v>1399.86</v>
          </cell>
          <cell r="AG36"/>
          <cell r="AH36">
            <v>5135.55</v>
          </cell>
        </row>
        <row r="37">
          <cell r="D37">
            <v>35518</v>
          </cell>
          <cell r="E37" t="str">
            <v>Proceeds - Commingled</v>
          </cell>
          <cell r="F37"/>
          <cell r="G37"/>
          <cell r="H37"/>
          <cell r="I37"/>
          <cell r="J37">
            <v>812.52</v>
          </cell>
          <cell r="K37"/>
          <cell r="L37">
            <v>-60</v>
          </cell>
          <cell r="M37"/>
          <cell r="N37">
            <v>0</v>
          </cell>
          <cell r="O37"/>
          <cell r="P37">
            <v>0</v>
          </cell>
          <cell r="Q37"/>
          <cell r="R37">
            <v>0</v>
          </cell>
          <cell r="S37"/>
          <cell r="T37">
            <v>0</v>
          </cell>
          <cell r="U37"/>
          <cell r="V37">
            <v>0</v>
          </cell>
          <cell r="W37"/>
          <cell r="X37">
            <v>0</v>
          </cell>
          <cell r="Y37"/>
          <cell r="Z37">
            <v>0</v>
          </cell>
          <cell r="AA37"/>
          <cell r="AB37">
            <v>0</v>
          </cell>
          <cell r="AC37"/>
          <cell r="AD37">
            <v>0</v>
          </cell>
          <cell r="AE37"/>
          <cell r="AF37">
            <v>0</v>
          </cell>
          <cell r="AG37"/>
          <cell r="AH37">
            <v>752.52</v>
          </cell>
        </row>
        <row r="38">
          <cell r="D38">
            <v>35519</v>
          </cell>
          <cell r="E38" t="str">
            <v>Proceeds - Intercompany Material Sales</v>
          </cell>
          <cell r="F38"/>
          <cell r="G38"/>
          <cell r="H38"/>
          <cell r="I38"/>
          <cell r="J38">
            <v>3541.8</v>
          </cell>
          <cell r="K38"/>
          <cell r="L38">
            <v>7462.25</v>
          </cell>
          <cell r="M38"/>
          <cell r="N38">
            <v>12977.55</v>
          </cell>
          <cell r="O38"/>
          <cell r="P38">
            <v>15744.18</v>
          </cell>
          <cell r="Q38"/>
          <cell r="R38">
            <v>18000.12</v>
          </cell>
          <cell r="S38"/>
          <cell r="T38">
            <v>18658.8</v>
          </cell>
          <cell r="U38"/>
          <cell r="V38">
            <v>19239.68</v>
          </cell>
          <cell r="W38"/>
          <cell r="X38">
            <v>15971</v>
          </cell>
          <cell r="Y38"/>
          <cell r="Z38">
            <v>7434</v>
          </cell>
          <cell r="AA38"/>
          <cell r="AB38">
            <v>8283.99</v>
          </cell>
          <cell r="AC38"/>
          <cell r="AD38">
            <v>8010.9</v>
          </cell>
          <cell r="AE38"/>
          <cell r="AF38">
            <v>9481.86</v>
          </cell>
          <cell r="AG38"/>
          <cell r="AH38">
            <v>144806.12999999998</v>
          </cell>
        </row>
        <row r="39">
          <cell r="D39">
            <v>35571</v>
          </cell>
          <cell r="E39" t="str">
            <v>Proceeds - Ferrous Metal</v>
          </cell>
          <cell r="F39"/>
          <cell r="G39"/>
          <cell r="H39"/>
          <cell r="I39"/>
          <cell r="J39">
            <v>161.6</v>
          </cell>
          <cell r="K39"/>
          <cell r="L39">
            <v>366.3</v>
          </cell>
          <cell r="M39"/>
          <cell r="N39">
            <v>0</v>
          </cell>
          <cell r="O39"/>
          <cell r="P39">
            <v>0</v>
          </cell>
          <cell r="Q39"/>
          <cell r="R39">
            <v>470.46</v>
          </cell>
          <cell r="S39"/>
          <cell r="T39">
            <v>0</v>
          </cell>
          <cell r="U39"/>
          <cell r="V39">
            <v>0</v>
          </cell>
          <cell r="W39"/>
          <cell r="X39">
            <v>366.3</v>
          </cell>
          <cell r="Y39"/>
          <cell r="Z39">
            <v>566.88</v>
          </cell>
          <cell r="AA39"/>
          <cell r="AB39">
            <v>862.05</v>
          </cell>
          <cell r="AC39"/>
          <cell r="AD39">
            <v>0</v>
          </cell>
          <cell r="AE39"/>
          <cell r="AF39">
            <v>0</v>
          </cell>
          <cell r="AG39"/>
          <cell r="AH39">
            <v>2793.5899999999997</v>
          </cell>
        </row>
        <row r="40">
          <cell r="D40"/>
          <cell r="E40"/>
          <cell r="F40"/>
          <cell r="G40"/>
          <cell r="J40"/>
          <cell r="K40"/>
          <cell r="L40"/>
          <cell r="M40"/>
          <cell r="N40"/>
          <cell r="O40"/>
          <cell r="P40"/>
          <cell r="Q40"/>
          <cell r="R40"/>
          <cell r="S40"/>
          <cell r="T40"/>
          <cell r="U40"/>
          <cell r="V40"/>
          <cell r="W40"/>
          <cell r="X40"/>
          <cell r="Y40"/>
          <cell r="Z40"/>
          <cell r="AA40"/>
          <cell r="AB40"/>
          <cell r="AC40"/>
          <cell r="AD40"/>
          <cell r="AE40"/>
          <cell r="AF40"/>
          <cell r="AG40"/>
          <cell r="AH40"/>
        </row>
        <row r="41">
          <cell r="F41" t="str">
            <v>Recycling Proceeds</v>
          </cell>
          <cell r="J41">
            <v>4986.6000000000004</v>
          </cell>
          <cell r="K41"/>
          <cell r="L41">
            <v>8218.02</v>
          </cell>
          <cell r="M41"/>
          <cell r="N41">
            <v>12977.55</v>
          </cell>
          <cell r="O41"/>
          <cell r="P41">
            <v>16086.76</v>
          </cell>
          <cell r="Q41"/>
          <cell r="R41">
            <v>18470.579999999998</v>
          </cell>
          <cell r="S41"/>
          <cell r="T41">
            <v>19906.829999999998</v>
          </cell>
          <cell r="U41"/>
          <cell r="V41">
            <v>19705.53</v>
          </cell>
          <cell r="W41"/>
          <cell r="X41">
            <v>16337.3</v>
          </cell>
          <cell r="Y41"/>
          <cell r="Z41">
            <v>8384.9699999999993</v>
          </cell>
          <cell r="AA41"/>
          <cell r="AB41">
            <v>9146.0399999999991</v>
          </cell>
          <cell r="AC41"/>
          <cell r="AD41">
            <v>8385.89</v>
          </cell>
          <cell r="AE41"/>
          <cell r="AF41">
            <v>10881.720000000001</v>
          </cell>
          <cell r="AG41"/>
          <cell r="AH41">
            <v>153487.78999999998</v>
          </cell>
        </row>
        <row r="42">
          <cell r="D42"/>
          <cell r="E42"/>
          <cell r="F42"/>
          <cell r="G42"/>
          <cell r="J42"/>
          <cell r="K42"/>
          <cell r="L42"/>
          <cell r="M42"/>
          <cell r="N42"/>
          <cell r="O42"/>
          <cell r="P42"/>
          <cell r="Q42"/>
          <cell r="R42"/>
          <cell r="S42"/>
          <cell r="T42"/>
          <cell r="U42"/>
          <cell r="V42"/>
          <cell r="W42"/>
          <cell r="X42"/>
          <cell r="Y42"/>
          <cell r="Z42"/>
          <cell r="AA42"/>
          <cell r="AB42"/>
          <cell r="AC42"/>
          <cell r="AD42"/>
          <cell r="AE42"/>
          <cell r="AF42"/>
          <cell r="AG42"/>
          <cell r="AH42"/>
        </row>
        <row r="43">
          <cell r="J43"/>
          <cell r="K43"/>
          <cell r="L43"/>
          <cell r="M43"/>
          <cell r="N43"/>
          <cell r="O43"/>
          <cell r="P43"/>
          <cell r="Q43"/>
          <cell r="R43"/>
          <cell r="S43"/>
          <cell r="T43"/>
          <cell r="U43"/>
          <cell r="V43"/>
          <cell r="W43"/>
          <cell r="X43"/>
          <cell r="Y43"/>
          <cell r="Z43"/>
          <cell r="AA43"/>
          <cell r="AB43"/>
          <cell r="AC43"/>
          <cell r="AD43"/>
          <cell r="AE43"/>
          <cell r="AF43"/>
          <cell r="AG43"/>
          <cell r="AH43"/>
        </row>
        <row r="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v>0</v>
          </cell>
        </row>
        <row r="45">
          <cell r="D45"/>
          <cell r="E45"/>
          <cell r="F45"/>
          <cell r="G45"/>
          <cell r="J45"/>
          <cell r="K45"/>
          <cell r="L45"/>
          <cell r="M45"/>
          <cell r="N45"/>
          <cell r="O45"/>
          <cell r="P45"/>
          <cell r="Q45"/>
          <cell r="R45"/>
          <cell r="S45"/>
          <cell r="T45"/>
          <cell r="U45"/>
          <cell r="V45"/>
          <cell r="W45"/>
          <cell r="X45"/>
          <cell r="Y45"/>
          <cell r="Z45"/>
          <cell r="AA45"/>
          <cell r="AB45"/>
          <cell r="AC45"/>
          <cell r="AD45"/>
          <cell r="AE45"/>
          <cell r="AF45"/>
          <cell r="AG45"/>
          <cell r="AH45"/>
        </row>
        <row r="46">
          <cell r="F46" t="str">
            <v>Landfill Revenue</v>
          </cell>
          <cell r="J46">
            <v>0</v>
          </cell>
          <cell r="K46"/>
          <cell r="L46">
            <v>0</v>
          </cell>
          <cell r="M46"/>
          <cell r="N46">
            <v>0</v>
          </cell>
          <cell r="O46"/>
          <cell r="P46">
            <v>0</v>
          </cell>
          <cell r="Q46"/>
          <cell r="R46">
            <v>0</v>
          </cell>
          <cell r="S46"/>
          <cell r="T46">
            <v>0</v>
          </cell>
          <cell r="U46"/>
          <cell r="V46">
            <v>0</v>
          </cell>
          <cell r="W46"/>
          <cell r="X46">
            <v>0</v>
          </cell>
          <cell r="Y46"/>
          <cell r="Z46">
            <v>0</v>
          </cell>
          <cell r="AA46"/>
          <cell r="AB46">
            <v>0</v>
          </cell>
          <cell r="AC46"/>
          <cell r="AD46">
            <v>0</v>
          </cell>
          <cell r="AE46"/>
          <cell r="AF46">
            <v>0</v>
          </cell>
          <cell r="AG46"/>
          <cell r="AH46">
            <v>0</v>
          </cell>
        </row>
        <row r="47">
          <cell r="J47"/>
          <cell r="K47"/>
          <cell r="L47"/>
          <cell r="M47"/>
          <cell r="N47"/>
          <cell r="O47"/>
          <cell r="P47"/>
          <cell r="Q47"/>
          <cell r="R47"/>
          <cell r="S47"/>
          <cell r="T47"/>
          <cell r="U47"/>
          <cell r="V47"/>
          <cell r="W47"/>
          <cell r="X47"/>
          <cell r="Y47"/>
          <cell r="Z47"/>
          <cell r="AA47"/>
          <cell r="AB47"/>
          <cell r="AC47"/>
          <cell r="AD47"/>
          <cell r="AE47"/>
          <cell r="AF47"/>
          <cell r="AG47"/>
          <cell r="AH47"/>
        </row>
        <row r="48">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v>0</v>
          </cell>
        </row>
        <row r="49">
          <cell r="D49"/>
          <cell r="E49"/>
          <cell r="F49"/>
          <cell r="G49"/>
          <cell r="J49"/>
          <cell r="K49"/>
          <cell r="L49"/>
          <cell r="M49"/>
          <cell r="N49"/>
          <cell r="O49"/>
          <cell r="P49"/>
          <cell r="Q49"/>
          <cell r="R49"/>
          <cell r="S49"/>
          <cell r="T49"/>
          <cell r="U49"/>
          <cell r="V49"/>
          <cell r="W49"/>
          <cell r="X49"/>
          <cell r="Y49"/>
          <cell r="Z49"/>
          <cell r="AA49"/>
          <cell r="AB49"/>
          <cell r="AC49"/>
          <cell r="AD49"/>
          <cell r="AE49"/>
          <cell r="AF49"/>
          <cell r="AG49"/>
          <cell r="AH49"/>
        </row>
        <row r="50">
          <cell r="F50" t="str">
            <v>Intermodal</v>
          </cell>
          <cell r="J50">
            <v>0</v>
          </cell>
          <cell r="K50"/>
          <cell r="L50">
            <v>0</v>
          </cell>
          <cell r="M50"/>
          <cell r="N50">
            <v>0</v>
          </cell>
          <cell r="O50"/>
          <cell r="P50">
            <v>0</v>
          </cell>
          <cell r="Q50"/>
          <cell r="R50">
            <v>0</v>
          </cell>
          <cell r="S50"/>
          <cell r="T50">
            <v>0</v>
          </cell>
          <cell r="U50"/>
          <cell r="V50">
            <v>0</v>
          </cell>
          <cell r="W50"/>
          <cell r="X50">
            <v>0</v>
          </cell>
          <cell r="Y50"/>
          <cell r="Z50">
            <v>0</v>
          </cell>
          <cell r="AA50"/>
          <cell r="AB50">
            <v>0</v>
          </cell>
          <cell r="AC50"/>
          <cell r="AD50">
            <v>0</v>
          </cell>
          <cell r="AE50"/>
          <cell r="AF50">
            <v>0</v>
          </cell>
          <cell r="AG50"/>
          <cell r="AH50">
            <v>0</v>
          </cell>
        </row>
        <row r="51">
          <cell r="J51"/>
          <cell r="K51"/>
          <cell r="L51"/>
          <cell r="M51"/>
          <cell r="N51"/>
          <cell r="O51"/>
          <cell r="P51"/>
          <cell r="Q51"/>
          <cell r="R51"/>
          <cell r="S51"/>
          <cell r="T51"/>
          <cell r="U51"/>
          <cell r="V51"/>
          <cell r="W51"/>
          <cell r="X51"/>
          <cell r="Y51"/>
          <cell r="Z51"/>
          <cell r="AA51"/>
          <cell r="AB51"/>
          <cell r="AC51"/>
          <cell r="AD51"/>
          <cell r="AE51"/>
          <cell r="AF51"/>
          <cell r="AG51"/>
          <cell r="AH51"/>
        </row>
        <row r="52">
          <cell r="J52"/>
          <cell r="K52"/>
          <cell r="L52"/>
          <cell r="M52"/>
          <cell r="N52"/>
          <cell r="O52"/>
          <cell r="P52"/>
          <cell r="Q52"/>
          <cell r="R52"/>
          <cell r="S52"/>
          <cell r="T52"/>
          <cell r="U52"/>
          <cell r="V52"/>
          <cell r="W52"/>
          <cell r="X52"/>
          <cell r="Y52"/>
          <cell r="Z52"/>
          <cell r="AA52"/>
          <cell r="AB52"/>
          <cell r="AC52"/>
          <cell r="AD52"/>
          <cell r="AE52"/>
          <cell r="AF52"/>
          <cell r="AG52"/>
          <cell r="AH52"/>
        </row>
        <row r="53">
          <cell r="D53">
            <v>38000</v>
          </cell>
          <cell r="E53" t="str">
            <v>Other Revenue</v>
          </cell>
          <cell r="F53"/>
          <cell r="G53"/>
          <cell r="H53"/>
          <cell r="I53"/>
          <cell r="J53">
            <v>2782.39</v>
          </cell>
          <cell r="K53"/>
          <cell r="L53">
            <v>2330.64</v>
          </cell>
          <cell r="M53"/>
          <cell r="N53">
            <v>3268.75</v>
          </cell>
          <cell r="O53"/>
          <cell r="P53">
            <v>3183.67</v>
          </cell>
          <cell r="Q53"/>
          <cell r="R53">
            <v>3477.77</v>
          </cell>
          <cell r="S53"/>
          <cell r="T53">
            <v>3116.02</v>
          </cell>
          <cell r="U53"/>
          <cell r="V53">
            <v>3419.26</v>
          </cell>
          <cell r="W53"/>
          <cell r="X53">
            <v>4356.87</v>
          </cell>
          <cell r="Y53"/>
          <cell r="Z53">
            <v>4457.47</v>
          </cell>
          <cell r="AA53"/>
          <cell r="AB53">
            <v>3833.34</v>
          </cell>
          <cell r="AC53"/>
          <cell r="AD53">
            <v>2155.81</v>
          </cell>
          <cell r="AE53"/>
          <cell r="AF53">
            <v>7593.05</v>
          </cell>
          <cell r="AG53"/>
          <cell r="AH53">
            <v>43975.040000000001</v>
          </cell>
        </row>
        <row r="54">
          <cell r="D54">
            <v>38001</v>
          </cell>
          <cell r="E54" t="str">
            <v>P-Card Rebate Revenue</v>
          </cell>
          <cell r="F54"/>
          <cell r="G54"/>
          <cell r="H54"/>
          <cell r="I54"/>
          <cell r="J54">
            <v>1142.92</v>
          </cell>
          <cell r="K54"/>
          <cell r="L54">
            <v>1703.54</v>
          </cell>
          <cell r="M54"/>
          <cell r="N54">
            <v>1790.51</v>
          </cell>
          <cell r="O54"/>
          <cell r="P54">
            <v>919.85</v>
          </cell>
          <cell r="Q54"/>
          <cell r="R54">
            <v>1668.3</v>
          </cell>
          <cell r="S54"/>
          <cell r="T54">
            <v>1335.57</v>
          </cell>
          <cell r="U54"/>
          <cell r="V54">
            <v>1557.61</v>
          </cell>
          <cell r="W54"/>
          <cell r="X54">
            <v>1423.44</v>
          </cell>
          <cell r="Y54"/>
          <cell r="Z54">
            <v>1983.38</v>
          </cell>
          <cell r="AA54"/>
          <cell r="AB54">
            <v>1739.77</v>
          </cell>
          <cell r="AC54"/>
          <cell r="AD54">
            <v>1415.3</v>
          </cell>
          <cell r="AE54"/>
          <cell r="AF54">
            <v>1414.99</v>
          </cell>
          <cell r="AG54"/>
          <cell r="AH54">
            <v>18095.18</v>
          </cell>
        </row>
        <row r="55">
          <cell r="D55"/>
          <cell r="J55"/>
          <cell r="K55"/>
          <cell r="L55"/>
          <cell r="M55"/>
          <cell r="N55"/>
          <cell r="O55"/>
          <cell r="P55"/>
          <cell r="Q55"/>
          <cell r="R55"/>
          <cell r="S55"/>
          <cell r="T55"/>
          <cell r="U55"/>
          <cell r="V55"/>
          <cell r="W55"/>
          <cell r="X55"/>
          <cell r="Y55"/>
          <cell r="Z55"/>
          <cell r="AA55"/>
          <cell r="AB55"/>
          <cell r="AC55"/>
          <cell r="AD55"/>
          <cell r="AE55"/>
          <cell r="AF55"/>
          <cell r="AG55"/>
          <cell r="AH55"/>
        </row>
        <row r="56">
          <cell r="F56" t="str">
            <v>Other Revenue</v>
          </cell>
          <cell r="J56">
            <v>3925.31</v>
          </cell>
          <cell r="K56"/>
          <cell r="L56">
            <v>4034.18</v>
          </cell>
          <cell r="M56"/>
          <cell r="N56">
            <v>5059.26</v>
          </cell>
          <cell r="O56"/>
          <cell r="P56">
            <v>4103.5200000000004</v>
          </cell>
          <cell r="Q56"/>
          <cell r="R56">
            <v>5146.07</v>
          </cell>
          <cell r="S56"/>
          <cell r="T56">
            <v>4451.59</v>
          </cell>
          <cell r="U56"/>
          <cell r="V56">
            <v>4976.87</v>
          </cell>
          <cell r="W56"/>
          <cell r="X56">
            <v>5780.3099999999995</v>
          </cell>
          <cell r="Y56"/>
          <cell r="Z56">
            <v>6440.85</v>
          </cell>
          <cell r="AA56"/>
          <cell r="AB56">
            <v>5573.1100000000006</v>
          </cell>
          <cell r="AC56"/>
          <cell r="AD56">
            <v>3571.1099999999997</v>
          </cell>
          <cell r="AE56"/>
          <cell r="AF56">
            <v>9008.0400000000009</v>
          </cell>
          <cell r="AG56"/>
          <cell r="AH56">
            <v>62070.22</v>
          </cell>
        </row>
        <row r="57">
          <cell r="J57"/>
          <cell r="K57"/>
          <cell r="L57"/>
          <cell r="M57"/>
          <cell r="N57"/>
          <cell r="O57"/>
          <cell r="P57"/>
          <cell r="Q57"/>
          <cell r="R57"/>
          <cell r="S57"/>
          <cell r="T57"/>
          <cell r="U57"/>
          <cell r="V57"/>
          <cell r="W57"/>
          <cell r="X57"/>
          <cell r="Y57"/>
          <cell r="Z57"/>
          <cell r="AA57"/>
          <cell r="AB57"/>
          <cell r="AC57"/>
          <cell r="AD57"/>
          <cell r="AE57"/>
          <cell r="AF57"/>
          <cell r="AG57"/>
          <cell r="AH57"/>
        </row>
        <row r="58">
          <cell r="E58" t="str">
            <v>Revenue</v>
          </cell>
          <cell r="J58">
            <v>1597744.45</v>
          </cell>
          <cell r="K58"/>
          <cell r="L58">
            <v>1667435.2799999998</v>
          </cell>
          <cell r="M58"/>
          <cell r="N58">
            <v>1746875.9100000001</v>
          </cell>
          <cell r="O58"/>
          <cell r="P58">
            <v>1723596.6400000001</v>
          </cell>
          <cell r="Q58"/>
          <cell r="R58">
            <v>1737062.92</v>
          </cell>
          <cell r="S58"/>
          <cell r="T58">
            <v>1732296.2499999998</v>
          </cell>
          <cell r="U58"/>
          <cell r="V58">
            <v>1738772.52</v>
          </cell>
          <cell r="W58"/>
          <cell r="X58">
            <v>1723564.83</v>
          </cell>
          <cell r="Y58"/>
          <cell r="Z58">
            <v>1602065.4300000002</v>
          </cell>
          <cell r="AA58"/>
          <cell r="AB58">
            <v>1585536.7000000002</v>
          </cell>
          <cell r="AC58"/>
          <cell r="AD58">
            <v>1659245.61</v>
          </cell>
          <cell r="AE58"/>
          <cell r="AF58">
            <v>1732325.52</v>
          </cell>
          <cell r="AG58"/>
          <cell r="AH58">
            <v>20246522.060000002</v>
          </cell>
        </row>
        <row r="59">
          <cell r="J59"/>
          <cell r="K59"/>
          <cell r="L59"/>
          <cell r="M59"/>
          <cell r="N59"/>
          <cell r="O59"/>
          <cell r="P59"/>
          <cell r="Q59"/>
          <cell r="R59"/>
          <cell r="S59"/>
          <cell r="T59"/>
          <cell r="U59"/>
          <cell r="V59"/>
          <cell r="W59"/>
          <cell r="X59"/>
          <cell r="Y59"/>
          <cell r="Z59"/>
          <cell r="AA59"/>
          <cell r="AB59"/>
          <cell r="AC59"/>
          <cell r="AD59"/>
          <cell r="AE59"/>
          <cell r="AF59"/>
          <cell r="AG59"/>
          <cell r="AH59"/>
        </row>
        <row r="60">
          <cell r="J60"/>
          <cell r="K60"/>
          <cell r="L60"/>
          <cell r="M60"/>
          <cell r="N60"/>
          <cell r="O60"/>
          <cell r="P60"/>
          <cell r="Q60"/>
          <cell r="R60"/>
          <cell r="S60"/>
          <cell r="T60"/>
          <cell r="U60"/>
          <cell r="V60"/>
          <cell r="W60"/>
          <cell r="X60"/>
          <cell r="Y60"/>
          <cell r="Z60"/>
          <cell r="AA60"/>
          <cell r="AB60"/>
          <cell r="AC60"/>
          <cell r="AD60"/>
          <cell r="AE60"/>
          <cell r="AF60"/>
          <cell r="AG60"/>
          <cell r="AH60"/>
        </row>
        <row r="61">
          <cell r="D61">
            <v>40101</v>
          </cell>
          <cell r="E61" t="str">
            <v>Disposal Landfill</v>
          </cell>
          <cell r="F61"/>
          <cell r="G61"/>
          <cell r="H61"/>
          <cell r="I61"/>
          <cell r="J61">
            <v>410832.44</v>
          </cell>
          <cell r="K61"/>
          <cell r="L61">
            <v>398709.98</v>
          </cell>
          <cell r="M61"/>
          <cell r="N61">
            <v>452251.19</v>
          </cell>
          <cell r="O61"/>
          <cell r="P61">
            <v>434030.03</v>
          </cell>
          <cell r="Q61"/>
          <cell r="R61">
            <v>441637.31</v>
          </cell>
          <cell r="S61"/>
          <cell r="T61">
            <v>430630.88</v>
          </cell>
          <cell r="U61"/>
          <cell r="V61">
            <v>423298.66</v>
          </cell>
          <cell r="W61"/>
          <cell r="X61">
            <v>444473.46</v>
          </cell>
          <cell r="Y61"/>
          <cell r="Z61">
            <v>375570.53</v>
          </cell>
          <cell r="AA61"/>
          <cell r="AB61">
            <v>314008.88</v>
          </cell>
          <cell r="AC61"/>
          <cell r="AD61">
            <v>343860.01</v>
          </cell>
          <cell r="AE61"/>
          <cell r="AF61">
            <v>419420.89</v>
          </cell>
          <cell r="AG61"/>
          <cell r="AH61">
            <v>4888724.2600000007</v>
          </cell>
        </row>
        <row r="62">
          <cell r="D62">
            <v>40139</v>
          </cell>
          <cell r="E62" t="str">
            <v>Disposal Transfer Station Intercompany</v>
          </cell>
          <cell r="F62"/>
          <cell r="G62"/>
          <cell r="H62"/>
          <cell r="I62"/>
          <cell r="J62">
            <v>0.6</v>
          </cell>
          <cell r="K62"/>
          <cell r="L62">
            <v>-0.6</v>
          </cell>
          <cell r="M62"/>
          <cell r="N62">
            <v>0</v>
          </cell>
          <cell r="O62"/>
          <cell r="P62">
            <v>0</v>
          </cell>
          <cell r="Q62"/>
          <cell r="R62">
            <v>0</v>
          </cell>
          <cell r="S62"/>
          <cell r="T62">
            <v>0</v>
          </cell>
          <cell r="U62"/>
          <cell r="V62">
            <v>0</v>
          </cell>
          <cell r="W62"/>
          <cell r="X62">
            <v>0</v>
          </cell>
          <cell r="Y62"/>
          <cell r="Z62">
            <v>0</v>
          </cell>
          <cell r="AA62"/>
          <cell r="AB62">
            <v>0</v>
          </cell>
          <cell r="AC62"/>
          <cell r="AD62">
            <v>0</v>
          </cell>
          <cell r="AE62"/>
          <cell r="AF62">
            <v>0</v>
          </cell>
          <cell r="AG62"/>
          <cell r="AH62">
            <v>0</v>
          </cell>
        </row>
        <row r="63">
          <cell r="D63"/>
          <cell r="E63"/>
          <cell r="F63"/>
          <cell r="G63"/>
          <cell r="J63"/>
          <cell r="K63"/>
          <cell r="L63"/>
          <cell r="M63"/>
          <cell r="N63"/>
          <cell r="O63"/>
          <cell r="P63"/>
          <cell r="Q63"/>
          <cell r="R63"/>
          <cell r="S63"/>
          <cell r="T63"/>
          <cell r="U63"/>
          <cell r="V63"/>
          <cell r="W63"/>
          <cell r="X63"/>
          <cell r="Y63"/>
          <cell r="Z63"/>
          <cell r="AA63"/>
          <cell r="AB63"/>
          <cell r="AC63"/>
          <cell r="AD63"/>
          <cell r="AE63"/>
          <cell r="AF63"/>
          <cell r="AG63"/>
          <cell r="AH63"/>
        </row>
        <row r="64">
          <cell r="F64" t="str">
            <v>Disposal</v>
          </cell>
          <cell r="J64">
            <v>410833.04</v>
          </cell>
          <cell r="K64"/>
          <cell r="L64">
            <v>398709.38</v>
          </cell>
          <cell r="M64"/>
          <cell r="N64">
            <v>452251.19</v>
          </cell>
          <cell r="O64"/>
          <cell r="P64">
            <v>434030.03</v>
          </cell>
          <cell r="Q64"/>
          <cell r="R64">
            <v>441637.31</v>
          </cell>
          <cell r="S64"/>
          <cell r="T64">
            <v>430630.88</v>
          </cell>
          <cell r="U64"/>
          <cell r="V64">
            <v>423298.66</v>
          </cell>
          <cell r="W64"/>
          <cell r="X64">
            <v>444473.46</v>
          </cell>
          <cell r="Y64"/>
          <cell r="Z64">
            <v>375570.53</v>
          </cell>
          <cell r="AA64"/>
          <cell r="AB64">
            <v>314008.88</v>
          </cell>
          <cell r="AC64"/>
          <cell r="AD64">
            <v>343860.01</v>
          </cell>
          <cell r="AE64"/>
          <cell r="AF64">
            <v>419420.89</v>
          </cell>
          <cell r="AG64"/>
          <cell r="AH64">
            <v>4888724.2600000007</v>
          </cell>
        </row>
        <row r="65">
          <cell r="J65"/>
          <cell r="K65"/>
          <cell r="L65"/>
          <cell r="M65"/>
          <cell r="N65"/>
          <cell r="O65"/>
          <cell r="P65"/>
          <cell r="Q65"/>
          <cell r="R65"/>
          <cell r="S65"/>
          <cell r="T65"/>
          <cell r="U65"/>
          <cell r="V65"/>
          <cell r="W65"/>
          <cell r="X65"/>
          <cell r="Y65"/>
          <cell r="Z65"/>
          <cell r="AA65"/>
          <cell r="AB65"/>
          <cell r="AC65"/>
          <cell r="AD65"/>
          <cell r="AE65"/>
          <cell r="AF65"/>
          <cell r="AG65"/>
          <cell r="AH65"/>
        </row>
        <row r="66">
          <cell r="D66">
            <v>40861</v>
          </cell>
          <cell r="E66" t="str">
            <v>Processing Fees MRF</v>
          </cell>
          <cell r="F66"/>
          <cell r="G66"/>
          <cell r="H66"/>
          <cell r="I66"/>
          <cell r="J66">
            <v>0</v>
          </cell>
          <cell r="K66"/>
          <cell r="L66">
            <v>0</v>
          </cell>
          <cell r="M66"/>
          <cell r="N66">
            <v>0</v>
          </cell>
          <cell r="O66"/>
          <cell r="P66">
            <v>0</v>
          </cell>
          <cell r="Q66"/>
          <cell r="R66">
            <v>0</v>
          </cell>
          <cell r="S66"/>
          <cell r="T66">
            <v>0</v>
          </cell>
          <cell r="U66"/>
          <cell r="V66">
            <v>0</v>
          </cell>
          <cell r="W66"/>
          <cell r="X66">
            <v>0</v>
          </cell>
          <cell r="Y66"/>
          <cell r="Z66">
            <v>0</v>
          </cell>
          <cell r="AA66"/>
          <cell r="AB66">
            <v>0</v>
          </cell>
          <cell r="AC66"/>
          <cell r="AD66">
            <v>0</v>
          </cell>
          <cell r="AE66"/>
          <cell r="AF66">
            <v>0</v>
          </cell>
          <cell r="AG66"/>
          <cell r="AH66">
            <v>0</v>
          </cell>
        </row>
        <row r="67">
          <cell r="D67"/>
          <cell r="J67"/>
          <cell r="K67"/>
          <cell r="L67"/>
          <cell r="M67"/>
          <cell r="N67"/>
          <cell r="O67"/>
          <cell r="P67"/>
          <cell r="Q67"/>
          <cell r="R67"/>
          <cell r="S67"/>
          <cell r="T67"/>
          <cell r="U67"/>
          <cell r="V67"/>
          <cell r="W67"/>
          <cell r="X67"/>
          <cell r="Y67"/>
          <cell r="Z67"/>
          <cell r="AA67"/>
          <cell r="AB67"/>
          <cell r="AC67"/>
          <cell r="AD67"/>
          <cell r="AE67"/>
          <cell r="AF67"/>
          <cell r="AG67"/>
          <cell r="AH67"/>
        </row>
        <row r="68">
          <cell r="F68" t="str">
            <v>MRF Processing</v>
          </cell>
          <cell r="J68">
            <v>0</v>
          </cell>
          <cell r="K68"/>
          <cell r="L68">
            <v>0</v>
          </cell>
          <cell r="M68"/>
          <cell r="N68">
            <v>0</v>
          </cell>
          <cell r="O68"/>
          <cell r="P68">
            <v>0</v>
          </cell>
          <cell r="Q68"/>
          <cell r="R68">
            <v>0</v>
          </cell>
          <cell r="S68"/>
          <cell r="T68">
            <v>0</v>
          </cell>
          <cell r="U68"/>
          <cell r="V68">
            <v>0</v>
          </cell>
          <cell r="W68"/>
          <cell r="X68">
            <v>0</v>
          </cell>
          <cell r="Y68"/>
          <cell r="Z68">
            <v>0</v>
          </cell>
          <cell r="AA68"/>
          <cell r="AB68">
            <v>0</v>
          </cell>
          <cell r="AC68"/>
          <cell r="AD68">
            <v>0</v>
          </cell>
          <cell r="AE68"/>
          <cell r="AF68">
            <v>0</v>
          </cell>
          <cell r="AG68"/>
          <cell r="AH68">
            <v>0</v>
          </cell>
        </row>
        <row r="69">
          <cell r="J69"/>
          <cell r="K69"/>
          <cell r="L69"/>
          <cell r="M69"/>
          <cell r="N69"/>
          <cell r="O69"/>
          <cell r="P69"/>
          <cell r="Q69"/>
          <cell r="R69"/>
          <cell r="S69"/>
          <cell r="T69"/>
          <cell r="U69"/>
          <cell r="V69"/>
          <cell r="W69"/>
          <cell r="X69"/>
          <cell r="Y69"/>
          <cell r="Z69"/>
          <cell r="AA69"/>
          <cell r="AB69"/>
          <cell r="AC69"/>
          <cell r="AD69"/>
          <cell r="AE69"/>
          <cell r="AF69"/>
          <cell r="AG69"/>
          <cell r="AH69"/>
        </row>
        <row r="70">
          <cell r="J70"/>
          <cell r="K70"/>
          <cell r="L70"/>
          <cell r="M70"/>
          <cell r="N70"/>
          <cell r="O70"/>
          <cell r="P70"/>
          <cell r="Q70"/>
          <cell r="R70"/>
          <cell r="S70"/>
          <cell r="T70"/>
          <cell r="U70"/>
          <cell r="V70"/>
          <cell r="W70"/>
          <cell r="X70"/>
          <cell r="Y70"/>
          <cell r="Z70"/>
          <cell r="AA70"/>
          <cell r="AB70"/>
          <cell r="AC70"/>
          <cell r="AD70"/>
          <cell r="AE70"/>
          <cell r="AF70"/>
          <cell r="AG70"/>
          <cell r="AH70"/>
        </row>
        <row r="71">
          <cell r="D71">
            <v>41121</v>
          </cell>
          <cell r="E71" t="str">
            <v>Brokerage Cost</v>
          </cell>
          <cell r="F71"/>
          <cell r="G71"/>
          <cell r="H71"/>
          <cell r="I71"/>
          <cell r="J71">
            <v>22150</v>
          </cell>
          <cell r="K71"/>
          <cell r="L71">
            <v>20400</v>
          </cell>
          <cell r="M71"/>
          <cell r="N71">
            <v>21250</v>
          </cell>
          <cell r="O71"/>
          <cell r="P71">
            <v>20400</v>
          </cell>
          <cell r="Q71"/>
          <cell r="R71">
            <v>20400</v>
          </cell>
          <cell r="S71"/>
          <cell r="T71">
            <v>22100</v>
          </cell>
          <cell r="U71"/>
          <cell r="V71">
            <v>18776.02</v>
          </cell>
          <cell r="W71"/>
          <cell r="X71">
            <v>16150</v>
          </cell>
          <cell r="Y71"/>
          <cell r="Z71">
            <v>20400</v>
          </cell>
          <cell r="AA71"/>
          <cell r="AB71">
            <v>15300</v>
          </cell>
          <cell r="AC71"/>
          <cell r="AD71">
            <v>16150</v>
          </cell>
          <cell r="AE71"/>
          <cell r="AF71">
            <v>23100</v>
          </cell>
          <cell r="AG71"/>
          <cell r="AH71">
            <v>236576.02000000002</v>
          </cell>
        </row>
        <row r="72">
          <cell r="D72">
            <v>41201</v>
          </cell>
          <cell r="E72" t="str">
            <v>Taxes and Fees</v>
          </cell>
          <cell r="F72"/>
          <cell r="G72"/>
          <cell r="H72"/>
          <cell r="I72"/>
          <cell r="J72">
            <v>29185.82</v>
          </cell>
          <cell r="K72"/>
          <cell r="L72">
            <v>27688.400000000001</v>
          </cell>
          <cell r="M72"/>
          <cell r="N72">
            <v>29799.759999999998</v>
          </cell>
          <cell r="O72"/>
          <cell r="P72">
            <v>28733.49</v>
          </cell>
          <cell r="Q72"/>
          <cell r="R72">
            <v>28412</v>
          </cell>
          <cell r="S72"/>
          <cell r="T72">
            <v>25465.22</v>
          </cell>
          <cell r="U72"/>
          <cell r="V72">
            <v>30697.13</v>
          </cell>
          <cell r="W72"/>
          <cell r="X72">
            <v>28865.14</v>
          </cell>
          <cell r="Y72"/>
          <cell r="Z72">
            <v>25450.26</v>
          </cell>
          <cell r="AA72"/>
          <cell r="AB72">
            <v>54945.65</v>
          </cell>
          <cell r="AC72"/>
          <cell r="AD72">
            <v>54512.02</v>
          </cell>
          <cell r="AE72"/>
          <cell r="AF72">
            <v>54116.88</v>
          </cell>
          <cell r="AG72"/>
          <cell r="AH72">
            <v>417871.77000000008</v>
          </cell>
        </row>
        <row r="73">
          <cell r="D73">
            <v>43001</v>
          </cell>
          <cell r="E73" t="str">
            <v>LF Taxes and Fees</v>
          </cell>
          <cell r="F73"/>
          <cell r="G73"/>
          <cell r="H73"/>
          <cell r="I73"/>
          <cell r="J73">
            <v>26985.75</v>
          </cell>
          <cell r="K73"/>
          <cell r="L73">
            <v>28503.11</v>
          </cell>
          <cell r="M73"/>
          <cell r="N73">
            <v>28669.99</v>
          </cell>
          <cell r="O73"/>
          <cell r="P73">
            <v>28095.4</v>
          </cell>
          <cell r="Q73"/>
          <cell r="R73">
            <v>27951.52</v>
          </cell>
          <cell r="S73"/>
          <cell r="T73">
            <v>28959.63</v>
          </cell>
          <cell r="U73"/>
          <cell r="V73">
            <v>28562.63</v>
          </cell>
          <cell r="W73"/>
          <cell r="X73">
            <v>29236.21</v>
          </cell>
          <cell r="Y73"/>
          <cell r="Z73">
            <v>26357.41</v>
          </cell>
          <cell r="AA73"/>
          <cell r="AB73">
            <v>0</v>
          </cell>
          <cell r="AC73"/>
          <cell r="AD73">
            <v>0</v>
          </cell>
          <cell r="AE73"/>
          <cell r="AF73">
            <v>0</v>
          </cell>
          <cell r="AG73"/>
          <cell r="AH73">
            <v>253321.64999999997</v>
          </cell>
        </row>
        <row r="74">
          <cell r="D74">
            <v>43002</v>
          </cell>
          <cell r="E74" t="str">
            <v>WUTC Taxes</v>
          </cell>
          <cell r="F74"/>
          <cell r="G74"/>
          <cell r="H74"/>
          <cell r="I74"/>
          <cell r="J74">
            <v>5492</v>
          </cell>
          <cell r="K74"/>
          <cell r="L74">
            <v>5730</v>
          </cell>
          <cell r="M74"/>
          <cell r="N74">
            <v>6037.01</v>
          </cell>
          <cell r="O74"/>
          <cell r="P74">
            <v>5972</v>
          </cell>
          <cell r="Q74"/>
          <cell r="R74">
            <v>5977</v>
          </cell>
          <cell r="S74"/>
          <cell r="T74">
            <v>5434</v>
          </cell>
          <cell r="U74"/>
          <cell r="V74">
            <v>6036</v>
          </cell>
          <cell r="W74"/>
          <cell r="X74">
            <v>5870</v>
          </cell>
          <cell r="Y74"/>
          <cell r="Z74">
            <v>5613</v>
          </cell>
          <cell r="AA74"/>
          <cell r="AB74">
            <v>5334</v>
          </cell>
          <cell r="AC74"/>
          <cell r="AD74">
            <v>5538</v>
          </cell>
          <cell r="AE74"/>
          <cell r="AF74">
            <v>5914</v>
          </cell>
          <cell r="AG74"/>
          <cell r="AH74">
            <v>68947.010000000009</v>
          </cell>
        </row>
        <row r="75">
          <cell r="D75"/>
          <cell r="E75"/>
          <cell r="F75"/>
          <cell r="G75"/>
          <cell r="J75"/>
          <cell r="K75"/>
          <cell r="L75"/>
          <cell r="M75"/>
          <cell r="N75"/>
          <cell r="O75"/>
          <cell r="P75"/>
          <cell r="Q75"/>
          <cell r="R75"/>
          <cell r="S75"/>
          <cell r="T75"/>
          <cell r="U75"/>
          <cell r="V75"/>
          <cell r="W75"/>
          <cell r="X75"/>
          <cell r="Y75"/>
          <cell r="Z75"/>
          <cell r="AA75"/>
          <cell r="AB75"/>
          <cell r="AC75"/>
          <cell r="AD75"/>
          <cell r="AE75"/>
          <cell r="AF75"/>
          <cell r="AG75"/>
          <cell r="AH75"/>
        </row>
        <row r="76">
          <cell r="F76" t="str">
            <v>Brok. and Taxes</v>
          </cell>
          <cell r="G76"/>
          <cell r="H76"/>
          <cell r="I76"/>
          <cell r="J76">
            <v>83813.570000000007</v>
          </cell>
          <cell r="K76"/>
          <cell r="L76">
            <v>82321.510000000009</v>
          </cell>
          <cell r="M76"/>
          <cell r="N76">
            <v>85756.76</v>
          </cell>
          <cell r="O76"/>
          <cell r="P76">
            <v>83200.890000000014</v>
          </cell>
          <cell r="Q76"/>
          <cell r="R76">
            <v>82740.52</v>
          </cell>
          <cell r="S76"/>
          <cell r="T76">
            <v>81958.850000000006</v>
          </cell>
          <cell r="U76"/>
          <cell r="V76">
            <v>84071.78</v>
          </cell>
          <cell r="W76"/>
          <cell r="X76">
            <v>80121.350000000006</v>
          </cell>
          <cell r="Y76"/>
          <cell r="Z76">
            <v>77820.67</v>
          </cell>
          <cell r="AA76"/>
          <cell r="AB76">
            <v>75579.649999999994</v>
          </cell>
          <cell r="AC76"/>
          <cell r="AD76">
            <v>76200.01999999999</v>
          </cell>
          <cell r="AE76"/>
          <cell r="AF76">
            <v>83130.880000000005</v>
          </cell>
          <cell r="AG76"/>
          <cell r="AH76">
            <v>976716.45</v>
          </cell>
        </row>
        <row r="77">
          <cell r="J77"/>
          <cell r="K77"/>
          <cell r="L77"/>
          <cell r="M77"/>
          <cell r="N77"/>
          <cell r="O77"/>
          <cell r="P77"/>
          <cell r="Q77"/>
          <cell r="R77"/>
          <cell r="S77"/>
          <cell r="T77"/>
          <cell r="U77"/>
          <cell r="V77"/>
          <cell r="W77"/>
          <cell r="X77"/>
          <cell r="Y77"/>
          <cell r="Z77"/>
          <cell r="AA77"/>
          <cell r="AB77"/>
          <cell r="AC77"/>
          <cell r="AD77"/>
          <cell r="AE77"/>
          <cell r="AF77"/>
          <cell r="AG77"/>
          <cell r="AH77"/>
        </row>
        <row r="78">
          <cell r="J78"/>
          <cell r="K78"/>
          <cell r="L78"/>
          <cell r="M78"/>
          <cell r="N78"/>
          <cell r="O78"/>
          <cell r="P78"/>
          <cell r="Q78"/>
          <cell r="R78"/>
          <cell r="S78"/>
          <cell r="T78"/>
          <cell r="U78"/>
          <cell r="V78"/>
          <cell r="W78"/>
          <cell r="X78"/>
          <cell r="Y78"/>
          <cell r="Z78"/>
          <cell r="AA78"/>
          <cell r="AB78"/>
          <cell r="AC78"/>
          <cell r="AD78"/>
          <cell r="AE78"/>
          <cell r="AF78"/>
          <cell r="AG78"/>
          <cell r="AH78"/>
        </row>
        <row r="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v>0</v>
          </cell>
        </row>
        <row r="80">
          <cell r="D80"/>
          <cell r="E80"/>
          <cell r="F80"/>
          <cell r="G80"/>
          <cell r="J80"/>
          <cell r="K80"/>
          <cell r="L80"/>
          <cell r="M80"/>
          <cell r="N80"/>
          <cell r="O80"/>
          <cell r="P80"/>
          <cell r="Q80"/>
          <cell r="R80"/>
          <cell r="S80"/>
          <cell r="T80"/>
          <cell r="U80"/>
          <cell r="V80"/>
          <cell r="W80"/>
          <cell r="X80"/>
          <cell r="Y80"/>
          <cell r="Z80"/>
          <cell r="AA80"/>
          <cell r="AB80"/>
          <cell r="AC80"/>
          <cell r="AD80"/>
          <cell r="AE80"/>
          <cell r="AF80"/>
          <cell r="AG80"/>
          <cell r="AH80"/>
        </row>
        <row r="81">
          <cell r="F81" t="str">
            <v>Cost of Materials</v>
          </cell>
          <cell r="G81"/>
          <cell r="H81"/>
          <cell r="I81"/>
          <cell r="J81">
            <v>0</v>
          </cell>
          <cell r="K81"/>
          <cell r="L81">
            <v>0</v>
          </cell>
          <cell r="M81"/>
          <cell r="N81">
            <v>0</v>
          </cell>
          <cell r="O81"/>
          <cell r="P81">
            <v>0</v>
          </cell>
          <cell r="Q81"/>
          <cell r="R81">
            <v>0</v>
          </cell>
          <cell r="S81"/>
          <cell r="T81">
            <v>0</v>
          </cell>
          <cell r="U81"/>
          <cell r="V81">
            <v>0</v>
          </cell>
          <cell r="W81"/>
          <cell r="X81">
            <v>0</v>
          </cell>
          <cell r="Y81"/>
          <cell r="Z81">
            <v>0</v>
          </cell>
          <cell r="AA81"/>
          <cell r="AB81">
            <v>0</v>
          </cell>
          <cell r="AC81"/>
          <cell r="AD81">
            <v>0</v>
          </cell>
          <cell r="AE81"/>
          <cell r="AF81">
            <v>0</v>
          </cell>
          <cell r="AG81"/>
          <cell r="AH81">
            <v>0</v>
          </cell>
        </row>
        <row r="82">
          <cell r="J82"/>
          <cell r="K82"/>
          <cell r="L82"/>
          <cell r="M82"/>
          <cell r="N82"/>
          <cell r="O82"/>
          <cell r="P82"/>
          <cell r="Q82"/>
          <cell r="R82"/>
          <cell r="S82"/>
          <cell r="T82"/>
          <cell r="U82"/>
          <cell r="V82"/>
          <cell r="W82"/>
          <cell r="X82"/>
          <cell r="Y82"/>
          <cell r="Z82"/>
          <cell r="AA82"/>
          <cell r="AB82"/>
          <cell r="AC82"/>
          <cell r="AD82"/>
          <cell r="AE82"/>
          <cell r="AF82"/>
          <cell r="AG82"/>
          <cell r="AH82"/>
        </row>
        <row r="83">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v>0</v>
          </cell>
        </row>
        <row r="84">
          <cell r="D84"/>
          <cell r="J84"/>
          <cell r="K84"/>
          <cell r="L84"/>
          <cell r="M84"/>
          <cell r="N84"/>
          <cell r="O84"/>
          <cell r="P84"/>
          <cell r="Q84"/>
          <cell r="R84"/>
          <cell r="S84"/>
          <cell r="T84"/>
          <cell r="U84"/>
          <cell r="V84"/>
          <cell r="W84"/>
          <cell r="X84"/>
          <cell r="Y84"/>
          <cell r="Z84"/>
          <cell r="AA84"/>
          <cell r="AB84"/>
          <cell r="AC84"/>
          <cell r="AD84"/>
          <cell r="AE84"/>
          <cell r="AF84"/>
          <cell r="AG84"/>
          <cell r="AH84"/>
        </row>
        <row r="85">
          <cell r="F85" t="str">
            <v>Other Expense</v>
          </cell>
          <cell r="J85">
            <v>0</v>
          </cell>
          <cell r="K85"/>
          <cell r="L85">
            <v>0</v>
          </cell>
          <cell r="M85"/>
          <cell r="N85">
            <v>0</v>
          </cell>
          <cell r="O85"/>
          <cell r="P85">
            <v>0</v>
          </cell>
          <cell r="Q85"/>
          <cell r="R85">
            <v>0</v>
          </cell>
          <cell r="S85"/>
          <cell r="T85">
            <v>0</v>
          </cell>
          <cell r="U85"/>
          <cell r="V85">
            <v>0</v>
          </cell>
          <cell r="W85"/>
          <cell r="X85">
            <v>0</v>
          </cell>
          <cell r="Y85"/>
          <cell r="Z85">
            <v>0</v>
          </cell>
          <cell r="AA85"/>
          <cell r="AB85">
            <v>0</v>
          </cell>
          <cell r="AC85"/>
          <cell r="AD85">
            <v>0</v>
          </cell>
          <cell r="AE85"/>
          <cell r="AF85">
            <v>0</v>
          </cell>
          <cell r="AG85"/>
          <cell r="AH85">
            <v>0</v>
          </cell>
        </row>
        <row r="86">
          <cell r="J86"/>
          <cell r="K86"/>
          <cell r="L86"/>
          <cell r="M86"/>
          <cell r="N86"/>
          <cell r="O86"/>
          <cell r="P86"/>
          <cell r="Q86"/>
          <cell r="R86"/>
          <cell r="S86"/>
          <cell r="T86"/>
          <cell r="U86"/>
          <cell r="V86"/>
          <cell r="W86"/>
          <cell r="X86"/>
          <cell r="Y86"/>
          <cell r="Z86"/>
          <cell r="AA86"/>
          <cell r="AB86"/>
          <cell r="AC86"/>
          <cell r="AD86"/>
          <cell r="AE86"/>
          <cell r="AF86"/>
          <cell r="AG86"/>
          <cell r="AH86"/>
        </row>
        <row r="87">
          <cell r="E87" t="str">
            <v>Rev Reductions</v>
          </cell>
          <cell r="J87">
            <v>494646.61</v>
          </cell>
          <cell r="K87"/>
          <cell r="L87">
            <v>481030.89</v>
          </cell>
          <cell r="M87"/>
          <cell r="N87">
            <v>538007.94999999995</v>
          </cell>
          <cell r="O87"/>
          <cell r="P87">
            <v>517230.92000000004</v>
          </cell>
          <cell r="Q87"/>
          <cell r="R87">
            <v>524377.82999999996</v>
          </cell>
          <cell r="S87"/>
          <cell r="T87">
            <v>512589.73</v>
          </cell>
          <cell r="U87"/>
          <cell r="V87">
            <v>507370.43999999994</v>
          </cell>
          <cell r="W87"/>
          <cell r="X87">
            <v>524594.81000000006</v>
          </cell>
          <cell r="Y87"/>
          <cell r="Z87">
            <v>453391.2</v>
          </cell>
          <cell r="AA87"/>
          <cell r="AB87">
            <v>389588.53</v>
          </cell>
          <cell r="AC87"/>
          <cell r="AD87">
            <v>420060.03</v>
          </cell>
          <cell r="AE87"/>
          <cell r="AF87">
            <v>502551.77</v>
          </cell>
          <cell r="AG87"/>
          <cell r="AH87">
            <v>5865440.7100000009</v>
          </cell>
        </row>
        <row r="88">
          <cell r="J88"/>
          <cell r="K88"/>
          <cell r="L88"/>
          <cell r="M88"/>
          <cell r="N88"/>
          <cell r="O88"/>
          <cell r="P88"/>
          <cell r="Q88"/>
          <cell r="R88"/>
          <cell r="S88"/>
          <cell r="T88"/>
          <cell r="U88"/>
          <cell r="V88"/>
          <cell r="W88"/>
          <cell r="X88"/>
          <cell r="Y88"/>
          <cell r="Z88"/>
          <cell r="AA88"/>
          <cell r="AB88"/>
          <cell r="AC88"/>
          <cell r="AD88"/>
          <cell r="AE88"/>
          <cell r="AF88"/>
          <cell r="AG88"/>
          <cell r="AH88"/>
        </row>
        <row r="89">
          <cell r="E89" t="str">
            <v>Net Revenue</v>
          </cell>
          <cell r="J89">
            <v>1103097.8399999999</v>
          </cell>
          <cell r="K89"/>
          <cell r="L89">
            <v>1186404.3899999997</v>
          </cell>
          <cell r="M89"/>
          <cell r="N89">
            <v>1208867.9600000002</v>
          </cell>
          <cell r="O89"/>
          <cell r="P89">
            <v>1206365.7200000002</v>
          </cell>
          <cell r="Q89"/>
          <cell r="R89">
            <v>1212685.0899999999</v>
          </cell>
          <cell r="S89"/>
          <cell r="T89">
            <v>1219706.5199999998</v>
          </cell>
          <cell r="U89"/>
          <cell r="V89">
            <v>1231402.08</v>
          </cell>
          <cell r="W89"/>
          <cell r="X89">
            <v>1198970.02</v>
          </cell>
          <cell r="Y89"/>
          <cell r="Z89">
            <v>1148674.2300000002</v>
          </cell>
          <cell r="AA89"/>
          <cell r="AB89">
            <v>1195948.1700000002</v>
          </cell>
          <cell r="AC89"/>
          <cell r="AD89">
            <v>1239185.58</v>
          </cell>
          <cell r="AE89"/>
          <cell r="AF89">
            <v>1229773.75</v>
          </cell>
          <cell r="AG89"/>
          <cell r="AH89">
            <v>14381081.350000001</v>
          </cell>
        </row>
        <row r="90">
          <cell r="J90"/>
          <cell r="K90"/>
          <cell r="L90"/>
          <cell r="M90"/>
          <cell r="N90"/>
          <cell r="O90"/>
          <cell r="P90"/>
          <cell r="Q90"/>
          <cell r="R90"/>
          <cell r="S90"/>
          <cell r="T90"/>
          <cell r="U90"/>
          <cell r="V90"/>
          <cell r="W90"/>
          <cell r="X90"/>
          <cell r="Y90"/>
          <cell r="Z90"/>
          <cell r="AA90"/>
          <cell r="AB90"/>
          <cell r="AC90"/>
          <cell r="AD90"/>
          <cell r="AE90"/>
          <cell r="AF90"/>
          <cell r="AG90"/>
          <cell r="AH90"/>
        </row>
        <row r="91">
          <cell r="J91"/>
          <cell r="K91"/>
          <cell r="L91"/>
          <cell r="M91"/>
          <cell r="N91"/>
          <cell r="O91"/>
          <cell r="P91"/>
          <cell r="Q91"/>
          <cell r="R91"/>
          <cell r="S91"/>
          <cell r="T91"/>
          <cell r="U91"/>
          <cell r="V91"/>
          <cell r="W91"/>
          <cell r="X91"/>
          <cell r="Y91"/>
          <cell r="Z91"/>
          <cell r="AA91"/>
          <cell r="AB91"/>
          <cell r="AC91"/>
          <cell r="AD91"/>
          <cell r="AE91"/>
          <cell r="AF91"/>
          <cell r="AG91"/>
          <cell r="AH91"/>
        </row>
        <row r="92">
          <cell r="D92">
            <v>50020</v>
          </cell>
          <cell r="E92" t="str">
            <v>Wages Regular</v>
          </cell>
          <cell r="F92"/>
          <cell r="G92"/>
          <cell r="H92"/>
          <cell r="I92"/>
          <cell r="J92">
            <v>189208.22</v>
          </cell>
          <cell r="K92"/>
          <cell r="L92">
            <v>203972.41</v>
          </cell>
          <cell r="M92"/>
          <cell r="N92">
            <v>227909.23</v>
          </cell>
          <cell r="O92"/>
          <cell r="P92">
            <v>216878.86</v>
          </cell>
          <cell r="Q92"/>
          <cell r="R92">
            <v>218967.2</v>
          </cell>
          <cell r="S92"/>
          <cell r="T92">
            <v>228125.47</v>
          </cell>
          <cell r="U92"/>
          <cell r="V92">
            <v>196198.13</v>
          </cell>
          <cell r="W92"/>
          <cell r="X92">
            <v>219105.25</v>
          </cell>
          <cell r="Y92"/>
          <cell r="Z92">
            <v>232860.33</v>
          </cell>
          <cell r="AA92"/>
          <cell r="AB92">
            <v>197776.39</v>
          </cell>
          <cell r="AC92"/>
          <cell r="AD92">
            <v>205242.33</v>
          </cell>
          <cell r="AE92"/>
          <cell r="AF92">
            <v>219482.8</v>
          </cell>
          <cell r="AG92"/>
          <cell r="AH92">
            <v>2555726.62</v>
          </cell>
        </row>
        <row r="93">
          <cell r="D93">
            <v>50025</v>
          </cell>
          <cell r="E93" t="str">
            <v>Wages O.T.</v>
          </cell>
          <cell r="F93"/>
          <cell r="G93"/>
          <cell r="H93"/>
          <cell r="I93"/>
          <cell r="J93">
            <v>65485.51</v>
          </cell>
          <cell r="K93"/>
          <cell r="L93">
            <v>57358.49</v>
          </cell>
          <cell r="M93"/>
          <cell r="N93">
            <v>45293.63</v>
          </cell>
          <cell r="O93"/>
          <cell r="P93">
            <v>64724.28</v>
          </cell>
          <cell r="Q93"/>
          <cell r="R93">
            <v>55823.86</v>
          </cell>
          <cell r="S93"/>
          <cell r="T93">
            <v>56546.81</v>
          </cell>
          <cell r="U93"/>
          <cell r="V93">
            <v>69136.479999999996</v>
          </cell>
          <cell r="W93"/>
          <cell r="X93">
            <v>55956.25</v>
          </cell>
          <cell r="Y93"/>
          <cell r="Z93">
            <v>60312.54</v>
          </cell>
          <cell r="AA93"/>
          <cell r="AB93">
            <v>41376</v>
          </cell>
          <cell r="AC93"/>
          <cell r="AD93">
            <v>54776.44</v>
          </cell>
          <cell r="AE93"/>
          <cell r="AF93">
            <v>50202.3</v>
          </cell>
          <cell r="AG93"/>
          <cell r="AH93">
            <v>676992.59</v>
          </cell>
        </row>
        <row r="94">
          <cell r="D94">
            <v>50035</v>
          </cell>
          <cell r="E94" t="str">
            <v>Safety Bonuses</v>
          </cell>
          <cell r="F94"/>
          <cell r="G94"/>
          <cell r="H94"/>
          <cell r="I94"/>
          <cell r="J94">
            <v>4968.57</v>
          </cell>
          <cell r="K94"/>
          <cell r="L94">
            <v>5228.03</v>
          </cell>
          <cell r="M94"/>
          <cell r="N94">
            <v>5089.8100000000004</v>
          </cell>
          <cell r="O94"/>
          <cell r="P94">
            <v>4805.8</v>
          </cell>
          <cell r="Q94"/>
          <cell r="R94">
            <v>-607.74</v>
          </cell>
          <cell r="S94"/>
          <cell r="T94">
            <v>7834.96</v>
          </cell>
          <cell r="U94"/>
          <cell r="V94">
            <v>3396.38</v>
          </cell>
          <cell r="W94"/>
          <cell r="X94">
            <v>1105.92</v>
          </cell>
          <cell r="Y94"/>
          <cell r="Z94">
            <v>6578.46</v>
          </cell>
          <cell r="AA94"/>
          <cell r="AB94">
            <v>5852.71</v>
          </cell>
          <cell r="AC94"/>
          <cell r="AD94">
            <v>6028.81</v>
          </cell>
          <cell r="AE94"/>
          <cell r="AF94">
            <v>5847.41</v>
          </cell>
          <cell r="AG94"/>
          <cell r="AH94">
            <v>56129.120000000003</v>
          </cell>
        </row>
        <row r="95">
          <cell r="D95">
            <v>50036</v>
          </cell>
          <cell r="E95" t="str">
            <v>Other Bonus/Commission - Non-Safety</v>
          </cell>
          <cell r="F95"/>
          <cell r="G95"/>
          <cell r="H95"/>
          <cell r="I95"/>
          <cell r="J95">
            <v>1000</v>
          </cell>
          <cell r="K95"/>
          <cell r="L95">
            <v>1000</v>
          </cell>
          <cell r="M95"/>
          <cell r="N95">
            <v>0</v>
          </cell>
          <cell r="O95"/>
          <cell r="P95">
            <v>0</v>
          </cell>
          <cell r="Q95"/>
          <cell r="R95">
            <v>0</v>
          </cell>
          <cell r="S95"/>
          <cell r="T95">
            <v>400</v>
          </cell>
          <cell r="U95"/>
          <cell r="V95">
            <v>900</v>
          </cell>
          <cell r="W95"/>
          <cell r="X95">
            <v>1000</v>
          </cell>
          <cell r="Y95"/>
          <cell r="Z95">
            <v>0</v>
          </cell>
          <cell r="AA95"/>
          <cell r="AB95">
            <v>17528.12</v>
          </cell>
          <cell r="AC95"/>
          <cell r="AD95">
            <v>323.36</v>
          </cell>
          <cell r="AE95"/>
          <cell r="AF95">
            <v>500</v>
          </cell>
          <cell r="AG95"/>
          <cell r="AH95">
            <v>22651.48</v>
          </cell>
        </row>
        <row r="96">
          <cell r="D96">
            <v>50050</v>
          </cell>
          <cell r="E96" t="str">
            <v>Payroll Taxes</v>
          </cell>
          <cell r="F96"/>
          <cell r="G96"/>
          <cell r="H96"/>
          <cell r="I96"/>
          <cell r="J96">
            <v>22817.38</v>
          </cell>
          <cell r="K96"/>
          <cell r="L96">
            <v>23257.01</v>
          </cell>
          <cell r="M96"/>
          <cell r="N96">
            <v>24456.53</v>
          </cell>
          <cell r="O96"/>
          <cell r="P96">
            <v>25112.91</v>
          </cell>
          <cell r="Q96"/>
          <cell r="R96">
            <v>24609.09</v>
          </cell>
          <cell r="S96"/>
          <cell r="T96">
            <v>25505.119999999999</v>
          </cell>
          <cell r="U96"/>
          <cell r="V96">
            <v>21843.3</v>
          </cell>
          <cell r="W96"/>
          <cell r="X96">
            <v>26501.34</v>
          </cell>
          <cell r="Y96"/>
          <cell r="Z96">
            <v>21809.9</v>
          </cell>
          <cell r="AA96"/>
          <cell r="AB96">
            <v>34333.019999999997</v>
          </cell>
          <cell r="AC96"/>
          <cell r="AD96">
            <v>21717.72</v>
          </cell>
          <cell r="AE96"/>
          <cell r="AF96">
            <v>24162.07</v>
          </cell>
          <cell r="AG96"/>
          <cell r="AH96">
            <v>296125.38999999996</v>
          </cell>
        </row>
        <row r="97">
          <cell r="D97">
            <v>50060</v>
          </cell>
          <cell r="E97" t="str">
            <v>Group Insurance</v>
          </cell>
          <cell r="F97"/>
          <cell r="G97"/>
          <cell r="H97"/>
          <cell r="I97"/>
          <cell r="J97">
            <v>50705.03</v>
          </cell>
          <cell r="K97"/>
          <cell r="L97">
            <v>56154.14</v>
          </cell>
          <cell r="M97"/>
          <cell r="N97">
            <v>59625.47</v>
          </cell>
          <cell r="O97"/>
          <cell r="P97">
            <v>58462.35</v>
          </cell>
          <cell r="Q97"/>
          <cell r="R97">
            <v>58161.5</v>
          </cell>
          <cell r="S97"/>
          <cell r="T97">
            <v>56532.04</v>
          </cell>
          <cell r="U97"/>
          <cell r="V97">
            <v>52557.07</v>
          </cell>
          <cell r="W97"/>
          <cell r="X97">
            <v>55734.92</v>
          </cell>
          <cell r="Y97"/>
          <cell r="Z97">
            <v>56050.75</v>
          </cell>
          <cell r="AA97"/>
          <cell r="AB97">
            <v>60348.02</v>
          </cell>
          <cell r="AC97"/>
          <cell r="AD97">
            <v>62622.49</v>
          </cell>
          <cell r="AE97"/>
          <cell r="AF97">
            <v>60297.55</v>
          </cell>
          <cell r="AG97"/>
          <cell r="AH97">
            <v>687251.33</v>
          </cell>
        </row>
        <row r="98">
          <cell r="D98">
            <v>50065</v>
          </cell>
          <cell r="E98" t="str">
            <v>Vacation Pay</v>
          </cell>
          <cell r="F98"/>
          <cell r="G98"/>
          <cell r="H98"/>
          <cell r="I98"/>
          <cell r="J98">
            <v>14060.76</v>
          </cell>
          <cell r="K98"/>
          <cell r="L98">
            <v>13944.11</v>
          </cell>
          <cell r="M98"/>
          <cell r="N98">
            <v>9272.49</v>
          </cell>
          <cell r="O98"/>
          <cell r="P98">
            <v>14966.36</v>
          </cell>
          <cell r="Q98"/>
          <cell r="R98">
            <v>14444.79</v>
          </cell>
          <cell r="S98"/>
          <cell r="T98">
            <v>9909.85</v>
          </cell>
          <cell r="U98"/>
          <cell r="V98">
            <v>19643</v>
          </cell>
          <cell r="W98"/>
          <cell r="X98">
            <v>11601.67</v>
          </cell>
          <cell r="Y98"/>
          <cell r="Z98">
            <v>14005.81</v>
          </cell>
          <cell r="AA98"/>
          <cell r="AB98">
            <v>9089.82</v>
          </cell>
          <cell r="AC98"/>
          <cell r="AD98">
            <v>13245.53</v>
          </cell>
          <cell r="AE98"/>
          <cell r="AF98">
            <v>17820.400000000001</v>
          </cell>
          <cell r="AG98"/>
          <cell r="AH98">
            <v>162004.59000000003</v>
          </cell>
        </row>
        <row r="99">
          <cell r="D99">
            <v>50070</v>
          </cell>
          <cell r="E99" t="str">
            <v>Sick Pay</v>
          </cell>
          <cell r="F99"/>
          <cell r="G99"/>
          <cell r="H99"/>
          <cell r="I99"/>
          <cell r="J99">
            <v>113849.38</v>
          </cell>
          <cell r="K99"/>
          <cell r="L99">
            <v>14224.5</v>
          </cell>
          <cell r="M99"/>
          <cell r="N99">
            <v>4635.63</v>
          </cell>
          <cell r="O99"/>
          <cell r="P99">
            <v>11701.25</v>
          </cell>
          <cell r="Q99"/>
          <cell r="R99">
            <v>6450.22</v>
          </cell>
          <cell r="S99"/>
          <cell r="T99">
            <v>5361.34</v>
          </cell>
          <cell r="U99"/>
          <cell r="V99">
            <v>8324.4699999999993</v>
          </cell>
          <cell r="W99"/>
          <cell r="X99">
            <v>-1391.03</v>
          </cell>
          <cell r="Y99"/>
          <cell r="Z99">
            <v>1082.46</v>
          </cell>
          <cell r="AA99"/>
          <cell r="AB99">
            <v>-67.92</v>
          </cell>
          <cell r="AC99"/>
          <cell r="AD99">
            <v>3872.11</v>
          </cell>
          <cell r="AE99"/>
          <cell r="AF99">
            <v>5007.3</v>
          </cell>
          <cell r="AG99"/>
          <cell r="AH99">
            <v>173049.71</v>
          </cell>
        </row>
        <row r="100">
          <cell r="D100">
            <v>50086</v>
          </cell>
          <cell r="E100" t="str">
            <v>Safety and Training</v>
          </cell>
          <cell r="F100"/>
          <cell r="G100"/>
          <cell r="H100"/>
          <cell r="I100"/>
          <cell r="J100">
            <v>4489.0600000000004</v>
          </cell>
          <cell r="K100"/>
          <cell r="L100">
            <v>2341.34</v>
          </cell>
          <cell r="M100"/>
          <cell r="N100">
            <v>1556.53</v>
          </cell>
          <cell r="O100"/>
          <cell r="P100">
            <v>2344.9299999999998</v>
          </cell>
          <cell r="Q100"/>
          <cell r="R100">
            <v>4312.26</v>
          </cell>
          <cell r="S100"/>
          <cell r="T100">
            <v>1134.1400000000001</v>
          </cell>
          <cell r="U100"/>
          <cell r="V100">
            <v>934.92</v>
          </cell>
          <cell r="W100"/>
          <cell r="X100">
            <v>2966.47</v>
          </cell>
          <cell r="Y100"/>
          <cell r="Z100">
            <v>3324.79</v>
          </cell>
          <cell r="AA100"/>
          <cell r="AB100">
            <v>2849.06</v>
          </cell>
          <cell r="AC100"/>
          <cell r="AD100">
            <v>2151.25</v>
          </cell>
          <cell r="AE100"/>
          <cell r="AF100">
            <v>1334.74</v>
          </cell>
          <cell r="AG100"/>
          <cell r="AH100">
            <v>29739.489999999998</v>
          </cell>
        </row>
        <row r="101">
          <cell r="D101">
            <v>50090</v>
          </cell>
          <cell r="E101" t="str">
            <v>Uniforms</v>
          </cell>
          <cell r="F101"/>
          <cell r="G101"/>
          <cell r="H101"/>
          <cell r="I101"/>
          <cell r="J101">
            <v>7335.52</v>
          </cell>
          <cell r="K101"/>
          <cell r="L101">
            <v>4580.59</v>
          </cell>
          <cell r="M101"/>
          <cell r="N101">
            <v>5728.73</v>
          </cell>
          <cell r="O101"/>
          <cell r="P101">
            <v>3329.8</v>
          </cell>
          <cell r="Q101"/>
          <cell r="R101">
            <v>3624.99</v>
          </cell>
          <cell r="S101"/>
          <cell r="T101">
            <v>5589.13</v>
          </cell>
          <cell r="U101"/>
          <cell r="V101">
            <v>4631.54</v>
          </cell>
          <cell r="W101"/>
          <cell r="X101">
            <v>9869.36</v>
          </cell>
          <cell r="Y101"/>
          <cell r="Z101">
            <v>3725.28</v>
          </cell>
          <cell r="AA101"/>
          <cell r="AB101">
            <v>4731.93</v>
          </cell>
          <cell r="AC101"/>
          <cell r="AD101">
            <v>4686.3999999999996</v>
          </cell>
          <cell r="AE101"/>
          <cell r="AF101">
            <v>5828.47</v>
          </cell>
          <cell r="AG101"/>
          <cell r="AH101">
            <v>63661.739999999991</v>
          </cell>
        </row>
        <row r="102">
          <cell r="D102">
            <v>50115</v>
          </cell>
          <cell r="E102" t="str">
            <v>Pension and Profit Sharing</v>
          </cell>
          <cell r="F102"/>
          <cell r="G102"/>
          <cell r="H102"/>
          <cell r="I102"/>
          <cell r="J102">
            <v>8204.0400000000009</v>
          </cell>
          <cell r="K102"/>
          <cell r="L102">
            <v>8435.57</v>
          </cell>
          <cell r="M102"/>
          <cell r="N102">
            <v>8659.1</v>
          </cell>
          <cell r="O102"/>
          <cell r="P102">
            <v>8815.51</v>
          </cell>
          <cell r="Q102"/>
          <cell r="R102">
            <v>8699.06</v>
          </cell>
          <cell r="S102"/>
          <cell r="T102">
            <v>9123.74</v>
          </cell>
          <cell r="U102"/>
          <cell r="V102">
            <v>8593.11</v>
          </cell>
          <cell r="W102"/>
          <cell r="X102">
            <v>11777.19</v>
          </cell>
          <cell r="Y102"/>
          <cell r="Z102">
            <v>9340.67</v>
          </cell>
          <cell r="AA102"/>
          <cell r="AB102">
            <v>13367.79</v>
          </cell>
          <cell r="AC102"/>
          <cell r="AD102">
            <v>8160.84</v>
          </cell>
          <cell r="AE102"/>
          <cell r="AF102">
            <v>9997.6200000000008</v>
          </cell>
          <cell r="AG102"/>
          <cell r="AH102">
            <v>113174.24000000002</v>
          </cell>
        </row>
        <row r="103">
          <cell r="D103"/>
          <cell r="E103"/>
          <cell r="F103"/>
          <cell r="G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F104" t="str">
            <v>Labor</v>
          </cell>
          <cell r="J104">
            <v>482123.47</v>
          </cell>
          <cell r="K104"/>
          <cell r="L104">
            <v>390496.19000000006</v>
          </cell>
          <cell r="M104"/>
          <cell r="N104">
            <v>392227.14999999991</v>
          </cell>
          <cell r="O104"/>
          <cell r="P104">
            <v>411142.04999999993</v>
          </cell>
          <cell r="Q104"/>
          <cell r="R104">
            <v>394485.23</v>
          </cell>
          <cell r="S104"/>
          <cell r="T104">
            <v>406062.60000000003</v>
          </cell>
          <cell r="U104"/>
          <cell r="V104">
            <v>386158.39999999991</v>
          </cell>
          <cell r="W104"/>
          <cell r="X104">
            <v>394227.33999999991</v>
          </cell>
          <cell r="Y104"/>
          <cell r="Z104">
            <v>409090.99000000005</v>
          </cell>
          <cell r="AA104"/>
          <cell r="AB104">
            <v>387184.94000000006</v>
          </cell>
          <cell r="AC104"/>
          <cell r="AD104">
            <v>382827.28000000009</v>
          </cell>
          <cell r="AE104"/>
          <cell r="AF104">
            <v>400480.65999999992</v>
          </cell>
          <cell r="AG104"/>
          <cell r="AH104">
            <v>4836506.3000000007</v>
          </cell>
        </row>
        <row r="105">
          <cell r="J105"/>
          <cell r="K105"/>
          <cell r="L105"/>
          <cell r="M105"/>
          <cell r="N105"/>
          <cell r="O105"/>
          <cell r="P105"/>
          <cell r="Q105"/>
          <cell r="R105"/>
          <cell r="S105"/>
          <cell r="T105"/>
          <cell r="U105"/>
          <cell r="V105"/>
          <cell r="W105"/>
          <cell r="X105"/>
          <cell r="Y105"/>
          <cell r="Z105"/>
          <cell r="AA105"/>
          <cell r="AB105"/>
          <cell r="AC105"/>
          <cell r="AD105"/>
          <cell r="AE105"/>
          <cell r="AF105"/>
          <cell r="AG105"/>
          <cell r="AH105"/>
        </row>
        <row r="106">
          <cell r="D106">
            <v>51295</v>
          </cell>
          <cell r="E106" t="str">
            <v>Licenses</v>
          </cell>
          <cell r="F106"/>
          <cell r="G106"/>
          <cell r="H106"/>
          <cell r="I106"/>
          <cell r="J106">
            <v>4009.73</v>
          </cell>
          <cell r="K106"/>
          <cell r="L106">
            <v>4048.48</v>
          </cell>
          <cell r="M106"/>
          <cell r="N106">
            <v>4009.73</v>
          </cell>
          <cell r="O106"/>
          <cell r="P106">
            <v>4057.84</v>
          </cell>
          <cell r="Q106"/>
          <cell r="R106">
            <v>4096.59</v>
          </cell>
          <cell r="S106"/>
          <cell r="T106">
            <v>4021.39</v>
          </cell>
          <cell r="U106"/>
          <cell r="V106">
            <v>4226.3900000000003</v>
          </cell>
          <cell r="W106"/>
          <cell r="X106">
            <v>4021.39</v>
          </cell>
          <cell r="Y106"/>
          <cell r="Z106">
            <v>4404.8999999999996</v>
          </cell>
          <cell r="AA106"/>
          <cell r="AB106">
            <v>4444.1000000000004</v>
          </cell>
          <cell r="AC106"/>
          <cell r="AD106">
            <v>4366.6000000000004</v>
          </cell>
          <cell r="AE106"/>
          <cell r="AF106">
            <v>4366.6000000000004</v>
          </cell>
          <cell r="AG106"/>
          <cell r="AH106">
            <v>50073.740000000013</v>
          </cell>
        </row>
        <row r="107">
          <cell r="D107"/>
          <cell r="E107"/>
          <cell r="F107"/>
          <cell r="G107"/>
          <cell r="J107"/>
          <cell r="K107"/>
          <cell r="L107"/>
          <cell r="M107"/>
          <cell r="N107"/>
          <cell r="O107"/>
          <cell r="P107"/>
          <cell r="Q107"/>
          <cell r="R107"/>
          <cell r="S107"/>
          <cell r="T107"/>
          <cell r="U107"/>
          <cell r="V107"/>
          <cell r="W107"/>
          <cell r="X107"/>
          <cell r="Y107"/>
          <cell r="Z107"/>
          <cell r="AA107"/>
          <cell r="AB107"/>
          <cell r="AC107"/>
          <cell r="AD107"/>
          <cell r="AE107"/>
          <cell r="AF107"/>
          <cell r="AG107"/>
          <cell r="AH107"/>
        </row>
        <row r="108">
          <cell r="F108" t="str">
            <v>Truck Fixed</v>
          </cell>
          <cell r="J108">
            <v>4009.73</v>
          </cell>
          <cell r="K108"/>
          <cell r="L108">
            <v>4048.48</v>
          </cell>
          <cell r="M108"/>
          <cell r="N108">
            <v>4009.73</v>
          </cell>
          <cell r="O108"/>
          <cell r="P108">
            <v>4057.84</v>
          </cell>
          <cell r="Q108"/>
          <cell r="R108">
            <v>4096.59</v>
          </cell>
          <cell r="S108"/>
          <cell r="T108">
            <v>4021.39</v>
          </cell>
          <cell r="U108"/>
          <cell r="V108">
            <v>4226.3900000000003</v>
          </cell>
          <cell r="W108"/>
          <cell r="X108">
            <v>4021.39</v>
          </cell>
          <cell r="Y108"/>
          <cell r="Z108">
            <v>4404.8999999999996</v>
          </cell>
          <cell r="AA108"/>
          <cell r="AB108">
            <v>4444.1000000000004</v>
          </cell>
          <cell r="AC108"/>
          <cell r="AD108">
            <v>4366.6000000000004</v>
          </cell>
          <cell r="AE108"/>
          <cell r="AF108">
            <v>4366.6000000000004</v>
          </cell>
          <cell r="AG108"/>
          <cell r="AH108">
            <v>50073.740000000013</v>
          </cell>
        </row>
        <row r="109">
          <cell r="J109"/>
          <cell r="K109"/>
          <cell r="L109"/>
          <cell r="M109"/>
          <cell r="N109"/>
          <cell r="O109"/>
          <cell r="P109"/>
          <cell r="Q109"/>
          <cell r="R109"/>
          <cell r="S109"/>
          <cell r="T109"/>
          <cell r="U109"/>
          <cell r="V109"/>
          <cell r="W109"/>
          <cell r="X109"/>
          <cell r="Y109"/>
          <cell r="Z109"/>
          <cell r="AA109"/>
          <cell r="AB109"/>
          <cell r="AC109"/>
          <cell r="AD109"/>
          <cell r="AE109"/>
          <cell r="AF109"/>
          <cell r="AG109"/>
          <cell r="AH109"/>
        </row>
        <row r="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row>
        <row r="111">
          <cell r="D111">
            <v>52010</v>
          </cell>
          <cell r="E111" t="str">
            <v>Salaries</v>
          </cell>
          <cell r="F111"/>
          <cell r="G111"/>
          <cell r="H111"/>
          <cell r="I111"/>
          <cell r="J111">
            <v>9015.68</v>
          </cell>
          <cell r="K111"/>
          <cell r="L111">
            <v>8692.41</v>
          </cell>
          <cell r="M111"/>
          <cell r="N111">
            <v>9015.68</v>
          </cell>
          <cell r="O111"/>
          <cell r="P111">
            <v>9448.02</v>
          </cell>
          <cell r="Q111"/>
          <cell r="R111">
            <v>9092.4500000000007</v>
          </cell>
          <cell r="S111"/>
          <cell r="T111">
            <v>8895.24</v>
          </cell>
          <cell r="U111"/>
          <cell r="V111">
            <v>9226.6</v>
          </cell>
          <cell r="W111"/>
          <cell r="X111">
            <v>9338.58</v>
          </cell>
          <cell r="Y111"/>
          <cell r="Z111">
            <v>9677.91</v>
          </cell>
          <cell r="AA111"/>
          <cell r="AB111">
            <v>7097.54</v>
          </cell>
          <cell r="AC111"/>
          <cell r="AD111">
            <v>6759.56</v>
          </cell>
          <cell r="AE111"/>
          <cell r="AF111">
            <v>7773.49</v>
          </cell>
          <cell r="AG111"/>
          <cell r="AH111">
            <v>104033.16</v>
          </cell>
        </row>
        <row r="112">
          <cell r="D112">
            <v>52020</v>
          </cell>
          <cell r="E112" t="str">
            <v>Wages Regular</v>
          </cell>
          <cell r="F112"/>
          <cell r="G112"/>
          <cell r="H112"/>
          <cell r="I112"/>
          <cell r="J112">
            <v>36013.29</v>
          </cell>
          <cell r="K112"/>
          <cell r="L112">
            <v>38799.4</v>
          </cell>
          <cell r="M112"/>
          <cell r="N112">
            <v>41144.54</v>
          </cell>
          <cell r="O112"/>
          <cell r="P112">
            <v>40195.86</v>
          </cell>
          <cell r="Q112"/>
          <cell r="R112">
            <v>40664.239999999998</v>
          </cell>
          <cell r="S112"/>
          <cell r="T112">
            <v>41951.97</v>
          </cell>
          <cell r="U112"/>
          <cell r="V112">
            <v>37003.89</v>
          </cell>
          <cell r="W112"/>
          <cell r="X112">
            <v>40188.83</v>
          </cell>
          <cell r="Y112"/>
          <cell r="Z112">
            <v>43152.58</v>
          </cell>
          <cell r="AA112"/>
          <cell r="AB112">
            <v>36239.69</v>
          </cell>
          <cell r="AC112"/>
          <cell r="AD112">
            <v>31190.18</v>
          </cell>
          <cell r="AE112"/>
          <cell r="AF112">
            <v>41715.51</v>
          </cell>
          <cell r="AG112"/>
          <cell r="AH112">
            <v>468259.98</v>
          </cell>
        </row>
        <row r="113">
          <cell r="D113">
            <v>52025</v>
          </cell>
          <cell r="E113" t="str">
            <v>Wages O.T.</v>
          </cell>
          <cell r="F113"/>
          <cell r="G113"/>
          <cell r="H113"/>
          <cell r="I113"/>
          <cell r="J113">
            <v>6101.88</v>
          </cell>
          <cell r="K113"/>
          <cell r="L113">
            <v>5893.34</v>
          </cell>
          <cell r="M113"/>
          <cell r="N113">
            <v>2993.68</v>
          </cell>
          <cell r="O113"/>
          <cell r="P113">
            <v>3896.87</v>
          </cell>
          <cell r="Q113"/>
          <cell r="R113">
            <v>2716.53</v>
          </cell>
          <cell r="S113"/>
          <cell r="T113">
            <v>3842.19</v>
          </cell>
          <cell r="U113"/>
          <cell r="V113">
            <v>4220.3900000000003</v>
          </cell>
          <cell r="W113"/>
          <cell r="X113">
            <v>4165.71</v>
          </cell>
          <cell r="Y113"/>
          <cell r="Z113">
            <v>3945.17</v>
          </cell>
          <cell r="AA113"/>
          <cell r="AB113">
            <v>5456.69</v>
          </cell>
          <cell r="AC113"/>
          <cell r="AD113">
            <v>3408.31</v>
          </cell>
          <cell r="AE113"/>
          <cell r="AF113">
            <v>3450.12</v>
          </cell>
          <cell r="AG113"/>
          <cell r="AH113">
            <v>50090.879999999997</v>
          </cell>
        </row>
        <row r="114">
          <cell r="D114">
            <v>52035</v>
          </cell>
          <cell r="E114" t="str">
            <v>Safety Bonuses</v>
          </cell>
          <cell r="F114"/>
          <cell r="G114"/>
          <cell r="H114"/>
          <cell r="I114"/>
          <cell r="J114">
            <v>1250.47</v>
          </cell>
          <cell r="K114"/>
          <cell r="L114">
            <v>1225.3399999999999</v>
          </cell>
          <cell r="M114"/>
          <cell r="N114">
            <v>1251.6099999999999</v>
          </cell>
          <cell r="O114"/>
          <cell r="P114">
            <v>1252.3699999999999</v>
          </cell>
          <cell r="Q114"/>
          <cell r="R114">
            <v>43.36</v>
          </cell>
          <cell r="S114"/>
          <cell r="T114">
            <v>2253.04</v>
          </cell>
          <cell r="U114"/>
          <cell r="V114">
            <v>1362.14</v>
          </cell>
          <cell r="W114"/>
          <cell r="X114">
            <v>-1805.39</v>
          </cell>
          <cell r="Y114"/>
          <cell r="Z114">
            <v>1424.68</v>
          </cell>
          <cell r="AA114"/>
          <cell r="AB114">
            <v>1290.7</v>
          </cell>
          <cell r="AC114"/>
          <cell r="AD114">
            <v>1367.86</v>
          </cell>
          <cell r="AE114"/>
          <cell r="AF114">
            <v>1422.23</v>
          </cell>
          <cell r="AG114"/>
          <cell r="AH114">
            <v>12338.41</v>
          </cell>
        </row>
        <row r="115">
          <cell r="D115">
            <v>52036</v>
          </cell>
          <cell r="E115" t="str">
            <v>Other Bonus/Commission - Non-Safety</v>
          </cell>
          <cell r="F115"/>
          <cell r="G115"/>
          <cell r="H115"/>
          <cell r="I115"/>
          <cell r="J115">
            <v>150</v>
          </cell>
          <cell r="K115"/>
          <cell r="L115">
            <v>1250</v>
          </cell>
          <cell r="M115"/>
          <cell r="N115">
            <v>0</v>
          </cell>
          <cell r="O115"/>
          <cell r="P115">
            <v>0</v>
          </cell>
          <cell r="Q115"/>
          <cell r="R115">
            <v>0</v>
          </cell>
          <cell r="S115"/>
          <cell r="T115">
            <v>7213.3</v>
          </cell>
          <cell r="U115"/>
          <cell r="V115">
            <v>0</v>
          </cell>
          <cell r="W115"/>
          <cell r="X115">
            <v>0</v>
          </cell>
          <cell r="Y115"/>
          <cell r="Z115">
            <v>0</v>
          </cell>
          <cell r="AA115"/>
          <cell r="AB115">
            <v>3181.18</v>
          </cell>
          <cell r="AC115"/>
          <cell r="AD115">
            <v>433.54</v>
          </cell>
          <cell r="AE115"/>
          <cell r="AF115">
            <v>0</v>
          </cell>
          <cell r="AG115"/>
          <cell r="AH115">
            <v>12228.02</v>
          </cell>
        </row>
        <row r="116">
          <cell r="D116">
            <v>52050</v>
          </cell>
          <cell r="E116" t="str">
            <v>Payroll Taxes</v>
          </cell>
          <cell r="F116"/>
          <cell r="G116"/>
          <cell r="H116"/>
          <cell r="I116"/>
          <cell r="J116">
            <v>4169.04</v>
          </cell>
          <cell r="K116"/>
          <cell r="L116">
            <v>4483.6400000000003</v>
          </cell>
          <cell r="M116"/>
          <cell r="N116">
            <v>4422.47</v>
          </cell>
          <cell r="O116"/>
          <cell r="P116">
            <v>4366.66</v>
          </cell>
          <cell r="Q116"/>
          <cell r="R116">
            <v>4372.3599999999997</v>
          </cell>
          <cell r="S116"/>
          <cell r="T116">
            <v>5073.67</v>
          </cell>
          <cell r="U116"/>
          <cell r="V116">
            <v>3912.18</v>
          </cell>
          <cell r="W116"/>
          <cell r="X116">
            <v>4998.71</v>
          </cell>
          <cell r="Y116"/>
          <cell r="Z116">
            <v>4055.55</v>
          </cell>
          <cell r="AA116"/>
          <cell r="AB116">
            <v>5991.28</v>
          </cell>
          <cell r="AC116"/>
          <cell r="AD116">
            <v>3460.63</v>
          </cell>
          <cell r="AE116"/>
          <cell r="AF116">
            <v>4393.03</v>
          </cell>
          <cell r="AG116"/>
          <cell r="AH116">
            <v>53699.219999999994</v>
          </cell>
        </row>
        <row r="117">
          <cell r="D117">
            <v>52060</v>
          </cell>
          <cell r="E117" t="str">
            <v>Group Insurance</v>
          </cell>
          <cell r="F117"/>
          <cell r="G117"/>
          <cell r="H117"/>
          <cell r="I117"/>
          <cell r="J117">
            <v>12544.86</v>
          </cell>
          <cell r="K117"/>
          <cell r="L117">
            <v>12647.83</v>
          </cell>
          <cell r="M117"/>
          <cell r="N117">
            <v>12287.61</v>
          </cell>
          <cell r="O117"/>
          <cell r="P117">
            <v>12286.59</v>
          </cell>
          <cell r="Q117"/>
          <cell r="R117">
            <v>12286.57</v>
          </cell>
          <cell r="S117"/>
          <cell r="T117">
            <v>12217.56</v>
          </cell>
          <cell r="U117"/>
          <cell r="V117">
            <v>11250.98</v>
          </cell>
          <cell r="W117"/>
          <cell r="X117">
            <v>12283.47</v>
          </cell>
          <cell r="Y117"/>
          <cell r="Z117">
            <v>12269.28</v>
          </cell>
          <cell r="AA117"/>
          <cell r="AB117">
            <v>12844.68</v>
          </cell>
          <cell r="AC117"/>
          <cell r="AD117">
            <v>12812.3</v>
          </cell>
          <cell r="AE117"/>
          <cell r="AF117">
            <v>12822.83</v>
          </cell>
          <cell r="AG117"/>
          <cell r="AH117">
            <v>148554.56</v>
          </cell>
        </row>
        <row r="118">
          <cell r="D118">
            <v>52065</v>
          </cell>
          <cell r="E118" t="str">
            <v>Vacation Pay</v>
          </cell>
          <cell r="F118"/>
          <cell r="G118"/>
          <cell r="H118"/>
          <cell r="I118"/>
          <cell r="J118">
            <v>1457.4</v>
          </cell>
          <cell r="K118"/>
          <cell r="L118">
            <v>1856.64</v>
          </cell>
          <cell r="M118"/>
          <cell r="N118">
            <v>1091.3699999999999</v>
          </cell>
          <cell r="O118"/>
          <cell r="P118">
            <v>2745.07</v>
          </cell>
          <cell r="Q118"/>
          <cell r="R118">
            <v>1193.76</v>
          </cell>
          <cell r="S118"/>
          <cell r="T118">
            <v>1612.16</v>
          </cell>
          <cell r="U118"/>
          <cell r="V118">
            <v>2180.73</v>
          </cell>
          <cell r="W118"/>
          <cell r="X118">
            <v>1639.82</v>
          </cell>
          <cell r="Y118"/>
          <cell r="Z118">
            <v>1300.74</v>
          </cell>
          <cell r="AA118"/>
          <cell r="AB118">
            <v>2548.1</v>
          </cell>
          <cell r="AC118"/>
          <cell r="AD118">
            <v>708.79</v>
          </cell>
          <cell r="AE118"/>
          <cell r="AF118">
            <v>1088.4000000000001</v>
          </cell>
          <cell r="AG118"/>
          <cell r="AH118">
            <v>19422.98</v>
          </cell>
        </row>
        <row r="119">
          <cell r="D119">
            <v>52070</v>
          </cell>
          <cell r="E119" t="str">
            <v>Sick Pay</v>
          </cell>
          <cell r="F119"/>
          <cell r="G119"/>
          <cell r="H119"/>
          <cell r="I119"/>
          <cell r="J119">
            <v>11466.09</v>
          </cell>
          <cell r="K119"/>
          <cell r="L119">
            <v>1443.37</v>
          </cell>
          <cell r="M119"/>
          <cell r="N119">
            <v>1219.78</v>
          </cell>
          <cell r="O119"/>
          <cell r="P119">
            <v>1453.39</v>
          </cell>
          <cell r="Q119"/>
          <cell r="R119">
            <v>712.45</v>
          </cell>
          <cell r="S119"/>
          <cell r="T119">
            <v>996.95</v>
          </cell>
          <cell r="U119"/>
          <cell r="V119">
            <v>1357.17</v>
          </cell>
          <cell r="W119"/>
          <cell r="X119">
            <v>812.29</v>
          </cell>
          <cell r="Y119"/>
          <cell r="Z119">
            <v>361.03</v>
          </cell>
          <cell r="AA119"/>
          <cell r="AB119">
            <v>1870.15</v>
          </cell>
          <cell r="AC119"/>
          <cell r="AD119">
            <v>842.55</v>
          </cell>
          <cell r="AE119"/>
          <cell r="AF119">
            <v>1185.58</v>
          </cell>
          <cell r="AG119"/>
          <cell r="AH119">
            <v>23720.799999999999</v>
          </cell>
        </row>
        <row r="120">
          <cell r="D120">
            <v>52086</v>
          </cell>
          <cell r="E120" t="str">
            <v>Safety and Training</v>
          </cell>
          <cell r="F120"/>
          <cell r="G120"/>
          <cell r="H120"/>
          <cell r="I120"/>
          <cell r="J120">
            <v>295.39999999999998</v>
          </cell>
          <cell r="K120"/>
          <cell r="L120">
            <v>584.1</v>
          </cell>
          <cell r="M120"/>
          <cell r="N120">
            <v>1538.78</v>
          </cell>
          <cell r="O120"/>
          <cell r="P120">
            <v>472.26</v>
          </cell>
          <cell r="Q120"/>
          <cell r="R120">
            <v>1770.66</v>
          </cell>
          <cell r="S120"/>
          <cell r="T120">
            <v>1056.02</v>
          </cell>
          <cell r="U120"/>
          <cell r="V120">
            <v>2579.96</v>
          </cell>
          <cell r="W120"/>
          <cell r="X120">
            <v>372.88</v>
          </cell>
          <cell r="Y120"/>
          <cell r="Z120">
            <v>1324.83</v>
          </cell>
          <cell r="AA120"/>
          <cell r="AB120">
            <v>343.8</v>
          </cell>
          <cell r="AC120"/>
          <cell r="AD120">
            <v>2474.6999999999998</v>
          </cell>
          <cell r="AE120"/>
          <cell r="AF120">
            <v>2340.98</v>
          </cell>
          <cell r="AG120"/>
          <cell r="AH120">
            <v>15154.370000000003</v>
          </cell>
        </row>
        <row r="121">
          <cell r="D121">
            <v>52090</v>
          </cell>
          <cell r="E121" t="str">
            <v>Uniforms</v>
          </cell>
          <cell r="F121"/>
          <cell r="G121"/>
          <cell r="H121"/>
          <cell r="I121"/>
          <cell r="J121">
            <v>0</v>
          </cell>
          <cell r="K121"/>
          <cell r="L121">
            <v>1037.53</v>
          </cell>
          <cell r="M121"/>
          <cell r="N121">
            <v>148.16</v>
          </cell>
          <cell r="O121"/>
          <cell r="P121">
            <v>486.59</v>
          </cell>
          <cell r="Q121"/>
          <cell r="R121">
            <v>285.89</v>
          </cell>
          <cell r="S121"/>
          <cell r="T121">
            <v>292.95</v>
          </cell>
          <cell r="U121"/>
          <cell r="V121">
            <v>1770.87</v>
          </cell>
          <cell r="W121"/>
          <cell r="X121">
            <v>129.94999999999999</v>
          </cell>
          <cell r="Y121"/>
          <cell r="Z121">
            <v>1204.73</v>
          </cell>
          <cell r="AA121"/>
          <cell r="AB121">
            <v>301.87</v>
          </cell>
          <cell r="AC121"/>
          <cell r="AD121">
            <v>0</v>
          </cell>
          <cell r="AE121"/>
          <cell r="AF121">
            <v>435.9</v>
          </cell>
          <cell r="AG121"/>
          <cell r="AH121">
            <v>6094.44</v>
          </cell>
        </row>
        <row r="122">
          <cell r="D122">
            <v>52115</v>
          </cell>
          <cell r="E122" t="str">
            <v>Pension and Profit Sharing</v>
          </cell>
          <cell r="F122"/>
          <cell r="G122"/>
          <cell r="H122"/>
          <cell r="I122"/>
          <cell r="J122">
            <v>1373.36</v>
          </cell>
          <cell r="K122"/>
          <cell r="L122">
            <v>1530.49</v>
          </cell>
          <cell r="M122"/>
          <cell r="N122">
            <v>1471.05</v>
          </cell>
          <cell r="O122"/>
          <cell r="P122">
            <v>1349.24</v>
          </cell>
          <cell r="Q122"/>
          <cell r="R122">
            <v>1264.8499999999999</v>
          </cell>
          <cell r="S122"/>
          <cell r="T122">
            <v>1397.87</v>
          </cell>
          <cell r="U122"/>
          <cell r="V122">
            <v>1147.17</v>
          </cell>
          <cell r="W122"/>
          <cell r="X122">
            <v>1548.93</v>
          </cell>
          <cell r="Y122"/>
          <cell r="Z122">
            <v>1265.07</v>
          </cell>
          <cell r="AA122"/>
          <cell r="AB122">
            <v>1674.04</v>
          </cell>
          <cell r="AC122"/>
          <cell r="AD122">
            <v>1165.9100000000001</v>
          </cell>
          <cell r="AE122"/>
          <cell r="AF122">
            <v>1098.46</v>
          </cell>
          <cell r="AG122"/>
          <cell r="AH122">
            <v>16286.44</v>
          </cell>
        </row>
        <row r="123">
          <cell r="D123">
            <v>52120</v>
          </cell>
          <cell r="E123" t="str">
            <v>Parts and Materials</v>
          </cell>
          <cell r="F123"/>
          <cell r="G123"/>
          <cell r="H123"/>
          <cell r="I123"/>
          <cell r="J123">
            <v>48757.62</v>
          </cell>
          <cell r="K123"/>
          <cell r="L123">
            <v>53826</v>
          </cell>
          <cell r="M123"/>
          <cell r="N123">
            <v>49789.59</v>
          </cell>
          <cell r="O123"/>
          <cell r="P123">
            <v>47926.15</v>
          </cell>
          <cell r="Q123"/>
          <cell r="R123">
            <v>57270.98</v>
          </cell>
          <cell r="S123"/>
          <cell r="T123">
            <v>37461.4</v>
          </cell>
          <cell r="U123"/>
          <cell r="V123">
            <v>54691.4</v>
          </cell>
          <cell r="W123"/>
          <cell r="X123">
            <v>37700.43</v>
          </cell>
          <cell r="Y123"/>
          <cell r="Z123">
            <v>50682.71</v>
          </cell>
          <cell r="AA123"/>
          <cell r="AB123">
            <v>52751.72</v>
          </cell>
          <cell r="AC123"/>
          <cell r="AD123">
            <v>61307.83</v>
          </cell>
          <cell r="AE123"/>
          <cell r="AF123">
            <v>52348.67</v>
          </cell>
          <cell r="AG123"/>
          <cell r="AH123">
            <v>604514.5</v>
          </cell>
        </row>
        <row r="124">
          <cell r="D124">
            <v>52125</v>
          </cell>
          <cell r="E124" t="str">
            <v>Operating Supplies</v>
          </cell>
          <cell r="F124"/>
          <cell r="G124"/>
          <cell r="H124"/>
          <cell r="I124"/>
          <cell r="J124">
            <v>3297.22</v>
          </cell>
          <cell r="K124"/>
          <cell r="L124">
            <v>1696.82</v>
          </cell>
          <cell r="M124"/>
          <cell r="N124">
            <v>2665.92</v>
          </cell>
          <cell r="O124"/>
          <cell r="P124">
            <v>3510.83</v>
          </cell>
          <cell r="Q124"/>
          <cell r="R124">
            <v>5815.52</v>
          </cell>
          <cell r="S124"/>
          <cell r="T124">
            <v>2936.14</v>
          </cell>
          <cell r="U124"/>
          <cell r="V124">
            <v>3525.68</v>
          </cell>
          <cell r="W124"/>
          <cell r="X124">
            <v>3386.71</v>
          </cell>
          <cell r="Y124"/>
          <cell r="Z124">
            <v>4727.87</v>
          </cell>
          <cell r="AA124"/>
          <cell r="AB124">
            <v>4795.42</v>
          </cell>
          <cell r="AC124"/>
          <cell r="AD124">
            <v>2557.9899999999998</v>
          </cell>
          <cell r="AE124"/>
          <cell r="AF124">
            <v>5421.94</v>
          </cell>
          <cell r="AG124"/>
          <cell r="AH124">
            <v>44338.06</v>
          </cell>
        </row>
        <row r="125">
          <cell r="D125">
            <v>52135</v>
          </cell>
          <cell r="E125" t="str">
            <v>Equipment and Maint Repair</v>
          </cell>
          <cell r="F125"/>
          <cell r="G125"/>
          <cell r="H125"/>
          <cell r="I125"/>
          <cell r="J125">
            <v>1720.05</v>
          </cell>
          <cell r="K125"/>
          <cell r="L125">
            <v>4129.6099999999997</v>
          </cell>
          <cell r="M125"/>
          <cell r="N125">
            <v>3534.47</v>
          </cell>
          <cell r="O125"/>
          <cell r="P125">
            <v>3228.69</v>
          </cell>
          <cell r="Q125"/>
          <cell r="R125">
            <v>171.85</v>
          </cell>
          <cell r="S125"/>
          <cell r="T125">
            <v>12993.01</v>
          </cell>
          <cell r="U125"/>
          <cell r="V125">
            <v>6826.69</v>
          </cell>
          <cell r="W125"/>
          <cell r="X125">
            <v>4092.09</v>
          </cell>
          <cell r="Y125"/>
          <cell r="Z125">
            <v>2319.0300000000002</v>
          </cell>
          <cell r="AA125"/>
          <cell r="AB125">
            <v>1560.4</v>
          </cell>
          <cell r="AC125"/>
          <cell r="AD125">
            <v>2922.65</v>
          </cell>
          <cell r="AE125"/>
          <cell r="AF125">
            <v>5849.28</v>
          </cell>
          <cell r="AG125"/>
          <cell r="AH125">
            <v>49347.820000000007</v>
          </cell>
        </row>
        <row r="126">
          <cell r="D126">
            <v>52140</v>
          </cell>
          <cell r="E126" t="str">
            <v>Tires</v>
          </cell>
          <cell r="F126"/>
          <cell r="G126"/>
          <cell r="H126"/>
          <cell r="I126"/>
          <cell r="J126">
            <v>11005.32</v>
          </cell>
          <cell r="K126"/>
          <cell r="L126">
            <v>28896.240000000002</v>
          </cell>
          <cell r="M126"/>
          <cell r="N126">
            <v>22397.97</v>
          </cell>
          <cell r="O126"/>
          <cell r="P126">
            <v>19361.189999999999</v>
          </cell>
          <cell r="Q126"/>
          <cell r="R126">
            <v>32170.560000000001</v>
          </cell>
          <cell r="S126"/>
          <cell r="T126">
            <v>48256.02</v>
          </cell>
          <cell r="U126"/>
          <cell r="V126">
            <v>28233.19</v>
          </cell>
          <cell r="W126"/>
          <cell r="X126">
            <v>36232.51</v>
          </cell>
          <cell r="Y126"/>
          <cell r="Z126">
            <v>32440.14</v>
          </cell>
          <cell r="AA126"/>
          <cell r="AB126">
            <v>37016.550000000003</v>
          </cell>
          <cell r="AC126"/>
          <cell r="AD126">
            <v>10594.2</v>
          </cell>
          <cell r="AE126"/>
          <cell r="AF126">
            <v>39275.01</v>
          </cell>
          <cell r="AG126"/>
          <cell r="AH126">
            <v>345878.89999999997</v>
          </cell>
        </row>
        <row r="127">
          <cell r="D127">
            <v>52142</v>
          </cell>
          <cell r="E127" t="str">
            <v>Fuel Expense</v>
          </cell>
          <cell r="F127"/>
          <cell r="G127"/>
          <cell r="H127"/>
          <cell r="I127"/>
          <cell r="J127">
            <v>86643.48</v>
          </cell>
          <cell r="K127"/>
          <cell r="L127">
            <v>82008.42</v>
          </cell>
          <cell r="M127"/>
          <cell r="N127">
            <v>92486.34</v>
          </cell>
          <cell r="O127"/>
          <cell r="P127">
            <v>84589.08</v>
          </cell>
          <cell r="Q127"/>
          <cell r="R127">
            <v>99090.16</v>
          </cell>
          <cell r="S127"/>
          <cell r="T127">
            <v>93117.33</v>
          </cell>
          <cell r="U127"/>
          <cell r="V127">
            <v>59972.82</v>
          </cell>
          <cell r="W127"/>
          <cell r="X127">
            <v>91092.93</v>
          </cell>
          <cell r="Y127"/>
          <cell r="Z127">
            <v>117212.31</v>
          </cell>
          <cell r="AA127"/>
          <cell r="AB127">
            <v>68727.44</v>
          </cell>
          <cell r="AC127"/>
          <cell r="AD127">
            <v>86474.53</v>
          </cell>
          <cell r="AE127"/>
          <cell r="AF127">
            <v>86228.57</v>
          </cell>
          <cell r="AG127"/>
          <cell r="AH127">
            <v>1047643.4099999999</v>
          </cell>
        </row>
        <row r="128">
          <cell r="D128">
            <v>52144</v>
          </cell>
          <cell r="E128" t="str">
            <v>Urea Additive Expense</v>
          </cell>
          <cell r="F128"/>
          <cell r="G128"/>
          <cell r="H128"/>
          <cell r="I128"/>
          <cell r="J128">
            <v>897.72</v>
          </cell>
          <cell r="K128"/>
          <cell r="L128">
            <v>1276.27</v>
          </cell>
          <cell r="M128"/>
          <cell r="N128">
            <v>867.71</v>
          </cell>
          <cell r="O128"/>
          <cell r="P128">
            <v>1677.57</v>
          </cell>
          <cell r="Q128"/>
          <cell r="R128">
            <v>1330.5</v>
          </cell>
          <cell r="S128"/>
          <cell r="T128">
            <v>2079.7600000000002</v>
          </cell>
          <cell r="U128"/>
          <cell r="V128">
            <v>1733.59</v>
          </cell>
          <cell r="W128"/>
          <cell r="X128">
            <v>1998.34</v>
          </cell>
          <cell r="Y128"/>
          <cell r="Z128">
            <v>1487.82</v>
          </cell>
          <cell r="AA128"/>
          <cell r="AB128">
            <v>2453.4699999999998</v>
          </cell>
          <cell r="AC128"/>
          <cell r="AD128">
            <v>1601.64</v>
          </cell>
          <cell r="AE128"/>
          <cell r="AF128">
            <v>2412.94</v>
          </cell>
          <cell r="AG128"/>
          <cell r="AH128">
            <v>19817.330000000002</v>
          </cell>
        </row>
        <row r="129">
          <cell r="D129">
            <v>52146</v>
          </cell>
          <cell r="E129" t="str">
            <v>Oil and Grease</v>
          </cell>
          <cell r="F129"/>
          <cell r="G129"/>
          <cell r="H129"/>
          <cell r="I129"/>
          <cell r="J129">
            <v>7822.72</v>
          </cell>
          <cell r="K129"/>
          <cell r="L129">
            <v>9077.43</v>
          </cell>
          <cell r="M129"/>
          <cell r="N129">
            <v>8406.6200000000008</v>
          </cell>
          <cell r="O129"/>
          <cell r="P129">
            <v>9285.9599999999991</v>
          </cell>
          <cell r="Q129"/>
          <cell r="R129">
            <v>4582.95</v>
          </cell>
          <cell r="S129"/>
          <cell r="T129">
            <v>-1780.08</v>
          </cell>
          <cell r="U129"/>
          <cell r="V129">
            <v>8798.7000000000007</v>
          </cell>
          <cell r="W129"/>
          <cell r="X129">
            <v>7981.95</v>
          </cell>
          <cell r="Y129"/>
          <cell r="Z129">
            <v>8778.77</v>
          </cell>
          <cell r="AA129"/>
          <cell r="AB129">
            <v>7418.51</v>
          </cell>
          <cell r="AC129"/>
          <cell r="AD129">
            <v>5194.2</v>
          </cell>
          <cell r="AE129"/>
          <cell r="AF129">
            <v>10643.1</v>
          </cell>
          <cell r="AG129"/>
          <cell r="AH129">
            <v>86210.829999999987</v>
          </cell>
        </row>
        <row r="130">
          <cell r="D130">
            <v>52147</v>
          </cell>
          <cell r="E130" t="str">
            <v>Outside Repairs</v>
          </cell>
          <cell r="F130"/>
          <cell r="G130"/>
          <cell r="H130"/>
          <cell r="I130"/>
          <cell r="J130">
            <v>37249.440000000002</v>
          </cell>
          <cell r="K130"/>
          <cell r="L130">
            <v>6041.29</v>
          </cell>
          <cell r="M130"/>
          <cell r="N130">
            <v>69.19</v>
          </cell>
          <cell r="O130"/>
          <cell r="P130">
            <v>5286.58</v>
          </cell>
          <cell r="Q130"/>
          <cell r="R130">
            <v>9804.61</v>
          </cell>
          <cell r="S130"/>
          <cell r="T130">
            <v>7628.62</v>
          </cell>
          <cell r="U130"/>
          <cell r="V130">
            <v>-2573.54</v>
          </cell>
          <cell r="W130"/>
          <cell r="X130">
            <v>5541.01</v>
          </cell>
          <cell r="Y130"/>
          <cell r="Z130">
            <v>9344.86</v>
          </cell>
          <cell r="AA130"/>
          <cell r="AB130">
            <v>7618.94</v>
          </cell>
          <cell r="AC130"/>
          <cell r="AD130">
            <v>8793.01</v>
          </cell>
          <cell r="AE130"/>
          <cell r="AF130">
            <v>3543.26</v>
          </cell>
          <cell r="AG130"/>
          <cell r="AH130">
            <v>98347.270000000019</v>
          </cell>
        </row>
        <row r="131">
          <cell r="D131">
            <v>52165</v>
          </cell>
          <cell r="E131" t="str">
            <v>Communications</v>
          </cell>
          <cell r="F131"/>
          <cell r="G131"/>
          <cell r="H131"/>
          <cell r="I131"/>
          <cell r="J131">
            <v>243.2</v>
          </cell>
          <cell r="K131"/>
          <cell r="L131">
            <v>243.2</v>
          </cell>
          <cell r="M131"/>
          <cell r="N131">
            <v>250.49</v>
          </cell>
          <cell r="O131"/>
          <cell r="P131">
            <v>250.49</v>
          </cell>
          <cell r="Q131"/>
          <cell r="R131">
            <v>500.98</v>
          </cell>
          <cell r="S131"/>
          <cell r="T131">
            <v>0</v>
          </cell>
          <cell r="U131"/>
          <cell r="V131">
            <v>250.49</v>
          </cell>
          <cell r="W131"/>
          <cell r="X131">
            <v>250.49</v>
          </cell>
          <cell r="Y131"/>
          <cell r="Z131">
            <v>250.49</v>
          </cell>
          <cell r="AA131"/>
          <cell r="AB131">
            <v>1027.45</v>
          </cell>
          <cell r="AC131"/>
          <cell r="AD131">
            <v>250.49</v>
          </cell>
          <cell r="AE131"/>
          <cell r="AF131">
            <v>250.49</v>
          </cell>
          <cell r="AG131"/>
          <cell r="AH131">
            <v>3768.2599999999993</v>
          </cell>
        </row>
        <row r="132">
          <cell r="D132">
            <v>52175</v>
          </cell>
          <cell r="E132" t="str">
            <v>Equip/Vehicle Rental</v>
          </cell>
          <cell r="F132"/>
          <cell r="G132"/>
          <cell r="H132"/>
          <cell r="I132"/>
          <cell r="J132">
            <v>0</v>
          </cell>
          <cell r="K132"/>
          <cell r="L132">
            <v>0</v>
          </cell>
          <cell r="M132"/>
          <cell r="N132">
            <v>0</v>
          </cell>
          <cell r="O132"/>
          <cell r="P132">
            <v>0</v>
          </cell>
          <cell r="Q132"/>
          <cell r="R132">
            <v>0</v>
          </cell>
          <cell r="S132"/>
          <cell r="T132">
            <v>0</v>
          </cell>
          <cell r="U132"/>
          <cell r="V132">
            <v>0</v>
          </cell>
          <cell r="W132"/>
          <cell r="X132">
            <v>0</v>
          </cell>
          <cell r="Y132"/>
          <cell r="Z132">
            <v>0</v>
          </cell>
          <cell r="AA132"/>
          <cell r="AB132">
            <v>1902.96</v>
          </cell>
          <cell r="AC132"/>
          <cell r="AD132">
            <v>0</v>
          </cell>
          <cell r="AE132"/>
          <cell r="AF132">
            <v>0</v>
          </cell>
          <cell r="AG132"/>
          <cell r="AH132">
            <v>1902.96</v>
          </cell>
        </row>
        <row r="133">
          <cell r="D133">
            <v>52181</v>
          </cell>
          <cell r="E133" t="str">
            <v>Freight</v>
          </cell>
          <cell r="F133"/>
          <cell r="G133"/>
          <cell r="H133"/>
          <cell r="I133"/>
          <cell r="J133">
            <v>78.55</v>
          </cell>
          <cell r="K133"/>
          <cell r="L133">
            <v>2.31</v>
          </cell>
          <cell r="M133"/>
          <cell r="N133">
            <v>0</v>
          </cell>
          <cell r="O133"/>
          <cell r="P133">
            <v>0</v>
          </cell>
          <cell r="Q133"/>
          <cell r="R133">
            <v>0</v>
          </cell>
          <cell r="S133"/>
          <cell r="T133">
            <v>78.25</v>
          </cell>
          <cell r="U133"/>
          <cell r="V133">
            <v>0</v>
          </cell>
          <cell r="W133"/>
          <cell r="X133">
            <v>0</v>
          </cell>
          <cell r="Y133"/>
          <cell r="Z133">
            <v>0</v>
          </cell>
          <cell r="AA133"/>
          <cell r="AB133">
            <v>0</v>
          </cell>
          <cell r="AC133"/>
          <cell r="AD133">
            <v>0</v>
          </cell>
          <cell r="AE133"/>
          <cell r="AF133">
            <v>23.68</v>
          </cell>
          <cell r="AG133"/>
          <cell r="AH133">
            <v>182.79000000000002</v>
          </cell>
        </row>
        <row r="134">
          <cell r="D134">
            <v>52182</v>
          </cell>
          <cell r="E134" t="str">
            <v>Towing Expense</v>
          </cell>
          <cell r="F134"/>
          <cell r="G134"/>
          <cell r="H134"/>
          <cell r="I134"/>
          <cell r="J134">
            <v>1083</v>
          </cell>
          <cell r="K134"/>
          <cell r="L134">
            <v>1299.5999999999999</v>
          </cell>
          <cell r="M134"/>
          <cell r="N134">
            <v>1962.94</v>
          </cell>
          <cell r="O134"/>
          <cell r="P134">
            <v>446.74</v>
          </cell>
          <cell r="Q134"/>
          <cell r="R134">
            <v>406.13</v>
          </cell>
          <cell r="S134"/>
          <cell r="T134">
            <v>731.03</v>
          </cell>
          <cell r="U134"/>
          <cell r="V134">
            <v>0</v>
          </cell>
          <cell r="W134"/>
          <cell r="X134">
            <v>974.7</v>
          </cell>
          <cell r="Y134"/>
          <cell r="Z134">
            <v>1732.81</v>
          </cell>
          <cell r="AA134"/>
          <cell r="AB134">
            <v>4597.03</v>
          </cell>
          <cell r="AC134"/>
          <cell r="AD134">
            <v>812.25</v>
          </cell>
          <cell r="AE134"/>
          <cell r="AF134">
            <v>744.56</v>
          </cell>
          <cell r="AG134"/>
          <cell r="AH134">
            <v>14790.79</v>
          </cell>
        </row>
        <row r="135">
          <cell r="D135">
            <v>52185</v>
          </cell>
          <cell r="E135" t="str">
            <v>Travel</v>
          </cell>
          <cell r="F135"/>
          <cell r="G135"/>
          <cell r="H135"/>
          <cell r="I135"/>
          <cell r="J135">
            <v>134.96</v>
          </cell>
          <cell r="K135"/>
          <cell r="L135">
            <v>188.72</v>
          </cell>
          <cell r="M135"/>
          <cell r="N135">
            <v>24</v>
          </cell>
          <cell r="O135"/>
          <cell r="P135">
            <v>0</v>
          </cell>
          <cell r="Q135"/>
          <cell r="R135">
            <v>0</v>
          </cell>
          <cell r="S135"/>
          <cell r="T135">
            <v>7</v>
          </cell>
          <cell r="U135"/>
          <cell r="V135">
            <v>0</v>
          </cell>
          <cell r="W135"/>
          <cell r="X135">
            <v>0</v>
          </cell>
          <cell r="Y135"/>
          <cell r="Z135">
            <v>131.6</v>
          </cell>
          <cell r="AA135"/>
          <cell r="AB135">
            <v>0</v>
          </cell>
          <cell r="AC135"/>
          <cell r="AD135">
            <v>0</v>
          </cell>
          <cell r="AE135"/>
          <cell r="AF135">
            <v>0</v>
          </cell>
          <cell r="AG135"/>
          <cell r="AH135">
            <v>486.28</v>
          </cell>
        </row>
        <row r="136">
          <cell r="D136">
            <v>52901</v>
          </cell>
          <cell r="E136" t="str">
            <v>Costs Awaiting Capitalization</v>
          </cell>
          <cell r="F136"/>
          <cell r="G136"/>
          <cell r="H136"/>
          <cell r="I136"/>
          <cell r="J136">
            <v>0</v>
          </cell>
          <cell r="K136"/>
          <cell r="L136">
            <v>0</v>
          </cell>
          <cell r="M136"/>
          <cell r="N136">
            <v>0</v>
          </cell>
          <cell r="O136"/>
          <cell r="P136">
            <v>0</v>
          </cell>
          <cell r="Q136"/>
          <cell r="R136">
            <v>0</v>
          </cell>
          <cell r="S136"/>
          <cell r="T136">
            <v>0</v>
          </cell>
          <cell r="U136"/>
          <cell r="V136">
            <v>0</v>
          </cell>
          <cell r="W136"/>
          <cell r="X136">
            <v>0</v>
          </cell>
          <cell r="Y136"/>
          <cell r="Z136">
            <v>0</v>
          </cell>
          <cell r="AA136"/>
          <cell r="AB136">
            <v>0</v>
          </cell>
          <cell r="AC136"/>
          <cell r="AD136">
            <v>0</v>
          </cell>
          <cell r="AE136"/>
          <cell r="AF136">
            <v>0</v>
          </cell>
          <cell r="AG136"/>
          <cell r="AH136">
            <v>0</v>
          </cell>
        </row>
        <row r="137">
          <cell r="D137"/>
          <cell r="E137"/>
          <cell r="F137"/>
          <cell r="G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row>
        <row r="138">
          <cell r="F138" t="str">
            <v>Truck Variable</v>
          </cell>
          <cell r="J138">
            <v>282770.75</v>
          </cell>
          <cell r="K138"/>
          <cell r="L138">
            <v>268129.99999999994</v>
          </cell>
          <cell r="M138"/>
          <cell r="N138">
            <v>259039.96999999997</v>
          </cell>
          <cell r="O138"/>
          <cell r="P138">
            <v>253516.19999999995</v>
          </cell>
          <cell r="Q138"/>
          <cell r="R138">
            <v>285547.36</v>
          </cell>
          <cell r="S138"/>
          <cell r="T138">
            <v>290311.40000000002</v>
          </cell>
          <cell r="U138"/>
          <cell r="V138">
            <v>237471.09999999998</v>
          </cell>
          <cell r="W138"/>
          <cell r="X138">
            <v>262924.94</v>
          </cell>
          <cell r="Y138"/>
          <cell r="Z138">
            <v>309089.98</v>
          </cell>
          <cell r="AA138"/>
          <cell r="AB138">
            <v>268709.61000000004</v>
          </cell>
          <cell r="AC138"/>
          <cell r="AD138">
            <v>245133.12000000005</v>
          </cell>
          <cell r="AE138"/>
          <cell r="AF138">
            <v>284468.02999999997</v>
          </cell>
          <cell r="AG138"/>
          <cell r="AH138">
            <v>3247112.4599999995</v>
          </cell>
        </row>
        <row r="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row>
        <row r="140">
          <cell r="J140"/>
          <cell r="K140"/>
          <cell r="L140"/>
          <cell r="M140"/>
          <cell r="N140"/>
          <cell r="O140"/>
          <cell r="P140"/>
          <cell r="Q140"/>
          <cell r="R140"/>
          <cell r="S140"/>
          <cell r="T140"/>
          <cell r="U140"/>
          <cell r="V140"/>
          <cell r="W140"/>
          <cell r="X140"/>
          <cell r="Y140"/>
          <cell r="Z140"/>
          <cell r="AA140"/>
          <cell r="AB140"/>
          <cell r="AC140"/>
          <cell r="AD140"/>
          <cell r="AE140"/>
          <cell r="AF140"/>
          <cell r="AG140"/>
          <cell r="AH140"/>
        </row>
        <row r="141">
          <cell r="D141">
            <v>55020</v>
          </cell>
          <cell r="E141" t="str">
            <v>Wages Regular</v>
          </cell>
          <cell r="F141"/>
          <cell r="G141"/>
          <cell r="H141"/>
          <cell r="I141"/>
          <cell r="J141">
            <v>7092.97</v>
          </cell>
          <cell r="K141"/>
          <cell r="L141">
            <v>7921.4</v>
          </cell>
          <cell r="M141"/>
          <cell r="N141">
            <v>7761.01</v>
          </cell>
          <cell r="O141"/>
          <cell r="P141">
            <v>7566.75</v>
          </cell>
          <cell r="Q141"/>
          <cell r="R141">
            <v>7625.34</v>
          </cell>
          <cell r="S141"/>
          <cell r="T141">
            <v>8397.98</v>
          </cell>
          <cell r="U141"/>
          <cell r="V141">
            <v>7924.9</v>
          </cell>
          <cell r="W141"/>
          <cell r="X141">
            <v>8227.5</v>
          </cell>
          <cell r="Y141"/>
          <cell r="Z141">
            <v>7908.65</v>
          </cell>
          <cell r="AA141"/>
          <cell r="AB141">
            <v>6893</v>
          </cell>
          <cell r="AC141"/>
          <cell r="AD141">
            <v>3291.64</v>
          </cell>
          <cell r="AE141"/>
          <cell r="AF141">
            <v>7861.77</v>
          </cell>
          <cell r="AG141"/>
          <cell r="AH141">
            <v>88472.909999999989</v>
          </cell>
        </row>
        <row r="142">
          <cell r="D142">
            <v>55025</v>
          </cell>
          <cell r="E142" t="str">
            <v>Wages O.T.</v>
          </cell>
          <cell r="F142"/>
          <cell r="G142"/>
          <cell r="H142"/>
          <cell r="I142"/>
          <cell r="J142">
            <v>1260.33</v>
          </cell>
          <cell r="K142"/>
          <cell r="L142">
            <v>471.18</v>
          </cell>
          <cell r="M142"/>
          <cell r="N142">
            <v>366.89</v>
          </cell>
          <cell r="O142"/>
          <cell r="P142">
            <v>335.52</v>
          </cell>
          <cell r="Q142"/>
          <cell r="R142">
            <v>301.05</v>
          </cell>
          <cell r="S142"/>
          <cell r="T142">
            <v>143.94999999999999</v>
          </cell>
          <cell r="U142"/>
          <cell r="V142">
            <v>154.37</v>
          </cell>
          <cell r="W142"/>
          <cell r="X142">
            <v>361.86</v>
          </cell>
          <cell r="Y142"/>
          <cell r="Z142">
            <v>-44.58</v>
          </cell>
          <cell r="AA142"/>
          <cell r="AB142">
            <v>437.07</v>
          </cell>
          <cell r="AC142"/>
          <cell r="AD142">
            <v>-163.9</v>
          </cell>
          <cell r="AE142"/>
          <cell r="AF142">
            <v>130.36000000000001</v>
          </cell>
          <cell r="AG142"/>
          <cell r="AH142">
            <v>3754.0999999999995</v>
          </cell>
        </row>
        <row r="143">
          <cell r="D143">
            <v>55035</v>
          </cell>
          <cell r="E143" t="str">
            <v>Safety Bonuses</v>
          </cell>
          <cell r="F143"/>
          <cell r="G143"/>
          <cell r="H143"/>
          <cell r="I143"/>
          <cell r="J143">
            <v>0</v>
          </cell>
          <cell r="K143"/>
          <cell r="L143">
            <v>0</v>
          </cell>
          <cell r="M143"/>
          <cell r="N143">
            <v>0</v>
          </cell>
          <cell r="O143"/>
          <cell r="P143">
            <v>0</v>
          </cell>
          <cell r="Q143"/>
          <cell r="R143">
            <v>0</v>
          </cell>
          <cell r="S143"/>
          <cell r="T143">
            <v>0</v>
          </cell>
          <cell r="U143"/>
          <cell r="V143">
            <v>0</v>
          </cell>
          <cell r="W143"/>
          <cell r="X143">
            <v>2468.96</v>
          </cell>
          <cell r="Y143"/>
          <cell r="Z143">
            <v>0</v>
          </cell>
          <cell r="AA143"/>
          <cell r="AB143">
            <v>0</v>
          </cell>
          <cell r="AC143"/>
          <cell r="AD143">
            <v>0</v>
          </cell>
          <cell r="AE143"/>
          <cell r="AF143">
            <v>0</v>
          </cell>
          <cell r="AG143"/>
          <cell r="AH143">
            <v>2468.96</v>
          </cell>
        </row>
        <row r="144">
          <cell r="D144">
            <v>55036</v>
          </cell>
          <cell r="E144" t="str">
            <v>Other Bonus/Commission - Non-Safety</v>
          </cell>
          <cell r="F144"/>
          <cell r="G144"/>
          <cell r="H144"/>
          <cell r="I144"/>
          <cell r="J144">
            <v>0</v>
          </cell>
          <cell r="K144"/>
          <cell r="L144">
            <v>0</v>
          </cell>
          <cell r="M144"/>
          <cell r="N144">
            <v>0</v>
          </cell>
          <cell r="O144"/>
          <cell r="P144">
            <v>0</v>
          </cell>
          <cell r="Q144"/>
          <cell r="R144">
            <v>0</v>
          </cell>
          <cell r="S144"/>
          <cell r="T144">
            <v>0</v>
          </cell>
          <cell r="U144"/>
          <cell r="V144">
            <v>0</v>
          </cell>
          <cell r="W144"/>
          <cell r="X144">
            <v>0</v>
          </cell>
          <cell r="Y144"/>
          <cell r="Z144">
            <v>0</v>
          </cell>
          <cell r="AA144"/>
          <cell r="AB144">
            <v>557.22</v>
          </cell>
          <cell r="AC144"/>
          <cell r="AD144">
            <v>-22.85</v>
          </cell>
          <cell r="AE144"/>
          <cell r="AF144">
            <v>0</v>
          </cell>
          <cell r="AG144"/>
          <cell r="AH144">
            <v>534.37</v>
          </cell>
        </row>
        <row r="145">
          <cell r="D145">
            <v>55045</v>
          </cell>
          <cell r="E145" t="str">
            <v>Contract Labor</v>
          </cell>
          <cell r="F145"/>
          <cell r="G145"/>
          <cell r="H145"/>
          <cell r="I145"/>
          <cell r="J145">
            <v>0</v>
          </cell>
          <cell r="K145"/>
          <cell r="L145">
            <v>0</v>
          </cell>
          <cell r="M145"/>
          <cell r="N145">
            <v>0</v>
          </cell>
          <cell r="O145"/>
          <cell r="P145">
            <v>0</v>
          </cell>
          <cell r="Q145"/>
          <cell r="R145">
            <v>0</v>
          </cell>
          <cell r="S145"/>
          <cell r="T145">
            <v>0</v>
          </cell>
          <cell r="U145"/>
          <cell r="V145">
            <v>0</v>
          </cell>
          <cell r="W145"/>
          <cell r="X145">
            <v>0</v>
          </cell>
          <cell r="Y145"/>
          <cell r="Z145">
            <v>0</v>
          </cell>
          <cell r="AA145"/>
          <cell r="AB145">
            <v>0</v>
          </cell>
          <cell r="AC145"/>
          <cell r="AD145">
            <v>3019.2</v>
          </cell>
          <cell r="AE145"/>
          <cell r="AF145">
            <v>4057.5</v>
          </cell>
          <cell r="AG145"/>
          <cell r="AH145">
            <v>7076.7</v>
          </cell>
        </row>
        <row r="146">
          <cell r="D146">
            <v>55050</v>
          </cell>
          <cell r="E146" t="str">
            <v>Payroll Taxes</v>
          </cell>
          <cell r="F146"/>
          <cell r="G146"/>
          <cell r="H146"/>
          <cell r="I146"/>
          <cell r="J146">
            <v>695.65</v>
          </cell>
          <cell r="K146"/>
          <cell r="L146">
            <v>695.23</v>
          </cell>
          <cell r="M146"/>
          <cell r="N146">
            <v>742.3</v>
          </cell>
          <cell r="O146"/>
          <cell r="P146">
            <v>737.49</v>
          </cell>
          <cell r="Q146"/>
          <cell r="R146">
            <v>739.12</v>
          </cell>
          <cell r="S146"/>
          <cell r="T146">
            <v>715.69</v>
          </cell>
          <cell r="U146"/>
          <cell r="V146">
            <v>664.23</v>
          </cell>
          <cell r="W146"/>
          <cell r="X146">
            <v>929.67</v>
          </cell>
          <cell r="Y146"/>
          <cell r="Z146">
            <v>672.83</v>
          </cell>
          <cell r="AA146"/>
          <cell r="AB146">
            <v>835.9</v>
          </cell>
          <cell r="AC146"/>
          <cell r="AD146">
            <v>268.68</v>
          </cell>
          <cell r="AE146"/>
          <cell r="AF146">
            <v>693.76</v>
          </cell>
          <cell r="AG146"/>
          <cell r="AH146">
            <v>8390.5499999999993</v>
          </cell>
        </row>
        <row r="147">
          <cell r="D147">
            <v>55060</v>
          </cell>
          <cell r="E147" t="str">
            <v>Group Insurance</v>
          </cell>
          <cell r="F147"/>
          <cell r="G147"/>
          <cell r="H147"/>
          <cell r="I147"/>
          <cell r="J147">
            <v>2217.58</v>
          </cell>
          <cell r="K147"/>
          <cell r="L147">
            <v>2254.23</v>
          </cell>
          <cell r="M147"/>
          <cell r="N147">
            <v>2324.5300000000002</v>
          </cell>
          <cell r="O147"/>
          <cell r="P147">
            <v>2324.3200000000002</v>
          </cell>
          <cell r="Q147"/>
          <cell r="R147">
            <v>2324.34</v>
          </cell>
          <cell r="S147"/>
          <cell r="T147">
            <v>2309.9699999999998</v>
          </cell>
          <cell r="U147"/>
          <cell r="V147">
            <v>2181.4699999999998</v>
          </cell>
          <cell r="W147"/>
          <cell r="X147">
            <v>2325.04</v>
          </cell>
          <cell r="Y147"/>
          <cell r="Z147">
            <v>2321.19</v>
          </cell>
          <cell r="AA147"/>
          <cell r="AB147">
            <v>2423.06</v>
          </cell>
          <cell r="AC147"/>
          <cell r="AD147">
            <v>1182.56</v>
          </cell>
          <cell r="AE147"/>
          <cell r="AF147">
            <v>2303.3000000000002</v>
          </cell>
          <cell r="AG147"/>
          <cell r="AH147">
            <v>26491.589999999997</v>
          </cell>
        </row>
        <row r="148">
          <cell r="D148">
            <v>55065</v>
          </cell>
          <cell r="E148" t="str">
            <v>Vacation Pay</v>
          </cell>
          <cell r="F148"/>
          <cell r="G148"/>
          <cell r="H148"/>
          <cell r="I148"/>
          <cell r="J148">
            <v>370.54</v>
          </cell>
          <cell r="K148"/>
          <cell r="L148">
            <v>502.89</v>
          </cell>
          <cell r="M148"/>
          <cell r="N148">
            <v>383.34</v>
          </cell>
          <cell r="O148"/>
          <cell r="P148">
            <v>22.14</v>
          </cell>
          <cell r="Q148"/>
          <cell r="R148">
            <v>791.46</v>
          </cell>
          <cell r="S148"/>
          <cell r="T148">
            <v>403.48</v>
          </cell>
          <cell r="U148"/>
          <cell r="V148">
            <v>605.21</v>
          </cell>
          <cell r="W148"/>
          <cell r="X148">
            <v>387.99</v>
          </cell>
          <cell r="Y148"/>
          <cell r="Z148">
            <v>551.32000000000005</v>
          </cell>
          <cell r="AA148"/>
          <cell r="AB148">
            <v>289.91000000000003</v>
          </cell>
          <cell r="AC148"/>
          <cell r="AD148">
            <v>-14.77</v>
          </cell>
          <cell r="AE148"/>
          <cell r="AF148">
            <v>729.6</v>
          </cell>
          <cell r="AG148"/>
          <cell r="AH148">
            <v>5023.1100000000006</v>
          </cell>
        </row>
        <row r="149">
          <cell r="D149">
            <v>55070</v>
          </cell>
          <cell r="E149" t="str">
            <v>Sick Pay</v>
          </cell>
          <cell r="F149"/>
          <cell r="G149"/>
          <cell r="H149"/>
          <cell r="I149"/>
          <cell r="J149">
            <v>330.16</v>
          </cell>
          <cell r="K149"/>
          <cell r="L149">
            <v>0</v>
          </cell>
          <cell r="M149"/>
          <cell r="N149">
            <v>508</v>
          </cell>
          <cell r="O149"/>
          <cell r="P149">
            <v>-72</v>
          </cell>
          <cell r="Q149"/>
          <cell r="R149">
            <v>364</v>
          </cell>
          <cell r="S149"/>
          <cell r="T149">
            <v>0</v>
          </cell>
          <cell r="U149"/>
          <cell r="V149">
            <v>392</v>
          </cell>
          <cell r="W149"/>
          <cell r="X149">
            <v>192</v>
          </cell>
          <cell r="Y149"/>
          <cell r="Z149">
            <v>449.25</v>
          </cell>
          <cell r="AA149"/>
          <cell r="AB149">
            <v>-85.75</v>
          </cell>
          <cell r="AC149"/>
          <cell r="AD149">
            <v>295.68</v>
          </cell>
          <cell r="AE149"/>
          <cell r="AF149">
            <v>-110.88</v>
          </cell>
          <cell r="AG149"/>
          <cell r="AH149">
            <v>2262.46</v>
          </cell>
        </row>
        <row r="150">
          <cell r="D150">
            <v>55115</v>
          </cell>
          <cell r="E150" t="str">
            <v>Pension and Profit Sharing</v>
          </cell>
          <cell r="F150"/>
          <cell r="G150"/>
          <cell r="H150"/>
          <cell r="I150"/>
          <cell r="J150">
            <v>228.59</v>
          </cell>
          <cell r="K150"/>
          <cell r="L150">
            <v>229.37</v>
          </cell>
          <cell r="M150"/>
          <cell r="N150">
            <v>236.04</v>
          </cell>
          <cell r="O150"/>
          <cell r="P150">
            <v>223.17</v>
          </cell>
          <cell r="Q150"/>
          <cell r="R150">
            <v>238.17</v>
          </cell>
          <cell r="S150"/>
          <cell r="T150">
            <v>237.98</v>
          </cell>
          <cell r="U150"/>
          <cell r="V150">
            <v>203.94</v>
          </cell>
          <cell r="W150"/>
          <cell r="X150">
            <v>324.51</v>
          </cell>
          <cell r="Y150"/>
          <cell r="Z150">
            <v>213.38</v>
          </cell>
          <cell r="AA150"/>
          <cell r="AB150">
            <v>250.45</v>
          </cell>
          <cell r="AC150"/>
          <cell r="AD150">
            <v>-24.04</v>
          </cell>
          <cell r="AE150"/>
          <cell r="AF150">
            <v>222.81</v>
          </cell>
          <cell r="AG150"/>
          <cell r="AH150">
            <v>2584.3700000000003</v>
          </cell>
        </row>
        <row r="151">
          <cell r="D151">
            <v>55120</v>
          </cell>
          <cell r="E151" t="str">
            <v>Parts and Materials</v>
          </cell>
          <cell r="F151"/>
          <cell r="G151"/>
          <cell r="H151"/>
          <cell r="I151"/>
          <cell r="J151">
            <v>20411.02</v>
          </cell>
          <cell r="K151"/>
          <cell r="L151">
            <v>16452.89</v>
          </cell>
          <cell r="M151"/>
          <cell r="N151">
            <v>10510.06</v>
          </cell>
          <cell r="O151"/>
          <cell r="P151">
            <v>5142.4399999999996</v>
          </cell>
          <cell r="Q151"/>
          <cell r="R151">
            <v>22498.17</v>
          </cell>
          <cell r="S151"/>
          <cell r="T151">
            <v>19515.259999999998</v>
          </cell>
          <cell r="U151"/>
          <cell r="V151">
            <v>2314.59</v>
          </cell>
          <cell r="W151"/>
          <cell r="X151">
            <v>0</v>
          </cell>
          <cell r="Y151"/>
          <cell r="Z151">
            <v>4223.57</v>
          </cell>
          <cell r="AA151"/>
          <cell r="AB151">
            <v>643.78</v>
          </cell>
          <cell r="AC151"/>
          <cell r="AD151">
            <v>9949.57</v>
          </cell>
          <cell r="AE151"/>
          <cell r="AF151">
            <v>6251</v>
          </cell>
          <cell r="AG151"/>
          <cell r="AH151">
            <v>117912.34999999999</v>
          </cell>
        </row>
        <row r="152">
          <cell r="D152">
            <v>55125</v>
          </cell>
          <cell r="E152" t="str">
            <v>Operating Supplies</v>
          </cell>
          <cell r="F152"/>
          <cell r="G152"/>
          <cell r="H152"/>
          <cell r="I152"/>
          <cell r="J152">
            <v>2028.34</v>
          </cell>
          <cell r="K152"/>
          <cell r="L152">
            <v>1380.19</v>
          </cell>
          <cell r="M152"/>
          <cell r="N152">
            <v>1212.26</v>
          </cell>
          <cell r="O152"/>
          <cell r="P152">
            <v>1840.86</v>
          </cell>
          <cell r="Q152"/>
          <cell r="R152">
            <v>2619.8000000000002</v>
          </cell>
          <cell r="S152"/>
          <cell r="T152">
            <v>2069.35</v>
          </cell>
          <cell r="U152"/>
          <cell r="V152">
            <v>2130.2800000000002</v>
          </cell>
          <cell r="W152"/>
          <cell r="X152">
            <v>1714.89</v>
          </cell>
          <cell r="Y152"/>
          <cell r="Z152">
            <v>3787.76</v>
          </cell>
          <cell r="AA152"/>
          <cell r="AB152">
            <v>1179.49</v>
          </cell>
          <cell r="AC152"/>
          <cell r="AD152">
            <v>1966.12</v>
          </cell>
          <cell r="AE152"/>
          <cell r="AF152">
            <v>1528.38</v>
          </cell>
          <cell r="AG152"/>
          <cell r="AH152">
            <v>23457.719999999998</v>
          </cell>
        </row>
        <row r="153">
          <cell r="D153"/>
          <cell r="E153"/>
          <cell r="F153"/>
          <cell r="G153"/>
          <cell r="J153"/>
          <cell r="K153"/>
          <cell r="L153"/>
          <cell r="M153"/>
          <cell r="N153"/>
          <cell r="O153"/>
          <cell r="P153"/>
          <cell r="Q153"/>
          <cell r="R153"/>
          <cell r="S153"/>
          <cell r="T153"/>
          <cell r="U153"/>
          <cell r="V153"/>
          <cell r="W153"/>
          <cell r="X153"/>
          <cell r="Y153"/>
          <cell r="Z153"/>
          <cell r="AA153"/>
          <cell r="AB153"/>
          <cell r="AC153"/>
          <cell r="AD153"/>
          <cell r="AE153"/>
          <cell r="AF153"/>
          <cell r="AG153"/>
          <cell r="AH153"/>
        </row>
        <row r="154">
          <cell r="F154" t="str">
            <v>Container Exp</v>
          </cell>
          <cell r="J154">
            <v>34635.18</v>
          </cell>
          <cell r="K154"/>
          <cell r="L154">
            <v>29907.379999999997</v>
          </cell>
          <cell r="M154"/>
          <cell r="N154">
            <v>24044.43</v>
          </cell>
          <cell r="O154"/>
          <cell r="P154">
            <v>18120.689999999999</v>
          </cell>
          <cell r="Q154"/>
          <cell r="R154">
            <v>37501.450000000004</v>
          </cell>
          <cell r="S154"/>
          <cell r="T154">
            <v>33793.659999999996</v>
          </cell>
          <cell r="U154"/>
          <cell r="V154">
            <v>16570.990000000002</v>
          </cell>
          <cell r="W154"/>
          <cell r="X154">
            <v>16932.419999999998</v>
          </cell>
          <cell r="Y154"/>
          <cell r="Z154">
            <v>20083.37</v>
          </cell>
          <cell r="AA154"/>
          <cell r="AB154">
            <v>13424.130000000001</v>
          </cell>
          <cell r="AC154"/>
          <cell r="AD154">
            <v>19747.89</v>
          </cell>
          <cell r="AE154"/>
          <cell r="AF154">
            <v>23667.600000000002</v>
          </cell>
          <cell r="AG154"/>
          <cell r="AH154">
            <v>288429.18999999994</v>
          </cell>
        </row>
        <row r="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row>
        <row r="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row>
        <row r="157">
          <cell r="D157">
            <v>56010</v>
          </cell>
          <cell r="E157" t="str">
            <v>Salaries</v>
          </cell>
          <cell r="F157"/>
          <cell r="G157"/>
          <cell r="H157"/>
          <cell r="I157"/>
          <cell r="J157">
            <v>20513.61</v>
          </cell>
          <cell r="K157"/>
          <cell r="L157">
            <v>20967.47</v>
          </cell>
          <cell r="M157"/>
          <cell r="N157">
            <v>21825.43</v>
          </cell>
          <cell r="O157"/>
          <cell r="P157">
            <v>21825.43</v>
          </cell>
          <cell r="Q157"/>
          <cell r="R157">
            <v>19479.75</v>
          </cell>
          <cell r="S157"/>
          <cell r="T157">
            <v>16748.52</v>
          </cell>
          <cell r="U157"/>
          <cell r="V157">
            <v>15696.14</v>
          </cell>
          <cell r="W157"/>
          <cell r="X157">
            <v>21675.61</v>
          </cell>
          <cell r="Y157"/>
          <cell r="Z157">
            <v>22530.31</v>
          </cell>
          <cell r="AA157"/>
          <cell r="AB157">
            <v>17875.66</v>
          </cell>
          <cell r="AC157"/>
          <cell r="AD157">
            <v>17024.439999999999</v>
          </cell>
          <cell r="AE157"/>
          <cell r="AF157">
            <v>19578.099999999999</v>
          </cell>
          <cell r="AG157"/>
          <cell r="AH157">
            <v>235740.46999999997</v>
          </cell>
        </row>
        <row r="158">
          <cell r="D158">
            <v>56036</v>
          </cell>
          <cell r="E158" t="str">
            <v>Other Bonus/Commission - Non-Safety</v>
          </cell>
          <cell r="F158"/>
          <cell r="G158"/>
          <cell r="H158"/>
          <cell r="I158"/>
          <cell r="J158">
            <v>0</v>
          </cell>
          <cell r="K158"/>
          <cell r="L158">
            <v>0</v>
          </cell>
          <cell r="M158"/>
          <cell r="N158">
            <v>0</v>
          </cell>
          <cell r="O158"/>
          <cell r="P158">
            <v>0</v>
          </cell>
          <cell r="Q158"/>
          <cell r="R158">
            <v>0</v>
          </cell>
          <cell r="S158"/>
          <cell r="T158">
            <v>400</v>
          </cell>
          <cell r="U158"/>
          <cell r="V158">
            <v>0</v>
          </cell>
          <cell r="W158"/>
          <cell r="X158">
            <v>0</v>
          </cell>
          <cell r="Y158"/>
          <cell r="Z158">
            <v>0</v>
          </cell>
          <cell r="AA158"/>
          <cell r="AB158">
            <v>1575</v>
          </cell>
          <cell r="AC158"/>
          <cell r="AD158">
            <v>0</v>
          </cell>
          <cell r="AE158"/>
          <cell r="AF158">
            <v>0</v>
          </cell>
          <cell r="AG158"/>
          <cell r="AH158">
            <v>1975</v>
          </cell>
        </row>
        <row r="159">
          <cell r="D159">
            <v>56050</v>
          </cell>
          <cell r="E159" t="str">
            <v>Payroll Taxes</v>
          </cell>
          <cell r="F159"/>
          <cell r="G159"/>
          <cell r="H159"/>
          <cell r="I159"/>
          <cell r="J159">
            <v>1417.69</v>
          </cell>
          <cell r="K159"/>
          <cell r="L159">
            <v>1477.93</v>
          </cell>
          <cell r="M159"/>
          <cell r="N159">
            <v>1491.09</v>
          </cell>
          <cell r="O159"/>
          <cell r="P159">
            <v>1478.9</v>
          </cell>
          <cell r="Q159"/>
          <cell r="R159">
            <v>1276.01</v>
          </cell>
          <cell r="S159"/>
          <cell r="T159">
            <v>1112.83</v>
          </cell>
          <cell r="U159"/>
          <cell r="V159">
            <v>873.43</v>
          </cell>
          <cell r="W159"/>
          <cell r="X159">
            <v>1459.74</v>
          </cell>
          <cell r="Y159"/>
          <cell r="Z159">
            <v>1470.69</v>
          </cell>
          <cell r="AA159"/>
          <cell r="AB159">
            <v>1622.44</v>
          </cell>
          <cell r="AC159"/>
          <cell r="AD159">
            <v>1356.2</v>
          </cell>
          <cell r="AE159"/>
          <cell r="AF159">
            <v>1569.22</v>
          </cell>
          <cell r="AG159"/>
          <cell r="AH159">
            <v>16606.170000000002</v>
          </cell>
        </row>
        <row r="160">
          <cell r="D160">
            <v>56060</v>
          </cell>
          <cell r="E160" t="str">
            <v>Group Insurance</v>
          </cell>
          <cell r="F160"/>
          <cell r="G160"/>
          <cell r="H160"/>
          <cell r="I160"/>
          <cell r="J160">
            <v>2851.88</v>
          </cell>
          <cell r="K160"/>
          <cell r="L160">
            <v>2952.38</v>
          </cell>
          <cell r="M160"/>
          <cell r="N160">
            <v>2903.51</v>
          </cell>
          <cell r="O160"/>
          <cell r="P160">
            <v>2903.36</v>
          </cell>
          <cell r="Q160"/>
          <cell r="R160">
            <v>2888.58</v>
          </cell>
          <cell r="S160"/>
          <cell r="T160">
            <v>1893.7</v>
          </cell>
          <cell r="U160"/>
          <cell r="V160">
            <v>1560.02</v>
          </cell>
          <cell r="W160"/>
          <cell r="X160">
            <v>3214.58</v>
          </cell>
          <cell r="Y160"/>
          <cell r="Z160">
            <v>3214.58</v>
          </cell>
          <cell r="AA160"/>
          <cell r="AB160">
            <v>3226.75</v>
          </cell>
          <cell r="AC160"/>
          <cell r="AD160">
            <v>3226.63</v>
          </cell>
          <cell r="AE160"/>
          <cell r="AF160">
            <v>3227.63</v>
          </cell>
          <cell r="AG160"/>
          <cell r="AH160">
            <v>34063.600000000006</v>
          </cell>
        </row>
        <row r="161">
          <cell r="D161">
            <v>56086</v>
          </cell>
          <cell r="E161" t="str">
            <v>Safety and Training</v>
          </cell>
          <cell r="F161"/>
          <cell r="G161"/>
          <cell r="H161"/>
          <cell r="I161"/>
          <cell r="J161">
            <v>0</v>
          </cell>
          <cell r="K161"/>
          <cell r="L161">
            <v>0</v>
          </cell>
          <cell r="M161"/>
          <cell r="N161">
            <v>0</v>
          </cell>
          <cell r="O161"/>
          <cell r="P161">
            <v>0</v>
          </cell>
          <cell r="Q161"/>
          <cell r="R161">
            <v>0</v>
          </cell>
          <cell r="S161"/>
          <cell r="T161">
            <v>0</v>
          </cell>
          <cell r="U161"/>
          <cell r="V161">
            <v>0</v>
          </cell>
          <cell r="W161"/>
          <cell r="X161">
            <v>0</v>
          </cell>
          <cell r="Y161"/>
          <cell r="Z161">
            <v>0</v>
          </cell>
          <cell r="AA161"/>
          <cell r="AB161">
            <v>3203.95</v>
          </cell>
          <cell r="AC161"/>
          <cell r="AD161">
            <v>0</v>
          </cell>
          <cell r="AE161"/>
          <cell r="AF161">
            <v>0</v>
          </cell>
          <cell r="AG161"/>
          <cell r="AH161">
            <v>3203.95</v>
          </cell>
        </row>
        <row r="162">
          <cell r="D162">
            <v>56090</v>
          </cell>
          <cell r="E162" t="str">
            <v>Uniforms</v>
          </cell>
          <cell r="F162"/>
          <cell r="G162"/>
          <cell r="H162"/>
          <cell r="I162"/>
          <cell r="J162">
            <v>0</v>
          </cell>
          <cell r="K162"/>
          <cell r="L162">
            <v>0</v>
          </cell>
          <cell r="M162"/>
          <cell r="N162">
            <v>0</v>
          </cell>
          <cell r="O162"/>
          <cell r="P162">
            <v>0</v>
          </cell>
          <cell r="Q162"/>
          <cell r="R162">
            <v>0</v>
          </cell>
          <cell r="S162"/>
          <cell r="T162">
            <v>0</v>
          </cell>
          <cell r="U162"/>
          <cell r="V162">
            <v>0</v>
          </cell>
          <cell r="W162"/>
          <cell r="X162">
            <v>207.7</v>
          </cell>
          <cell r="Y162"/>
          <cell r="Z162">
            <v>0</v>
          </cell>
          <cell r="AA162"/>
          <cell r="AB162">
            <v>0</v>
          </cell>
          <cell r="AC162"/>
          <cell r="AD162">
            <v>0</v>
          </cell>
          <cell r="AE162"/>
          <cell r="AF162">
            <v>0</v>
          </cell>
          <cell r="AG162"/>
          <cell r="AH162">
            <v>207.7</v>
          </cell>
        </row>
        <row r="163">
          <cell r="D163">
            <v>56115</v>
          </cell>
          <cell r="E163" t="str">
            <v>Pension and Profit Sharing</v>
          </cell>
          <cell r="F163"/>
          <cell r="G163"/>
          <cell r="H163"/>
          <cell r="I163"/>
          <cell r="J163">
            <v>809.63</v>
          </cell>
          <cell r="K163"/>
          <cell r="L163">
            <v>841.09</v>
          </cell>
          <cell r="M163"/>
          <cell r="N163">
            <v>881.15</v>
          </cell>
          <cell r="O163"/>
          <cell r="P163">
            <v>881.15</v>
          </cell>
          <cell r="Q163"/>
          <cell r="R163">
            <v>763.85</v>
          </cell>
          <cell r="S163"/>
          <cell r="T163">
            <v>529.27</v>
          </cell>
          <cell r="U163"/>
          <cell r="V163">
            <v>551.30999999999995</v>
          </cell>
          <cell r="W163"/>
          <cell r="X163">
            <v>583.34</v>
          </cell>
          <cell r="Y163"/>
          <cell r="Z163">
            <v>598.04999999999995</v>
          </cell>
          <cell r="AA163"/>
          <cell r="AB163">
            <v>918.82</v>
          </cell>
          <cell r="AC163"/>
          <cell r="AD163">
            <v>794.3</v>
          </cell>
          <cell r="AE163"/>
          <cell r="AF163">
            <v>913.45</v>
          </cell>
          <cell r="AG163"/>
          <cell r="AH163">
            <v>9065.41</v>
          </cell>
        </row>
        <row r="164">
          <cell r="D164">
            <v>56125</v>
          </cell>
          <cell r="E164" t="str">
            <v>Operating Supplies</v>
          </cell>
          <cell r="F164"/>
          <cell r="G164"/>
          <cell r="H164"/>
          <cell r="I164"/>
          <cell r="J164">
            <v>0</v>
          </cell>
          <cell r="K164"/>
          <cell r="L164">
            <v>0</v>
          </cell>
          <cell r="M164"/>
          <cell r="N164">
            <v>0</v>
          </cell>
          <cell r="O164"/>
          <cell r="P164">
            <v>0</v>
          </cell>
          <cell r="Q164"/>
          <cell r="R164">
            <v>0</v>
          </cell>
          <cell r="S164"/>
          <cell r="T164">
            <v>0</v>
          </cell>
          <cell r="U164"/>
          <cell r="V164">
            <v>0</v>
          </cell>
          <cell r="W164"/>
          <cell r="X164">
            <v>20.81</v>
          </cell>
          <cell r="Y164"/>
          <cell r="Z164">
            <v>0</v>
          </cell>
          <cell r="AA164"/>
          <cell r="AB164">
            <v>0</v>
          </cell>
          <cell r="AC164"/>
          <cell r="AD164">
            <v>0</v>
          </cell>
          <cell r="AE164"/>
          <cell r="AF164">
            <v>0</v>
          </cell>
          <cell r="AG164"/>
          <cell r="AH164">
            <v>20.81</v>
          </cell>
        </row>
        <row r="165">
          <cell r="D165">
            <v>56165</v>
          </cell>
          <cell r="E165" t="str">
            <v>Communications</v>
          </cell>
          <cell r="F165"/>
          <cell r="G165"/>
          <cell r="H165"/>
          <cell r="I165"/>
          <cell r="J165">
            <v>0</v>
          </cell>
          <cell r="K165"/>
          <cell r="L165">
            <v>0</v>
          </cell>
          <cell r="M165"/>
          <cell r="N165">
            <v>0</v>
          </cell>
          <cell r="O165"/>
          <cell r="P165">
            <v>0</v>
          </cell>
          <cell r="Q165"/>
          <cell r="R165">
            <v>0</v>
          </cell>
          <cell r="S165"/>
          <cell r="T165">
            <v>0</v>
          </cell>
          <cell r="U165"/>
          <cell r="V165">
            <v>0</v>
          </cell>
          <cell r="W165"/>
          <cell r="X165">
            <v>60</v>
          </cell>
          <cell r="Y165"/>
          <cell r="Z165">
            <v>0</v>
          </cell>
          <cell r="AA165"/>
          <cell r="AB165">
            <v>0</v>
          </cell>
          <cell r="AC165"/>
          <cell r="AD165">
            <v>0</v>
          </cell>
          <cell r="AE165"/>
          <cell r="AF165">
            <v>0</v>
          </cell>
          <cell r="AG165"/>
          <cell r="AH165">
            <v>60</v>
          </cell>
        </row>
        <row r="166">
          <cell r="D166">
            <v>56201</v>
          </cell>
          <cell r="E166" t="str">
            <v>Meals and Entertainment</v>
          </cell>
          <cell r="F166"/>
          <cell r="G166"/>
          <cell r="H166"/>
          <cell r="I166"/>
          <cell r="J166">
            <v>0</v>
          </cell>
          <cell r="K166"/>
          <cell r="L166">
            <v>0</v>
          </cell>
          <cell r="M166"/>
          <cell r="N166">
            <v>0</v>
          </cell>
          <cell r="O166"/>
          <cell r="P166">
            <v>0</v>
          </cell>
          <cell r="Q166"/>
          <cell r="R166">
            <v>25.67</v>
          </cell>
          <cell r="S166"/>
          <cell r="T166">
            <v>5.3</v>
          </cell>
          <cell r="U166"/>
          <cell r="V166">
            <v>31.71</v>
          </cell>
          <cell r="W166"/>
          <cell r="X166">
            <v>27</v>
          </cell>
          <cell r="Y166"/>
          <cell r="Z166">
            <v>38.479999999999997</v>
          </cell>
          <cell r="AA166"/>
          <cell r="AB166">
            <v>0</v>
          </cell>
          <cell r="AC166"/>
          <cell r="AD166">
            <v>33.840000000000003</v>
          </cell>
          <cell r="AE166"/>
          <cell r="AF166">
            <v>48.47</v>
          </cell>
          <cell r="AG166"/>
          <cell r="AH166">
            <v>210.47000000000003</v>
          </cell>
        </row>
        <row r="167">
          <cell r="D167"/>
          <cell r="E167"/>
          <cell r="F167"/>
          <cell r="G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row>
        <row r="168">
          <cell r="F168" t="str">
            <v>Superv. Ex</v>
          </cell>
          <cell r="J168">
            <v>25592.81</v>
          </cell>
          <cell r="K168"/>
          <cell r="L168">
            <v>26238.870000000003</v>
          </cell>
          <cell r="M168"/>
          <cell r="N168">
            <v>27101.18</v>
          </cell>
          <cell r="O168"/>
          <cell r="P168">
            <v>27088.840000000004</v>
          </cell>
          <cell r="Q168"/>
          <cell r="R168">
            <v>24433.859999999993</v>
          </cell>
          <cell r="S168"/>
          <cell r="T168">
            <v>20689.62</v>
          </cell>
          <cell r="U168"/>
          <cell r="V168">
            <v>18712.61</v>
          </cell>
          <cell r="W168"/>
          <cell r="X168">
            <v>27248.780000000002</v>
          </cell>
          <cell r="Y168"/>
          <cell r="Z168">
            <v>27852.11</v>
          </cell>
          <cell r="AA168"/>
          <cell r="AB168">
            <v>28422.62</v>
          </cell>
          <cell r="AC168"/>
          <cell r="AD168">
            <v>22435.41</v>
          </cell>
          <cell r="AE168"/>
          <cell r="AF168">
            <v>25336.870000000003</v>
          </cell>
          <cell r="AG168"/>
          <cell r="AH168">
            <v>301153.57999999996</v>
          </cell>
        </row>
        <row r="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row>
        <row r="170">
          <cell r="J170"/>
          <cell r="K170"/>
          <cell r="L170"/>
          <cell r="M170"/>
          <cell r="N170"/>
          <cell r="O170"/>
          <cell r="P170"/>
          <cell r="Q170"/>
          <cell r="R170"/>
          <cell r="S170"/>
          <cell r="T170"/>
          <cell r="U170"/>
          <cell r="V170"/>
          <cell r="W170"/>
          <cell r="X170"/>
          <cell r="Y170"/>
          <cell r="Z170"/>
          <cell r="AA170"/>
          <cell r="AB170"/>
          <cell r="AC170"/>
          <cell r="AD170"/>
          <cell r="AE170"/>
          <cell r="AF170"/>
          <cell r="AG170"/>
          <cell r="AH170"/>
        </row>
        <row r="171">
          <cell r="D171">
            <v>57125</v>
          </cell>
          <cell r="E171" t="str">
            <v>Operating Supplies</v>
          </cell>
          <cell r="F171"/>
          <cell r="G171"/>
          <cell r="H171"/>
          <cell r="I171"/>
          <cell r="J171">
            <v>506.39</v>
          </cell>
          <cell r="K171"/>
          <cell r="L171">
            <v>33.31</v>
          </cell>
          <cell r="M171"/>
          <cell r="N171">
            <v>0</v>
          </cell>
          <cell r="O171"/>
          <cell r="P171">
            <v>13</v>
          </cell>
          <cell r="Q171"/>
          <cell r="R171">
            <v>510.29</v>
          </cell>
          <cell r="S171"/>
          <cell r="T171">
            <v>579.55999999999995</v>
          </cell>
          <cell r="U171"/>
          <cell r="V171">
            <v>222.1</v>
          </cell>
          <cell r="W171"/>
          <cell r="X171">
            <v>33</v>
          </cell>
          <cell r="Y171"/>
          <cell r="Z171">
            <v>534.33000000000004</v>
          </cell>
          <cell r="AA171"/>
          <cell r="AB171">
            <v>210.15</v>
          </cell>
          <cell r="AC171"/>
          <cell r="AD171">
            <v>558.74</v>
          </cell>
          <cell r="AE171"/>
          <cell r="AF171">
            <v>637.76</v>
          </cell>
          <cell r="AG171"/>
          <cell r="AH171">
            <v>3838.6299999999997</v>
          </cell>
        </row>
        <row r="172">
          <cell r="D172">
            <v>57147</v>
          </cell>
          <cell r="E172" t="str">
            <v>Bldg &amp; Property</v>
          </cell>
          <cell r="F172"/>
          <cell r="G172"/>
          <cell r="H172"/>
          <cell r="I172"/>
          <cell r="J172">
            <v>2809.39</v>
          </cell>
          <cell r="K172"/>
          <cell r="L172">
            <v>3165.15</v>
          </cell>
          <cell r="M172"/>
          <cell r="N172">
            <v>4513.38</v>
          </cell>
          <cell r="O172"/>
          <cell r="P172">
            <v>5012.03</v>
          </cell>
          <cell r="Q172"/>
          <cell r="R172">
            <v>2954.55</v>
          </cell>
          <cell r="S172"/>
          <cell r="T172">
            <v>9587.61</v>
          </cell>
          <cell r="U172"/>
          <cell r="V172">
            <v>3806.94</v>
          </cell>
          <cell r="W172"/>
          <cell r="X172">
            <v>9500.25</v>
          </cell>
          <cell r="Y172"/>
          <cell r="Z172">
            <v>8314.77</v>
          </cell>
          <cell r="AA172"/>
          <cell r="AB172">
            <v>7652.01</v>
          </cell>
          <cell r="AC172"/>
          <cell r="AD172">
            <v>907.17</v>
          </cell>
          <cell r="AE172"/>
          <cell r="AF172">
            <v>20069.04</v>
          </cell>
          <cell r="AG172"/>
          <cell r="AH172">
            <v>78292.290000000008</v>
          </cell>
        </row>
        <row r="173">
          <cell r="D173">
            <v>57150</v>
          </cell>
          <cell r="E173" t="str">
            <v>Utilities</v>
          </cell>
          <cell r="F173"/>
          <cell r="G173"/>
          <cell r="H173"/>
          <cell r="I173"/>
          <cell r="J173">
            <v>3449.46</v>
          </cell>
          <cell r="K173"/>
          <cell r="L173">
            <v>1978.88</v>
          </cell>
          <cell r="M173"/>
          <cell r="N173">
            <v>2387.94</v>
          </cell>
          <cell r="O173"/>
          <cell r="P173">
            <v>2255.1</v>
          </cell>
          <cell r="Q173"/>
          <cell r="R173">
            <v>1993.07</v>
          </cell>
          <cell r="S173"/>
          <cell r="T173">
            <v>2262.96</v>
          </cell>
          <cell r="U173"/>
          <cell r="V173">
            <v>2267.92</v>
          </cell>
          <cell r="W173"/>
          <cell r="X173">
            <v>4552.18</v>
          </cell>
          <cell r="Y173"/>
          <cell r="Z173">
            <v>7060.42</v>
          </cell>
          <cell r="AA173"/>
          <cell r="AB173">
            <v>6810.98</v>
          </cell>
          <cell r="AC173"/>
          <cell r="AD173">
            <v>5521.31</v>
          </cell>
          <cell r="AE173"/>
          <cell r="AF173">
            <v>4935.01</v>
          </cell>
          <cell r="AG173"/>
          <cell r="AH173">
            <v>45475.229999999996</v>
          </cell>
        </row>
        <row r="174">
          <cell r="D174">
            <v>57165</v>
          </cell>
          <cell r="E174" t="str">
            <v>Communications</v>
          </cell>
          <cell r="F174"/>
          <cell r="G174"/>
          <cell r="H174"/>
          <cell r="I174"/>
          <cell r="J174">
            <v>591.54</v>
          </cell>
          <cell r="K174"/>
          <cell r="L174">
            <v>509.79</v>
          </cell>
          <cell r="M174"/>
          <cell r="N174">
            <v>450.79</v>
          </cell>
          <cell r="O174"/>
          <cell r="P174">
            <v>539.32000000000005</v>
          </cell>
          <cell r="Q174"/>
          <cell r="R174">
            <v>609.96</v>
          </cell>
          <cell r="S174"/>
          <cell r="T174">
            <v>1806.72</v>
          </cell>
          <cell r="U174"/>
          <cell r="V174">
            <v>2356.37</v>
          </cell>
          <cell r="W174"/>
          <cell r="X174">
            <v>1271.2</v>
          </cell>
          <cell r="Y174"/>
          <cell r="Z174">
            <v>1055.83</v>
          </cell>
          <cell r="AA174"/>
          <cell r="AB174">
            <v>1115.4100000000001</v>
          </cell>
          <cell r="AC174"/>
          <cell r="AD174">
            <v>1095.81</v>
          </cell>
          <cell r="AE174"/>
          <cell r="AF174">
            <v>1101.96</v>
          </cell>
          <cell r="AG174"/>
          <cell r="AH174">
            <v>12504.7</v>
          </cell>
        </row>
        <row r="175">
          <cell r="D175">
            <v>57175</v>
          </cell>
          <cell r="E175" t="str">
            <v>Non-Qualifying Operating Lease Expense</v>
          </cell>
          <cell r="F175"/>
          <cell r="G175"/>
          <cell r="H175"/>
          <cell r="I175"/>
          <cell r="J175">
            <v>129.78</v>
          </cell>
          <cell r="K175"/>
          <cell r="L175">
            <v>129.78</v>
          </cell>
          <cell r="M175"/>
          <cell r="N175">
            <v>129.78</v>
          </cell>
          <cell r="O175"/>
          <cell r="P175">
            <v>129.78</v>
          </cell>
          <cell r="Q175"/>
          <cell r="R175">
            <v>129.78</v>
          </cell>
          <cell r="S175"/>
          <cell r="T175">
            <v>129.78</v>
          </cell>
          <cell r="U175"/>
          <cell r="V175">
            <v>129.78</v>
          </cell>
          <cell r="W175"/>
          <cell r="X175">
            <v>129.78</v>
          </cell>
          <cell r="Y175"/>
          <cell r="Z175">
            <v>129.78</v>
          </cell>
          <cell r="AA175"/>
          <cell r="AB175">
            <v>129.78</v>
          </cell>
          <cell r="AC175"/>
          <cell r="AD175">
            <v>129.78</v>
          </cell>
          <cell r="AE175"/>
          <cell r="AF175">
            <v>129.78</v>
          </cell>
          <cell r="AG175"/>
          <cell r="AH175">
            <v>1557.36</v>
          </cell>
        </row>
        <row r="176">
          <cell r="D176">
            <v>57254</v>
          </cell>
          <cell r="E176" t="str">
            <v>Drive Cam &amp; Routing SW Fees</v>
          </cell>
          <cell r="F176"/>
          <cell r="G176"/>
          <cell r="H176"/>
          <cell r="I176"/>
          <cell r="J176">
            <v>2825.98</v>
          </cell>
          <cell r="K176"/>
          <cell r="L176">
            <v>2825.98</v>
          </cell>
          <cell r="M176"/>
          <cell r="N176">
            <v>3088.85</v>
          </cell>
          <cell r="O176"/>
          <cell r="P176">
            <v>4256.33</v>
          </cell>
          <cell r="Q176"/>
          <cell r="R176">
            <v>4359.34</v>
          </cell>
          <cell r="S176"/>
          <cell r="T176">
            <v>4395.82</v>
          </cell>
          <cell r="U176"/>
          <cell r="V176">
            <v>4470.66</v>
          </cell>
          <cell r="W176"/>
          <cell r="X176">
            <v>4522.1099999999997</v>
          </cell>
          <cell r="Y176"/>
          <cell r="Z176">
            <v>4535.21</v>
          </cell>
          <cell r="AA176"/>
          <cell r="AB176">
            <v>4480.6499999999996</v>
          </cell>
          <cell r="AC176"/>
          <cell r="AD176">
            <v>4451.7</v>
          </cell>
          <cell r="AE176"/>
          <cell r="AF176">
            <v>4132.3900000000003</v>
          </cell>
          <cell r="AG176"/>
          <cell r="AH176">
            <v>48345.020000000011</v>
          </cell>
        </row>
        <row r="177">
          <cell r="D177">
            <v>57275</v>
          </cell>
          <cell r="E177" t="str">
            <v>Property Taxes</v>
          </cell>
          <cell r="F177"/>
          <cell r="G177"/>
          <cell r="H177"/>
          <cell r="I177"/>
          <cell r="J177">
            <v>3487.11</v>
          </cell>
          <cell r="K177"/>
          <cell r="L177">
            <v>3136.74</v>
          </cell>
          <cell r="M177"/>
          <cell r="N177">
            <v>3760.66</v>
          </cell>
          <cell r="O177"/>
          <cell r="P177">
            <v>3690.76</v>
          </cell>
          <cell r="Q177"/>
          <cell r="R177">
            <v>3690.76</v>
          </cell>
          <cell r="S177"/>
          <cell r="T177">
            <v>3690.76</v>
          </cell>
          <cell r="U177"/>
          <cell r="V177">
            <v>3690.76</v>
          </cell>
          <cell r="W177"/>
          <cell r="X177">
            <v>3690.76</v>
          </cell>
          <cell r="Y177"/>
          <cell r="Z177">
            <v>3690.76</v>
          </cell>
          <cell r="AA177"/>
          <cell r="AB177">
            <v>3690.76</v>
          </cell>
          <cell r="AC177"/>
          <cell r="AD177">
            <v>3690.76</v>
          </cell>
          <cell r="AE177"/>
          <cell r="AF177">
            <v>4005.49</v>
          </cell>
          <cell r="AG177"/>
          <cell r="AH177">
            <v>43916.080000000009</v>
          </cell>
        </row>
        <row r="178">
          <cell r="D178">
            <v>57280</v>
          </cell>
          <cell r="E178" t="str">
            <v>Other Taxes</v>
          </cell>
          <cell r="F178"/>
          <cell r="G178"/>
          <cell r="H178"/>
          <cell r="I178"/>
          <cell r="J178">
            <v>97.3</v>
          </cell>
          <cell r="K178"/>
          <cell r="L178">
            <v>100.51</v>
          </cell>
          <cell r="M178"/>
          <cell r="N178">
            <v>100</v>
          </cell>
          <cell r="O178"/>
          <cell r="P178">
            <v>100</v>
          </cell>
          <cell r="Q178"/>
          <cell r="R178">
            <v>97.75</v>
          </cell>
          <cell r="S178"/>
          <cell r="T178">
            <v>102.02</v>
          </cell>
          <cell r="U178"/>
          <cell r="V178">
            <v>105.64</v>
          </cell>
          <cell r="W178"/>
          <cell r="X178">
            <v>99.72</v>
          </cell>
          <cell r="Y178"/>
          <cell r="Z178">
            <v>100</v>
          </cell>
          <cell r="AA178"/>
          <cell r="AB178">
            <v>147.27000000000001</v>
          </cell>
          <cell r="AC178"/>
          <cell r="AD178">
            <v>120</v>
          </cell>
          <cell r="AE178"/>
          <cell r="AF178">
            <v>67.44</v>
          </cell>
          <cell r="AG178"/>
          <cell r="AH178">
            <v>1237.6500000000001</v>
          </cell>
        </row>
        <row r="179">
          <cell r="D179">
            <v>57324</v>
          </cell>
          <cell r="E179" t="str">
            <v>Penalties and Violations</v>
          </cell>
          <cell r="F179"/>
          <cell r="G179"/>
          <cell r="H179"/>
          <cell r="I179"/>
          <cell r="J179">
            <v>0</v>
          </cell>
          <cell r="K179"/>
          <cell r="L179">
            <v>0</v>
          </cell>
          <cell r="M179"/>
          <cell r="N179">
            <v>0</v>
          </cell>
          <cell r="O179"/>
          <cell r="P179">
            <v>0</v>
          </cell>
          <cell r="Q179"/>
          <cell r="R179">
            <v>0</v>
          </cell>
          <cell r="S179"/>
          <cell r="T179">
            <v>0</v>
          </cell>
          <cell r="U179"/>
          <cell r="V179">
            <v>210</v>
          </cell>
          <cell r="W179"/>
          <cell r="X179">
            <v>142.27000000000001</v>
          </cell>
          <cell r="Y179"/>
          <cell r="Z179">
            <v>0</v>
          </cell>
          <cell r="AA179"/>
          <cell r="AB179">
            <v>0</v>
          </cell>
          <cell r="AC179"/>
          <cell r="AD179">
            <v>0</v>
          </cell>
          <cell r="AE179"/>
          <cell r="AF179">
            <v>0</v>
          </cell>
          <cell r="AG179"/>
          <cell r="AH179">
            <v>352.27</v>
          </cell>
        </row>
        <row r="180">
          <cell r="D180">
            <v>57353</v>
          </cell>
          <cell r="E180" t="str">
            <v>Monitoring and Maint</v>
          </cell>
          <cell r="F180"/>
          <cell r="G180"/>
          <cell r="H180"/>
          <cell r="I180"/>
          <cell r="J180">
            <v>0</v>
          </cell>
          <cell r="K180"/>
          <cell r="L180">
            <v>200</v>
          </cell>
          <cell r="M180"/>
          <cell r="N180">
            <v>0</v>
          </cell>
          <cell r="O180"/>
          <cell r="P180">
            <v>0</v>
          </cell>
          <cell r="Q180"/>
          <cell r="R180">
            <v>450</v>
          </cell>
          <cell r="S180"/>
          <cell r="T180">
            <v>4100</v>
          </cell>
          <cell r="U180"/>
          <cell r="V180">
            <v>-4100</v>
          </cell>
          <cell r="W180"/>
          <cell r="X180">
            <v>3600</v>
          </cell>
          <cell r="Y180"/>
          <cell r="Z180">
            <v>1725</v>
          </cell>
          <cell r="AA180"/>
          <cell r="AB180">
            <v>-4803.46</v>
          </cell>
          <cell r="AC180"/>
          <cell r="AD180">
            <v>0</v>
          </cell>
          <cell r="AE180"/>
          <cell r="AF180">
            <v>0</v>
          </cell>
          <cell r="AG180"/>
          <cell r="AH180">
            <v>1171.54</v>
          </cell>
        </row>
        <row r="181">
          <cell r="D181">
            <v>57357</v>
          </cell>
          <cell r="E181" t="str">
            <v>Permits</v>
          </cell>
          <cell r="F181"/>
          <cell r="G181"/>
          <cell r="H181"/>
          <cell r="I181"/>
          <cell r="J181">
            <v>0</v>
          </cell>
          <cell r="K181"/>
          <cell r="L181">
            <v>0</v>
          </cell>
          <cell r="M181"/>
          <cell r="N181">
            <v>0</v>
          </cell>
          <cell r="O181"/>
          <cell r="P181">
            <v>56</v>
          </cell>
          <cell r="Q181"/>
          <cell r="R181">
            <v>0</v>
          </cell>
          <cell r="S181"/>
          <cell r="T181">
            <v>0</v>
          </cell>
          <cell r="U181"/>
          <cell r="V181">
            <v>0</v>
          </cell>
          <cell r="W181"/>
          <cell r="X181">
            <v>0</v>
          </cell>
          <cell r="Y181"/>
          <cell r="Z181">
            <v>0</v>
          </cell>
          <cell r="AA181"/>
          <cell r="AB181">
            <v>482</v>
          </cell>
          <cell r="AC181"/>
          <cell r="AD181">
            <v>0</v>
          </cell>
          <cell r="AE181"/>
          <cell r="AF181">
            <v>0</v>
          </cell>
          <cell r="AG181"/>
          <cell r="AH181">
            <v>538</v>
          </cell>
        </row>
        <row r="182">
          <cell r="D182">
            <v>57370</v>
          </cell>
          <cell r="E182" t="str">
            <v>Bonds Expense</v>
          </cell>
          <cell r="F182"/>
          <cell r="G182"/>
          <cell r="H182"/>
          <cell r="I182"/>
          <cell r="J182">
            <v>129.03</v>
          </cell>
          <cell r="K182"/>
          <cell r="L182">
            <v>129.03</v>
          </cell>
          <cell r="M182"/>
          <cell r="N182">
            <v>129.03</v>
          </cell>
          <cell r="O182"/>
          <cell r="P182">
            <v>129.03</v>
          </cell>
          <cell r="Q182"/>
          <cell r="R182">
            <v>129.03</v>
          </cell>
          <cell r="S182"/>
          <cell r="T182">
            <v>129.03</v>
          </cell>
          <cell r="U182"/>
          <cell r="V182">
            <v>129.03</v>
          </cell>
          <cell r="W182"/>
          <cell r="X182">
            <v>129.03</v>
          </cell>
          <cell r="Y182"/>
          <cell r="Z182">
            <v>129.13999999999999</v>
          </cell>
          <cell r="AA182"/>
          <cell r="AB182">
            <v>264.7</v>
          </cell>
          <cell r="AC182"/>
          <cell r="AD182">
            <v>129.69999999999999</v>
          </cell>
          <cell r="AE182"/>
          <cell r="AF182">
            <v>129.83000000000001</v>
          </cell>
          <cell r="AG182"/>
          <cell r="AH182">
            <v>1685.61</v>
          </cell>
        </row>
        <row r="183">
          <cell r="D183"/>
          <cell r="E183"/>
          <cell r="F183"/>
          <cell r="G183"/>
          <cell r="J183"/>
          <cell r="K183"/>
          <cell r="L183"/>
          <cell r="M183"/>
          <cell r="N183"/>
          <cell r="O183"/>
          <cell r="P183"/>
          <cell r="Q183"/>
          <cell r="R183"/>
          <cell r="S183"/>
          <cell r="T183"/>
          <cell r="U183"/>
          <cell r="V183"/>
          <cell r="W183"/>
          <cell r="X183"/>
          <cell r="Y183"/>
          <cell r="Z183"/>
          <cell r="AA183"/>
          <cell r="AB183"/>
          <cell r="AC183"/>
          <cell r="AD183"/>
          <cell r="AE183"/>
          <cell r="AF183"/>
          <cell r="AG183"/>
          <cell r="AH183"/>
        </row>
        <row r="184">
          <cell r="F184" t="str">
            <v>Other Operating</v>
          </cell>
          <cell r="J184">
            <v>14025.98</v>
          </cell>
          <cell r="K184"/>
          <cell r="L184">
            <v>12209.17</v>
          </cell>
          <cell r="M184"/>
          <cell r="N184">
            <v>14560.43</v>
          </cell>
          <cell r="O184"/>
          <cell r="P184">
            <v>16181.349999999999</v>
          </cell>
          <cell r="Q184"/>
          <cell r="R184">
            <v>14924.53</v>
          </cell>
          <cell r="S184"/>
          <cell r="T184">
            <v>26784.26</v>
          </cell>
          <cell r="U184"/>
          <cell r="V184">
            <v>13289.199999999999</v>
          </cell>
          <cell r="W184"/>
          <cell r="X184">
            <v>27670.3</v>
          </cell>
          <cell r="Y184"/>
          <cell r="Z184">
            <v>27275.239999999998</v>
          </cell>
          <cell r="AA184"/>
          <cell r="AB184">
            <v>20180.25</v>
          </cell>
          <cell r="AC184"/>
          <cell r="AD184">
            <v>16604.970000000005</v>
          </cell>
          <cell r="AE184"/>
          <cell r="AF184">
            <v>35208.699999999997</v>
          </cell>
          <cell r="AG184"/>
          <cell r="AH184">
            <v>238914.38</v>
          </cell>
        </row>
        <row r="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row>
        <row r="186">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row>
        <row r="187">
          <cell r="D187"/>
          <cell r="J187"/>
          <cell r="K187"/>
          <cell r="L187"/>
          <cell r="M187"/>
          <cell r="N187"/>
          <cell r="O187"/>
          <cell r="P187"/>
          <cell r="Q187"/>
          <cell r="R187"/>
          <cell r="S187"/>
          <cell r="T187"/>
          <cell r="U187"/>
          <cell r="V187"/>
          <cell r="W187"/>
          <cell r="X187"/>
          <cell r="Y187"/>
          <cell r="Z187"/>
          <cell r="AA187"/>
          <cell r="AB187"/>
          <cell r="AC187"/>
          <cell r="AD187"/>
          <cell r="AE187"/>
          <cell r="AF187"/>
          <cell r="AG187"/>
          <cell r="AH187"/>
        </row>
        <row r="188">
          <cell r="F188" t="str">
            <v>Closure Exp</v>
          </cell>
          <cell r="J188">
            <v>0</v>
          </cell>
          <cell r="K188"/>
          <cell r="L188">
            <v>0</v>
          </cell>
          <cell r="M188"/>
          <cell r="N188">
            <v>0</v>
          </cell>
          <cell r="O188"/>
          <cell r="P188">
            <v>0</v>
          </cell>
          <cell r="Q188"/>
          <cell r="R188">
            <v>0</v>
          </cell>
          <cell r="S188"/>
          <cell r="T188">
            <v>0</v>
          </cell>
          <cell r="U188"/>
          <cell r="V188">
            <v>0</v>
          </cell>
          <cell r="W188"/>
          <cell r="X188">
            <v>0</v>
          </cell>
          <cell r="Y188"/>
          <cell r="Z188">
            <v>0</v>
          </cell>
          <cell r="AA188"/>
          <cell r="AB188">
            <v>0</v>
          </cell>
          <cell r="AC188"/>
          <cell r="AD188">
            <v>0</v>
          </cell>
          <cell r="AE188"/>
          <cell r="AF188">
            <v>0</v>
          </cell>
          <cell r="AG188"/>
          <cell r="AH188">
            <v>0</v>
          </cell>
        </row>
        <row r="189">
          <cell r="J189"/>
          <cell r="K189"/>
          <cell r="L189"/>
          <cell r="M189"/>
          <cell r="N189"/>
          <cell r="O189"/>
          <cell r="P189"/>
          <cell r="Q189"/>
          <cell r="R189"/>
          <cell r="S189"/>
          <cell r="T189"/>
          <cell r="U189"/>
          <cell r="V189"/>
          <cell r="W189"/>
          <cell r="X189"/>
          <cell r="Y189"/>
          <cell r="Z189"/>
          <cell r="AA189"/>
          <cell r="AB189"/>
          <cell r="AC189"/>
          <cell r="AD189"/>
          <cell r="AE189"/>
          <cell r="AF189"/>
          <cell r="AG189"/>
          <cell r="AH189"/>
        </row>
        <row r="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row>
        <row r="191">
          <cell r="D191">
            <v>59340</v>
          </cell>
          <cell r="E191" t="str">
            <v>Self Insurance Premium</v>
          </cell>
          <cell r="F191"/>
          <cell r="G191"/>
          <cell r="H191"/>
          <cell r="I191"/>
          <cell r="J191">
            <v>8703.23</v>
          </cell>
          <cell r="K191"/>
          <cell r="L191">
            <v>8703.23</v>
          </cell>
          <cell r="M191"/>
          <cell r="N191">
            <v>8703.23</v>
          </cell>
          <cell r="O191"/>
          <cell r="P191">
            <v>8703.23</v>
          </cell>
          <cell r="Q191"/>
          <cell r="R191">
            <v>9597.1299999999992</v>
          </cell>
          <cell r="S191"/>
          <cell r="T191">
            <v>9597.1299999999992</v>
          </cell>
          <cell r="U191"/>
          <cell r="V191">
            <v>9597.1299999999992</v>
          </cell>
          <cell r="W191"/>
          <cell r="X191">
            <v>9597.1299999999992</v>
          </cell>
          <cell r="Y191"/>
          <cell r="Z191">
            <v>9597.1299999999992</v>
          </cell>
          <cell r="AA191"/>
          <cell r="AB191">
            <v>9616.6299999999992</v>
          </cell>
          <cell r="AC191"/>
          <cell r="AD191">
            <v>9616.6299999999992</v>
          </cell>
          <cell r="AE191"/>
          <cell r="AF191">
            <v>9616.6299999999992</v>
          </cell>
          <cell r="AG191"/>
          <cell r="AH191">
            <v>111648.45999999998</v>
          </cell>
        </row>
        <row r="192">
          <cell r="D192">
            <v>59341</v>
          </cell>
          <cell r="E192" t="str">
            <v>A&amp;L - Current Year Claims</v>
          </cell>
          <cell r="F192"/>
          <cell r="G192"/>
          <cell r="H192"/>
          <cell r="I192"/>
          <cell r="J192">
            <v>-2900</v>
          </cell>
          <cell r="K192"/>
          <cell r="L192">
            <v>0</v>
          </cell>
          <cell r="M192"/>
          <cell r="N192">
            <v>10145.35</v>
          </cell>
          <cell r="O192"/>
          <cell r="P192">
            <v>194.19</v>
          </cell>
          <cell r="Q192"/>
          <cell r="R192">
            <v>577.19000000000005</v>
          </cell>
          <cell r="S192"/>
          <cell r="T192">
            <v>0</v>
          </cell>
          <cell r="U192"/>
          <cell r="V192">
            <v>0</v>
          </cell>
          <cell r="W192"/>
          <cell r="X192">
            <v>0</v>
          </cell>
          <cell r="Y192"/>
          <cell r="Z192">
            <v>0</v>
          </cell>
          <cell r="AA192"/>
          <cell r="AB192">
            <v>0</v>
          </cell>
          <cell r="AC192"/>
          <cell r="AD192">
            <v>0</v>
          </cell>
          <cell r="AE192"/>
          <cell r="AF192">
            <v>0</v>
          </cell>
          <cell r="AG192"/>
          <cell r="AH192">
            <v>8016.73</v>
          </cell>
        </row>
        <row r="193">
          <cell r="D193">
            <v>59342</v>
          </cell>
          <cell r="E193" t="str">
            <v>A&amp;L - Prior Year Claims</v>
          </cell>
          <cell r="F193"/>
          <cell r="G193"/>
          <cell r="H193"/>
          <cell r="I193"/>
          <cell r="J193">
            <v>-39029.410000000003</v>
          </cell>
          <cell r="K193"/>
          <cell r="L193">
            <v>52.5</v>
          </cell>
          <cell r="M193"/>
          <cell r="N193">
            <v>0</v>
          </cell>
          <cell r="O193"/>
          <cell r="P193">
            <v>0</v>
          </cell>
          <cell r="Q193"/>
          <cell r="R193">
            <v>0</v>
          </cell>
          <cell r="S193"/>
          <cell r="T193">
            <v>0</v>
          </cell>
          <cell r="U193"/>
          <cell r="V193">
            <v>0</v>
          </cell>
          <cell r="W193"/>
          <cell r="X193">
            <v>0</v>
          </cell>
          <cell r="Y193"/>
          <cell r="Z193">
            <v>0</v>
          </cell>
          <cell r="AA193"/>
          <cell r="AB193">
            <v>0</v>
          </cell>
          <cell r="AC193"/>
          <cell r="AD193">
            <v>0</v>
          </cell>
          <cell r="AE193"/>
          <cell r="AF193">
            <v>0</v>
          </cell>
          <cell r="AG193"/>
          <cell r="AH193">
            <v>-38976.910000000003</v>
          </cell>
        </row>
        <row r="194">
          <cell r="D194">
            <v>59343</v>
          </cell>
          <cell r="E194" t="str">
            <v>WC - Current Year Claims</v>
          </cell>
          <cell r="F194"/>
          <cell r="G194"/>
          <cell r="H194"/>
          <cell r="I194"/>
          <cell r="J194">
            <v>274</v>
          </cell>
          <cell r="K194"/>
          <cell r="L194">
            <v>-2096.98</v>
          </cell>
          <cell r="M194"/>
          <cell r="N194">
            <v>5600</v>
          </cell>
          <cell r="O194"/>
          <cell r="P194">
            <v>6449</v>
          </cell>
          <cell r="Q194"/>
          <cell r="R194">
            <v>0</v>
          </cell>
          <cell r="S194"/>
          <cell r="T194">
            <v>15950</v>
          </cell>
          <cell r="U194"/>
          <cell r="V194">
            <v>-7830.63</v>
          </cell>
          <cell r="W194"/>
          <cell r="X194">
            <v>143.21</v>
          </cell>
          <cell r="Y194"/>
          <cell r="Z194">
            <v>1033.3399999999999</v>
          </cell>
          <cell r="AA194"/>
          <cell r="AB194">
            <v>0</v>
          </cell>
          <cell r="AC194"/>
          <cell r="AD194">
            <v>0</v>
          </cell>
          <cell r="AE194"/>
          <cell r="AF194">
            <v>0</v>
          </cell>
          <cell r="AG194"/>
          <cell r="AH194">
            <v>19521.939999999999</v>
          </cell>
        </row>
        <row r="195">
          <cell r="D195">
            <v>59344</v>
          </cell>
          <cell r="E195" t="str">
            <v>WC - Prior Year Claims</v>
          </cell>
          <cell r="F195"/>
          <cell r="G195"/>
          <cell r="H195"/>
          <cell r="I195"/>
          <cell r="J195">
            <v>1980</v>
          </cell>
          <cell r="K195"/>
          <cell r="L195">
            <v>23910.720000000001</v>
          </cell>
          <cell r="M195"/>
          <cell r="N195">
            <v>0</v>
          </cell>
          <cell r="O195"/>
          <cell r="P195">
            <v>-9543.77</v>
          </cell>
          <cell r="Q195"/>
          <cell r="R195">
            <v>20111.560000000001</v>
          </cell>
          <cell r="S195"/>
          <cell r="T195">
            <v>13.85</v>
          </cell>
          <cell r="U195"/>
          <cell r="V195">
            <v>0</v>
          </cell>
          <cell r="W195"/>
          <cell r="X195">
            <v>-1255.3599999999999</v>
          </cell>
          <cell r="Y195"/>
          <cell r="Z195">
            <v>-13.25</v>
          </cell>
          <cell r="AA195"/>
          <cell r="AB195">
            <v>24260.13</v>
          </cell>
          <cell r="AC195"/>
          <cell r="AD195">
            <v>-4248.51</v>
          </cell>
          <cell r="AE195"/>
          <cell r="AF195">
            <v>3571.91</v>
          </cell>
          <cell r="AG195"/>
          <cell r="AH195">
            <v>58787.28</v>
          </cell>
        </row>
        <row r="196">
          <cell r="D196">
            <v>59400</v>
          </cell>
          <cell r="E196" t="str">
            <v>Damages paid by District</v>
          </cell>
          <cell r="F196"/>
          <cell r="G196"/>
          <cell r="H196"/>
          <cell r="I196"/>
          <cell r="J196">
            <v>1000</v>
          </cell>
          <cell r="K196"/>
          <cell r="L196">
            <v>755.59</v>
          </cell>
          <cell r="M196"/>
          <cell r="N196">
            <v>1996.2</v>
          </cell>
          <cell r="O196"/>
          <cell r="P196">
            <v>0</v>
          </cell>
          <cell r="Q196"/>
          <cell r="R196">
            <v>4050.42</v>
          </cell>
          <cell r="S196"/>
          <cell r="T196">
            <v>2330.34</v>
          </cell>
          <cell r="U196"/>
          <cell r="V196">
            <v>805.74</v>
          </cell>
          <cell r="W196"/>
          <cell r="X196">
            <v>0</v>
          </cell>
          <cell r="Y196"/>
          <cell r="Z196">
            <v>3405.22</v>
          </cell>
          <cell r="AA196"/>
          <cell r="AB196">
            <v>1462.06</v>
          </cell>
          <cell r="AC196"/>
          <cell r="AD196">
            <v>0</v>
          </cell>
          <cell r="AE196"/>
          <cell r="AF196">
            <v>0</v>
          </cell>
          <cell r="AG196"/>
          <cell r="AH196">
            <v>15805.57</v>
          </cell>
        </row>
        <row r="197">
          <cell r="D197">
            <v>59500</v>
          </cell>
          <cell r="E197" t="str">
            <v>Workers Comp Prem</v>
          </cell>
          <cell r="F197"/>
          <cell r="G197"/>
          <cell r="H197"/>
          <cell r="I197"/>
          <cell r="J197">
            <v>668.88</v>
          </cell>
          <cell r="K197"/>
          <cell r="L197">
            <v>2530.2199999999998</v>
          </cell>
          <cell r="M197"/>
          <cell r="N197">
            <v>1230.5</v>
          </cell>
          <cell r="O197"/>
          <cell r="P197">
            <v>1279.0999999999999</v>
          </cell>
          <cell r="Q197"/>
          <cell r="R197">
            <v>-4913.93</v>
          </cell>
          <cell r="S197"/>
          <cell r="T197">
            <v>11281.57</v>
          </cell>
          <cell r="U197"/>
          <cell r="V197">
            <v>1417.11</v>
          </cell>
          <cell r="W197"/>
          <cell r="X197">
            <v>1007.89</v>
          </cell>
          <cell r="Y197"/>
          <cell r="Z197">
            <v>1096.69</v>
          </cell>
          <cell r="AA197"/>
          <cell r="AB197">
            <v>1516.31</v>
          </cell>
          <cell r="AC197"/>
          <cell r="AD197">
            <v>1406.62</v>
          </cell>
          <cell r="AE197"/>
          <cell r="AF197">
            <v>1432.95</v>
          </cell>
          <cell r="AG197"/>
          <cell r="AH197">
            <v>19953.91</v>
          </cell>
        </row>
        <row r="198">
          <cell r="D198"/>
          <cell r="E198"/>
          <cell r="F198"/>
          <cell r="G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row>
        <row r="199">
          <cell r="F199" t="str">
            <v>Insurance Exp</v>
          </cell>
          <cell r="J199">
            <v>-29303.300000000007</v>
          </cell>
          <cell r="K199"/>
          <cell r="L199">
            <v>33855.279999999999</v>
          </cell>
          <cell r="M199"/>
          <cell r="N199">
            <v>27675.280000000002</v>
          </cell>
          <cell r="O199"/>
          <cell r="P199">
            <v>7081.75</v>
          </cell>
          <cell r="Q199"/>
          <cell r="R199">
            <v>29422.370000000003</v>
          </cell>
          <cell r="S199"/>
          <cell r="T199">
            <v>39172.89</v>
          </cell>
          <cell r="U199"/>
          <cell r="V199">
            <v>3989.3499999999985</v>
          </cell>
          <cell r="W199"/>
          <cell r="X199">
            <v>9492.8699999999972</v>
          </cell>
          <cell r="Y199"/>
          <cell r="Z199">
            <v>15119.13</v>
          </cell>
          <cell r="AA199"/>
          <cell r="AB199">
            <v>36855.129999999997</v>
          </cell>
          <cell r="AC199"/>
          <cell r="AD199">
            <v>6774.7399999999989</v>
          </cell>
          <cell r="AE199"/>
          <cell r="AF199">
            <v>14621.49</v>
          </cell>
          <cell r="AG199"/>
          <cell r="AH199">
            <v>194756.97999999998</v>
          </cell>
        </row>
        <row r="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row>
        <row r="201">
          <cell r="D201">
            <v>91010</v>
          </cell>
          <cell r="E201" t="str">
            <v>Gain/Loss on Sale of Asset</v>
          </cell>
          <cell r="F201"/>
          <cell r="G201"/>
          <cell r="H201"/>
          <cell r="I201"/>
          <cell r="J201">
            <v>0</v>
          </cell>
          <cell r="K201"/>
          <cell r="L201">
            <v>0</v>
          </cell>
          <cell r="M201"/>
          <cell r="N201">
            <v>0</v>
          </cell>
          <cell r="O201"/>
          <cell r="P201">
            <v>-2106.4</v>
          </cell>
          <cell r="Q201"/>
          <cell r="R201">
            <v>0</v>
          </cell>
          <cell r="S201"/>
          <cell r="T201">
            <v>0</v>
          </cell>
          <cell r="U201"/>
          <cell r="V201">
            <v>-1000</v>
          </cell>
          <cell r="W201"/>
          <cell r="X201">
            <v>0</v>
          </cell>
          <cell r="Y201"/>
          <cell r="Z201">
            <v>-1422.75</v>
          </cell>
          <cell r="AA201"/>
          <cell r="AB201">
            <v>-342</v>
          </cell>
          <cell r="AC201"/>
          <cell r="AD201">
            <v>-187.2</v>
          </cell>
          <cell r="AE201"/>
          <cell r="AF201">
            <v>-2177.1999999999998</v>
          </cell>
          <cell r="AG201"/>
          <cell r="AH201">
            <v>-7235.5499999999993</v>
          </cell>
        </row>
        <row r="202">
          <cell r="D202"/>
          <cell r="E202"/>
          <cell r="F202"/>
          <cell r="G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row>
        <row r="203">
          <cell r="F203" t="str">
            <v>G/L on Ops</v>
          </cell>
          <cell r="J203">
            <v>0</v>
          </cell>
          <cell r="K203"/>
          <cell r="L203">
            <v>0</v>
          </cell>
          <cell r="M203"/>
          <cell r="N203">
            <v>0</v>
          </cell>
          <cell r="O203"/>
          <cell r="P203">
            <v>-2106.4</v>
          </cell>
          <cell r="Q203"/>
          <cell r="R203">
            <v>0</v>
          </cell>
          <cell r="S203"/>
          <cell r="T203">
            <v>0</v>
          </cell>
          <cell r="U203"/>
          <cell r="V203">
            <v>-1000</v>
          </cell>
          <cell r="W203"/>
          <cell r="X203">
            <v>0</v>
          </cell>
          <cell r="Y203"/>
          <cell r="Z203">
            <v>-1422.75</v>
          </cell>
          <cell r="AA203"/>
          <cell r="AB203">
            <v>-342</v>
          </cell>
          <cell r="AC203"/>
          <cell r="AD203">
            <v>-187.2</v>
          </cell>
          <cell r="AE203"/>
          <cell r="AF203">
            <v>-2177.1999999999998</v>
          </cell>
          <cell r="AG203"/>
          <cell r="AH203">
            <v>-7235.5499999999993</v>
          </cell>
        </row>
        <row r="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row>
        <row r="205">
          <cell r="E205" t="str">
            <v>Cost of Ops</v>
          </cell>
          <cell r="J205">
            <v>813854.62</v>
          </cell>
          <cell r="K205"/>
          <cell r="L205">
            <v>764885.37</v>
          </cell>
          <cell r="M205"/>
          <cell r="N205">
            <v>748658.17</v>
          </cell>
          <cell r="O205"/>
          <cell r="P205">
            <v>735082.31999999972</v>
          </cell>
          <cell r="Q205"/>
          <cell r="R205">
            <v>790411.3899999999</v>
          </cell>
          <cell r="S205"/>
          <cell r="T205">
            <v>820835.82000000018</v>
          </cell>
          <cell r="U205"/>
          <cell r="V205">
            <v>679418.0399999998</v>
          </cell>
          <cell r="W205"/>
          <cell r="X205">
            <v>742518.04</v>
          </cell>
          <cell r="Y205"/>
          <cell r="Z205">
            <v>811492.97000000009</v>
          </cell>
          <cell r="AA205"/>
          <cell r="AB205">
            <v>758878.78000000014</v>
          </cell>
          <cell r="AC205"/>
          <cell r="AD205">
            <v>697702.81000000017</v>
          </cell>
          <cell r="AE205"/>
          <cell r="AF205">
            <v>785972.74999999977</v>
          </cell>
          <cell r="AG205"/>
          <cell r="AH205">
            <v>9149711.0800000001</v>
          </cell>
        </row>
        <row r="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row>
        <row r="207">
          <cell r="E207" t="str">
            <v>Gross Profit</v>
          </cell>
          <cell r="J207">
            <v>289243.21999999986</v>
          </cell>
          <cell r="K207"/>
          <cell r="L207">
            <v>421519.01999999967</v>
          </cell>
          <cell r="M207"/>
          <cell r="N207">
            <v>460209.79000000015</v>
          </cell>
          <cell r="O207"/>
          <cell r="P207">
            <v>471283.40000000049</v>
          </cell>
          <cell r="Q207"/>
          <cell r="R207">
            <v>422273.69999999995</v>
          </cell>
          <cell r="S207"/>
          <cell r="T207">
            <v>398870.6999999996</v>
          </cell>
          <cell r="U207"/>
          <cell r="V207">
            <v>551984.04000000027</v>
          </cell>
          <cell r="W207"/>
          <cell r="X207">
            <v>456451.98</v>
          </cell>
          <cell r="Y207"/>
          <cell r="Z207">
            <v>337181.26000000013</v>
          </cell>
          <cell r="AA207"/>
          <cell r="AB207">
            <v>437069.39</v>
          </cell>
          <cell r="AC207"/>
          <cell r="AD207">
            <v>541482.7699999999</v>
          </cell>
          <cell r="AE207"/>
          <cell r="AF207">
            <v>443801.00000000023</v>
          </cell>
          <cell r="AG207"/>
          <cell r="AH207">
            <v>5231370.2700000014</v>
          </cell>
        </row>
        <row r="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row>
        <row r="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row>
        <row r="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cell r="AF210"/>
          <cell r="AG210"/>
          <cell r="AH210">
            <v>0</v>
          </cell>
        </row>
        <row r="211">
          <cell r="D211"/>
          <cell r="E211"/>
          <cell r="F211"/>
          <cell r="G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row>
        <row r="212">
          <cell r="F212" t="str">
            <v>Sales Exp</v>
          </cell>
          <cell r="J212">
            <v>0</v>
          </cell>
          <cell r="K212"/>
          <cell r="L212">
            <v>0</v>
          </cell>
          <cell r="M212"/>
          <cell r="N212">
            <v>0</v>
          </cell>
          <cell r="O212"/>
          <cell r="P212">
            <v>0</v>
          </cell>
          <cell r="Q212"/>
          <cell r="R212">
            <v>0</v>
          </cell>
          <cell r="S212"/>
          <cell r="T212">
            <v>0</v>
          </cell>
          <cell r="U212"/>
          <cell r="V212">
            <v>0</v>
          </cell>
          <cell r="W212"/>
          <cell r="X212">
            <v>0</v>
          </cell>
          <cell r="Y212"/>
          <cell r="Z212">
            <v>0</v>
          </cell>
          <cell r="AA212"/>
          <cell r="AB212">
            <v>0</v>
          </cell>
          <cell r="AC212"/>
          <cell r="AD212">
            <v>0</v>
          </cell>
          <cell r="AE212"/>
          <cell r="AF212">
            <v>0</v>
          </cell>
          <cell r="AG212"/>
          <cell r="AH212">
            <v>0</v>
          </cell>
        </row>
        <row r="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row>
        <row r="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row>
        <row r="215">
          <cell r="D215">
            <v>70010</v>
          </cell>
          <cell r="E215" t="str">
            <v>Salaries</v>
          </cell>
          <cell r="F215"/>
          <cell r="G215"/>
          <cell r="H215"/>
          <cell r="I215"/>
          <cell r="J215">
            <v>43496.53</v>
          </cell>
          <cell r="K215"/>
          <cell r="L215">
            <v>42255.48</v>
          </cell>
          <cell r="M215"/>
          <cell r="N215">
            <v>43722.22</v>
          </cell>
          <cell r="O215"/>
          <cell r="P215">
            <v>35855.620000000003</v>
          </cell>
          <cell r="Q215"/>
          <cell r="R215">
            <v>43797.31</v>
          </cell>
          <cell r="S215"/>
          <cell r="T215">
            <v>43129.73</v>
          </cell>
          <cell r="U215"/>
          <cell r="V215">
            <v>52996.21</v>
          </cell>
          <cell r="W215"/>
          <cell r="X215">
            <v>45678.54</v>
          </cell>
          <cell r="Y215"/>
          <cell r="Z215">
            <v>47838.66</v>
          </cell>
          <cell r="AA215"/>
          <cell r="AB215">
            <v>31001.62</v>
          </cell>
          <cell r="AC215"/>
          <cell r="AD215">
            <v>30036.76</v>
          </cell>
          <cell r="AE215"/>
          <cell r="AF215">
            <v>29647.26</v>
          </cell>
          <cell r="AG215"/>
          <cell r="AH215">
            <v>489455.93999999994</v>
          </cell>
        </row>
        <row r="216">
          <cell r="D216">
            <v>70020</v>
          </cell>
          <cell r="E216" t="str">
            <v>Wages Regular</v>
          </cell>
          <cell r="F216"/>
          <cell r="G216"/>
          <cell r="H216"/>
          <cell r="I216"/>
          <cell r="J216">
            <v>22229.89</v>
          </cell>
          <cell r="K216"/>
          <cell r="L216">
            <v>25959.88</v>
          </cell>
          <cell r="M216"/>
          <cell r="N216">
            <v>24638.27</v>
          </cell>
          <cell r="O216"/>
          <cell r="P216">
            <v>25286.21</v>
          </cell>
          <cell r="Q216"/>
          <cell r="R216">
            <v>24906.68</v>
          </cell>
          <cell r="S216"/>
          <cell r="T216">
            <v>27112.91</v>
          </cell>
          <cell r="U216"/>
          <cell r="V216">
            <v>24702.06</v>
          </cell>
          <cell r="W216"/>
          <cell r="X216">
            <v>24192.6</v>
          </cell>
          <cell r="Y216"/>
          <cell r="Z216">
            <v>26989.58</v>
          </cell>
          <cell r="AA216"/>
          <cell r="AB216">
            <v>26298.29</v>
          </cell>
          <cell r="AC216"/>
          <cell r="AD216">
            <v>25137</v>
          </cell>
          <cell r="AE216"/>
          <cell r="AF216">
            <v>29158.49</v>
          </cell>
          <cell r="AG216"/>
          <cell r="AH216">
            <v>306611.86</v>
          </cell>
        </row>
        <row r="217">
          <cell r="D217">
            <v>70025</v>
          </cell>
          <cell r="E217" t="str">
            <v>Wages O.T.</v>
          </cell>
          <cell r="F217"/>
          <cell r="G217"/>
          <cell r="H217"/>
          <cell r="I217"/>
          <cell r="J217">
            <v>527.25</v>
          </cell>
          <cell r="K217"/>
          <cell r="L217">
            <v>439.1</v>
          </cell>
          <cell r="M217"/>
          <cell r="N217">
            <v>388.6</v>
          </cell>
          <cell r="O217"/>
          <cell r="P217">
            <v>620.94000000000005</v>
          </cell>
          <cell r="Q217"/>
          <cell r="R217">
            <v>274.08</v>
          </cell>
          <cell r="S217"/>
          <cell r="T217">
            <v>519.87</v>
          </cell>
          <cell r="U217"/>
          <cell r="V217">
            <v>617.05999999999995</v>
          </cell>
          <cell r="W217"/>
          <cell r="X217">
            <v>413.42</v>
          </cell>
          <cell r="Y217"/>
          <cell r="Z217">
            <v>578.66</v>
          </cell>
          <cell r="AA217"/>
          <cell r="AB217">
            <v>444.03</v>
          </cell>
          <cell r="AC217"/>
          <cell r="AD217">
            <v>409.84</v>
          </cell>
          <cell r="AE217"/>
          <cell r="AF217">
            <v>1159.1500000000001</v>
          </cell>
          <cell r="AG217"/>
          <cell r="AH217">
            <v>6392</v>
          </cell>
        </row>
        <row r="218">
          <cell r="D218">
            <v>70036</v>
          </cell>
          <cell r="E218" t="str">
            <v>Other Bonus/Commission - Non-Safety</v>
          </cell>
          <cell r="F218"/>
          <cell r="G218"/>
          <cell r="H218"/>
          <cell r="I218"/>
          <cell r="J218">
            <v>3397.34</v>
          </cell>
          <cell r="K218"/>
          <cell r="L218">
            <v>692.67</v>
          </cell>
          <cell r="M218"/>
          <cell r="N218">
            <v>667.77</v>
          </cell>
          <cell r="O218"/>
          <cell r="P218">
            <v>2804.43</v>
          </cell>
          <cell r="Q218"/>
          <cell r="R218">
            <v>1081.8800000000001</v>
          </cell>
          <cell r="S218"/>
          <cell r="T218">
            <v>2277.0300000000002</v>
          </cell>
          <cell r="U218"/>
          <cell r="V218">
            <v>1649.96</v>
          </cell>
          <cell r="W218"/>
          <cell r="X218">
            <v>1239.97</v>
          </cell>
          <cell r="Y218"/>
          <cell r="Z218">
            <v>541</v>
          </cell>
          <cell r="AA218"/>
          <cell r="AB218">
            <v>6609.65</v>
          </cell>
          <cell r="AC218"/>
          <cell r="AD218">
            <v>1240.0899999999999</v>
          </cell>
          <cell r="AE218"/>
          <cell r="AF218">
            <v>536.94000000000005</v>
          </cell>
          <cell r="AG218"/>
          <cell r="AH218">
            <v>22738.73</v>
          </cell>
        </row>
        <row r="219">
          <cell r="D219">
            <v>70050</v>
          </cell>
          <cell r="E219" t="str">
            <v>Payroll Taxes</v>
          </cell>
          <cell r="F219"/>
          <cell r="G219"/>
          <cell r="H219"/>
          <cell r="I219"/>
          <cell r="J219">
            <v>3596.19</v>
          </cell>
          <cell r="K219"/>
          <cell r="L219">
            <v>3999.24</v>
          </cell>
          <cell r="M219"/>
          <cell r="N219">
            <v>3438.93</v>
          </cell>
          <cell r="O219"/>
          <cell r="P219">
            <v>3392.27</v>
          </cell>
          <cell r="Q219"/>
          <cell r="R219">
            <v>3653</v>
          </cell>
          <cell r="S219"/>
          <cell r="T219">
            <v>4159.6000000000004</v>
          </cell>
          <cell r="U219"/>
          <cell r="V219">
            <v>5052.95</v>
          </cell>
          <cell r="W219"/>
          <cell r="X219">
            <v>6902.34</v>
          </cell>
          <cell r="Y219"/>
          <cell r="Z219">
            <v>3861.92</v>
          </cell>
          <cell r="AA219"/>
          <cell r="AB219">
            <v>6307.91</v>
          </cell>
          <cell r="AC219"/>
          <cell r="AD219">
            <v>4774.51</v>
          </cell>
          <cell r="AE219"/>
          <cell r="AF219">
            <v>4818.71</v>
          </cell>
          <cell r="AG219"/>
          <cell r="AH219">
            <v>53957.57</v>
          </cell>
        </row>
        <row r="220">
          <cell r="D220">
            <v>70060</v>
          </cell>
          <cell r="E220" t="str">
            <v>Group Insurance</v>
          </cell>
          <cell r="F220"/>
          <cell r="G220"/>
          <cell r="H220"/>
          <cell r="I220"/>
          <cell r="J220">
            <v>10830.24</v>
          </cell>
          <cell r="K220"/>
          <cell r="L220">
            <v>14441.66</v>
          </cell>
          <cell r="M220"/>
          <cell r="N220">
            <v>13479.67</v>
          </cell>
          <cell r="O220"/>
          <cell r="P220">
            <v>12271.91</v>
          </cell>
          <cell r="Q220"/>
          <cell r="R220">
            <v>12278.41</v>
          </cell>
          <cell r="S220"/>
          <cell r="T220">
            <v>14814.5</v>
          </cell>
          <cell r="U220"/>
          <cell r="V220">
            <v>15142.8</v>
          </cell>
          <cell r="W220"/>
          <cell r="X220">
            <v>14798.05</v>
          </cell>
          <cell r="Y220"/>
          <cell r="Z220">
            <v>14797.52</v>
          </cell>
          <cell r="AA220"/>
          <cell r="AB220">
            <v>16417.57</v>
          </cell>
          <cell r="AC220"/>
          <cell r="AD220">
            <v>16457.14</v>
          </cell>
          <cell r="AE220"/>
          <cell r="AF220">
            <v>15445.84</v>
          </cell>
          <cell r="AG220"/>
          <cell r="AH220">
            <v>171175.31000000003</v>
          </cell>
        </row>
        <row r="221">
          <cell r="D221">
            <v>70065</v>
          </cell>
          <cell r="E221" t="str">
            <v>Vacation Pay</v>
          </cell>
          <cell r="F221"/>
          <cell r="G221"/>
          <cell r="H221"/>
          <cell r="I221"/>
          <cell r="J221">
            <v>978.84</v>
          </cell>
          <cell r="K221"/>
          <cell r="L221">
            <v>1451.38</v>
          </cell>
          <cell r="M221"/>
          <cell r="N221">
            <v>979.22</v>
          </cell>
          <cell r="O221"/>
          <cell r="P221">
            <v>1519.09</v>
          </cell>
          <cell r="Q221"/>
          <cell r="R221">
            <v>959.28</v>
          </cell>
          <cell r="S221"/>
          <cell r="T221">
            <v>1048.8900000000001</v>
          </cell>
          <cell r="U221"/>
          <cell r="V221">
            <v>1877.53</v>
          </cell>
          <cell r="W221"/>
          <cell r="X221">
            <v>1032.9000000000001</v>
          </cell>
          <cell r="Y221"/>
          <cell r="Z221">
            <v>1198.71</v>
          </cell>
          <cell r="AA221"/>
          <cell r="AB221">
            <v>615.91</v>
          </cell>
          <cell r="AC221"/>
          <cell r="AD221">
            <v>866.72</v>
          </cell>
          <cell r="AE221"/>
          <cell r="AF221">
            <v>687.8</v>
          </cell>
          <cell r="AG221"/>
          <cell r="AH221">
            <v>13216.27</v>
          </cell>
        </row>
        <row r="222">
          <cell r="D222">
            <v>70070</v>
          </cell>
          <cell r="E222" t="str">
            <v>Sick Pay</v>
          </cell>
          <cell r="F222"/>
          <cell r="G222"/>
          <cell r="H222"/>
          <cell r="I222"/>
          <cell r="J222">
            <v>7555.05</v>
          </cell>
          <cell r="K222"/>
          <cell r="L222">
            <v>-660.48</v>
          </cell>
          <cell r="M222"/>
          <cell r="N222">
            <v>5985.64</v>
          </cell>
          <cell r="O222"/>
          <cell r="P222">
            <v>-4625.45</v>
          </cell>
          <cell r="Q222"/>
          <cell r="R222">
            <v>1241.53</v>
          </cell>
          <cell r="S222"/>
          <cell r="T222">
            <v>783.68</v>
          </cell>
          <cell r="U222"/>
          <cell r="V222">
            <v>1412.24</v>
          </cell>
          <cell r="W222"/>
          <cell r="X222">
            <v>1371.39</v>
          </cell>
          <cell r="Y222"/>
          <cell r="Z222">
            <v>-6483.64</v>
          </cell>
          <cell r="AA222"/>
          <cell r="AB222">
            <v>1693.99</v>
          </cell>
          <cell r="AC222"/>
          <cell r="AD222">
            <v>855.08</v>
          </cell>
          <cell r="AE222"/>
          <cell r="AF222">
            <v>-3145.57</v>
          </cell>
          <cell r="AG222"/>
          <cell r="AH222">
            <v>5983.4600000000009</v>
          </cell>
        </row>
        <row r="223">
          <cell r="D223">
            <v>70086</v>
          </cell>
          <cell r="E223" t="str">
            <v>Safety and Training</v>
          </cell>
          <cell r="F223"/>
          <cell r="G223"/>
          <cell r="H223"/>
          <cell r="I223"/>
          <cell r="J223">
            <v>0</v>
          </cell>
          <cell r="K223"/>
          <cell r="L223">
            <v>0</v>
          </cell>
          <cell r="M223"/>
          <cell r="N223">
            <v>0</v>
          </cell>
          <cell r="O223"/>
          <cell r="P223">
            <v>0</v>
          </cell>
          <cell r="Q223"/>
          <cell r="R223">
            <v>0</v>
          </cell>
          <cell r="S223"/>
          <cell r="T223">
            <v>100</v>
          </cell>
          <cell r="U223"/>
          <cell r="V223">
            <v>0</v>
          </cell>
          <cell r="W223"/>
          <cell r="X223">
            <v>0</v>
          </cell>
          <cell r="Y223"/>
          <cell r="Z223">
            <v>0</v>
          </cell>
          <cell r="AA223"/>
          <cell r="AB223">
            <v>0</v>
          </cell>
          <cell r="AC223"/>
          <cell r="AD223">
            <v>0</v>
          </cell>
          <cell r="AE223"/>
          <cell r="AF223">
            <v>0</v>
          </cell>
          <cell r="AG223"/>
          <cell r="AH223">
            <v>100</v>
          </cell>
        </row>
        <row r="224">
          <cell r="D224">
            <v>70095</v>
          </cell>
          <cell r="E224" t="str">
            <v>Empl &amp; Commun Activ</v>
          </cell>
          <cell r="F224"/>
          <cell r="G224"/>
          <cell r="H224"/>
          <cell r="I224"/>
          <cell r="J224">
            <v>1706.04</v>
          </cell>
          <cell r="K224"/>
          <cell r="L224">
            <v>639.29999999999995</v>
          </cell>
          <cell r="M224"/>
          <cell r="N224">
            <v>1449.84</v>
          </cell>
          <cell r="O224"/>
          <cell r="P224">
            <v>1801.15</v>
          </cell>
          <cell r="Q224"/>
          <cell r="R224">
            <v>458.63</v>
          </cell>
          <cell r="S224"/>
          <cell r="T224">
            <v>1106.93</v>
          </cell>
          <cell r="U224"/>
          <cell r="V224">
            <v>2422.9</v>
          </cell>
          <cell r="W224"/>
          <cell r="X224">
            <v>4127.3900000000003</v>
          </cell>
          <cell r="Y224"/>
          <cell r="Z224">
            <v>5237.5</v>
          </cell>
          <cell r="AA224"/>
          <cell r="AB224">
            <v>2357.42</v>
          </cell>
          <cell r="AC224"/>
          <cell r="AD224">
            <v>1567.35</v>
          </cell>
          <cell r="AE224"/>
          <cell r="AF224">
            <v>1729.46</v>
          </cell>
          <cell r="AG224"/>
          <cell r="AH224">
            <v>24603.910000000003</v>
          </cell>
        </row>
        <row r="225">
          <cell r="D225">
            <v>70105</v>
          </cell>
          <cell r="E225" t="str">
            <v>Employee Relocation</v>
          </cell>
          <cell r="F225"/>
          <cell r="G225"/>
          <cell r="H225"/>
          <cell r="I225"/>
          <cell r="J225">
            <v>840.47</v>
          </cell>
          <cell r="K225"/>
          <cell r="L225">
            <v>840.47</v>
          </cell>
          <cell r="M225"/>
          <cell r="N225">
            <v>840.47</v>
          </cell>
          <cell r="O225"/>
          <cell r="P225">
            <v>1627.87</v>
          </cell>
          <cell r="Q225"/>
          <cell r="R225">
            <v>1627.87</v>
          </cell>
          <cell r="S225"/>
          <cell r="T225">
            <v>2152.87</v>
          </cell>
          <cell r="U225"/>
          <cell r="V225">
            <v>1627.87</v>
          </cell>
          <cell r="W225"/>
          <cell r="X225">
            <v>3027.95</v>
          </cell>
          <cell r="Y225"/>
          <cell r="Z225">
            <v>3121.62</v>
          </cell>
          <cell r="AA225"/>
          <cell r="AB225">
            <v>1493.75</v>
          </cell>
          <cell r="AC225"/>
          <cell r="AD225">
            <v>1493.75</v>
          </cell>
          <cell r="AE225"/>
          <cell r="AF225">
            <v>1493.75</v>
          </cell>
          <cell r="AG225"/>
          <cell r="AH225">
            <v>20188.71</v>
          </cell>
        </row>
        <row r="226">
          <cell r="D226">
            <v>70110</v>
          </cell>
          <cell r="E226" t="str">
            <v>Contributions</v>
          </cell>
          <cell r="F226"/>
          <cell r="G226"/>
          <cell r="H226"/>
          <cell r="I226"/>
          <cell r="J226">
            <v>0</v>
          </cell>
          <cell r="K226"/>
          <cell r="L226">
            <v>0</v>
          </cell>
          <cell r="M226"/>
          <cell r="N226">
            <v>0</v>
          </cell>
          <cell r="O226"/>
          <cell r="P226">
            <v>0</v>
          </cell>
          <cell r="Q226"/>
          <cell r="R226">
            <v>0</v>
          </cell>
          <cell r="S226"/>
          <cell r="T226">
            <v>0</v>
          </cell>
          <cell r="U226"/>
          <cell r="V226">
            <v>0</v>
          </cell>
          <cell r="W226"/>
          <cell r="X226">
            <v>2107.4499999999998</v>
          </cell>
          <cell r="Y226"/>
          <cell r="Z226">
            <v>273.54000000000002</v>
          </cell>
          <cell r="AA226"/>
          <cell r="AB226">
            <v>0</v>
          </cell>
          <cell r="AC226"/>
          <cell r="AD226">
            <v>0</v>
          </cell>
          <cell r="AE226"/>
          <cell r="AF226">
            <v>529.54</v>
          </cell>
          <cell r="AG226"/>
          <cell r="AH226">
            <v>2910.5299999999997</v>
          </cell>
        </row>
        <row r="227">
          <cell r="D227">
            <v>70112</v>
          </cell>
          <cell r="E227" t="str">
            <v>Political Contributions</v>
          </cell>
          <cell r="F227"/>
          <cell r="G227"/>
          <cell r="H227"/>
          <cell r="I227"/>
          <cell r="J227">
            <v>0</v>
          </cell>
          <cell r="K227"/>
          <cell r="L227">
            <v>0</v>
          </cell>
          <cell r="M227"/>
          <cell r="N227">
            <v>450</v>
          </cell>
          <cell r="O227"/>
          <cell r="P227">
            <v>0</v>
          </cell>
          <cell r="Q227"/>
          <cell r="R227">
            <v>0</v>
          </cell>
          <cell r="S227"/>
          <cell r="T227">
            <v>0</v>
          </cell>
          <cell r="U227"/>
          <cell r="V227">
            <v>0</v>
          </cell>
          <cell r="W227"/>
          <cell r="X227">
            <v>0</v>
          </cell>
          <cell r="Y227"/>
          <cell r="Z227">
            <v>450</v>
          </cell>
          <cell r="AA227"/>
          <cell r="AB227">
            <v>0</v>
          </cell>
          <cell r="AC227"/>
          <cell r="AD227">
            <v>0</v>
          </cell>
          <cell r="AE227"/>
          <cell r="AF227">
            <v>0</v>
          </cell>
          <cell r="AG227"/>
          <cell r="AH227">
            <v>900</v>
          </cell>
        </row>
        <row r="228">
          <cell r="D228">
            <v>70116</v>
          </cell>
          <cell r="E228" t="str">
            <v>Pension and Profit Sharing</v>
          </cell>
          <cell r="F228"/>
          <cell r="G228"/>
          <cell r="H228"/>
          <cell r="I228"/>
          <cell r="J228">
            <v>2027.67</v>
          </cell>
          <cell r="K228"/>
          <cell r="L228">
            <v>1956.89</v>
          </cell>
          <cell r="M228"/>
          <cell r="N228">
            <v>2064.8000000000002</v>
          </cell>
          <cell r="O228"/>
          <cell r="P228">
            <v>1855.94</v>
          </cell>
          <cell r="Q228"/>
          <cell r="R228">
            <v>2236.75</v>
          </cell>
          <cell r="S228"/>
          <cell r="T228">
            <v>2281.91</v>
          </cell>
          <cell r="U228"/>
          <cell r="V228">
            <v>2222.7399999999998</v>
          </cell>
          <cell r="W228"/>
          <cell r="X228">
            <v>1796.39</v>
          </cell>
          <cell r="Y228"/>
          <cell r="Z228">
            <v>1904.36</v>
          </cell>
          <cell r="AA228"/>
          <cell r="AB228">
            <v>2160.94</v>
          </cell>
          <cell r="AC228"/>
          <cell r="AD228">
            <v>1128.51</v>
          </cell>
          <cell r="AE228"/>
          <cell r="AF228">
            <v>1850.26</v>
          </cell>
          <cell r="AG228"/>
          <cell r="AH228">
            <v>23487.159999999996</v>
          </cell>
        </row>
        <row r="229">
          <cell r="D229">
            <v>70147</v>
          </cell>
          <cell r="E229" t="str">
            <v>Bldg &amp; Property Maint</v>
          </cell>
          <cell r="F229"/>
          <cell r="G229"/>
          <cell r="H229"/>
          <cell r="I229"/>
          <cell r="J229">
            <v>0</v>
          </cell>
          <cell r="K229"/>
          <cell r="L229">
            <v>0</v>
          </cell>
          <cell r="M229"/>
          <cell r="N229">
            <v>0</v>
          </cell>
          <cell r="O229"/>
          <cell r="P229">
            <v>822.61</v>
          </cell>
          <cell r="Q229"/>
          <cell r="R229">
            <v>12.9</v>
          </cell>
          <cell r="S229"/>
          <cell r="T229">
            <v>10.28</v>
          </cell>
          <cell r="U229"/>
          <cell r="V229">
            <v>81.17</v>
          </cell>
          <cell r="W229"/>
          <cell r="X229">
            <v>22.72</v>
          </cell>
          <cell r="Y229"/>
          <cell r="Z229">
            <v>0</v>
          </cell>
          <cell r="AA229"/>
          <cell r="AB229">
            <v>1721.44</v>
          </cell>
          <cell r="AC229"/>
          <cell r="AD229">
            <v>1721.44</v>
          </cell>
          <cell r="AE229"/>
          <cell r="AF229">
            <v>1721.44</v>
          </cell>
          <cell r="AG229"/>
          <cell r="AH229">
            <v>6113.9999999999991</v>
          </cell>
        </row>
        <row r="230">
          <cell r="D230">
            <v>70148</v>
          </cell>
          <cell r="E230" t="str">
            <v>Allocated Exp In - District</v>
          </cell>
          <cell r="F230"/>
          <cell r="G230"/>
          <cell r="H230"/>
          <cell r="I230"/>
          <cell r="J230">
            <v>4161.6499999999996</v>
          </cell>
          <cell r="K230"/>
          <cell r="L230">
            <v>2913.83</v>
          </cell>
          <cell r="M230"/>
          <cell r="N230">
            <v>3110.19</v>
          </cell>
          <cell r="O230"/>
          <cell r="P230">
            <v>3727.53</v>
          </cell>
          <cell r="Q230"/>
          <cell r="R230">
            <v>3784.78</v>
          </cell>
          <cell r="S230"/>
          <cell r="T230">
            <v>3921.15</v>
          </cell>
          <cell r="U230"/>
          <cell r="V230">
            <v>5028.9399999999996</v>
          </cell>
          <cell r="W230"/>
          <cell r="X230">
            <v>4055.83</v>
          </cell>
          <cell r="Y230"/>
          <cell r="Z230">
            <v>4484.13</v>
          </cell>
          <cell r="AA230"/>
          <cell r="AB230">
            <v>4439.51</v>
          </cell>
          <cell r="AC230"/>
          <cell r="AD230">
            <v>6931.47</v>
          </cell>
          <cell r="AE230"/>
          <cell r="AF230">
            <v>10700.81</v>
          </cell>
          <cell r="AG230"/>
          <cell r="AH230">
            <v>57259.820000000007</v>
          </cell>
        </row>
        <row r="231">
          <cell r="D231">
            <v>70165</v>
          </cell>
          <cell r="E231" t="str">
            <v>Communications</v>
          </cell>
          <cell r="F231"/>
          <cell r="G231"/>
          <cell r="H231"/>
          <cell r="I231"/>
          <cell r="J231">
            <v>1955.42</v>
          </cell>
          <cell r="K231"/>
          <cell r="L231">
            <v>2011.34</v>
          </cell>
          <cell r="M231"/>
          <cell r="N231">
            <v>2172.94</v>
          </cell>
          <cell r="O231"/>
          <cell r="P231">
            <v>1642.06</v>
          </cell>
          <cell r="Q231"/>
          <cell r="R231">
            <v>1802.25</v>
          </cell>
          <cell r="S231"/>
          <cell r="T231">
            <v>2055.71</v>
          </cell>
          <cell r="U231"/>
          <cell r="V231">
            <v>1976.78</v>
          </cell>
          <cell r="W231"/>
          <cell r="X231">
            <v>1687.6</v>
          </cell>
          <cell r="Y231"/>
          <cell r="Z231">
            <v>1965.3</v>
          </cell>
          <cell r="AA231"/>
          <cell r="AB231">
            <v>1766.73</v>
          </cell>
          <cell r="AC231"/>
          <cell r="AD231">
            <v>1803.63</v>
          </cell>
          <cell r="AE231"/>
          <cell r="AF231">
            <v>1767.11</v>
          </cell>
          <cell r="AG231"/>
          <cell r="AH231">
            <v>22606.870000000003</v>
          </cell>
        </row>
        <row r="232">
          <cell r="D232">
            <v>70167</v>
          </cell>
          <cell r="E232" t="str">
            <v>Cellular Telephone</v>
          </cell>
          <cell r="F232"/>
          <cell r="G232"/>
          <cell r="H232"/>
          <cell r="I232"/>
          <cell r="J232">
            <v>548.25</v>
          </cell>
          <cell r="K232"/>
          <cell r="L232">
            <v>486.98</v>
          </cell>
          <cell r="M232"/>
          <cell r="N232">
            <v>545.84</v>
          </cell>
          <cell r="O232"/>
          <cell r="P232">
            <v>486.98</v>
          </cell>
          <cell r="Q232"/>
          <cell r="R232">
            <v>460.41</v>
          </cell>
          <cell r="S232"/>
          <cell r="T232">
            <v>426.86</v>
          </cell>
          <cell r="U232"/>
          <cell r="V232">
            <v>534.52</v>
          </cell>
          <cell r="W232"/>
          <cell r="X232">
            <v>469.01</v>
          </cell>
          <cell r="Y232"/>
          <cell r="Z232">
            <v>468.98</v>
          </cell>
          <cell r="AA232"/>
          <cell r="AB232">
            <v>559.54</v>
          </cell>
          <cell r="AC232"/>
          <cell r="AD232">
            <v>758.46</v>
          </cell>
          <cell r="AE232"/>
          <cell r="AF232">
            <v>509.18</v>
          </cell>
          <cell r="AG232"/>
          <cell r="AH232">
            <v>6255.01</v>
          </cell>
        </row>
        <row r="233">
          <cell r="D233">
            <v>70175</v>
          </cell>
          <cell r="E233" t="str">
            <v>Non-Qualifying Operating Lease Expense</v>
          </cell>
          <cell r="F233"/>
          <cell r="G233"/>
          <cell r="H233"/>
          <cell r="I233"/>
          <cell r="J233">
            <v>1409.47</v>
          </cell>
          <cell r="K233"/>
          <cell r="L233">
            <v>1383.99</v>
          </cell>
          <cell r="M233"/>
          <cell r="N233">
            <v>1383.99</v>
          </cell>
          <cell r="O233"/>
          <cell r="P233">
            <v>1385.3</v>
          </cell>
          <cell r="Q233"/>
          <cell r="R233">
            <v>1385.3</v>
          </cell>
          <cell r="S233"/>
          <cell r="T233">
            <v>1385.3</v>
          </cell>
          <cell r="U233"/>
          <cell r="V233">
            <v>1385.3</v>
          </cell>
          <cell r="W233"/>
          <cell r="X233">
            <v>1386.99</v>
          </cell>
          <cell r="Y233"/>
          <cell r="Z233">
            <v>1386.99</v>
          </cell>
          <cell r="AA233"/>
          <cell r="AB233">
            <v>1386.99</v>
          </cell>
          <cell r="AC233"/>
          <cell r="AD233">
            <v>1245.6400000000001</v>
          </cell>
          <cell r="AE233"/>
          <cell r="AF233">
            <v>1245.6400000000001</v>
          </cell>
          <cell r="AG233"/>
          <cell r="AH233">
            <v>16370.899999999998</v>
          </cell>
        </row>
        <row r="234">
          <cell r="D234">
            <v>70185</v>
          </cell>
          <cell r="E234" t="str">
            <v>Postage</v>
          </cell>
          <cell r="F234"/>
          <cell r="G234"/>
          <cell r="H234"/>
          <cell r="I234"/>
          <cell r="J234">
            <v>830.62</v>
          </cell>
          <cell r="K234"/>
          <cell r="L234">
            <v>576.75</v>
          </cell>
          <cell r="M234"/>
          <cell r="N234">
            <v>961.53</v>
          </cell>
          <cell r="O234"/>
          <cell r="P234">
            <v>6403.11</v>
          </cell>
          <cell r="Q234"/>
          <cell r="R234">
            <v>543.78</v>
          </cell>
          <cell r="S234"/>
          <cell r="T234">
            <v>564.49</v>
          </cell>
          <cell r="U234"/>
          <cell r="V234">
            <v>462.35</v>
          </cell>
          <cell r="W234"/>
          <cell r="X234">
            <v>761.85</v>
          </cell>
          <cell r="Y234"/>
          <cell r="Z234">
            <v>622.61</v>
          </cell>
          <cell r="AA234"/>
          <cell r="AB234">
            <v>1599.57</v>
          </cell>
          <cell r="AC234"/>
          <cell r="AD234">
            <v>381.26</v>
          </cell>
          <cell r="AE234"/>
          <cell r="AF234">
            <v>1045.6500000000001</v>
          </cell>
          <cell r="AG234"/>
          <cell r="AH234">
            <v>14753.570000000002</v>
          </cell>
        </row>
        <row r="235">
          <cell r="D235">
            <v>70195</v>
          </cell>
          <cell r="E235" t="str">
            <v>Dues and Subscriptions</v>
          </cell>
          <cell r="F235"/>
          <cell r="G235"/>
          <cell r="H235"/>
          <cell r="I235"/>
          <cell r="J235">
            <v>442.1</v>
          </cell>
          <cell r="K235"/>
          <cell r="L235">
            <v>442.1</v>
          </cell>
          <cell r="M235"/>
          <cell r="N235">
            <v>25</v>
          </cell>
          <cell r="O235"/>
          <cell r="P235">
            <v>442.1</v>
          </cell>
          <cell r="Q235"/>
          <cell r="R235">
            <v>1839.2</v>
          </cell>
          <cell r="S235"/>
          <cell r="T235">
            <v>942.1</v>
          </cell>
          <cell r="U235"/>
          <cell r="V235">
            <v>942.1</v>
          </cell>
          <cell r="W235"/>
          <cell r="X235">
            <v>0</v>
          </cell>
          <cell r="Y235"/>
          <cell r="Z235">
            <v>1094.2</v>
          </cell>
          <cell r="AA235"/>
          <cell r="AB235">
            <v>463.57</v>
          </cell>
          <cell r="AC235"/>
          <cell r="AD235">
            <v>463.57</v>
          </cell>
          <cell r="AE235"/>
          <cell r="AF235">
            <v>663.57</v>
          </cell>
          <cell r="AG235"/>
          <cell r="AH235">
            <v>7759.6100000000006</v>
          </cell>
        </row>
        <row r="236">
          <cell r="D236">
            <v>70200</v>
          </cell>
          <cell r="E236" t="str">
            <v>Travel</v>
          </cell>
          <cell r="F236"/>
          <cell r="G236"/>
          <cell r="H236"/>
          <cell r="I236"/>
          <cell r="J236">
            <v>0</v>
          </cell>
          <cell r="K236"/>
          <cell r="L236">
            <v>0</v>
          </cell>
          <cell r="M236"/>
          <cell r="N236">
            <v>296.93</v>
          </cell>
          <cell r="O236"/>
          <cell r="P236">
            <v>0</v>
          </cell>
          <cell r="Q236"/>
          <cell r="R236">
            <v>0</v>
          </cell>
          <cell r="S236"/>
          <cell r="T236">
            <v>909.7</v>
          </cell>
          <cell r="U236"/>
          <cell r="V236">
            <v>514.65</v>
          </cell>
          <cell r="W236"/>
          <cell r="X236">
            <v>1333.7</v>
          </cell>
          <cell r="Y236"/>
          <cell r="Z236">
            <v>0</v>
          </cell>
          <cell r="AA236"/>
          <cell r="AB236">
            <v>1137.3599999999999</v>
          </cell>
          <cell r="AC236"/>
          <cell r="AD236">
            <v>256.89999999999998</v>
          </cell>
          <cell r="AE236"/>
          <cell r="AF236">
            <v>1401.43</v>
          </cell>
          <cell r="AG236"/>
          <cell r="AH236">
            <v>5850.6699999999992</v>
          </cell>
        </row>
        <row r="237">
          <cell r="D237">
            <v>70202</v>
          </cell>
          <cell r="E237" t="str">
            <v>Excursions Meetings</v>
          </cell>
          <cell r="F237"/>
          <cell r="G237"/>
          <cell r="H237"/>
          <cell r="I237"/>
          <cell r="J237">
            <v>0</v>
          </cell>
          <cell r="K237"/>
          <cell r="L237">
            <v>0</v>
          </cell>
          <cell r="M237"/>
          <cell r="N237">
            <v>0</v>
          </cell>
          <cell r="O237"/>
          <cell r="P237">
            <v>0</v>
          </cell>
          <cell r="Q237"/>
          <cell r="R237">
            <v>0</v>
          </cell>
          <cell r="S237"/>
          <cell r="T237">
            <v>0</v>
          </cell>
          <cell r="U237"/>
          <cell r="V237">
            <v>0</v>
          </cell>
          <cell r="W237"/>
          <cell r="X237">
            <v>0</v>
          </cell>
          <cell r="Y237"/>
          <cell r="Z237">
            <v>0</v>
          </cell>
          <cell r="AA237"/>
          <cell r="AB237">
            <v>0</v>
          </cell>
          <cell r="AC237"/>
          <cell r="AD237">
            <v>270.48</v>
          </cell>
          <cell r="AE237"/>
          <cell r="AF237">
            <v>0</v>
          </cell>
          <cell r="AG237"/>
          <cell r="AH237">
            <v>270.48</v>
          </cell>
        </row>
        <row r="238">
          <cell r="D238">
            <v>70203</v>
          </cell>
          <cell r="E238" t="str">
            <v>Lodging</v>
          </cell>
          <cell r="F238"/>
          <cell r="G238"/>
          <cell r="H238"/>
          <cell r="I238"/>
          <cell r="J238">
            <v>506.61</v>
          </cell>
          <cell r="K238"/>
          <cell r="L238">
            <v>1239.1400000000001</v>
          </cell>
          <cell r="M238"/>
          <cell r="N238">
            <v>335.51</v>
          </cell>
          <cell r="O238"/>
          <cell r="P238">
            <v>0</v>
          </cell>
          <cell r="Q238"/>
          <cell r="R238">
            <v>0</v>
          </cell>
          <cell r="S238"/>
          <cell r="T238">
            <v>0</v>
          </cell>
          <cell r="U238"/>
          <cell r="V238">
            <v>1050.81</v>
          </cell>
          <cell r="W238"/>
          <cell r="X238">
            <v>0</v>
          </cell>
          <cell r="Y238"/>
          <cell r="Z238">
            <v>0</v>
          </cell>
          <cell r="AA238"/>
          <cell r="AB238">
            <v>0</v>
          </cell>
          <cell r="AC238"/>
          <cell r="AD238">
            <v>0</v>
          </cell>
          <cell r="AE238"/>
          <cell r="AF238">
            <v>779.03</v>
          </cell>
          <cell r="AG238"/>
          <cell r="AH238">
            <v>3911.1</v>
          </cell>
        </row>
        <row r="239">
          <cell r="D239">
            <v>70205</v>
          </cell>
          <cell r="E239" t="str">
            <v>Travel - Auto</v>
          </cell>
          <cell r="F239"/>
          <cell r="G239"/>
          <cell r="H239"/>
          <cell r="I239"/>
          <cell r="J239">
            <v>72.56</v>
          </cell>
          <cell r="K239"/>
          <cell r="L239">
            <v>1002.86</v>
          </cell>
          <cell r="M239"/>
          <cell r="N239">
            <v>229.6</v>
          </cell>
          <cell r="O239"/>
          <cell r="P239">
            <v>136.19</v>
          </cell>
          <cell r="Q239"/>
          <cell r="R239">
            <v>0</v>
          </cell>
          <cell r="S239"/>
          <cell r="T239">
            <v>136.19</v>
          </cell>
          <cell r="U239"/>
          <cell r="V239">
            <v>156.96</v>
          </cell>
          <cell r="W239"/>
          <cell r="X239">
            <v>33.6</v>
          </cell>
          <cell r="Y239"/>
          <cell r="Z239">
            <v>0</v>
          </cell>
          <cell r="AA239"/>
          <cell r="AB239">
            <v>0</v>
          </cell>
          <cell r="AC239"/>
          <cell r="AD239">
            <v>47.83</v>
          </cell>
          <cell r="AE239"/>
          <cell r="AF239">
            <v>395.46</v>
          </cell>
          <cell r="AG239"/>
          <cell r="AH239">
            <v>2211.25</v>
          </cell>
        </row>
        <row r="240">
          <cell r="D240">
            <v>70206</v>
          </cell>
          <cell r="E240" t="str">
            <v>Meals</v>
          </cell>
          <cell r="F240"/>
          <cell r="G240"/>
          <cell r="H240"/>
          <cell r="I240"/>
          <cell r="J240">
            <v>1137.9000000000001</v>
          </cell>
          <cell r="K240"/>
          <cell r="L240">
            <v>977.45</v>
          </cell>
          <cell r="M240"/>
          <cell r="N240">
            <v>116.28</v>
          </cell>
          <cell r="O240"/>
          <cell r="P240">
            <v>34.54</v>
          </cell>
          <cell r="Q240"/>
          <cell r="R240">
            <v>74.180000000000007</v>
          </cell>
          <cell r="S240"/>
          <cell r="T240">
            <v>55.47</v>
          </cell>
          <cell r="U240"/>
          <cell r="V240">
            <v>984.73</v>
          </cell>
          <cell r="W240"/>
          <cell r="X240">
            <v>0</v>
          </cell>
          <cell r="Y240"/>
          <cell r="Z240">
            <v>895.28</v>
          </cell>
          <cell r="AA240"/>
          <cell r="AB240">
            <v>-175</v>
          </cell>
          <cell r="AC240"/>
          <cell r="AD240">
            <v>561.20000000000005</v>
          </cell>
          <cell r="AE240"/>
          <cell r="AF240">
            <v>329.89</v>
          </cell>
          <cell r="AG240"/>
          <cell r="AH240">
            <v>4991.92</v>
          </cell>
        </row>
        <row r="241">
          <cell r="D241">
            <v>70210</v>
          </cell>
          <cell r="E241" t="str">
            <v>Office Supplies and Equip</v>
          </cell>
          <cell r="F241"/>
          <cell r="G241"/>
          <cell r="H241"/>
          <cell r="I241"/>
          <cell r="J241">
            <v>1035.46</v>
          </cell>
          <cell r="K241"/>
          <cell r="L241">
            <v>638.52</v>
          </cell>
          <cell r="M241"/>
          <cell r="N241">
            <v>840.86</v>
          </cell>
          <cell r="O241"/>
          <cell r="P241">
            <v>4918.1099999999997</v>
          </cell>
          <cell r="Q241"/>
          <cell r="R241">
            <v>839.88</v>
          </cell>
          <cell r="S241"/>
          <cell r="T241">
            <v>990.43</v>
          </cell>
          <cell r="U241"/>
          <cell r="V241">
            <v>1099.6099999999999</v>
          </cell>
          <cell r="W241"/>
          <cell r="X241">
            <v>388.52</v>
          </cell>
          <cell r="Y241"/>
          <cell r="Z241">
            <v>510.67</v>
          </cell>
          <cell r="AA241"/>
          <cell r="AB241">
            <v>3155.1</v>
          </cell>
          <cell r="AC241"/>
          <cell r="AD241">
            <v>434.15</v>
          </cell>
          <cell r="AE241"/>
          <cell r="AF241">
            <v>2467.04</v>
          </cell>
          <cell r="AG241"/>
          <cell r="AH241">
            <v>17318.349999999999</v>
          </cell>
        </row>
        <row r="242">
          <cell r="D242">
            <v>70214</v>
          </cell>
          <cell r="E242" t="str">
            <v>Credit Card Fees</v>
          </cell>
          <cell r="F242"/>
          <cell r="G242"/>
          <cell r="H242"/>
          <cell r="I242"/>
          <cell r="J242">
            <v>4112.59</v>
          </cell>
          <cell r="K242"/>
          <cell r="L242">
            <v>4536.22</v>
          </cell>
          <cell r="M242"/>
          <cell r="N242">
            <v>5754.32</v>
          </cell>
          <cell r="O242"/>
          <cell r="P242">
            <v>5319.98</v>
          </cell>
          <cell r="Q242"/>
          <cell r="R242">
            <v>5695.02</v>
          </cell>
          <cell r="S242"/>
          <cell r="T242">
            <v>5876.64</v>
          </cell>
          <cell r="U242"/>
          <cell r="V242">
            <v>6115.35</v>
          </cell>
          <cell r="W242"/>
          <cell r="X242">
            <v>5675.96</v>
          </cell>
          <cell r="Y242"/>
          <cell r="Z242">
            <v>5665.05</v>
          </cell>
          <cell r="AA242"/>
          <cell r="AB242">
            <v>6031.61</v>
          </cell>
          <cell r="AC242"/>
          <cell r="AD242">
            <v>6110.51</v>
          </cell>
          <cell r="AE242"/>
          <cell r="AF242">
            <v>7242.32</v>
          </cell>
          <cell r="AG242"/>
          <cell r="AH242">
            <v>68135.569999999992</v>
          </cell>
        </row>
        <row r="243">
          <cell r="D243">
            <v>70220</v>
          </cell>
          <cell r="E243" t="str">
            <v>Sponsorships</v>
          </cell>
          <cell r="F243"/>
          <cell r="G243"/>
          <cell r="H243"/>
          <cell r="I243"/>
          <cell r="J243">
            <v>0</v>
          </cell>
          <cell r="K243"/>
          <cell r="L243">
            <v>334</v>
          </cell>
          <cell r="M243"/>
          <cell r="N243">
            <v>379.02</v>
          </cell>
          <cell r="O243"/>
          <cell r="P243">
            <v>0</v>
          </cell>
          <cell r="Q243"/>
          <cell r="R243">
            <v>0</v>
          </cell>
          <cell r="S243"/>
          <cell r="T243">
            <v>0</v>
          </cell>
          <cell r="U243"/>
          <cell r="V243">
            <v>427</v>
          </cell>
          <cell r="W243"/>
          <cell r="X243">
            <v>0</v>
          </cell>
          <cell r="Y243"/>
          <cell r="Z243">
            <v>0</v>
          </cell>
          <cell r="AA243"/>
          <cell r="AB243">
            <v>751.45</v>
          </cell>
          <cell r="AC243"/>
          <cell r="AD243">
            <v>0</v>
          </cell>
          <cell r="AE243"/>
          <cell r="AF243">
            <v>0</v>
          </cell>
          <cell r="AG243"/>
          <cell r="AH243">
            <v>1891.47</v>
          </cell>
        </row>
        <row r="244">
          <cell r="D244">
            <v>70225</v>
          </cell>
          <cell r="E244" t="str">
            <v>Advertising and Promotions</v>
          </cell>
          <cell r="F244"/>
          <cell r="G244"/>
          <cell r="H244"/>
          <cell r="I244"/>
          <cell r="J244">
            <v>399</v>
          </cell>
          <cell r="K244"/>
          <cell r="L244">
            <v>399</v>
          </cell>
          <cell r="M244"/>
          <cell r="N244">
            <v>399</v>
          </cell>
          <cell r="O244"/>
          <cell r="P244">
            <v>399</v>
          </cell>
          <cell r="Q244"/>
          <cell r="R244">
            <v>399</v>
          </cell>
          <cell r="S244"/>
          <cell r="T244">
            <v>1616.83</v>
          </cell>
          <cell r="U244"/>
          <cell r="V244">
            <v>1339</v>
          </cell>
          <cell r="W244"/>
          <cell r="X244">
            <v>511</v>
          </cell>
          <cell r="Y244"/>
          <cell r="Z244">
            <v>599</v>
          </cell>
          <cell r="AA244"/>
          <cell r="AB244">
            <v>399</v>
          </cell>
          <cell r="AC244"/>
          <cell r="AD244">
            <v>399</v>
          </cell>
          <cell r="AE244"/>
          <cell r="AF244">
            <v>399</v>
          </cell>
          <cell r="AG244"/>
          <cell r="AH244">
            <v>7257.83</v>
          </cell>
        </row>
        <row r="245">
          <cell r="D245">
            <v>70232</v>
          </cell>
          <cell r="E245" t="str">
            <v>Recruitment Travel Expenses</v>
          </cell>
          <cell r="F245"/>
          <cell r="G245"/>
          <cell r="H245"/>
          <cell r="I245"/>
          <cell r="J245">
            <v>0</v>
          </cell>
          <cell r="K245"/>
          <cell r="L245">
            <v>0</v>
          </cell>
          <cell r="M245"/>
          <cell r="N245">
            <v>0</v>
          </cell>
          <cell r="O245"/>
          <cell r="P245">
            <v>459.24</v>
          </cell>
          <cell r="Q245"/>
          <cell r="R245">
            <v>0</v>
          </cell>
          <cell r="S245"/>
          <cell r="T245">
            <v>0</v>
          </cell>
          <cell r="U245"/>
          <cell r="V245">
            <v>0</v>
          </cell>
          <cell r="W245"/>
          <cell r="X245">
            <v>0</v>
          </cell>
          <cell r="Y245"/>
          <cell r="Z245">
            <v>0</v>
          </cell>
          <cell r="AA245"/>
          <cell r="AB245">
            <v>0</v>
          </cell>
          <cell r="AC245"/>
          <cell r="AD245">
            <v>0</v>
          </cell>
          <cell r="AE245"/>
          <cell r="AF245">
            <v>0</v>
          </cell>
          <cell r="AG245"/>
          <cell r="AH245">
            <v>459.24</v>
          </cell>
        </row>
        <row r="246">
          <cell r="D246">
            <v>70235</v>
          </cell>
          <cell r="E246" t="str">
            <v>Legal</v>
          </cell>
          <cell r="F246"/>
          <cell r="G246"/>
          <cell r="H246"/>
          <cell r="I246"/>
          <cell r="J246">
            <v>-450</v>
          </cell>
          <cell r="K246"/>
          <cell r="L246">
            <v>27221.200000000001</v>
          </cell>
          <cell r="M246"/>
          <cell r="N246">
            <v>1534</v>
          </cell>
          <cell r="O246"/>
          <cell r="P246">
            <v>354.7</v>
          </cell>
          <cell r="Q246"/>
          <cell r="R246">
            <v>1083.5</v>
          </cell>
          <cell r="S246"/>
          <cell r="T246">
            <v>5766.93</v>
          </cell>
          <cell r="U246"/>
          <cell r="V246">
            <v>142.5</v>
          </cell>
          <cell r="W246"/>
          <cell r="X246">
            <v>0</v>
          </cell>
          <cell r="Y246"/>
          <cell r="Z246">
            <v>3749.85</v>
          </cell>
          <cell r="AA246"/>
          <cell r="AB246">
            <v>3340.6</v>
          </cell>
          <cell r="AC246"/>
          <cell r="AD246">
            <v>0</v>
          </cell>
          <cell r="AE246"/>
          <cell r="AF246">
            <v>3649.68</v>
          </cell>
          <cell r="AG246"/>
          <cell r="AH246">
            <v>46392.959999999999</v>
          </cell>
        </row>
        <row r="247">
          <cell r="D247">
            <v>70255</v>
          </cell>
          <cell r="E247" t="str">
            <v>Other Prof Fees</v>
          </cell>
          <cell r="F247"/>
          <cell r="G247"/>
          <cell r="H247"/>
          <cell r="I247"/>
          <cell r="J247">
            <v>3306.7</v>
          </cell>
          <cell r="K247"/>
          <cell r="L247">
            <v>2333.33</v>
          </cell>
          <cell r="M247"/>
          <cell r="N247">
            <v>6581.09</v>
          </cell>
          <cell r="O247"/>
          <cell r="P247">
            <v>2850.34</v>
          </cell>
          <cell r="Q247"/>
          <cell r="R247">
            <v>6450.68</v>
          </cell>
          <cell r="S247"/>
          <cell r="T247">
            <v>2573</v>
          </cell>
          <cell r="U247"/>
          <cell r="V247">
            <v>2467.8000000000002</v>
          </cell>
          <cell r="W247"/>
          <cell r="X247">
            <v>2597.3000000000002</v>
          </cell>
          <cell r="Y247"/>
          <cell r="Z247">
            <v>2489.3200000000002</v>
          </cell>
          <cell r="AA247"/>
          <cell r="AB247">
            <v>3165.42</v>
          </cell>
          <cell r="AC247"/>
          <cell r="AD247">
            <v>2476.33</v>
          </cell>
          <cell r="AE247"/>
          <cell r="AF247">
            <v>2476.63</v>
          </cell>
          <cell r="AG247"/>
          <cell r="AH247">
            <v>39767.94</v>
          </cell>
        </row>
        <row r="248">
          <cell r="D248">
            <v>70300</v>
          </cell>
          <cell r="E248" t="str">
            <v>Data Processing</v>
          </cell>
          <cell r="F248"/>
          <cell r="G248"/>
          <cell r="H248"/>
          <cell r="I248"/>
          <cell r="J248">
            <v>7309.35</v>
          </cell>
          <cell r="K248"/>
          <cell r="L248">
            <v>7309.35</v>
          </cell>
          <cell r="M248"/>
          <cell r="N248">
            <v>7309.35</v>
          </cell>
          <cell r="O248"/>
          <cell r="P248">
            <v>7309.35</v>
          </cell>
          <cell r="Q248"/>
          <cell r="R248">
            <v>7309.35</v>
          </cell>
          <cell r="S248"/>
          <cell r="T248">
            <v>7309.35</v>
          </cell>
          <cell r="U248"/>
          <cell r="V248">
            <v>7309.35</v>
          </cell>
          <cell r="W248"/>
          <cell r="X248">
            <v>7309.35</v>
          </cell>
          <cell r="Y248"/>
          <cell r="Z248">
            <v>7309.35</v>
          </cell>
          <cell r="AA248"/>
          <cell r="AB248">
            <v>7676.98</v>
          </cell>
          <cell r="AC248"/>
          <cell r="AD248">
            <v>7676.98</v>
          </cell>
          <cell r="AE248"/>
          <cell r="AF248">
            <v>7676.98</v>
          </cell>
          <cell r="AG248"/>
          <cell r="AH248">
            <v>88815.090000000011</v>
          </cell>
        </row>
        <row r="249">
          <cell r="D249">
            <v>70301</v>
          </cell>
          <cell r="E249" t="str">
            <v>Computer Software</v>
          </cell>
          <cell r="F249"/>
          <cell r="G249"/>
          <cell r="H249"/>
          <cell r="I249"/>
          <cell r="J249">
            <v>0</v>
          </cell>
          <cell r="K249"/>
          <cell r="L249">
            <v>0</v>
          </cell>
          <cell r="M249"/>
          <cell r="N249">
            <v>0</v>
          </cell>
          <cell r="O249"/>
          <cell r="P249">
            <v>172.92</v>
          </cell>
          <cell r="Q249"/>
          <cell r="R249">
            <v>0</v>
          </cell>
          <cell r="S249"/>
          <cell r="T249">
            <v>0</v>
          </cell>
          <cell r="U249"/>
          <cell r="V249">
            <v>0</v>
          </cell>
          <cell r="W249"/>
          <cell r="X249">
            <v>0</v>
          </cell>
          <cell r="Y249"/>
          <cell r="Z249">
            <v>0</v>
          </cell>
          <cell r="AA249"/>
          <cell r="AB249">
            <v>0</v>
          </cell>
          <cell r="AC249"/>
          <cell r="AD249">
            <v>0</v>
          </cell>
          <cell r="AE249"/>
          <cell r="AF249">
            <v>0</v>
          </cell>
          <cell r="AG249"/>
          <cell r="AH249">
            <v>172.92</v>
          </cell>
        </row>
        <row r="250">
          <cell r="D250">
            <v>70302</v>
          </cell>
          <cell r="E250" t="str">
            <v>Computer Supplies</v>
          </cell>
          <cell r="F250"/>
          <cell r="G250"/>
          <cell r="H250"/>
          <cell r="I250"/>
          <cell r="J250">
            <v>0</v>
          </cell>
          <cell r="K250"/>
          <cell r="L250">
            <v>0</v>
          </cell>
          <cell r="M250"/>
          <cell r="N250">
            <v>0</v>
          </cell>
          <cell r="O250"/>
          <cell r="P250">
            <v>-717</v>
          </cell>
          <cell r="Q250"/>
          <cell r="R250">
            <v>0</v>
          </cell>
          <cell r="S250"/>
          <cell r="T250">
            <v>0</v>
          </cell>
          <cell r="U250"/>
          <cell r="V250">
            <v>0</v>
          </cell>
          <cell r="W250"/>
          <cell r="X250">
            <v>0</v>
          </cell>
          <cell r="Y250"/>
          <cell r="Z250">
            <v>716.26</v>
          </cell>
          <cell r="AA250"/>
          <cell r="AB250">
            <v>1226.47</v>
          </cell>
          <cell r="AC250"/>
          <cell r="AD250">
            <v>361.78</v>
          </cell>
          <cell r="AE250"/>
          <cell r="AF250">
            <v>497.18</v>
          </cell>
          <cell r="AG250"/>
          <cell r="AH250">
            <v>2084.6900000000005</v>
          </cell>
        </row>
        <row r="251">
          <cell r="D251">
            <v>70303</v>
          </cell>
          <cell r="E251" t="str">
            <v>Software License Fees</v>
          </cell>
          <cell r="F251"/>
          <cell r="G251"/>
          <cell r="H251"/>
          <cell r="I251"/>
          <cell r="J251">
            <v>12.36</v>
          </cell>
          <cell r="K251"/>
          <cell r="L251">
            <v>12.36</v>
          </cell>
          <cell r="M251"/>
          <cell r="N251">
            <v>12.36</v>
          </cell>
          <cell r="O251"/>
          <cell r="P251">
            <v>41.41</v>
          </cell>
          <cell r="Q251"/>
          <cell r="R251">
            <v>12.36</v>
          </cell>
          <cell r="S251"/>
          <cell r="T251">
            <v>9.36</v>
          </cell>
          <cell r="U251"/>
          <cell r="V251">
            <v>12.36</v>
          </cell>
          <cell r="W251"/>
          <cell r="X251">
            <v>10.86</v>
          </cell>
          <cell r="Y251"/>
          <cell r="Z251">
            <v>104.01</v>
          </cell>
          <cell r="AA251"/>
          <cell r="AB251">
            <v>0</v>
          </cell>
          <cell r="AC251"/>
          <cell r="AD251">
            <v>0</v>
          </cell>
          <cell r="AE251"/>
          <cell r="AF251">
            <v>0</v>
          </cell>
          <cell r="AG251"/>
          <cell r="AH251">
            <v>227.44</v>
          </cell>
        </row>
        <row r="252">
          <cell r="D252">
            <v>70310</v>
          </cell>
          <cell r="E252" t="str">
            <v>Bad Debt Provision</v>
          </cell>
          <cell r="F252"/>
          <cell r="G252"/>
          <cell r="H252"/>
          <cell r="I252"/>
          <cell r="J252">
            <v>2070.14</v>
          </cell>
          <cell r="K252"/>
          <cell r="L252">
            <v>3367.63</v>
          </cell>
          <cell r="M252"/>
          <cell r="N252">
            <v>4893.1400000000003</v>
          </cell>
          <cell r="O252"/>
          <cell r="P252">
            <v>9912.44</v>
          </cell>
          <cell r="Q252"/>
          <cell r="R252">
            <v>6239.31</v>
          </cell>
          <cell r="S252"/>
          <cell r="T252">
            <v>2896.05</v>
          </cell>
          <cell r="U252"/>
          <cell r="V252">
            <v>1236.6500000000001</v>
          </cell>
          <cell r="W252"/>
          <cell r="X252">
            <v>19635.59</v>
          </cell>
          <cell r="Y252"/>
          <cell r="Z252">
            <v>-3490.04</v>
          </cell>
          <cell r="AA252"/>
          <cell r="AB252">
            <v>7108.4</v>
          </cell>
          <cell r="AC252"/>
          <cell r="AD252">
            <v>19403.22</v>
          </cell>
          <cell r="AE252"/>
          <cell r="AF252">
            <v>-7209.3</v>
          </cell>
          <cell r="AG252"/>
          <cell r="AH252">
            <v>66063.23</v>
          </cell>
        </row>
        <row r="253">
          <cell r="D253">
            <v>70315</v>
          </cell>
          <cell r="E253" t="str">
            <v>Bad Debt Recoveries</v>
          </cell>
          <cell r="F253"/>
          <cell r="G253"/>
          <cell r="H253"/>
          <cell r="I253"/>
          <cell r="J253">
            <v>0</v>
          </cell>
          <cell r="K253"/>
          <cell r="L253">
            <v>0</v>
          </cell>
          <cell r="M253"/>
          <cell r="N253">
            <v>0</v>
          </cell>
          <cell r="O253"/>
          <cell r="P253">
            <v>5250</v>
          </cell>
          <cell r="Q253"/>
          <cell r="R253">
            <v>0</v>
          </cell>
          <cell r="S253"/>
          <cell r="T253">
            <v>0</v>
          </cell>
          <cell r="U253"/>
          <cell r="V253">
            <v>0</v>
          </cell>
          <cell r="W253"/>
          <cell r="X253">
            <v>0</v>
          </cell>
          <cell r="Y253"/>
          <cell r="Z253">
            <v>0</v>
          </cell>
          <cell r="AA253"/>
          <cell r="AB253">
            <v>0</v>
          </cell>
          <cell r="AC253"/>
          <cell r="AD253">
            <v>0</v>
          </cell>
          <cell r="AE253"/>
          <cell r="AF253">
            <v>0</v>
          </cell>
          <cell r="AG253"/>
          <cell r="AH253">
            <v>5250</v>
          </cell>
        </row>
        <row r="254">
          <cell r="D254">
            <v>70320</v>
          </cell>
          <cell r="E254" t="str">
            <v>Credit and Collection</v>
          </cell>
          <cell r="F254"/>
          <cell r="G254"/>
          <cell r="H254"/>
          <cell r="I254"/>
          <cell r="J254">
            <v>464.52</v>
          </cell>
          <cell r="K254"/>
          <cell r="L254">
            <v>250</v>
          </cell>
          <cell r="M254"/>
          <cell r="N254">
            <v>1092.79</v>
          </cell>
          <cell r="O254"/>
          <cell r="P254">
            <v>350</v>
          </cell>
          <cell r="Q254"/>
          <cell r="R254">
            <v>625.14</v>
          </cell>
          <cell r="S254"/>
          <cell r="T254">
            <v>383.34</v>
          </cell>
          <cell r="U254"/>
          <cell r="V254">
            <v>700</v>
          </cell>
          <cell r="W254"/>
          <cell r="X254">
            <v>602.80999999999995</v>
          </cell>
          <cell r="Y254"/>
          <cell r="Z254">
            <v>427.25</v>
          </cell>
          <cell r="AA254"/>
          <cell r="AB254">
            <v>943.75</v>
          </cell>
          <cell r="AC254"/>
          <cell r="AD254">
            <v>876.83</v>
          </cell>
          <cell r="AE254"/>
          <cell r="AF254">
            <v>496.72</v>
          </cell>
          <cell r="AG254"/>
          <cell r="AH254">
            <v>7213.15</v>
          </cell>
        </row>
        <row r="255">
          <cell r="D255">
            <v>70324</v>
          </cell>
          <cell r="E255" t="str">
            <v>Penalties and Violations</v>
          </cell>
          <cell r="F255"/>
          <cell r="G255"/>
          <cell r="H255"/>
          <cell r="I255"/>
          <cell r="J255">
            <v>0</v>
          </cell>
          <cell r="K255"/>
          <cell r="L255">
            <v>0</v>
          </cell>
          <cell r="M255"/>
          <cell r="N255">
            <v>0</v>
          </cell>
          <cell r="O255"/>
          <cell r="P255">
            <v>0</v>
          </cell>
          <cell r="Q255"/>
          <cell r="R255">
            <v>0</v>
          </cell>
          <cell r="S255"/>
          <cell r="T255">
            <v>0</v>
          </cell>
          <cell r="U255"/>
          <cell r="V255">
            <v>0</v>
          </cell>
          <cell r="W255"/>
          <cell r="X255">
            <v>0</v>
          </cell>
          <cell r="Y255"/>
          <cell r="Z255">
            <v>0</v>
          </cell>
          <cell r="AA255"/>
          <cell r="AB255">
            <v>0</v>
          </cell>
          <cell r="AC255"/>
          <cell r="AD255">
            <v>1.68</v>
          </cell>
          <cell r="AE255"/>
          <cell r="AF255">
            <v>0</v>
          </cell>
          <cell r="AG255"/>
          <cell r="AH255">
            <v>1.68</v>
          </cell>
        </row>
        <row r="256">
          <cell r="D256">
            <v>70335</v>
          </cell>
          <cell r="E256" t="str">
            <v>Miscellaneous</v>
          </cell>
          <cell r="F256"/>
          <cell r="G256"/>
          <cell r="H256"/>
          <cell r="I256"/>
          <cell r="J256">
            <v>-0.04</v>
          </cell>
          <cell r="K256"/>
          <cell r="L256">
            <v>0</v>
          </cell>
          <cell r="M256"/>
          <cell r="N256">
            <v>0</v>
          </cell>
          <cell r="O256"/>
          <cell r="P256">
            <v>1045.04</v>
          </cell>
          <cell r="Q256"/>
          <cell r="R256">
            <v>-1045.04</v>
          </cell>
          <cell r="S256"/>
          <cell r="T256">
            <v>0</v>
          </cell>
          <cell r="U256"/>
          <cell r="V256">
            <v>0</v>
          </cell>
          <cell r="W256"/>
          <cell r="X256">
            <v>170.38</v>
          </cell>
          <cell r="Y256"/>
          <cell r="Z256">
            <v>-170.38</v>
          </cell>
          <cell r="AA256"/>
          <cell r="AB256">
            <v>0</v>
          </cell>
          <cell r="AC256"/>
          <cell r="AD256">
            <v>0</v>
          </cell>
          <cell r="AE256"/>
          <cell r="AF256">
            <v>0</v>
          </cell>
          <cell r="AG256"/>
          <cell r="AH256">
            <v>-0.04</v>
          </cell>
        </row>
        <row r="257">
          <cell r="D257">
            <v>70336</v>
          </cell>
          <cell r="E257" t="str">
            <v>Coffee Bar</v>
          </cell>
          <cell r="F257"/>
          <cell r="G257"/>
          <cell r="H257"/>
          <cell r="I257"/>
          <cell r="J257">
            <v>0</v>
          </cell>
          <cell r="K257"/>
          <cell r="L257">
            <v>61.02</v>
          </cell>
          <cell r="M257"/>
          <cell r="N257">
            <v>92.44</v>
          </cell>
          <cell r="O257"/>
          <cell r="P257">
            <v>0</v>
          </cell>
          <cell r="Q257"/>
          <cell r="R257">
            <v>80.53</v>
          </cell>
          <cell r="S257"/>
          <cell r="T257">
            <v>0</v>
          </cell>
          <cell r="U257"/>
          <cell r="V257">
            <v>0</v>
          </cell>
          <cell r="W257"/>
          <cell r="X257">
            <v>0</v>
          </cell>
          <cell r="Y257"/>
          <cell r="Z257">
            <v>0</v>
          </cell>
          <cell r="AA257"/>
          <cell r="AB257">
            <v>0</v>
          </cell>
          <cell r="AC257"/>
          <cell r="AD257">
            <v>0</v>
          </cell>
          <cell r="AE257"/>
          <cell r="AF257">
            <v>0</v>
          </cell>
          <cell r="AG257"/>
          <cell r="AH257">
            <v>233.99</v>
          </cell>
        </row>
        <row r="258">
          <cell r="D258">
            <v>70357</v>
          </cell>
          <cell r="E258" t="str">
            <v>Permits</v>
          </cell>
          <cell r="F258"/>
          <cell r="G258"/>
          <cell r="H258"/>
          <cell r="I258"/>
          <cell r="J258">
            <v>0</v>
          </cell>
          <cell r="K258"/>
          <cell r="L258">
            <v>0</v>
          </cell>
          <cell r="M258"/>
          <cell r="N258">
            <v>0</v>
          </cell>
          <cell r="O258"/>
          <cell r="P258">
            <v>0</v>
          </cell>
          <cell r="Q258"/>
          <cell r="R258">
            <v>0</v>
          </cell>
          <cell r="S258"/>
          <cell r="T258">
            <v>0</v>
          </cell>
          <cell r="U258"/>
          <cell r="V258">
            <v>0</v>
          </cell>
          <cell r="W258"/>
          <cell r="X258">
            <v>0</v>
          </cell>
          <cell r="Y258"/>
          <cell r="Z258">
            <v>0</v>
          </cell>
          <cell r="AA258"/>
          <cell r="AB258">
            <v>0</v>
          </cell>
          <cell r="AC258"/>
          <cell r="AD258">
            <v>141</v>
          </cell>
          <cell r="AE258"/>
          <cell r="AF258">
            <v>0</v>
          </cell>
          <cell r="AG258"/>
          <cell r="AH258">
            <v>141</v>
          </cell>
        </row>
        <row r="259">
          <cell r="D259"/>
          <cell r="E259"/>
          <cell r="F259"/>
          <cell r="G259"/>
          <cell r="J259"/>
          <cell r="K259"/>
          <cell r="L259"/>
          <cell r="M259"/>
          <cell r="N259"/>
          <cell r="O259"/>
          <cell r="P259"/>
          <cell r="Q259"/>
          <cell r="R259"/>
          <cell r="S259"/>
          <cell r="T259"/>
          <cell r="U259"/>
          <cell r="V259"/>
          <cell r="W259"/>
          <cell r="X259"/>
          <cell r="Y259"/>
          <cell r="Z259"/>
          <cell r="AA259"/>
          <cell r="AB259"/>
          <cell r="AC259"/>
          <cell r="AD259"/>
          <cell r="AE259"/>
          <cell r="AF259"/>
          <cell r="AG259"/>
          <cell r="AH259"/>
        </row>
        <row r="260">
          <cell r="F260" t="str">
            <v>G&amp;A</v>
          </cell>
          <cell r="J260">
            <v>126510.17</v>
          </cell>
          <cell r="K260"/>
          <cell r="L260">
            <v>149512.66</v>
          </cell>
          <cell r="M260"/>
          <cell r="N260">
            <v>136171.61000000004</v>
          </cell>
          <cell r="O260"/>
          <cell r="P260">
            <v>135155.93000000002</v>
          </cell>
          <cell r="Q260"/>
          <cell r="R260">
            <v>130107.95</v>
          </cell>
          <cell r="S260"/>
          <cell r="T260">
            <v>137317.09999999998</v>
          </cell>
          <cell r="U260"/>
          <cell r="V260">
            <v>143692.25</v>
          </cell>
          <cell r="W260"/>
          <cell r="X260">
            <v>153341.46</v>
          </cell>
          <cell r="Y260"/>
          <cell r="Z260">
            <v>129137.26000000005</v>
          </cell>
          <cell r="AA260"/>
          <cell r="AB260">
            <v>142099.57000000004</v>
          </cell>
          <cell r="AC260"/>
          <cell r="AD260">
            <v>136290.10999999996</v>
          </cell>
          <cell r="AE260"/>
          <cell r="AF260">
            <v>122167.08999999997</v>
          </cell>
          <cell r="AG260"/>
          <cell r="AH260">
            <v>1641503.1599999997</v>
          </cell>
        </row>
        <row r="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row>
        <row r="262">
          <cell r="D262">
            <v>70149</v>
          </cell>
          <cell r="E262" t="str">
            <v>Corporate Overhead Allocation In</v>
          </cell>
          <cell r="F262"/>
          <cell r="G262"/>
          <cell r="H262"/>
          <cell r="I262"/>
          <cell r="J262">
            <v>30102.26</v>
          </cell>
          <cell r="K262"/>
          <cell r="L262">
            <v>30230.89</v>
          </cell>
          <cell r="M262"/>
          <cell r="N262">
            <v>31623.759999999998</v>
          </cell>
          <cell r="O262"/>
          <cell r="P262">
            <v>31565.32</v>
          </cell>
          <cell r="Q262"/>
          <cell r="R262">
            <v>32234.27</v>
          </cell>
          <cell r="S262"/>
          <cell r="T262">
            <v>32063.55</v>
          </cell>
          <cell r="U262"/>
          <cell r="V262">
            <v>31226.86</v>
          </cell>
          <cell r="W262"/>
          <cell r="X262">
            <v>30003.15</v>
          </cell>
          <cell r="Y262"/>
          <cell r="Z262">
            <v>29809.56</v>
          </cell>
          <cell r="AA262"/>
          <cell r="AB262">
            <v>50862.65</v>
          </cell>
          <cell r="AC262"/>
          <cell r="AD262">
            <v>49972.24</v>
          </cell>
          <cell r="AE262"/>
          <cell r="AF262">
            <v>52784.2</v>
          </cell>
          <cell r="AG262"/>
          <cell r="AH262">
            <v>432478.71</v>
          </cell>
        </row>
        <row r="263">
          <cell r="D263"/>
          <cell r="E263"/>
          <cell r="F263"/>
          <cell r="G263"/>
          <cell r="J263"/>
          <cell r="K263"/>
          <cell r="L263"/>
          <cell r="M263"/>
          <cell r="N263"/>
          <cell r="O263"/>
          <cell r="P263"/>
          <cell r="Q263"/>
          <cell r="R263"/>
          <cell r="S263"/>
          <cell r="T263"/>
          <cell r="U263"/>
          <cell r="V263"/>
          <cell r="W263"/>
          <cell r="X263"/>
          <cell r="Y263"/>
          <cell r="Z263"/>
          <cell r="AA263"/>
          <cell r="AB263"/>
          <cell r="AC263"/>
          <cell r="AD263"/>
          <cell r="AE263"/>
          <cell r="AF263"/>
          <cell r="AG263"/>
          <cell r="AH263"/>
        </row>
        <row r="264">
          <cell r="F264" t="str">
            <v>Corp Overhead</v>
          </cell>
          <cell r="J264">
            <v>30102.26</v>
          </cell>
          <cell r="K264"/>
          <cell r="L264">
            <v>30230.89</v>
          </cell>
          <cell r="M264"/>
          <cell r="N264">
            <v>31623.759999999998</v>
          </cell>
          <cell r="O264"/>
          <cell r="P264">
            <v>31565.32</v>
          </cell>
          <cell r="Q264"/>
          <cell r="R264">
            <v>32234.27</v>
          </cell>
          <cell r="S264"/>
          <cell r="T264">
            <v>32063.55</v>
          </cell>
          <cell r="U264"/>
          <cell r="V264">
            <v>31226.86</v>
          </cell>
          <cell r="W264"/>
          <cell r="X264">
            <v>30003.15</v>
          </cell>
          <cell r="Y264"/>
          <cell r="Z264">
            <v>29809.56</v>
          </cell>
          <cell r="AA264"/>
          <cell r="AB264">
            <v>50862.65</v>
          </cell>
          <cell r="AC264"/>
          <cell r="AD264">
            <v>49972.24</v>
          </cell>
          <cell r="AE264"/>
          <cell r="AF264">
            <v>52784.2</v>
          </cell>
          <cell r="AG264"/>
          <cell r="AH264">
            <v>432478.71</v>
          </cell>
        </row>
        <row r="265">
          <cell r="J265"/>
          <cell r="K265"/>
          <cell r="L265"/>
          <cell r="M265"/>
          <cell r="N265"/>
          <cell r="O265"/>
          <cell r="P265"/>
          <cell r="Q265"/>
          <cell r="R265"/>
          <cell r="S265"/>
          <cell r="T265"/>
          <cell r="U265"/>
          <cell r="V265"/>
          <cell r="W265"/>
          <cell r="X265"/>
          <cell r="Y265"/>
          <cell r="Z265"/>
          <cell r="AA265"/>
          <cell r="AB265"/>
          <cell r="AC265"/>
          <cell r="AD265"/>
          <cell r="AE265"/>
          <cell r="AF265"/>
          <cell r="AG265"/>
          <cell r="AH265"/>
        </row>
        <row r="266">
          <cell r="E266" t="str">
            <v>Total SG&amp;A</v>
          </cell>
          <cell r="J266">
            <v>156612.43</v>
          </cell>
          <cell r="K266"/>
          <cell r="L266">
            <v>179743.55</v>
          </cell>
          <cell r="M266"/>
          <cell r="N266">
            <v>167795.37000000005</v>
          </cell>
          <cell r="O266"/>
          <cell r="P266">
            <v>166721.25000000003</v>
          </cell>
          <cell r="Q266"/>
          <cell r="R266">
            <v>162342.22</v>
          </cell>
          <cell r="S266"/>
          <cell r="T266">
            <v>169380.64999999997</v>
          </cell>
          <cell r="U266"/>
          <cell r="V266">
            <v>174919.11</v>
          </cell>
          <cell r="W266"/>
          <cell r="X266">
            <v>183344.61</v>
          </cell>
          <cell r="Y266"/>
          <cell r="Z266">
            <v>158946.82000000007</v>
          </cell>
          <cell r="AA266"/>
          <cell r="AB266">
            <v>192962.22000000003</v>
          </cell>
          <cell r="AC266"/>
          <cell r="AD266">
            <v>186262.34999999995</v>
          </cell>
          <cell r="AE266"/>
          <cell r="AF266">
            <v>174951.28999999998</v>
          </cell>
          <cell r="AG266"/>
          <cell r="AH266">
            <v>2073981.8699999996</v>
          </cell>
        </row>
        <row r="267">
          <cell r="J267"/>
          <cell r="K267"/>
          <cell r="L267"/>
          <cell r="M267"/>
          <cell r="N267"/>
          <cell r="O267"/>
          <cell r="P267"/>
          <cell r="Q267"/>
          <cell r="R267"/>
          <cell r="S267"/>
          <cell r="T267"/>
          <cell r="U267"/>
          <cell r="V267"/>
          <cell r="W267"/>
          <cell r="X267"/>
          <cell r="Y267"/>
          <cell r="Z267"/>
          <cell r="AA267"/>
          <cell r="AB267"/>
          <cell r="AC267"/>
          <cell r="AD267"/>
          <cell r="AE267"/>
          <cell r="AF267"/>
          <cell r="AG267"/>
          <cell r="AH267"/>
        </row>
        <row r="268">
          <cell r="D268"/>
          <cell r="E268"/>
          <cell r="F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row>
        <row r="269">
          <cell r="E269" t="str">
            <v>EBITDA</v>
          </cell>
          <cell r="F269"/>
          <cell r="G269"/>
          <cell r="H269"/>
          <cell r="I269"/>
          <cell r="J269">
            <v>132630.78999999986</v>
          </cell>
          <cell r="K269"/>
          <cell r="L269">
            <v>241775.46999999968</v>
          </cell>
          <cell r="M269"/>
          <cell r="N269">
            <v>292414.4200000001</v>
          </cell>
          <cell r="O269"/>
          <cell r="P269">
            <v>304562.15000000049</v>
          </cell>
          <cell r="Q269"/>
          <cell r="R269">
            <v>259931.47999999995</v>
          </cell>
          <cell r="S269"/>
          <cell r="T269">
            <v>229490.04999999964</v>
          </cell>
          <cell r="U269"/>
          <cell r="V269">
            <v>377064.93000000028</v>
          </cell>
          <cell r="W269"/>
          <cell r="X269">
            <v>273107.37</v>
          </cell>
          <cell r="Y269"/>
          <cell r="Z269">
            <v>178234.44000000006</v>
          </cell>
          <cell r="AA269"/>
          <cell r="AB269">
            <v>244107.16999999998</v>
          </cell>
          <cell r="AC269"/>
          <cell r="AD269">
            <v>355220.41999999993</v>
          </cell>
          <cell r="AE269"/>
          <cell r="AF269">
            <v>268849.71000000025</v>
          </cell>
          <cell r="AG269"/>
          <cell r="AH269">
            <v>3157388.4000000018</v>
          </cell>
        </row>
        <row r="270">
          <cell r="D270"/>
          <cell r="E270"/>
          <cell r="F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row>
        <row r="271">
          <cell r="E271" t="str">
            <v>Watch list EBITDA</v>
          </cell>
          <cell r="F271"/>
          <cell r="G271"/>
          <cell r="H271"/>
          <cell r="I271"/>
          <cell r="J271">
            <v>189970.96999999986</v>
          </cell>
          <cell r="K271"/>
          <cell r="L271">
            <v>357639.16999999963</v>
          </cell>
          <cell r="M271"/>
          <cell r="N271">
            <v>412576.04000000015</v>
          </cell>
          <cell r="O271"/>
          <cell r="P271">
            <v>396232.98000000051</v>
          </cell>
          <cell r="Q271"/>
          <cell r="R271">
            <v>388444.01</v>
          </cell>
          <cell r="S271"/>
          <cell r="T271">
            <v>361780.26999999967</v>
          </cell>
          <cell r="U271"/>
          <cell r="V271">
            <v>441027.10000000027</v>
          </cell>
          <cell r="W271"/>
          <cell r="X271">
            <v>373693.17</v>
          </cell>
          <cell r="Y271"/>
          <cell r="Z271">
            <v>310565.88000000006</v>
          </cell>
          <cell r="AA271"/>
          <cell r="AB271">
            <v>349689.74</v>
          </cell>
          <cell r="AC271"/>
          <cell r="AD271">
            <v>448469.68999999994</v>
          </cell>
          <cell r="AE271"/>
          <cell r="AF271">
            <v>369699.77000000025</v>
          </cell>
          <cell r="AG271"/>
          <cell r="AH271">
            <v>4399788.7900000019</v>
          </cell>
        </row>
        <row r="272">
          <cell r="J272"/>
          <cell r="K272"/>
          <cell r="L272"/>
          <cell r="M272"/>
          <cell r="N272"/>
          <cell r="O272"/>
          <cell r="P272"/>
          <cell r="Q272"/>
          <cell r="R272"/>
          <cell r="S272"/>
          <cell r="T272"/>
          <cell r="U272"/>
          <cell r="V272"/>
          <cell r="W272"/>
          <cell r="X272"/>
          <cell r="Y272"/>
          <cell r="Z272"/>
          <cell r="AA272"/>
          <cell r="AB272"/>
          <cell r="AC272"/>
          <cell r="AD272"/>
          <cell r="AE272"/>
          <cell r="AF272"/>
          <cell r="AG272"/>
          <cell r="AH272"/>
        </row>
        <row r="273">
          <cell r="D273">
            <v>51260</v>
          </cell>
          <cell r="E273" t="str">
            <v>Depreciation</v>
          </cell>
          <cell r="F273"/>
          <cell r="G273"/>
          <cell r="H273"/>
          <cell r="I273"/>
          <cell r="J273">
            <v>74117.63</v>
          </cell>
          <cell r="K273"/>
          <cell r="L273">
            <v>80115.149999999994</v>
          </cell>
          <cell r="M273"/>
          <cell r="N273">
            <v>77285.63</v>
          </cell>
          <cell r="O273"/>
          <cell r="P273">
            <v>76431.08</v>
          </cell>
          <cell r="Q273"/>
          <cell r="R273">
            <v>78048.75</v>
          </cell>
          <cell r="S273"/>
          <cell r="T273">
            <v>82681.399999999994</v>
          </cell>
          <cell r="U273"/>
          <cell r="V273">
            <v>82633.69</v>
          </cell>
          <cell r="W273"/>
          <cell r="X273">
            <v>82715.199999999997</v>
          </cell>
          <cell r="Y273"/>
          <cell r="Z273">
            <v>82544.05</v>
          </cell>
          <cell r="AA273"/>
          <cell r="AB273">
            <v>82553.81</v>
          </cell>
          <cell r="AC273"/>
          <cell r="AD273">
            <v>82553.820000000007</v>
          </cell>
          <cell r="AE273"/>
          <cell r="AF273">
            <v>82553.84</v>
          </cell>
          <cell r="AG273"/>
          <cell r="AH273">
            <v>964234.05</v>
          </cell>
        </row>
        <row r="274">
          <cell r="D274">
            <v>54260</v>
          </cell>
          <cell r="E274" t="str">
            <v>Depreciation</v>
          </cell>
          <cell r="F274"/>
          <cell r="G274"/>
          <cell r="H274"/>
          <cell r="I274"/>
          <cell r="J274">
            <v>20294.43</v>
          </cell>
          <cell r="K274"/>
          <cell r="L274">
            <v>20546.990000000002</v>
          </cell>
          <cell r="M274"/>
          <cell r="N274">
            <v>21919.15</v>
          </cell>
          <cell r="O274"/>
          <cell r="P274">
            <v>21836.97</v>
          </cell>
          <cell r="Q274"/>
          <cell r="R274">
            <v>21837.22</v>
          </cell>
          <cell r="S274"/>
          <cell r="T274">
            <v>21837.51</v>
          </cell>
          <cell r="U274"/>
          <cell r="V274">
            <v>21837.17</v>
          </cell>
          <cell r="W274"/>
          <cell r="X274">
            <v>22041.85</v>
          </cell>
          <cell r="Y274"/>
          <cell r="Z274">
            <v>23219.200000000001</v>
          </cell>
          <cell r="AA274"/>
          <cell r="AB274">
            <v>22630.7</v>
          </cell>
          <cell r="AC274"/>
          <cell r="AD274">
            <v>22856.49</v>
          </cell>
          <cell r="AE274"/>
          <cell r="AF274">
            <v>23399.53</v>
          </cell>
          <cell r="AG274"/>
          <cell r="AH274">
            <v>264257.21000000002</v>
          </cell>
        </row>
        <row r="275">
          <cell r="D275">
            <v>57260</v>
          </cell>
          <cell r="E275" t="str">
            <v>Depreciation</v>
          </cell>
          <cell r="F275"/>
          <cell r="G275"/>
          <cell r="H275"/>
          <cell r="I275"/>
          <cell r="J275">
            <v>7902.69</v>
          </cell>
          <cell r="K275"/>
          <cell r="L275">
            <v>7902.71</v>
          </cell>
          <cell r="M275"/>
          <cell r="N275">
            <v>7902.75</v>
          </cell>
          <cell r="O275"/>
          <cell r="P275">
            <v>7840.56</v>
          </cell>
          <cell r="Q275"/>
          <cell r="R275">
            <v>7840.59</v>
          </cell>
          <cell r="S275"/>
          <cell r="T275">
            <v>7840.62</v>
          </cell>
          <cell r="U275"/>
          <cell r="V275">
            <v>7840.57</v>
          </cell>
          <cell r="W275"/>
          <cell r="X275">
            <v>7840.63</v>
          </cell>
          <cell r="Y275"/>
          <cell r="Z275">
            <v>7840.59</v>
          </cell>
          <cell r="AA275"/>
          <cell r="AB275">
            <v>7801.99</v>
          </cell>
          <cell r="AC275"/>
          <cell r="AD275">
            <v>7802.07</v>
          </cell>
          <cell r="AE275"/>
          <cell r="AF275">
            <v>7802.01</v>
          </cell>
          <cell r="AG275"/>
          <cell r="AH275">
            <v>94157.780000000013</v>
          </cell>
        </row>
        <row r="276">
          <cell r="D276">
            <v>70260</v>
          </cell>
          <cell r="E276" t="str">
            <v>Depreciation</v>
          </cell>
          <cell r="F276"/>
          <cell r="G276"/>
          <cell r="H276"/>
          <cell r="I276"/>
          <cell r="J276">
            <v>210.35</v>
          </cell>
          <cell r="K276"/>
          <cell r="L276">
            <v>210.33</v>
          </cell>
          <cell r="M276"/>
          <cell r="N276">
            <v>245.15</v>
          </cell>
          <cell r="O276"/>
          <cell r="P276">
            <v>245.11</v>
          </cell>
          <cell r="Q276"/>
          <cell r="R276">
            <v>245.11</v>
          </cell>
          <cell r="S276"/>
          <cell r="T276">
            <v>245.15</v>
          </cell>
          <cell r="U276"/>
          <cell r="V276">
            <v>320.56</v>
          </cell>
          <cell r="W276"/>
          <cell r="X276">
            <v>294.64999999999998</v>
          </cell>
          <cell r="Y276"/>
          <cell r="Z276">
            <v>267.67</v>
          </cell>
          <cell r="AA276"/>
          <cell r="AB276">
            <v>231.73</v>
          </cell>
          <cell r="AC276"/>
          <cell r="AD276">
            <v>192.43</v>
          </cell>
          <cell r="AE276"/>
          <cell r="AF276">
            <v>192.44</v>
          </cell>
          <cell r="AG276"/>
          <cell r="AH276">
            <v>2900.6800000000003</v>
          </cell>
        </row>
        <row r="277">
          <cell r="D277"/>
          <cell r="E277"/>
          <cell r="F277"/>
          <cell r="G277"/>
          <cell r="J277"/>
          <cell r="K277"/>
          <cell r="L277"/>
          <cell r="M277"/>
          <cell r="N277"/>
          <cell r="O277"/>
          <cell r="P277"/>
          <cell r="Q277"/>
          <cell r="R277"/>
          <cell r="S277"/>
          <cell r="T277"/>
          <cell r="U277"/>
          <cell r="V277"/>
          <cell r="W277"/>
          <cell r="X277"/>
          <cell r="Y277"/>
          <cell r="Z277"/>
          <cell r="AA277"/>
          <cell r="AB277"/>
          <cell r="AC277"/>
          <cell r="AD277"/>
          <cell r="AE277"/>
          <cell r="AF277"/>
          <cell r="AG277"/>
          <cell r="AH277"/>
        </row>
        <row r="278">
          <cell r="F278" t="str">
            <v>Depreciation</v>
          </cell>
          <cell r="J278">
            <v>102525.1</v>
          </cell>
          <cell r="K278"/>
          <cell r="L278">
            <v>108775.18000000001</v>
          </cell>
          <cell r="M278"/>
          <cell r="N278">
            <v>107352.68</v>
          </cell>
          <cell r="O278">
            <v>0</v>
          </cell>
          <cell r="P278">
            <v>106353.72</v>
          </cell>
          <cell r="Q278"/>
          <cell r="R278">
            <v>107971.67</v>
          </cell>
          <cell r="S278"/>
          <cell r="T278">
            <v>112604.67999999998</v>
          </cell>
          <cell r="U278">
            <v>0</v>
          </cell>
          <cell r="V278">
            <v>112631.98999999999</v>
          </cell>
          <cell r="W278"/>
          <cell r="X278">
            <v>112892.32999999999</v>
          </cell>
          <cell r="Y278"/>
          <cell r="Z278">
            <v>113871.51</v>
          </cell>
          <cell r="AA278">
            <v>0</v>
          </cell>
          <cell r="AB278">
            <v>113218.23</v>
          </cell>
          <cell r="AC278"/>
          <cell r="AD278">
            <v>113404.81</v>
          </cell>
          <cell r="AE278"/>
          <cell r="AF278">
            <v>113947.81999999999</v>
          </cell>
          <cell r="AG278">
            <v>0</v>
          </cell>
          <cell r="AH278">
            <v>1325549.7200000002</v>
          </cell>
        </row>
        <row r="279">
          <cell r="F279"/>
          <cell r="J279"/>
          <cell r="K279"/>
          <cell r="L279"/>
          <cell r="M279"/>
          <cell r="N279"/>
          <cell r="O279"/>
          <cell r="P279"/>
          <cell r="Q279"/>
          <cell r="R279"/>
          <cell r="S279"/>
          <cell r="T279"/>
          <cell r="U279"/>
          <cell r="V279"/>
          <cell r="W279"/>
          <cell r="X279"/>
          <cell r="Y279"/>
          <cell r="Z279"/>
          <cell r="AA279"/>
          <cell r="AB279"/>
          <cell r="AC279"/>
          <cell r="AD279"/>
          <cell r="AE279"/>
          <cell r="AF279"/>
          <cell r="AG279"/>
          <cell r="AH279"/>
        </row>
        <row r="280">
          <cell r="D280"/>
          <cell r="E280"/>
          <cell r="F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cell r="AF280"/>
          <cell r="AG280"/>
          <cell r="AH280">
            <v>0</v>
          </cell>
        </row>
        <row r="281">
          <cell r="D281"/>
          <cell r="E281"/>
          <cell r="F281"/>
          <cell r="G281"/>
          <cell r="J281"/>
          <cell r="K281"/>
          <cell r="L281"/>
          <cell r="M281"/>
          <cell r="N281"/>
          <cell r="O281"/>
          <cell r="P281"/>
          <cell r="Q281"/>
          <cell r="R281"/>
          <cell r="S281"/>
          <cell r="T281"/>
          <cell r="U281"/>
          <cell r="V281"/>
          <cell r="W281"/>
          <cell r="X281"/>
          <cell r="Y281"/>
          <cell r="Z281"/>
          <cell r="AA281"/>
          <cell r="AB281"/>
          <cell r="AC281"/>
          <cell r="AD281"/>
          <cell r="AE281"/>
          <cell r="AF281"/>
          <cell r="AG281"/>
          <cell r="AH281"/>
        </row>
        <row r="282">
          <cell r="F282" t="str">
            <v>Airspace Amort</v>
          </cell>
          <cell r="J282">
            <v>0</v>
          </cell>
          <cell r="K282"/>
          <cell r="L282">
            <v>0</v>
          </cell>
          <cell r="M282"/>
          <cell r="N282">
            <v>0</v>
          </cell>
          <cell r="O282">
            <v>0</v>
          </cell>
          <cell r="P282">
            <v>0</v>
          </cell>
          <cell r="Q282"/>
          <cell r="R282">
            <v>0</v>
          </cell>
          <cell r="S282"/>
          <cell r="T282">
            <v>0</v>
          </cell>
          <cell r="U282">
            <v>0</v>
          </cell>
          <cell r="V282">
            <v>0</v>
          </cell>
          <cell r="W282"/>
          <cell r="X282">
            <v>0</v>
          </cell>
          <cell r="Y282"/>
          <cell r="Z282">
            <v>0</v>
          </cell>
          <cell r="AA282">
            <v>0</v>
          </cell>
          <cell r="AB282">
            <v>0</v>
          </cell>
          <cell r="AC282"/>
          <cell r="AD282">
            <v>0</v>
          </cell>
          <cell r="AE282"/>
          <cell r="AF282">
            <v>0</v>
          </cell>
          <cell r="AG282">
            <v>0</v>
          </cell>
          <cell r="AH282">
            <v>0</v>
          </cell>
        </row>
        <row r="283">
          <cell r="J283"/>
          <cell r="K283"/>
          <cell r="L283"/>
          <cell r="M283"/>
          <cell r="N283"/>
          <cell r="O283"/>
          <cell r="P283"/>
          <cell r="Q283"/>
          <cell r="R283"/>
          <cell r="S283"/>
          <cell r="T283"/>
          <cell r="U283"/>
          <cell r="V283"/>
          <cell r="W283"/>
          <cell r="X283"/>
          <cell r="Y283"/>
          <cell r="Z283"/>
          <cell r="AA283"/>
          <cell r="AB283"/>
          <cell r="AC283"/>
          <cell r="AD283"/>
          <cell r="AE283"/>
          <cell r="AF283"/>
          <cell r="AG283"/>
          <cell r="AH283"/>
        </row>
        <row r="284">
          <cell r="D284">
            <v>70269</v>
          </cell>
          <cell r="E284" t="str">
            <v>Long Term Contract Amort</v>
          </cell>
          <cell r="F284"/>
          <cell r="G284"/>
          <cell r="H284"/>
          <cell r="I284"/>
          <cell r="J284">
            <v>6852.7</v>
          </cell>
          <cell r="K284"/>
          <cell r="L284">
            <v>6852.69</v>
          </cell>
          <cell r="M284"/>
          <cell r="N284">
            <v>6852.7</v>
          </cell>
          <cell r="O284"/>
          <cell r="P284">
            <v>6852.7</v>
          </cell>
          <cell r="Q284"/>
          <cell r="R284">
            <v>6852.69</v>
          </cell>
          <cell r="S284"/>
          <cell r="T284">
            <v>6852.71</v>
          </cell>
          <cell r="U284"/>
          <cell r="V284">
            <v>6852.7</v>
          </cell>
          <cell r="W284"/>
          <cell r="X284">
            <v>6852.69</v>
          </cell>
          <cell r="Y284"/>
          <cell r="Z284">
            <v>6852.7</v>
          </cell>
          <cell r="AA284"/>
          <cell r="AB284">
            <v>6852.7</v>
          </cell>
          <cell r="AC284"/>
          <cell r="AD284">
            <v>6852.69</v>
          </cell>
          <cell r="AE284"/>
          <cell r="AF284">
            <v>6852.71</v>
          </cell>
          <cell r="AG284"/>
          <cell r="AH284">
            <v>82232.37999999999</v>
          </cell>
        </row>
        <row r="285">
          <cell r="D285"/>
          <cell r="E285"/>
          <cell r="F285"/>
          <cell r="G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row>
        <row r="286">
          <cell r="F286" t="str">
            <v>Intangible Amort</v>
          </cell>
          <cell r="J286">
            <v>6852.7</v>
          </cell>
          <cell r="K286"/>
          <cell r="L286">
            <v>6852.69</v>
          </cell>
          <cell r="M286"/>
          <cell r="N286">
            <v>6852.7</v>
          </cell>
          <cell r="O286">
            <v>0</v>
          </cell>
          <cell r="P286">
            <v>6852.7</v>
          </cell>
          <cell r="Q286"/>
          <cell r="R286">
            <v>6852.69</v>
          </cell>
          <cell r="S286"/>
          <cell r="T286">
            <v>6852.71</v>
          </cell>
          <cell r="U286">
            <v>0</v>
          </cell>
          <cell r="V286">
            <v>6852.7</v>
          </cell>
          <cell r="W286"/>
          <cell r="X286">
            <v>6852.69</v>
          </cell>
          <cell r="Y286"/>
          <cell r="Z286">
            <v>6852.7</v>
          </cell>
          <cell r="AA286">
            <v>0</v>
          </cell>
          <cell r="AB286">
            <v>6852.7</v>
          </cell>
          <cell r="AC286"/>
          <cell r="AD286">
            <v>6852.69</v>
          </cell>
          <cell r="AE286"/>
          <cell r="AF286">
            <v>6852.71</v>
          </cell>
          <cell r="AG286">
            <v>0</v>
          </cell>
          <cell r="AH286">
            <v>82232.38</v>
          </cell>
        </row>
        <row r="287">
          <cell r="J287"/>
          <cell r="K287"/>
          <cell r="L287"/>
          <cell r="M287"/>
          <cell r="N287"/>
          <cell r="O287"/>
          <cell r="P287"/>
          <cell r="Q287"/>
          <cell r="R287"/>
          <cell r="S287"/>
          <cell r="T287"/>
          <cell r="U287"/>
          <cell r="V287"/>
          <cell r="W287"/>
          <cell r="X287"/>
          <cell r="Y287"/>
          <cell r="Z287"/>
          <cell r="AA287"/>
          <cell r="AB287"/>
          <cell r="AC287"/>
          <cell r="AD287"/>
          <cell r="AE287"/>
          <cell r="AF287"/>
          <cell r="AG287"/>
          <cell r="AH287"/>
        </row>
        <row r="288">
          <cell r="E288" t="str">
            <v>Total DDA</v>
          </cell>
          <cell r="J288">
            <v>109377.8</v>
          </cell>
          <cell r="K288"/>
          <cell r="L288">
            <v>115627.87000000001</v>
          </cell>
          <cell r="M288"/>
          <cell r="N288">
            <v>114205.37999999999</v>
          </cell>
          <cell r="O288">
            <v>0</v>
          </cell>
          <cell r="P288">
            <v>113206.42</v>
          </cell>
          <cell r="Q288"/>
          <cell r="R288">
            <v>114824.36</v>
          </cell>
          <cell r="S288"/>
          <cell r="T288">
            <v>119457.38999999998</v>
          </cell>
          <cell r="U288">
            <v>0</v>
          </cell>
          <cell r="V288">
            <v>119484.68999999999</v>
          </cell>
          <cell r="W288"/>
          <cell r="X288">
            <v>119745.01999999999</v>
          </cell>
          <cell r="Y288"/>
          <cell r="Z288">
            <v>120724.20999999999</v>
          </cell>
          <cell r="AA288">
            <v>0</v>
          </cell>
          <cell r="AB288">
            <v>120070.93</v>
          </cell>
          <cell r="AC288"/>
          <cell r="AD288">
            <v>120257.5</v>
          </cell>
          <cell r="AE288"/>
          <cell r="AF288">
            <v>120800.53</v>
          </cell>
          <cell r="AG288">
            <v>0</v>
          </cell>
          <cell r="AH288">
            <v>1407782.1</v>
          </cell>
        </row>
        <row r="289">
          <cell r="J289"/>
          <cell r="K289"/>
          <cell r="L289"/>
          <cell r="M289"/>
          <cell r="N289"/>
          <cell r="O289"/>
          <cell r="P289"/>
          <cell r="Q289"/>
          <cell r="R289"/>
          <cell r="S289"/>
          <cell r="T289"/>
          <cell r="U289"/>
          <cell r="V289"/>
          <cell r="W289"/>
          <cell r="X289"/>
          <cell r="Y289"/>
          <cell r="Z289"/>
          <cell r="AA289"/>
          <cell r="AB289"/>
          <cell r="AC289"/>
          <cell r="AD289"/>
          <cell r="AE289"/>
          <cell r="AF289"/>
          <cell r="AG289"/>
          <cell r="AH289"/>
        </row>
        <row r="290">
          <cell r="E290" t="str">
            <v>EBIT From Ops</v>
          </cell>
          <cell r="J290">
            <v>23252.98999999986</v>
          </cell>
          <cell r="K290"/>
          <cell r="L290">
            <v>126147.59999999967</v>
          </cell>
          <cell r="M290"/>
          <cell r="N290">
            <v>178209.0400000001</v>
          </cell>
          <cell r="O290">
            <v>0</v>
          </cell>
          <cell r="P290">
            <v>191355.73000000051</v>
          </cell>
          <cell r="Q290"/>
          <cell r="R290">
            <v>145107.11999999994</v>
          </cell>
          <cell r="S290"/>
          <cell r="T290">
            <v>110032.65999999965</v>
          </cell>
          <cell r="U290">
            <v>0</v>
          </cell>
          <cell r="V290">
            <v>257580.24000000028</v>
          </cell>
          <cell r="W290"/>
          <cell r="X290">
            <v>153362.35</v>
          </cell>
          <cell r="Y290"/>
          <cell r="Z290">
            <v>57510.230000000069</v>
          </cell>
          <cell r="AA290">
            <v>0</v>
          </cell>
          <cell r="AB290">
            <v>124036.23999999999</v>
          </cell>
          <cell r="AC290"/>
          <cell r="AD290">
            <v>234962.91999999993</v>
          </cell>
          <cell r="AE290"/>
          <cell r="AF290">
            <v>148049.18000000025</v>
          </cell>
          <cell r="AG290">
            <v>0</v>
          </cell>
          <cell r="AH290">
            <v>1749606.3000000017</v>
          </cell>
        </row>
        <row r="291">
          <cell r="J291"/>
          <cell r="K291"/>
          <cell r="L291"/>
          <cell r="M291"/>
          <cell r="N291"/>
          <cell r="O291"/>
          <cell r="P291"/>
          <cell r="Q291"/>
          <cell r="R291"/>
          <cell r="S291"/>
          <cell r="T291"/>
          <cell r="U291"/>
          <cell r="V291"/>
          <cell r="W291"/>
          <cell r="X291"/>
          <cell r="Y291"/>
          <cell r="Z291"/>
          <cell r="AA291"/>
          <cell r="AB291"/>
          <cell r="AC291"/>
          <cell r="AD291"/>
          <cell r="AE291"/>
          <cell r="AF291"/>
          <cell r="AG291"/>
          <cell r="AH291"/>
        </row>
        <row r="292">
          <cell r="D292"/>
          <cell r="E292"/>
          <cell r="F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cell r="AF292"/>
          <cell r="AG292"/>
          <cell r="AH292">
            <v>0</v>
          </cell>
        </row>
        <row r="293">
          <cell r="D293"/>
          <cell r="E293"/>
          <cell r="F293"/>
          <cell r="G293"/>
          <cell r="J293"/>
          <cell r="K293"/>
          <cell r="L293"/>
          <cell r="M293"/>
          <cell r="N293"/>
          <cell r="O293"/>
          <cell r="P293"/>
          <cell r="Q293"/>
          <cell r="R293"/>
          <cell r="S293"/>
          <cell r="T293"/>
          <cell r="U293"/>
          <cell r="V293"/>
          <cell r="W293"/>
          <cell r="X293"/>
          <cell r="Y293"/>
          <cell r="Z293"/>
          <cell r="AA293"/>
          <cell r="AB293"/>
          <cell r="AC293"/>
          <cell r="AD293"/>
          <cell r="AE293"/>
          <cell r="AF293"/>
          <cell r="AG293"/>
          <cell r="AH293"/>
        </row>
        <row r="294">
          <cell r="F294" t="str">
            <v>Interest Exp</v>
          </cell>
          <cell r="J294">
            <v>0</v>
          </cell>
          <cell r="K294"/>
          <cell r="L294">
            <v>0</v>
          </cell>
          <cell r="M294"/>
          <cell r="N294">
            <v>0</v>
          </cell>
          <cell r="O294">
            <v>0</v>
          </cell>
          <cell r="P294">
            <v>0</v>
          </cell>
          <cell r="Q294"/>
          <cell r="R294">
            <v>0</v>
          </cell>
          <cell r="S294"/>
          <cell r="T294">
            <v>0</v>
          </cell>
          <cell r="U294">
            <v>0</v>
          </cell>
          <cell r="V294">
            <v>0</v>
          </cell>
          <cell r="W294"/>
          <cell r="X294">
            <v>0</v>
          </cell>
          <cell r="Y294"/>
          <cell r="Z294">
            <v>0</v>
          </cell>
          <cell r="AA294">
            <v>0</v>
          </cell>
          <cell r="AB294">
            <v>0</v>
          </cell>
          <cell r="AC294"/>
          <cell r="AD294">
            <v>0</v>
          </cell>
          <cell r="AE294"/>
          <cell r="AF294">
            <v>0</v>
          </cell>
          <cell r="AG294">
            <v>0</v>
          </cell>
          <cell r="AH294">
            <v>0</v>
          </cell>
        </row>
        <row r="295">
          <cell r="J295"/>
          <cell r="K295"/>
          <cell r="L295"/>
          <cell r="M295"/>
          <cell r="N295"/>
          <cell r="O295"/>
          <cell r="P295"/>
          <cell r="Q295"/>
          <cell r="R295"/>
          <cell r="S295"/>
          <cell r="T295"/>
          <cell r="U295"/>
          <cell r="V295"/>
          <cell r="W295"/>
          <cell r="X295"/>
          <cell r="Y295"/>
          <cell r="Z295"/>
          <cell r="AA295"/>
          <cell r="AB295"/>
          <cell r="AC295"/>
          <cell r="AD295"/>
          <cell r="AE295"/>
          <cell r="AF295"/>
          <cell r="AG295"/>
          <cell r="AH295"/>
        </row>
        <row r="296">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v>0</v>
          </cell>
        </row>
        <row r="297">
          <cell r="D297"/>
          <cell r="E297"/>
          <cell r="F297"/>
          <cell r="G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row>
        <row r="298">
          <cell r="F298" t="str">
            <v>Interest Income</v>
          </cell>
          <cell r="J298">
            <v>0</v>
          </cell>
          <cell r="K298"/>
          <cell r="L298">
            <v>0</v>
          </cell>
          <cell r="M298"/>
          <cell r="N298">
            <v>0</v>
          </cell>
          <cell r="O298">
            <v>0</v>
          </cell>
          <cell r="P298">
            <v>0</v>
          </cell>
          <cell r="Q298"/>
          <cell r="R298">
            <v>0</v>
          </cell>
          <cell r="S298"/>
          <cell r="T298">
            <v>0</v>
          </cell>
          <cell r="U298">
            <v>0</v>
          </cell>
          <cell r="V298">
            <v>0</v>
          </cell>
          <cell r="W298"/>
          <cell r="X298">
            <v>0</v>
          </cell>
          <cell r="Y298"/>
          <cell r="Z298">
            <v>0</v>
          </cell>
          <cell r="AA298">
            <v>0</v>
          </cell>
          <cell r="AB298">
            <v>0</v>
          </cell>
          <cell r="AC298"/>
          <cell r="AD298">
            <v>0</v>
          </cell>
          <cell r="AE298"/>
          <cell r="AF298">
            <v>0</v>
          </cell>
          <cell r="AG298">
            <v>0</v>
          </cell>
          <cell r="AH298">
            <v>0</v>
          </cell>
        </row>
        <row r="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row>
        <row r="300">
          <cell r="D300"/>
          <cell r="E300"/>
          <cell r="F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cell r="AF300"/>
          <cell r="AG300"/>
          <cell r="AH300">
            <v>0</v>
          </cell>
        </row>
        <row r="301">
          <cell r="D301"/>
          <cell r="E301"/>
          <cell r="F301"/>
          <cell r="G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row>
        <row r="302">
          <cell r="F302" t="str">
            <v>Other Inc/Exp</v>
          </cell>
          <cell r="J302">
            <v>0</v>
          </cell>
          <cell r="K302"/>
          <cell r="L302">
            <v>0</v>
          </cell>
          <cell r="M302"/>
          <cell r="N302">
            <v>0</v>
          </cell>
          <cell r="O302">
            <v>0</v>
          </cell>
          <cell r="P302">
            <v>0</v>
          </cell>
          <cell r="Q302"/>
          <cell r="R302">
            <v>0</v>
          </cell>
          <cell r="S302"/>
          <cell r="T302">
            <v>0</v>
          </cell>
          <cell r="U302">
            <v>0</v>
          </cell>
          <cell r="V302">
            <v>0</v>
          </cell>
          <cell r="W302"/>
          <cell r="X302">
            <v>0</v>
          </cell>
          <cell r="Y302"/>
          <cell r="Z302">
            <v>0</v>
          </cell>
          <cell r="AA302">
            <v>0</v>
          </cell>
          <cell r="AB302">
            <v>0</v>
          </cell>
          <cell r="AC302"/>
          <cell r="AD302">
            <v>0</v>
          </cell>
          <cell r="AE302"/>
          <cell r="AF302">
            <v>0</v>
          </cell>
          <cell r="AG302">
            <v>0</v>
          </cell>
          <cell r="AH302">
            <v>0</v>
          </cell>
        </row>
        <row r="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row>
        <row r="304">
          <cell r="E304" t="str">
            <v>NI b/ Taxes &amp; Extra</v>
          </cell>
          <cell r="J304">
            <v>23252.98999999986</v>
          </cell>
          <cell r="K304"/>
          <cell r="L304">
            <v>126147.59999999967</v>
          </cell>
          <cell r="M304"/>
          <cell r="N304">
            <v>178209.0400000001</v>
          </cell>
          <cell r="O304">
            <v>0</v>
          </cell>
          <cell r="P304">
            <v>191355.73000000051</v>
          </cell>
          <cell r="Q304"/>
          <cell r="R304">
            <v>145107.11999999994</v>
          </cell>
          <cell r="S304"/>
          <cell r="T304">
            <v>110032.65999999965</v>
          </cell>
          <cell r="U304">
            <v>0</v>
          </cell>
          <cell r="V304">
            <v>257580.24000000028</v>
          </cell>
          <cell r="W304"/>
          <cell r="X304">
            <v>153362.35</v>
          </cell>
          <cell r="Y304"/>
          <cell r="Z304">
            <v>57510.230000000069</v>
          </cell>
          <cell r="AA304">
            <v>0</v>
          </cell>
          <cell r="AB304">
            <v>124036.23999999999</v>
          </cell>
          <cell r="AC304"/>
          <cell r="AD304">
            <v>234962.91999999993</v>
          </cell>
          <cell r="AE304"/>
          <cell r="AF304">
            <v>148049.18000000025</v>
          </cell>
          <cell r="AG304">
            <v>0</v>
          </cell>
          <cell r="AH304">
            <v>1749606.3000000017</v>
          </cell>
        </row>
        <row r="305">
          <cell r="J305"/>
          <cell r="K305"/>
          <cell r="L305"/>
          <cell r="M305"/>
          <cell r="N305"/>
          <cell r="O305"/>
          <cell r="P305"/>
          <cell r="Q305"/>
          <cell r="R305"/>
          <cell r="S305"/>
          <cell r="T305"/>
          <cell r="U305"/>
          <cell r="V305"/>
          <cell r="W305"/>
          <cell r="X305"/>
          <cell r="Y305"/>
          <cell r="Z305"/>
          <cell r="AA305"/>
          <cell r="AB305"/>
          <cell r="AC305"/>
          <cell r="AD305"/>
          <cell r="AE305"/>
          <cell r="AF305"/>
          <cell r="AG305"/>
          <cell r="AH305"/>
        </row>
        <row r="306">
          <cell r="D306"/>
          <cell r="E306"/>
          <cell r="F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cell r="AF306"/>
          <cell r="AG306"/>
          <cell r="AH306">
            <v>0</v>
          </cell>
        </row>
        <row r="307">
          <cell r="D307"/>
          <cell r="E307"/>
          <cell r="F307"/>
          <cell r="G307"/>
          <cell r="J307"/>
          <cell r="K307"/>
          <cell r="L307"/>
          <cell r="M307"/>
          <cell r="N307"/>
          <cell r="O307"/>
          <cell r="P307"/>
          <cell r="Q307"/>
          <cell r="R307"/>
          <cell r="S307"/>
          <cell r="T307"/>
          <cell r="U307"/>
          <cell r="V307"/>
          <cell r="W307"/>
          <cell r="X307"/>
          <cell r="Y307"/>
          <cell r="Z307"/>
          <cell r="AA307"/>
          <cell r="AB307"/>
          <cell r="AC307"/>
          <cell r="AD307"/>
          <cell r="AE307"/>
          <cell r="AF307"/>
          <cell r="AG307"/>
          <cell r="AH307"/>
        </row>
        <row r="308">
          <cell r="F308" t="str">
            <v>Extra. Items</v>
          </cell>
          <cell r="J308">
            <v>0</v>
          </cell>
          <cell r="K308"/>
          <cell r="L308">
            <v>0</v>
          </cell>
          <cell r="M308"/>
          <cell r="N308">
            <v>0</v>
          </cell>
          <cell r="O308">
            <v>0</v>
          </cell>
          <cell r="P308">
            <v>0</v>
          </cell>
          <cell r="Q308"/>
          <cell r="R308">
            <v>0</v>
          </cell>
          <cell r="S308"/>
          <cell r="T308">
            <v>0</v>
          </cell>
          <cell r="U308">
            <v>0</v>
          </cell>
          <cell r="V308">
            <v>0</v>
          </cell>
          <cell r="W308"/>
          <cell r="X308">
            <v>0</v>
          </cell>
          <cell r="Y308"/>
          <cell r="Z308">
            <v>0</v>
          </cell>
          <cell r="AA308">
            <v>0</v>
          </cell>
          <cell r="AB308">
            <v>0</v>
          </cell>
          <cell r="AC308"/>
          <cell r="AD308">
            <v>0</v>
          </cell>
          <cell r="AE308"/>
          <cell r="AF308">
            <v>0</v>
          </cell>
          <cell r="AG308">
            <v>0</v>
          </cell>
          <cell r="AH308">
            <v>0</v>
          </cell>
        </row>
        <row r="309">
          <cell r="J309"/>
          <cell r="K309"/>
          <cell r="L309"/>
          <cell r="M309"/>
          <cell r="N309"/>
          <cell r="O309"/>
          <cell r="P309"/>
          <cell r="Q309"/>
          <cell r="R309"/>
          <cell r="S309"/>
          <cell r="T309"/>
          <cell r="U309"/>
          <cell r="V309"/>
          <cell r="W309"/>
          <cell r="X309"/>
          <cell r="Y309"/>
          <cell r="Z309"/>
          <cell r="AA309"/>
          <cell r="AB309"/>
          <cell r="AC309"/>
          <cell r="AD309"/>
          <cell r="AE309"/>
          <cell r="AF309"/>
          <cell r="AG309"/>
          <cell r="AH309"/>
        </row>
        <row r="310">
          <cell r="E310" t="str">
            <v>NI b/ Taxes</v>
          </cell>
          <cell r="J310">
            <v>23252.98999999986</v>
          </cell>
          <cell r="K310"/>
          <cell r="L310">
            <v>126147.59999999967</v>
          </cell>
          <cell r="M310"/>
          <cell r="N310">
            <v>178209.0400000001</v>
          </cell>
          <cell r="O310">
            <v>0</v>
          </cell>
          <cell r="P310">
            <v>191355.73000000051</v>
          </cell>
          <cell r="Q310"/>
          <cell r="R310">
            <v>145107.11999999994</v>
          </cell>
          <cell r="S310"/>
          <cell r="T310">
            <v>110032.65999999965</v>
          </cell>
          <cell r="U310">
            <v>0</v>
          </cell>
          <cell r="V310">
            <v>257580.24000000028</v>
          </cell>
          <cell r="W310"/>
          <cell r="X310">
            <v>153362.35</v>
          </cell>
          <cell r="Y310"/>
          <cell r="Z310">
            <v>57510.230000000069</v>
          </cell>
          <cell r="AA310">
            <v>0</v>
          </cell>
          <cell r="AB310">
            <v>124036.23999999999</v>
          </cell>
          <cell r="AC310"/>
          <cell r="AD310">
            <v>234962.91999999993</v>
          </cell>
          <cell r="AE310"/>
          <cell r="AF310">
            <v>148049.18000000025</v>
          </cell>
          <cell r="AG310">
            <v>0</v>
          </cell>
          <cell r="AH310">
            <v>1749606.3000000017</v>
          </cell>
        </row>
        <row r="311">
          <cell r="J311"/>
          <cell r="K311"/>
          <cell r="L311"/>
          <cell r="M311"/>
          <cell r="N311"/>
          <cell r="O311"/>
          <cell r="P311"/>
          <cell r="Q311"/>
          <cell r="R311"/>
          <cell r="S311"/>
          <cell r="T311"/>
          <cell r="U311"/>
          <cell r="V311"/>
          <cell r="W311"/>
          <cell r="X311"/>
          <cell r="Y311"/>
          <cell r="Z311"/>
          <cell r="AA311"/>
          <cell r="AB311"/>
          <cell r="AC311"/>
          <cell r="AD311"/>
          <cell r="AE311"/>
          <cell r="AF311"/>
          <cell r="AG311"/>
          <cell r="AH311"/>
        </row>
        <row r="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v>0</v>
          </cell>
        </row>
        <row r="313">
          <cell r="D313"/>
          <cell r="E313"/>
          <cell r="F313"/>
          <cell r="G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row>
        <row r="314">
          <cell r="F314" t="str">
            <v>Taxes</v>
          </cell>
          <cell r="J314">
            <v>0</v>
          </cell>
          <cell r="K314"/>
          <cell r="L314">
            <v>0</v>
          </cell>
          <cell r="M314"/>
          <cell r="N314">
            <v>0</v>
          </cell>
          <cell r="O314">
            <v>0</v>
          </cell>
          <cell r="P314">
            <v>0</v>
          </cell>
          <cell r="Q314"/>
          <cell r="R314">
            <v>0</v>
          </cell>
          <cell r="S314"/>
          <cell r="T314">
            <v>0</v>
          </cell>
          <cell r="U314">
            <v>0</v>
          </cell>
          <cell r="V314">
            <v>0</v>
          </cell>
          <cell r="W314"/>
          <cell r="X314">
            <v>0</v>
          </cell>
          <cell r="Y314"/>
          <cell r="Z314">
            <v>0</v>
          </cell>
          <cell r="AA314">
            <v>0</v>
          </cell>
          <cell r="AB314">
            <v>0</v>
          </cell>
          <cell r="AC314"/>
          <cell r="AD314">
            <v>0</v>
          </cell>
          <cell r="AE314"/>
          <cell r="AF314">
            <v>0</v>
          </cell>
          <cell r="AG314">
            <v>0</v>
          </cell>
          <cell r="AH314">
            <v>0</v>
          </cell>
        </row>
        <row r="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row>
        <row r="316">
          <cell r="E316" t="str">
            <v>Net Income</v>
          </cell>
          <cell r="J316">
            <v>23252.98999999986</v>
          </cell>
          <cell r="K316"/>
          <cell r="L316">
            <v>126147.59999999967</v>
          </cell>
          <cell r="M316"/>
          <cell r="N316">
            <v>178209.0400000001</v>
          </cell>
          <cell r="O316">
            <v>0</v>
          </cell>
          <cell r="P316">
            <v>191355.73000000051</v>
          </cell>
          <cell r="Q316"/>
          <cell r="R316">
            <v>145107.11999999994</v>
          </cell>
          <cell r="S316"/>
          <cell r="T316">
            <v>110032.65999999965</v>
          </cell>
          <cell r="U316">
            <v>0</v>
          </cell>
          <cell r="V316">
            <v>257580.24000000028</v>
          </cell>
          <cell r="W316"/>
          <cell r="X316">
            <v>153362.35</v>
          </cell>
          <cell r="Y316"/>
          <cell r="Z316">
            <v>57510.230000000069</v>
          </cell>
          <cell r="AA316">
            <v>0</v>
          </cell>
          <cell r="AB316">
            <v>124036.23999999999</v>
          </cell>
          <cell r="AC316"/>
          <cell r="AD316">
            <v>234962.91999999993</v>
          </cell>
          <cell r="AE316"/>
          <cell r="AF316">
            <v>148049.18000000025</v>
          </cell>
          <cell r="AG316">
            <v>0</v>
          </cell>
          <cell r="AH316">
            <v>1749606.3000000017</v>
          </cell>
        </row>
        <row r="317">
          <cell r="J317"/>
          <cell r="K317"/>
          <cell r="L317"/>
          <cell r="M317"/>
          <cell r="N317"/>
          <cell r="O317"/>
          <cell r="P317"/>
          <cell r="Q317"/>
          <cell r="R317"/>
          <cell r="S317"/>
          <cell r="T317"/>
          <cell r="U317"/>
          <cell r="V317"/>
          <cell r="W317"/>
          <cell r="X317"/>
          <cell r="Y317"/>
          <cell r="Z317"/>
          <cell r="AA317"/>
          <cell r="AB317"/>
          <cell r="AC317"/>
          <cell r="AD317"/>
          <cell r="AE317"/>
          <cell r="AF317"/>
          <cell r="AG317"/>
          <cell r="AH317"/>
        </row>
        <row r="318">
          <cell r="D318"/>
          <cell r="E318"/>
          <cell r="F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cell r="AF318"/>
          <cell r="AG318"/>
          <cell r="AH318">
            <v>0</v>
          </cell>
        </row>
        <row r="319">
          <cell r="D319"/>
          <cell r="E319"/>
          <cell r="F319"/>
          <cell r="G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row>
        <row r="320">
          <cell r="F320" t="str">
            <v>Non Controlling Int</v>
          </cell>
          <cell r="J320">
            <v>0</v>
          </cell>
          <cell r="K320"/>
          <cell r="L320">
            <v>0</v>
          </cell>
          <cell r="M320"/>
          <cell r="N320">
            <v>0</v>
          </cell>
          <cell r="O320">
            <v>0</v>
          </cell>
          <cell r="P320">
            <v>0</v>
          </cell>
          <cell r="Q320"/>
          <cell r="R320">
            <v>0</v>
          </cell>
          <cell r="S320"/>
          <cell r="T320">
            <v>0</v>
          </cell>
          <cell r="U320">
            <v>0</v>
          </cell>
          <cell r="V320">
            <v>0</v>
          </cell>
          <cell r="W320"/>
          <cell r="X320">
            <v>0</v>
          </cell>
          <cell r="Y320"/>
          <cell r="Z320">
            <v>0</v>
          </cell>
          <cell r="AA320">
            <v>0</v>
          </cell>
          <cell r="AB320">
            <v>0</v>
          </cell>
          <cell r="AC320"/>
          <cell r="AD320">
            <v>0</v>
          </cell>
          <cell r="AE320"/>
          <cell r="AF320">
            <v>0</v>
          </cell>
          <cell r="AG320">
            <v>0</v>
          </cell>
          <cell r="AH320">
            <v>0</v>
          </cell>
        </row>
        <row r="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row>
        <row r="322">
          <cell r="E322" t="str">
            <v>Net Income Attrib</v>
          </cell>
          <cell r="J322">
            <v>23252.98999999986</v>
          </cell>
          <cell r="K322"/>
          <cell r="L322">
            <v>126147.59999999967</v>
          </cell>
          <cell r="M322"/>
          <cell r="N322">
            <v>178209.0400000001</v>
          </cell>
          <cell r="O322">
            <v>0</v>
          </cell>
          <cell r="P322">
            <v>191355.73000000051</v>
          </cell>
          <cell r="Q322"/>
          <cell r="R322">
            <v>145107.11999999994</v>
          </cell>
          <cell r="S322"/>
          <cell r="T322">
            <v>110032.65999999965</v>
          </cell>
          <cell r="U322">
            <v>0</v>
          </cell>
          <cell r="V322">
            <v>257580.24000000028</v>
          </cell>
          <cell r="W322"/>
          <cell r="X322">
            <v>153362.35</v>
          </cell>
          <cell r="Y322"/>
          <cell r="Z322">
            <v>57510.230000000069</v>
          </cell>
          <cell r="AA322">
            <v>0</v>
          </cell>
          <cell r="AB322">
            <v>124036.23999999999</v>
          </cell>
          <cell r="AC322"/>
          <cell r="AD322">
            <v>234962.91999999993</v>
          </cell>
          <cell r="AE322"/>
          <cell r="AF322">
            <v>148049.18000000025</v>
          </cell>
          <cell r="AG322">
            <v>0</v>
          </cell>
          <cell r="AH322">
            <v>1749606.3000000017</v>
          </cell>
        </row>
        <row r="323">
          <cell r="D323"/>
          <cell r="E323"/>
          <cell r="F323"/>
          <cell r="G323"/>
          <cell r="H323"/>
          <cell r="I323"/>
          <cell r="K323"/>
          <cell r="M323"/>
          <cell r="O323"/>
          <cell r="Q323"/>
          <cell r="S323"/>
          <cell r="U323"/>
          <cell r="W323"/>
          <cell r="Y323"/>
          <cell r="AA323"/>
          <cell r="AC323"/>
          <cell r="AE323"/>
          <cell r="AG323"/>
        </row>
        <row r="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row>
        <row r="326">
          <cell r="E326" t="str">
            <v>Data Not Included</v>
          </cell>
          <cell r="J326">
            <v>0</v>
          </cell>
          <cell r="K326"/>
          <cell r="L326">
            <v>0</v>
          </cell>
          <cell r="M326"/>
          <cell r="N326">
            <v>0</v>
          </cell>
          <cell r="O326"/>
          <cell r="P326">
            <v>0</v>
          </cell>
          <cell r="Q326"/>
          <cell r="R326">
            <v>0</v>
          </cell>
          <cell r="S326"/>
          <cell r="T326">
            <v>0</v>
          </cell>
          <cell r="U326"/>
          <cell r="V326">
            <v>0</v>
          </cell>
          <cell r="W326"/>
          <cell r="X326">
            <v>0</v>
          </cell>
          <cell r="Y326"/>
          <cell r="Z326">
            <v>0</v>
          </cell>
          <cell r="AA326"/>
          <cell r="AB326">
            <v>0</v>
          </cell>
          <cell r="AC326"/>
          <cell r="AD326">
            <v>0</v>
          </cell>
          <cell r="AE326"/>
          <cell r="AF326">
            <v>0</v>
          </cell>
          <cell r="AG326"/>
          <cell r="AH326">
            <v>0</v>
          </cell>
        </row>
        <row r="327">
          <cell r="J327"/>
          <cell r="K327"/>
          <cell r="L327"/>
          <cell r="M327"/>
          <cell r="N327"/>
          <cell r="O327"/>
          <cell r="P327"/>
          <cell r="Q327"/>
          <cell r="R327"/>
          <cell r="S327"/>
          <cell r="T327"/>
          <cell r="U327"/>
          <cell r="V327"/>
          <cell r="W327"/>
          <cell r="X327"/>
          <cell r="Y327"/>
          <cell r="Z327"/>
          <cell r="AA327"/>
          <cell r="AB327"/>
          <cell r="AC327"/>
          <cell r="AD327"/>
          <cell r="AE327"/>
          <cell r="AF327"/>
          <cell r="AG327"/>
          <cell r="AH327"/>
        </row>
        <row r="328">
          <cell r="D328"/>
          <cell r="E328"/>
          <cell r="F328"/>
          <cell r="G328"/>
          <cell r="M328"/>
          <cell r="O328"/>
          <cell r="S328"/>
          <cell r="U328"/>
          <cell r="Y328"/>
          <cell r="AA328"/>
          <cell r="AE328"/>
          <cell r="AG328"/>
        </row>
        <row r="329">
          <cell r="D329"/>
          <cell r="E329"/>
          <cell r="F329"/>
          <cell r="G329"/>
          <cell r="M329"/>
          <cell r="O329"/>
          <cell r="S329"/>
          <cell r="U329"/>
          <cell r="Y329"/>
          <cell r="AA329"/>
          <cell r="AE329"/>
          <cell r="AF329" t="str">
            <v>Check</v>
          </cell>
          <cell r="AG329"/>
          <cell r="AH329">
            <v>0</v>
          </cell>
        </row>
        <row r="330">
          <cell r="D330"/>
          <cell r="E330"/>
          <cell r="F330"/>
          <cell r="G330"/>
          <cell r="H330"/>
          <cell r="I330"/>
          <cell r="K330"/>
          <cell r="M330"/>
          <cell r="O330"/>
          <cell r="Q330"/>
          <cell r="S330"/>
          <cell r="U330"/>
          <cell r="W330"/>
          <cell r="Y330"/>
          <cell r="AA330"/>
          <cell r="AC330"/>
          <cell r="AE330"/>
          <cell r="AG330"/>
        </row>
        <row r="331">
          <cell r="D331"/>
          <cell r="E331"/>
          <cell r="F331"/>
          <cell r="G331"/>
          <cell r="H331"/>
          <cell r="I331"/>
          <cell r="K331"/>
          <cell r="M331"/>
          <cell r="O331"/>
          <cell r="Q331"/>
          <cell r="S331"/>
          <cell r="U331"/>
          <cell r="V331">
            <v>1481192.2799999998</v>
          </cell>
          <cell r="W331">
            <v>0</v>
          </cell>
          <cell r="X331">
            <v>1570202.48</v>
          </cell>
          <cell r="Y331"/>
          <cell r="Z331">
            <v>1544555.2000000002</v>
          </cell>
          <cell r="AA331"/>
          <cell r="AB331">
            <v>1461500.4600000002</v>
          </cell>
          <cell r="AC331"/>
          <cell r="AD331">
            <v>1424282.6900000002</v>
          </cell>
          <cell r="AE331"/>
          <cell r="AF331">
            <v>1584276.3399999999</v>
          </cell>
          <cell r="AG331"/>
          <cell r="AH331">
            <v>18496915.760000002</v>
          </cell>
        </row>
        <row r="332">
          <cell r="D332"/>
          <cell r="E332"/>
          <cell r="F332"/>
          <cell r="G332"/>
          <cell r="H332"/>
          <cell r="I332"/>
          <cell r="K332"/>
          <cell r="M332"/>
          <cell r="O332"/>
          <cell r="Q332"/>
          <cell r="S332"/>
          <cell r="U332"/>
          <cell r="V332">
            <v>0.85186087481989869</v>
          </cell>
          <cell r="W332" t="e">
            <v>#DIV/0!</v>
          </cell>
          <cell r="X332">
            <v>0.91102026025908167</v>
          </cell>
          <cell r="Y332"/>
          <cell r="Z332">
            <v>0.96410244617786933</v>
          </cell>
          <cell r="AA332"/>
          <cell r="AB332">
            <v>0.9217701867134328</v>
          </cell>
          <cell r="AC332"/>
          <cell r="AD332">
            <v>0.85839171814955118</v>
          </cell>
          <cell r="AE332"/>
          <cell r="AF332">
            <v>0.91453732090721596</v>
          </cell>
          <cell r="AG332"/>
          <cell r="AH332">
            <v>0.91358484707570553</v>
          </cell>
        </row>
        <row r="333">
          <cell r="D333"/>
          <cell r="E333"/>
          <cell r="F333"/>
          <cell r="G333"/>
          <cell r="H333"/>
          <cell r="I333"/>
          <cell r="K333"/>
          <cell r="M333"/>
          <cell r="O333"/>
          <cell r="Q333"/>
          <cell r="S333"/>
          <cell r="U333"/>
          <cell r="W333"/>
          <cell r="Y333"/>
          <cell r="AA333"/>
          <cell r="AC333"/>
          <cell r="AE333"/>
          <cell r="AG333"/>
        </row>
        <row r="334">
          <cell r="D334"/>
          <cell r="E334"/>
          <cell r="F334"/>
          <cell r="G334"/>
          <cell r="H334"/>
          <cell r="I334"/>
          <cell r="K334"/>
          <cell r="M334"/>
          <cell r="O334"/>
          <cell r="Q334"/>
          <cell r="S334"/>
          <cell r="U334"/>
          <cell r="W334"/>
          <cell r="Y334"/>
          <cell r="AA334"/>
          <cell r="AC334"/>
          <cell r="AE334"/>
          <cell r="AG334"/>
        </row>
        <row r="335">
          <cell r="D335"/>
          <cell r="E335"/>
          <cell r="F335"/>
          <cell r="G335"/>
          <cell r="H335"/>
          <cell r="I335"/>
          <cell r="K335"/>
          <cell r="M335"/>
          <cell r="O335"/>
          <cell r="Q335"/>
          <cell r="S335"/>
          <cell r="U335"/>
          <cell r="W335"/>
          <cell r="Y335"/>
          <cell r="AA335"/>
          <cell r="AC335"/>
          <cell r="AE335"/>
          <cell r="AG335"/>
        </row>
        <row r="336">
          <cell r="D336"/>
          <cell r="E336"/>
          <cell r="F336"/>
          <cell r="G336"/>
          <cell r="H336"/>
          <cell r="I336"/>
          <cell r="K336"/>
          <cell r="M336"/>
          <cell r="O336"/>
          <cell r="Q336"/>
          <cell r="S336"/>
          <cell r="U336"/>
          <cell r="W336"/>
          <cell r="Y336"/>
          <cell r="AA336"/>
          <cell r="AC336"/>
          <cell r="AE336"/>
          <cell r="AG336"/>
        </row>
        <row r="337">
          <cell r="D337"/>
          <cell r="E337"/>
          <cell r="F337"/>
          <cell r="G337"/>
          <cell r="H337"/>
          <cell r="I337"/>
          <cell r="K337"/>
          <cell r="M337"/>
          <cell r="O337"/>
          <cell r="Q337"/>
          <cell r="S337"/>
          <cell r="U337"/>
          <cell r="W337"/>
          <cell r="Y337"/>
          <cell r="AA337"/>
          <cell r="AC337"/>
          <cell r="AE337"/>
          <cell r="AG337"/>
        </row>
        <row r="338">
          <cell r="D338"/>
          <cell r="E338"/>
          <cell r="F338"/>
          <cell r="G338"/>
          <cell r="H338"/>
          <cell r="I338"/>
          <cell r="K338"/>
          <cell r="M338"/>
          <cell r="O338"/>
          <cell r="Q338"/>
          <cell r="S338"/>
          <cell r="U338"/>
          <cell r="W338"/>
          <cell r="Y338"/>
          <cell r="AA338"/>
          <cell r="AC338"/>
          <cell r="AE338"/>
          <cell r="AG338"/>
        </row>
        <row r="339">
          <cell r="D339"/>
          <cell r="E339"/>
          <cell r="F339"/>
          <cell r="G339"/>
          <cell r="H339"/>
          <cell r="I339"/>
          <cell r="K339"/>
          <cell r="M339"/>
          <cell r="O339"/>
          <cell r="Q339"/>
          <cell r="S339"/>
          <cell r="U339"/>
          <cell r="W339"/>
          <cell r="Y339"/>
          <cell r="AA339"/>
          <cell r="AC339"/>
          <cell r="AE339"/>
          <cell r="AG339"/>
        </row>
        <row r="340">
          <cell r="D340"/>
          <cell r="E340"/>
          <cell r="F340"/>
          <cell r="G340"/>
          <cell r="H340"/>
          <cell r="I340"/>
          <cell r="K340"/>
          <cell r="M340"/>
          <cell r="O340"/>
          <cell r="Q340"/>
          <cell r="S340"/>
          <cell r="U340"/>
          <cell r="W340"/>
          <cell r="Y340"/>
          <cell r="AA340"/>
          <cell r="AC340"/>
          <cell r="AE340"/>
          <cell r="AG340"/>
        </row>
        <row r="341">
          <cell r="D341"/>
          <cell r="E341"/>
          <cell r="F341"/>
          <cell r="G341"/>
          <cell r="H341"/>
          <cell r="I341"/>
          <cell r="K341"/>
          <cell r="M341"/>
          <cell r="O341"/>
          <cell r="Q341"/>
          <cell r="S341"/>
          <cell r="U341"/>
          <cell r="W341"/>
          <cell r="Y341"/>
          <cell r="AA341"/>
          <cell r="AC341"/>
          <cell r="AE341"/>
          <cell r="AG341"/>
        </row>
        <row r="342">
          <cell r="D342"/>
          <cell r="E342"/>
          <cell r="F342"/>
          <cell r="G342"/>
          <cell r="H342"/>
          <cell r="I342"/>
          <cell r="K342"/>
          <cell r="M342"/>
          <cell r="O342"/>
          <cell r="Q342"/>
          <cell r="S342"/>
          <cell r="U342"/>
          <cell r="W342"/>
          <cell r="Y342"/>
          <cell r="AA342"/>
          <cell r="AC342"/>
          <cell r="AE342"/>
          <cell r="AG342"/>
        </row>
        <row r="343">
          <cell r="D343"/>
          <cell r="E343"/>
          <cell r="F343"/>
          <cell r="G343"/>
          <cell r="H343"/>
          <cell r="I343"/>
          <cell r="K343"/>
          <cell r="M343"/>
          <cell r="O343"/>
          <cell r="Q343"/>
          <cell r="S343"/>
          <cell r="U343"/>
          <cell r="W343"/>
          <cell r="Y343"/>
          <cell r="AA343"/>
          <cell r="AC343"/>
          <cell r="AE343"/>
          <cell r="AG343"/>
        </row>
        <row r="344">
          <cell r="D344"/>
          <cell r="E344"/>
          <cell r="F344"/>
          <cell r="G344"/>
          <cell r="H344"/>
          <cell r="I344"/>
          <cell r="K344"/>
          <cell r="M344"/>
          <cell r="O344"/>
          <cell r="Q344"/>
          <cell r="S344"/>
          <cell r="U344"/>
          <cell r="W344"/>
          <cell r="Y344"/>
          <cell r="AA344"/>
          <cell r="AC344"/>
          <cell r="AE344"/>
          <cell r="AG344"/>
        </row>
        <row r="345">
          <cell r="D345"/>
          <cell r="E345"/>
          <cell r="F345"/>
          <cell r="G345"/>
          <cell r="H345"/>
          <cell r="I345"/>
          <cell r="K345"/>
          <cell r="M345"/>
          <cell r="O345"/>
          <cell r="Q345"/>
          <cell r="S345"/>
          <cell r="U345"/>
          <cell r="W345"/>
          <cell r="Y345"/>
          <cell r="AA345"/>
          <cell r="AC345"/>
          <cell r="AE345"/>
          <cell r="AG345"/>
        </row>
        <row r="346">
          <cell r="D346"/>
          <cell r="E346"/>
          <cell r="F346"/>
          <cell r="G346"/>
          <cell r="H346"/>
          <cell r="I346"/>
          <cell r="K346"/>
          <cell r="M346"/>
          <cell r="O346"/>
          <cell r="Q346"/>
          <cell r="S346"/>
          <cell r="U346"/>
          <cell r="W346"/>
          <cell r="Y346"/>
          <cell r="AA346"/>
          <cell r="AC346"/>
          <cell r="AE346"/>
          <cell r="AG346"/>
        </row>
        <row r="347">
          <cell r="D347"/>
          <cell r="E347"/>
          <cell r="F347"/>
          <cell r="G347"/>
          <cell r="H347"/>
          <cell r="I347"/>
          <cell r="K347"/>
          <cell r="M347"/>
          <cell r="O347"/>
          <cell r="Q347"/>
          <cell r="S347"/>
          <cell r="U347"/>
          <cell r="W347"/>
          <cell r="Y347"/>
          <cell r="AA347"/>
          <cell r="AC347"/>
          <cell r="AE347"/>
          <cell r="AG347"/>
        </row>
        <row r="348">
          <cell r="D348"/>
          <cell r="E348"/>
          <cell r="F348"/>
          <cell r="G348"/>
          <cell r="H348"/>
          <cell r="I348"/>
          <cell r="K348"/>
          <cell r="M348"/>
          <cell r="O348"/>
          <cell r="Q348"/>
          <cell r="S348"/>
          <cell r="U348"/>
          <cell r="W348"/>
          <cell r="Y348"/>
          <cell r="AA348"/>
          <cell r="AC348"/>
          <cell r="AE348"/>
          <cell r="AG348"/>
        </row>
        <row r="349">
          <cell r="D349"/>
          <cell r="E349"/>
          <cell r="F349"/>
          <cell r="G349"/>
          <cell r="H349"/>
          <cell r="I349"/>
          <cell r="K349"/>
          <cell r="M349"/>
          <cell r="O349"/>
          <cell r="Q349"/>
          <cell r="S349"/>
          <cell r="U349"/>
          <cell r="W349"/>
          <cell r="Y349"/>
          <cell r="AA349"/>
          <cell r="AC349"/>
          <cell r="AE349"/>
          <cell r="AG349"/>
        </row>
        <row r="350">
          <cell r="D350"/>
          <cell r="E350"/>
          <cell r="F350"/>
          <cell r="G350"/>
          <cell r="H350"/>
          <cell r="I350"/>
          <cell r="K350"/>
          <cell r="M350"/>
          <cell r="O350"/>
          <cell r="Q350"/>
          <cell r="S350"/>
          <cell r="U350"/>
          <cell r="W350"/>
          <cell r="Y350"/>
          <cell r="AA350"/>
          <cell r="AC350"/>
          <cell r="AE350"/>
          <cell r="AG350"/>
        </row>
        <row r="351">
          <cell r="D351"/>
          <cell r="E351"/>
          <cell r="F351"/>
          <cell r="G351"/>
          <cell r="H351"/>
          <cell r="I351"/>
          <cell r="K351"/>
          <cell r="M351"/>
          <cell r="O351"/>
          <cell r="Q351"/>
          <cell r="S351"/>
          <cell r="U351"/>
          <cell r="W351"/>
          <cell r="Y351"/>
          <cell r="AA351"/>
          <cell r="AC351"/>
          <cell r="AE351"/>
          <cell r="AG351"/>
        </row>
        <row r="352">
          <cell r="D352"/>
          <cell r="E352"/>
          <cell r="F352"/>
          <cell r="G352"/>
          <cell r="H352"/>
          <cell r="I352"/>
          <cell r="K352"/>
          <cell r="M352"/>
          <cell r="O352"/>
          <cell r="Q352"/>
          <cell r="S352"/>
          <cell r="U352"/>
          <cell r="W352"/>
          <cell r="Y352"/>
          <cell r="AA352"/>
          <cell r="AC352"/>
          <cell r="AE352"/>
          <cell r="AG352"/>
        </row>
        <row r="353">
          <cell r="D353"/>
          <cell r="E353"/>
          <cell r="F353"/>
          <cell r="G353"/>
          <cell r="H353"/>
          <cell r="I353"/>
          <cell r="K353"/>
          <cell r="M353"/>
          <cell r="O353"/>
          <cell r="Q353"/>
          <cell r="S353"/>
          <cell r="U353"/>
          <cell r="W353"/>
          <cell r="Y353"/>
          <cell r="AA353"/>
          <cell r="AC353"/>
          <cell r="AE353"/>
          <cell r="AG353"/>
        </row>
        <row r="354">
          <cell r="D354"/>
          <cell r="E354"/>
          <cell r="F354"/>
          <cell r="G354"/>
          <cell r="H354"/>
          <cell r="I354"/>
          <cell r="K354"/>
          <cell r="M354"/>
          <cell r="O354"/>
          <cell r="Q354"/>
          <cell r="S354"/>
          <cell r="U354"/>
          <cell r="W354"/>
          <cell r="Y354"/>
          <cell r="AA354"/>
          <cell r="AC354"/>
          <cell r="AE354"/>
          <cell r="AG354"/>
        </row>
        <row r="355">
          <cell r="D355"/>
          <cell r="E355"/>
          <cell r="F355"/>
          <cell r="G355"/>
          <cell r="H355"/>
          <cell r="I355"/>
          <cell r="K355"/>
          <cell r="M355"/>
          <cell r="O355"/>
          <cell r="Q355"/>
          <cell r="S355"/>
          <cell r="U355"/>
          <cell r="W355"/>
          <cell r="Y355"/>
          <cell r="AA355"/>
          <cell r="AC355"/>
          <cell r="AE355"/>
          <cell r="AG355"/>
        </row>
        <row r="356">
          <cell r="D356"/>
          <cell r="E356"/>
          <cell r="F356"/>
          <cell r="G356"/>
          <cell r="H356"/>
          <cell r="I356"/>
          <cell r="K356"/>
          <cell r="M356"/>
          <cell r="O356"/>
          <cell r="Q356"/>
          <cell r="S356"/>
          <cell r="U356"/>
          <cell r="W356"/>
          <cell r="Y356"/>
          <cell r="AA356"/>
          <cell r="AC356"/>
          <cell r="AE356"/>
          <cell r="AG356"/>
        </row>
        <row r="357">
          <cell r="D357"/>
          <cell r="E357"/>
          <cell r="F357"/>
          <cell r="G357"/>
          <cell r="H357"/>
          <cell r="I357"/>
          <cell r="K357"/>
          <cell r="M357"/>
          <cell r="O357"/>
          <cell r="Q357"/>
          <cell r="S357"/>
          <cell r="U357"/>
          <cell r="W357"/>
          <cell r="Y357"/>
          <cell r="AA357"/>
          <cell r="AC357"/>
          <cell r="AE357"/>
          <cell r="AG357"/>
        </row>
        <row r="358">
          <cell r="D358"/>
          <cell r="E358"/>
          <cell r="F358"/>
          <cell r="G358"/>
          <cell r="H358"/>
          <cell r="I358"/>
          <cell r="K358"/>
          <cell r="M358"/>
          <cell r="O358"/>
          <cell r="Q358"/>
          <cell r="S358"/>
          <cell r="U358"/>
          <cell r="W358"/>
          <cell r="Y358"/>
          <cell r="AA358"/>
          <cell r="AC358"/>
          <cell r="AE358"/>
          <cell r="AG358"/>
        </row>
        <row r="359">
          <cell r="D359"/>
          <cell r="E359"/>
          <cell r="F359"/>
          <cell r="G359"/>
          <cell r="H359"/>
          <cell r="I359"/>
          <cell r="K359"/>
          <cell r="M359"/>
          <cell r="O359"/>
          <cell r="Q359"/>
          <cell r="S359"/>
          <cell r="U359"/>
          <cell r="W359"/>
          <cell r="Y359"/>
          <cell r="AA359"/>
          <cell r="AC359"/>
          <cell r="AE359"/>
          <cell r="AG359"/>
        </row>
        <row r="360">
          <cell r="D360"/>
          <cell r="E360"/>
          <cell r="F360"/>
          <cell r="G360"/>
          <cell r="H360"/>
          <cell r="I360"/>
          <cell r="K360"/>
          <cell r="M360"/>
          <cell r="O360"/>
          <cell r="Q360"/>
          <cell r="S360"/>
          <cell r="U360"/>
          <cell r="W360"/>
          <cell r="Y360"/>
          <cell r="AA360"/>
          <cell r="AC360"/>
          <cell r="AE360"/>
          <cell r="AG360"/>
        </row>
        <row r="361">
          <cell r="D361"/>
          <cell r="E361"/>
          <cell r="F361"/>
          <cell r="G361"/>
          <cell r="H361"/>
          <cell r="I361"/>
          <cell r="K361"/>
          <cell r="M361"/>
          <cell r="O361"/>
          <cell r="Q361"/>
          <cell r="S361"/>
          <cell r="U361"/>
          <cell r="W361"/>
          <cell r="Y361"/>
          <cell r="AA361"/>
          <cell r="AC361"/>
          <cell r="AE361"/>
          <cell r="AG361"/>
        </row>
        <row r="362">
          <cell r="D362"/>
          <cell r="E362"/>
          <cell r="F362"/>
          <cell r="G362"/>
          <cell r="H362"/>
          <cell r="I362"/>
          <cell r="K362"/>
          <cell r="M362"/>
          <cell r="O362"/>
          <cell r="Q362"/>
          <cell r="S362"/>
          <cell r="U362"/>
          <cell r="W362"/>
          <cell r="Y362"/>
          <cell r="AA362"/>
          <cell r="AC362"/>
          <cell r="AE362"/>
          <cell r="AG362"/>
        </row>
        <row r="363">
          <cell r="D363"/>
          <cell r="E363"/>
          <cell r="F363"/>
          <cell r="G363"/>
          <cell r="H363"/>
          <cell r="I363"/>
          <cell r="K363"/>
          <cell r="M363"/>
          <cell r="O363"/>
          <cell r="Q363"/>
          <cell r="S363"/>
          <cell r="U363"/>
          <cell r="W363"/>
          <cell r="Y363"/>
          <cell r="AA363"/>
          <cell r="AC363"/>
          <cell r="AE363"/>
          <cell r="AG363"/>
        </row>
        <row r="364">
          <cell r="D364"/>
          <cell r="E364"/>
          <cell r="F364"/>
          <cell r="G364"/>
          <cell r="H364"/>
          <cell r="I364"/>
          <cell r="K364"/>
          <cell r="M364"/>
          <cell r="O364"/>
          <cell r="Q364"/>
          <cell r="S364"/>
          <cell r="U364"/>
          <cell r="W364"/>
          <cell r="Y364"/>
          <cell r="AA364"/>
          <cell r="AC364"/>
          <cell r="AE364"/>
          <cell r="AG364"/>
        </row>
        <row r="365">
          <cell r="D365"/>
          <cell r="E365"/>
          <cell r="F365"/>
          <cell r="G365"/>
          <cell r="H365"/>
          <cell r="I365"/>
          <cell r="K365"/>
          <cell r="M365"/>
          <cell r="O365"/>
          <cell r="Q365"/>
          <cell r="S365"/>
          <cell r="U365"/>
          <cell r="W365"/>
          <cell r="Y365"/>
          <cell r="AA365"/>
          <cell r="AC365"/>
          <cell r="AE365"/>
          <cell r="AG365"/>
        </row>
        <row r="366">
          <cell r="D366"/>
          <cell r="E366"/>
          <cell r="F366"/>
          <cell r="G366"/>
          <cell r="H366"/>
          <cell r="I366"/>
          <cell r="K366"/>
          <cell r="M366"/>
          <cell r="O366"/>
          <cell r="Q366"/>
          <cell r="S366"/>
          <cell r="U366"/>
          <cell r="W366"/>
          <cell r="Y366"/>
          <cell r="AA366"/>
          <cell r="AC366"/>
          <cell r="AE366"/>
          <cell r="AG366"/>
        </row>
        <row r="367">
          <cell r="D367"/>
          <cell r="E367"/>
          <cell r="F367"/>
          <cell r="G367"/>
          <cell r="H367"/>
          <cell r="I367"/>
          <cell r="K367"/>
          <cell r="M367"/>
          <cell r="O367"/>
          <cell r="Q367"/>
          <cell r="S367"/>
          <cell r="U367"/>
          <cell r="W367"/>
          <cell r="Y367"/>
          <cell r="AA367"/>
          <cell r="AC367"/>
          <cell r="AE367"/>
          <cell r="AG367"/>
        </row>
        <row r="368">
          <cell r="D368"/>
          <cell r="E368"/>
          <cell r="F368"/>
          <cell r="G368"/>
          <cell r="H368"/>
          <cell r="I368"/>
          <cell r="K368"/>
          <cell r="M368"/>
          <cell r="O368"/>
          <cell r="Q368"/>
          <cell r="S368"/>
          <cell r="U368"/>
          <cell r="W368"/>
          <cell r="Y368"/>
          <cell r="AA368"/>
          <cell r="AC368"/>
          <cell r="AE368"/>
          <cell r="AG368"/>
        </row>
        <row r="369">
          <cell r="D369"/>
          <cell r="E369"/>
          <cell r="F369"/>
          <cell r="G369"/>
          <cell r="H369"/>
          <cell r="I369"/>
          <cell r="K369"/>
          <cell r="M369"/>
          <cell r="O369"/>
          <cell r="Q369"/>
          <cell r="S369"/>
          <cell r="U369"/>
          <cell r="W369"/>
          <cell r="Y369"/>
          <cell r="AA369"/>
          <cell r="AC369"/>
          <cell r="AE369"/>
          <cell r="AG369"/>
        </row>
        <row r="370">
          <cell r="D370"/>
          <cell r="E370"/>
          <cell r="F370"/>
          <cell r="G370"/>
          <cell r="H370"/>
          <cell r="I370"/>
          <cell r="K370"/>
          <cell r="M370"/>
          <cell r="O370"/>
          <cell r="Q370"/>
          <cell r="S370"/>
          <cell r="U370"/>
          <cell r="W370"/>
          <cell r="Y370"/>
          <cell r="AA370"/>
          <cell r="AC370"/>
          <cell r="AE370"/>
          <cell r="AG370"/>
        </row>
        <row r="371">
          <cell r="D371"/>
          <cell r="E371"/>
          <cell r="F371"/>
          <cell r="G371"/>
          <cell r="H371"/>
          <cell r="I371"/>
          <cell r="K371"/>
          <cell r="M371"/>
          <cell r="O371"/>
          <cell r="Q371"/>
          <cell r="S371"/>
          <cell r="U371"/>
          <cell r="W371"/>
          <cell r="Y371"/>
          <cell r="AA371"/>
          <cell r="AC371"/>
          <cell r="AE371"/>
          <cell r="AG371"/>
        </row>
        <row r="372">
          <cell r="D372"/>
          <cell r="E372"/>
          <cell r="F372"/>
          <cell r="G372"/>
          <cell r="H372"/>
          <cell r="I372"/>
          <cell r="K372"/>
          <cell r="M372"/>
          <cell r="O372"/>
          <cell r="Q372"/>
          <cell r="S372"/>
          <cell r="U372"/>
          <cell r="W372"/>
          <cell r="Y372"/>
          <cell r="AA372"/>
          <cell r="AC372"/>
          <cell r="AE372"/>
          <cell r="AG372"/>
        </row>
        <row r="373">
          <cell r="D373"/>
          <cell r="E373"/>
          <cell r="F373"/>
          <cell r="G373"/>
          <cell r="H373"/>
          <cell r="I373"/>
          <cell r="K373"/>
          <cell r="M373"/>
          <cell r="O373"/>
          <cell r="Q373"/>
          <cell r="S373"/>
          <cell r="U373"/>
          <cell r="W373"/>
          <cell r="Y373"/>
          <cell r="AA373"/>
          <cell r="AC373"/>
          <cell r="AE373"/>
          <cell r="AG373"/>
        </row>
        <row r="374">
          <cell r="D374"/>
          <cell r="E374"/>
          <cell r="F374"/>
          <cell r="G374"/>
          <cell r="H374"/>
          <cell r="I374"/>
          <cell r="K374"/>
          <cell r="M374"/>
          <cell r="O374"/>
          <cell r="Q374"/>
          <cell r="S374"/>
          <cell r="U374"/>
          <cell r="W374"/>
          <cell r="Y374"/>
          <cell r="AA374"/>
          <cell r="AC374"/>
          <cell r="AE374"/>
          <cell r="AG374"/>
        </row>
        <row r="375">
          <cell r="D375"/>
          <cell r="E375"/>
          <cell r="F375"/>
          <cell r="G375"/>
          <cell r="H375"/>
          <cell r="I375"/>
          <cell r="K375"/>
          <cell r="M375"/>
          <cell r="O375"/>
          <cell r="Q375"/>
          <cell r="S375"/>
          <cell r="U375"/>
          <cell r="W375"/>
          <cell r="Y375"/>
          <cell r="AA375"/>
          <cell r="AC375"/>
          <cell r="AE375"/>
          <cell r="AG375"/>
        </row>
        <row r="376">
          <cell r="D376"/>
          <cell r="E376"/>
          <cell r="F376"/>
          <cell r="G376"/>
          <cell r="H376"/>
          <cell r="I376"/>
          <cell r="K376"/>
          <cell r="M376"/>
          <cell r="O376"/>
          <cell r="Q376"/>
          <cell r="S376"/>
          <cell r="U376"/>
          <cell r="W376"/>
          <cell r="Y376"/>
          <cell r="AA376"/>
          <cell r="AC376"/>
          <cell r="AE376"/>
          <cell r="AG376"/>
        </row>
        <row r="377">
          <cell r="D377"/>
          <cell r="E377"/>
          <cell r="F377"/>
          <cell r="G377"/>
          <cell r="H377"/>
          <cell r="I377"/>
          <cell r="K377"/>
          <cell r="M377"/>
          <cell r="O377"/>
          <cell r="Q377"/>
          <cell r="S377"/>
          <cell r="U377"/>
          <cell r="W377"/>
          <cell r="Y377"/>
          <cell r="AA377"/>
          <cell r="AC377"/>
          <cell r="AE377"/>
          <cell r="AG377"/>
        </row>
        <row r="378">
          <cell r="D378"/>
          <cell r="E378"/>
          <cell r="F378"/>
          <cell r="G378"/>
          <cell r="H378"/>
          <cell r="I378"/>
          <cell r="K378"/>
          <cell r="M378"/>
          <cell r="O378"/>
          <cell r="Q378"/>
          <cell r="S378"/>
          <cell r="U378"/>
          <cell r="W378"/>
          <cell r="Y378"/>
          <cell r="AA378"/>
          <cell r="AC378"/>
          <cell r="AE378"/>
          <cell r="AG378"/>
        </row>
        <row r="379">
          <cell r="D379"/>
          <cell r="E379"/>
          <cell r="F379"/>
          <cell r="G379"/>
          <cell r="H379"/>
          <cell r="I379"/>
          <cell r="K379"/>
          <cell r="M379"/>
          <cell r="O379"/>
          <cell r="Q379"/>
          <cell r="S379"/>
          <cell r="U379"/>
          <cell r="W379"/>
          <cell r="Y379"/>
          <cell r="AA379"/>
          <cell r="AC379"/>
          <cell r="AE379"/>
          <cell r="AG379"/>
        </row>
        <row r="380">
          <cell r="D380"/>
          <cell r="E380"/>
          <cell r="F380"/>
          <cell r="G380"/>
          <cell r="H380"/>
          <cell r="I380"/>
          <cell r="K380"/>
          <cell r="M380"/>
          <cell r="O380"/>
          <cell r="Q380"/>
          <cell r="S380"/>
          <cell r="U380"/>
          <cell r="W380"/>
          <cell r="Y380"/>
          <cell r="AA380"/>
          <cell r="AC380"/>
          <cell r="AE380"/>
          <cell r="AG380"/>
        </row>
        <row r="381">
          <cell r="D381"/>
          <cell r="E381"/>
          <cell r="F381"/>
          <cell r="G381"/>
          <cell r="H381"/>
          <cell r="I381"/>
          <cell r="K381"/>
          <cell r="M381"/>
          <cell r="O381"/>
          <cell r="Q381"/>
          <cell r="S381"/>
          <cell r="U381"/>
          <cell r="W381"/>
          <cell r="Y381"/>
          <cell r="AA381"/>
          <cell r="AC381"/>
          <cell r="AE381"/>
          <cell r="AG381"/>
        </row>
        <row r="382">
          <cell r="D382"/>
          <cell r="E382"/>
          <cell r="F382"/>
          <cell r="G382"/>
          <cell r="H382"/>
          <cell r="I382"/>
          <cell r="K382"/>
          <cell r="M382"/>
          <cell r="O382"/>
          <cell r="Q382"/>
          <cell r="S382"/>
          <cell r="U382"/>
          <cell r="W382"/>
          <cell r="Y382"/>
          <cell r="AA382"/>
          <cell r="AC382"/>
          <cell r="AE382"/>
          <cell r="AG382"/>
        </row>
        <row r="383">
          <cell r="D383"/>
          <cell r="E383"/>
          <cell r="F383"/>
          <cell r="G383"/>
          <cell r="H383"/>
          <cell r="I383"/>
          <cell r="K383"/>
          <cell r="M383"/>
          <cell r="O383"/>
          <cell r="Q383"/>
          <cell r="S383"/>
          <cell r="U383"/>
          <cell r="W383"/>
          <cell r="Y383"/>
          <cell r="AA383"/>
          <cell r="AC383"/>
          <cell r="AE383"/>
          <cell r="AG383"/>
        </row>
        <row r="384">
          <cell r="D384"/>
          <cell r="E384"/>
          <cell r="F384"/>
          <cell r="G384"/>
          <cell r="H384"/>
          <cell r="I384"/>
          <cell r="K384"/>
          <cell r="M384"/>
          <cell r="O384"/>
          <cell r="Q384"/>
          <cell r="S384"/>
          <cell r="U384"/>
          <cell r="W384"/>
          <cell r="Y384"/>
          <cell r="AA384"/>
          <cell r="AC384"/>
          <cell r="AE384"/>
          <cell r="AG384"/>
        </row>
        <row r="385">
          <cell r="D385"/>
          <cell r="E385"/>
          <cell r="F385"/>
          <cell r="G385"/>
          <cell r="H385"/>
          <cell r="I385"/>
          <cell r="K385"/>
          <cell r="M385"/>
          <cell r="O385"/>
          <cell r="Q385"/>
          <cell r="S385"/>
          <cell r="U385"/>
          <cell r="W385"/>
          <cell r="Y385"/>
          <cell r="AA385"/>
          <cell r="AC385"/>
          <cell r="AE385"/>
          <cell r="AG385"/>
        </row>
        <row r="386">
          <cell r="D386"/>
          <cell r="E386"/>
          <cell r="F386"/>
          <cell r="G386"/>
          <cell r="H386"/>
          <cell r="I386"/>
          <cell r="K386"/>
          <cell r="M386"/>
          <cell r="O386"/>
          <cell r="Q386"/>
          <cell r="S386"/>
          <cell r="U386"/>
          <cell r="W386"/>
          <cell r="Y386"/>
          <cell r="AA386"/>
          <cell r="AC386"/>
          <cell r="AE386"/>
          <cell r="AG386"/>
        </row>
        <row r="387">
          <cell r="D387"/>
          <cell r="E387"/>
          <cell r="F387"/>
          <cell r="G387"/>
          <cell r="H387"/>
          <cell r="I387"/>
          <cell r="K387"/>
          <cell r="M387"/>
          <cell r="O387"/>
          <cell r="Q387"/>
          <cell r="S387"/>
          <cell r="U387"/>
          <cell r="W387"/>
          <cell r="Y387"/>
          <cell r="AA387"/>
          <cell r="AC387"/>
          <cell r="AE387"/>
          <cell r="AG387"/>
        </row>
        <row r="388">
          <cell r="D388"/>
          <cell r="E388"/>
          <cell r="F388"/>
          <cell r="G388"/>
          <cell r="H388"/>
          <cell r="I388"/>
          <cell r="K388"/>
          <cell r="M388"/>
          <cell r="O388"/>
          <cell r="Q388"/>
          <cell r="S388"/>
          <cell r="U388"/>
          <cell r="W388"/>
          <cell r="Y388"/>
          <cell r="AA388"/>
          <cell r="AC388"/>
          <cell r="AE388"/>
          <cell r="AG388"/>
        </row>
        <row r="389">
          <cell r="D389"/>
          <cell r="E389"/>
          <cell r="F389"/>
          <cell r="G389"/>
          <cell r="H389"/>
          <cell r="I389"/>
          <cell r="K389"/>
          <cell r="M389"/>
          <cell r="O389"/>
          <cell r="Q389"/>
          <cell r="S389"/>
          <cell r="U389"/>
          <cell r="W389"/>
          <cell r="Y389"/>
          <cell r="AA389"/>
          <cell r="AC389"/>
          <cell r="AE389"/>
          <cell r="AG389"/>
        </row>
        <row r="390">
          <cell r="D390"/>
          <cell r="E390"/>
          <cell r="F390"/>
          <cell r="G390"/>
          <cell r="H390"/>
          <cell r="I390"/>
          <cell r="K390"/>
          <cell r="M390"/>
          <cell r="O390"/>
          <cell r="Q390"/>
          <cell r="S390"/>
          <cell r="U390"/>
          <cell r="W390"/>
          <cell r="Y390"/>
          <cell r="AA390"/>
          <cell r="AC390"/>
          <cell r="AE390"/>
          <cell r="AG390"/>
        </row>
        <row r="391">
          <cell r="D391"/>
          <cell r="E391"/>
          <cell r="F391"/>
          <cell r="G391"/>
          <cell r="H391"/>
          <cell r="I391"/>
          <cell r="K391"/>
          <cell r="M391"/>
          <cell r="O391"/>
          <cell r="Q391"/>
          <cell r="S391"/>
          <cell r="U391"/>
          <cell r="W391"/>
          <cell r="Y391"/>
          <cell r="AA391"/>
          <cell r="AC391"/>
          <cell r="AE391"/>
          <cell r="AG391"/>
        </row>
        <row r="392">
          <cell r="D392"/>
          <cell r="E392"/>
          <cell r="F392"/>
          <cell r="G392"/>
          <cell r="H392"/>
          <cell r="I392"/>
          <cell r="K392"/>
          <cell r="M392"/>
          <cell r="O392"/>
          <cell r="Q392"/>
          <cell r="S392"/>
          <cell r="U392"/>
          <cell r="W392"/>
          <cell r="Y392"/>
          <cell r="AA392"/>
          <cell r="AC392"/>
          <cell r="AE392"/>
          <cell r="AG392"/>
        </row>
        <row r="393">
          <cell r="D393"/>
          <cell r="E393"/>
          <cell r="F393"/>
          <cell r="G393"/>
          <cell r="H393"/>
          <cell r="I393"/>
          <cell r="K393"/>
          <cell r="M393"/>
          <cell r="O393"/>
          <cell r="Q393"/>
          <cell r="S393"/>
          <cell r="U393"/>
          <cell r="W393"/>
          <cell r="Y393"/>
          <cell r="AA393"/>
          <cell r="AC393"/>
          <cell r="AE393"/>
          <cell r="AG393"/>
        </row>
        <row r="394">
          <cell r="D394"/>
          <cell r="E394"/>
          <cell r="F394"/>
          <cell r="G394"/>
          <cell r="H394"/>
          <cell r="I394"/>
          <cell r="K394"/>
          <cell r="M394"/>
          <cell r="O394"/>
          <cell r="Q394"/>
          <cell r="S394"/>
          <cell r="U394"/>
          <cell r="W394"/>
          <cell r="Y394"/>
          <cell r="AA394"/>
          <cell r="AC394"/>
          <cell r="AE394"/>
          <cell r="AG394"/>
        </row>
        <row r="395">
          <cell r="D395"/>
          <cell r="E395"/>
          <cell r="F395"/>
          <cell r="G395"/>
          <cell r="H395"/>
          <cell r="I395"/>
          <cell r="K395"/>
          <cell r="M395"/>
          <cell r="O395"/>
          <cell r="Q395"/>
          <cell r="S395"/>
          <cell r="U395"/>
          <cell r="W395"/>
          <cell r="Y395"/>
          <cell r="AA395"/>
          <cell r="AC395"/>
          <cell r="AE395"/>
          <cell r="AG395"/>
        </row>
        <row r="396">
          <cell r="D396"/>
          <cell r="E396"/>
          <cell r="F396"/>
          <cell r="G396"/>
          <cell r="H396"/>
          <cell r="I396"/>
          <cell r="K396"/>
          <cell r="M396"/>
          <cell r="O396"/>
          <cell r="Q396"/>
          <cell r="S396"/>
          <cell r="U396"/>
          <cell r="W396"/>
          <cell r="Y396"/>
          <cell r="AA396"/>
          <cell r="AC396"/>
          <cell r="AE396"/>
          <cell r="AG396"/>
        </row>
        <row r="397">
          <cell r="D397"/>
          <cell r="E397"/>
          <cell r="F397"/>
          <cell r="G397"/>
          <cell r="H397"/>
          <cell r="I397"/>
          <cell r="K397"/>
          <cell r="M397"/>
          <cell r="O397"/>
          <cell r="Q397"/>
          <cell r="S397"/>
          <cell r="U397"/>
          <cell r="W397"/>
          <cell r="Y397"/>
          <cell r="AA397"/>
          <cell r="AC397"/>
          <cell r="AE397"/>
          <cell r="AG397"/>
        </row>
        <row r="398">
          <cell r="D398"/>
          <cell r="E398"/>
          <cell r="F398"/>
          <cell r="G398"/>
          <cell r="H398"/>
          <cell r="I398"/>
          <cell r="K398"/>
          <cell r="M398"/>
          <cell r="O398"/>
          <cell r="Q398"/>
          <cell r="S398"/>
          <cell r="U398"/>
          <cell r="W398"/>
          <cell r="Y398"/>
          <cell r="AA398"/>
          <cell r="AC398"/>
          <cell r="AE398"/>
          <cell r="AG398"/>
        </row>
        <row r="399">
          <cell r="D399"/>
          <cell r="E399"/>
          <cell r="F399"/>
          <cell r="G399"/>
          <cell r="H399"/>
          <cell r="I399"/>
          <cell r="K399"/>
          <cell r="M399"/>
          <cell r="O399"/>
          <cell r="Q399"/>
          <cell r="S399"/>
          <cell r="U399"/>
          <cell r="W399"/>
          <cell r="Y399"/>
          <cell r="AA399"/>
          <cell r="AC399"/>
          <cell r="AE399"/>
          <cell r="AG399"/>
        </row>
        <row r="400">
          <cell r="D400"/>
          <cell r="E400"/>
          <cell r="F400"/>
          <cell r="G400"/>
          <cell r="H400"/>
          <cell r="I400"/>
          <cell r="K400"/>
          <cell r="M400"/>
          <cell r="O400"/>
          <cell r="Q400"/>
          <cell r="S400"/>
          <cell r="U400"/>
          <cell r="W400"/>
          <cell r="Y400"/>
          <cell r="AA400"/>
          <cell r="AC400"/>
          <cell r="AE400"/>
          <cell r="AG400"/>
        </row>
        <row r="401">
          <cell r="D401"/>
          <cell r="E401"/>
          <cell r="F401"/>
          <cell r="G401"/>
          <cell r="H401"/>
          <cell r="I401"/>
          <cell r="K401"/>
          <cell r="M401"/>
          <cell r="O401"/>
          <cell r="Q401"/>
          <cell r="S401"/>
          <cell r="U401"/>
          <cell r="W401"/>
          <cell r="Y401"/>
          <cell r="AA401"/>
          <cell r="AC401"/>
          <cell r="AE401"/>
          <cell r="AG401"/>
        </row>
        <row r="402">
          <cell r="D402"/>
          <cell r="E402"/>
          <cell r="F402"/>
          <cell r="G402"/>
          <cell r="H402"/>
          <cell r="I402"/>
          <cell r="K402"/>
          <cell r="M402"/>
          <cell r="O402"/>
          <cell r="Q402"/>
          <cell r="S402"/>
          <cell r="U402"/>
          <cell r="W402"/>
          <cell r="Y402"/>
          <cell r="AA402"/>
          <cell r="AC402"/>
          <cell r="AE402"/>
          <cell r="AG402"/>
        </row>
        <row r="403">
          <cell r="D403"/>
          <cell r="E403"/>
          <cell r="F403"/>
          <cell r="G403"/>
          <cell r="H403"/>
          <cell r="I403"/>
          <cell r="K403"/>
          <cell r="M403"/>
          <cell r="O403"/>
          <cell r="Q403"/>
          <cell r="S403"/>
          <cell r="U403"/>
          <cell r="W403"/>
          <cell r="Y403"/>
          <cell r="AA403"/>
          <cell r="AC403"/>
          <cell r="AE403"/>
          <cell r="AG403"/>
        </row>
        <row r="404">
          <cell r="D404"/>
          <cell r="E404"/>
          <cell r="F404"/>
          <cell r="G404"/>
          <cell r="H404"/>
          <cell r="I404"/>
          <cell r="K404"/>
          <cell r="M404"/>
          <cell r="O404"/>
          <cell r="Q404"/>
          <cell r="S404"/>
          <cell r="U404"/>
          <cell r="W404"/>
          <cell r="Y404"/>
          <cell r="AA404"/>
          <cell r="AC404"/>
          <cell r="AE404"/>
          <cell r="AG404"/>
        </row>
        <row r="405">
          <cell r="D405"/>
          <cell r="E405"/>
          <cell r="F405"/>
          <cell r="G405"/>
          <cell r="H405"/>
          <cell r="I405"/>
          <cell r="K405"/>
          <cell r="M405"/>
          <cell r="O405"/>
          <cell r="Q405"/>
          <cell r="S405"/>
          <cell r="U405"/>
          <cell r="W405"/>
          <cell r="Y405"/>
          <cell r="AA405"/>
          <cell r="AC405"/>
          <cell r="AE405"/>
          <cell r="AG405"/>
        </row>
        <row r="406">
          <cell r="D406"/>
          <cell r="E406"/>
          <cell r="F406"/>
          <cell r="G406"/>
          <cell r="H406"/>
          <cell r="I406"/>
          <cell r="K406"/>
          <cell r="M406"/>
          <cell r="O406"/>
          <cell r="Q406"/>
          <cell r="S406"/>
          <cell r="U406"/>
          <cell r="W406"/>
          <cell r="Y406"/>
          <cell r="AA406"/>
          <cell r="AC406"/>
          <cell r="AE406"/>
          <cell r="AG406"/>
        </row>
        <row r="407">
          <cell r="D407"/>
          <cell r="E407"/>
          <cell r="F407"/>
          <cell r="G407"/>
          <cell r="H407"/>
          <cell r="I407"/>
          <cell r="K407"/>
          <cell r="M407"/>
          <cell r="O407"/>
          <cell r="Q407"/>
          <cell r="S407"/>
          <cell r="U407"/>
          <cell r="W407"/>
          <cell r="Y407"/>
          <cell r="AA407"/>
          <cell r="AC407"/>
          <cell r="AE407"/>
          <cell r="AG407"/>
        </row>
        <row r="408">
          <cell r="D408"/>
          <cell r="E408"/>
          <cell r="F408"/>
          <cell r="G408"/>
          <cell r="H408"/>
          <cell r="I408"/>
          <cell r="K408"/>
          <cell r="M408"/>
          <cell r="O408"/>
          <cell r="Q408"/>
          <cell r="S408"/>
          <cell r="U408"/>
          <cell r="W408"/>
          <cell r="Y408"/>
          <cell r="AA408"/>
          <cell r="AC408"/>
          <cell r="AE408"/>
          <cell r="AG408"/>
        </row>
        <row r="409">
          <cell r="D409"/>
          <cell r="E409"/>
          <cell r="F409"/>
          <cell r="G409"/>
          <cell r="H409"/>
          <cell r="I409"/>
          <cell r="K409"/>
          <cell r="M409"/>
          <cell r="O409"/>
          <cell r="Q409"/>
          <cell r="S409"/>
          <cell r="U409"/>
          <cell r="W409"/>
          <cell r="Y409"/>
          <cell r="AA409"/>
          <cell r="AC409"/>
          <cell r="AE409"/>
          <cell r="AG409"/>
        </row>
        <row r="410">
          <cell r="D410"/>
          <cell r="E410"/>
          <cell r="F410"/>
          <cell r="G410"/>
          <cell r="H410"/>
          <cell r="I410"/>
          <cell r="K410"/>
          <cell r="M410"/>
          <cell r="O410"/>
          <cell r="Q410"/>
          <cell r="S410"/>
          <cell r="U410"/>
          <cell r="W410"/>
          <cell r="Y410"/>
          <cell r="AA410"/>
          <cell r="AC410"/>
          <cell r="AE410"/>
          <cell r="AG410"/>
        </row>
        <row r="411">
          <cell r="D411"/>
          <cell r="E411"/>
          <cell r="F411"/>
          <cell r="G411"/>
          <cell r="H411"/>
          <cell r="I411"/>
          <cell r="K411"/>
          <cell r="M411"/>
          <cell r="O411"/>
          <cell r="Q411"/>
          <cell r="S411"/>
          <cell r="U411"/>
          <cell r="W411"/>
          <cell r="Y411"/>
          <cell r="AA411"/>
          <cell r="AC411"/>
          <cell r="AE411"/>
          <cell r="AG411"/>
        </row>
        <row r="412">
          <cell r="D412"/>
          <cell r="E412"/>
          <cell r="F412"/>
          <cell r="G412"/>
          <cell r="H412"/>
          <cell r="I412"/>
          <cell r="K412"/>
          <cell r="M412"/>
          <cell r="O412"/>
          <cell r="Q412"/>
          <cell r="S412"/>
          <cell r="U412"/>
          <cell r="W412"/>
          <cell r="Y412"/>
          <cell r="AA412"/>
          <cell r="AC412"/>
          <cell r="AE412"/>
          <cell r="AG412"/>
        </row>
        <row r="413">
          <cell r="D413"/>
          <cell r="E413"/>
          <cell r="F413"/>
          <cell r="G413"/>
          <cell r="H413"/>
          <cell r="I413"/>
          <cell r="K413"/>
          <cell r="M413"/>
          <cell r="O413"/>
          <cell r="Q413"/>
          <cell r="S413"/>
          <cell r="U413"/>
          <cell r="W413"/>
          <cell r="Y413"/>
          <cell r="AA413"/>
          <cell r="AC413"/>
          <cell r="AE413"/>
          <cell r="AG413"/>
        </row>
        <row r="414">
          <cell r="D414"/>
          <cell r="E414"/>
          <cell r="F414"/>
          <cell r="G414"/>
          <cell r="H414"/>
          <cell r="I414"/>
          <cell r="K414"/>
          <cell r="M414"/>
          <cell r="O414"/>
          <cell r="Q414"/>
          <cell r="S414"/>
          <cell r="U414"/>
          <cell r="W414"/>
          <cell r="Y414"/>
          <cell r="AA414"/>
          <cell r="AC414"/>
          <cell r="AE414"/>
          <cell r="AG414"/>
        </row>
        <row r="415">
          <cell r="D415"/>
          <cell r="E415"/>
          <cell r="F415"/>
          <cell r="G415"/>
          <cell r="H415"/>
          <cell r="I415"/>
          <cell r="K415"/>
          <cell r="M415"/>
          <cell r="O415"/>
          <cell r="Q415"/>
          <cell r="S415"/>
          <cell r="U415"/>
          <cell r="W415"/>
          <cell r="Y415"/>
          <cell r="AA415"/>
          <cell r="AC415"/>
          <cell r="AE415"/>
          <cell r="AG415"/>
        </row>
        <row r="416">
          <cell r="D416"/>
          <cell r="E416"/>
          <cell r="F416"/>
          <cell r="G416"/>
          <cell r="H416"/>
          <cell r="I416"/>
          <cell r="K416"/>
          <cell r="M416"/>
          <cell r="O416"/>
          <cell r="Q416"/>
          <cell r="S416"/>
          <cell r="U416"/>
          <cell r="W416"/>
          <cell r="Y416"/>
          <cell r="AA416"/>
          <cell r="AC416"/>
          <cell r="AE416"/>
          <cell r="AG416"/>
        </row>
        <row r="417">
          <cell r="D417"/>
          <cell r="E417"/>
          <cell r="F417"/>
          <cell r="G417"/>
          <cell r="H417"/>
          <cell r="I417"/>
          <cell r="K417"/>
          <cell r="M417"/>
          <cell r="O417"/>
          <cell r="Q417"/>
          <cell r="S417"/>
          <cell r="U417"/>
          <cell r="W417"/>
          <cell r="Y417"/>
          <cell r="AA417"/>
          <cell r="AC417"/>
          <cell r="AE417"/>
          <cell r="AG417"/>
        </row>
        <row r="418">
          <cell r="D418"/>
          <cell r="E418"/>
          <cell r="F418"/>
          <cell r="G418"/>
          <cell r="H418"/>
          <cell r="I418"/>
          <cell r="K418"/>
          <cell r="M418"/>
          <cell r="O418"/>
          <cell r="Q418"/>
          <cell r="S418"/>
          <cell r="U418"/>
          <cell r="W418"/>
          <cell r="Y418"/>
          <cell r="AA418"/>
          <cell r="AC418"/>
          <cell r="AE418"/>
          <cell r="AG418"/>
        </row>
        <row r="419">
          <cell r="D419"/>
          <cell r="E419"/>
          <cell r="F419"/>
          <cell r="G419"/>
          <cell r="H419"/>
          <cell r="I419"/>
          <cell r="K419"/>
          <cell r="M419"/>
          <cell r="O419"/>
          <cell r="Q419"/>
          <cell r="S419"/>
          <cell r="U419"/>
          <cell r="W419"/>
          <cell r="Y419"/>
          <cell r="AA419"/>
          <cell r="AC419"/>
          <cell r="AE419"/>
          <cell r="AG419"/>
        </row>
        <row r="420">
          <cell r="D420"/>
          <cell r="E420"/>
          <cell r="F420"/>
          <cell r="G420"/>
          <cell r="H420"/>
          <cell r="I420"/>
          <cell r="K420"/>
          <cell r="M420"/>
          <cell r="O420"/>
          <cell r="Q420"/>
          <cell r="S420"/>
          <cell r="U420"/>
          <cell r="W420"/>
          <cell r="Y420"/>
          <cell r="AA420"/>
          <cell r="AC420"/>
          <cell r="AE420"/>
          <cell r="AG420"/>
        </row>
        <row r="421">
          <cell r="D421"/>
          <cell r="E421"/>
          <cell r="F421"/>
          <cell r="G421"/>
          <cell r="H421"/>
          <cell r="I421"/>
          <cell r="K421"/>
          <cell r="M421"/>
          <cell r="O421"/>
          <cell r="Q421"/>
          <cell r="S421"/>
          <cell r="U421"/>
          <cell r="W421"/>
          <cell r="Y421"/>
          <cell r="AA421"/>
          <cell r="AC421"/>
          <cell r="AE421"/>
          <cell r="AG421"/>
        </row>
        <row r="422">
          <cell r="D422"/>
          <cell r="E422"/>
          <cell r="F422"/>
          <cell r="G422"/>
          <cell r="H422"/>
          <cell r="I422"/>
          <cell r="K422"/>
          <cell r="M422"/>
          <cell r="O422"/>
          <cell r="Q422"/>
          <cell r="S422"/>
          <cell r="U422"/>
          <cell r="W422"/>
          <cell r="Y422"/>
          <cell r="AA422"/>
          <cell r="AC422"/>
          <cell r="AE422"/>
          <cell r="AG422"/>
        </row>
        <row r="423">
          <cell r="D423"/>
          <cell r="E423"/>
          <cell r="F423"/>
          <cell r="G423"/>
          <cell r="H423"/>
          <cell r="I423"/>
          <cell r="K423"/>
          <cell r="M423"/>
          <cell r="O423"/>
          <cell r="Q423"/>
          <cell r="S423"/>
          <cell r="U423"/>
          <cell r="W423"/>
          <cell r="Y423"/>
          <cell r="AA423"/>
          <cell r="AC423"/>
          <cell r="AE423"/>
          <cell r="AG423"/>
        </row>
        <row r="424">
          <cell r="D424"/>
          <cell r="E424"/>
          <cell r="F424"/>
          <cell r="G424"/>
          <cell r="H424"/>
          <cell r="I424"/>
          <cell r="K424"/>
          <cell r="M424"/>
          <cell r="O424"/>
          <cell r="Q424"/>
          <cell r="S424"/>
          <cell r="U424"/>
          <cell r="W424"/>
          <cell r="Y424"/>
          <cell r="AA424"/>
          <cell r="AC424"/>
          <cell r="AE424"/>
          <cell r="AG424"/>
        </row>
        <row r="425">
          <cell r="D425"/>
          <cell r="E425"/>
          <cell r="F425"/>
          <cell r="G425"/>
          <cell r="H425"/>
          <cell r="I425"/>
          <cell r="K425"/>
          <cell r="M425"/>
          <cell r="O425"/>
          <cell r="Q425"/>
          <cell r="S425"/>
          <cell r="U425"/>
          <cell r="W425"/>
          <cell r="Y425"/>
          <cell r="AA425"/>
          <cell r="AC425"/>
          <cell r="AE425"/>
          <cell r="AG425"/>
        </row>
        <row r="426">
          <cell r="D426"/>
          <cell r="E426"/>
          <cell r="F426"/>
          <cell r="G426"/>
          <cell r="H426"/>
          <cell r="I426"/>
          <cell r="K426"/>
          <cell r="M426"/>
          <cell r="O426"/>
          <cell r="Q426"/>
          <cell r="S426"/>
          <cell r="U426"/>
          <cell r="W426"/>
          <cell r="Y426"/>
          <cell r="AA426"/>
          <cell r="AC426"/>
          <cell r="AE426"/>
          <cell r="AG426"/>
        </row>
        <row r="427">
          <cell r="D427"/>
          <cell r="E427"/>
          <cell r="F427"/>
          <cell r="G427"/>
          <cell r="H427"/>
          <cell r="I427"/>
          <cell r="K427"/>
          <cell r="M427"/>
          <cell r="O427"/>
          <cell r="Q427"/>
          <cell r="S427"/>
          <cell r="U427"/>
          <cell r="W427"/>
          <cell r="Y427"/>
          <cell r="AA427"/>
          <cell r="AC427"/>
          <cell r="AE427"/>
          <cell r="AG427"/>
        </row>
        <row r="428">
          <cell r="D428"/>
          <cell r="E428"/>
          <cell r="F428"/>
          <cell r="G428"/>
          <cell r="H428"/>
          <cell r="I428"/>
          <cell r="K428"/>
          <cell r="M428"/>
          <cell r="O428"/>
          <cell r="Q428"/>
          <cell r="S428"/>
          <cell r="U428"/>
          <cell r="W428"/>
          <cell r="Y428"/>
          <cell r="AA428"/>
          <cell r="AC428"/>
          <cell r="AE428"/>
          <cell r="AG428"/>
        </row>
        <row r="429">
          <cell r="D429"/>
          <cell r="E429"/>
          <cell r="F429"/>
          <cell r="G429"/>
          <cell r="H429"/>
          <cell r="I429"/>
          <cell r="K429"/>
          <cell r="M429"/>
          <cell r="O429"/>
          <cell r="Q429"/>
          <cell r="S429"/>
          <cell r="U429"/>
          <cell r="W429"/>
          <cell r="Y429"/>
          <cell r="AA429"/>
          <cell r="AC429"/>
          <cell r="AE429"/>
          <cell r="AG429"/>
        </row>
        <row r="430">
          <cell r="D430"/>
          <cell r="E430"/>
          <cell r="F430"/>
          <cell r="G430"/>
          <cell r="H430"/>
          <cell r="I430"/>
          <cell r="K430"/>
          <cell r="M430"/>
          <cell r="O430"/>
          <cell r="Q430"/>
          <cell r="S430"/>
          <cell r="U430"/>
          <cell r="W430"/>
          <cell r="Y430"/>
          <cell r="AA430"/>
          <cell r="AC430"/>
          <cell r="AE430"/>
          <cell r="AG430"/>
        </row>
        <row r="431">
          <cell r="D431"/>
          <cell r="E431"/>
          <cell r="F431"/>
          <cell r="G431"/>
          <cell r="H431"/>
          <cell r="I431"/>
          <cell r="K431"/>
          <cell r="M431"/>
          <cell r="O431"/>
          <cell r="Q431"/>
          <cell r="S431"/>
          <cell r="U431"/>
          <cell r="W431"/>
          <cell r="Y431"/>
          <cell r="AA431"/>
          <cell r="AC431"/>
          <cell r="AE431"/>
          <cell r="AG431"/>
        </row>
        <row r="432">
          <cell r="D432"/>
          <cell r="E432"/>
          <cell r="F432"/>
          <cell r="G432"/>
          <cell r="H432"/>
          <cell r="I432"/>
          <cell r="K432"/>
          <cell r="M432"/>
          <cell r="O432"/>
          <cell r="Q432"/>
          <cell r="S432"/>
          <cell r="U432"/>
          <cell r="W432"/>
          <cell r="Y432"/>
          <cell r="AA432"/>
          <cell r="AC432"/>
          <cell r="AE432"/>
          <cell r="AG432"/>
        </row>
        <row r="433">
          <cell r="D433"/>
          <cell r="E433"/>
          <cell r="F433"/>
          <cell r="G433"/>
          <cell r="H433"/>
          <cell r="I433"/>
          <cell r="K433"/>
          <cell r="M433"/>
          <cell r="O433"/>
          <cell r="Q433"/>
          <cell r="S433"/>
          <cell r="U433"/>
          <cell r="W433"/>
          <cell r="Y433"/>
          <cell r="AA433"/>
          <cell r="AC433"/>
          <cell r="AE433"/>
          <cell r="AG433"/>
        </row>
        <row r="434">
          <cell r="D434"/>
          <cell r="E434"/>
          <cell r="F434"/>
          <cell r="G434"/>
          <cell r="H434"/>
          <cell r="I434"/>
          <cell r="K434"/>
          <cell r="M434"/>
          <cell r="O434"/>
          <cell r="Q434"/>
          <cell r="S434"/>
          <cell r="U434"/>
          <cell r="W434"/>
          <cell r="Y434"/>
          <cell r="AA434"/>
          <cell r="AC434"/>
          <cell r="AE434"/>
          <cell r="AG434"/>
        </row>
        <row r="435">
          <cell r="D435"/>
          <cell r="E435"/>
          <cell r="F435"/>
          <cell r="G435"/>
          <cell r="H435"/>
          <cell r="I435"/>
          <cell r="K435"/>
          <cell r="M435"/>
          <cell r="O435"/>
          <cell r="Q435"/>
          <cell r="S435"/>
          <cell r="U435"/>
          <cell r="W435"/>
          <cell r="Y435"/>
          <cell r="AA435"/>
          <cell r="AC435"/>
          <cell r="AE435"/>
          <cell r="AG435"/>
        </row>
        <row r="436">
          <cell r="D436"/>
          <cell r="E436"/>
          <cell r="F436"/>
          <cell r="G436"/>
          <cell r="H436"/>
          <cell r="I436"/>
          <cell r="K436"/>
          <cell r="M436"/>
          <cell r="O436"/>
          <cell r="Q436"/>
          <cell r="S436"/>
          <cell r="U436"/>
          <cell r="W436"/>
          <cell r="Y436"/>
          <cell r="AA436"/>
          <cell r="AC436"/>
          <cell r="AE436"/>
          <cell r="AG436"/>
        </row>
        <row r="437">
          <cell r="D437"/>
          <cell r="E437"/>
          <cell r="F437"/>
          <cell r="G437"/>
          <cell r="H437"/>
          <cell r="I437"/>
          <cell r="K437"/>
          <cell r="M437"/>
          <cell r="O437"/>
          <cell r="Q437"/>
          <cell r="S437"/>
          <cell r="U437"/>
          <cell r="W437"/>
          <cell r="Y437"/>
          <cell r="AA437"/>
          <cell r="AC437"/>
          <cell r="AE437"/>
          <cell r="AG437"/>
        </row>
        <row r="438">
          <cell r="D438"/>
          <cell r="E438"/>
          <cell r="F438"/>
          <cell r="G438"/>
          <cell r="H438"/>
          <cell r="I438"/>
          <cell r="K438"/>
          <cell r="M438"/>
          <cell r="O438"/>
          <cell r="Q438"/>
          <cell r="S438"/>
          <cell r="U438"/>
          <cell r="W438"/>
          <cell r="Y438"/>
          <cell r="AA438"/>
          <cell r="AC438"/>
          <cell r="AE438"/>
          <cell r="AG438"/>
        </row>
        <row r="439">
          <cell r="D439"/>
          <cell r="E439"/>
          <cell r="F439"/>
          <cell r="G439"/>
          <cell r="H439"/>
          <cell r="I439"/>
          <cell r="K439"/>
          <cell r="M439"/>
          <cell r="O439"/>
          <cell r="Q439"/>
          <cell r="S439"/>
          <cell r="U439"/>
          <cell r="W439"/>
          <cell r="Y439"/>
          <cell r="AA439"/>
          <cell r="AC439"/>
          <cell r="AE439"/>
          <cell r="AG439"/>
        </row>
        <row r="440">
          <cell r="D440"/>
          <cell r="E440"/>
          <cell r="F440"/>
          <cell r="G440"/>
          <cell r="H440"/>
          <cell r="I440"/>
          <cell r="K440"/>
          <cell r="M440"/>
          <cell r="O440"/>
          <cell r="Q440"/>
          <cell r="S440"/>
          <cell r="U440"/>
          <cell r="W440"/>
          <cell r="Y440"/>
          <cell r="AA440"/>
          <cell r="AC440"/>
          <cell r="AE440"/>
          <cell r="AG440"/>
        </row>
        <row r="441">
          <cell r="D441"/>
          <cell r="E441"/>
          <cell r="F441"/>
          <cell r="G441"/>
          <cell r="H441"/>
          <cell r="I441"/>
          <cell r="K441"/>
          <cell r="M441"/>
          <cell r="O441"/>
          <cell r="Q441"/>
          <cell r="S441"/>
          <cell r="U441"/>
          <cell r="W441"/>
          <cell r="Y441"/>
          <cell r="AA441"/>
          <cell r="AC441"/>
          <cell r="AE441"/>
          <cell r="AG441"/>
        </row>
        <row r="442">
          <cell r="D442"/>
          <cell r="E442"/>
          <cell r="F442"/>
          <cell r="G442"/>
          <cell r="H442"/>
          <cell r="I442"/>
          <cell r="K442"/>
          <cell r="M442"/>
          <cell r="O442"/>
          <cell r="Q442"/>
          <cell r="S442"/>
          <cell r="U442"/>
          <cell r="W442"/>
          <cell r="Y442"/>
          <cell r="AA442"/>
          <cell r="AC442"/>
          <cell r="AE442"/>
          <cell r="AG442"/>
        </row>
        <row r="443">
          <cell r="D443"/>
          <cell r="E443"/>
          <cell r="F443"/>
          <cell r="G443"/>
          <cell r="H443"/>
          <cell r="I443"/>
          <cell r="K443"/>
          <cell r="M443"/>
          <cell r="O443"/>
          <cell r="Q443"/>
          <cell r="S443"/>
          <cell r="U443"/>
          <cell r="W443"/>
          <cell r="Y443"/>
          <cell r="AA443"/>
          <cell r="AC443"/>
          <cell r="AE443"/>
          <cell r="AG443"/>
        </row>
        <row r="444">
          <cell r="D444"/>
          <cell r="E444"/>
          <cell r="F444"/>
          <cell r="G444"/>
          <cell r="H444"/>
          <cell r="I444"/>
          <cell r="K444"/>
          <cell r="M444"/>
          <cell r="O444"/>
          <cell r="Q444"/>
          <cell r="S444"/>
          <cell r="U444"/>
          <cell r="W444"/>
          <cell r="Y444"/>
          <cell r="AA444"/>
          <cell r="AC444"/>
          <cell r="AE444"/>
          <cell r="AG444"/>
        </row>
        <row r="445">
          <cell r="D445"/>
          <cell r="E445"/>
          <cell r="F445"/>
          <cell r="G445"/>
          <cell r="H445"/>
          <cell r="I445"/>
          <cell r="K445"/>
          <cell r="M445"/>
          <cell r="O445"/>
          <cell r="Q445"/>
          <cell r="S445"/>
          <cell r="U445"/>
          <cell r="W445"/>
          <cell r="Y445"/>
          <cell r="AA445"/>
          <cell r="AC445"/>
          <cell r="AE445"/>
          <cell r="AG445"/>
        </row>
        <row r="446">
          <cell r="D446"/>
          <cell r="E446"/>
          <cell r="F446"/>
          <cell r="G446"/>
          <cell r="H446"/>
          <cell r="I446"/>
          <cell r="K446"/>
          <cell r="M446"/>
          <cell r="O446"/>
          <cell r="Q446"/>
          <cell r="S446"/>
          <cell r="U446"/>
          <cell r="W446"/>
          <cell r="Y446"/>
          <cell r="AA446"/>
          <cell r="AC446"/>
          <cell r="AE446"/>
          <cell r="AG446"/>
        </row>
        <row r="447">
          <cell r="D447"/>
          <cell r="E447"/>
          <cell r="F447"/>
          <cell r="G447"/>
          <cell r="H447"/>
          <cell r="I447"/>
          <cell r="K447"/>
          <cell r="M447"/>
          <cell r="O447"/>
          <cell r="Q447"/>
          <cell r="S447"/>
          <cell r="U447"/>
          <cell r="W447"/>
          <cell r="Y447"/>
          <cell r="AA447"/>
          <cell r="AC447"/>
          <cell r="AE447"/>
          <cell r="AG447"/>
        </row>
        <row r="448">
          <cell r="D448"/>
          <cell r="E448"/>
          <cell r="F448"/>
          <cell r="G448"/>
          <cell r="H448"/>
          <cell r="I448"/>
          <cell r="K448"/>
          <cell r="M448"/>
          <cell r="O448"/>
          <cell r="Q448"/>
          <cell r="S448"/>
          <cell r="U448"/>
          <cell r="W448"/>
          <cell r="Y448"/>
          <cell r="AA448"/>
          <cell r="AC448"/>
          <cell r="AE448"/>
          <cell r="AG448"/>
        </row>
        <row r="449">
          <cell r="D449"/>
          <cell r="E449"/>
          <cell r="F449"/>
          <cell r="G449"/>
          <cell r="H449"/>
          <cell r="I449"/>
          <cell r="K449"/>
          <cell r="M449"/>
          <cell r="O449"/>
          <cell r="Q449"/>
          <cell r="S449"/>
          <cell r="U449"/>
          <cell r="W449"/>
          <cell r="Y449"/>
          <cell r="AA449"/>
          <cell r="AC449"/>
          <cell r="AE449"/>
          <cell r="AG449"/>
        </row>
        <row r="450">
          <cell r="D450"/>
          <cell r="E450"/>
          <cell r="F450"/>
          <cell r="G450"/>
          <cell r="H450"/>
          <cell r="I450"/>
          <cell r="K450"/>
          <cell r="M450"/>
          <cell r="O450"/>
          <cell r="Q450"/>
          <cell r="S450"/>
          <cell r="U450"/>
          <cell r="W450"/>
          <cell r="Y450"/>
          <cell r="AA450"/>
          <cell r="AC450"/>
          <cell r="AE450"/>
          <cell r="AG450"/>
        </row>
        <row r="451">
          <cell r="D451"/>
          <cell r="E451"/>
          <cell r="F451"/>
          <cell r="G451"/>
          <cell r="H451"/>
          <cell r="I451"/>
          <cell r="K451"/>
          <cell r="M451"/>
          <cell r="O451"/>
          <cell r="Q451"/>
          <cell r="S451"/>
          <cell r="U451"/>
          <cell r="W451"/>
          <cell r="Y451"/>
          <cell r="AA451"/>
          <cell r="AC451"/>
          <cell r="AE451"/>
          <cell r="AG451"/>
        </row>
        <row r="452">
          <cell r="D452"/>
          <cell r="E452"/>
          <cell r="F452"/>
          <cell r="G452"/>
          <cell r="H452"/>
          <cell r="I452"/>
          <cell r="K452"/>
          <cell r="M452"/>
          <cell r="O452"/>
          <cell r="Q452"/>
          <cell r="S452"/>
          <cell r="U452"/>
          <cell r="W452"/>
          <cell r="Y452"/>
          <cell r="AA452"/>
          <cell r="AC452"/>
          <cell r="AE452"/>
          <cell r="AG452"/>
        </row>
        <row r="453">
          <cell r="D453"/>
          <cell r="E453"/>
          <cell r="F453"/>
          <cell r="G453"/>
          <cell r="H453"/>
          <cell r="I453"/>
          <cell r="K453"/>
          <cell r="M453"/>
          <cell r="O453"/>
          <cell r="Q453"/>
          <cell r="S453"/>
          <cell r="U453"/>
          <cell r="W453"/>
          <cell r="Y453"/>
          <cell r="AA453"/>
          <cell r="AC453"/>
          <cell r="AE453"/>
          <cell r="AG453"/>
        </row>
        <row r="454">
          <cell r="D454"/>
          <cell r="E454"/>
          <cell r="F454"/>
          <cell r="G454"/>
          <cell r="H454"/>
          <cell r="I454"/>
          <cell r="K454"/>
          <cell r="M454"/>
          <cell r="O454"/>
          <cell r="Q454"/>
          <cell r="S454"/>
          <cell r="U454"/>
          <cell r="W454"/>
          <cell r="Y454"/>
          <cell r="AA454"/>
          <cell r="AC454"/>
          <cell r="AE454"/>
          <cell r="AG454"/>
        </row>
        <row r="455">
          <cell r="D455"/>
          <cell r="E455"/>
          <cell r="F455"/>
          <cell r="G455"/>
          <cell r="H455"/>
          <cell r="I455"/>
          <cell r="K455"/>
          <cell r="M455"/>
          <cell r="O455"/>
          <cell r="Q455"/>
          <cell r="S455"/>
          <cell r="U455"/>
          <cell r="W455"/>
          <cell r="Y455"/>
          <cell r="AA455"/>
          <cell r="AC455"/>
          <cell r="AE455"/>
          <cell r="AG455"/>
        </row>
        <row r="456">
          <cell r="D456"/>
          <cell r="E456"/>
          <cell r="F456"/>
          <cell r="G456"/>
          <cell r="H456"/>
          <cell r="I456"/>
          <cell r="K456"/>
          <cell r="M456"/>
          <cell r="O456"/>
          <cell r="Q456"/>
          <cell r="S456"/>
          <cell r="U456"/>
          <cell r="W456"/>
          <cell r="Y456"/>
          <cell r="AA456"/>
          <cell r="AC456"/>
          <cell r="AE456"/>
          <cell r="AG456"/>
        </row>
        <row r="457">
          <cell r="D457"/>
          <cell r="E457"/>
          <cell r="F457"/>
          <cell r="G457"/>
          <cell r="H457"/>
          <cell r="I457"/>
          <cell r="K457"/>
          <cell r="M457"/>
          <cell r="O457"/>
          <cell r="Q457"/>
          <cell r="S457"/>
          <cell r="U457"/>
          <cell r="W457"/>
          <cell r="Y457"/>
          <cell r="AA457"/>
          <cell r="AC457"/>
          <cell r="AE457"/>
          <cell r="AG457"/>
        </row>
        <row r="458">
          <cell r="D458"/>
          <cell r="E458"/>
          <cell r="F458"/>
          <cell r="G458"/>
          <cell r="H458"/>
          <cell r="I458"/>
          <cell r="K458"/>
          <cell r="M458"/>
          <cell r="O458"/>
          <cell r="Q458"/>
          <cell r="S458"/>
          <cell r="U458"/>
          <cell r="W458"/>
          <cell r="Y458"/>
          <cell r="AA458"/>
          <cell r="AC458"/>
          <cell r="AE458"/>
          <cell r="AG458"/>
        </row>
        <row r="459">
          <cell r="D459"/>
          <cell r="E459"/>
          <cell r="F459"/>
          <cell r="G459"/>
          <cell r="H459"/>
          <cell r="I459"/>
          <cell r="K459"/>
          <cell r="M459"/>
          <cell r="O459"/>
          <cell r="Q459"/>
          <cell r="S459"/>
          <cell r="U459"/>
          <cell r="W459"/>
          <cell r="Y459"/>
          <cell r="AA459"/>
          <cell r="AC459"/>
          <cell r="AE459"/>
          <cell r="AG459"/>
        </row>
        <row r="460">
          <cell r="D460"/>
          <cell r="E460"/>
          <cell r="F460"/>
          <cell r="G460"/>
          <cell r="H460"/>
          <cell r="I460"/>
          <cell r="K460"/>
          <cell r="M460"/>
          <cell r="O460"/>
          <cell r="Q460"/>
          <cell r="S460"/>
          <cell r="U460"/>
          <cell r="W460"/>
          <cell r="Y460"/>
          <cell r="AA460"/>
          <cell r="AC460"/>
          <cell r="AE460"/>
          <cell r="AG460"/>
        </row>
        <row r="461">
          <cell r="D461"/>
          <cell r="E461"/>
          <cell r="F461"/>
          <cell r="G461"/>
          <cell r="H461"/>
          <cell r="I461"/>
          <cell r="K461"/>
          <cell r="M461"/>
          <cell r="O461"/>
          <cell r="Q461"/>
          <cell r="S461"/>
          <cell r="U461"/>
          <cell r="W461"/>
          <cell r="Y461"/>
          <cell r="AA461"/>
          <cell r="AC461"/>
          <cell r="AE461"/>
          <cell r="AG461"/>
        </row>
        <row r="462">
          <cell r="D462"/>
          <cell r="E462"/>
          <cell r="F462"/>
          <cell r="G462"/>
          <cell r="H462"/>
          <cell r="I462"/>
          <cell r="K462"/>
          <cell r="M462"/>
          <cell r="O462"/>
          <cell r="Q462"/>
          <cell r="S462"/>
          <cell r="U462"/>
          <cell r="W462"/>
          <cell r="Y462"/>
          <cell r="AA462"/>
          <cell r="AC462"/>
          <cell r="AE462"/>
          <cell r="AG462"/>
        </row>
        <row r="463">
          <cell r="D463"/>
          <cell r="E463"/>
          <cell r="F463"/>
          <cell r="G463"/>
          <cell r="H463"/>
          <cell r="I463"/>
          <cell r="K463"/>
          <cell r="M463"/>
          <cell r="O463"/>
          <cell r="Q463"/>
          <cell r="S463"/>
          <cell r="U463"/>
          <cell r="W463"/>
          <cell r="Y463"/>
          <cell r="AA463"/>
          <cell r="AC463"/>
          <cell r="AE463"/>
          <cell r="AG463"/>
        </row>
        <row r="464">
          <cell r="D464"/>
          <cell r="E464"/>
          <cell r="F464"/>
          <cell r="G464"/>
          <cell r="H464"/>
          <cell r="I464"/>
          <cell r="K464"/>
          <cell r="M464"/>
          <cell r="O464"/>
          <cell r="Q464"/>
          <cell r="S464"/>
          <cell r="U464"/>
          <cell r="W464"/>
          <cell r="Y464"/>
          <cell r="AA464"/>
          <cell r="AC464"/>
          <cell r="AE464"/>
          <cell r="AG464"/>
        </row>
        <row r="465">
          <cell r="D465"/>
          <cell r="E465"/>
          <cell r="F465"/>
          <cell r="G465"/>
          <cell r="H465"/>
          <cell r="I465"/>
          <cell r="K465"/>
          <cell r="M465"/>
          <cell r="O465"/>
          <cell r="Q465"/>
          <cell r="S465"/>
          <cell r="U465"/>
          <cell r="W465"/>
          <cell r="Y465"/>
          <cell r="AA465"/>
          <cell r="AC465"/>
          <cell r="AE465"/>
          <cell r="AG465"/>
        </row>
        <row r="466">
          <cell r="D466"/>
          <cell r="E466"/>
          <cell r="F466"/>
          <cell r="G466"/>
          <cell r="H466"/>
          <cell r="I466"/>
          <cell r="K466"/>
          <cell r="M466"/>
          <cell r="O466"/>
          <cell r="Q466"/>
          <cell r="S466"/>
          <cell r="U466"/>
          <cell r="W466"/>
          <cell r="Y466"/>
          <cell r="AA466"/>
          <cell r="AC466"/>
          <cell r="AE466"/>
          <cell r="AG466"/>
        </row>
        <row r="467">
          <cell r="D467"/>
          <cell r="E467"/>
          <cell r="F467"/>
          <cell r="G467"/>
          <cell r="H467"/>
          <cell r="I467"/>
          <cell r="K467"/>
          <cell r="M467"/>
          <cell r="O467"/>
          <cell r="Q467"/>
          <cell r="S467"/>
          <cell r="U467"/>
          <cell r="W467"/>
          <cell r="Y467"/>
          <cell r="AA467"/>
          <cell r="AC467"/>
          <cell r="AE467"/>
          <cell r="AG467"/>
        </row>
        <row r="468">
          <cell r="D468"/>
          <cell r="E468"/>
          <cell r="F468"/>
          <cell r="G468"/>
          <cell r="H468"/>
          <cell r="I468"/>
          <cell r="K468"/>
          <cell r="M468"/>
          <cell r="O468"/>
          <cell r="Q468"/>
          <cell r="S468"/>
          <cell r="U468"/>
          <cell r="W468"/>
          <cell r="Y468"/>
          <cell r="AA468"/>
          <cell r="AC468"/>
          <cell r="AE468"/>
          <cell r="AG468"/>
        </row>
        <row r="469">
          <cell r="D469"/>
          <cell r="E469"/>
          <cell r="F469"/>
          <cell r="G469"/>
          <cell r="H469"/>
          <cell r="I469"/>
          <cell r="K469"/>
          <cell r="M469"/>
          <cell r="O469"/>
          <cell r="Q469"/>
          <cell r="S469"/>
          <cell r="U469"/>
          <cell r="W469"/>
          <cell r="Y469"/>
          <cell r="AA469"/>
          <cell r="AC469"/>
          <cell r="AE469"/>
          <cell r="AG469"/>
        </row>
        <row r="470">
          <cell r="D470"/>
          <cell r="E470"/>
          <cell r="F470"/>
          <cell r="G470"/>
          <cell r="H470"/>
          <cell r="I470"/>
          <cell r="K470"/>
          <cell r="M470"/>
          <cell r="O470"/>
          <cell r="Q470"/>
          <cell r="S470"/>
          <cell r="U470"/>
          <cell r="W470"/>
          <cell r="Y470"/>
          <cell r="AA470"/>
          <cell r="AC470"/>
          <cell r="AE470"/>
          <cell r="AG470"/>
        </row>
        <row r="471">
          <cell r="D471"/>
          <cell r="E471"/>
          <cell r="F471"/>
          <cell r="G471"/>
          <cell r="H471"/>
          <cell r="I471"/>
          <cell r="K471"/>
          <cell r="M471"/>
          <cell r="O471"/>
          <cell r="Q471"/>
          <cell r="S471"/>
          <cell r="U471"/>
          <cell r="W471"/>
          <cell r="Y471"/>
          <cell r="AA471"/>
          <cell r="AC471"/>
          <cell r="AE471"/>
          <cell r="AG471"/>
        </row>
        <row r="472">
          <cell r="D472"/>
          <cell r="E472"/>
          <cell r="F472"/>
          <cell r="G472"/>
          <cell r="H472"/>
          <cell r="I472"/>
          <cell r="K472"/>
          <cell r="M472"/>
          <cell r="O472"/>
          <cell r="Q472"/>
          <cell r="S472"/>
          <cell r="U472"/>
          <cell r="W472"/>
          <cell r="Y472"/>
          <cell r="AA472"/>
          <cell r="AC472"/>
          <cell r="AE472"/>
          <cell r="AG472"/>
        </row>
        <row r="473">
          <cell r="D473"/>
          <cell r="E473"/>
          <cell r="F473"/>
          <cell r="G473"/>
          <cell r="H473"/>
          <cell r="I473"/>
          <cell r="K473"/>
          <cell r="M473"/>
          <cell r="O473"/>
          <cell r="Q473"/>
          <cell r="S473"/>
          <cell r="U473"/>
          <cell r="W473"/>
          <cell r="Y473"/>
          <cell r="AA473"/>
          <cell r="AC473"/>
          <cell r="AE473"/>
          <cell r="AG473"/>
        </row>
        <row r="474">
          <cell r="D474"/>
          <cell r="E474"/>
          <cell r="F474"/>
          <cell r="G474"/>
          <cell r="H474"/>
          <cell r="I474"/>
          <cell r="K474"/>
          <cell r="M474"/>
          <cell r="O474"/>
          <cell r="Q474"/>
          <cell r="S474"/>
          <cell r="U474"/>
          <cell r="W474"/>
          <cell r="Y474"/>
          <cell r="AA474"/>
          <cell r="AC474"/>
          <cell r="AE474"/>
          <cell r="AG474"/>
        </row>
        <row r="475">
          <cell r="D475"/>
          <cell r="E475"/>
          <cell r="F475"/>
          <cell r="G475"/>
          <cell r="H475"/>
          <cell r="I475"/>
          <cell r="K475"/>
          <cell r="M475"/>
          <cell r="O475"/>
          <cell r="Q475"/>
          <cell r="S475"/>
          <cell r="U475"/>
          <cell r="W475"/>
          <cell r="Y475"/>
          <cell r="AA475"/>
          <cell r="AC475"/>
          <cell r="AE475"/>
          <cell r="AG475"/>
        </row>
        <row r="476">
          <cell r="D476"/>
          <cell r="E476"/>
          <cell r="F476"/>
          <cell r="G476"/>
          <cell r="H476"/>
          <cell r="I476"/>
          <cell r="K476"/>
          <cell r="M476"/>
          <cell r="O476"/>
          <cell r="Q476"/>
          <cell r="S476"/>
          <cell r="U476"/>
          <cell r="W476"/>
          <cell r="Y476"/>
          <cell r="AA476"/>
          <cell r="AC476"/>
          <cell r="AE476"/>
          <cell r="AG476"/>
        </row>
        <row r="477">
          <cell r="D477"/>
          <cell r="E477"/>
          <cell r="F477"/>
          <cell r="G477"/>
          <cell r="H477"/>
          <cell r="I477"/>
          <cell r="K477"/>
          <cell r="M477"/>
          <cell r="O477"/>
          <cell r="Q477"/>
          <cell r="S477"/>
          <cell r="U477"/>
          <cell r="W477"/>
          <cell r="Y477"/>
          <cell r="AA477"/>
          <cell r="AC477"/>
          <cell r="AE477"/>
          <cell r="AG477"/>
        </row>
        <row r="478">
          <cell r="D478"/>
          <cell r="E478"/>
          <cell r="F478"/>
          <cell r="G478"/>
          <cell r="H478"/>
          <cell r="I478"/>
          <cell r="K478"/>
          <cell r="M478"/>
          <cell r="O478"/>
          <cell r="Q478"/>
          <cell r="S478"/>
          <cell r="U478"/>
          <cell r="W478"/>
          <cell r="Y478"/>
          <cell r="AA478"/>
          <cell r="AC478"/>
          <cell r="AE478"/>
          <cell r="AG478"/>
        </row>
        <row r="479">
          <cell r="D479"/>
          <cell r="E479"/>
          <cell r="F479"/>
          <cell r="G479"/>
          <cell r="H479"/>
          <cell r="I479"/>
          <cell r="K479"/>
          <cell r="M479"/>
          <cell r="O479"/>
          <cell r="Q479"/>
          <cell r="S479"/>
          <cell r="U479"/>
          <cell r="W479"/>
          <cell r="Y479"/>
          <cell r="AA479"/>
          <cell r="AC479"/>
          <cell r="AE479"/>
          <cell r="AG479"/>
        </row>
        <row r="480">
          <cell r="D480"/>
          <cell r="E480"/>
          <cell r="F480"/>
          <cell r="G480"/>
          <cell r="H480"/>
          <cell r="I480"/>
          <cell r="K480"/>
          <cell r="M480"/>
          <cell r="O480"/>
          <cell r="Q480"/>
          <cell r="S480"/>
          <cell r="U480"/>
          <cell r="W480"/>
          <cell r="Y480"/>
          <cell r="AA480"/>
          <cell r="AC480"/>
          <cell r="AE480"/>
          <cell r="AG480"/>
        </row>
        <row r="481">
          <cell r="D481"/>
          <cell r="E481"/>
          <cell r="F481"/>
          <cell r="G481"/>
          <cell r="H481"/>
          <cell r="I481"/>
          <cell r="K481"/>
          <cell r="M481"/>
          <cell r="O481"/>
          <cell r="Q481"/>
          <cell r="S481"/>
          <cell r="U481"/>
          <cell r="W481"/>
          <cell r="Y481"/>
          <cell r="AA481"/>
          <cell r="AC481"/>
          <cell r="AE481"/>
          <cell r="AG481"/>
        </row>
        <row r="482">
          <cell r="D482"/>
          <cell r="E482"/>
          <cell r="F482"/>
          <cell r="G482"/>
          <cell r="H482"/>
          <cell r="I482"/>
          <cell r="K482"/>
          <cell r="M482"/>
          <cell r="O482"/>
          <cell r="Q482"/>
          <cell r="S482"/>
          <cell r="U482"/>
          <cell r="W482"/>
          <cell r="Y482"/>
          <cell r="AA482"/>
          <cell r="AC482"/>
          <cell r="AE482"/>
          <cell r="AG482"/>
        </row>
        <row r="483">
          <cell r="D483"/>
          <cell r="E483"/>
          <cell r="F483"/>
          <cell r="G483"/>
          <cell r="H483"/>
          <cell r="I483"/>
          <cell r="K483"/>
          <cell r="M483"/>
          <cell r="O483"/>
          <cell r="Q483"/>
          <cell r="S483"/>
          <cell r="U483"/>
          <cell r="W483"/>
          <cell r="Y483"/>
          <cell r="AA483"/>
          <cell r="AC483"/>
          <cell r="AE483"/>
          <cell r="AG483"/>
        </row>
        <row r="484">
          <cell r="D484"/>
          <cell r="E484"/>
          <cell r="F484"/>
          <cell r="G484"/>
          <cell r="H484"/>
          <cell r="I484"/>
          <cell r="K484"/>
          <cell r="M484"/>
          <cell r="O484"/>
          <cell r="Q484"/>
          <cell r="S484"/>
          <cell r="U484"/>
          <cell r="W484"/>
          <cell r="Y484"/>
          <cell r="AA484"/>
          <cell r="AC484"/>
          <cell r="AE484"/>
          <cell r="AG484"/>
        </row>
        <row r="485">
          <cell r="D485"/>
          <cell r="E485"/>
          <cell r="F485"/>
          <cell r="G485"/>
          <cell r="H485"/>
          <cell r="I485"/>
          <cell r="K485"/>
          <cell r="M485"/>
          <cell r="O485"/>
          <cell r="Q485"/>
          <cell r="S485"/>
          <cell r="U485"/>
          <cell r="W485"/>
          <cell r="Y485"/>
          <cell r="AA485"/>
          <cell r="AC485"/>
          <cell r="AE485"/>
          <cell r="AG485"/>
        </row>
        <row r="486">
          <cell r="D486"/>
          <cell r="E486"/>
          <cell r="F486"/>
          <cell r="G486"/>
          <cell r="H486"/>
          <cell r="I486"/>
          <cell r="K486"/>
          <cell r="M486"/>
          <cell r="O486"/>
          <cell r="Q486"/>
          <cell r="S486"/>
          <cell r="U486"/>
          <cell r="W486"/>
          <cell r="Y486"/>
          <cell r="AA486"/>
          <cell r="AC486"/>
          <cell r="AE486"/>
          <cell r="AG486"/>
        </row>
        <row r="487">
          <cell r="D487"/>
          <cell r="E487"/>
          <cell r="F487"/>
          <cell r="G487"/>
          <cell r="H487"/>
          <cell r="I487"/>
          <cell r="K487"/>
          <cell r="M487"/>
          <cell r="O487"/>
          <cell r="Q487"/>
          <cell r="S487"/>
          <cell r="U487"/>
          <cell r="W487"/>
          <cell r="Y487"/>
          <cell r="AA487"/>
          <cell r="AC487"/>
          <cell r="AE487"/>
          <cell r="AG487"/>
        </row>
        <row r="488">
          <cell r="D488"/>
          <cell r="E488"/>
          <cell r="F488"/>
          <cell r="G488"/>
          <cell r="H488"/>
          <cell r="I488"/>
          <cell r="K488"/>
          <cell r="M488"/>
          <cell r="O488"/>
          <cell r="Q488"/>
          <cell r="S488"/>
          <cell r="U488"/>
          <cell r="W488"/>
          <cell r="Y488"/>
          <cell r="AA488"/>
          <cell r="AC488"/>
          <cell r="AE488"/>
          <cell r="AG488"/>
        </row>
        <row r="489">
          <cell r="D489"/>
          <cell r="E489"/>
          <cell r="F489"/>
          <cell r="G489"/>
          <cell r="H489"/>
          <cell r="I489"/>
          <cell r="K489"/>
          <cell r="M489"/>
          <cell r="O489"/>
          <cell r="Q489"/>
          <cell r="S489"/>
          <cell r="U489"/>
          <cell r="W489"/>
          <cell r="Y489"/>
          <cell r="AA489"/>
          <cell r="AC489"/>
          <cell r="AE489"/>
          <cell r="AG489"/>
        </row>
        <row r="490">
          <cell r="D490"/>
          <cell r="E490"/>
          <cell r="F490"/>
          <cell r="G490"/>
          <cell r="H490"/>
          <cell r="I490"/>
          <cell r="K490"/>
          <cell r="M490"/>
          <cell r="O490"/>
          <cell r="Q490"/>
          <cell r="S490"/>
          <cell r="U490"/>
          <cell r="W490"/>
          <cell r="Y490"/>
          <cell r="AA490"/>
          <cell r="AC490"/>
          <cell r="AE490"/>
          <cell r="AG490"/>
        </row>
        <row r="491">
          <cell r="D491"/>
          <cell r="E491"/>
          <cell r="F491"/>
          <cell r="G491"/>
          <cell r="H491"/>
          <cell r="I491"/>
          <cell r="K491"/>
          <cell r="M491"/>
          <cell r="O491"/>
          <cell r="Q491"/>
          <cell r="S491"/>
          <cell r="U491"/>
          <cell r="W491"/>
          <cell r="Y491"/>
          <cell r="AA491"/>
          <cell r="AC491"/>
          <cell r="AE491"/>
          <cell r="AG491"/>
        </row>
        <row r="492">
          <cell r="D492"/>
          <cell r="E492"/>
          <cell r="F492"/>
          <cell r="G492"/>
          <cell r="H492"/>
          <cell r="I492"/>
          <cell r="K492"/>
          <cell r="M492"/>
          <cell r="O492"/>
          <cell r="Q492"/>
          <cell r="S492"/>
          <cell r="U492"/>
          <cell r="W492"/>
          <cell r="Y492"/>
          <cell r="AA492"/>
          <cell r="AC492"/>
          <cell r="AE492"/>
          <cell r="AG492"/>
        </row>
        <row r="493">
          <cell r="D493"/>
          <cell r="E493"/>
          <cell r="F493"/>
          <cell r="G493"/>
          <cell r="H493"/>
          <cell r="I493"/>
          <cell r="K493"/>
          <cell r="M493"/>
          <cell r="O493"/>
          <cell r="Q493"/>
          <cell r="S493"/>
          <cell r="U493"/>
          <cell r="W493"/>
          <cell r="Y493"/>
          <cell r="AA493"/>
          <cell r="AC493"/>
          <cell r="AE493"/>
          <cell r="AG493"/>
        </row>
        <row r="494">
          <cell r="D494"/>
          <cell r="E494"/>
          <cell r="F494"/>
          <cell r="G494"/>
          <cell r="H494"/>
          <cell r="I494"/>
          <cell r="K494"/>
          <cell r="M494"/>
          <cell r="O494"/>
          <cell r="Q494"/>
          <cell r="S494"/>
          <cell r="U494"/>
          <cell r="W494"/>
          <cell r="Y494"/>
          <cell r="AA494"/>
          <cell r="AC494"/>
          <cell r="AE494"/>
          <cell r="AG494"/>
        </row>
        <row r="495">
          <cell r="D495"/>
          <cell r="E495"/>
          <cell r="F495"/>
          <cell r="G495"/>
          <cell r="H495"/>
          <cell r="I495"/>
          <cell r="K495"/>
          <cell r="M495"/>
          <cell r="O495"/>
          <cell r="Q495"/>
          <cell r="S495"/>
          <cell r="U495"/>
          <cell r="W495"/>
          <cell r="Y495"/>
          <cell r="AA495"/>
          <cell r="AC495"/>
          <cell r="AE495"/>
          <cell r="AG495"/>
        </row>
        <row r="496">
          <cell r="D496"/>
          <cell r="E496"/>
          <cell r="F496"/>
          <cell r="G496"/>
          <cell r="H496"/>
          <cell r="I496"/>
          <cell r="K496"/>
          <cell r="M496"/>
          <cell r="O496"/>
          <cell r="Q496"/>
          <cell r="S496"/>
          <cell r="U496"/>
          <cell r="W496"/>
          <cell r="Y496"/>
          <cell r="AA496"/>
          <cell r="AC496"/>
          <cell r="AE496"/>
          <cell r="AG496"/>
        </row>
        <row r="497">
          <cell r="D497"/>
          <cell r="E497"/>
          <cell r="F497"/>
          <cell r="G497"/>
          <cell r="H497"/>
          <cell r="I497"/>
          <cell r="K497"/>
          <cell r="M497"/>
          <cell r="O497"/>
          <cell r="Q497"/>
          <cell r="S497"/>
          <cell r="U497"/>
          <cell r="W497"/>
          <cell r="Y497"/>
          <cell r="AA497"/>
          <cell r="AC497"/>
          <cell r="AE497"/>
          <cell r="AG497"/>
        </row>
        <row r="498">
          <cell r="D498"/>
          <cell r="E498"/>
          <cell r="F498"/>
          <cell r="G498"/>
          <cell r="H498"/>
          <cell r="I498"/>
          <cell r="K498"/>
          <cell r="M498"/>
          <cell r="O498"/>
          <cell r="Q498"/>
          <cell r="S498"/>
          <cell r="U498"/>
          <cell r="W498"/>
          <cell r="Y498"/>
          <cell r="AA498"/>
          <cell r="AC498"/>
          <cell r="AE498"/>
          <cell r="AG498"/>
        </row>
        <row r="499">
          <cell r="D499"/>
          <cell r="E499"/>
          <cell r="F499"/>
          <cell r="G499"/>
          <cell r="H499"/>
          <cell r="I499"/>
          <cell r="K499"/>
          <cell r="M499"/>
          <cell r="O499"/>
          <cell r="Q499"/>
          <cell r="S499"/>
          <cell r="U499"/>
          <cell r="W499"/>
          <cell r="Y499"/>
          <cell r="AA499"/>
          <cell r="AC499"/>
          <cell r="AE499"/>
          <cell r="AG499"/>
        </row>
        <row r="500">
          <cell r="D500"/>
          <cell r="E500"/>
          <cell r="F500"/>
          <cell r="G500"/>
          <cell r="H500"/>
          <cell r="I500"/>
          <cell r="K500"/>
          <cell r="M500"/>
          <cell r="O500"/>
          <cell r="Q500"/>
          <cell r="S500"/>
          <cell r="U500"/>
          <cell r="W500"/>
          <cell r="Y500"/>
          <cell r="AA500"/>
          <cell r="AC500"/>
          <cell r="AE500"/>
          <cell r="AG500"/>
        </row>
        <row r="501">
          <cell r="D501"/>
          <cell r="E501"/>
          <cell r="F501"/>
          <cell r="G501"/>
          <cell r="H501"/>
          <cell r="I501"/>
          <cell r="K501"/>
          <cell r="M501"/>
          <cell r="O501"/>
          <cell r="Q501"/>
          <cell r="S501"/>
          <cell r="U501"/>
          <cell r="W501"/>
          <cell r="Y501"/>
          <cell r="AA501"/>
          <cell r="AC501"/>
          <cell r="AE501"/>
          <cell r="AG501"/>
        </row>
        <row r="502">
          <cell r="D502"/>
          <cell r="E502"/>
          <cell r="F502"/>
          <cell r="G502"/>
          <cell r="H502"/>
          <cell r="I502"/>
          <cell r="K502"/>
          <cell r="M502"/>
          <cell r="O502"/>
          <cell r="Q502"/>
          <cell r="S502"/>
          <cell r="U502"/>
          <cell r="W502"/>
          <cell r="Y502"/>
          <cell r="AA502"/>
          <cell r="AC502"/>
          <cell r="AE502"/>
          <cell r="AG502"/>
        </row>
        <row r="503">
          <cell r="D503"/>
          <cell r="E503"/>
          <cell r="F503"/>
          <cell r="G503"/>
          <cell r="H503"/>
          <cell r="I503"/>
          <cell r="K503"/>
          <cell r="M503"/>
          <cell r="O503"/>
          <cell r="Q503"/>
          <cell r="S503"/>
          <cell r="U503"/>
          <cell r="W503"/>
          <cell r="Y503"/>
          <cell r="AA503"/>
          <cell r="AC503"/>
          <cell r="AE503"/>
          <cell r="AG503"/>
        </row>
        <row r="504">
          <cell r="D504"/>
          <cell r="E504"/>
          <cell r="F504"/>
          <cell r="G504"/>
          <cell r="H504"/>
          <cell r="I504"/>
          <cell r="K504"/>
          <cell r="M504"/>
          <cell r="O504"/>
          <cell r="Q504"/>
          <cell r="S504"/>
          <cell r="U504"/>
          <cell r="W504"/>
          <cell r="Y504"/>
          <cell r="AA504"/>
          <cell r="AC504"/>
          <cell r="AE504"/>
          <cell r="AG504"/>
        </row>
        <row r="505">
          <cell r="D505"/>
          <cell r="E505"/>
          <cell r="F505"/>
          <cell r="G505"/>
          <cell r="H505"/>
          <cell r="I505"/>
          <cell r="K505"/>
          <cell r="M505"/>
          <cell r="O505"/>
          <cell r="Q505"/>
          <cell r="S505"/>
          <cell r="U505"/>
          <cell r="W505"/>
          <cell r="Y505"/>
          <cell r="AA505"/>
          <cell r="AC505"/>
          <cell r="AE505"/>
          <cell r="AG505"/>
        </row>
        <row r="506">
          <cell r="D506"/>
          <cell r="E506"/>
          <cell r="F506"/>
          <cell r="G506"/>
          <cell r="H506"/>
          <cell r="I506"/>
          <cell r="K506"/>
          <cell r="M506"/>
          <cell r="O506"/>
          <cell r="Q506"/>
          <cell r="S506"/>
          <cell r="U506"/>
          <cell r="W506"/>
          <cell r="Y506"/>
          <cell r="AA506"/>
          <cell r="AC506"/>
          <cell r="AE506"/>
          <cell r="AG506"/>
        </row>
        <row r="507">
          <cell r="D507"/>
          <cell r="E507"/>
          <cell r="F507"/>
          <cell r="G507"/>
          <cell r="H507"/>
          <cell r="I507"/>
          <cell r="K507"/>
          <cell r="M507"/>
          <cell r="O507"/>
          <cell r="Q507"/>
          <cell r="S507"/>
          <cell r="U507"/>
          <cell r="W507"/>
          <cell r="Y507"/>
          <cell r="AA507"/>
          <cell r="AC507"/>
          <cell r="AE507"/>
          <cell r="AG507"/>
        </row>
        <row r="508">
          <cell r="D508"/>
          <cell r="E508"/>
          <cell r="F508"/>
          <cell r="G508"/>
          <cell r="H508"/>
          <cell r="I508"/>
          <cell r="K508"/>
          <cell r="M508"/>
          <cell r="O508"/>
          <cell r="Q508"/>
          <cell r="S508"/>
          <cell r="U508"/>
          <cell r="W508"/>
          <cell r="Y508"/>
          <cell r="AA508"/>
          <cell r="AC508"/>
          <cell r="AE508"/>
          <cell r="AG508"/>
        </row>
        <row r="509">
          <cell r="D509"/>
          <cell r="E509"/>
          <cell r="F509"/>
          <cell r="G509"/>
          <cell r="H509"/>
          <cell r="I509"/>
          <cell r="K509"/>
          <cell r="M509"/>
          <cell r="O509"/>
          <cell r="Q509"/>
          <cell r="S509"/>
          <cell r="U509"/>
          <cell r="W509"/>
          <cell r="Y509"/>
          <cell r="AA509"/>
          <cell r="AC509"/>
          <cell r="AE509"/>
          <cell r="AG509"/>
        </row>
        <row r="510">
          <cell r="D510"/>
          <cell r="E510"/>
          <cell r="F510"/>
          <cell r="G510"/>
          <cell r="H510"/>
          <cell r="I510"/>
          <cell r="K510"/>
          <cell r="M510"/>
          <cell r="O510"/>
          <cell r="Q510"/>
          <cell r="S510"/>
          <cell r="U510"/>
          <cell r="W510"/>
          <cell r="Y510"/>
          <cell r="AA510"/>
          <cell r="AC510"/>
          <cell r="AE510"/>
          <cell r="AG510"/>
        </row>
        <row r="511">
          <cell r="D511"/>
          <cell r="E511"/>
          <cell r="F511"/>
          <cell r="G511"/>
          <cell r="H511"/>
          <cell r="I511"/>
          <cell r="K511"/>
          <cell r="M511"/>
          <cell r="O511"/>
          <cell r="Q511"/>
          <cell r="S511"/>
          <cell r="U511"/>
          <cell r="W511"/>
          <cell r="Y511"/>
          <cell r="AA511"/>
          <cell r="AC511"/>
          <cell r="AE511"/>
          <cell r="AG511"/>
        </row>
        <row r="512">
          <cell r="D512"/>
          <cell r="E512"/>
          <cell r="F512"/>
          <cell r="G512"/>
          <cell r="H512"/>
          <cell r="I512"/>
          <cell r="K512"/>
          <cell r="M512"/>
          <cell r="O512"/>
          <cell r="Q512"/>
          <cell r="S512"/>
          <cell r="U512"/>
          <cell r="W512"/>
          <cell r="Y512"/>
          <cell r="AA512"/>
          <cell r="AC512"/>
          <cell r="AE512"/>
          <cell r="AG512"/>
        </row>
        <row r="513">
          <cell r="D513"/>
          <cell r="E513"/>
          <cell r="F513"/>
          <cell r="G513"/>
          <cell r="H513"/>
          <cell r="I513"/>
          <cell r="K513"/>
          <cell r="M513"/>
          <cell r="O513"/>
          <cell r="Q513"/>
          <cell r="S513"/>
          <cell r="U513"/>
          <cell r="W513"/>
          <cell r="Y513"/>
          <cell r="AA513"/>
          <cell r="AC513"/>
          <cell r="AE513"/>
          <cell r="AG513"/>
        </row>
        <row r="514">
          <cell r="D514"/>
          <cell r="E514"/>
          <cell r="F514"/>
          <cell r="G514"/>
          <cell r="H514"/>
          <cell r="I514"/>
          <cell r="K514"/>
          <cell r="M514"/>
          <cell r="O514"/>
          <cell r="Q514"/>
          <cell r="S514"/>
          <cell r="U514"/>
          <cell r="W514"/>
          <cell r="Y514"/>
          <cell r="AA514"/>
          <cell r="AC514"/>
          <cell r="AE514"/>
          <cell r="AG514"/>
        </row>
        <row r="515">
          <cell r="D515"/>
          <cell r="E515"/>
          <cell r="F515"/>
          <cell r="G515"/>
          <cell r="H515"/>
          <cell r="I515"/>
          <cell r="K515"/>
          <cell r="M515"/>
          <cell r="O515"/>
          <cell r="Q515"/>
          <cell r="S515"/>
          <cell r="U515"/>
          <cell r="W515"/>
          <cell r="Y515"/>
          <cell r="AA515"/>
          <cell r="AC515"/>
          <cell r="AE515"/>
          <cell r="AG515"/>
        </row>
        <row r="516">
          <cell r="D516"/>
          <cell r="E516"/>
          <cell r="F516"/>
          <cell r="G516"/>
          <cell r="H516"/>
          <cell r="I516"/>
          <cell r="K516"/>
          <cell r="M516"/>
          <cell r="O516"/>
          <cell r="Q516"/>
          <cell r="S516"/>
          <cell r="U516"/>
          <cell r="W516"/>
          <cell r="Y516"/>
          <cell r="AA516"/>
          <cell r="AC516"/>
          <cell r="AE516"/>
          <cell r="AG516"/>
        </row>
        <row r="517">
          <cell r="D517"/>
          <cell r="E517"/>
          <cell r="F517"/>
          <cell r="G517"/>
          <cell r="H517"/>
          <cell r="I517"/>
          <cell r="K517"/>
          <cell r="M517"/>
          <cell r="O517"/>
          <cell r="Q517"/>
          <cell r="S517"/>
          <cell r="U517"/>
          <cell r="W517"/>
          <cell r="Y517"/>
          <cell r="AA517"/>
          <cell r="AC517"/>
          <cell r="AE517"/>
          <cell r="AG517"/>
        </row>
        <row r="518">
          <cell r="D518"/>
          <cell r="E518"/>
          <cell r="F518"/>
          <cell r="G518"/>
          <cell r="H518"/>
          <cell r="I518"/>
          <cell r="K518"/>
          <cell r="M518"/>
          <cell r="O518"/>
          <cell r="Q518"/>
          <cell r="S518"/>
          <cell r="U518"/>
          <cell r="W518"/>
          <cell r="Y518"/>
          <cell r="AA518"/>
          <cell r="AC518"/>
          <cell r="AE518"/>
          <cell r="AG518"/>
        </row>
        <row r="519">
          <cell r="D519"/>
          <cell r="E519"/>
          <cell r="F519"/>
          <cell r="G519"/>
          <cell r="H519"/>
          <cell r="I519"/>
          <cell r="K519"/>
          <cell r="M519"/>
          <cell r="O519"/>
          <cell r="Q519"/>
          <cell r="S519"/>
          <cell r="U519"/>
          <cell r="W519"/>
          <cell r="Y519"/>
          <cell r="AA519"/>
          <cell r="AC519"/>
          <cell r="AE519"/>
          <cell r="AG519"/>
        </row>
        <row r="520">
          <cell r="D520"/>
          <cell r="E520"/>
          <cell r="F520"/>
          <cell r="G520"/>
          <cell r="H520"/>
          <cell r="I520"/>
          <cell r="K520"/>
          <cell r="M520"/>
          <cell r="O520"/>
          <cell r="Q520"/>
          <cell r="S520"/>
          <cell r="U520"/>
          <cell r="W520"/>
          <cell r="Y520"/>
          <cell r="AA520"/>
          <cell r="AC520"/>
          <cell r="AE520"/>
          <cell r="AG520"/>
        </row>
        <row r="521">
          <cell r="D521"/>
          <cell r="E521"/>
          <cell r="F521"/>
          <cell r="G521"/>
          <cell r="H521"/>
          <cell r="I521"/>
          <cell r="K521"/>
          <cell r="M521"/>
          <cell r="O521"/>
          <cell r="Q521"/>
          <cell r="S521"/>
          <cell r="U521"/>
          <cell r="W521"/>
          <cell r="Y521"/>
          <cell r="AA521"/>
          <cell r="AC521"/>
          <cell r="AE521"/>
          <cell r="AG521"/>
        </row>
        <row r="522">
          <cell r="D522"/>
          <cell r="E522"/>
          <cell r="F522"/>
          <cell r="G522"/>
          <cell r="H522"/>
          <cell r="I522"/>
          <cell r="K522"/>
          <cell r="M522"/>
          <cell r="O522"/>
          <cell r="Q522"/>
          <cell r="S522"/>
          <cell r="U522"/>
          <cell r="W522"/>
          <cell r="Y522"/>
          <cell r="AA522"/>
          <cell r="AC522"/>
          <cell r="AE522"/>
          <cell r="AG522"/>
        </row>
        <row r="523">
          <cell r="D523"/>
          <cell r="E523"/>
          <cell r="F523"/>
          <cell r="G523"/>
          <cell r="H523"/>
          <cell r="I523"/>
          <cell r="K523"/>
          <cell r="M523"/>
          <cell r="O523"/>
          <cell r="Q523"/>
          <cell r="S523"/>
          <cell r="U523"/>
          <cell r="W523"/>
          <cell r="Y523"/>
          <cell r="AA523"/>
          <cell r="AC523"/>
          <cell r="AE523"/>
          <cell r="AG523"/>
        </row>
        <row r="524">
          <cell r="D524"/>
          <cell r="E524"/>
          <cell r="F524"/>
          <cell r="G524"/>
          <cell r="H524"/>
          <cell r="I524"/>
          <cell r="K524"/>
          <cell r="M524"/>
          <cell r="O524"/>
          <cell r="Q524"/>
          <cell r="S524"/>
          <cell r="U524"/>
          <cell r="W524"/>
          <cell r="Y524"/>
          <cell r="AA524"/>
          <cell r="AC524"/>
          <cell r="AE524"/>
          <cell r="AG524"/>
        </row>
        <row r="525">
          <cell r="D525"/>
          <cell r="E525"/>
          <cell r="F525"/>
          <cell r="G525"/>
          <cell r="H525"/>
          <cell r="I525"/>
          <cell r="K525"/>
          <cell r="M525"/>
          <cell r="O525"/>
          <cell r="Q525"/>
          <cell r="S525"/>
          <cell r="U525"/>
          <cell r="W525"/>
          <cell r="Y525"/>
          <cell r="AA525"/>
          <cell r="AC525"/>
          <cell r="AE525"/>
          <cell r="AG525"/>
        </row>
        <row r="526">
          <cell r="D526"/>
          <cell r="E526"/>
          <cell r="F526"/>
          <cell r="G526"/>
          <cell r="H526"/>
          <cell r="I526"/>
          <cell r="K526"/>
          <cell r="M526"/>
          <cell r="O526"/>
          <cell r="Q526"/>
          <cell r="S526"/>
          <cell r="U526"/>
          <cell r="W526"/>
          <cell r="Y526"/>
          <cell r="AA526"/>
          <cell r="AC526"/>
          <cell r="AE526"/>
          <cell r="AG526"/>
        </row>
        <row r="527">
          <cell r="D527"/>
          <cell r="E527"/>
          <cell r="F527"/>
          <cell r="G527"/>
          <cell r="H527"/>
          <cell r="I527"/>
          <cell r="K527"/>
          <cell r="M527"/>
          <cell r="O527"/>
          <cell r="Q527"/>
          <cell r="S527"/>
          <cell r="U527"/>
          <cell r="W527"/>
          <cell r="Y527"/>
          <cell r="AA527"/>
          <cell r="AC527"/>
          <cell r="AE527"/>
          <cell r="AG527"/>
        </row>
        <row r="528">
          <cell r="D528"/>
          <cell r="E528"/>
          <cell r="F528"/>
          <cell r="G528"/>
          <cell r="H528"/>
          <cell r="I528"/>
          <cell r="K528"/>
          <cell r="M528"/>
          <cell r="O528"/>
          <cell r="Q528"/>
          <cell r="S528"/>
          <cell r="U528"/>
          <cell r="W528"/>
          <cell r="Y528"/>
          <cell r="AA528"/>
          <cell r="AC528"/>
          <cell r="AE528"/>
          <cell r="AG528"/>
        </row>
        <row r="529">
          <cell r="D529"/>
          <cell r="E529"/>
          <cell r="F529"/>
          <cell r="G529"/>
          <cell r="H529"/>
          <cell r="I529"/>
          <cell r="K529"/>
          <cell r="M529"/>
          <cell r="O529"/>
          <cell r="Q529"/>
          <cell r="S529"/>
          <cell r="U529"/>
          <cell r="W529"/>
          <cell r="Y529"/>
          <cell r="AA529"/>
          <cell r="AC529"/>
          <cell r="AE529"/>
          <cell r="AG529"/>
        </row>
        <row r="530">
          <cell r="D530"/>
          <cell r="E530"/>
          <cell r="F530"/>
          <cell r="G530"/>
          <cell r="H530"/>
          <cell r="I530"/>
          <cell r="K530"/>
          <cell r="M530"/>
          <cell r="O530"/>
          <cell r="Q530"/>
          <cell r="S530"/>
          <cell r="U530"/>
          <cell r="W530"/>
          <cell r="Y530"/>
          <cell r="AA530"/>
          <cell r="AC530"/>
          <cell r="AE530"/>
          <cell r="AG530"/>
        </row>
        <row r="531">
          <cell r="D531"/>
          <cell r="E531"/>
          <cell r="F531"/>
          <cell r="G531"/>
          <cell r="H531"/>
          <cell r="I531"/>
          <cell r="K531"/>
          <cell r="M531"/>
          <cell r="O531"/>
          <cell r="Q531"/>
          <cell r="S531"/>
          <cell r="U531"/>
          <cell r="W531"/>
          <cell r="Y531"/>
          <cell r="AA531"/>
          <cell r="AC531"/>
          <cell r="AE531"/>
          <cell r="AG531"/>
        </row>
        <row r="532">
          <cell r="D532"/>
          <cell r="E532"/>
          <cell r="F532"/>
          <cell r="G532"/>
          <cell r="H532"/>
          <cell r="I532"/>
          <cell r="K532"/>
          <cell r="M532"/>
          <cell r="O532"/>
          <cell r="Q532"/>
          <cell r="S532"/>
          <cell r="U532"/>
          <cell r="W532"/>
          <cell r="Y532"/>
          <cell r="AA532"/>
          <cell r="AC532"/>
          <cell r="AE532"/>
          <cell r="AG532"/>
        </row>
        <row r="533">
          <cell r="D533"/>
          <cell r="E533"/>
          <cell r="F533"/>
          <cell r="G533"/>
          <cell r="H533"/>
          <cell r="I533"/>
          <cell r="K533"/>
          <cell r="M533"/>
          <cell r="O533"/>
          <cell r="Q533"/>
          <cell r="S533"/>
          <cell r="U533"/>
          <cell r="W533"/>
          <cell r="Y533"/>
          <cell r="AA533"/>
          <cell r="AC533"/>
          <cell r="AE533"/>
          <cell r="AG533"/>
        </row>
        <row r="534">
          <cell r="D534"/>
          <cell r="E534"/>
          <cell r="F534"/>
          <cell r="G534"/>
          <cell r="H534"/>
          <cell r="I534"/>
          <cell r="K534"/>
          <cell r="M534"/>
          <cell r="O534"/>
          <cell r="Q534"/>
          <cell r="S534"/>
          <cell r="U534"/>
          <cell r="W534"/>
          <cell r="Y534"/>
          <cell r="AA534"/>
          <cell r="AC534"/>
          <cell r="AE534"/>
          <cell r="AG534"/>
        </row>
        <row r="535">
          <cell r="D535"/>
          <cell r="E535"/>
          <cell r="F535"/>
          <cell r="G535"/>
          <cell r="H535"/>
          <cell r="I535"/>
          <cell r="K535"/>
          <cell r="M535"/>
          <cell r="O535"/>
          <cell r="Q535"/>
          <cell r="S535"/>
          <cell r="U535"/>
          <cell r="W535"/>
          <cell r="Y535"/>
          <cell r="AA535"/>
          <cell r="AC535"/>
          <cell r="AE535"/>
          <cell r="AG535"/>
        </row>
        <row r="536">
          <cell r="D536"/>
          <cell r="E536"/>
          <cell r="F536"/>
          <cell r="G536"/>
          <cell r="H536"/>
          <cell r="I536"/>
          <cell r="K536"/>
          <cell r="M536"/>
          <cell r="O536"/>
          <cell r="Q536"/>
          <cell r="S536"/>
          <cell r="U536"/>
          <cell r="W536"/>
          <cell r="Y536"/>
          <cell r="AA536"/>
          <cell r="AC536"/>
          <cell r="AE536"/>
          <cell r="AG536"/>
        </row>
        <row r="537">
          <cell r="D537"/>
          <cell r="E537"/>
          <cell r="F537"/>
          <cell r="G537"/>
          <cell r="H537"/>
          <cell r="I537"/>
          <cell r="K537"/>
          <cell r="M537"/>
          <cell r="O537"/>
          <cell r="Q537"/>
          <cell r="S537"/>
          <cell r="U537"/>
          <cell r="W537"/>
          <cell r="Y537"/>
          <cell r="AA537"/>
          <cell r="AC537"/>
          <cell r="AE537"/>
          <cell r="AG537"/>
        </row>
      </sheetData>
      <sheetData sheetId="4">
        <row r="3">
          <cell r="A3" t="str">
            <v>Wages</v>
          </cell>
          <cell r="B3"/>
          <cell r="C3"/>
          <cell r="D3"/>
          <cell r="K3"/>
          <cell r="L3"/>
          <cell r="M3"/>
          <cell r="T3"/>
          <cell r="U3"/>
          <cell r="V3"/>
          <cell r="AB3"/>
          <cell r="AC3"/>
          <cell r="AD3"/>
          <cell r="AJ3"/>
          <cell r="AK3"/>
          <cell r="AL3"/>
        </row>
        <row r="5">
          <cell r="A5" t="str">
            <v>Deduction or Earning</v>
          </cell>
          <cell r="B5" t="str">
            <v>Earning</v>
          </cell>
        </row>
        <row r="6">
          <cell r="A6" t="str">
            <v>Cost Center (as of Calculation Entry Moment)</v>
          </cell>
          <cell r="B6" t="str">
            <v>(Multiple Items)</v>
          </cell>
        </row>
        <row r="8">
          <cell r="A8" t="str">
            <v>Max of Total Base Pay - Amount</v>
          </cell>
          <cell r="C8"/>
          <cell r="D8">
            <v>2080</v>
          </cell>
          <cell r="K8" t="str">
            <v>Pasted Values</v>
          </cell>
          <cell r="T8" t="str">
            <v>Pasted Values</v>
          </cell>
          <cell r="AB8" t="str">
            <v>Pasted Values</v>
          </cell>
          <cell r="AJ8" t="str">
            <v>Pasted Values</v>
          </cell>
        </row>
        <row r="9">
          <cell r="A9" t="str">
            <v>Employee ID</v>
          </cell>
          <cell r="B9" t="str">
            <v>Worker</v>
          </cell>
          <cell r="C9" t="str">
            <v>Total</v>
          </cell>
          <cell r="D9" t="str">
            <v>Total</v>
          </cell>
          <cell r="K9" t="str">
            <v>Employee ID</v>
          </cell>
          <cell r="L9" t="str">
            <v>Worker</v>
          </cell>
          <cell r="M9" t="str">
            <v>Sum of Result Line Hours</v>
          </cell>
          <cell r="T9" t="str">
            <v>Employee ID</v>
          </cell>
          <cell r="U9" t="str">
            <v>Worker</v>
          </cell>
          <cell r="V9" t="str">
            <v>Sum of Result Line Hours</v>
          </cell>
          <cell r="AB9" t="str">
            <v>Employee ID</v>
          </cell>
          <cell r="AC9" t="str">
            <v>Worker</v>
          </cell>
          <cell r="AD9" t="str">
            <v>Total</v>
          </cell>
          <cell r="AJ9" t="str">
            <v>Employee ID</v>
          </cell>
          <cell r="AK9" t="str">
            <v>Worker</v>
          </cell>
          <cell r="AL9" t="str">
            <v>Total</v>
          </cell>
        </row>
        <row r="10">
          <cell r="A10">
            <v>313979</v>
          </cell>
          <cell r="B10" t="str">
            <v>Adrian Espinoza (313979)</v>
          </cell>
          <cell r="C10">
            <v>26.38</v>
          </cell>
          <cell r="D10">
            <v>26.38</v>
          </cell>
          <cell r="K10">
            <v>313979</v>
          </cell>
          <cell r="L10" t="str">
            <v>Adrian Espinoza (313979)</v>
          </cell>
          <cell r="M10">
            <v>2177.533332</v>
          </cell>
          <cell r="T10">
            <v>313979</v>
          </cell>
          <cell r="U10" t="str">
            <v>Adrian Espinoza (313979)</v>
          </cell>
          <cell r="V10">
            <v>454.40000899999995</v>
          </cell>
          <cell r="AB10">
            <v>313979</v>
          </cell>
          <cell r="AC10" t="str">
            <v>Adrian Espinoza (313979)</v>
          </cell>
          <cell r="AD10">
            <v>1486.8899999999996</v>
          </cell>
          <cell r="AJ10">
            <v>313979</v>
          </cell>
          <cell r="AK10" t="str">
            <v>Adrian Espinoza (313979)</v>
          </cell>
          <cell r="AL10">
            <v>172.25</v>
          </cell>
        </row>
        <row r="11">
          <cell r="A11">
            <v>116135</v>
          </cell>
          <cell r="B11" t="str">
            <v>Andres Garcia (116135)</v>
          </cell>
          <cell r="C11">
            <v>26.5</v>
          </cell>
          <cell r="D11">
            <v>26.5</v>
          </cell>
          <cell r="K11">
            <v>116135</v>
          </cell>
          <cell r="L11" t="str">
            <v>Andres Garcia (116135)</v>
          </cell>
          <cell r="M11">
            <v>1470.7833350000001</v>
          </cell>
          <cell r="T11">
            <v>116135</v>
          </cell>
          <cell r="U11" t="str">
            <v>Andres Garcia (116135)</v>
          </cell>
          <cell r="V11">
            <v>339.96666700000003</v>
          </cell>
          <cell r="AB11">
            <v>116135</v>
          </cell>
          <cell r="AC11" t="str">
            <v>Andres Garcia (116135)</v>
          </cell>
          <cell r="AD11">
            <v>1534.4799999999991</v>
          </cell>
          <cell r="AJ11">
            <v>116135</v>
          </cell>
          <cell r="AK11" t="str">
            <v>Andres Garcia (116135)</v>
          </cell>
          <cell r="AL11">
            <v>571.48</v>
          </cell>
        </row>
        <row r="12">
          <cell r="A12">
            <v>303857</v>
          </cell>
          <cell r="B12" t="str">
            <v>Angel Espinoza (303857)</v>
          </cell>
          <cell r="C12">
            <v>25.32</v>
          </cell>
          <cell r="D12">
            <v>25.32</v>
          </cell>
          <cell r="K12">
            <v>303857</v>
          </cell>
          <cell r="L12" t="str">
            <v>Angel Espinoza (303857)</v>
          </cell>
          <cell r="M12">
            <v>2134.9666689999999</v>
          </cell>
          <cell r="T12">
            <v>303857</v>
          </cell>
          <cell r="U12" t="str">
            <v>Angel Espinoza (303857)</v>
          </cell>
          <cell r="V12">
            <v>260.66666400000003</v>
          </cell>
          <cell r="AB12">
            <v>303857</v>
          </cell>
          <cell r="AC12" t="str">
            <v>Angel Espinoza (303857)</v>
          </cell>
          <cell r="AD12">
            <v>1452.2799999999997</v>
          </cell>
          <cell r="AJ12">
            <v>303857</v>
          </cell>
          <cell r="AK12" t="str">
            <v>Angel Espinoza (303857)</v>
          </cell>
          <cell r="AL12">
            <v>1576.32</v>
          </cell>
        </row>
        <row r="13">
          <cell r="A13">
            <v>152785</v>
          </cell>
          <cell r="B13" t="str">
            <v>Anna Spence (152785)</v>
          </cell>
          <cell r="C13">
            <v>20.05</v>
          </cell>
          <cell r="D13">
            <v>20.05</v>
          </cell>
          <cell r="K13">
            <v>152785</v>
          </cell>
          <cell r="L13" t="str">
            <v>Anna Spence (152785)</v>
          </cell>
          <cell r="M13">
            <v>2096.2833369999998</v>
          </cell>
          <cell r="T13">
            <v>152785</v>
          </cell>
          <cell r="U13" t="str">
            <v>Anna Spence (152785)</v>
          </cell>
          <cell r="V13">
            <v>28.850006</v>
          </cell>
          <cell r="AB13">
            <v>152785</v>
          </cell>
          <cell r="AC13" t="str">
            <v>Anna Spence (152785)</v>
          </cell>
          <cell r="AD13">
            <v>231.26000000000002</v>
          </cell>
          <cell r="AJ13">
            <v>152785</v>
          </cell>
          <cell r="AK13" t="str">
            <v>Anna Spence (152785)</v>
          </cell>
          <cell r="AL13">
            <v>82.08</v>
          </cell>
        </row>
        <row r="14">
          <cell r="A14">
            <v>329595</v>
          </cell>
          <cell r="B14" t="str">
            <v>Antony Rivera (329595)</v>
          </cell>
          <cell r="C14">
            <v>23.21</v>
          </cell>
          <cell r="D14">
            <v>23.21</v>
          </cell>
          <cell r="K14">
            <v>329595</v>
          </cell>
          <cell r="L14" t="str">
            <v>Antony Rivera (329595)</v>
          </cell>
          <cell r="M14">
            <v>40</v>
          </cell>
          <cell r="T14">
            <v>329595</v>
          </cell>
          <cell r="U14" t="str">
            <v>Antony Rivera (329595)</v>
          </cell>
          <cell r="V14">
            <v>0.150001</v>
          </cell>
          <cell r="AB14">
            <v>312399</v>
          </cell>
          <cell r="AC14" t="str">
            <v>Arturo Obispo (312399)</v>
          </cell>
          <cell r="AD14">
            <v>400</v>
          </cell>
          <cell r="AJ14">
            <v>312399</v>
          </cell>
          <cell r="AK14" t="str">
            <v>Arturo Obispo (312399)</v>
          </cell>
          <cell r="AL14">
            <v>2484</v>
          </cell>
        </row>
        <row r="15">
          <cell r="A15">
            <v>312399</v>
          </cell>
          <cell r="B15" t="str">
            <v>Arturo Obispo (312399)</v>
          </cell>
          <cell r="C15">
            <v>71750</v>
          </cell>
          <cell r="D15">
            <v>34.495192307692307</v>
          </cell>
          <cell r="K15">
            <v>312399</v>
          </cell>
          <cell r="L15" t="str">
            <v>Arturo Obispo (312399)</v>
          </cell>
          <cell r="M15">
            <v>840</v>
          </cell>
          <cell r="T15">
            <v>308516</v>
          </cell>
          <cell r="U15" t="str">
            <v>Becky Moller (308516)</v>
          </cell>
          <cell r="V15">
            <v>26.300006999999994</v>
          </cell>
          <cell r="AB15">
            <v>308516</v>
          </cell>
          <cell r="AC15" t="str">
            <v>Becky Moller (308516)</v>
          </cell>
          <cell r="AD15">
            <v>308.60000000000002</v>
          </cell>
          <cell r="AJ15">
            <v>328133</v>
          </cell>
          <cell r="AK15" t="str">
            <v>Carlos Contreras (328133)</v>
          </cell>
          <cell r="AL15">
            <v>258.5</v>
          </cell>
        </row>
        <row r="16">
          <cell r="A16">
            <v>308516</v>
          </cell>
          <cell r="B16" t="str">
            <v>Becky Moller (308516)</v>
          </cell>
          <cell r="C16">
            <v>20.05</v>
          </cell>
          <cell r="D16">
            <v>20.05</v>
          </cell>
          <cell r="K16">
            <v>308516</v>
          </cell>
          <cell r="L16" t="str">
            <v>Becky Moller (308516)</v>
          </cell>
          <cell r="M16">
            <v>1778.5433310000003</v>
          </cell>
          <cell r="T16">
            <v>311428</v>
          </cell>
          <cell r="U16" t="str">
            <v>BRANDON LANSDEN (311428)</v>
          </cell>
          <cell r="V16">
            <v>12.400001000000001</v>
          </cell>
          <cell r="AB16">
            <v>311428</v>
          </cell>
          <cell r="AC16" t="str">
            <v>BRANDON LANSDEN (311428)</v>
          </cell>
          <cell r="AD16">
            <v>1499.5799999999986</v>
          </cell>
          <cell r="AJ16">
            <v>114462</v>
          </cell>
          <cell r="AK16" t="str">
            <v>Cornelio Hernandez (114462)</v>
          </cell>
          <cell r="AL16">
            <v>5799.75</v>
          </cell>
        </row>
        <row r="17">
          <cell r="A17">
            <v>311428</v>
          </cell>
          <cell r="B17" t="str">
            <v>BRANDON LANSDEN (311428)</v>
          </cell>
          <cell r="C17">
            <v>25.32</v>
          </cell>
          <cell r="D17">
            <v>25.32</v>
          </cell>
          <cell r="K17">
            <v>311428</v>
          </cell>
          <cell r="L17" t="str">
            <v>BRANDON LANSDEN (311428)</v>
          </cell>
          <cell r="M17">
            <v>2022.216666</v>
          </cell>
          <cell r="T17">
            <v>328938</v>
          </cell>
          <cell r="U17" t="str">
            <v>Bryan Hernandez (328938)</v>
          </cell>
          <cell r="V17">
            <v>57.783332999999999</v>
          </cell>
          <cell r="AB17">
            <v>328938</v>
          </cell>
          <cell r="AC17" t="str">
            <v>Bryan Hernandez (328938)</v>
          </cell>
          <cell r="AD17">
            <v>83.67</v>
          </cell>
          <cell r="AJ17">
            <v>114457</v>
          </cell>
          <cell r="AK17" t="str">
            <v>Darrick Groth (114457)</v>
          </cell>
          <cell r="AL17">
            <v>4709.25</v>
          </cell>
        </row>
        <row r="18">
          <cell r="A18">
            <v>328938</v>
          </cell>
          <cell r="B18" t="str">
            <v>Bryan Hernandez (328938)</v>
          </cell>
          <cell r="C18">
            <v>22</v>
          </cell>
          <cell r="D18">
            <v>22</v>
          </cell>
          <cell r="K18">
            <v>328938</v>
          </cell>
          <cell r="L18" t="str">
            <v>Bryan Hernandez (328938)</v>
          </cell>
          <cell r="M18">
            <v>300.08333399999998</v>
          </cell>
          <cell r="T18">
            <v>313743</v>
          </cell>
          <cell r="U18" t="str">
            <v>Carlos Borja Rodriguez (313743)</v>
          </cell>
          <cell r="V18">
            <v>286.88333300000005</v>
          </cell>
          <cell r="AB18">
            <v>114461</v>
          </cell>
          <cell r="AC18" t="str">
            <v>Carl Herbst (114461)</v>
          </cell>
          <cell r="AD18">
            <v>525</v>
          </cell>
          <cell r="AJ18">
            <v>154751</v>
          </cell>
          <cell r="AK18" t="str">
            <v>Deborah Lago (154751)</v>
          </cell>
          <cell r="AL18">
            <v>877.23</v>
          </cell>
        </row>
        <row r="19">
          <cell r="A19">
            <v>114461</v>
          </cell>
          <cell r="B19" t="str">
            <v>Carl Herbst (114461)</v>
          </cell>
          <cell r="C19">
            <v>79604.210000000006</v>
          </cell>
          <cell r="D19">
            <v>38.271254807692308</v>
          </cell>
          <cell r="K19">
            <v>114461</v>
          </cell>
          <cell r="L19" t="str">
            <v>Carl Herbst (114461)</v>
          </cell>
          <cell r="M19">
            <v>2080</v>
          </cell>
          <cell r="T19">
            <v>328133</v>
          </cell>
          <cell r="U19" t="str">
            <v>Carlos Contreras (328133)</v>
          </cell>
          <cell r="V19">
            <v>81.000003000000007</v>
          </cell>
          <cell r="AB19">
            <v>313743</v>
          </cell>
          <cell r="AC19" t="str">
            <v>Carlos Borja Rodriguez (313743)</v>
          </cell>
          <cell r="AD19">
            <v>1541.0199999999979</v>
          </cell>
          <cell r="AJ19">
            <v>114508</v>
          </cell>
          <cell r="AK19" t="str">
            <v>Debra Hansen (114508)</v>
          </cell>
          <cell r="AL19">
            <v>335.6</v>
          </cell>
        </row>
        <row r="20">
          <cell r="A20">
            <v>313743</v>
          </cell>
          <cell r="B20" t="str">
            <v>Carlos Borja Rodriguez (313743)</v>
          </cell>
          <cell r="C20">
            <v>26.38</v>
          </cell>
          <cell r="D20">
            <v>26.38</v>
          </cell>
          <cell r="K20">
            <v>313743</v>
          </cell>
          <cell r="L20" t="str">
            <v>Carlos Borja Rodriguez (313743)</v>
          </cell>
          <cell r="M20">
            <v>2136.9333310000002</v>
          </cell>
          <cell r="T20">
            <v>311377</v>
          </cell>
          <cell r="U20" t="str">
            <v>Chelsea Myers (On Leave) (311377)</v>
          </cell>
          <cell r="V20">
            <v>31.099996000000001</v>
          </cell>
          <cell r="AB20">
            <v>328133</v>
          </cell>
          <cell r="AC20" t="str">
            <v>Carlos Contreras (328133)</v>
          </cell>
          <cell r="AD20">
            <v>273.13</v>
          </cell>
          <cell r="AJ20">
            <v>321451</v>
          </cell>
          <cell r="AK20" t="str">
            <v>Eduardo Gonzales (321451)</v>
          </cell>
          <cell r="AL20">
            <v>53.27</v>
          </cell>
        </row>
        <row r="21">
          <cell r="A21">
            <v>328133</v>
          </cell>
          <cell r="B21" t="str">
            <v>Carlos Contreras (328133)</v>
          </cell>
          <cell r="C21">
            <v>24.27</v>
          </cell>
          <cell r="D21">
            <v>24.27</v>
          </cell>
          <cell r="K21">
            <v>328133</v>
          </cell>
          <cell r="L21" t="str">
            <v>Carlos Contreras (328133)</v>
          </cell>
          <cell r="M21">
            <v>641.38333299999999</v>
          </cell>
          <cell r="T21">
            <v>158542</v>
          </cell>
          <cell r="U21" t="str">
            <v>Christopher Hubble (158542)</v>
          </cell>
          <cell r="V21">
            <v>31.283328000000004</v>
          </cell>
          <cell r="AB21">
            <v>311377</v>
          </cell>
          <cell r="AC21" t="str">
            <v>Chelsea Myers (On Leave) (311377)</v>
          </cell>
          <cell r="AD21">
            <v>3957.9399999999996</v>
          </cell>
          <cell r="AJ21">
            <v>114467</v>
          </cell>
          <cell r="AK21" t="str">
            <v>Felix Medina (114467)</v>
          </cell>
          <cell r="AL21">
            <v>5820.99</v>
          </cell>
        </row>
        <row r="22">
          <cell r="A22">
            <v>311377</v>
          </cell>
          <cell r="B22" t="str">
            <v>Chelsea Myers (On Leave) (311377)</v>
          </cell>
          <cell r="C22">
            <v>20.05</v>
          </cell>
          <cell r="D22">
            <v>20.05</v>
          </cell>
          <cell r="K22">
            <v>311377</v>
          </cell>
          <cell r="L22" t="str">
            <v>Chelsea Myers (On Leave) (311377)</v>
          </cell>
          <cell r="M22">
            <v>2093.8933339999994</v>
          </cell>
          <cell r="T22">
            <v>304800</v>
          </cell>
          <cell r="U22" t="str">
            <v>Christopher Price (On Leave) (304800)</v>
          </cell>
          <cell r="V22">
            <v>19.483335</v>
          </cell>
          <cell r="AB22">
            <v>114460</v>
          </cell>
          <cell r="AC22" t="str">
            <v>Christie Herbst (114460)</v>
          </cell>
          <cell r="AD22">
            <v>525</v>
          </cell>
          <cell r="AJ22">
            <v>155118</v>
          </cell>
          <cell r="AK22" t="str">
            <v>Forrest Quick (155118)</v>
          </cell>
          <cell r="AL22">
            <v>1840.5</v>
          </cell>
        </row>
        <row r="23">
          <cell r="A23">
            <v>114460</v>
          </cell>
          <cell r="B23" t="str">
            <v>Christie Herbst (114460)</v>
          </cell>
          <cell r="C23">
            <v>67363.63</v>
          </cell>
          <cell r="D23">
            <v>32.386360576923082</v>
          </cell>
          <cell r="K23">
            <v>114460</v>
          </cell>
          <cell r="L23" t="str">
            <v>Christie Herbst (114460)</v>
          </cell>
          <cell r="M23">
            <v>2256</v>
          </cell>
          <cell r="T23">
            <v>114462</v>
          </cell>
          <cell r="U23" t="str">
            <v>Cornelio Hernandez (114462)</v>
          </cell>
          <cell r="V23">
            <v>165.30003300000004</v>
          </cell>
          <cell r="AB23">
            <v>158542</v>
          </cell>
          <cell r="AC23" t="str">
            <v>Christopher Hubble (158542)</v>
          </cell>
          <cell r="AD23">
            <v>1546.2100000000005</v>
          </cell>
          <cell r="AJ23">
            <v>158366</v>
          </cell>
          <cell r="AK23" t="str">
            <v>Hector Barrera Ortiz (158366)</v>
          </cell>
          <cell r="AL23">
            <v>929.09</v>
          </cell>
        </row>
        <row r="24">
          <cell r="A24">
            <v>158542</v>
          </cell>
          <cell r="B24" t="str">
            <v>Christopher Hubble (158542)</v>
          </cell>
          <cell r="C24">
            <v>27.43</v>
          </cell>
          <cell r="D24">
            <v>27.43</v>
          </cell>
          <cell r="K24">
            <v>158542</v>
          </cell>
          <cell r="L24" t="str">
            <v>Christopher Hubble (158542)</v>
          </cell>
          <cell r="M24">
            <v>2062.8833350000004</v>
          </cell>
          <cell r="T24">
            <v>323475</v>
          </cell>
          <cell r="U24" t="str">
            <v>DANIELLE WALLACE (On Leave) (323475)</v>
          </cell>
          <cell r="V24">
            <v>20.366662999999999</v>
          </cell>
          <cell r="AB24">
            <v>304800</v>
          </cell>
          <cell r="AC24" t="str">
            <v>Christopher Price (On Leave) (304800)</v>
          </cell>
          <cell r="AD24">
            <v>470.80000000000007</v>
          </cell>
          <cell r="AJ24">
            <v>114480</v>
          </cell>
          <cell r="AK24" t="str">
            <v>Isidro Ramirez (114480)</v>
          </cell>
          <cell r="AL24">
            <v>5722.5</v>
          </cell>
        </row>
        <row r="25">
          <cell r="A25">
            <v>304800</v>
          </cell>
          <cell r="B25" t="str">
            <v>Christopher Price (On Leave) (304800)</v>
          </cell>
          <cell r="C25">
            <v>26.38</v>
          </cell>
          <cell r="D25">
            <v>26.38</v>
          </cell>
          <cell r="K25">
            <v>304800</v>
          </cell>
          <cell r="L25" t="str">
            <v>Christopher Price (On Leave) (304800)</v>
          </cell>
          <cell r="M25">
            <v>144.76666699999998</v>
          </cell>
          <cell r="T25">
            <v>114457</v>
          </cell>
          <cell r="U25" t="str">
            <v>Darrick Groth (114457)</v>
          </cell>
          <cell r="V25">
            <v>226.350009</v>
          </cell>
          <cell r="AB25">
            <v>114462</v>
          </cell>
          <cell r="AC25" t="str">
            <v>Cornelio Hernandez (114462)</v>
          </cell>
          <cell r="AD25">
            <v>240.54</v>
          </cell>
          <cell r="AJ25">
            <v>306712</v>
          </cell>
          <cell r="AK25" t="str">
            <v>James Bone (306712)</v>
          </cell>
          <cell r="AL25">
            <v>2085.25</v>
          </cell>
        </row>
        <row r="26">
          <cell r="A26">
            <v>114462</v>
          </cell>
          <cell r="B26" t="str">
            <v>Cornelio Hernandez (114462)</v>
          </cell>
          <cell r="C26">
            <v>26.38</v>
          </cell>
          <cell r="D26">
            <v>26.38</v>
          </cell>
          <cell r="K26">
            <v>114462</v>
          </cell>
          <cell r="L26" t="str">
            <v>Cornelio Hernandez (114462)</v>
          </cell>
          <cell r="M26">
            <v>2130.3666699999999</v>
          </cell>
          <cell r="T26">
            <v>154751</v>
          </cell>
          <cell r="U26" t="str">
            <v>Deborah Lago (154751)</v>
          </cell>
          <cell r="V26">
            <v>5.4333330000000002</v>
          </cell>
          <cell r="AB26">
            <v>323475</v>
          </cell>
          <cell r="AC26" t="str">
            <v>DANIELLE WALLACE (On Leave) (323475)</v>
          </cell>
          <cell r="AD26">
            <v>378.2000000000001</v>
          </cell>
          <cell r="AJ26">
            <v>302247</v>
          </cell>
          <cell r="AK26" t="str">
            <v>James Wood (302247)</v>
          </cell>
          <cell r="AL26">
            <v>350</v>
          </cell>
        </row>
        <row r="27">
          <cell r="A27">
            <v>323475</v>
          </cell>
          <cell r="B27" t="str">
            <v>DANIELLE WALLACE (On Leave) (323475)</v>
          </cell>
          <cell r="C27">
            <v>18.2</v>
          </cell>
          <cell r="D27">
            <v>18.2</v>
          </cell>
          <cell r="K27">
            <v>323475</v>
          </cell>
          <cell r="L27" t="str">
            <v>DANIELLE WALLACE (On Leave) (323475)</v>
          </cell>
          <cell r="M27">
            <v>1850.3666700000001</v>
          </cell>
          <cell r="T27">
            <v>114508</v>
          </cell>
          <cell r="U27" t="str">
            <v>Debra Hansen (114508)</v>
          </cell>
          <cell r="V27">
            <v>0.96666399999999997</v>
          </cell>
          <cell r="AB27">
            <v>114457</v>
          </cell>
          <cell r="AC27" t="str">
            <v>Darrick Groth (114457)</v>
          </cell>
          <cell r="AD27">
            <v>1326.3400000000006</v>
          </cell>
          <cell r="AJ27">
            <v>155303</v>
          </cell>
          <cell r="AK27" t="str">
            <v>Javier Castro (155303)</v>
          </cell>
          <cell r="AL27">
            <v>2095.25</v>
          </cell>
        </row>
        <row r="28">
          <cell r="A28">
            <v>114457</v>
          </cell>
          <cell r="B28" t="str">
            <v>Darrick Groth (114457)</v>
          </cell>
          <cell r="C28">
            <v>26.38</v>
          </cell>
          <cell r="D28">
            <v>26.38</v>
          </cell>
          <cell r="K28">
            <v>114457</v>
          </cell>
          <cell r="L28" t="str">
            <v>Darrick Groth (114457)</v>
          </cell>
          <cell r="M28">
            <v>2136.8666709999998</v>
          </cell>
          <cell r="T28">
            <v>302872</v>
          </cell>
          <cell r="U28" t="str">
            <v>Eddie Flores (302872)</v>
          </cell>
          <cell r="V28">
            <v>315.13333499999993</v>
          </cell>
          <cell r="AB28">
            <v>114508</v>
          </cell>
          <cell r="AC28" t="str">
            <v>Debra Hansen (114508)</v>
          </cell>
          <cell r="AD28">
            <v>226.16</v>
          </cell>
          <cell r="AJ28">
            <v>114454</v>
          </cell>
          <cell r="AK28" t="str">
            <v>Javier Garcia (114454)</v>
          </cell>
          <cell r="AL28">
            <v>622</v>
          </cell>
        </row>
        <row r="29">
          <cell r="A29">
            <v>154751</v>
          </cell>
          <cell r="B29" t="str">
            <v>Deborah Lago (154751)</v>
          </cell>
          <cell r="C29">
            <v>19</v>
          </cell>
          <cell r="D29">
            <v>19</v>
          </cell>
          <cell r="K29">
            <v>154751</v>
          </cell>
          <cell r="L29" t="str">
            <v>Deborah Lago (154751)</v>
          </cell>
          <cell r="M29">
            <v>355.313333</v>
          </cell>
          <cell r="T29">
            <v>323624</v>
          </cell>
          <cell r="U29" t="str">
            <v>Eddie Lopez-Hernandez (323624)</v>
          </cell>
          <cell r="V29">
            <v>234.48333</v>
          </cell>
          <cell r="AB29">
            <v>302872</v>
          </cell>
          <cell r="AC29" t="str">
            <v>Eddie Flores (302872)</v>
          </cell>
          <cell r="AD29">
            <v>376.37000000000006</v>
          </cell>
          <cell r="AJ29">
            <v>114442</v>
          </cell>
          <cell r="AK29" t="str">
            <v>Jerry Basford (114442)</v>
          </cell>
          <cell r="AL29">
            <v>4273.75</v>
          </cell>
        </row>
        <row r="30">
          <cell r="A30">
            <v>114508</v>
          </cell>
          <cell r="B30" t="str">
            <v>Debra Hansen (114508)</v>
          </cell>
          <cell r="C30">
            <v>21.1</v>
          </cell>
          <cell r="D30">
            <v>21.1</v>
          </cell>
          <cell r="K30">
            <v>114508</v>
          </cell>
          <cell r="L30" t="str">
            <v>Debra Hansen (114508)</v>
          </cell>
          <cell r="M30">
            <v>1714.629995</v>
          </cell>
          <cell r="T30">
            <v>321451</v>
          </cell>
          <cell r="U30" t="str">
            <v>Eduardo Gonzales (321451)</v>
          </cell>
          <cell r="V30">
            <v>82.350004000000013</v>
          </cell>
          <cell r="AB30">
            <v>323624</v>
          </cell>
          <cell r="AC30" t="str">
            <v>Eddie Lopez-Hernandez (323624)</v>
          </cell>
          <cell r="AD30">
            <v>1306.8799999999997</v>
          </cell>
          <cell r="AJ30">
            <v>317359</v>
          </cell>
          <cell r="AK30" t="str">
            <v>Jesus Cisneros (317359)</v>
          </cell>
          <cell r="AL30">
            <v>-346</v>
          </cell>
        </row>
        <row r="31">
          <cell r="A31">
            <v>302872</v>
          </cell>
          <cell r="B31" t="str">
            <v>Eddie Flores (302872)</v>
          </cell>
          <cell r="C31">
            <v>27.88</v>
          </cell>
          <cell r="D31">
            <v>27.88</v>
          </cell>
          <cell r="K31">
            <v>302872</v>
          </cell>
          <cell r="L31" t="str">
            <v>Eddie Flores (302872)</v>
          </cell>
          <cell r="M31">
            <v>2208.2000030000004</v>
          </cell>
          <cell r="T31">
            <v>300490</v>
          </cell>
          <cell r="U31" t="str">
            <v>Edward Castro (300490)</v>
          </cell>
          <cell r="V31">
            <v>297.25000800000004</v>
          </cell>
          <cell r="AB31">
            <v>321451</v>
          </cell>
          <cell r="AC31" t="str">
            <v>Eduardo Gonzales (321451)</v>
          </cell>
          <cell r="AD31">
            <v>500</v>
          </cell>
          <cell r="AJ31">
            <v>114473</v>
          </cell>
          <cell r="AK31" t="str">
            <v>Jesus Ortega (114473)</v>
          </cell>
          <cell r="AL31">
            <v>5379.5</v>
          </cell>
        </row>
        <row r="32">
          <cell r="A32">
            <v>323624</v>
          </cell>
          <cell r="B32" t="str">
            <v>Eddie Lopez-Hernandez (323624)</v>
          </cell>
          <cell r="C32">
            <v>26.38</v>
          </cell>
          <cell r="D32">
            <v>26.38</v>
          </cell>
          <cell r="K32">
            <v>323624</v>
          </cell>
          <cell r="L32" t="str">
            <v>Eddie Lopez-Hernandez (323624)</v>
          </cell>
          <cell r="M32">
            <v>1902.9333340000003</v>
          </cell>
          <cell r="T32">
            <v>313298</v>
          </cell>
          <cell r="U32" t="str">
            <v>Erik Venegas Madrid (313298)</v>
          </cell>
          <cell r="V32">
            <v>340.00000000000006</v>
          </cell>
          <cell r="AB32">
            <v>300490</v>
          </cell>
          <cell r="AC32" t="str">
            <v>Edward Castro (300490)</v>
          </cell>
          <cell r="AD32">
            <v>1287.05</v>
          </cell>
          <cell r="AJ32">
            <v>156668</v>
          </cell>
          <cell r="AK32" t="str">
            <v>Jose Martinez (156668)</v>
          </cell>
          <cell r="AL32">
            <v>7465.23</v>
          </cell>
        </row>
        <row r="33">
          <cell r="A33">
            <v>321451</v>
          </cell>
          <cell r="B33" t="str">
            <v>Eduardo Gonzales (321451)</v>
          </cell>
          <cell r="C33">
            <v>23</v>
          </cell>
          <cell r="D33">
            <v>23</v>
          </cell>
          <cell r="K33">
            <v>321451</v>
          </cell>
          <cell r="L33" t="str">
            <v>Eduardo Gonzales (321451)</v>
          </cell>
          <cell r="M33">
            <v>1143.6166659999999</v>
          </cell>
          <cell r="T33">
            <v>114467</v>
          </cell>
          <cell r="U33" t="str">
            <v>Felix Medina (114467)</v>
          </cell>
          <cell r="V33">
            <v>487.68332800000013</v>
          </cell>
          <cell r="AB33">
            <v>313298</v>
          </cell>
          <cell r="AC33" t="str">
            <v>Erik Venegas Madrid (313298)</v>
          </cell>
          <cell r="AD33">
            <v>1521.2799999999982</v>
          </cell>
          <cell r="AJ33">
            <v>156839</v>
          </cell>
          <cell r="AK33" t="str">
            <v>Jose Martinez (156839)</v>
          </cell>
          <cell r="AL33">
            <v>1974.25</v>
          </cell>
        </row>
        <row r="34">
          <cell r="A34">
            <v>300490</v>
          </cell>
          <cell r="B34" t="str">
            <v>Edward Castro (300490)</v>
          </cell>
          <cell r="C34">
            <v>26.38</v>
          </cell>
          <cell r="D34">
            <v>26.38</v>
          </cell>
          <cell r="K34">
            <v>300490</v>
          </cell>
          <cell r="L34" t="str">
            <v>Edward Castro (300490)</v>
          </cell>
          <cell r="M34">
            <v>2115.5833360000001</v>
          </cell>
          <cell r="T34">
            <v>155118</v>
          </cell>
          <cell r="U34" t="str">
            <v>Forrest Quick (155118)</v>
          </cell>
          <cell r="V34">
            <v>431.16666399999991</v>
          </cell>
          <cell r="AB34">
            <v>114467</v>
          </cell>
          <cell r="AC34" t="str">
            <v>Felix Medina (114467)</v>
          </cell>
          <cell r="AD34">
            <v>1430.5200000000009</v>
          </cell>
          <cell r="AJ34">
            <v>155169</v>
          </cell>
          <cell r="AK34" t="str">
            <v>Jose Rodriguez (155169)</v>
          </cell>
          <cell r="AL34">
            <v>-573.98</v>
          </cell>
        </row>
        <row r="35">
          <cell r="A35">
            <v>313298</v>
          </cell>
          <cell r="B35" t="str">
            <v>Erik Venegas Madrid (313298)</v>
          </cell>
          <cell r="C35">
            <v>26.38</v>
          </cell>
          <cell r="D35">
            <v>26.38</v>
          </cell>
          <cell r="K35">
            <v>313298</v>
          </cell>
          <cell r="L35" t="str">
            <v>Erik Venegas Madrid (313298)</v>
          </cell>
          <cell r="M35">
            <v>2170.3299980000002</v>
          </cell>
          <cell r="T35">
            <v>324127</v>
          </cell>
          <cell r="U35" t="str">
            <v>Fransisco Morales (324127)</v>
          </cell>
          <cell r="V35">
            <v>3.5833330000000001</v>
          </cell>
          <cell r="AB35">
            <v>155118</v>
          </cell>
          <cell r="AC35" t="str">
            <v>Forrest Quick (155118)</v>
          </cell>
          <cell r="AD35">
            <v>1766.6199999999992</v>
          </cell>
          <cell r="AJ35">
            <v>114469</v>
          </cell>
          <cell r="AK35" t="str">
            <v>Josh Moore (114469)</v>
          </cell>
          <cell r="AL35">
            <v>463.75</v>
          </cell>
        </row>
        <row r="36">
          <cell r="A36">
            <v>114467</v>
          </cell>
          <cell r="B36" t="str">
            <v>Felix Medina (114467)</v>
          </cell>
          <cell r="C36">
            <v>28.88</v>
          </cell>
          <cell r="D36">
            <v>28.88</v>
          </cell>
          <cell r="K36">
            <v>114467</v>
          </cell>
          <cell r="L36" t="str">
            <v>Felix Medina (114467)</v>
          </cell>
          <cell r="M36">
            <v>2156.233334</v>
          </cell>
          <cell r="T36">
            <v>158366</v>
          </cell>
          <cell r="U36" t="str">
            <v>Hector Barrera Ortiz (158366)</v>
          </cell>
          <cell r="V36">
            <v>423.90003299999995</v>
          </cell>
          <cell r="AB36">
            <v>158366</v>
          </cell>
          <cell r="AC36" t="str">
            <v>Hector Barrera Ortiz (158366)</v>
          </cell>
          <cell r="AD36">
            <v>1665.5100000000007</v>
          </cell>
          <cell r="AJ36">
            <v>313292</v>
          </cell>
          <cell r="AK36" t="str">
            <v>Juan Martinez (313292)</v>
          </cell>
          <cell r="AL36">
            <v>537</v>
          </cell>
        </row>
        <row r="37">
          <cell r="A37">
            <v>155118</v>
          </cell>
          <cell r="B37" t="str">
            <v>Forrest Quick (155118)</v>
          </cell>
          <cell r="C37">
            <v>26.38</v>
          </cell>
          <cell r="D37">
            <v>26.38</v>
          </cell>
          <cell r="K37">
            <v>155118</v>
          </cell>
          <cell r="L37" t="str">
            <v>Forrest Quick (155118)</v>
          </cell>
          <cell r="M37">
            <v>2146.849999</v>
          </cell>
          <cell r="T37">
            <v>114480</v>
          </cell>
          <cell r="U37" t="str">
            <v>Isidro Ramirez (114480)</v>
          </cell>
          <cell r="V37">
            <v>424.23332900000003</v>
          </cell>
          <cell r="AB37">
            <v>114480</v>
          </cell>
          <cell r="AC37" t="str">
            <v>Isidro Ramirez (114480)</v>
          </cell>
          <cell r="AD37">
            <v>1470.410000000001</v>
          </cell>
          <cell r="AJ37">
            <v>115644</v>
          </cell>
          <cell r="AK37" t="str">
            <v>Juan Ortega (115644)</v>
          </cell>
          <cell r="AL37">
            <v>5387.48</v>
          </cell>
        </row>
        <row r="38">
          <cell r="A38">
            <v>324127</v>
          </cell>
          <cell r="B38" t="str">
            <v>Fransisco Morales (324127)</v>
          </cell>
          <cell r="C38">
            <v>22</v>
          </cell>
          <cell r="D38">
            <v>22</v>
          </cell>
          <cell r="K38">
            <v>324127</v>
          </cell>
          <cell r="L38" t="str">
            <v>Fransisco Morales (324127)</v>
          </cell>
          <cell r="M38">
            <v>93.816665999999998</v>
          </cell>
          <cell r="T38">
            <v>325259</v>
          </cell>
          <cell r="U38" t="str">
            <v>Jacob Breshears (325259)</v>
          </cell>
          <cell r="V38">
            <v>289.90002700000002</v>
          </cell>
          <cell r="AB38">
            <v>325259</v>
          </cell>
          <cell r="AC38" t="str">
            <v>Jacob Breshears (325259)</v>
          </cell>
          <cell r="AD38">
            <v>1178.42</v>
          </cell>
          <cell r="AJ38">
            <v>326633</v>
          </cell>
          <cell r="AK38" t="str">
            <v>Juan Perea (326633)</v>
          </cell>
          <cell r="AL38">
            <v>101.58</v>
          </cell>
        </row>
        <row r="39">
          <cell r="A39">
            <v>114443</v>
          </cell>
          <cell r="B39" t="str">
            <v>Freddie Broadie (On Leave) (114443)</v>
          </cell>
          <cell r="C39">
            <v>26.38</v>
          </cell>
          <cell r="D39">
            <v>26.38</v>
          </cell>
          <cell r="K39">
            <v>158366</v>
          </cell>
          <cell r="L39" t="str">
            <v>Hector Barrera Ortiz (158366)</v>
          </cell>
          <cell r="M39">
            <v>2135.6333340000001</v>
          </cell>
          <cell r="T39">
            <v>306712</v>
          </cell>
          <cell r="U39" t="str">
            <v>James Bone (306712)</v>
          </cell>
          <cell r="V39">
            <v>425.28333300000008</v>
          </cell>
          <cell r="AB39">
            <v>306712</v>
          </cell>
          <cell r="AC39" t="str">
            <v>James Bone (306712)</v>
          </cell>
          <cell r="AD39">
            <v>1459.6800000000012</v>
          </cell>
          <cell r="AJ39">
            <v>319811</v>
          </cell>
          <cell r="AK39" t="str">
            <v>KAREN SIMOND (319811)</v>
          </cell>
          <cell r="AL39">
            <v>125.21</v>
          </cell>
        </row>
        <row r="40">
          <cell r="A40">
            <v>158366</v>
          </cell>
          <cell r="B40" t="str">
            <v>Hector Barrera Ortiz (158366)</v>
          </cell>
          <cell r="C40">
            <v>27.88</v>
          </cell>
          <cell r="D40">
            <v>27.88</v>
          </cell>
          <cell r="K40">
            <v>114480</v>
          </cell>
          <cell r="L40" t="str">
            <v>Isidro Ramirez (114480)</v>
          </cell>
          <cell r="M40">
            <v>2133.3166649999998</v>
          </cell>
          <cell r="T40">
            <v>302247</v>
          </cell>
          <cell r="U40" t="str">
            <v>James Wood (302247)</v>
          </cell>
          <cell r="V40">
            <v>134.33332599999997</v>
          </cell>
          <cell r="AB40">
            <v>302247</v>
          </cell>
          <cell r="AC40" t="str">
            <v>James Wood (302247)</v>
          </cell>
          <cell r="AD40">
            <v>9448.4399999999987</v>
          </cell>
          <cell r="AJ40">
            <v>153091</v>
          </cell>
          <cell r="AK40" t="str">
            <v>Kathleen Winter (153091)</v>
          </cell>
          <cell r="AL40">
            <v>4467.66</v>
          </cell>
        </row>
        <row r="41">
          <cell r="A41">
            <v>114480</v>
          </cell>
          <cell r="B41" t="str">
            <v>Isidro Ramirez (114480)</v>
          </cell>
          <cell r="C41">
            <v>26.38</v>
          </cell>
          <cell r="D41">
            <v>26.38</v>
          </cell>
          <cell r="K41">
            <v>325259</v>
          </cell>
          <cell r="L41" t="str">
            <v>Jacob Breshears (325259)</v>
          </cell>
          <cell r="M41">
            <v>1409.1500020000001</v>
          </cell>
          <cell r="T41">
            <v>312518</v>
          </cell>
          <cell r="U41" t="str">
            <v>Jason Wilson (312518)</v>
          </cell>
          <cell r="V41">
            <v>92.750001999999981</v>
          </cell>
          <cell r="AB41">
            <v>312518</v>
          </cell>
          <cell r="AC41" t="str">
            <v>Jason Wilson (312518)</v>
          </cell>
          <cell r="AD41">
            <v>1238.6500000000003</v>
          </cell>
          <cell r="AJ41">
            <v>156572</v>
          </cell>
          <cell r="AK41" t="str">
            <v>Marco Camacho (156572)</v>
          </cell>
          <cell r="AL41">
            <v>2426.08</v>
          </cell>
        </row>
        <row r="42">
          <cell r="A42">
            <v>325259</v>
          </cell>
          <cell r="B42" t="str">
            <v>Jacob Breshears (325259)</v>
          </cell>
          <cell r="C42">
            <v>24.27</v>
          </cell>
          <cell r="D42">
            <v>24.27</v>
          </cell>
          <cell r="K42">
            <v>306712</v>
          </cell>
          <cell r="L42" t="str">
            <v>James Bone (306712)</v>
          </cell>
          <cell r="M42">
            <v>2158.3833340000001</v>
          </cell>
          <cell r="T42">
            <v>155303</v>
          </cell>
          <cell r="U42" t="str">
            <v>Javier Castro (155303)</v>
          </cell>
          <cell r="V42">
            <v>434.99999099999991</v>
          </cell>
          <cell r="AB42">
            <v>155303</v>
          </cell>
          <cell r="AC42" t="str">
            <v>Javier Castro (155303)</v>
          </cell>
          <cell r="AD42">
            <v>1763.4799999999991</v>
          </cell>
          <cell r="AJ42">
            <v>157840</v>
          </cell>
          <cell r="AK42" t="str">
            <v>Michael Leiferman (157840)</v>
          </cell>
          <cell r="AL42">
            <v>2393.25</v>
          </cell>
        </row>
        <row r="43">
          <cell r="A43">
            <v>306712</v>
          </cell>
          <cell r="B43" t="str">
            <v>James Bone (306712)</v>
          </cell>
          <cell r="C43">
            <v>26.38</v>
          </cell>
          <cell r="D43">
            <v>26.38</v>
          </cell>
          <cell r="K43">
            <v>302247</v>
          </cell>
          <cell r="L43" t="str">
            <v>James Wood (302247)</v>
          </cell>
          <cell r="M43">
            <v>2103.0833309999994</v>
          </cell>
          <cell r="T43">
            <v>114454</v>
          </cell>
          <cell r="U43" t="str">
            <v>Javier Garcia (114454)</v>
          </cell>
          <cell r="V43">
            <v>361.6833400000001</v>
          </cell>
          <cell r="AB43">
            <v>114454</v>
          </cell>
          <cell r="AC43" t="str">
            <v>Javier Garcia (114454)</v>
          </cell>
          <cell r="AD43">
            <v>1524.2499999999982</v>
          </cell>
          <cell r="AJ43">
            <v>321586</v>
          </cell>
          <cell r="AK43" t="str">
            <v>Miguel Castellanos (321586)</v>
          </cell>
          <cell r="AL43">
            <v>495.52</v>
          </cell>
        </row>
        <row r="44">
          <cell r="A44">
            <v>302247</v>
          </cell>
          <cell r="B44" t="str">
            <v>James Wood (302247)</v>
          </cell>
          <cell r="C44">
            <v>29.54</v>
          </cell>
          <cell r="D44">
            <v>29.54</v>
          </cell>
          <cell r="K44">
            <v>312518</v>
          </cell>
          <cell r="L44" t="str">
            <v>Jason Wilson (312518)</v>
          </cell>
          <cell r="M44">
            <v>2071.4166700000001</v>
          </cell>
          <cell r="T44">
            <v>114442</v>
          </cell>
          <cell r="U44" t="str">
            <v>Jerry Basford (114442)</v>
          </cell>
          <cell r="V44">
            <v>203.86666300000002</v>
          </cell>
          <cell r="AB44">
            <v>114442</v>
          </cell>
          <cell r="AC44" t="str">
            <v>Jerry Basford (114442)</v>
          </cell>
          <cell r="AD44">
            <v>1536.3800000000003</v>
          </cell>
          <cell r="AJ44">
            <v>114465</v>
          </cell>
          <cell r="AK44" t="str">
            <v>Miguel Martinez (114465)</v>
          </cell>
          <cell r="AL44">
            <v>6558.84</v>
          </cell>
        </row>
        <row r="45">
          <cell r="A45">
            <v>312518</v>
          </cell>
          <cell r="B45" t="str">
            <v>Jason Wilson (312518)</v>
          </cell>
          <cell r="C45">
            <v>17.940000000000001</v>
          </cell>
          <cell r="D45">
            <v>17.940000000000001</v>
          </cell>
          <cell r="K45">
            <v>155303</v>
          </cell>
          <cell r="L45" t="str">
            <v>Javier Castro (155303)</v>
          </cell>
          <cell r="M45">
            <v>2143.7833329999999</v>
          </cell>
          <cell r="T45">
            <v>317359</v>
          </cell>
          <cell r="U45" t="str">
            <v>Jesus Cisneros (317359)</v>
          </cell>
          <cell r="V45">
            <v>112.41666500000001</v>
          </cell>
          <cell r="AB45">
            <v>114473</v>
          </cell>
          <cell r="AC45" t="str">
            <v>Jesus Ortega (114473)</v>
          </cell>
          <cell r="AD45">
            <v>1769.4899999999991</v>
          </cell>
          <cell r="AJ45">
            <v>114487</v>
          </cell>
          <cell r="AK45" t="str">
            <v>Noel Trevino (114487)</v>
          </cell>
          <cell r="AL45">
            <v>4813.99</v>
          </cell>
        </row>
        <row r="46">
          <cell r="A46">
            <v>155303</v>
          </cell>
          <cell r="B46" t="str">
            <v>Javier Castro (155303)</v>
          </cell>
          <cell r="C46">
            <v>26.38</v>
          </cell>
          <cell r="D46">
            <v>26.38</v>
          </cell>
          <cell r="K46">
            <v>114454</v>
          </cell>
          <cell r="L46" t="str">
            <v>Javier Garcia (114454)</v>
          </cell>
          <cell r="M46">
            <v>2147.7666669999999</v>
          </cell>
          <cell r="T46">
            <v>114473</v>
          </cell>
          <cell r="U46" t="str">
            <v>Jesus Ortega (114473)</v>
          </cell>
          <cell r="V46">
            <v>331.20000099999993</v>
          </cell>
          <cell r="AB46">
            <v>306452</v>
          </cell>
          <cell r="AC46" t="str">
            <v>Jonathon Rivera (306452)</v>
          </cell>
          <cell r="AD46">
            <v>1386.1500000000008</v>
          </cell>
          <cell r="AJ46">
            <v>157983</v>
          </cell>
          <cell r="AK46" t="str">
            <v>Peter Graham (157983)</v>
          </cell>
          <cell r="AL46">
            <v>2245</v>
          </cell>
        </row>
        <row r="47">
          <cell r="A47">
            <v>114454</v>
          </cell>
          <cell r="B47" t="str">
            <v>Javier Garcia (114454)</v>
          </cell>
          <cell r="C47">
            <v>26.38</v>
          </cell>
          <cell r="D47">
            <v>26.38</v>
          </cell>
          <cell r="K47">
            <v>114442</v>
          </cell>
          <cell r="L47" t="str">
            <v>Jerry Basford (114442)</v>
          </cell>
          <cell r="M47">
            <v>2121.75</v>
          </cell>
          <cell r="T47">
            <v>306452</v>
          </cell>
          <cell r="U47" t="str">
            <v>Jonathon Rivera (306452)</v>
          </cell>
          <cell r="V47">
            <v>49.250003</v>
          </cell>
          <cell r="AB47">
            <v>157794</v>
          </cell>
          <cell r="AC47" t="str">
            <v>Jose Jimenez (157794)</v>
          </cell>
          <cell r="AD47">
            <v>1737.7099999999991</v>
          </cell>
          <cell r="AJ47">
            <v>114483</v>
          </cell>
          <cell r="AK47" t="str">
            <v>Randy Schuster (114483)</v>
          </cell>
          <cell r="AL47">
            <v>4070.93</v>
          </cell>
        </row>
        <row r="48">
          <cell r="A48">
            <v>114442</v>
          </cell>
          <cell r="B48" t="str">
            <v>Jerry Basford (114442)</v>
          </cell>
          <cell r="C48">
            <v>26.38</v>
          </cell>
          <cell r="D48">
            <v>26.38</v>
          </cell>
          <cell r="K48">
            <v>317359</v>
          </cell>
          <cell r="L48" t="str">
            <v>Jesus Cisneros (317359)</v>
          </cell>
          <cell r="M48">
            <v>896.76993299999992</v>
          </cell>
          <cell r="T48">
            <v>322879</v>
          </cell>
          <cell r="U48" t="str">
            <v>Jose Garibay, chavez (322879)</v>
          </cell>
          <cell r="V48">
            <v>30.516666000000001</v>
          </cell>
          <cell r="AB48">
            <v>156668</v>
          </cell>
          <cell r="AC48" t="str">
            <v>Jose Martinez (156668)</v>
          </cell>
          <cell r="AD48">
            <v>1846.8200000000004</v>
          </cell>
          <cell r="AJ48">
            <v>114472</v>
          </cell>
          <cell r="AK48" t="str">
            <v>Raymond Munoz (114472)</v>
          </cell>
          <cell r="AL48">
            <v>6180.75</v>
          </cell>
        </row>
        <row r="49">
          <cell r="A49">
            <v>317359</v>
          </cell>
          <cell r="B49" t="str">
            <v>Jesus Cisneros (317359)</v>
          </cell>
          <cell r="C49">
            <v>25</v>
          </cell>
          <cell r="D49">
            <v>25</v>
          </cell>
          <cell r="K49">
            <v>114473</v>
          </cell>
          <cell r="L49" t="str">
            <v>Jesus Ortega (114473)</v>
          </cell>
          <cell r="M49">
            <v>2162.8666710000002</v>
          </cell>
          <cell r="T49">
            <v>157794</v>
          </cell>
          <cell r="U49" t="str">
            <v>Jose Jimenez (157794)</v>
          </cell>
          <cell r="V49">
            <v>296.3166690000001</v>
          </cell>
          <cell r="AB49">
            <v>156839</v>
          </cell>
          <cell r="AC49" t="str">
            <v>Jose Martinez (156839)</v>
          </cell>
          <cell r="AD49">
            <v>1655.9400000000005</v>
          </cell>
          <cell r="AJ49">
            <v>116218</v>
          </cell>
          <cell r="AK49" t="str">
            <v>Richard Startin (116218)</v>
          </cell>
          <cell r="AL49">
            <v>5225.2700000000004</v>
          </cell>
        </row>
        <row r="50">
          <cell r="A50">
            <v>114473</v>
          </cell>
          <cell r="B50" t="str">
            <v>Jesus Ortega (114473)</v>
          </cell>
          <cell r="C50">
            <v>27.88</v>
          </cell>
          <cell r="D50">
            <v>27.88</v>
          </cell>
          <cell r="K50">
            <v>306452</v>
          </cell>
          <cell r="L50" t="str">
            <v>Jonathon Rivera (306452)</v>
          </cell>
          <cell r="M50">
            <v>2087.2833380000002</v>
          </cell>
          <cell r="T50">
            <v>156668</v>
          </cell>
          <cell r="U50" t="str">
            <v>Jose Martinez (156668)</v>
          </cell>
          <cell r="V50">
            <v>503.48333200000002</v>
          </cell>
          <cell r="AB50">
            <v>155169</v>
          </cell>
          <cell r="AC50" t="str">
            <v>Jose Rodriguez (155169)</v>
          </cell>
          <cell r="AD50">
            <v>1142.6499999999994</v>
          </cell>
          <cell r="AJ50">
            <v>114490</v>
          </cell>
          <cell r="AK50" t="str">
            <v>Robert Bossert (114490)</v>
          </cell>
          <cell r="AL50">
            <v>1142.75</v>
          </cell>
        </row>
        <row r="51">
          <cell r="A51">
            <v>306452</v>
          </cell>
          <cell r="B51" t="str">
            <v>Jonathon Rivera (306452)</v>
          </cell>
          <cell r="C51">
            <v>26.38</v>
          </cell>
          <cell r="D51">
            <v>26.38</v>
          </cell>
          <cell r="K51">
            <v>322879</v>
          </cell>
          <cell r="L51" t="str">
            <v>Jose Garibay, chavez (322879)</v>
          </cell>
          <cell r="M51">
            <v>160</v>
          </cell>
          <cell r="T51">
            <v>156839</v>
          </cell>
          <cell r="U51" t="str">
            <v>Jose Martinez (156839)</v>
          </cell>
          <cell r="V51">
            <v>279.05000499999994</v>
          </cell>
          <cell r="AB51">
            <v>114469</v>
          </cell>
          <cell r="AC51" t="str">
            <v>Josh Moore (114469)</v>
          </cell>
          <cell r="AD51">
            <v>382.53999999999996</v>
          </cell>
          <cell r="AJ51">
            <v>114615</v>
          </cell>
          <cell r="AK51" t="str">
            <v>Ruben Caridad (114615)</v>
          </cell>
          <cell r="AL51">
            <v>6539.41</v>
          </cell>
        </row>
        <row r="52">
          <cell r="A52">
            <v>322879</v>
          </cell>
          <cell r="B52" t="str">
            <v>Jose Garibay, chavez (322879)</v>
          </cell>
          <cell r="C52">
            <v>19.82</v>
          </cell>
          <cell r="D52">
            <v>19.82</v>
          </cell>
          <cell r="K52">
            <v>157794</v>
          </cell>
          <cell r="L52" t="str">
            <v>Jose Jimenez (157794)</v>
          </cell>
          <cell r="M52">
            <v>2089.6666679999998</v>
          </cell>
          <cell r="T52">
            <v>155169</v>
          </cell>
          <cell r="U52" t="str">
            <v>Jose Rodriguez (155169)</v>
          </cell>
          <cell r="V52">
            <v>260.03333200000003</v>
          </cell>
          <cell r="AB52">
            <v>317063</v>
          </cell>
          <cell r="AC52" t="str">
            <v>Joshua Bailey (317063)</v>
          </cell>
          <cell r="AD52">
            <v>1134.48</v>
          </cell>
          <cell r="AJ52">
            <v>303295</v>
          </cell>
          <cell r="AK52" t="str">
            <v>Salvador Gonzalez (303295)</v>
          </cell>
          <cell r="AL52">
            <v>1897.36</v>
          </cell>
        </row>
        <row r="53">
          <cell r="A53">
            <v>157794</v>
          </cell>
          <cell r="B53" t="str">
            <v>Jose Jimenez (157794)</v>
          </cell>
          <cell r="C53">
            <v>26.38</v>
          </cell>
          <cell r="D53">
            <v>26.38</v>
          </cell>
          <cell r="K53">
            <v>156668</v>
          </cell>
          <cell r="L53" t="str">
            <v>Jose Martinez (156668)</v>
          </cell>
          <cell r="M53">
            <v>2130.4666690000004</v>
          </cell>
          <cell r="T53">
            <v>114469</v>
          </cell>
          <cell r="U53" t="str">
            <v>Josh Moore (114469)</v>
          </cell>
          <cell r="V53">
            <v>333.10000500000007</v>
          </cell>
          <cell r="AB53">
            <v>156743</v>
          </cell>
          <cell r="AC53" t="str">
            <v>Joshua Nathanson (156743)</v>
          </cell>
          <cell r="AD53">
            <v>525</v>
          </cell>
          <cell r="AJ53">
            <v>157637</v>
          </cell>
          <cell r="AK53" t="str">
            <v>Scott Betker (157637)</v>
          </cell>
          <cell r="AL53">
            <v>445.47</v>
          </cell>
        </row>
        <row r="54">
          <cell r="A54">
            <v>156668</v>
          </cell>
          <cell r="B54" t="str">
            <v>Jose Martinez (156668)</v>
          </cell>
          <cell r="C54">
            <v>28.49</v>
          </cell>
          <cell r="D54">
            <v>28.49</v>
          </cell>
          <cell r="K54">
            <v>156839</v>
          </cell>
          <cell r="L54" t="str">
            <v>Jose Martinez (156839)</v>
          </cell>
          <cell r="M54">
            <v>2102.9</v>
          </cell>
          <cell r="T54">
            <v>317063</v>
          </cell>
          <cell r="U54" t="str">
            <v>Joshua Bailey (317063)</v>
          </cell>
          <cell r="V54">
            <v>7.100003000000001</v>
          </cell>
          <cell r="AB54">
            <v>327790</v>
          </cell>
          <cell r="AC54" t="str">
            <v>Joshua Vickers (327790)</v>
          </cell>
          <cell r="AD54">
            <v>373</v>
          </cell>
          <cell r="AJ54">
            <v>158932</v>
          </cell>
          <cell r="AK54" t="str">
            <v>Sean Cole (158932)</v>
          </cell>
          <cell r="AL54">
            <v>1797.5</v>
          </cell>
        </row>
        <row r="55">
          <cell r="A55">
            <v>156839</v>
          </cell>
          <cell r="B55" t="str">
            <v>Jose Martinez (156839)</v>
          </cell>
          <cell r="C55">
            <v>27.88</v>
          </cell>
          <cell r="D55">
            <v>27.88</v>
          </cell>
          <cell r="K55">
            <v>155169</v>
          </cell>
          <cell r="L55" t="str">
            <v>Jose Rodriguez (155169)</v>
          </cell>
          <cell r="M55">
            <v>1936.3333299999999</v>
          </cell>
          <cell r="T55">
            <v>327790</v>
          </cell>
          <cell r="U55" t="str">
            <v>Joshua Vickers (327790)</v>
          </cell>
          <cell r="V55">
            <v>84.76666400000002</v>
          </cell>
          <cell r="AB55">
            <v>313292</v>
          </cell>
          <cell r="AC55" t="str">
            <v>Juan Martinez (313292)</v>
          </cell>
          <cell r="AD55">
            <v>1506.6400000000008</v>
          </cell>
          <cell r="AJ55">
            <v>151918</v>
          </cell>
          <cell r="AK55" t="str">
            <v>Sergio Valencia (151918)</v>
          </cell>
          <cell r="AL55">
            <v>3411.08</v>
          </cell>
        </row>
        <row r="56">
          <cell r="A56">
            <v>155169</v>
          </cell>
          <cell r="B56" t="str">
            <v>Jose Rodriguez (155169)</v>
          </cell>
          <cell r="C56">
            <v>25</v>
          </cell>
          <cell r="D56">
            <v>25</v>
          </cell>
          <cell r="K56">
            <v>114469</v>
          </cell>
          <cell r="L56" t="str">
            <v>Josh Moore (114469)</v>
          </cell>
          <cell r="M56">
            <v>2168.6166680000001</v>
          </cell>
          <cell r="T56">
            <v>313292</v>
          </cell>
          <cell r="U56" t="str">
            <v>Juan Martinez (313292)</v>
          </cell>
          <cell r="V56">
            <v>299.51667500000002</v>
          </cell>
          <cell r="AB56">
            <v>115644</v>
          </cell>
          <cell r="AC56" t="str">
            <v>Juan Ortega (115644)</v>
          </cell>
          <cell r="AD56">
            <v>2806.3799999999983</v>
          </cell>
          <cell r="AJ56">
            <v>114437</v>
          </cell>
          <cell r="AK56" t="str">
            <v>Servando Arguello (114437)</v>
          </cell>
          <cell r="AL56">
            <v>5692.75</v>
          </cell>
        </row>
        <row r="57">
          <cell r="A57">
            <v>114469</v>
          </cell>
          <cell r="B57" t="str">
            <v>Josh Moore (114469)</v>
          </cell>
          <cell r="C57">
            <v>27.88</v>
          </cell>
          <cell r="D57">
            <v>27.88</v>
          </cell>
          <cell r="K57">
            <v>317063</v>
          </cell>
          <cell r="L57" t="str">
            <v>Joshua Bailey (317063)</v>
          </cell>
          <cell r="M57">
            <v>1773.04</v>
          </cell>
          <cell r="T57">
            <v>115644</v>
          </cell>
          <cell r="U57" t="str">
            <v>Juan Ortega (115644)</v>
          </cell>
          <cell r="V57">
            <v>401.06667800000008</v>
          </cell>
          <cell r="AB57">
            <v>319811</v>
          </cell>
          <cell r="AC57" t="str">
            <v>KAREN SIMOND (319811)</v>
          </cell>
          <cell r="AD57">
            <v>306.33000000000004</v>
          </cell>
          <cell r="AJ57">
            <v>114479</v>
          </cell>
          <cell r="AK57" t="str">
            <v>Steven Powers (114479)</v>
          </cell>
          <cell r="AL57">
            <v>5145.58</v>
          </cell>
        </row>
        <row r="58">
          <cell r="A58">
            <v>317063</v>
          </cell>
          <cell r="B58" t="str">
            <v>Joshua Bailey (317063)</v>
          </cell>
          <cell r="C58">
            <v>26.38</v>
          </cell>
          <cell r="D58">
            <v>26.38</v>
          </cell>
          <cell r="K58">
            <v>156743</v>
          </cell>
          <cell r="L58" t="str">
            <v>Joshua Nathanson (156743)</v>
          </cell>
          <cell r="M58">
            <v>2304</v>
          </cell>
          <cell r="T58">
            <v>326633</v>
          </cell>
          <cell r="U58" t="str">
            <v>Juan Perea (326633)</v>
          </cell>
          <cell r="V58">
            <v>18.816668999999997</v>
          </cell>
          <cell r="AB58">
            <v>153091</v>
          </cell>
          <cell r="AC58" t="str">
            <v>Kathleen Winter (153091)</v>
          </cell>
          <cell r="AD58">
            <v>3501.0699999999997</v>
          </cell>
          <cell r="AJ58">
            <v>307242</v>
          </cell>
          <cell r="AK58" t="str">
            <v>Susanna Martinez (307242)</v>
          </cell>
          <cell r="AL58">
            <v>47.12</v>
          </cell>
        </row>
        <row r="59">
          <cell r="A59">
            <v>156743</v>
          </cell>
          <cell r="B59" t="str">
            <v>Joshua Nathanson (156743)</v>
          </cell>
          <cell r="C59">
            <v>87874.28</v>
          </cell>
          <cell r="D59">
            <v>42.247250000000001</v>
          </cell>
          <cell r="K59">
            <v>327790</v>
          </cell>
          <cell r="L59" t="str">
            <v>Joshua Vickers (327790)</v>
          </cell>
          <cell r="M59">
            <v>712.69999899999993</v>
          </cell>
          <cell r="T59">
            <v>319811</v>
          </cell>
          <cell r="U59" t="str">
            <v>KAREN SIMOND (319811)</v>
          </cell>
          <cell r="V59">
            <v>39.149998000000004</v>
          </cell>
          <cell r="AB59">
            <v>307420</v>
          </cell>
          <cell r="AC59" t="str">
            <v>Leevi Creeley (307420)</v>
          </cell>
          <cell r="AD59">
            <v>1660.3200000000006</v>
          </cell>
          <cell r="AJ59">
            <v>114475</v>
          </cell>
          <cell r="AK59" t="str">
            <v>Terry Ough (114475)</v>
          </cell>
          <cell r="AL59">
            <v>3534</v>
          </cell>
        </row>
        <row r="60">
          <cell r="A60">
            <v>327790</v>
          </cell>
          <cell r="B60" t="str">
            <v>Joshua Vickers (327790)</v>
          </cell>
          <cell r="C60">
            <v>26.38</v>
          </cell>
          <cell r="D60">
            <v>26.38</v>
          </cell>
          <cell r="K60">
            <v>313292</v>
          </cell>
          <cell r="L60" t="str">
            <v>Juan Martinez (313292)</v>
          </cell>
          <cell r="M60">
            <v>2142.6500010000004</v>
          </cell>
          <cell r="T60">
            <v>153091</v>
          </cell>
          <cell r="U60" t="str">
            <v>Kathleen Winter (153091)</v>
          </cell>
          <cell r="V60">
            <v>27.150011000000006</v>
          </cell>
          <cell r="AB60">
            <v>324877</v>
          </cell>
          <cell r="AC60" t="str">
            <v>Leonardo Nunez (324877)</v>
          </cell>
          <cell r="AD60">
            <v>730.49999999999955</v>
          </cell>
          <cell r="AJ60">
            <v>114478</v>
          </cell>
          <cell r="AK60" t="str">
            <v>Victor Ponce (114478)</v>
          </cell>
          <cell r="AL60">
            <v>6236.78</v>
          </cell>
        </row>
        <row r="61">
          <cell r="A61">
            <v>313292</v>
          </cell>
          <cell r="B61" t="str">
            <v>Juan Martinez (313292)</v>
          </cell>
          <cell r="C61">
            <v>26.38</v>
          </cell>
          <cell r="D61">
            <v>26.38</v>
          </cell>
          <cell r="K61">
            <v>115644</v>
          </cell>
          <cell r="L61" t="str">
            <v>Juan Ortega (115644)</v>
          </cell>
          <cell r="M61">
            <v>2182.7000010000002</v>
          </cell>
          <cell r="T61">
            <v>307420</v>
          </cell>
          <cell r="U61" t="str">
            <v>Leevi Creeley (307420)</v>
          </cell>
          <cell r="V61">
            <v>301.56666799999994</v>
          </cell>
          <cell r="AB61">
            <v>328888</v>
          </cell>
          <cell r="AC61" t="str">
            <v>Luis Gonzalez (328888)</v>
          </cell>
          <cell r="AD61">
            <v>95.73</v>
          </cell>
          <cell r="AJ61">
            <v>114463</v>
          </cell>
          <cell r="AK61" t="str">
            <v>William Johns (On Leave) (114463)</v>
          </cell>
          <cell r="AL61">
            <v>5804</v>
          </cell>
        </row>
        <row r="62">
          <cell r="A62">
            <v>115644</v>
          </cell>
          <cell r="B62" t="str">
            <v>Juan Ortega (115644)</v>
          </cell>
          <cell r="C62">
            <v>27.88</v>
          </cell>
          <cell r="D62">
            <v>27.88</v>
          </cell>
          <cell r="K62">
            <v>326633</v>
          </cell>
          <cell r="L62" t="str">
            <v>Juan Perea (326633)</v>
          </cell>
          <cell r="M62">
            <v>193.79999900000001</v>
          </cell>
          <cell r="T62">
            <v>324877</v>
          </cell>
          <cell r="U62" t="str">
            <v>Leonardo Nunez (324877)</v>
          </cell>
          <cell r="V62">
            <v>154.200008</v>
          </cell>
          <cell r="AB62">
            <v>302985</v>
          </cell>
          <cell r="AC62" t="str">
            <v>Lynsey Ackerman (302985)</v>
          </cell>
          <cell r="AD62">
            <v>1542.2700000000002</v>
          </cell>
          <cell r="AJ62" t="str">
            <v>Grand Total</v>
          </cell>
          <cell r="AK62"/>
          <cell r="AL62">
            <v>141744.17000000001</v>
          </cell>
        </row>
        <row r="63">
          <cell r="A63">
            <v>326633</v>
          </cell>
          <cell r="B63" t="str">
            <v>Juan Perea (326633)</v>
          </cell>
          <cell r="C63">
            <v>22</v>
          </cell>
          <cell r="D63">
            <v>22</v>
          </cell>
          <cell r="K63">
            <v>319811</v>
          </cell>
          <cell r="L63" t="str">
            <v>KAREN SIMOND (319811)</v>
          </cell>
          <cell r="M63">
            <v>2113.2433339999998</v>
          </cell>
          <cell r="T63">
            <v>328888</v>
          </cell>
          <cell r="U63" t="str">
            <v>Luis Gonzalez (328888)</v>
          </cell>
          <cell r="V63">
            <v>53.983334999999997</v>
          </cell>
          <cell r="AB63">
            <v>156572</v>
          </cell>
          <cell r="AC63" t="str">
            <v>Marco Camacho (156572)</v>
          </cell>
          <cell r="AD63">
            <v>1440.0100000000011</v>
          </cell>
        </row>
        <row r="64">
          <cell r="A64">
            <v>319811</v>
          </cell>
          <cell r="B64" t="str">
            <v>KAREN SIMOND (319811)</v>
          </cell>
          <cell r="C64">
            <v>20.05</v>
          </cell>
          <cell r="D64">
            <v>20.05</v>
          </cell>
          <cell r="K64">
            <v>153091</v>
          </cell>
          <cell r="L64" t="str">
            <v>Kathleen Winter (153091)</v>
          </cell>
          <cell r="M64">
            <v>2148.4866670000001</v>
          </cell>
          <cell r="T64">
            <v>302985</v>
          </cell>
          <cell r="U64" t="str">
            <v>Lynsey Ackerman (302985)</v>
          </cell>
          <cell r="V64">
            <v>9.0999969999999983</v>
          </cell>
          <cell r="AB64">
            <v>328350</v>
          </cell>
          <cell r="AC64" t="str">
            <v>Marvin Morales (328350)</v>
          </cell>
          <cell r="AD64">
            <v>188.23000000000002</v>
          </cell>
        </row>
        <row r="65">
          <cell r="A65">
            <v>153091</v>
          </cell>
          <cell r="B65" t="str">
            <v>Kathleen Winter (153091)</v>
          </cell>
          <cell r="C65">
            <v>20.05</v>
          </cell>
          <cell r="D65">
            <v>20.05</v>
          </cell>
          <cell r="K65">
            <v>102740</v>
          </cell>
          <cell r="L65" t="str">
            <v>Keith Kovalenko (102740)</v>
          </cell>
          <cell r="M65">
            <v>1976</v>
          </cell>
          <cell r="T65">
            <v>156572</v>
          </cell>
          <cell r="U65" t="str">
            <v>Marco Camacho (156572)</v>
          </cell>
          <cell r="V65">
            <v>300.14999999999998</v>
          </cell>
          <cell r="AB65">
            <v>157840</v>
          </cell>
          <cell r="AC65" t="str">
            <v>Michael Leiferman (157840)</v>
          </cell>
          <cell r="AD65">
            <v>1546.8499999999981</v>
          </cell>
        </row>
        <row r="66">
          <cell r="A66">
            <v>102740</v>
          </cell>
          <cell r="B66" t="str">
            <v>Keith Kovalenko (102740)</v>
          </cell>
          <cell r="C66">
            <v>65000</v>
          </cell>
          <cell r="D66">
            <v>31.25</v>
          </cell>
          <cell r="K66">
            <v>307420</v>
          </cell>
          <cell r="L66" t="str">
            <v>Leevi Creeley (307420)</v>
          </cell>
          <cell r="M66">
            <v>2151.5351339999997</v>
          </cell>
          <cell r="T66">
            <v>328350</v>
          </cell>
          <cell r="U66" t="str">
            <v>Marvin Morales (328350)</v>
          </cell>
          <cell r="V66">
            <v>59.350001999999989</v>
          </cell>
          <cell r="AB66">
            <v>321586</v>
          </cell>
          <cell r="AC66" t="str">
            <v>Miguel Castellanos (321586)</v>
          </cell>
          <cell r="AD66">
            <v>500</v>
          </cell>
        </row>
        <row r="67">
          <cell r="A67">
            <v>307420</v>
          </cell>
          <cell r="B67" t="str">
            <v>Leevi Creeley (307420)</v>
          </cell>
          <cell r="C67">
            <v>26.38</v>
          </cell>
          <cell r="D67">
            <v>26.38</v>
          </cell>
          <cell r="K67">
            <v>324877</v>
          </cell>
          <cell r="L67" t="str">
            <v>Leonardo Nunez (324877)</v>
          </cell>
          <cell r="M67">
            <v>1196.9000000000001</v>
          </cell>
          <cell r="T67">
            <v>157840</v>
          </cell>
          <cell r="U67" t="str">
            <v>Michael Leiferman (157840)</v>
          </cell>
          <cell r="V67">
            <v>361.23335999999989</v>
          </cell>
          <cell r="AB67">
            <v>114465</v>
          </cell>
          <cell r="AC67" t="str">
            <v>Miguel Martinez (114465)</v>
          </cell>
          <cell r="AD67">
            <v>1699.6900000000007</v>
          </cell>
        </row>
        <row r="68">
          <cell r="A68">
            <v>324877</v>
          </cell>
          <cell r="B68" t="str">
            <v>Leonardo Nunez (324877)</v>
          </cell>
          <cell r="C68">
            <v>24.27</v>
          </cell>
          <cell r="D68">
            <v>24.27</v>
          </cell>
          <cell r="K68">
            <v>328888</v>
          </cell>
          <cell r="L68" t="str">
            <v>Luis Gonzalez (328888)</v>
          </cell>
          <cell r="M68">
            <v>318.250001</v>
          </cell>
          <cell r="T68">
            <v>321586</v>
          </cell>
          <cell r="U68" t="str">
            <v>Miguel Castellanos (321586)</v>
          </cell>
          <cell r="V68">
            <v>64</v>
          </cell>
          <cell r="AB68">
            <v>114487</v>
          </cell>
          <cell r="AC68" t="str">
            <v>Noel Trevino (114487)</v>
          </cell>
          <cell r="AD68">
            <v>1480.4900000000002</v>
          </cell>
          <cell r="AK68" t="str">
            <v>Deduction or Earning</v>
          </cell>
          <cell r="AL68" t="str">
            <v>Earning</v>
          </cell>
        </row>
        <row r="69">
          <cell r="A69">
            <v>328888</v>
          </cell>
          <cell r="B69" t="str">
            <v>Luis Gonzalez (328888)</v>
          </cell>
          <cell r="C69">
            <v>24.27</v>
          </cell>
          <cell r="D69">
            <v>24.27</v>
          </cell>
          <cell r="K69">
            <v>302985</v>
          </cell>
          <cell r="L69" t="str">
            <v>Lynsey Ackerman (302985)</v>
          </cell>
          <cell r="M69">
            <v>1862.2600060000002</v>
          </cell>
          <cell r="T69">
            <v>114465</v>
          </cell>
          <cell r="U69" t="str">
            <v>Miguel Martinez (114465)</v>
          </cell>
          <cell r="V69">
            <v>624.41670699999986</v>
          </cell>
          <cell r="AB69">
            <v>157983</v>
          </cell>
          <cell r="AC69" t="str">
            <v>Peter Graham (157983)</v>
          </cell>
          <cell r="AD69">
            <v>1642.2500000000005</v>
          </cell>
          <cell r="AK69" t="str">
            <v>Cost Center (as of Calculation Entry Moment)</v>
          </cell>
          <cell r="AL69" t="str">
            <v>(Multiple Items)</v>
          </cell>
        </row>
        <row r="70">
          <cell r="A70">
            <v>302985</v>
          </cell>
          <cell r="B70" t="str">
            <v>Lynsey Ackerman (302985)</v>
          </cell>
          <cell r="C70">
            <v>20.05</v>
          </cell>
          <cell r="D70">
            <v>20.05</v>
          </cell>
          <cell r="K70">
            <v>156572</v>
          </cell>
          <cell r="L70" t="str">
            <v>Marco Camacho (156572)</v>
          </cell>
          <cell r="M70">
            <v>2187.5833320000002</v>
          </cell>
          <cell r="T70">
            <v>114487</v>
          </cell>
          <cell r="U70" t="str">
            <v>Noel Trevino (114487)</v>
          </cell>
          <cell r="V70">
            <v>454.74999999999994</v>
          </cell>
          <cell r="AB70">
            <v>156957</v>
          </cell>
          <cell r="AC70" t="str">
            <v>Race Kennedy (156957)</v>
          </cell>
          <cell r="AD70">
            <v>1523.5099999999989</v>
          </cell>
        </row>
        <row r="71">
          <cell r="A71">
            <v>156572</v>
          </cell>
          <cell r="B71" t="str">
            <v>Marco Camacho (156572)</v>
          </cell>
          <cell r="C71">
            <v>27.88</v>
          </cell>
          <cell r="D71">
            <v>27.88</v>
          </cell>
          <cell r="K71">
            <v>316716</v>
          </cell>
          <cell r="L71" t="str">
            <v>Mark Lanter (316716)</v>
          </cell>
          <cell r="M71">
            <v>1000</v>
          </cell>
          <cell r="T71">
            <v>157983</v>
          </cell>
          <cell r="U71" t="str">
            <v>Peter Graham (157983)</v>
          </cell>
          <cell r="V71">
            <v>293.93332800000007</v>
          </cell>
          <cell r="AB71">
            <v>114483</v>
          </cell>
          <cell r="AC71" t="str">
            <v>Randy Schuster (114483)</v>
          </cell>
          <cell r="AD71">
            <v>1823.819999999999</v>
          </cell>
          <cell r="AK71" t="str">
            <v>Sum of Result Line Amount</v>
          </cell>
        </row>
        <row r="72">
          <cell r="A72">
            <v>316716</v>
          </cell>
          <cell r="B72" t="str">
            <v>Mark Lanter (316716)</v>
          </cell>
          <cell r="C72">
            <v>97500</v>
          </cell>
          <cell r="D72">
            <v>46.875</v>
          </cell>
          <cell r="K72">
            <v>324364</v>
          </cell>
          <cell r="L72" t="str">
            <v>Marquise Andrade (324364)</v>
          </cell>
          <cell r="M72">
            <v>64.7</v>
          </cell>
          <cell r="T72">
            <v>156957</v>
          </cell>
          <cell r="U72" t="str">
            <v>Race Kennedy (156957)</v>
          </cell>
          <cell r="V72">
            <v>438.85004399999991</v>
          </cell>
          <cell r="AB72">
            <v>114472</v>
          </cell>
          <cell r="AC72" t="str">
            <v>Raymond Munoz (114472)</v>
          </cell>
          <cell r="AD72">
            <v>1763.1499999999992</v>
          </cell>
          <cell r="AK72" t="str">
            <v>Pay Component Name</v>
          </cell>
          <cell r="AL72" t="str">
            <v>Total</v>
          </cell>
        </row>
        <row r="73">
          <cell r="A73">
            <v>324364</v>
          </cell>
          <cell r="B73" t="str">
            <v>Marquise Andrade (324364)</v>
          </cell>
          <cell r="C73">
            <v>22</v>
          </cell>
          <cell r="D73">
            <v>22</v>
          </cell>
          <cell r="K73">
            <v>328350</v>
          </cell>
          <cell r="L73" t="str">
            <v>Marvin Morales (328350)</v>
          </cell>
          <cell r="M73">
            <v>521.03333300000008</v>
          </cell>
          <cell r="T73">
            <v>114483</v>
          </cell>
          <cell r="U73" t="str">
            <v>Randy Schuster (114483)</v>
          </cell>
          <cell r="V73">
            <v>610.49999500000013</v>
          </cell>
          <cell r="AB73">
            <v>116218</v>
          </cell>
          <cell r="AC73" t="str">
            <v>Richard Startin (116218)</v>
          </cell>
          <cell r="AD73">
            <v>1394.75</v>
          </cell>
          <cell r="AK73" t="str">
            <v>Sick Time Payout</v>
          </cell>
          <cell r="AL73">
            <v>138401.57</v>
          </cell>
        </row>
        <row r="74">
          <cell r="A74">
            <v>328350</v>
          </cell>
          <cell r="B74" t="str">
            <v>Marvin Morales (328350)</v>
          </cell>
          <cell r="C74">
            <v>23.21</v>
          </cell>
          <cell r="D74">
            <v>23.21</v>
          </cell>
          <cell r="K74">
            <v>157840</v>
          </cell>
          <cell r="L74" t="str">
            <v>Michael Leiferman (157840)</v>
          </cell>
          <cell r="M74">
            <v>2146.0000009999999</v>
          </cell>
          <cell r="T74">
            <v>114472</v>
          </cell>
          <cell r="U74" t="str">
            <v>Raymond Munoz (114472)</v>
          </cell>
          <cell r="V74">
            <v>476.35000200000002</v>
          </cell>
          <cell r="AB74">
            <v>114490</v>
          </cell>
          <cell r="AC74" t="str">
            <v>Robert Bossert (114490)</v>
          </cell>
          <cell r="AD74">
            <v>1771.9199999999992</v>
          </cell>
          <cell r="AK74" t="str">
            <v>Vacation Payout</v>
          </cell>
          <cell r="AL74">
            <v>2259.1</v>
          </cell>
        </row>
        <row r="75">
          <cell r="A75">
            <v>157840</v>
          </cell>
          <cell r="B75" t="str">
            <v>Michael Leiferman (157840)</v>
          </cell>
          <cell r="C75">
            <v>26.38</v>
          </cell>
          <cell r="D75">
            <v>26.38</v>
          </cell>
          <cell r="K75">
            <v>321586</v>
          </cell>
          <cell r="L75" t="str">
            <v>Miguel Castellanos (321586)</v>
          </cell>
          <cell r="M75">
            <v>713.85000300000002</v>
          </cell>
          <cell r="T75">
            <v>116218</v>
          </cell>
          <cell r="U75" t="str">
            <v>Richard Startin (116218)</v>
          </cell>
          <cell r="V75">
            <v>351.68333599999988</v>
          </cell>
          <cell r="AB75">
            <v>114455</v>
          </cell>
          <cell r="AC75" t="str">
            <v>Robert Garcia (114455)</v>
          </cell>
          <cell r="AD75">
            <v>525</v>
          </cell>
          <cell r="AK75" t="str">
            <v>Grand Total</v>
          </cell>
          <cell r="AL75">
            <v>140660.67000000001</v>
          </cell>
        </row>
        <row r="76">
          <cell r="A76">
            <v>321586</v>
          </cell>
          <cell r="B76" t="str">
            <v>Miguel Castellanos (321586)</v>
          </cell>
          <cell r="C76">
            <v>23</v>
          </cell>
          <cell r="D76">
            <v>23</v>
          </cell>
          <cell r="K76">
            <v>114465</v>
          </cell>
          <cell r="L76" t="str">
            <v>Miguel Martinez (114465)</v>
          </cell>
          <cell r="M76">
            <v>2129.6833349999997</v>
          </cell>
          <cell r="T76">
            <v>114490</v>
          </cell>
          <cell r="U76" t="str">
            <v>Robert Bossert (114490)</v>
          </cell>
          <cell r="V76">
            <v>399.23333500000007</v>
          </cell>
          <cell r="AB76">
            <v>114439</v>
          </cell>
          <cell r="AC76" t="str">
            <v>Roberto Ayungua (114439)</v>
          </cell>
          <cell r="AD76">
            <v>1766.3500000000031</v>
          </cell>
        </row>
        <row r="77">
          <cell r="A77">
            <v>114465</v>
          </cell>
          <cell r="B77" t="str">
            <v>Miguel Martinez (114465)</v>
          </cell>
          <cell r="C77">
            <v>28.38</v>
          </cell>
          <cell r="D77">
            <v>28.38</v>
          </cell>
          <cell r="K77">
            <v>317612</v>
          </cell>
          <cell r="L77" t="str">
            <v>NICOLE MOSER (317612)</v>
          </cell>
          <cell r="M77">
            <v>1400</v>
          </cell>
          <cell r="T77">
            <v>114439</v>
          </cell>
          <cell r="U77" t="str">
            <v>Roberto Ayungua (114439)</v>
          </cell>
          <cell r="V77">
            <v>295.63334599999996</v>
          </cell>
          <cell r="AB77">
            <v>325506</v>
          </cell>
          <cell r="AC77" t="str">
            <v>Roxanne Torres (325506)</v>
          </cell>
          <cell r="AD77">
            <v>296.03000000000003</v>
          </cell>
        </row>
        <row r="78">
          <cell r="A78">
            <v>317612</v>
          </cell>
          <cell r="B78" t="str">
            <v>NICOLE MOSER (317612)</v>
          </cell>
          <cell r="C78">
            <v>85000</v>
          </cell>
          <cell r="D78">
            <v>40.865384615384613</v>
          </cell>
          <cell r="K78">
            <v>114487</v>
          </cell>
          <cell r="L78" t="str">
            <v>Noel Trevino (114487)</v>
          </cell>
          <cell r="M78">
            <v>2152.2833329999999</v>
          </cell>
          <cell r="T78">
            <v>325506</v>
          </cell>
          <cell r="U78" t="str">
            <v>Roxanne Torres (325506)</v>
          </cell>
          <cell r="V78">
            <v>10.983331</v>
          </cell>
          <cell r="AB78">
            <v>114615</v>
          </cell>
          <cell r="AC78" t="str">
            <v>Ruben Caridad (114615)</v>
          </cell>
          <cell r="AD78">
            <v>1767.4899999999991</v>
          </cell>
          <cell r="AL78"/>
        </row>
        <row r="79">
          <cell r="A79">
            <v>114487</v>
          </cell>
          <cell r="B79" t="str">
            <v>Noel Trevino (114487)</v>
          </cell>
          <cell r="C79">
            <v>27.88</v>
          </cell>
          <cell r="D79">
            <v>27.88</v>
          </cell>
          <cell r="K79">
            <v>326661</v>
          </cell>
          <cell r="L79" t="str">
            <v>Pedro Alvarado (326661)</v>
          </cell>
          <cell r="M79">
            <v>56.366665999999995</v>
          </cell>
          <cell r="T79">
            <v>114615</v>
          </cell>
          <cell r="U79" t="str">
            <v>Ruben Caridad (114615)</v>
          </cell>
          <cell r="V79">
            <v>446.38333799999998</v>
          </cell>
          <cell r="AB79">
            <v>303295</v>
          </cell>
          <cell r="AC79" t="str">
            <v>Salvador Gonzalez (303295)</v>
          </cell>
          <cell r="AD79">
            <v>1557.8799999999981</v>
          </cell>
          <cell r="AL79"/>
        </row>
        <row r="80">
          <cell r="A80">
            <v>326661</v>
          </cell>
          <cell r="B80" t="str">
            <v>Pedro Alvarado (326661)</v>
          </cell>
          <cell r="C80">
            <v>22</v>
          </cell>
          <cell r="D80">
            <v>22</v>
          </cell>
          <cell r="K80">
            <v>157983</v>
          </cell>
          <cell r="L80" t="str">
            <v>Peter Graham (157983)</v>
          </cell>
          <cell r="M80">
            <v>2154.0500019999999</v>
          </cell>
          <cell r="T80">
            <v>303295</v>
          </cell>
          <cell r="U80" t="str">
            <v>Salvador Gonzalez (303295)</v>
          </cell>
          <cell r="V80">
            <v>116.400002</v>
          </cell>
          <cell r="AB80">
            <v>157637</v>
          </cell>
          <cell r="AC80" t="str">
            <v>Scott Betker (157637)</v>
          </cell>
          <cell r="AD80">
            <v>396.29999999999995</v>
          </cell>
        </row>
        <row r="81">
          <cell r="A81">
            <v>157983</v>
          </cell>
          <cell r="B81" t="str">
            <v>Peter Graham (157983)</v>
          </cell>
          <cell r="C81">
            <v>26.38</v>
          </cell>
          <cell r="D81">
            <v>26.38</v>
          </cell>
          <cell r="K81">
            <v>156957</v>
          </cell>
          <cell r="L81" t="str">
            <v>Race Kennedy (156957)</v>
          </cell>
          <cell r="M81">
            <v>2055.7166669999997</v>
          </cell>
          <cell r="T81">
            <v>157637</v>
          </cell>
          <cell r="U81" t="str">
            <v>Scott Betker (157637)</v>
          </cell>
          <cell r="V81">
            <v>273.35000600000001</v>
          </cell>
          <cell r="AB81">
            <v>158932</v>
          </cell>
          <cell r="AC81" t="str">
            <v>Sean Cole (158932)</v>
          </cell>
          <cell r="AD81">
            <v>1493.2500000000011</v>
          </cell>
        </row>
        <row r="82">
          <cell r="A82">
            <v>156957</v>
          </cell>
          <cell r="B82" t="str">
            <v>Race Kennedy (156957)</v>
          </cell>
          <cell r="C82">
            <v>26.38</v>
          </cell>
          <cell r="D82">
            <v>26.38</v>
          </cell>
          <cell r="K82">
            <v>114483</v>
          </cell>
          <cell r="L82" t="str">
            <v>Randy Schuster (114483)</v>
          </cell>
          <cell r="M82">
            <v>2136</v>
          </cell>
          <cell r="T82">
            <v>158932</v>
          </cell>
          <cell r="U82" t="str">
            <v>Sean Cole (158932)</v>
          </cell>
          <cell r="V82">
            <v>475.16667000000012</v>
          </cell>
          <cell r="AB82">
            <v>151918</v>
          </cell>
          <cell r="AC82" t="str">
            <v>Sergio Valencia (151918)</v>
          </cell>
          <cell r="AD82">
            <v>1674.6500000000008</v>
          </cell>
        </row>
        <row r="83">
          <cell r="A83">
            <v>114483</v>
          </cell>
          <cell r="B83" t="str">
            <v>Randy Schuster (114483)</v>
          </cell>
          <cell r="C83">
            <v>27.88</v>
          </cell>
          <cell r="D83">
            <v>27.88</v>
          </cell>
          <cell r="K83">
            <v>114472</v>
          </cell>
          <cell r="L83" t="str">
            <v>Raymond Munoz (114472)</v>
          </cell>
          <cell r="M83">
            <v>2138.3333339999999</v>
          </cell>
          <cell r="T83">
            <v>151918</v>
          </cell>
          <cell r="U83" t="str">
            <v>Sergio Valencia (151918)</v>
          </cell>
          <cell r="V83">
            <v>283.18333800000005</v>
          </cell>
          <cell r="AB83">
            <v>114437</v>
          </cell>
          <cell r="AC83" t="str">
            <v>Servando Arguello (114437)</v>
          </cell>
          <cell r="AD83">
            <v>1757.5899999999992</v>
          </cell>
        </row>
        <row r="84">
          <cell r="A84">
            <v>114472</v>
          </cell>
          <cell r="B84" t="str">
            <v>Raymond Munoz (114472)</v>
          </cell>
          <cell r="C84">
            <v>26.38</v>
          </cell>
          <cell r="D84">
            <v>26.38</v>
          </cell>
          <cell r="K84">
            <v>116218</v>
          </cell>
          <cell r="L84" t="str">
            <v>Richard Startin (116218)</v>
          </cell>
          <cell r="M84">
            <v>1974.3166659999999</v>
          </cell>
          <cell r="T84">
            <v>114437</v>
          </cell>
          <cell r="U84" t="str">
            <v>Servando Arguello (114437)</v>
          </cell>
          <cell r="V84">
            <v>389.58333499999975</v>
          </cell>
          <cell r="AB84">
            <v>322561</v>
          </cell>
          <cell r="AC84" t="str">
            <v>Shane Linker (322561)</v>
          </cell>
          <cell r="AD84">
            <v>1052.51</v>
          </cell>
        </row>
        <row r="85">
          <cell r="A85">
            <v>116218</v>
          </cell>
          <cell r="B85" t="str">
            <v>Richard Startin (116218)</v>
          </cell>
          <cell r="C85">
            <v>27.88</v>
          </cell>
          <cell r="D85">
            <v>27.88</v>
          </cell>
          <cell r="K85">
            <v>114490</v>
          </cell>
          <cell r="L85" t="str">
            <v>Robert Bossert (114490)</v>
          </cell>
          <cell r="M85">
            <v>2123.6833329999999</v>
          </cell>
          <cell r="T85">
            <v>322561</v>
          </cell>
          <cell r="U85" t="str">
            <v>Shane Linker (322561)</v>
          </cell>
          <cell r="V85">
            <v>67.116668000000004</v>
          </cell>
          <cell r="AB85">
            <v>114479</v>
          </cell>
          <cell r="AC85" t="str">
            <v>Steven Powers (114479)</v>
          </cell>
          <cell r="AD85">
            <v>381.43</v>
          </cell>
        </row>
        <row r="86">
          <cell r="A86">
            <v>114490</v>
          </cell>
          <cell r="B86" t="str">
            <v>Robert Bossert (114490)</v>
          </cell>
          <cell r="C86">
            <v>26.38</v>
          </cell>
          <cell r="D86">
            <v>26.38</v>
          </cell>
          <cell r="K86">
            <v>114455</v>
          </cell>
          <cell r="L86" t="str">
            <v>Robert Garcia (114455)</v>
          </cell>
          <cell r="M86">
            <v>2080</v>
          </cell>
          <cell r="T86">
            <v>114479</v>
          </cell>
          <cell r="U86" t="str">
            <v>Steven Powers (114479)</v>
          </cell>
          <cell r="V86">
            <v>373.96666600000003</v>
          </cell>
          <cell r="AB86">
            <v>307242</v>
          </cell>
          <cell r="AC86" t="str">
            <v>Susanna Martinez (307242)</v>
          </cell>
          <cell r="AD86">
            <v>313.64</v>
          </cell>
        </row>
        <row r="87">
          <cell r="A87">
            <v>114455</v>
          </cell>
          <cell r="B87" t="str">
            <v>Robert Garcia (114455)</v>
          </cell>
          <cell r="C87">
            <v>76252.63</v>
          </cell>
          <cell r="D87">
            <v>36.659918269230772</v>
          </cell>
          <cell r="K87">
            <v>114439</v>
          </cell>
          <cell r="L87" t="str">
            <v>Roberto Ayungua (114439)</v>
          </cell>
          <cell r="M87">
            <v>2110.8333339999999</v>
          </cell>
          <cell r="T87">
            <v>307242</v>
          </cell>
          <cell r="U87" t="str">
            <v>Susanna Martinez (307242)</v>
          </cell>
          <cell r="V87">
            <v>43.533331000000004</v>
          </cell>
          <cell r="AB87">
            <v>114475</v>
          </cell>
          <cell r="AC87" t="str">
            <v>Terry Ough (114475)</v>
          </cell>
          <cell r="AD87">
            <v>1423.950000000001</v>
          </cell>
        </row>
        <row r="88">
          <cell r="A88">
            <v>114439</v>
          </cell>
          <cell r="B88" t="str">
            <v>Roberto Ayungua (114439)</v>
          </cell>
          <cell r="C88">
            <v>18.989999999999998</v>
          </cell>
          <cell r="D88">
            <v>18.989999999999998</v>
          </cell>
          <cell r="K88">
            <v>325506</v>
          </cell>
          <cell r="L88" t="str">
            <v>Roxanne Torres (325506)</v>
          </cell>
          <cell r="M88">
            <v>1156.160003</v>
          </cell>
          <cell r="T88">
            <v>114475</v>
          </cell>
          <cell r="U88" t="str">
            <v>Terry Ough (114475)</v>
          </cell>
          <cell r="V88">
            <v>369.96667200000002</v>
          </cell>
          <cell r="AB88">
            <v>156717</v>
          </cell>
          <cell r="AC88" t="str">
            <v>Tony Jenkins (156717)</v>
          </cell>
          <cell r="AD88">
            <v>1503.7500000000005</v>
          </cell>
        </row>
        <row r="89">
          <cell r="A89">
            <v>325506</v>
          </cell>
          <cell r="B89" t="str">
            <v>Roxanne Torres (325506)</v>
          </cell>
          <cell r="C89">
            <v>18.2</v>
          </cell>
          <cell r="D89">
            <v>18.2</v>
          </cell>
          <cell r="K89">
            <v>114615</v>
          </cell>
          <cell r="L89" t="str">
            <v>Ruben Caridad (114615)</v>
          </cell>
          <cell r="M89">
            <v>2118.6833329999999</v>
          </cell>
          <cell r="T89">
            <v>156717</v>
          </cell>
          <cell r="U89" t="str">
            <v>Tony Jenkins (156717)</v>
          </cell>
          <cell r="V89">
            <v>92.16666699999999</v>
          </cell>
          <cell r="AB89">
            <v>156896</v>
          </cell>
          <cell r="AC89" t="str">
            <v>Tyler Noble (156896)</v>
          </cell>
          <cell r="AD89">
            <v>1327.4000000000003</v>
          </cell>
        </row>
        <row r="90">
          <cell r="A90">
            <v>114615</v>
          </cell>
          <cell r="B90" t="str">
            <v>Ruben Caridad (114615)</v>
          </cell>
          <cell r="C90">
            <v>27.88</v>
          </cell>
          <cell r="D90">
            <v>27.88</v>
          </cell>
          <cell r="K90">
            <v>303295</v>
          </cell>
          <cell r="L90" t="str">
            <v>Salvador Gonzalez (303295)</v>
          </cell>
          <cell r="M90">
            <v>2084.9666630000002</v>
          </cell>
          <cell r="T90">
            <v>156896</v>
          </cell>
          <cell r="U90" t="str">
            <v>Tyler Noble (156896)</v>
          </cell>
          <cell r="V90">
            <v>76.00000799999998</v>
          </cell>
          <cell r="AB90">
            <v>114478</v>
          </cell>
          <cell r="AC90" t="str">
            <v>Victor Ponce (114478)</v>
          </cell>
          <cell r="AD90">
            <v>1406.880000000001</v>
          </cell>
        </row>
        <row r="91">
          <cell r="A91">
            <v>303295</v>
          </cell>
          <cell r="B91" t="str">
            <v>Salvador Gonzalez (303295)</v>
          </cell>
          <cell r="C91">
            <v>25.32</v>
          </cell>
          <cell r="D91">
            <v>25.32</v>
          </cell>
          <cell r="K91">
            <v>157637</v>
          </cell>
          <cell r="L91" t="str">
            <v>Scott Betker (157637)</v>
          </cell>
          <cell r="M91">
            <v>1652.9566679999998</v>
          </cell>
          <cell r="T91">
            <v>114478</v>
          </cell>
          <cell r="U91" t="str">
            <v>Victor Ponce (114478)</v>
          </cell>
          <cell r="V91">
            <v>302.66667200000001</v>
          </cell>
          <cell r="AB91">
            <v>114463</v>
          </cell>
          <cell r="AC91" t="str">
            <v>William Johns (On Leave) (114463)</v>
          </cell>
          <cell r="AD91">
            <v>1438.2900000000011</v>
          </cell>
        </row>
        <row r="92">
          <cell r="A92">
            <v>157637</v>
          </cell>
          <cell r="B92" t="str">
            <v>Scott Betker (157637)</v>
          </cell>
          <cell r="C92">
            <v>27.88</v>
          </cell>
          <cell r="D92">
            <v>27.88</v>
          </cell>
          <cell r="K92">
            <v>158932</v>
          </cell>
          <cell r="L92" t="str">
            <v>Sean Cole (158932)</v>
          </cell>
          <cell r="M92">
            <v>2196.8166670000001</v>
          </cell>
          <cell r="T92">
            <v>114463</v>
          </cell>
          <cell r="U92" t="str">
            <v>William Johns (On Leave) (114463)</v>
          </cell>
          <cell r="V92">
            <v>501.93333299999995</v>
          </cell>
          <cell r="AB92">
            <v>305700</v>
          </cell>
          <cell r="AC92" t="str">
            <v>William Mallory (305700)</v>
          </cell>
          <cell r="AD92">
            <v>1442.5099999999991</v>
          </cell>
        </row>
        <row r="93">
          <cell r="A93">
            <v>158932</v>
          </cell>
          <cell r="B93" t="str">
            <v>Sean Cole (158932)</v>
          </cell>
          <cell r="C93">
            <v>27.88</v>
          </cell>
          <cell r="D93">
            <v>27.88</v>
          </cell>
          <cell r="K93">
            <v>151918</v>
          </cell>
          <cell r="L93" t="str">
            <v>Sergio Valencia (151918)</v>
          </cell>
          <cell r="M93">
            <v>2142.9999980000002</v>
          </cell>
          <cell r="T93">
            <v>305700</v>
          </cell>
          <cell r="U93" t="str">
            <v>William Mallory (305700)</v>
          </cell>
          <cell r="V93">
            <v>68.633330000000001</v>
          </cell>
          <cell r="AB93">
            <v>312209</v>
          </cell>
          <cell r="AC93" t="str">
            <v>Wilson Collazo (312209)</v>
          </cell>
          <cell r="AD93">
            <v>313.13</v>
          </cell>
        </row>
        <row r="94">
          <cell r="A94">
            <v>151918</v>
          </cell>
          <cell r="B94" t="str">
            <v>Sergio Valencia (151918)</v>
          </cell>
          <cell r="C94">
            <v>27.88</v>
          </cell>
          <cell r="D94">
            <v>27.88</v>
          </cell>
          <cell r="K94">
            <v>114437</v>
          </cell>
          <cell r="L94" t="str">
            <v>Servando Arguello (114437)</v>
          </cell>
          <cell r="M94">
            <v>2135.650001</v>
          </cell>
          <cell r="T94">
            <v>312209</v>
          </cell>
          <cell r="U94" t="str">
            <v>Wilson Collazo (312209)</v>
          </cell>
          <cell r="V94">
            <v>233.15000000000003</v>
          </cell>
          <cell r="AB94">
            <v>327365</v>
          </cell>
          <cell r="AC94" t="str">
            <v>Zachary Wonderly (327365)</v>
          </cell>
          <cell r="AD94">
            <v>525</v>
          </cell>
        </row>
        <row r="95">
          <cell r="A95">
            <v>114437</v>
          </cell>
          <cell r="B95" t="str">
            <v>Servando Arguello (114437)</v>
          </cell>
          <cell r="C95">
            <v>26.38</v>
          </cell>
          <cell r="D95">
            <v>26.38</v>
          </cell>
          <cell r="K95">
            <v>322561</v>
          </cell>
          <cell r="L95" t="str">
            <v>Shane Linker (322561)</v>
          </cell>
          <cell r="M95">
            <v>2061.133339</v>
          </cell>
          <cell r="T95" t="str">
            <v>Grand Total</v>
          </cell>
          <cell r="U95"/>
          <cell r="V95">
            <v>19477.333637</v>
          </cell>
          <cell r="AB95" t="str">
            <v>Grand Total</v>
          </cell>
          <cell r="AC95"/>
          <cell r="AD95">
            <v>110721.75999999997</v>
          </cell>
        </row>
        <row r="96">
          <cell r="A96">
            <v>322561</v>
          </cell>
          <cell r="B96" t="str">
            <v>Shane Linker (322561)</v>
          </cell>
          <cell r="C96">
            <v>20.05</v>
          </cell>
          <cell r="D96">
            <v>20.05</v>
          </cell>
          <cell r="K96">
            <v>114479</v>
          </cell>
          <cell r="L96" t="str">
            <v>Steven Powers (114479)</v>
          </cell>
          <cell r="M96">
            <v>2122.5</v>
          </cell>
        </row>
        <row r="97">
          <cell r="A97">
            <v>114479</v>
          </cell>
          <cell r="B97" t="str">
            <v>Steven Powers (114479)</v>
          </cell>
          <cell r="C97">
            <v>23.21</v>
          </cell>
          <cell r="D97">
            <v>23.21</v>
          </cell>
          <cell r="K97">
            <v>307242</v>
          </cell>
          <cell r="L97" t="str">
            <v>Susanna Martinez (307242)</v>
          </cell>
          <cell r="M97">
            <v>2117.8566669999996</v>
          </cell>
        </row>
        <row r="98">
          <cell r="A98">
            <v>307242</v>
          </cell>
          <cell r="B98" t="str">
            <v>Susanna Martinez (307242)</v>
          </cell>
          <cell r="C98">
            <v>20.05</v>
          </cell>
          <cell r="D98">
            <v>20.05</v>
          </cell>
          <cell r="K98">
            <v>114475</v>
          </cell>
          <cell r="L98" t="str">
            <v>Terry Ough (114475)</v>
          </cell>
          <cell r="M98">
            <v>2130.9333339999998</v>
          </cell>
        </row>
        <row r="99">
          <cell r="A99">
            <v>114475</v>
          </cell>
          <cell r="B99" t="str">
            <v>Terry Ough (114475)</v>
          </cell>
          <cell r="C99">
            <v>26.38</v>
          </cell>
          <cell r="D99">
            <v>26.38</v>
          </cell>
          <cell r="K99">
            <v>156717</v>
          </cell>
          <cell r="L99" t="str">
            <v>Tony Jenkins (156717)</v>
          </cell>
          <cell r="M99">
            <v>1917.05</v>
          </cell>
        </row>
        <row r="100">
          <cell r="A100">
            <v>156717</v>
          </cell>
          <cell r="B100" t="str">
            <v>Tony Jenkins (156717)</v>
          </cell>
          <cell r="C100">
            <v>25.85</v>
          </cell>
          <cell r="D100">
            <v>25.85</v>
          </cell>
          <cell r="K100">
            <v>156896</v>
          </cell>
          <cell r="L100" t="str">
            <v>Tyler Noble (156896)</v>
          </cell>
          <cell r="M100">
            <v>1789.716668</v>
          </cell>
        </row>
        <row r="101">
          <cell r="A101">
            <v>156896</v>
          </cell>
          <cell r="B101" t="str">
            <v>Tyler Noble (156896)</v>
          </cell>
          <cell r="C101">
            <v>26.38</v>
          </cell>
          <cell r="D101">
            <v>26.38</v>
          </cell>
          <cell r="K101">
            <v>114478</v>
          </cell>
          <cell r="L101" t="str">
            <v>Victor Ponce (114478)</v>
          </cell>
          <cell r="M101">
            <v>2125.1999989999999</v>
          </cell>
        </row>
        <row r="102">
          <cell r="A102">
            <v>114478</v>
          </cell>
          <cell r="B102" t="str">
            <v>Victor Ponce (114478)</v>
          </cell>
          <cell r="C102">
            <v>27.88</v>
          </cell>
          <cell r="D102">
            <v>27.88</v>
          </cell>
          <cell r="K102">
            <v>114463</v>
          </cell>
          <cell r="L102" t="str">
            <v>William Johns (On Leave) (114463)</v>
          </cell>
          <cell r="M102">
            <v>2136.0333329999999</v>
          </cell>
        </row>
        <row r="103">
          <cell r="A103">
            <v>114463</v>
          </cell>
          <cell r="B103" t="str">
            <v>William Johns (On Leave) (114463)</v>
          </cell>
          <cell r="C103">
            <v>26.38</v>
          </cell>
          <cell r="D103">
            <v>26.38</v>
          </cell>
          <cell r="K103">
            <v>305700</v>
          </cell>
          <cell r="L103" t="str">
            <v>William Mallory (305700)</v>
          </cell>
          <cell r="M103">
            <v>2112.3999970000004</v>
          </cell>
        </row>
        <row r="104">
          <cell r="A104">
            <v>305700</v>
          </cell>
          <cell r="B104" t="str">
            <v>William Mallory (305700)</v>
          </cell>
          <cell r="C104">
            <v>24.27</v>
          </cell>
          <cell r="D104">
            <v>24.27</v>
          </cell>
          <cell r="K104">
            <v>312209</v>
          </cell>
          <cell r="L104" t="str">
            <v>Wilson Collazo (312209)</v>
          </cell>
          <cell r="M104">
            <v>2152.9666730000004</v>
          </cell>
        </row>
        <row r="105">
          <cell r="A105">
            <v>312209</v>
          </cell>
          <cell r="B105" t="str">
            <v>Wilson Collazo (312209)</v>
          </cell>
          <cell r="C105">
            <v>26.38</v>
          </cell>
          <cell r="D105">
            <v>26.38</v>
          </cell>
          <cell r="K105">
            <v>327365</v>
          </cell>
          <cell r="L105" t="str">
            <v>Zachary Wonderly (327365)</v>
          </cell>
          <cell r="M105">
            <v>800</v>
          </cell>
        </row>
        <row r="106">
          <cell r="A106">
            <v>327365</v>
          </cell>
          <cell r="B106" t="str">
            <v>Zachary Wonderly (327365)</v>
          </cell>
          <cell r="C106">
            <v>70000</v>
          </cell>
          <cell r="D106">
            <v>33.653846153846153</v>
          </cell>
          <cell r="K106" t="str">
            <v>Grand Total</v>
          </cell>
          <cell r="L106"/>
          <cell r="M106">
            <v>165734.58511599994</v>
          </cell>
        </row>
        <row r="107">
          <cell r="A107" t="str">
            <v>Grand Total</v>
          </cell>
          <cell r="C107">
            <v>97500</v>
          </cell>
        </row>
      </sheetData>
      <sheetData sheetId="5"/>
      <sheetData sheetId="6"/>
      <sheetData sheetId="7">
        <row r="5">
          <cell r="G5">
            <v>48.07692307692308</v>
          </cell>
        </row>
        <row r="13">
          <cell r="B13">
            <v>8</v>
          </cell>
        </row>
        <row r="14">
          <cell r="B14">
            <v>80</v>
          </cell>
        </row>
        <row r="15">
          <cell r="B15">
            <v>472</v>
          </cell>
        </row>
        <row r="16">
          <cell r="B16">
            <v>560</v>
          </cell>
        </row>
      </sheetData>
      <sheetData sheetId="8"/>
      <sheetData sheetId="9">
        <row r="5">
          <cell r="G5">
            <v>31.009615384615383</v>
          </cell>
        </row>
        <row r="20">
          <cell r="B20">
            <v>48</v>
          </cell>
        </row>
        <row r="21">
          <cell r="B21">
            <v>1925.2000000000005</v>
          </cell>
        </row>
        <row r="22">
          <cell r="B22">
            <v>95.316654999999983</v>
          </cell>
        </row>
        <row r="23">
          <cell r="B23">
            <v>65.349999999999994</v>
          </cell>
        </row>
        <row r="24">
          <cell r="B24"/>
          <cell r="C24">
            <v>1000</v>
          </cell>
        </row>
        <row r="25">
          <cell r="B25">
            <v>48</v>
          </cell>
        </row>
        <row r="26">
          <cell r="C26">
            <v>700</v>
          </cell>
        </row>
        <row r="27">
          <cell r="C27">
            <v>1134.48</v>
          </cell>
        </row>
        <row r="28">
          <cell r="C28">
            <v>254.5</v>
          </cell>
        </row>
      </sheetData>
      <sheetData sheetId="10"/>
      <sheetData sheetId="11">
        <row r="1356">
          <cell r="D1356">
            <v>43451.189999999922</v>
          </cell>
        </row>
      </sheetData>
      <sheetData sheetId="12">
        <row r="724">
          <cell r="D724">
            <v>27978.69000000001</v>
          </cell>
        </row>
      </sheetData>
      <sheetData sheetId="13">
        <row r="251">
          <cell r="D251">
            <v>1556.42</v>
          </cell>
        </row>
      </sheetData>
      <sheetData sheetId="14">
        <row r="228">
          <cell r="D228">
            <v>29028.539999999997</v>
          </cell>
        </row>
      </sheetData>
      <sheetData sheetId="15">
        <row r="1205">
          <cell r="D1205">
            <v>209099.13999999996</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 3.31.2022"/>
      <sheetName val="FAR 12.2021 - for Vlookup"/>
      <sheetName val="FAR Dep Summary"/>
      <sheetName val="2022 Bud CapitalEx"/>
      <sheetName val="Depr Summary"/>
      <sheetName val="Depreciation - Amort Salvage"/>
      <sheetName val="Depreciation - Orig"/>
    </sheetNames>
    <sheetDataSet>
      <sheetData sheetId="0"/>
      <sheetData sheetId="1"/>
      <sheetData sheetId="2"/>
      <sheetData sheetId="3"/>
      <sheetData sheetId="4">
        <row r="10">
          <cell r="AC10">
            <v>8832916.8880769201</v>
          </cell>
          <cell r="AD10">
            <v>0</v>
          </cell>
          <cell r="AE10">
            <v>8832916.8880769201</v>
          </cell>
          <cell r="AF10">
            <v>636515.37466666684</v>
          </cell>
          <cell r="AG10">
            <v>4220657.025076923</v>
          </cell>
          <cell r="AH10">
            <v>4857172.3997435905</v>
          </cell>
          <cell r="AI10">
            <v>3975744.4883333342</v>
          </cell>
        </row>
        <row r="12">
          <cell r="AC12">
            <v>787242</v>
          </cell>
          <cell r="AD12">
            <v>0</v>
          </cell>
          <cell r="AE12">
            <v>787242</v>
          </cell>
          <cell r="AF12">
            <v>78724.2</v>
          </cell>
          <cell r="AG12">
            <v>0</v>
          </cell>
          <cell r="AH12">
            <v>78724.2</v>
          </cell>
          <cell r="AI12">
            <v>708517.8</v>
          </cell>
        </row>
        <row r="14">
          <cell r="AC14">
            <v>3626991.1315384614</v>
          </cell>
          <cell r="AD14">
            <v>0</v>
          </cell>
          <cell r="AE14">
            <v>3626991.1315384614</v>
          </cell>
          <cell r="AF14">
            <v>262522.28266666667</v>
          </cell>
          <cell r="AG14">
            <v>1655295.1202051283</v>
          </cell>
          <cell r="AH14">
            <v>1917817.4028717948</v>
          </cell>
          <cell r="AI14">
            <v>1709173.7286666669</v>
          </cell>
        </row>
        <row r="16">
          <cell r="AC16">
            <v>1295655.7203846155</v>
          </cell>
          <cell r="AD16">
            <v>0</v>
          </cell>
          <cell r="AE16">
            <v>1295655.7203846155</v>
          </cell>
          <cell r="AF16">
            <v>64323.881999999991</v>
          </cell>
          <cell r="AG16">
            <v>860557.22238461534</v>
          </cell>
          <cell r="AH16">
            <v>924881.10438461532</v>
          </cell>
          <cell r="AI16">
            <v>370774.61599999998</v>
          </cell>
        </row>
        <row r="18">
          <cell r="AC18">
            <v>205620.05</v>
          </cell>
          <cell r="AD18">
            <v>0</v>
          </cell>
          <cell r="AE18">
            <v>205620.05</v>
          </cell>
          <cell r="AF18">
            <v>13481.834428571427</v>
          </cell>
          <cell r="AG18">
            <v>99036.357428571428</v>
          </cell>
          <cell r="AH18">
            <v>112518.19185714284</v>
          </cell>
          <cell r="AI18">
            <v>93101.858142857134</v>
          </cell>
        </row>
        <row r="20">
          <cell r="AC20">
            <v>14748425.789999999</v>
          </cell>
        </row>
        <row r="23">
          <cell r="AC23">
            <v>3431095.3575497838</v>
          </cell>
          <cell r="AD23">
            <v>0</v>
          </cell>
          <cell r="AE23">
            <v>3431095.3575497838</v>
          </cell>
          <cell r="AF23">
            <v>76058.875</v>
          </cell>
          <cell r="AG23">
            <v>2714971.7525497833</v>
          </cell>
          <cell r="AH23">
            <v>2791030.6275497833</v>
          </cell>
          <cell r="AI23">
            <v>640064.73</v>
          </cell>
        </row>
        <row r="25">
          <cell r="AC25">
            <v>2813888.11</v>
          </cell>
          <cell r="AD25">
            <v>0</v>
          </cell>
          <cell r="AE25">
            <v>2813888.11</v>
          </cell>
          <cell r="AF25">
            <v>114811.29333333332</v>
          </cell>
          <cell r="AG25">
            <v>1851371.9933333332</v>
          </cell>
          <cell r="AH25">
            <v>1966183.2866666671</v>
          </cell>
          <cell r="AI25">
            <v>847704.82333333325</v>
          </cell>
        </row>
        <row r="27">
          <cell r="AC27">
            <v>1199167.3417962999</v>
          </cell>
          <cell r="AD27">
            <v>0</v>
          </cell>
          <cell r="AE27">
            <v>1199167.3417962999</v>
          </cell>
          <cell r="AF27">
            <v>104765.39933142858</v>
          </cell>
          <cell r="AG27">
            <v>618438.97356201441</v>
          </cell>
          <cell r="AH27">
            <v>723204.37289344287</v>
          </cell>
          <cell r="AI27">
            <v>475962.9689028571</v>
          </cell>
        </row>
        <row r="29">
          <cell r="AC29">
            <v>641817.28</v>
          </cell>
          <cell r="AD29">
            <v>0</v>
          </cell>
          <cell r="AE29">
            <v>641817.28</v>
          </cell>
          <cell r="AF29">
            <v>91688.182857142863</v>
          </cell>
          <cell r="AG29">
            <v>45714.47285714285</v>
          </cell>
          <cell r="AH29">
            <v>137402.65571428573</v>
          </cell>
          <cell r="AI29">
            <v>504414.62428571429</v>
          </cell>
        </row>
        <row r="31">
          <cell r="AC31">
            <v>243135.57</v>
          </cell>
          <cell r="AD31">
            <v>0</v>
          </cell>
          <cell r="AE31">
            <v>243135.57</v>
          </cell>
          <cell r="AF31">
            <v>34733.65285714285</v>
          </cell>
          <cell r="AG31">
            <v>51146.782857142854</v>
          </cell>
          <cell r="AH31">
            <v>85880.435714285719</v>
          </cell>
          <cell r="AI31">
            <v>157255.13428571427</v>
          </cell>
        </row>
        <row r="33">
          <cell r="AC33">
            <v>139506.90444799999</v>
          </cell>
          <cell r="AD33">
            <v>0</v>
          </cell>
          <cell r="AE33">
            <v>139506.90444799999</v>
          </cell>
          <cell r="AF33">
            <v>346.95979</v>
          </cell>
          <cell r="AG33">
            <v>138812.98486799997</v>
          </cell>
          <cell r="AH33">
            <v>139159.94465799999</v>
          </cell>
          <cell r="AI33">
            <v>346.95978999999966</v>
          </cell>
        </row>
        <row r="35">
          <cell r="AC35">
            <v>43793.944499999998</v>
          </cell>
          <cell r="AD35">
            <v>0</v>
          </cell>
          <cell r="AE35">
            <v>43793.944499999998</v>
          </cell>
          <cell r="AF35">
            <v>93.994450000000001</v>
          </cell>
          <cell r="AG35">
            <v>43605.955600000001</v>
          </cell>
          <cell r="AH35">
            <v>43699.950049999999</v>
          </cell>
          <cell r="AI35">
            <v>93.994450000000029</v>
          </cell>
        </row>
        <row r="37">
          <cell r="AC37">
            <v>8512404.5082940832</v>
          </cell>
        </row>
        <row r="39">
          <cell r="AC39">
            <v>161309.15</v>
          </cell>
          <cell r="AD39">
            <v>0</v>
          </cell>
          <cell r="AE39">
            <v>161309.15</v>
          </cell>
          <cell r="AF39">
            <v>21304.004999999997</v>
          </cell>
          <cell r="AG39">
            <v>59083.601999999999</v>
          </cell>
          <cell r="AH39">
            <v>80387.606999999989</v>
          </cell>
          <cell r="AI39">
            <v>80921.543000000005</v>
          </cell>
        </row>
        <row r="41">
          <cell r="AC41">
            <v>652245.12158333324</v>
          </cell>
          <cell r="AD41">
            <v>0</v>
          </cell>
          <cell r="AE41">
            <v>652245.12158333324</v>
          </cell>
          <cell r="AF41">
            <v>36691.794999999998</v>
          </cell>
          <cell r="AG41">
            <v>459413.0615833333</v>
          </cell>
          <cell r="AH41">
            <v>496104.85658333328</v>
          </cell>
          <cell r="AI41">
            <v>156140.26499999998</v>
          </cell>
        </row>
        <row r="43">
          <cell r="AC43">
            <v>32924.39</v>
          </cell>
          <cell r="AD43">
            <v>0</v>
          </cell>
          <cell r="AE43">
            <v>32924.39</v>
          </cell>
          <cell r="AF43">
            <v>1831.4533333333334</v>
          </cell>
          <cell r="AG43">
            <v>28737.216666666667</v>
          </cell>
          <cell r="AH43">
            <v>30568.67</v>
          </cell>
          <cell r="AI43">
            <v>2355.7199999999998</v>
          </cell>
        </row>
        <row r="45">
          <cell r="AC45">
            <v>419931</v>
          </cell>
          <cell r="AD45">
            <v>0</v>
          </cell>
          <cell r="AE45">
            <v>419931</v>
          </cell>
          <cell r="AF45">
            <v>20996.550000000003</v>
          </cell>
          <cell r="AG45">
            <v>272955.15000000002</v>
          </cell>
          <cell r="AH45">
            <v>293951.7</v>
          </cell>
          <cell r="AI45">
            <v>125979.29999999997</v>
          </cell>
        </row>
        <row r="47">
          <cell r="AC47">
            <v>414469</v>
          </cell>
          <cell r="AD47">
            <v>0</v>
          </cell>
          <cell r="AE47">
            <v>414469</v>
          </cell>
          <cell r="AF47">
            <v>20723.45</v>
          </cell>
          <cell r="AG47">
            <v>269404.85000000003</v>
          </cell>
          <cell r="AH47">
            <v>290128.30000000005</v>
          </cell>
          <cell r="AI47">
            <v>124340.69999999995</v>
          </cell>
        </row>
        <row r="49">
          <cell r="AC49">
            <v>508088.41</v>
          </cell>
          <cell r="AD49">
            <v>0</v>
          </cell>
          <cell r="AE49">
            <v>508088.41</v>
          </cell>
          <cell r="AF49">
            <v>39521.499333333333</v>
          </cell>
          <cell r="AG49">
            <v>260555.79633333336</v>
          </cell>
          <cell r="AH49">
            <v>300077.2956666667</v>
          </cell>
          <cell r="AI49">
            <v>208011.11433333333</v>
          </cell>
        </row>
        <row r="51">
          <cell r="AC51">
            <v>711971.73</v>
          </cell>
          <cell r="AD51">
            <v>0</v>
          </cell>
          <cell r="AE51">
            <v>711971.73</v>
          </cell>
          <cell r="AF51">
            <v>0</v>
          </cell>
          <cell r="AG51">
            <v>711971.73</v>
          </cell>
          <cell r="AH51">
            <v>711971.73</v>
          </cell>
          <cell r="AI51">
            <v>0</v>
          </cell>
        </row>
        <row r="53">
          <cell r="AC53">
            <v>343062.99528461613</v>
          </cell>
          <cell r="AD53">
            <v>0</v>
          </cell>
          <cell r="AE53">
            <v>0</v>
          </cell>
          <cell r="AF53">
            <v>0</v>
          </cell>
          <cell r="AG53">
            <v>0</v>
          </cell>
          <cell r="AH53">
            <v>0</v>
          </cell>
          <cell r="AI53">
            <v>343062.99528461613</v>
          </cell>
        </row>
        <row r="55">
          <cell r="AC55">
            <v>51033.204715383887</v>
          </cell>
          <cell r="AD55">
            <v>0</v>
          </cell>
          <cell r="AE55">
            <v>0</v>
          </cell>
          <cell r="AF55">
            <v>0</v>
          </cell>
          <cell r="AG55">
            <v>0</v>
          </cell>
          <cell r="AH55">
            <v>0</v>
          </cell>
          <cell r="AI55">
            <v>51033.204715383887</v>
          </cell>
        </row>
        <row r="58">
          <cell r="AC58">
            <v>3295035.0015833331</v>
          </cell>
        </row>
        <row r="60">
          <cell r="AC60">
            <v>26555865.299877416</v>
          </cell>
          <cell r="AE60">
            <v>26161769.099877417</v>
          </cell>
          <cell r="AF60">
            <v>1619134.6840476191</v>
          </cell>
          <cell r="AG60">
            <v>14361730.047305988</v>
          </cell>
          <cell r="AH60">
            <v>15980864.731353609</v>
          </cell>
          <cell r="AI60">
            <v>10575000.568523811</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3 Year Insurance"/>
      <sheetName val="5 Year Insurance"/>
      <sheetName val="JE Lookup"/>
      <sheetName val="ControlPanel"/>
    </sheetNames>
    <sheetDataSet>
      <sheetData sheetId="0"/>
      <sheetData sheetId="1"/>
      <sheetData sheetId="2"/>
      <sheetData sheetId="3">
        <row r="1">
          <cell r="B1" t="str">
            <v>OK!: ReportRange Formula OK [jAction{}]</v>
          </cell>
        </row>
        <row r="7">
          <cell r="N7" t="str">
            <v>wci_corp</v>
          </cell>
        </row>
        <row r="8">
          <cell r="N8"/>
        </row>
      </sheetData>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70255 JE Query"/>
      <sheetName val="70235 JE Query"/>
      <sheetName val="70195 JE Query"/>
      <sheetName val="Insurance Claims JE Query"/>
      <sheetName val="JE Lookup"/>
      <sheetName val="ControlPanel"/>
    </sheetNames>
    <sheetDataSet>
      <sheetData sheetId="0"/>
      <sheetData sheetId="1"/>
      <sheetData sheetId="2"/>
      <sheetData sheetId="3"/>
      <sheetData sheetId="4"/>
      <sheetData sheetId="5">
        <row r="1">
          <cell r="B1" t="str">
            <v>OK!: ReportRange Formula OK [jAction{}]</v>
          </cell>
        </row>
        <row r="7">
          <cell r="N7" t="str">
            <v>wci_corp</v>
          </cell>
        </row>
        <row r="8">
          <cell r="N8"/>
        </row>
      </sheetData>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70255 JE Query"/>
      <sheetName val="70235 JE Query"/>
      <sheetName val="70195 JE Query"/>
      <sheetName val="Insurance Claims JE Query"/>
      <sheetName val="JE Lookup"/>
      <sheetName val="ControlPanel"/>
    </sheetNames>
    <sheetDataSet>
      <sheetData sheetId="0"/>
      <sheetData sheetId="1"/>
      <sheetData sheetId="2"/>
      <sheetData sheetId="3"/>
      <sheetData sheetId="4"/>
      <sheetData sheetId="5">
        <row r="1">
          <cell r="B1" t="str">
            <v>OK!: ReportRange Formula OK [jAction{}]</v>
          </cell>
        </row>
        <row r="7">
          <cell r="N7" t="str">
            <v>wci_corp</v>
          </cell>
        </row>
        <row r="8">
          <cell r="N8"/>
        </row>
      </sheetData>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sheetName val="CASH"/>
      <sheetName val="Pivot"/>
      <sheetName val="Roster"/>
      <sheetName val="Cash Stock Summary"/>
      <sheetName val="CRC"/>
      <sheetName val="Rainier DVP-DVC"/>
      <sheetName val="2183"/>
    </sheetNames>
    <sheetDataSet>
      <sheetData sheetId="0" refreshError="1"/>
      <sheetData sheetId="1" refreshError="1"/>
      <sheetData sheetId="2" refreshError="1"/>
      <sheetData sheetId="3" refreshError="1"/>
      <sheetData sheetId="4" refreshError="1"/>
      <sheetData sheetId="5">
        <row r="12">
          <cell r="J12">
            <v>279065.68</v>
          </cell>
        </row>
        <row r="14">
          <cell r="J14">
            <v>80433.040000000008</v>
          </cell>
        </row>
      </sheetData>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u 8.2021 Customer Count"/>
      <sheetName val="09.2021 Customer Count"/>
      <sheetName val="10.2021 Customer Count"/>
      <sheetName val="11.2021 Customer Count"/>
      <sheetName val="12.2022 Customer Count"/>
    </sheetNames>
    <sheetDataSet>
      <sheetData sheetId="0">
        <row r="5">
          <cell r="A5">
            <v>2010</v>
          </cell>
          <cell r="B5">
            <v>143536</v>
          </cell>
          <cell r="C5">
            <v>0.11793402410111074</v>
          </cell>
        </row>
        <row r="6">
          <cell r="A6">
            <v>2011</v>
          </cell>
          <cell r="B6">
            <v>31959</v>
          </cell>
          <cell r="C6">
            <v>2.6258593497431992E-2</v>
          </cell>
        </row>
        <row r="7">
          <cell r="A7">
            <v>2012</v>
          </cell>
          <cell r="B7">
            <v>26504</v>
          </cell>
          <cell r="C7">
            <v>2.1776581309050268E-2</v>
          </cell>
        </row>
        <row r="8">
          <cell r="A8">
            <v>2013</v>
          </cell>
          <cell r="B8">
            <v>61262</v>
          </cell>
          <cell r="C8">
            <v>5.033492771487464E-2</v>
          </cell>
        </row>
        <row r="9">
          <cell r="A9">
            <v>2014</v>
          </cell>
          <cell r="B9">
            <v>67</v>
          </cell>
          <cell r="C9">
            <v>5.5049462258767276E-5</v>
          </cell>
        </row>
        <row r="10">
          <cell r="A10">
            <v>2015</v>
          </cell>
          <cell r="B10">
            <v>0</v>
          </cell>
          <cell r="C10">
            <v>0</v>
          </cell>
        </row>
        <row r="11">
          <cell r="A11">
            <v>2025</v>
          </cell>
          <cell r="B11">
            <v>2422</v>
          </cell>
          <cell r="C11">
            <v>1.9899969789661841E-3</v>
          </cell>
        </row>
        <row r="12">
          <cell r="A12">
            <v>2031</v>
          </cell>
          <cell r="B12">
            <v>289</v>
          </cell>
          <cell r="C12">
            <v>2.374521581012499E-4</v>
          </cell>
        </row>
        <row r="13">
          <cell r="A13">
            <v>2032</v>
          </cell>
          <cell r="B13">
            <v>31260</v>
          </cell>
          <cell r="C13">
            <v>2.5684271495657687E-2</v>
          </cell>
        </row>
        <row r="14">
          <cell r="A14">
            <v>2040</v>
          </cell>
          <cell r="B14">
            <v>8352</v>
          </cell>
          <cell r="C14">
            <v>6.8622852057496162E-3</v>
          </cell>
        </row>
        <row r="15">
          <cell r="A15">
            <v>2041</v>
          </cell>
          <cell r="B15">
            <v>2272</v>
          </cell>
          <cell r="C15">
            <v>1.8667519142077501E-3</v>
          </cell>
        </row>
        <row r="16">
          <cell r="A16">
            <v>2042</v>
          </cell>
          <cell r="B16">
            <v>104</v>
          </cell>
          <cell r="C16">
            <v>8.5449911565847709E-5</v>
          </cell>
        </row>
        <row r="17">
          <cell r="A17">
            <v>2043</v>
          </cell>
          <cell r="B17">
            <v>5756</v>
          </cell>
          <cell r="C17">
            <v>4.7293239516636486E-3</v>
          </cell>
        </row>
        <row r="18">
          <cell r="A18">
            <v>2044</v>
          </cell>
          <cell r="B18">
            <v>8260</v>
          </cell>
          <cell r="C18">
            <v>6.7866948993644434E-3</v>
          </cell>
        </row>
        <row r="19">
          <cell r="A19">
            <v>2045</v>
          </cell>
          <cell r="B19">
            <v>6779</v>
          </cell>
          <cell r="C19">
            <v>5.5698552933161694E-3</v>
          </cell>
        </row>
        <row r="20">
          <cell r="A20">
            <v>2046</v>
          </cell>
          <cell r="B20">
            <v>9585</v>
          </cell>
          <cell r="C20">
            <v>7.8753596380639456E-3</v>
          </cell>
        </row>
        <row r="21">
          <cell r="A21">
            <v>2047</v>
          </cell>
          <cell r="B21">
            <v>14653</v>
          </cell>
          <cell r="C21">
            <v>1.203939955936891E-2</v>
          </cell>
        </row>
        <row r="22">
          <cell r="A22">
            <v>2048</v>
          </cell>
          <cell r="B22">
            <v>115</v>
          </cell>
          <cell r="C22">
            <v>9.4487882981466229E-5</v>
          </cell>
        </row>
        <row r="23">
          <cell r="A23">
            <v>2049</v>
          </cell>
          <cell r="B23">
            <v>19</v>
          </cell>
          <cell r="C23">
            <v>1.5611041536068334E-5</v>
          </cell>
        </row>
        <row r="24">
          <cell r="A24">
            <v>2050</v>
          </cell>
          <cell r="B24">
            <v>50</v>
          </cell>
          <cell r="C24">
            <v>4.10816882528114E-5</v>
          </cell>
        </row>
        <row r="25">
          <cell r="A25">
            <v>2051</v>
          </cell>
          <cell r="B25">
            <v>310</v>
          </cell>
          <cell r="C25">
            <v>2.5470646716743071E-4</v>
          </cell>
        </row>
        <row r="26">
          <cell r="A26">
            <v>2053</v>
          </cell>
          <cell r="B26">
            <v>64</v>
          </cell>
          <cell r="C26">
            <v>5.2584560963598594E-5</v>
          </cell>
        </row>
        <row r="27">
          <cell r="A27">
            <v>2111</v>
          </cell>
          <cell r="B27">
            <v>96026</v>
          </cell>
          <cell r="C27">
            <v>7.8898203923289348E-2</v>
          </cell>
        </row>
        <row r="28">
          <cell r="A28">
            <v>2112</v>
          </cell>
          <cell r="B28">
            <v>29021</v>
          </cell>
          <cell r="C28">
            <v>2.3844633495696793E-2</v>
          </cell>
        </row>
        <row r="29">
          <cell r="A29">
            <v>2113</v>
          </cell>
          <cell r="B29">
            <v>0</v>
          </cell>
          <cell r="C29">
            <v>0</v>
          </cell>
        </row>
        <row r="30">
          <cell r="A30">
            <v>2120</v>
          </cell>
          <cell r="B30">
            <v>6805</v>
          </cell>
          <cell r="C30">
            <v>5.5912177712076315E-3</v>
          </cell>
        </row>
        <row r="31">
          <cell r="A31">
            <v>2121</v>
          </cell>
          <cell r="B31">
            <v>0</v>
          </cell>
          <cell r="C31">
            <v>0</v>
          </cell>
        </row>
        <row r="32">
          <cell r="A32">
            <v>2125</v>
          </cell>
          <cell r="B32">
            <v>1</v>
          </cell>
          <cell r="C32">
            <v>8.2163376505622804E-7</v>
          </cell>
        </row>
        <row r="33">
          <cell r="A33">
            <v>2131</v>
          </cell>
          <cell r="B33">
            <v>0</v>
          </cell>
          <cell r="C33">
            <v>0</v>
          </cell>
        </row>
        <row r="34">
          <cell r="A34">
            <v>2132</v>
          </cell>
          <cell r="B34">
            <v>2508</v>
          </cell>
          <cell r="C34">
            <v>2.06065748276102E-3</v>
          </cell>
        </row>
        <row r="35">
          <cell r="A35">
            <v>2140</v>
          </cell>
          <cell r="B35">
            <v>3228</v>
          </cell>
          <cell r="C35">
            <v>2.6522337936015039E-3</v>
          </cell>
        </row>
        <row r="36">
          <cell r="A36">
            <v>2143</v>
          </cell>
          <cell r="B36">
            <v>0</v>
          </cell>
          <cell r="C36">
            <v>0</v>
          </cell>
        </row>
        <row r="37">
          <cell r="A37">
            <v>2144</v>
          </cell>
          <cell r="B37">
            <v>14460</v>
          </cell>
          <cell r="C37">
            <v>1.1880824242713058E-2</v>
          </cell>
        </row>
        <row r="38">
          <cell r="A38">
            <v>2146</v>
          </cell>
          <cell r="B38">
            <v>7391</v>
          </cell>
          <cell r="C38">
            <v>6.0726951575305809E-3</v>
          </cell>
        </row>
        <row r="39">
          <cell r="A39">
            <v>2148</v>
          </cell>
          <cell r="C39">
            <v>0</v>
          </cell>
        </row>
        <row r="40">
          <cell r="A40">
            <v>2149</v>
          </cell>
          <cell r="B40">
            <v>18379</v>
          </cell>
          <cell r="C40">
            <v>1.5100806967968415E-2</v>
          </cell>
        </row>
        <row r="41">
          <cell r="A41">
            <v>2150</v>
          </cell>
          <cell r="B41">
            <v>0</v>
          </cell>
          <cell r="C41">
            <v>0</v>
          </cell>
        </row>
        <row r="42">
          <cell r="A42">
            <v>2160</v>
          </cell>
          <cell r="B42">
            <v>0</v>
          </cell>
          <cell r="C42">
            <v>0</v>
          </cell>
        </row>
        <row r="43">
          <cell r="A43">
            <v>2170</v>
          </cell>
          <cell r="B43">
            <v>0</v>
          </cell>
          <cell r="C43">
            <v>0</v>
          </cell>
        </row>
        <row r="44">
          <cell r="A44">
            <v>2171</v>
          </cell>
          <cell r="B44">
            <v>35</v>
          </cell>
          <cell r="C44">
            <v>2.8757181776967982E-5</v>
          </cell>
        </row>
        <row r="45">
          <cell r="A45">
            <v>2172</v>
          </cell>
          <cell r="B45">
            <v>0</v>
          </cell>
          <cell r="C45">
            <v>0</v>
          </cell>
        </row>
        <row r="46">
          <cell r="A46">
            <v>2173</v>
          </cell>
          <cell r="B46">
            <v>10</v>
          </cell>
          <cell r="C46">
            <v>8.2163376505622804E-6</v>
          </cell>
        </row>
        <row r="47">
          <cell r="A47">
            <v>2180</v>
          </cell>
          <cell r="B47">
            <v>86349</v>
          </cell>
          <cell r="C47">
            <v>7.0947253978840233E-2</v>
          </cell>
        </row>
        <row r="48">
          <cell r="A48">
            <v>2182</v>
          </cell>
          <cell r="B48">
            <v>2</v>
          </cell>
          <cell r="C48">
            <v>1.6432675301124561E-6</v>
          </cell>
        </row>
        <row r="49">
          <cell r="A49">
            <v>2183</v>
          </cell>
          <cell r="B49">
            <v>70849</v>
          </cell>
          <cell r="C49">
            <v>5.8211930620468699E-2</v>
          </cell>
        </row>
        <row r="50">
          <cell r="A50">
            <v>2184</v>
          </cell>
          <cell r="B50">
            <v>1</v>
          </cell>
          <cell r="C50">
            <v>8.2163376505622804E-7</v>
          </cell>
        </row>
        <row r="51">
          <cell r="A51">
            <v>2185</v>
          </cell>
          <cell r="B51">
            <v>3695</v>
          </cell>
          <cell r="C51">
            <v>3.0359367618827625E-3</v>
          </cell>
        </row>
        <row r="52">
          <cell r="A52">
            <v>2186</v>
          </cell>
          <cell r="B52">
            <v>22359.274804931771</v>
          </cell>
          <cell r="C52">
            <v>1.8371135141902948E-2</v>
          </cell>
        </row>
        <row r="53">
          <cell r="A53">
            <v>2187</v>
          </cell>
          <cell r="B53">
            <v>0</v>
          </cell>
          <cell r="C53">
            <v>0</v>
          </cell>
        </row>
        <row r="54">
          <cell r="A54">
            <v>2188</v>
          </cell>
          <cell r="B54">
            <v>28844</v>
          </cell>
          <cell r="C54">
            <v>2.3699204319281842E-2</v>
          </cell>
        </row>
        <row r="55">
          <cell r="A55">
            <v>2189</v>
          </cell>
          <cell r="B55">
            <v>1</v>
          </cell>
          <cell r="C55">
            <v>8.2163376505622804E-7</v>
          </cell>
        </row>
        <row r="56">
          <cell r="A56">
            <v>2190</v>
          </cell>
          <cell r="B56">
            <v>350</v>
          </cell>
          <cell r="C56">
            <v>2.875718177696798E-4</v>
          </cell>
        </row>
        <row r="57">
          <cell r="A57">
            <v>2191</v>
          </cell>
          <cell r="B57">
            <v>6</v>
          </cell>
          <cell r="C57">
            <v>4.9298025903373682E-6</v>
          </cell>
        </row>
        <row r="58">
          <cell r="A58">
            <v>2195</v>
          </cell>
          <cell r="B58">
            <v>33148</v>
          </cell>
          <cell r="C58">
            <v>2.7235516044083845E-2</v>
          </cell>
        </row>
        <row r="59">
          <cell r="A59">
            <v>2210</v>
          </cell>
          <cell r="B59">
            <v>22577</v>
          </cell>
          <cell r="C59">
            <v>1.8550025513674458E-2</v>
          </cell>
        </row>
        <row r="60">
          <cell r="A60">
            <v>2211</v>
          </cell>
          <cell r="B60">
            <v>22462</v>
          </cell>
          <cell r="C60">
            <v>1.8455537630692995E-2</v>
          </cell>
        </row>
        <row r="61">
          <cell r="A61">
            <v>2212</v>
          </cell>
          <cell r="B61">
            <v>5817</v>
          </cell>
          <cell r="C61">
            <v>4.7794436113320782E-3</v>
          </cell>
        </row>
        <row r="62">
          <cell r="A62">
            <v>2213</v>
          </cell>
          <cell r="B62">
            <v>0</v>
          </cell>
          <cell r="C62">
            <v>0</v>
          </cell>
        </row>
        <row r="63">
          <cell r="A63">
            <v>2214</v>
          </cell>
          <cell r="B63">
            <v>10491</v>
          </cell>
          <cell r="C63">
            <v>8.6197598292048882E-3</v>
          </cell>
        </row>
        <row r="64">
          <cell r="A64">
            <v>2215</v>
          </cell>
          <cell r="B64">
            <v>20868</v>
          </cell>
          <cell r="C64">
            <v>1.7145853409193366E-2</v>
          </cell>
        </row>
        <row r="65">
          <cell r="A65">
            <v>2310</v>
          </cell>
          <cell r="B65">
            <v>12572</v>
          </cell>
          <cell r="C65">
            <v>1.0329579694286899E-2</v>
          </cell>
        </row>
        <row r="66">
          <cell r="A66">
            <v>2410</v>
          </cell>
          <cell r="B66">
            <v>98391</v>
          </cell>
          <cell r="C66">
            <v>8.0841367777647333E-2</v>
          </cell>
        </row>
        <row r="67">
          <cell r="A67">
            <v>2411</v>
          </cell>
          <cell r="B67">
            <v>0</v>
          </cell>
          <cell r="C67">
            <v>0</v>
          </cell>
        </row>
        <row r="68">
          <cell r="A68">
            <v>2412</v>
          </cell>
          <cell r="B68">
            <v>0</v>
          </cell>
          <cell r="C68">
            <v>0</v>
          </cell>
        </row>
        <row r="69">
          <cell r="A69">
            <v>2413</v>
          </cell>
          <cell r="B69">
            <v>0</v>
          </cell>
          <cell r="C69">
            <v>0</v>
          </cell>
        </row>
        <row r="70">
          <cell r="A70">
            <v>2414</v>
          </cell>
          <cell r="B70">
            <v>0</v>
          </cell>
          <cell r="C70">
            <v>0</v>
          </cell>
        </row>
        <row r="71">
          <cell r="A71">
            <v>2420</v>
          </cell>
          <cell r="B71">
            <v>0</v>
          </cell>
          <cell r="C71">
            <v>0</v>
          </cell>
        </row>
        <row r="72">
          <cell r="A72">
            <v>2430</v>
          </cell>
          <cell r="B72">
            <v>0</v>
          </cell>
          <cell r="C72">
            <v>0</v>
          </cell>
        </row>
        <row r="73">
          <cell r="A73">
            <v>2431</v>
          </cell>
          <cell r="B73">
            <v>0</v>
          </cell>
          <cell r="C73">
            <v>0</v>
          </cell>
        </row>
        <row r="74">
          <cell r="A74">
            <v>2432</v>
          </cell>
          <cell r="B74">
            <v>0</v>
          </cell>
          <cell r="C74">
            <v>0</v>
          </cell>
        </row>
        <row r="75">
          <cell r="A75">
            <v>2440</v>
          </cell>
          <cell r="B75">
            <v>0</v>
          </cell>
          <cell r="C75">
            <v>0</v>
          </cell>
        </row>
        <row r="76">
          <cell r="A76">
            <v>2450</v>
          </cell>
          <cell r="B76">
            <v>0</v>
          </cell>
          <cell r="C76">
            <v>0</v>
          </cell>
        </row>
        <row r="77">
          <cell r="A77">
            <v>2451</v>
          </cell>
          <cell r="B77">
            <v>0</v>
          </cell>
          <cell r="C77">
            <v>0</v>
          </cell>
        </row>
        <row r="78">
          <cell r="A78">
            <v>3022</v>
          </cell>
          <cell r="B78">
            <v>5022</v>
          </cell>
          <cell r="C78">
            <v>4.1262447681123769E-3</v>
          </cell>
        </row>
        <row r="79">
          <cell r="A79">
            <v>3023</v>
          </cell>
          <cell r="B79">
            <v>12644</v>
          </cell>
          <cell r="C79">
            <v>1.0388737325370948E-2</v>
          </cell>
        </row>
        <row r="80">
          <cell r="A80">
            <v>3024</v>
          </cell>
          <cell r="B80">
            <v>5853</v>
          </cell>
          <cell r="C80">
            <v>4.8090224268741025E-3</v>
          </cell>
        </row>
        <row r="81">
          <cell r="A81">
            <v>3025</v>
          </cell>
          <cell r="B81">
            <v>1293</v>
          </cell>
          <cell r="C81">
            <v>1.0623724582177027E-3</v>
          </cell>
        </row>
        <row r="82">
          <cell r="A82">
            <v>4008</v>
          </cell>
          <cell r="B82">
            <v>0</v>
          </cell>
          <cell r="C82">
            <v>0</v>
          </cell>
        </row>
        <row r="83">
          <cell r="A83">
            <v>4009</v>
          </cell>
          <cell r="B83">
            <v>0</v>
          </cell>
          <cell r="C83">
            <v>0</v>
          </cell>
        </row>
        <row r="84">
          <cell r="A84">
            <v>4010</v>
          </cell>
          <cell r="B84">
            <v>0</v>
          </cell>
          <cell r="C84">
            <v>0</v>
          </cell>
        </row>
        <row r="85">
          <cell r="A85">
            <v>4012</v>
          </cell>
          <cell r="B85">
            <v>0</v>
          </cell>
          <cell r="C85">
            <v>0</v>
          </cell>
        </row>
        <row r="86">
          <cell r="A86">
            <v>4013</v>
          </cell>
          <cell r="B86">
            <v>0</v>
          </cell>
          <cell r="C86">
            <v>0</v>
          </cell>
        </row>
        <row r="87">
          <cell r="A87">
            <v>4014</v>
          </cell>
          <cell r="B87">
            <v>6339</v>
          </cell>
          <cell r="C87">
            <v>5.2083364366914296E-3</v>
          </cell>
        </row>
        <row r="88">
          <cell r="A88">
            <v>4016</v>
          </cell>
          <cell r="B88">
            <v>43</v>
          </cell>
          <cell r="C88">
            <v>3.5330251897417803E-5</v>
          </cell>
        </row>
        <row r="89">
          <cell r="A89">
            <v>4018</v>
          </cell>
          <cell r="B89">
            <v>16327</v>
          </cell>
          <cell r="C89">
            <v>1.3414814482073035E-2</v>
          </cell>
        </row>
        <row r="90">
          <cell r="A90">
            <v>4019</v>
          </cell>
          <cell r="B90">
            <v>87</v>
          </cell>
          <cell r="C90">
            <v>7.148213755989184E-5</v>
          </cell>
        </row>
        <row r="91">
          <cell r="A91">
            <v>4020</v>
          </cell>
          <cell r="B91">
            <v>59652</v>
          </cell>
          <cell r="C91">
            <v>4.9012097353134117E-2</v>
          </cell>
        </row>
        <row r="92">
          <cell r="A92">
            <v>4021</v>
          </cell>
          <cell r="B92">
            <v>150</v>
          </cell>
          <cell r="C92">
            <v>1.232450647584342E-4</v>
          </cell>
        </row>
        <row r="93">
          <cell r="A93">
            <v>4022</v>
          </cell>
          <cell r="B93">
            <v>0</v>
          </cell>
          <cell r="C93">
            <v>0</v>
          </cell>
        </row>
        <row r="94">
          <cell r="A94">
            <v>4025</v>
          </cell>
          <cell r="B94">
            <v>0</v>
          </cell>
          <cell r="C94">
            <v>0</v>
          </cell>
        </row>
        <row r="95">
          <cell r="A95">
            <v>4030</v>
          </cell>
          <cell r="B95">
            <v>49758</v>
          </cell>
          <cell r="C95">
            <v>4.0882852881667792E-2</v>
          </cell>
        </row>
        <row r="96">
          <cell r="A96">
            <v>4031</v>
          </cell>
          <cell r="B96">
            <v>144</v>
          </cell>
          <cell r="C96">
            <v>1.1831526216809684E-4</v>
          </cell>
        </row>
        <row r="97">
          <cell r="A97">
            <v>4040</v>
          </cell>
          <cell r="B97">
            <v>264</v>
          </cell>
          <cell r="C97">
            <v>2.169113139748442E-4</v>
          </cell>
        </row>
        <row r="98">
          <cell r="A98">
            <v>4050</v>
          </cell>
          <cell r="B98">
            <v>82</v>
          </cell>
          <cell r="C98">
            <v>6.7373968734610697E-5</v>
          </cell>
        </row>
        <row r="99">
          <cell r="A99">
            <v>4100</v>
          </cell>
          <cell r="B99">
            <v>205</v>
          </cell>
          <cell r="C99">
            <v>1.6843492183652676E-4</v>
          </cell>
        </row>
        <row r="100">
          <cell r="A100">
            <v>4105</v>
          </cell>
          <cell r="B100">
            <v>13</v>
          </cell>
          <cell r="C100">
            <v>1.0681238945730964E-5</v>
          </cell>
        </row>
        <row r="101">
          <cell r="A101">
            <v>4110</v>
          </cell>
          <cell r="B101">
            <v>14567</v>
          </cell>
          <cell r="C101">
            <v>1.1968739055574074E-2</v>
          </cell>
        </row>
        <row r="102">
          <cell r="A102">
            <v>4120</v>
          </cell>
          <cell r="B102">
            <v>29071</v>
          </cell>
          <cell r="C102">
            <v>2.3885715183949604E-2</v>
          </cell>
        </row>
        <row r="103">
          <cell r="A103">
            <v>4130</v>
          </cell>
          <cell r="B103">
            <v>11816</v>
          </cell>
          <cell r="C103">
            <v>9.7084245679043904E-3</v>
          </cell>
        </row>
        <row r="104">
          <cell r="A104">
            <v>4140</v>
          </cell>
          <cell r="B104">
            <v>5259</v>
          </cell>
          <cell r="C104">
            <v>4.3209719704307035E-3</v>
          </cell>
        </row>
        <row r="105">
          <cell r="A105">
            <v>4150</v>
          </cell>
          <cell r="B105">
            <v>142</v>
          </cell>
          <cell r="C105">
            <v>1.1667199463798438E-4</v>
          </cell>
        </row>
        <row r="106">
          <cell r="A106">
            <v>4160</v>
          </cell>
          <cell r="B106">
            <v>0</v>
          </cell>
          <cell r="C106">
            <v>0</v>
          </cell>
        </row>
        <row r="107">
          <cell r="A107">
            <v>5411</v>
          </cell>
          <cell r="B107">
            <v>15941</v>
          </cell>
          <cell r="C107">
            <v>1.3097663848761331E-2</v>
          </cell>
        </row>
        <row r="108">
          <cell r="A108">
            <v>5412</v>
          </cell>
          <cell r="B108">
            <v>12151</v>
          </cell>
          <cell r="C108">
            <v>9.9836718791982259E-3</v>
          </cell>
        </row>
        <row r="109">
          <cell r="A109">
            <v>5414</v>
          </cell>
          <cell r="B109">
            <v>0</v>
          </cell>
          <cell r="C109">
            <v>0</v>
          </cell>
        </row>
        <row r="110">
          <cell r="A110" t="str">
            <v>Grand Total</v>
          </cell>
          <cell r="B110">
            <v>1217087.2748049316</v>
          </cell>
          <cell r="C110">
            <v>1</v>
          </cell>
        </row>
      </sheetData>
      <sheetData sheetId="1">
        <row r="5">
          <cell r="A5">
            <v>2010</v>
          </cell>
          <cell r="B5">
            <v>143536</v>
          </cell>
          <cell r="C5">
            <v>0.1141142372049931</v>
          </cell>
        </row>
        <row r="6">
          <cell r="A6">
            <v>2011</v>
          </cell>
          <cell r="B6">
            <v>31959</v>
          </cell>
          <cell r="C6">
            <v>2.5408099061102262E-2</v>
          </cell>
        </row>
        <row r="7">
          <cell r="A7">
            <v>2012</v>
          </cell>
          <cell r="B7">
            <v>26504</v>
          </cell>
          <cell r="C7">
            <v>2.1071255593587232E-2</v>
          </cell>
        </row>
        <row r="8">
          <cell r="A8">
            <v>2013</v>
          </cell>
          <cell r="B8">
            <v>61262</v>
          </cell>
          <cell r="C8">
            <v>4.8704620441229286E-2</v>
          </cell>
        </row>
        <row r="9">
          <cell r="A9">
            <v>2014</v>
          </cell>
          <cell r="B9">
            <v>67</v>
          </cell>
          <cell r="C9">
            <v>5.3266455054721723E-5</v>
          </cell>
        </row>
        <row r="10">
          <cell r="A10">
            <v>2015</v>
          </cell>
          <cell r="B10">
            <v>0</v>
          </cell>
          <cell r="C10">
            <v>0</v>
          </cell>
        </row>
        <row r="11">
          <cell r="A11">
            <v>2025</v>
          </cell>
          <cell r="B11">
            <v>2422</v>
          </cell>
          <cell r="C11">
            <v>1.9255425991423286E-3</v>
          </cell>
        </row>
        <row r="12">
          <cell r="A12">
            <v>2031</v>
          </cell>
          <cell r="B12">
            <v>289</v>
          </cell>
          <cell r="C12">
            <v>2.2976127628081459E-4</v>
          </cell>
        </row>
        <row r="13">
          <cell r="A13">
            <v>2032</v>
          </cell>
          <cell r="B13">
            <v>31260</v>
          </cell>
          <cell r="C13">
            <v>2.4852378880755241E-2</v>
          </cell>
        </row>
        <row r="14">
          <cell r="A14">
            <v>2040</v>
          </cell>
          <cell r="B14">
            <v>8352</v>
          </cell>
          <cell r="C14">
            <v>6.6400213823438184E-3</v>
          </cell>
        </row>
        <row r="15">
          <cell r="A15">
            <v>2041</v>
          </cell>
          <cell r="B15">
            <v>2272</v>
          </cell>
          <cell r="C15">
            <v>1.8062893415571307E-3</v>
          </cell>
        </row>
        <row r="16">
          <cell r="A16">
            <v>2042</v>
          </cell>
          <cell r="B16">
            <v>104</v>
          </cell>
          <cell r="C16">
            <v>8.268225859240387E-5</v>
          </cell>
        </row>
        <row r="17">
          <cell r="A17">
            <v>2043</v>
          </cell>
          <cell r="B17">
            <v>5756</v>
          </cell>
          <cell r="C17">
            <v>4.5761450044026607E-3</v>
          </cell>
        </row>
        <row r="18">
          <cell r="A18">
            <v>2044</v>
          </cell>
          <cell r="B18">
            <v>8260</v>
          </cell>
          <cell r="C18">
            <v>6.5668793843582304E-3</v>
          </cell>
        </row>
        <row r="19">
          <cell r="A19">
            <v>2045</v>
          </cell>
          <cell r="B19">
            <v>6779</v>
          </cell>
          <cell r="C19">
            <v>5.3894522211337097E-3</v>
          </cell>
        </row>
        <row r="20">
          <cell r="A20">
            <v>2046</v>
          </cell>
          <cell r="B20">
            <v>9585</v>
          </cell>
          <cell r="C20">
            <v>7.6202831596941453E-3</v>
          </cell>
        </row>
        <row r="21">
          <cell r="A21">
            <v>2047</v>
          </cell>
          <cell r="B21">
            <v>14653</v>
          </cell>
          <cell r="C21">
            <v>1.1649453222639364E-2</v>
          </cell>
        </row>
        <row r="22">
          <cell r="A22">
            <v>2048</v>
          </cell>
          <cell r="B22">
            <v>115</v>
          </cell>
          <cell r="C22">
            <v>9.1427497481985054E-5</v>
          </cell>
        </row>
        <row r="23">
          <cell r="A23">
            <v>2049</v>
          </cell>
          <cell r="B23">
            <v>19</v>
          </cell>
          <cell r="C23">
            <v>1.5105412627458399E-5</v>
          </cell>
        </row>
        <row r="24">
          <cell r="A24">
            <v>2050</v>
          </cell>
          <cell r="B24">
            <v>50</v>
          </cell>
          <cell r="C24">
            <v>3.9751085861732627E-5</v>
          </cell>
        </row>
        <row r="25">
          <cell r="A25">
            <v>2051</v>
          </cell>
          <cell r="B25">
            <v>310</v>
          </cell>
          <cell r="C25">
            <v>2.4645673234274232E-4</v>
          </cell>
        </row>
        <row r="26">
          <cell r="A26">
            <v>2053</v>
          </cell>
          <cell r="B26">
            <v>64</v>
          </cell>
          <cell r="C26">
            <v>5.0881389903017766E-5</v>
          </cell>
        </row>
        <row r="27">
          <cell r="A27">
            <v>2111</v>
          </cell>
          <cell r="B27">
            <v>96026</v>
          </cell>
          <cell r="C27">
            <v>7.6342755419174749E-2</v>
          </cell>
        </row>
        <row r="28">
          <cell r="A28">
            <v>2112</v>
          </cell>
          <cell r="B28">
            <v>29021</v>
          </cell>
          <cell r="C28">
            <v>2.3072325255866853E-2</v>
          </cell>
        </row>
        <row r="29">
          <cell r="A29">
            <v>2113</v>
          </cell>
          <cell r="B29">
            <v>0</v>
          </cell>
          <cell r="C29">
            <v>0</v>
          </cell>
        </row>
        <row r="30">
          <cell r="A30">
            <v>2120</v>
          </cell>
          <cell r="B30">
            <v>6805</v>
          </cell>
          <cell r="C30">
            <v>5.410122785781811E-3</v>
          </cell>
        </row>
        <row r="31">
          <cell r="A31">
            <v>2121</v>
          </cell>
          <cell r="B31">
            <v>0</v>
          </cell>
          <cell r="C31">
            <v>0</v>
          </cell>
        </row>
        <row r="32">
          <cell r="A32">
            <v>2125</v>
          </cell>
          <cell r="B32">
            <v>1</v>
          </cell>
          <cell r="C32">
            <v>7.950217172346526E-7</v>
          </cell>
        </row>
        <row r="33">
          <cell r="A33">
            <v>2131</v>
          </cell>
          <cell r="B33">
            <v>0</v>
          </cell>
          <cell r="C33">
            <v>0</v>
          </cell>
        </row>
        <row r="34">
          <cell r="A34">
            <v>2132</v>
          </cell>
          <cell r="B34">
            <v>2508</v>
          </cell>
          <cell r="C34">
            <v>1.9939144668245086E-3</v>
          </cell>
        </row>
        <row r="35">
          <cell r="A35">
            <v>2140</v>
          </cell>
          <cell r="B35">
            <v>3228</v>
          </cell>
          <cell r="C35">
            <v>2.5663301032334586E-3</v>
          </cell>
        </row>
        <row r="36">
          <cell r="A36">
            <v>2143</v>
          </cell>
          <cell r="B36">
            <v>0</v>
          </cell>
          <cell r="C36">
            <v>0</v>
          </cell>
        </row>
        <row r="37">
          <cell r="A37">
            <v>2144</v>
          </cell>
          <cell r="B37">
            <v>14460</v>
          </cell>
          <cell r="C37">
            <v>1.1496014031213076E-2</v>
          </cell>
        </row>
        <row r="38">
          <cell r="A38">
            <v>2146</v>
          </cell>
          <cell r="B38">
            <v>7391</v>
          </cell>
          <cell r="C38">
            <v>5.8760055120813176E-3</v>
          </cell>
        </row>
        <row r="39">
          <cell r="A39">
            <v>2148</v>
          </cell>
          <cell r="C39">
            <v>0</v>
          </cell>
        </row>
        <row r="40">
          <cell r="A40">
            <v>2149</v>
          </cell>
          <cell r="B40">
            <v>18379</v>
          </cell>
          <cell r="C40">
            <v>1.4611704141055681E-2</v>
          </cell>
        </row>
        <row r="41">
          <cell r="A41">
            <v>2150</v>
          </cell>
          <cell r="B41">
            <v>0</v>
          </cell>
          <cell r="C41">
            <v>0</v>
          </cell>
        </row>
        <row r="42">
          <cell r="A42">
            <v>2160</v>
          </cell>
          <cell r="B42">
            <v>0</v>
          </cell>
          <cell r="C42">
            <v>0</v>
          </cell>
        </row>
        <row r="43">
          <cell r="A43">
            <v>2170</v>
          </cell>
          <cell r="B43">
            <v>0</v>
          </cell>
          <cell r="C43">
            <v>0</v>
          </cell>
        </row>
        <row r="44">
          <cell r="A44">
            <v>2171</v>
          </cell>
          <cell r="B44">
            <v>35</v>
          </cell>
          <cell r="C44">
            <v>2.7825760103212839E-5</v>
          </cell>
        </row>
        <row r="45">
          <cell r="A45">
            <v>2172</v>
          </cell>
          <cell r="B45">
            <v>0</v>
          </cell>
          <cell r="C45">
            <v>0</v>
          </cell>
        </row>
        <row r="46">
          <cell r="A46">
            <v>2173</v>
          </cell>
          <cell r="B46">
            <v>10</v>
          </cell>
          <cell r="C46">
            <v>7.950217172346526E-6</v>
          </cell>
        </row>
        <row r="47">
          <cell r="A47">
            <v>2180</v>
          </cell>
          <cell r="B47">
            <v>86349</v>
          </cell>
          <cell r="C47">
            <v>6.8649330261495015E-2</v>
          </cell>
        </row>
        <row r="48">
          <cell r="A48">
            <v>2182</v>
          </cell>
          <cell r="B48">
            <v>2</v>
          </cell>
          <cell r="C48">
            <v>1.5900434344693052E-6</v>
          </cell>
        </row>
        <row r="49">
          <cell r="A49">
            <v>2183</v>
          </cell>
          <cell r="B49">
            <v>70849</v>
          </cell>
          <cell r="C49">
            <v>5.6326493644357899E-2</v>
          </cell>
        </row>
        <row r="50">
          <cell r="A50">
            <v>2184</v>
          </cell>
          <cell r="B50">
            <v>1</v>
          </cell>
          <cell r="C50">
            <v>7.950217172346526E-7</v>
          </cell>
        </row>
        <row r="51">
          <cell r="A51">
            <v>2185</v>
          </cell>
          <cell r="B51">
            <v>3695</v>
          </cell>
          <cell r="C51">
            <v>2.9376052451820412E-3</v>
          </cell>
        </row>
        <row r="52">
          <cell r="A52">
            <v>2186</v>
          </cell>
          <cell r="B52">
            <v>22359.274804931771</v>
          </cell>
          <cell r="C52">
            <v>1.7776109051538359E-2</v>
          </cell>
        </row>
        <row r="53">
          <cell r="A53">
            <v>2187</v>
          </cell>
          <cell r="B53">
            <v>0</v>
          </cell>
          <cell r="C53">
            <v>0</v>
          </cell>
        </row>
        <row r="54">
          <cell r="A54">
            <v>2188</v>
          </cell>
          <cell r="B54">
            <v>28844</v>
          </cell>
          <cell r="C54">
            <v>2.2931606411916321E-2</v>
          </cell>
        </row>
        <row r="55">
          <cell r="A55">
            <v>2189</v>
          </cell>
          <cell r="B55">
            <v>1</v>
          </cell>
          <cell r="C55">
            <v>7.950217172346526E-7</v>
          </cell>
        </row>
        <row r="56">
          <cell r="A56">
            <v>2190</v>
          </cell>
          <cell r="B56">
            <v>350</v>
          </cell>
          <cell r="C56">
            <v>2.7825760103212843E-4</v>
          </cell>
        </row>
        <row r="57">
          <cell r="A57">
            <v>2191</v>
          </cell>
          <cell r="B57">
            <v>6</v>
          </cell>
          <cell r="C57">
            <v>4.7701303034079156E-6</v>
          </cell>
        </row>
        <row r="58">
          <cell r="A58">
            <v>2195</v>
          </cell>
          <cell r="B58">
            <v>33148</v>
          </cell>
          <cell r="C58">
            <v>2.6353379882894264E-2</v>
          </cell>
        </row>
        <row r="59">
          <cell r="A59">
            <v>2210</v>
          </cell>
          <cell r="B59">
            <v>22577</v>
          </cell>
          <cell r="C59">
            <v>1.7949205310006752E-2</v>
          </cell>
        </row>
        <row r="60">
          <cell r="A60">
            <v>2211</v>
          </cell>
          <cell r="B60">
            <v>22462</v>
          </cell>
          <cell r="C60">
            <v>1.7857777812524768E-2</v>
          </cell>
        </row>
        <row r="61">
          <cell r="A61">
            <v>2212</v>
          </cell>
          <cell r="B61">
            <v>5817</v>
          </cell>
          <cell r="C61">
            <v>4.6246413291539746E-3</v>
          </cell>
        </row>
        <row r="62">
          <cell r="A62">
            <v>2213</v>
          </cell>
          <cell r="B62">
            <v>0</v>
          </cell>
          <cell r="C62">
            <v>0</v>
          </cell>
        </row>
        <row r="63">
          <cell r="A63">
            <v>2214</v>
          </cell>
          <cell r="B63">
            <v>10491</v>
          </cell>
          <cell r="C63">
            <v>8.3405728355087413E-3</v>
          </cell>
        </row>
        <row r="64">
          <cell r="A64">
            <v>2215</v>
          </cell>
          <cell r="B64">
            <v>20868</v>
          </cell>
          <cell r="C64">
            <v>1.6590513195252732E-2</v>
          </cell>
        </row>
        <row r="65">
          <cell r="A65">
            <v>2310</v>
          </cell>
          <cell r="B65">
            <v>12572</v>
          </cell>
          <cell r="C65">
            <v>9.9950130290740527E-3</v>
          </cell>
        </row>
        <row r="66">
          <cell r="A66">
            <v>2410</v>
          </cell>
          <cell r="B66">
            <v>98391</v>
          </cell>
          <cell r="C66">
            <v>7.82229817804347E-2</v>
          </cell>
        </row>
        <row r="67">
          <cell r="A67">
            <v>2411</v>
          </cell>
          <cell r="B67">
            <v>0</v>
          </cell>
          <cell r="C67">
            <v>0</v>
          </cell>
        </row>
        <row r="68">
          <cell r="A68">
            <v>2412</v>
          </cell>
          <cell r="B68">
            <v>0</v>
          </cell>
          <cell r="C68">
            <v>0</v>
          </cell>
        </row>
        <row r="69">
          <cell r="A69">
            <v>2413</v>
          </cell>
          <cell r="B69">
            <v>0</v>
          </cell>
          <cell r="C69">
            <v>0</v>
          </cell>
        </row>
        <row r="70">
          <cell r="A70">
            <v>2414</v>
          </cell>
          <cell r="B70">
            <v>0</v>
          </cell>
          <cell r="C70">
            <v>0</v>
          </cell>
        </row>
        <row r="71">
          <cell r="A71">
            <v>2420</v>
          </cell>
          <cell r="B71">
            <v>0</v>
          </cell>
          <cell r="C71">
            <v>0</v>
          </cell>
        </row>
        <row r="72">
          <cell r="A72">
            <v>2430</v>
          </cell>
          <cell r="B72">
            <v>0</v>
          </cell>
          <cell r="C72">
            <v>0</v>
          </cell>
        </row>
        <row r="73">
          <cell r="A73">
            <v>2431</v>
          </cell>
          <cell r="B73">
            <v>0</v>
          </cell>
          <cell r="C73">
            <v>0</v>
          </cell>
        </row>
        <row r="74">
          <cell r="A74">
            <v>2432</v>
          </cell>
          <cell r="B74">
            <v>0</v>
          </cell>
          <cell r="C74">
            <v>0</v>
          </cell>
        </row>
        <row r="75">
          <cell r="A75">
            <v>2440</v>
          </cell>
          <cell r="B75">
            <v>0</v>
          </cell>
          <cell r="C75">
            <v>0</v>
          </cell>
        </row>
        <row r="76">
          <cell r="A76">
            <v>2450</v>
          </cell>
          <cell r="B76">
            <v>0</v>
          </cell>
          <cell r="C76">
            <v>0</v>
          </cell>
        </row>
        <row r="77">
          <cell r="A77">
            <v>2451</v>
          </cell>
          <cell r="B77">
            <v>0</v>
          </cell>
          <cell r="C77">
            <v>0</v>
          </cell>
        </row>
        <row r="78">
          <cell r="A78">
            <v>3022</v>
          </cell>
          <cell r="B78">
            <v>5022</v>
          </cell>
          <cell r="C78">
            <v>3.9925990639524253E-3</v>
          </cell>
        </row>
        <row r="79">
          <cell r="A79">
            <v>3023</v>
          </cell>
          <cell r="B79">
            <v>12644</v>
          </cell>
          <cell r="C79">
            <v>1.0052254592714947E-2</v>
          </cell>
        </row>
        <row r="80">
          <cell r="A80">
            <v>3024</v>
          </cell>
          <cell r="B80">
            <v>5853</v>
          </cell>
          <cell r="C80">
            <v>4.6532621109744215E-3</v>
          </cell>
        </row>
        <row r="81">
          <cell r="A81">
            <v>3025</v>
          </cell>
          <cell r="B81">
            <v>1293</v>
          </cell>
          <cell r="C81">
            <v>1.0279630803844057E-3</v>
          </cell>
        </row>
        <row r="82">
          <cell r="A82">
            <v>4008</v>
          </cell>
          <cell r="B82">
            <v>0</v>
          </cell>
          <cell r="C82">
            <v>0</v>
          </cell>
        </row>
        <row r="83">
          <cell r="A83">
            <v>4009</v>
          </cell>
          <cell r="B83">
            <v>0</v>
          </cell>
          <cell r="C83">
            <v>0</v>
          </cell>
        </row>
        <row r="84">
          <cell r="A84">
            <v>4010</v>
          </cell>
          <cell r="B84">
            <v>0</v>
          </cell>
          <cell r="C84">
            <v>0</v>
          </cell>
        </row>
        <row r="85">
          <cell r="A85">
            <v>4012</v>
          </cell>
          <cell r="B85">
            <v>0</v>
          </cell>
          <cell r="C85">
            <v>0</v>
          </cell>
        </row>
        <row r="86">
          <cell r="A86">
            <v>4013</v>
          </cell>
          <cell r="B86">
            <v>0</v>
          </cell>
          <cell r="C86">
            <v>0</v>
          </cell>
        </row>
        <row r="87">
          <cell r="A87">
            <v>4014</v>
          </cell>
          <cell r="B87">
            <v>6339</v>
          </cell>
          <cell r="C87">
            <v>5.0396426655504633E-3</v>
          </cell>
        </row>
        <row r="88">
          <cell r="A88">
            <v>4016</v>
          </cell>
          <cell r="B88">
            <v>43</v>
          </cell>
          <cell r="C88">
            <v>3.418593384109006E-5</v>
          </cell>
        </row>
        <row r="89">
          <cell r="A89">
            <v>4018</v>
          </cell>
          <cell r="B89">
            <v>16327</v>
          </cell>
          <cell r="C89">
            <v>1.2980319577290173E-2</v>
          </cell>
        </row>
        <row r="90">
          <cell r="A90">
            <v>4019</v>
          </cell>
          <cell r="B90">
            <v>87</v>
          </cell>
          <cell r="C90">
            <v>6.9166889399414775E-5</v>
          </cell>
        </row>
        <row r="91">
          <cell r="A91">
            <v>4020</v>
          </cell>
          <cell r="B91">
            <v>59652</v>
          </cell>
          <cell r="C91">
            <v>4.74246354764815E-2</v>
          </cell>
        </row>
        <row r="92">
          <cell r="A92">
            <v>4021</v>
          </cell>
          <cell r="B92">
            <v>150</v>
          </cell>
          <cell r="C92">
            <v>1.1925325758519789E-4</v>
          </cell>
        </row>
        <row r="93">
          <cell r="A93">
            <v>4022</v>
          </cell>
          <cell r="B93">
            <v>0</v>
          </cell>
          <cell r="C93">
            <v>0</v>
          </cell>
        </row>
        <row r="94">
          <cell r="A94">
            <v>4025</v>
          </cell>
          <cell r="B94">
            <v>0</v>
          </cell>
          <cell r="C94">
            <v>0</v>
          </cell>
        </row>
        <row r="95">
          <cell r="A95">
            <v>4030</v>
          </cell>
          <cell r="B95">
            <v>49758</v>
          </cell>
          <cell r="C95">
            <v>3.9558690606161843E-2</v>
          </cell>
        </row>
        <row r="96">
          <cell r="A96">
            <v>4031</v>
          </cell>
          <cell r="B96">
            <v>144</v>
          </cell>
          <cell r="C96">
            <v>1.1448312728178997E-4</v>
          </cell>
        </row>
        <row r="97">
          <cell r="A97">
            <v>4040</v>
          </cell>
          <cell r="B97">
            <v>264</v>
          </cell>
          <cell r="C97">
            <v>2.0988573334994827E-4</v>
          </cell>
        </row>
        <row r="98">
          <cell r="A98">
            <v>4050</v>
          </cell>
          <cell r="B98">
            <v>82</v>
          </cell>
          <cell r="C98">
            <v>6.5191780813241517E-5</v>
          </cell>
        </row>
        <row r="99">
          <cell r="A99">
            <v>4100</v>
          </cell>
          <cell r="B99">
            <v>205</v>
          </cell>
          <cell r="C99">
            <v>1.6297945203310379E-4</v>
          </cell>
        </row>
        <row r="100">
          <cell r="A100">
            <v>4105</v>
          </cell>
          <cell r="B100">
            <v>13</v>
          </cell>
          <cell r="C100">
            <v>1.0335282324050484E-5</v>
          </cell>
        </row>
        <row r="101">
          <cell r="A101">
            <v>4110</v>
          </cell>
          <cell r="B101">
            <v>14567</v>
          </cell>
          <cell r="C101">
            <v>1.1581081354957185E-2</v>
          </cell>
        </row>
        <row r="102">
          <cell r="A102">
            <v>4120</v>
          </cell>
          <cell r="B102">
            <v>29071</v>
          </cell>
          <cell r="C102">
            <v>2.3112076341728585E-2</v>
          </cell>
        </row>
        <row r="103">
          <cell r="A103">
            <v>4130</v>
          </cell>
          <cell r="B103">
            <v>11816</v>
          </cell>
          <cell r="C103">
            <v>9.3939766108446544E-3</v>
          </cell>
        </row>
        <row r="104">
          <cell r="A104">
            <v>4140</v>
          </cell>
          <cell r="B104">
            <v>5259</v>
          </cell>
          <cell r="C104">
            <v>4.181019210937038E-3</v>
          </cell>
        </row>
        <row r="105">
          <cell r="A105">
            <v>4150</v>
          </cell>
          <cell r="B105">
            <v>142</v>
          </cell>
          <cell r="C105">
            <v>1.1289308384732067E-4</v>
          </cell>
        </row>
        <row r="106">
          <cell r="A106">
            <v>4160</v>
          </cell>
          <cell r="B106">
            <v>0</v>
          </cell>
          <cell r="C106">
            <v>0</v>
          </cell>
        </row>
        <row r="107">
          <cell r="A107">
            <v>4037</v>
          </cell>
          <cell r="B107">
            <v>5485</v>
          </cell>
          <cell r="C107">
            <v>4.3606941190320698E-3</v>
          </cell>
        </row>
        <row r="108">
          <cell r="A108">
            <v>2311</v>
          </cell>
          <cell r="B108">
            <v>15135</v>
          </cell>
          <cell r="C108">
            <v>1.2032653690346467E-2</v>
          </cell>
        </row>
        <row r="109">
          <cell r="A109">
            <v>2312</v>
          </cell>
          <cell r="B109">
            <v>87</v>
          </cell>
          <cell r="C109">
            <v>6.9166889399414775E-5</v>
          </cell>
        </row>
        <row r="110">
          <cell r="A110">
            <v>2313</v>
          </cell>
          <cell r="B110">
            <v>16</v>
          </cell>
          <cell r="C110">
            <v>1.2720347475754442E-5</v>
          </cell>
        </row>
        <row r="111">
          <cell r="A111">
            <v>4032</v>
          </cell>
          <cell r="B111">
            <v>5445</v>
          </cell>
          <cell r="C111">
            <v>4.3288932503426835E-3</v>
          </cell>
        </row>
        <row r="112">
          <cell r="A112">
            <v>4033</v>
          </cell>
          <cell r="B112">
            <v>9047</v>
          </cell>
          <cell r="C112">
            <v>7.1925614758219019E-3</v>
          </cell>
        </row>
        <row r="113">
          <cell r="A113">
            <v>4034</v>
          </cell>
          <cell r="B113">
            <v>5230</v>
          </cell>
          <cell r="C113">
            <v>4.1579635811372327E-3</v>
          </cell>
        </row>
        <row r="114">
          <cell r="A114">
            <v>4035</v>
          </cell>
          <cell r="B114">
            <v>225</v>
          </cell>
          <cell r="C114">
            <v>1.7887988637779682E-4</v>
          </cell>
        </row>
        <row r="115">
          <cell r="A115">
            <v>4036</v>
          </cell>
          <cell r="B115">
            <v>70</v>
          </cell>
          <cell r="C115">
            <v>5.5651520206425679E-5</v>
          </cell>
        </row>
        <row r="116">
          <cell r="A116">
            <v>5411</v>
          </cell>
          <cell r="B116">
            <v>15941</v>
          </cell>
          <cell r="C116">
            <v>1.2673441194437597E-2</v>
          </cell>
        </row>
        <row r="117">
          <cell r="A117">
            <v>5412</v>
          </cell>
          <cell r="B117">
            <v>12151</v>
          </cell>
          <cell r="C117">
            <v>9.6603088861182632E-3</v>
          </cell>
        </row>
        <row r="118">
          <cell r="A118">
            <v>5414</v>
          </cell>
          <cell r="B118">
            <v>0</v>
          </cell>
          <cell r="C118">
            <v>0</v>
          </cell>
        </row>
      </sheetData>
      <sheetData sheetId="2">
        <row r="5">
          <cell r="A5">
            <v>2010</v>
          </cell>
          <cell r="B5">
            <v>143536</v>
          </cell>
          <cell r="C5">
            <v>0.11087531663455785</v>
          </cell>
        </row>
        <row r="6">
          <cell r="A6">
            <v>2011</v>
          </cell>
          <cell r="B6">
            <v>31959</v>
          </cell>
          <cell r="C6">
            <v>2.4686937383818934E-2</v>
          </cell>
        </row>
        <row r="7">
          <cell r="A7">
            <v>2012</v>
          </cell>
          <cell r="B7">
            <v>26504</v>
          </cell>
          <cell r="C7">
            <v>2.0473187159195751E-2</v>
          </cell>
        </row>
        <row r="8">
          <cell r="A8">
            <v>2013</v>
          </cell>
          <cell r="B8">
            <v>61262</v>
          </cell>
          <cell r="C8">
            <v>4.7322230295300714E-2</v>
          </cell>
        </row>
        <row r="9">
          <cell r="A9">
            <v>2014</v>
          </cell>
          <cell r="B9">
            <v>67</v>
          </cell>
          <cell r="C9">
            <v>5.1754585710312227E-5</v>
          </cell>
        </row>
        <row r="10">
          <cell r="A10">
            <v>2015</v>
          </cell>
          <cell r="B10">
            <v>0</v>
          </cell>
          <cell r="C10">
            <v>0</v>
          </cell>
        </row>
        <row r="11">
          <cell r="A11">
            <v>2021</v>
          </cell>
          <cell r="B11">
            <v>36744</v>
          </cell>
          <cell r="C11">
            <v>2.8383141751338995E-2</v>
          </cell>
        </row>
        <row r="12">
          <cell r="A12">
            <v>2025</v>
          </cell>
          <cell r="B12">
            <v>2422</v>
          </cell>
          <cell r="C12">
            <v>1.8708896506026301E-3</v>
          </cell>
        </row>
        <row r="13">
          <cell r="A13">
            <v>2031</v>
          </cell>
          <cell r="B13">
            <v>289</v>
          </cell>
          <cell r="C13">
            <v>2.2323992940716768E-4</v>
          </cell>
        </row>
        <row r="14">
          <cell r="A14">
            <v>2032</v>
          </cell>
          <cell r="B14">
            <v>31260</v>
          </cell>
          <cell r="C14">
            <v>2.4146990288124781E-2</v>
          </cell>
        </row>
        <row r="15">
          <cell r="A15">
            <v>2040</v>
          </cell>
          <cell r="B15">
            <v>8352</v>
          </cell>
          <cell r="C15">
            <v>6.4515567142168322E-3</v>
          </cell>
        </row>
        <row r="16">
          <cell r="A16">
            <v>2041</v>
          </cell>
          <cell r="B16">
            <v>2272</v>
          </cell>
          <cell r="C16">
            <v>1.755021175131782E-3</v>
          </cell>
        </row>
        <row r="17">
          <cell r="A17">
            <v>2042</v>
          </cell>
          <cell r="B17">
            <v>104</v>
          </cell>
          <cell r="C17">
            <v>8.033547632645481E-5</v>
          </cell>
        </row>
        <row r="18">
          <cell r="A18">
            <v>2043</v>
          </cell>
          <cell r="B18">
            <v>5756</v>
          </cell>
          <cell r="C18">
            <v>4.4462596320680179E-3</v>
          </cell>
        </row>
        <row r="19">
          <cell r="A19">
            <v>2044</v>
          </cell>
          <cell r="B19">
            <v>8260</v>
          </cell>
          <cell r="C19">
            <v>6.3804907159280451E-3</v>
          </cell>
        </row>
        <row r="20">
          <cell r="A20">
            <v>2045</v>
          </cell>
          <cell r="B20">
            <v>6779</v>
          </cell>
          <cell r="C20">
            <v>5.2364826347792029E-3</v>
          </cell>
        </row>
        <row r="21">
          <cell r="A21">
            <v>2046</v>
          </cell>
          <cell r="B21">
            <v>9585</v>
          </cell>
          <cell r="C21">
            <v>7.4039955825872051E-3</v>
          </cell>
        </row>
        <row r="22">
          <cell r="A22">
            <v>2047</v>
          </cell>
          <cell r="B22">
            <v>14653</v>
          </cell>
          <cell r="C22">
            <v>1.1318805140495599E-2</v>
          </cell>
        </row>
        <row r="23">
          <cell r="A23">
            <v>2048</v>
          </cell>
          <cell r="B23">
            <v>115</v>
          </cell>
          <cell r="C23">
            <v>8.8832497860983674E-5</v>
          </cell>
        </row>
        <row r="24">
          <cell r="A24">
            <v>2049</v>
          </cell>
          <cell r="B24">
            <v>19</v>
          </cell>
          <cell r="C24">
            <v>1.4676673559640781E-5</v>
          </cell>
        </row>
        <row r="25">
          <cell r="A25">
            <v>2050</v>
          </cell>
          <cell r="B25">
            <v>50</v>
          </cell>
          <cell r="C25">
            <v>3.8622825156949426E-5</v>
          </cell>
        </row>
        <row r="26">
          <cell r="A26">
            <v>2051</v>
          </cell>
          <cell r="B26">
            <v>310</v>
          </cell>
          <cell r="C26">
            <v>2.3946151597308644E-4</v>
          </cell>
        </row>
        <row r="27">
          <cell r="A27">
            <v>2053</v>
          </cell>
          <cell r="B27">
            <v>64</v>
          </cell>
          <cell r="C27">
            <v>4.9437216200895262E-5</v>
          </cell>
        </row>
        <row r="28">
          <cell r="A28">
            <v>2111</v>
          </cell>
          <cell r="B28">
            <v>96026</v>
          </cell>
          <cell r="C28">
            <v>7.4175908170424507E-2</v>
          </cell>
        </row>
        <row r="29">
          <cell r="A29">
            <v>2112</v>
          </cell>
          <cell r="B29">
            <v>29021</v>
          </cell>
          <cell r="C29">
            <v>2.2417460177596587E-2</v>
          </cell>
        </row>
        <row r="30">
          <cell r="A30">
            <v>2113</v>
          </cell>
          <cell r="B30">
            <v>0</v>
          </cell>
          <cell r="C30">
            <v>0</v>
          </cell>
        </row>
        <row r="31">
          <cell r="A31">
            <v>2120</v>
          </cell>
          <cell r="B31">
            <v>6805</v>
          </cell>
          <cell r="C31">
            <v>5.2565665038608166E-3</v>
          </cell>
        </row>
        <row r="32">
          <cell r="A32">
            <v>2121</v>
          </cell>
          <cell r="B32">
            <v>0</v>
          </cell>
          <cell r="C32">
            <v>0</v>
          </cell>
        </row>
        <row r="33">
          <cell r="A33">
            <v>2125</v>
          </cell>
          <cell r="B33">
            <v>1</v>
          </cell>
          <cell r="C33">
            <v>7.7245650313898846E-7</v>
          </cell>
        </row>
        <row r="34">
          <cell r="A34">
            <v>2131</v>
          </cell>
          <cell r="B34">
            <v>0</v>
          </cell>
          <cell r="C34">
            <v>0</v>
          </cell>
        </row>
        <row r="35">
          <cell r="A35">
            <v>2132</v>
          </cell>
          <cell r="B35">
            <v>2508</v>
          </cell>
          <cell r="C35">
            <v>1.9373209098725833E-3</v>
          </cell>
        </row>
        <row r="36">
          <cell r="A36">
            <v>2140</v>
          </cell>
          <cell r="B36">
            <v>3228</v>
          </cell>
          <cell r="C36">
            <v>2.4934895921326547E-3</v>
          </cell>
        </row>
        <row r="37">
          <cell r="A37">
            <v>2143</v>
          </cell>
          <cell r="B37">
            <v>0</v>
          </cell>
          <cell r="C37">
            <v>0</v>
          </cell>
        </row>
        <row r="38">
          <cell r="A38">
            <v>2144</v>
          </cell>
          <cell r="B38">
            <v>14460</v>
          </cell>
          <cell r="C38">
            <v>1.1169721035389773E-2</v>
          </cell>
        </row>
        <row r="39">
          <cell r="A39">
            <v>2146</v>
          </cell>
          <cell r="B39">
            <v>7391</v>
          </cell>
          <cell r="C39">
            <v>5.709226014700264E-3</v>
          </cell>
        </row>
        <row r="40">
          <cell r="A40">
            <v>2148</v>
          </cell>
          <cell r="C40">
            <v>0</v>
          </cell>
        </row>
        <row r="41">
          <cell r="A41">
            <v>2149</v>
          </cell>
          <cell r="B41">
            <v>18379</v>
          </cell>
          <cell r="C41">
            <v>1.419697807119147E-2</v>
          </cell>
        </row>
        <row r="42">
          <cell r="A42">
            <v>2150</v>
          </cell>
          <cell r="B42">
            <v>0</v>
          </cell>
          <cell r="C42">
            <v>0</v>
          </cell>
        </row>
        <row r="43">
          <cell r="A43">
            <v>2160</v>
          </cell>
          <cell r="B43">
            <v>0</v>
          </cell>
          <cell r="C43">
            <v>0</v>
          </cell>
        </row>
        <row r="44">
          <cell r="A44">
            <v>2170</v>
          </cell>
          <cell r="B44">
            <v>0</v>
          </cell>
          <cell r="C44">
            <v>0</v>
          </cell>
        </row>
        <row r="45">
          <cell r="A45">
            <v>2171</v>
          </cell>
          <cell r="B45">
            <v>35</v>
          </cell>
          <cell r="C45">
            <v>2.7035977609864597E-5</v>
          </cell>
        </row>
        <row r="46">
          <cell r="A46">
            <v>2172</v>
          </cell>
          <cell r="B46">
            <v>0</v>
          </cell>
          <cell r="C46">
            <v>0</v>
          </cell>
        </row>
        <row r="47">
          <cell r="A47">
            <v>2173</v>
          </cell>
          <cell r="B47">
            <v>10</v>
          </cell>
          <cell r="C47">
            <v>7.7245650313898855E-6</v>
          </cell>
        </row>
        <row r="48">
          <cell r="A48">
            <v>2180</v>
          </cell>
          <cell r="B48">
            <v>86349</v>
          </cell>
          <cell r="C48">
            <v>6.6700846589548515E-2</v>
          </cell>
        </row>
        <row r="49">
          <cell r="A49">
            <v>2182</v>
          </cell>
          <cell r="B49">
            <v>2</v>
          </cell>
          <cell r="C49">
            <v>1.5449130062779769E-6</v>
          </cell>
        </row>
        <row r="50">
          <cell r="A50">
            <v>2183</v>
          </cell>
          <cell r="B50">
            <v>70849</v>
          </cell>
          <cell r="C50">
            <v>5.4727770790894199E-2</v>
          </cell>
        </row>
        <row r="51">
          <cell r="A51">
            <v>2184</v>
          </cell>
          <cell r="B51">
            <v>1</v>
          </cell>
          <cell r="C51">
            <v>7.7245650313898846E-7</v>
          </cell>
        </row>
        <row r="52">
          <cell r="A52">
            <v>2185</v>
          </cell>
          <cell r="B52">
            <v>3695</v>
          </cell>
          <cell r="C52">
            <v>2.8542267790985626E-3</v>
          </cell>
        </row>
        <row r="53">
          <cell r="A53">
            <v>2186</v>
          </cell>
          <cell r="B53">
            <v>22359.274804931771</v>
          </cell>
          <cell r="C53">
            <v>1.7271567228541285E-2</v>
          </cell>
        </row>
        <row r="54">
          <cell r="A54">
            <v>2187</v>
          </cell>
          <cell r="B54">
            <v>0</v>
          </cell>
          <cell r="C54">
            <v>0</v>
          </cell>
        </row>
        <row r="55">
          <cell r="A55">
            <v>2188</v>
          </cell>
          <cell r="B55">
            <v>28844</v>
          </cell>
          <cell r="C55">
            <v>2.2280735376540985E-2</v>
          </cell>
        </row>
        <row r="56">
          <cell r="A56">
            <v>2189</v>
          </cell>
          <cell r="B56">
            <v>1</v>
          </cell>
          <cell r="C56">
            <v>7.7245650313898846E-7</v>
          </cell>
        </row>
        <row r="57">
          <cell r="A57">
            <v>2190</v>
          </cell>
          <cell r="B57">
            <v>350</v>
          </cell>
          <cell r="C57">
            <v>2.7035977609864598E-4</v>
          </cell>
        </row>
        <row r="58">
          <cell r="A58">
            <v>2191</v>
          </cell>
          <cell r="B58">
            <v>6</v>
          </cell>
          <cell r="C58">
            <v>4.6347390188339308E-6</v>
          </cell>
        </row>
        <row r="59">
          <cell r="A59">
            <v>2195</v>
          </cell>
          <cell r="B59">
            <v>33148</v>
          </cell>
          <cell r="C59">
            <v>2.560538816605119E-2</v>
          </cell>
        </row>
        <row r="60">
          <cell r="A60">
            <v>2210</v>
          </cell>
          <cell r="B60">
            <v>22577</v>
          </cell>
          <cell r="C60">
            <v>1.7439750471368944E-2</v>
          </cell>
        </row>
        <row r="61">
          <cell r="A61">
            <v>2211</v>
          </cell>
          <cell r="B61">
            <v>22462</v>
          </cell>
          <cell r="C61">
            <v>1.7350917973507959E-2</v>
          </cell>
        </row>
        <row r="62">
          <cell r="A62">
            <v>2212</v>
          </cell>
          <cell r="B62">
            <v>5817</v>
          </cell>
          <cell r="C62">
            <v>4.4933794787594961E-3</v>
          </cell>
        </row>
        <row r="63">
          <cell r="A63">
            <v>2213</v>
          </cell>
          <cell r="B63">
            <v>0</v>
          </cell>
          <cell r="C63">
            <v>0</v>
          </cell>
        </row>
        <row r="64">
          <cell r="A64">
            <v>2214</v>
          </cell>
          <cell r="B64">
            <v>10491</v>
          </cell>
          <cell r="C64">
            <v>8.103841174431128E-3</v>
          </cell>
        </row>
        <row r="65">
          <cell r="A65">
            <v>2215</v>
          </cell>
          <cell r="B65">
            <v>20868</v>
          </cell>
          <cell r="C65">
            <v>1.6119622307504411E-2</v>
          </cell>
        </row>
        <row r="66">
          <cell r="A66">
            <v>2310</v>
          </cell>
          <cell r="B66">
            <v>12572</v>
          </cell>
          <cell r="C66">
            <v>9.7113231574633627E-3</v>
          </cell>
        </row>
        <row r="67">
          <cell r="A67">
            <v>2410</v>
          </cell>
          <cell r="B67">
            <v>98391</v>
          </cell>
          <cell r="C67">
            <v>7.6002767800348217E-2</v>
          </cell>
        </row>
        <row r="68">
          <cell r="A68">
            <v>2411</v>
          </cell>
          <cell r="B68">
            <v>0</v>
          </cell>
          <cell r="C68">
            <v>0</v>
          </cell>
        </row>
        <row r="69">
          <cell r="A69">
            <v>2412</v>
          </cell>
          <cell r="B69">
            <v>0</v>
          </cell>
          <cell r="C69">
            <v>0</v>
          </cell>
        </row>
        <row r="70">
          <cell r="A70">
            <v>2413</v>
          </cell>
          <cell r="B70">
            <v>0</v>
          </cell>
          <cell r="C70">
            <v>0</v>
          </cell>
        </row>
        <row r="71">
          <cell r="A71">
            <v>2414</v>
          </cell>
          <cell r="B71">
            <v>0</v>
          </cell>
          <cell r="C71">
            <v>0</v>
          </cell>
        </row>
        <row r="72">
          <cell r="A72">
            <v>2420</v>
          </cell>
          <cell r="B72">
            <v>0</v>
          </cell>
          <cell r="C72">
            <v>0</v>
          </cell>
        </row>
        <row r="73">
          <cell r="A73">
            <v>2430</v>
          </cell>
          <cell r="B73">
            <v>0</v>
          </cell>
          <cell r="C73">
            <v>0</v>
          </cell>
        </row>
        <row r="74">
          <cell r="A74">
            <v>2431</v>
          </cell>
          <cell r="B74">
            <v>0</v>
          </cell>
          <cell r="C74">
            <v>0</v>
          </cell>
        </row>
        <row r="75">
          <cell r="A75">
            <v>2432</v>
          </cell>
          <cell r="B75">
            <v>0</v>
          </cell>
          <cell r="C75">
            <v>0</v>
          </cell>
        </row>
        <row r="76">
          <cell r="A76">
            <v>2440</v>
          </cell>
          <cell r="B76">
            <v>0</v>
          </cell>
          <cell r="C76">
            <v>0</v>
          </cell>
        </row>
        <row r="77">
          <cell r="A77">
            <v>2450</v>
          </cell>
          <cell r="B77">
            <v>0</v>
          </cell>
          <cell r="C77">
            <v>0</v>
          </cell>
        </row>
        <row r="78">
          <cell r="A78">
            <v>2451</v>
          </cell>
          <cell r="B78">
            <v>0</v>
          </cell>
          <cell r="C78">
            <v>0</v>
          </cell>
        </row>
        <row r="79">
          <cell r="A79">
            <v>3022</v>
          </cell>
          <cell r="B79">
            <v>5022</v>
          </cell>
          <cell r="C79">
            <v>3.8792765587640004E-3</v>
          </cell>
        </row>
        <row r="80">
          <cell r="A80">
            <v>3023</v>
          </cell>
          <cell r="B80">
            <v>12644</v>
          </cell>
          <cell r="C80">
            <v>9.7669400256893708E-3</v>
          </cell>
        </row>
        <row r="81">
          <cell r="A81">
            <v>3024</v>
          </cell>
          <cell r="B81">
            <v>5853</v>
          </cell>
          <cell r="C81">
            <v>4.5211879128725001E-3</v>
          </cell>
        </row>
        <row r="82">
          <cell r="A82">
            <v>3025</v>
          </cell>
          <cell r="B82">
            <v>1293</v>
          </cell>
          <cell r="C82">
            <v>9.9878625855871219E-4</v>
          </cell>
        </row>
        <row r="83">
          <cell r="A83">
            <v>4008</v>
          </cell>
          <cell r="B83">
            <v>0</v>
          </cell>
          <cell r="C83">
            <v>0</v>
          </cell>
        </row>
        <row r="84">
          <cell r="A84">
            <v>4009</v>
          </cell>
          <cell r="B84">
            <v>0</v>
          </cell>
          <cell r="C84">
            <v>0</v>
          </cell>
        </row>
        <row r="85">
          <cell r="A85">
            <v>4010</v>
          </cell>
          <cell r="B85">
            <v>0</v>
          </cell>
          <cell r="C85">
            <v>0</v>
          </cell>
        </row>
        <row r="86">
          <cell r="A86">
            <v>4012</v>
          </cell>
          <cell r="B86">
            <v>0</v>
          </cell>
          <cell r="C86">
            <v>0</v>
          </cell>
        </row>
        <row r="87">
          <cell r="A87">
            <v>4013</v>
          </cell>
          <cell r="B87">
            <v>0</v>
          </cell>
          <cell r="C87">
            <v>0</v>
          </cell>
        </row>
        <row r="88">
          <cell r="A88">
            <v>4014</v>
          </cell>
          <cell r="B88">
            <v>6339</v>
          </cell>
          <cell r="C88">
            <v>4.8966017733980483E-3</v>
          </cell>
        </row>
        <row r="89">
          <cell r="A89">
            <v>4016</v>
          </cell>
          <cell r="B89">
            <v>43</v>
          </cell>
          <cell r="C89">
            <v>3.3215629634976508E-5</v>
          </cell>
        </row>
        <row r="90">
          <cell r="A90">
            <v>4018</v>
          </cell>
          <cell r="B90">
            <v>16327</v>
          </cell>
          <cell r="C90">
            <v>1.2611897326750266E-2</v>
          </cell>
        </row>
        <row r="91">
          <cell r="A91">
            <v>4019</v>
          </cell>
          <cell r="B91">
            <v>87</v>
          </cell>
          <cell r="C91">
            <v>6.7203715773092002E-5</v>
          </cell>
        </row>
        <row r="92">
          <cell r="A92">
            <v>4020</v>
          </cell>
          <cell r="B92">
            <v>59652</v>
          </cell>
          <cell r="C92">
            <v>4.6078575325246944E-2</v>
          </cell>
        </row>
        <row r="93">
          <cell r="A93">
            <v>4021</v>
          </cell>
          <cell r="B93">
            <v>150</v>
          </cell>
          <cell r="C93">
            <v>1.1586847547084828E-4</v>
          </cell>
        </row>
        <row r="94">
          <cell r="A94">
            <v>4022</v>
          </cell>
          <cell r="B94">
            <v>0</v>
          </cell>
          <cell r="C94">
            <v>0</v>
          </cell>
        </row>
        <row r="95">
          <cell r="A95">
            <v>4025</v>
          </cell>
          <cell r="B95">
            <v>0</v>
          </cell>
          <cell r="C95">
            <v>0</v>
          </cell>
        </row>
        <row r="96">
          <cell r="A96">
            <v>4030</v>
          </cell>
          <cell r="B96">
            <v>49758</v>
          </cell>
          <cell r="C96">
            <v>3.843589068318979E-2</v>
          </cell>
        </row>
        <row r="97">
          <cell r="A97">
            <v>4031</v>
          </cell>
          <cell r="B97">
            <v>144</v>
          </cell>
          <cell r="C97">
            <v>1.1123373645201435E-4</v>
          </cell>
        </row>
        <row r="98">
          <cell r="A98">
            <v>4040</v>
          </cell>
          <cell r="B98">
            <v>264</v>
          </cell>
          <cell r="C98">
            <v>2.0392851682869296E-4</v>
          </cell>
        </row>
        <row r="99">
          <cell r="A99">
            <v>4050</v>
          </cell>
          <cell r="B99">
            <v>82</v>
          </cell>
          <cell r="C99">
            <v>6.3341433257397056E-5</v>
          </cell>
        </row>
        <row r="100">
          <cell r="A100">
            <v>4100</v>
          </cell>
          <cell r="B100">
            <v>205</v>
          </cell>
          <cell r="C100">
            <v>1.5835358314349263E-4</v>
          </cell>
        </row>
        <row r="101">
          <cell r="A101">
            <v>4105</v>
          </cell>
          <cell r="B101">
            <v>13</v>
          </cell>
          <cell r="C101">
            <v>1.0041934540806851E-5</v>
          </cell>
        </row>
        <row r="102">
          <cell r="A102">
            <v>4110</v>
          </cell>
          <cell r="B102">
            <v>14567</v>
          </cell>
          <cell r="C102">
            <v>1.1252373881225646E-2</v>
          </cell>
        </row>
        <row r="103">
          <cell r="A103">
            <v>4120</v>
          </cell>
          <cell r="B103">
            <v>29071</v>
          </cell>
          <cell r="C103">
            <v>2.2456083002753535E-2</v>
          </cell>
        </row>
        <row r="104">
          <cell r="A104">
            <v>4130</v>
          </cell>
          <cell r="B104">
            <v>11816</v>
          </cell>
          <cell r="C104">
            <v>9.1273460410902889E-3</v>
          </cell>
        </row>
        <row r="105">
          <cell r="A105">
            <v>4140</v>
          </cell>
          <cell r="B105">
            <v>5259</v>
          </cell>
          <cell r="C105">
            <v>4.0623487500079406E-3</v>
          </cell>
        </row>
        <row r="106">
          <cell r="A106">
            <v>4150</v>
          </cell>
          <cell r="B106">
            <v>142</v>
          </cell>
          <cell r="C106">
            <v>1.0968882344573637E-4</v>
          </cell>
        </row>
        <row r="107">
          <cell r="A107">
            <v>4160</v>
          </cell>
          <cell r="B107">
            <v>0</v>
          </cell>
          <cell r="C107">
            <v>0</v>
          </cell>
        </row>
        <row r="108">
          <cell r="A108">
            <v>4037</v>
          </cell>
          <cell r="B108">
            <v>5485</v>
          </cell>
          <cell r="C108">
            <v>4.2369239197173518E-3</v>
          </cell>
        </row>
        <row r="109">
          <cell r="A109">
            <v>2311</v>
          </cell>
          <cell r="B109">
            <v>15135</v>
          </cell>
          <cell r="C109">
            <v>1.1691129175008591E-2</v>
          </cell>
        </row>
        <row r="110">
          <cell r="A110">
            <v>2312</v>
          </cell>
          <cell r="B110">
            <v>87</v>
          </cell>
          <cell r="C110">
            <v>6.7203715773092002E-5</v>
          </cell>
        </row>
        <row r="111">
          <cell r="A111">
            <v>2313</v>
          </cell>
          <cell r="B111">
            <v>16</v>
          </cell>
          <cell r="C111">
            <v>1.2359304050223815E-5</v>
          </cell>
        </row>
        <row r="112">
          <cell r="A112">
            <v>4032</v>
          </cell>
          <cell r="B112">
            <v>5445</v>
          </cell>
          <cell r="C112">
            <v>4.2060256595917922E-3</v>
          </cell>
        </row>
        <row r="113">
          <cell r="A113">
            <v>4033</v>
          </cell>
          <cell r="B113">
            <v>9047</v>
          </cell>
          <cell r="C113">
            <v>6.9884139838984286E-3</v>
          </cell>
        </row>
        <row r="114">
          <cell r="A114">
            <v>4034</v>
          </cell>
          <cell r="B114">
            <v>5230</v>
          </cell>
          <cell r="C114">
            <v>4.03994751141691E-3</v>
          </cell>
        </row>
        <row r="115">
          <cell r="A115">
            <v>4035</v>
          </cell>
          <cell r="B115">
            <v>225</v>
          </cell>
          <cell r="C115">
            <v>1.7380271320627242E-4</v>
          </cell>
        </row>
        <row r="116">
          <cell r="A116">
            <v>4036</v>
          </cell>
          <cell r="B116">
            <v>70</v>
          </cell>
          <cell r="C116">
            <v>5.4071955219729193E-5</v>
          </cell>
        </row>
        <row r="117">
          <cell r="A117">
            <v>5411</v>
          </cell>
          <cell r="B117">
            <v>15941</v>
          </cell>
          <cell r="C117">
            <v>1.2313729116538616E-2</v>
          </cell>
        </row>
        <row r="118">
          <cell r="A118">
            <v>5412</v>
          </cell>
          <cell r="B118">
            <v>12151</v>
          </cell>
          <cell r="C118">
            <v>9.38611896964185E-3</v>
          </cell>
        </row>
        <row r="119">
          <cell r="A119">
            <v>5414</v>
          </cell>
          <cell r="B119">
            <v>0</v>
          </cell>
          <cell r="C119">
            <v>0</v>
          </cell>
        </row>
      </sheetData>
      <sheetData sheetId="3">
        <row r="5">
          <cell r="A5">
            <v>2010</v>
          </cell>
          <cell r="B5">
            <v>143536</v>
          </cell>
          <cell r="C5">
            <v>0.11036635497902901</v>
          </cell>
        </row>
        <row r="6">
          <cell r="A6">
            <v>2011</v>
          </cell>
          <cell r="B6">
            <v>31959</v>
          </cell>
          <cell r="C6">
            <v>2.4573614555057882E-2</v>
          </cell>
        </row>
        <row r="7">
          <cell r="A7">
            <v>2012</v>
          </cell>
          <cell r="B7">
            <v>26504</v>
          </cell>
          <cell r="C7">
            <v>2.0379207114341942E-2</v>
          </cell>
        </row>
        <row r="8">
          <cell r="A8">
            <v>2013</v>
          </cell>
          <cell r="B8">
            <v>61262</v>
          </cell>
          <cell r="C8">
            <v>4.7105002499200722E-2</v>
          </cell>
        </row>
        <row r="9">
          <cell r="A9">
            <v>2014</v>
          </cell>
          <cell r="B9">
            <v>67</v>
          </cell>
          <cell r="C9">
            <v>5.151701164582365E-5</v>
          </cell>
        </row>
        <row r="10">
          <cell r="A10">
            <v>2015</v>
          </cell>
          <cell r="B10">
            <v>0</v>
          </cell>
          <cell r="C10">
            <v>0</v>
          </cell>
        </row>
        <row r="11">
          <cell r="A11">
            <v>2021</v>
          </cell>
          <cell r="B11">
            <v>36744</v>
          </cell>
          <cell r="C11">
            <v>2.8252851879315585E-2</v>
          </cell>
        </row>
        <row r="12">
          <cell r="A12">
            <v>2025</v>
          </cell>
          <cell r="B12">
            <v>2422</v>
          </cell>
          <cell r="C12">
            <v>1.8623015254654461E-3</v>
          </cell>
        </row>
        <row r="13">
          <cell r="A13">
            <v>2031</v>
          </cell>
          <cell r="B13">
            <v>289</v>
          </cell>
          <cell r="C13">
            <v>2.2221516963646321E-4</v>
          </cell>
        </row>
        <row r="14">
          <cell r="A14">
            <v>2032</v>
          </cell>
          <cell r="B14">
            <v>31260</v>
          </cell>
          <cell r="C14">
            <v>2.403614603057384E-2</v>
          </cell>
        </row>
        <row r="15">
          <cell r="A15">
            <v>2040</v>
          </cell>
          <cell r="B15">
            <v>8352</v>
          </cell>
          <cell r="C15">
            <v>6.4219415114316293E-3</v>
          </cell>
        </row>
        <row r="16">
          <cell r="A16">
            <v>2041</v>
          </cell>
          <cell r="B16">
            <v>2272</v>
          </cell>
          <cell r="C16">
            <v>1.7469649322285274E-3</v>
          </cell>
        </row>
        <row r="17">
          <cell r="A17">
            <v>2042</v>
          </cell>
          <cell r="B17">
            <v>104</v>
          </cell>
          <cell r="C17">
            <v>7.9966704644263579E-5</v>
          </cell>
        </row>
        <row r="18">
          <cell r="A18">
            <v>2043</v>
          </cell>
          <cell r="B18">
            <v>5756</v>
          </cell>
          <cell r="C18">
            <v>4.425849537811357E-3</v>
          </cell>
        </row>
        <row r="19">
          <cell r="A19">
            <v>2044</v>
          </cell>
          <cell r="B19">
            <v>8260</v>
          </cell>
          <cell r="C19">
            <v>6.351201734246319E-3</v>
          </cell>
        </row>
        <row r="20">
          <cell r="A20">
            <v>2045</v>
          </cell>
          <cell r="B20">
            <v>6779</v>
          </cell>
          <cell r="C20">
            <v>5.2124451036871427E-3</v>
          </cell>
        </row>
        <row r="21">
          <cell r="A21">
            <v>2046</v>
          </cell>
          <cell r="B21">
            <v>9585</v>
          </cell>
          <cell r="C21">
            <v>7.3700083078391005E-3</v>
          </cell>
        </row>
        <row r="22">
          <cell r="A22">
            <v>2047</v>
          </cell>
          <cell r="B22">
            <v>14653</v>
          </cell>
          <cell r="C22">
            <v>1.126684733800379E-2</v>
          </cell>
        </row>
        <row r="23">
          <cell r="A23">
            <v>2048</v>
          </cell>
          <cell r="B23">
            <v>115</v>
          </cell>
          <cell r="C23">
            <v>8.8424721481637609E-5</v>
          </cell>
        </row>
        <row r="24">
          <cell r="A24">
            <v>2049</v>
          </cell>
          <cell r="B24">
            <v>19</v>
          </cell>
          <cell r="C24">
            <v>1.4609301810009693E-5</v>
          </cell>
        </row>
        <row r="25">
          <cell r="A25">
            <v>2050</v>
          </cell>
          <cell r="B25">
            <v>50</v>
          </cell>
          <cell r="C25">
            <v>3.8445531078972874E-5</v>
          </cell>
        </row>
        <row r="26">
          <cell r="A26">
            <v>2051</v>
          </cell>
          <cell r="B26">
            <v>310</v>
          </cell>
          <cell r="C26">
            <v>2.3836229268963183E-4</v>
          </cell>
        </row>
        <row r="27">
          <cell r="A27">
            <v>2053</v>
          </cell>
          <cell r="B27">
            <v>64</v>
          </cell>
          <cell r="C27">
            <v>4.9210279781085281E-5</v>
          </cell>
        </row>
        <row r="28">
          <cell r="A28">
            <v>2178</v>
          </cell>
          <cell r="B28">
            <v>5970</v>
          </cell>
          <cell r="C28">
            <v>4.590396410829361E-3</v>
          </cell>
        </row>
        <row r="29">
          <cell r="A29">
            <v>2111</v>
          </cell>
          <cell r="B29">
            <v>96026</v>
          </cell>
          <cell r="C29">
            <v>7.3835411347788982E-2</v>
          </cell>
        </row>
        <row r="30">
          <cell r="A30">
            <v>2112</v>
          </cell>
          <cell r="B30">
            <v>29021</v>
          </cell>
          <cell r="C30">
            <v>2.2314555148857437E-2</v>
          </cell>
        </row>
        <row r="31">
          <cell r="A31">
            <v>2113</v>
          </cell>
          <cell r="B31">
            <v>0</v>
          </cell>
          <cell r="C31">
            <v>0</v>
          </cell>
        </row>
        <row r="32">
          <cell r="A32">
            <v>2120</v>
          </cell>
          <cell r="B32">
            <v>6805</v>
          </cell>
          <cell r="C32">
            <v>5.2324367798482086E-3</v>
          </cell>
        </row>
        <row r="33">
          <cell r="A33">
            <v>2121</v>
          </cell>
          <cell r="B33">
            <v>0</v>
          </cell>
          <cell r="C33">
            <v>0</v>
          </cell>
        </row>
        <row r="34">
          <cell r="A34">
            <v>2125</v>
          </cell>
          <cell r="B34">
            <v>1</v>
          </cell>
          <cell r="C34">
            <v>7.6891062157945751E-7</v>
          </cell>
        </row>
        <row r="35">
          <cell r="A35">
            <v>2131</v>
          </cell>
          <cell r="B35">
            <v>0</v>
          </cell>
          <cell r="C35">
            <v>0</v>
          </cell>
        </row>
        <row r="36">
          <cell r="A36">
            <v>2132</v>
          </cell>
          <cell r="B36">
            <v>2508</v>
          </cell>
          <cell r="C36">
            <v>1.9284278389212794E-3</v>
          </cell>
        </row>
        <row r="37">
          <cell r="A37">
            <v>2140</v>
          </cell>
          <cell r="B37">
            <v>3228</v>
          </cell>
          <cell r="C37">
            <v>2.4820434864584887E-3</v>
          </cell>
        </row>
        <row r="38">
          <cell r="A38">
            <v>2143</v>
          </cell>
          <cell r="B38">
            <v>0</v>
          </cell>
          <cell r="C38">
            <v>0</v>
          </cell>
        </row>
        <row r="39">
          <cell r="A39">
            <v>2144</v>
          </cell>
          <cell r="B39">
            <v>14460</v>
          </cell>
          <cell r="C39">
            <v>1.1118447588038956E-2</v>
          </cell>
        </row>
        <row r="40">
          <cell r="A40">
            <v>2146</v>
          </cell>
          <cell r="B40">
            <v>7391</v>
          </cell>
          <cell r="C40">
            <v>5.6830184040937703E-3</v>
          </cell>
        </row>
        <row r="41">
          <cell r="A41">
            <v>2148</v>
          </cell>
          <cell r="C41">
            <v>0</v>
          </cell>
        </row>
        <row r="42">
          <cell r="A42">
            <v>2149</v>
          </cell>
          <cell r="B42">
            <v>18379</v>
          </cell>
          <cell r="C42">
            <v>1.4131808314008849E-2</v>
          </cell>
        </row>
        <row r="43">
          <cell r="A43">
            <v>2150</v>
          </cell>
          <cell r="B43">
            <v>0</v>
          </cell>
          <cell r="C43">
            <v>0</v>
          </cell>
        </row>
        <row r="44">
          <cell r="A44">
            <v>2160</v>
          </cell>
          <cell r="B44">
            <v>0</v>
          </cell>
          <cell r="C44">
            <v>0</v>
          </cell>
        </row>
        <row r="45">
          <cell r="A45">
            <v>2170</v>
          </cell>
          <cell r="B45">
            <v>0</v>
          </cell>
          <cell r="C45">
            <v>0</v>
          </cell>
        </row>
        <row r="46">
          <cell r="A46">
            <v>2171</v>
          </cell>
          <cell r="B46">
            <v>35</v>
          </cell>
          <cell r="C46">
            <v>2.6911871755281013E-5</v>
          </cell>
        </row>
        <row r="47">
          <cell r="A47">
            <v>2172</v>
          </cell>
          <cell r="B47">
            <v>0</v>
          </cell>
          <cell r="C47">
            <v>0</v>
          </cell>
        </row>
        <row r="48">
          <cell r="A48">
            <v>2173</v>
          </cell>
          <cell r="B48">
            <v>10</v>
          </cell>
          <cell r="C48">
            <v>7.6891062157945745E-6</v>
          </cell>
        </row>
        <row r="49">
          <cell r="A49">
            <v>2180</v>
          </cell>
          <cell r="B49">
            <v>86349</v>
          </cell>
          <cell r="C49">
            <v>6.6394663262764581E-2</v>
          </cell>
        </row>
        <row r="50">
          <cell r="A50">
            <v>2182</v>
          </cell>
          <cell r="B50">
            <v>2</v>
          </cell>
          <cell r="C50">
            <v>1.537821243158915E-6</v>
          </cell>
        </row>
        <row r="51">
          <cell r="A51">
            <v>2183</v>
          </cell>
          <cell r="B51">
            <v>70849</v>
          </cell>
          <cell r="C51">
            <v>5.4476548628282981E-2</v>
          </cell>
        </row>
        <row r="52">
          <cell r="A52">
            <v>2184</v>
          </cell>
          <cell r="B52">
            <v>1</v>
          </cell>
          <cell r="C52">
            <v>7.6891062157945751E-7</v>
          </cell>
        </row>
        <row r="53">
          <cell r="A53">
            <v>2185</v>
          </cell>
          <cell r="B53">
            <v>3695</v>
          </cell>
          <cell r="C53">
            <v>2.8411247467360953E-3</v>
          </cell>
        </row>
        <row r="54">
          <cell r="A54">
            <v>2186</v>
          </cell>
          <cell r="B54">
            <v>22359.274804931771</v>
          </cell>
          <cell r="C54">
            <v>1.7192283888325992E-2</v>
          </cell>
        </row>
        <row r="55">
          <cell r="A55">
            <v>2187</v>
          </cell>
          <cell r="B55">
            <v>0</v>
          </cell>
          <cell r="C55">
            <v>0</v>
          </cell>
        </row>
        <row r="56">
          <cell r="A56">
            <v>2188</v>
          </cell>
          <cell r="B56">
            <v>28844</v>
          </cell>
          <cell r="C56">
            <v>2.2178457968837873E-2</v>
          </cell>
        </row>
        <row r="57">
          <cell r="A57">
            <v>2189</v>
          </cell>
          <cell r="B57">
            <v>1</v>
          </cell>
          <cell r="C57">
            <v>7.6891062157945751E-7</v>
          </cell>
        </row>
        <row r="58">
          <cell r="A58">
            <v>2190</v>
          </cell>
          <cell r="B58">
            <v>350</v>
          </cell>
          <cell r="C58">
            <v>2.6911871755281013E-4</v>
          </cell>
        </row>
        <row r="59">
          <cell r="A59">
            <v>2191</v>
          </cell>
          <cell r="B59">
            <v>6</v>
          </cell>
          <cell r="C59">
            <v>4.6134637294767449E-6</v>
          </cell>
        </row>
        <row r="60">
          <cell r="A60">
            <v>2195</v>
          </cell>
          <cell r="B60">
            <v>33148</v>
          </cell>
          <cell r="C60">
            <v>2.5487849284115856E-2</v>
          </cell>
        </row>
        <row r="61">
          <cell r="A61">
            <v>2210</v>
          </cell>
          <cell r="B61">
            <v>22577</v>
          </cell>
          <cell r="C61">
            <v>1.7359695103399412E-2</v>
          </cell>
        </row>
        <row r="62">
          <cell r="A62">
            <v>2211</v>
          </cell>
          <cell r="B62">
            <v>22462</v>
          </cell>
          <cell r="C62">
            <v>1.7271270381917773E-2</v>
          </cell>
        </row>
        <row r="63">
          <cell r="A63">
            <v>2212</v>
          </cell>
          <cell r="B63">
            <v>5817</v>
          </cell>
          <cell r="C63">
            <v>4.4727530857277039E-3</v>
          </cell>
        </row>
        <row r="64">
          <cell r="A64">
            <v>2213</v>
          </cell>
          <cell r="B64">
            <v>0</v>
          </cell>
          <cell r="C64">
            <v>0</v>
          </cell>
        </row>
        <row r="65">
          <cell r="A65">
            <v>2214</v>
          </cell>
          <cell r="B65">
            <v>10491</v>
          </cell>
          <cell r="C65">
            <v>8.0666413309900889E-3</v>
          </cell>
        </row>
        <row r="66">
          <cell r="A66">
            <v>2215</v>
          </cell>
          <cell r="B66">
            <v>20868</v>
          </cell>
          <cell r="C66">
            <v>1.6045626851120119E-2</v>
          </cell>
        </row>
        <row r="67">
          <cell r="A67">
            <v>2310</v>
          </cell>
          <cell r="B67">
            <v>12572</v>
          </cell>
          <cell r="C67">
            <v>9.6667443344969402E-3</v>
          </cell>
        </row>
        <row r="68">
          <cell r="A68">
            <v>2410</v>
          </cell>
          <cell r="B68">
            <v>98391</v>
          </cell>
          <cell r="C68">
            <v>7.5653884967824409E-2</v>
          </cell>
        </row>
        <row r="69">
          <cell r="A69">
            <v>2411</v>
          </cell>
          <cell r="B69">
            <v>0</v>
          </cell>
          <cell r="C69">
            <v>0</v>
          </cell>
        </row>
        <row r="70">
          <cell r="A70">
            <v>2412</v>
          </cell>
          <cell r="B70">
            <v>0</v>
          </cell>
          <cell r="C70">
            <v>0</v>
          </cell>
        </row>
        <row r="71">
          <cell r="A71">
            <v>2413</v>
          </cell>
          <cell r="B71">
            <v>0</v>
          </cell>
          <cell r="C71">
            <v>0</v>
          </cell>
        </row>
        <row r="72">
          <cell r="A72">
            <v>2414</v>
          </cell>
          <cell r="B72">
            <v>0</v>
          </cell>
          <cell r="C72">
            <v>0</v>
          </cell>
        </row>
        <row r="73">
          <cell r="A73">
            <v>2420</v>
          </cell>
          <cell r="B73">
            <v>0</v>
          </cell>
          <cell r="C73">
            <v>0</v>
          </cell>
        </row>
        <row r="74">
          <cell r="A74">
            <v>2430</v>
          </cell>
          <cell r="B74">
            <v>0</v>
          </cell>
          <cell r="C74">
            <v>0</v>
          </cell>
        </row>
        <row r="75">
          <cell r="A75">
            <v>2431</v>
          </cell>
          <cell r="B75">
            <v>0</v>
          </cell>
          <cell r="C75">
            <v>0</v>
          </cell>
        </row>
        <row r="76">
          <cell r="A76">
            <v>2432</v>
          </cell>
          <cell r="B76">
            <v>0</v>
          </cell>
          <cell r="C76">
            <v>0</v>
          </cell>
        </row>
        <row r="77">
          <cell r="A77">
            <v>2440</v>
          </cell>
          <cell r="B77">
            <v>0</v>
          </cell>
          <cell r="C77">
            <v>0</v>
          </cell>
        </row>
        <row r="78">
          <cell r="A78">
            <v>2450</v>
          </cell>
          <cell r="B78">
            <v>0</v>
          </cell>
          <cell r="C78">
            <v>0</v>
          </cell>
        </row>
        <row r="79">
          <cell r="A79">
            <v>2451</v>
          </cell>
          <cell r="B79">
            <v>0</v>
          </cell>
          <cell r="C79">
            <v>0</v>
          </cell>
        </row>
        <row r="80">
          <cell r="A80">
            <v>3022</v>
          </cell>
          <cell r="B80">
            <v>5022</v>
          </cell>
          <cell r="C80">
            <v>3.8614691415720355E-3</v>
          </cell>
        </row>
        <row r="81">
          <cell r="A81">
            <v>3023</v>
          </cell>
          <cell r="B81">
            <v>12644</v>
          </cell>
          <cell r="C81">
            <v>9.72210589925066E-3</v>
          </cell>
        </row>
        <row r="82">
          <cell r="A82">
            <v>3024</v>
          </cell>
          <cell r="B82">
            <v>5853</v>
          </cell>
          <cell r="C82">
            <v>4.5004338681045647E-3</v>
          </cell>
        </row>
        <row r="83">
          <cell r="A83">
            <v>3025</v>
          </cell>
          <cell r="B83">
            <v>1293</v>
          </cell>
          <cell r="C83">
            <v>9.9420143370223851E-4</v>
          </cell>
        </row>
        <row r="84">
          <cell r="A84">
            <v>4008</v>
          </cell>
          <cell r="B84">
            <v>0</v>
          </cell>
          <cell r="C84">
            <v>0</v>
          </cell>
        </row>
        <row r="85">
          <cell r="A85">
            <v>4009</v>
          </cell>
          <cell r="B85">
            <v>0</v>
          </cell>
          <cell r="C85">
            <v>0</v>
          </cell>
        </row>
        <row r="86">
          <cell r="A86">
            <v>4010</v>
          </cell>
          <cell r="B86">
            <v>0</v>
          </cell>
          <cell r="C86">
            <v>0</v>
          </cell>
        </row>
        <row r="87">
          <cell r="A87">
            <v>4012</v>
          </cell>
          <cell r="B87">
            <v>0</v>
          </cell>
          <cell r="C87">
            <v>0</v>
          </cell>
        </row>
        <row r="88">
          <cell r="A88">
            <v>4013</v>
          </cell>
          <cell r="B88">
            <v>0</v>
          </cell>
          <cell r="C88">
            <v>0</v>
          </cell>
        </row>
        <row r="89">
          <cell r="A89">
            <v>4014</v>
          </cell>
          <cell r="B89">
            <v>6339</v>
          </cell>
          <cell r="C89">
            <v>4.874124430192181E-3</v>
          </cell>
        </row>
        <row r="90">
          <cell r="A90">
            <v>4016</v>
          </cell>
          <cell r="B90">
            <v>43</v>
          </cell>
          <cell r="C90">
            <v>3.3063156727916674E-5</v>
          </cell>
        </row>
        <row r="91">
          <cell r="A91">
            <v>4018</v>
          </cell>
          <cell r="B91">
            <v>16327</v>
          </cell>
          <cell r="C91">
            <v>1.2554003718527803E-2</v>
          </cell>
        </row>
        <row r="92">
          <cell r="A92">
            <v>4019</v>
          </cell>
          <cell r="B92">
            <v>87</v>
          </cell>
          <cell r="C92">
            <v>6.6895224077412796E-5</v>
          </cell>
        </row>
        <row r="93">
          <cell r="A93">
            <v>4020</v>
          </cell>
          <cell r="B93">
            <v>59652</v>
          </cell>
          <cell r="C93">
            <v>4.5867056398457798E-2</v>
          </cell>
        </row>
        <row r="94">
          <cell r="A94">
            <v>4021</v>
          </cell>
          <cell r="B94">
            <v>150</v>
          </cell>
          <cell r="C94">
            <v>1.1533659323691862E-4</v>
          </cell>
        </row>
        <row r="95">
          <cell r="A95">
            <v>4022</v>
          </cell>
          <cell r="B95">
            <v>0</v>
          </cell>
          <cell r="C95">
            <v>0</v>
          </cell>
        </row>
        <row r="96">
          <cell r="A96">
            <v>4025</v>
          </cell>
          <cell r="B96">
            <v>0</v>
          </cell>
          <cell r="C96">
            <v>0</v>
          </cell>
        </row>
        <row r="97">
          <cell r="A97">
            <v>4030</v>
          </cell>
          <cell r="B97">
            <v>49758</v>
          </cell>
          <cell r="C97">
            <v>3.8259454708550647E-2</v>
          </cell>
        </row>
        <row r="98">
          <cell r="A98">
            <v>4031</v>
          </cell>
          <cell r="B98">
            <v>144</v>
          </cell>
          <cell r="C98">
            <v>1.1072312950744188E-4</v>
          </cell>
        </row>
        <row r="99">
          <cell r="A99">
            <v>4040</v>
          </cell>
          <cell r="B99">
            <v>264</v>
          </cell>
          <cell r="C99">
            <v>2.0299240409697678E-4</v>
          </cell>
        </row>
        <row r="100">
          <cell r="A100">
            <v>4050</v>
          </cell>
          <cell r="B100">
            <v>82</v>
          </cell>
          <cell r="C100">
            <v>6.3050670969515518E-5</v>
          </cell>
        </row>
        <row r="101">
          <cell r="A101">
            <v>4100</v>
          </cell>
          <cell r="B101">
            <v>205</v>
          </cell>
          <cell r="C101">
            <v>1.5762667742378879E-4</v>
          </cell>
        </row>
        <row r="102">
          <cell r="A102">
            <v>4105</v>
          </cell>
          <cell r="B102">
            <v>13</v>
          </cell>
          <cell r="C102">
            <v>9.9958380805329473E-6</v>
          </cell>
        </row>
        <row r="103">
          <cell r="A103">
            <v>4110</v>
          </cell>
          <cell r="B103">
            <v>14567</v>
          </cell>
          <cell r="C103">
            <v>1.1200721024547958E-2</v>
          </cell>
        </row>
        <row r="104">
          <cell r="A104">
            <v>4120</v>
          </cell>
          <cell r="B104">
            <v>29071</v>
          </cell>
          <cell r="C104">
            <v>2.2353000679936407E-2</v>
          </cell>
        </row>
        <row r="105">
          <cell r="A105">
            <v>4130</v>
          </cell>
          <cell r="B105">
            <v>11816</v>
          </cell>
          <cell r="C105">
            <v>9.0854479045828704E-3</v>
          </cell>
        </row>
        <row r="106">
          <cell r="A106">
            <v>4140</v>
          </cell>
          <cell r="B106">
            <v>5259</v>
          </cell>
          <cell r="C106">
            <v>4.0437009588863669E-3</v>
          </cell>
        </row>
        <row r="107">
          <cell r="A107">
            <v>4150</v>
          </cell>
          <cell r="B107">
            <v>142</v>
          </cell>
          <cell r="C107">
            <v>1.0918530826428296E-4</v>
          </cell>
        </row>
        <row r="108">
          <cell r="A108">
            <v>4160</v>
          </cell>
          <cell r="B108">
            <v>0</v>
          </cell>
          <cell r="C108">
            <v>0</v>
          </cell>
        </row>
        <row r="109">
          <cell r="A109">
            <v>4037</v>
          </cell>
          <cell r="B109">
            <v>5485</v>
          </cell>
          <cell r="C109">
            <v>4.2174747593633245E-3</v>
          </cell>
        </row>
        <row r="110">
          <cell r="A110">
            <v>2311</v>
          </cell>
          <cell r="B110">
            <v>15135</v>
          </cell>
          <cell r="C110">
            <v>1.1637462257605089E-2</v>
          </cell>
        </row>
        <row r="111">
          <cell r="A111">
            <v>2312</v>
          </cell>
          <cell r="B111">
            <v>87</v>
          </cell>
          <cell r="C111">
            <v>6.6895224077412796E-5</v>
          </cell>
        </row>
        <row r="112">
          <cell r="A112">
            <v>2313</v>
          </cell>
          <cell r="B112">
            <v>16</v>
          </cell>
          <cell r="C112">
            <v>1.230256994527132E-5</v>
          </cell>
        </row>
        <row r="113">
          <cell r="A113">
            <v>4032</v>
          </cell>
          <cell r="B113">
            <v>5445</v>
          </cell>
          <cell r="C113">
            <v>4.1867183345001462E-3</v>
          </cell>
        </row>
        <row r="114">
          <cell r="A114">
            <v>4033</v>
          </cell>
          <cell r="B114">
            <v>9047</v>
          </cell>
          <cell r="C114">
            <v>6.9563343934293522E-3</v>
          </cell>
        </row>
        <row r="115">
          <cell r="A115">
            <v>4034</v>
          </cell>
          <cell r="B115">
            <v>5230</v>
          </cell>
          <cell r="C115">
            <v>4.0214025508605623E-3</v>
          </cell>
        </row>
        <row r="116">
          <cell r="A116">
            <v>4035</v>
          </cell>
          <cell r="B116">
            <v>225</v>
          </cell>
          <cell r="C116">
            <v>1.7300488985537793E-4</v>
          </cell>
        </row>
        <row r="117">
          <cell r="A117">
            <v>4036</v>
          </cell>
          <cell r="B117">
            <v>70</v>
          </cell>
          <cell r="C117">
            <v>5.3823743510562027E-5</v>
          </cell>
        </row>
        <row r="118">
          <cell r="A118">
            <v>5411</v>
          </cell>
          <cell r="B118">
            <v>15941</v>
          </cell>
          <cell r="C118">
            <v>1.2257204218598132E-2</v>
          </cell>
        </row>
        <row r="119">
          <cell r="A119">
            <v>5412</v>
          </cell>
          <cell r="B119">
            <v>12151</v>
          </cell>
          <cell r="C119">
            <v>9.3430329628119875E-3</v>
          </cell>
        </row>
        <row r="120">
          <cell r="A120">
            <v>5414</v>
          </cell>
          <cell r="B120">
            <v>0</v>
          </cell>
          <cell r="C120">
            <v>0</v>
          </cell>
        </row>
      </sheetData>
      <sheetData sheetId="4">
        <row r="5">
          <cell r="A5">
            <v>2010</v>
          </cell>
          <cell r="B5">
            <v>143536</v>
          </cell>
          <cell r="C5">
            <v>0.10910172118483583</v>
          </cell>
        </row>
        <row r="6">
          <cell r="A6">
            <v>2011</v>
          </cell>
          <cell r="B6">
            <v>31959</v>
          </cell>
          <cell r="C6">
            <v>2.4292037588801194E-2</v>
          </cell>
        </row>
        <row r="7">
          <cell r="A7">
            <v>2012</v>
          </cell>
          <cell r="B7">
            <v>26504</v>
          </cell>
          <cell r="C7">
            <v>2.0145691800544038E-2</v>
          </cell>
        </row>
        <row r="8">
          <cell r="A8">
            <v>2013</v>
          </cell>
          <cell r="B8">
            <v>61262</v>
          </cell>
          <cell r="C8">
            <v>4.6565249437252064E-2</v>
          </cell>
        </row>
        <row r="9">
          <cell r="A9">
            <v>2014</v>
          </cell>
          <cell r="B9">
            <v>67</v>
          </cell>
          <cell r="C9">
            <v>5.092670354046372E-5</v>
          </cell>
        </row>
        <row r="10">
          <cell r="A10">
            <v>2015</v>
          </cell>
          <cell r="B10">
            <v>0</v>
          </cell>
          <cell r="C10">
            <v>0</v>
          </cell>
        </row>
        <row r="11">
          <cell r="A11">
            <v>2021</v>
          </cell>
          <cell r="B11">
            <v>36744</v>
          </cell>
          <cell r="C11">
            <v>2.7929116341653716E-2</v>
          </cell>
        </row>
        <row r="12">
          <cell r="A12">
            <v>2025</v>
          </cell>
          <cell r="B12">
            <v>2422</v>
          </cell>
          <cell r="C12">
            <v>1.8409623279851213E-3</v>
          </cell>
        </row>
        <row r="13">
          <cell r="A13">
            <v>2031</v>
          </cell>
          <cell r="B13">
            <v>289</v>
          </cell>
          <cell r="C13">
            <v>2.1966891527155246E-4</v>
          </cell>
        </row>
        <row r="14">
          <cell r="A14">
            <v>2032</v>
          </cell>
          <cell r="B14">
            <v>31260</v>
          </cell>
          <cell r="C14">
            <v>2.3760727651864117E-2</v>
          </cell>
        </row>
        <row r="15">
          <cell r="A15">
            <v>2040</v>
          </cell>
          <cell r="B15">
            <v>8352</v>
          </cell>
          <cell r="C15">
            <v>6.3483556413425823E-3</v>
          </cell>
        </row>
        <row r="16">
          <cell r="A16">
            <v>2041</v>
          </cell>
          <cell r="B16">
            <v>2272</v>
          </cell>
          <cell r="C16">
            <v>1.7269473200587099E-3</v>
          </cell>
        </row>
        <row r="17">
          <cell r="A17">
            <v>2042</v>
          </cell>
          <cell r="B17">
            <v>104</v>
          </cell>
          <cell r="C17">
            <v>7.9050405495645183E-5</v>
          </cell>
        </row>
        <row r="18">
          <cell r="A18">
            <v>2043</v>
          </cell>
          <cell r="B18">
            <v>5756</v>
          </cell>
          <cell r="C18">
            <v>4.3751359041628232E-3</v>
          </cell>
        </row>
        <row r="19">
          <cell r="A19">
            <v>2044</v>
          </cell>
          <cell r="B19">
            <v>8260</v>
          </cell>
          <cell r="C19">
            <v>6.2784264364810494E-3</v>
          </cell>
        </row>
        <row r="20">
          <cell r="A20">
            <v>2045</v>
          </cell>
          <cell r="B20">
            <v>6779</v>
          </cell>
          <cell r="C20">
            <v>5.1527182582209487E-3</v>
          </cell>
        </row>
        <row r="21">
          <cell r="A21">
            <v>2046</v>
          </cell>
          <cell r="B21">
            <v>9585</v>
          </cell>
          <cell r="C21">
            <v>7.2855590064976831E-3</v>
          </cell>
        </row>
        <row r="22">
          <cell r="A22">
            <v>2047</v>
          </cell>
          <cell r="B22">
            <v>14653</v>
          </cell>
          <cell r="C22">
            <v>1.11377460743047E-2</v>
          </cell>
        </row>
        <row r="23">
          <cell r="A23">
            <v>2048</v>
          </cell>
          <cell r="B23">
            <v>115</v>
          </cell>
          <cell r="C23">
            <v>8.741150607691534E-5</v>
          </cell>
        </row>
        <row r="24">
          <cell r="A24">
            <v>2049</v>
          </cell>
          <cell r="B24">
            <v>19</v>
          </cell>
          <cell r="C24">
            <v>1.4441901004012099E-5</v>
          </cell>
        </row>
        <row r="25">
          <cell r="A25">
            <v>2050</v>
          </cell>
          <cell r="B25">
            <v>50</v>
          </cell>
          <cell r="C25">
            <v>3.8005002642137105E-5</v>
          </cell>
        </row>
        <row r="26">
          <cell r="A26">
            <v>2051</v>
          </cell>
          <cell r="B26">
            <v>310</v>
          </cell>
          <cell r="C26">
            <v>2.3563101638125004E-4</v>
          </cell>
        </row>
        <row r="27">
          <cell r="A27">
            <v>2053</v>
          </cell>
          <cell r="B27">
            <v>64</v>
          </cell>
          <cell r="C27">
            <v>4.8646403381935495E-5</v>
          </cell>
        </row>
        <row r="28">
          <cell r="A28">
            <v>2054</v>
          </cell>
          <cell r="B28">
            <v>15000</v>
          </cell>
          <cell r="C28">
            <v>1.1401500792641132E-2</v>
          </cell>
        </row>
        <row r="29">
          <cell r="A29">
            <v>2178</v>
          </cell>
          <cell r="B29">
            <v>5970</v>
          </cell>
          <cell r="C29">
            <v>4.5377973154711706E-3</v>
          </cell>
        </row>
        <row r="30">
          <cell r="A30">
            <v>2111</v>
          </cell>
          <cell r="B30">
            <v>96026</v>
          </cell>
          <cell r="C30">
            <v>7.2989367674277147E-2</v>
          </cell>
        </row>
        <row r="31">
          <cell r="A31">
            <v>2112</v>
          </cell>
          <cell r="B31">
            <v>29021</v>
          </cell>
          <cell r="C31">
            <v>2.2058863633549218E-2</v>
          </cell>
        </row>
        <row r="32">
          <cell r="A32">
            <v>2113</v>
          </cell>
          <cell r="B32">
            <v>0</v>
          </cell>
          <cell r="C32">
            <v>0</v>
          </cell>
        </row>
        <row r="33">
          <cell r="A33">
            <v>2120</v>
          </cell>
          <cell r="B33">
            <v>6805</v>
          </cell>
          <cell r="C33">
            <v>5.1724808595948598E-3</v>
          </cell>
        </row>
        <row r="34">
          <cell r="A34">
            <v>2121</v>
          </cell>
          <cell r="B34">
            <v>0</v>
          </cell>
          <cell r="C34">
            <v>0</v>
          </cell>
        </row>
        <row r="35">
          <cell r="A35">
            <v>2125</v>
          </cell>
          <cell r="B35">
            <v>1</v>
          </cell>
          <cell r="C35">
            <v>7.601000528427421E-7</v>
          </cell>
        </row>
        <row r="36">
          <cell r="A36">
            <v>2131</v>
          </cell>
          <cell r="B36">
            <v>0</v>
          </cell>
          <cell r="C36">
            <v>0</v>
          </cell>
        </row>
        <row r="37">
          <cell r="A37">
            <v>2132</v>
          </cell>
          <cell r="B37">
            <v>2508</v>
          </cell>
          <cell r="C37">
            <v>1.9063309325295971E-3</v>
          </cell>
        </row>
        <row r="38">
          <cell r="A38">
            <v>2140</v>
          </cell>
          <cell r="B38">
            <v>3228</v>
          </cell>
          <cell r="C38">
            <v>2.4536029705763715E-3</v>
          </cell>
        </row>
        <row r="39">
          <cell r="A39">
            <v>2143</v>
          </cell>
          <cell r="B39">
            <v>0</v>
          </cell>
          <cell r="C39">
            <v>0</v>
          </cell>
        </row>
        <row r="40">
          <cell r="A40">
            <v>2144</v>
          </cell>
          <cell r="B40">
            <v>14460</v>
          </cell>
          <cell r="C40">
            <v>1.099104676410605E-2</v>
          </cell>
        </row>
        <row r="41">
          <cell r="A41">
            <v>2146</v>
          </cell>
          <cell r="B41">
            <v>7391</v>
          </cell>
          <cell r="C41">
            <v>5.6178994905607066E-3</v>
          </cell>
        </row>
        <row r="42">
          <cell r="A42">
            <v>2148</v>
          </cell>
          <cell r="C42">
            <v>0</v>
          </cell>
        </row>
        <row r="43">
          <cell r="A43">
            <v>2149</v>
          </cell>
          <cell r="B43">
            <v>18379</v>
          </cell>
          <cell r="C43">
            <v>1.3969878871196757E-2</v>
          </cell>
        </row>
        <row r="44">
          <cell r="A44">
            <v>2150</v>
          </cell>
          <cell r="B44">
            <v>0</v>
          </cell>
          <cell r="C44">
            <v>0</v>
          </cell>
        </row>
        <row r="45">
          <cell r="A45">
            <v>2160</v>
          </cell>
          <cell r="B45">
            <v>0</v>
          </cell>
          <cell r="C45">
            <v>0</v>
          </cell>
        </row>
        <row r="46">
          <cell r="A46">
            <v>2170</v>
          </cell>
          <cell r="B46">
            <v>0</v>
          </cell>
          <cell r="C46">
            <v>0</v>
          </cell>
        </row>
        <row r="47">
          <cell r="A47">
            <v>2171</v>
          </cell>
          <cell r="B47">
            <v>35</v>
          </cell>
          <cell r="C47">
            <v>2.6603501849495973E-5</v>
          </cell>
        </row>
        <row r="48">
          <cell r="A48">
            <v>2172</v>
          </cell>
          <cell r="B48">
            <v>0</v>
          </cell>
          <cell r="C48">
            <v>0</v>
          </cell>
        </row>
        <row r="49">
          <cell r="A49">
            <v>2173</v>
          </cell>
          <cell r="B49">
            <v>10</v>
          </cell>
          <cell r="C49">
            <v>7.6010005284274212E-6</v>
          </cell>
        </row>
        <row r="50">
          <cell r="A50">
            <v>2180</v>
          </cell>
          <cell r="B50">
            <v>86349</v>
          </cell>
          <cell r="C50">
            <v>6.5633879462917932E-2</v>
          </cell>
        </row>
        <row r="51">
          <cell r="A51">
            <v>2182</v>
          </cell>
          <cell r="B51">
            <v>2</v>
          </cell>
          <cell r="C51">
            <v>1.5202001056854842E-6</v>
          </cell>
        </row>
        <row r="52">
          <cell r="A52">
            <v>2183</v>
          </cell>
          <cell r="B52">
            <v>70849</v>
          </cell>
          <cell r="C52">
            <v>5.3852328643855432E-2</v>
          </cell>
        </row>
        <row r="53">
          <cell r="A53">
            <v>2184</v>
          </cell>
          <cell r="B53">
            <v>1</v>
          </cell>
          <cell r="C53">
            <v>7.601000528427421E-7</v>
          </cell>
        </row>
        <row r="54">
          <cell r="A54">
            <v>2185</v>
          </cell>
          <cell r="B54">
            <v>3695</v>
          </cell>
          <cell r="C54">
            <v>2.808569695253932E-3</v>
          </cell>
        </row>
        <row r="55">
          <cell r="A55">
            <v>2186</v>
          </cell>
          <cell r="B55">
            <v>22359.274804931771</v>
          </cell>
          <cell r="C55">
            <v>1.6995285960754031E-2</v>
          </cell>
        </row>
        <row r="56">
          <cell r="A56">
            <v>2187</v>
          </cell>
          <cell r="B56">
            <v>0</v>
          </cell>
          <cell r="C56">
            <v>0</v>
          </cell>
        </row>
        <row r="57">
          <cell r="A57">
            <v>2188</v>
          </cell>
          <cell r="B57">
            <v>28844</v>
          </cell>
          <cell r="C57">
            <v>2.1924325924196051E-2</v>
          </cell>
        </row>
        <row r="58">
          <cell r="A58">
            <v>2189</v>
          </cell>
          <cell r="B58">
            <v>1</v>
          </cell>
          <cell r="C58">
            <v>7.601000528427421E-7</v>
          </cell>
        </row>
        <row r="59">
          <cell r="A59">
            <v>2190</v>
          </cell>
          <cell r="B59">
            <v>350</v>
          </cell>
          <cell r="C59">
            <v>2.6603501849495971E-4</v>
          </cell>
        </row>
        <row r="60">
          <cell r="A60">
            <v>2191</v>
          </cell>
          <cell r="B60">
            <v>6</v>
          </cell>
          <cell r="C60">
            <v>4.5606003170564524E-6</v>
          </cell>
        </row>
        <row r="61">
          <cell r="A61">
            <v>2195</v>
          </cell>
          <cell r="B61">
            <v>33148</v>
          </cell>
          <cell r="C61">
            <v>2.5195796551631216E-2</v>
          </cell>
        </row>
        <row r="62">
          <cell r="A62">
            <v>2210</v>
          </cell>
          <cell r="B62">
            <v>22577</v>
          </cell>
          <cell r="C62">
            <v>1.7160778893030589E-2</v>
          </cell>
        </row>
        <row r="63">
          <cell r="A63">
            <v>2211</v>
          </cell>
          <cell r="B63">
            <v>22462</v>
          </cell>
          <cell r="C63">
            <v>1.7073367386953673E-2</v>
          </cell>
        </row>
        <row r="64">
          <cell r="A64">
            <v>2212</v>
          </cell>
          <cell r="B64">
            <v>5817</v>
          </cell>
          <cell r="C64">
            <v>4.4215020073862304E-3</v>
          </cell>
        </row>
        <row r="65">
          <cell r="A65">
            <v>2213</v>
          </cell>
          <cell r="B65">
            <v>0</v>
          </cell>
          <cell r="C65">
            <v>0</v>
          </cell>
        </row>
        <row r="66">
          <cell r="A66">
            <v>2214</v>
          </cell>
          <cell r="B66">
            <v>10491</v>
          </cell>
          <cell r="C66">
            <v>7.9742096543732079E-3</v>
          </cell>
        </row>
        <row r="67">
          <cell r="A67">
            <v>2215</v>
          </cell>
          <cell r="B67">
            <v>20868</v>
          </cell>
          <cell r="C67">
            <v>1.586176790272234E-2</v>
          </cell>
        </row>
        <row r="68">
          <cell r="A68">
            <v>2310</v>
          </cell>
          <cell r="B68">
            <v>12572</v>
          </cell>
          <cell r="C68">
            <v>9.5559778643389531E-3</v>
          </cell>
        </row>
        <row r="69">
          <cell r="A69">
            <v>2410</v>
          </cell>
          <cell r="B69">
            <v>98391</v>
          </cell>
          <cell r="C69">
            <v>7.478700429925024E-2</v>
          </cell>
        </row>
        <row r="70">
          <cell r="A70">
            <v>2411</v>
          </cell>
          <cell r="B70">
            <v>0</v>
          </cell>
          <cell r="C70">
            <v>0</v>
          </cell>
        </row>
        <row r="71">
          <cell r="A71">
            <v>2412</v>
          </cell>
          <cell r="B71">
            <v>0</v>
          </cell>
          <cell r="C71">
            <v>0</v>
          </cell>
        </row>
        <row r="72">
          <cell r="A72">
            <v>2413</v>
          </cell>
          <cell r="B72">
            <v>0</v>
          </cell>
          <cell r="C72">
            <v>0</v>
          </cell>
        </row>
        <row r="73">
          <cell r="A73">
            <v>2414</v>
          </cell>
          <cell r="B73">
            <v>0</v>
          </cell>
          <cell r="C73">
            <v>0</v>
          </cell>
        </row>
        <row r="74">
          <cell r="A74">
            <v>2420</v>
          </cell>
          <cell r="B74">
            <v>0</v>
          </cell>
          <cell r="C74">
            <v>0</v>
          </cell>
        </row>
        <row r="75">
          <cell r="A75">
            <v>2430</v>
          </cell>
          <cell r="B75">
            <v>0</v>
          </cell>
          <cell r="C75">
            <v>0</v>
          </cell>
        </row>
        <row r="76">
          <cell r="A76">
            <v>2431</v>
          </cell>
          <cell r="B76">
            <v>0</v>
          </cell>
          <cell r="C76">
            <v>0</v>
          </cell>
        </row>
        <row r="77">
          <cell r="A77">
            <v>2432</v>
          </cell>
          <cell r="B77">
            <v>0</v>
          </cell>
          <cell r="C77">
            <v>0</v>
          </cell>
        </row>
        <row r="78">
          <cell r="A78">
            <v>2440</v>
          </cell>
          <cell r="B78">
            <v>0</v>
          </cell>
          <cell r="C78">
            <v>0</v>
          </cell>
        </row>
        <row r="79">
          <cell r="A79">
            <v>2450</v>
          </cell>
          <cell r="B79">
            <v>0</v>
          </cell>
          <cell r="C79">
            <v>0</v>
          </cell>
        </row>
        <row r="80">
          <cell r="A80">
            <v>2451</v>
          </cell>
          <cell r="B80">
            <v>0</v>
          </cell>
          <cell r="C80">
            <v>0</v>
          </cell>
        </row>
        <row r="81">
          <cell r="A81">
            <v>3022</v>
          </cell>
          <cell r="B81">
            <v>5022</v>
          </cell>
          <cell r="C81">
            <v>3.8172224653762509E-3</v>
          </cell>
        </row>
        <row r="82">
          <cell r="A82">
            <v>3023</v>
          </cell>
          <cell r="B82">
            <v>12644</v>
          </cell>
          <cell r="C82">
            <v>9.6107050681436303E-3</v>
          </cell>
        </row>
        <row r="83">
          <cell r="A83">
            <v>3024</v>
          </cell>
          <cell r="B83">
            <v>5853</v>
          </cell>
          <cell r="C83">
            <v>4.448865609288569E-3</v>
          </cell>
        </row>
        <row r="84">
          <cell r="A84">
            <v>3025</v>
          </cell>
          <cell r="B84">
            <v>1293</v>
          </cell>
          <cell r="C84">
            <v>9.8280936832566561E-4</v>
          </cell>
        </row>
        <row r="85">
          <cell r="A85">
            <v>4008</v>
          </cell>
          <cell r="B85">
            <v>0</v>
          </cell>
          <cell r="C85">
            <v>0</v>
          </cell>
        </row>
        <row r="86">
          <cell r="A86">
            <v>4009</v>
          </cell>
          <cell r="B86">
            <v>0</v>
          </cell>
          <cell r="C86">
            <v>0</v>
          </cell>
        </row>
        <row r="87">
          <cell r="A87">
            <v>4010</v>
          </cell>
          <cell r="B87">
            <v>0</v>
          </cell>
          <cell r="C87">
            <v>0</v>
          </cell>
        </row>
        <row r="88">
          <cell r="A88">
            <v>4012</v>
          </cell>
          <cell r="B88">
            <v>0</v>
          </cell>
          <cell r="C88">
            <v>0</v>
          </cell>
        </row>
        <row r="89">
          <cell r="A89">
            <v>4013</v>
          </cell>
          <cell r="B89">
            <v>0</v>
          </cell>
          <cell r="C89">
            <v>0</v>
          </cell>
        </row>
        <row r="90">
          <cell r="A90">
            <v>4014</v>
          </cell>
          <cell r="B90">
            <v>6339</v>
          </cell>
          <cell r="C90">
            <v>4.8182742349701423E-3</v>
          </cell>
        </row>
        <row r="91">
          <cell r="A91">
            <v>4016</v>
          </cell>
          <cell r="B91">
            <v>43</v>
          </cell>
          <cell r="C91">
            <v>3.2684302272237907E-5</v>
          </cell>
        </row>
        <row r="92">
          <cell r="A92">
            <v>4018</v>
          </cell>
          <cell r="B92">
            <v>16327</v>
          </cell>
          <cell r="C92">
            <v>1.2410153562763451E-2</v>
          </cell>
        </row>
        <row r="93">
          <cell r="A93">
            <v>4019</v>
          </cell>
          <cell r="B93">
            <v>87</v>
          </cell>
          <cell r="C93">
            <v>6.6128704597318561E-5</v>
          </cell>
        </row>
        <row r="94">
          <cell r="A94">
            <v>4020</v>
          </cell>
          <cell r="B94">
            <v>59652</v>
          </cell>
          <cell r="C94">
            <v>4.5341488352175253E-2</v>
          </cell>
        </row>
        <row r="95">
          <cell r="A95">
            <v>4021</v>
          </cell>
          <cell r="B95">
            <v>150</v>
          </cell>
          <cell r="C95">
            <v>1.1401500792641132E-4</v>
          </cell>
        </row>
        <row r="96">
          <cell r="A96">
            <v>4022</v>
          </cell>
          <cell r="B96">
            <v>0</v>
          </cell>
          <cell r="C96">
            <v>0</v>
          </cell>
        </row>
        <row r="97">
          <cell r="A97">
            <v>4025</v>
          </cell>
          <cell r="B97">
            <v>0</v>
          </cell>
          <cell r="C97">
            <v>0</v>
          </cell>
        </row>
        <row r="98">
          <cell r="A98">
            <v>4030</v>
          </cell>
          <cell r="B98">
            <v>49758</v>
          </cell>
          <cell r="C98">
            <v>3.7821058429349158E-2</v>
          </cell>
        </row>
        <row r="99">
          <cell r="A99">
            <v>4031</v>
          </cell>
          <cell r="B99">
            <v>144</v>
          </cell>
          <cell r="C99">
            <v>1.0945440760935486E-4</v>
          </cell>
        </row>
        <row r="100">
          <cell r="A100">
            <v>4040</v>
          </cell>
          <cell r="B100">
            <v>264</v>
          </cell>
          <cell r="C100">
            <v>2.0066641395048392E-4</v>
          </cell>
        </row>
        <row r="101">
          <cell r="A101">
            <v>4050</v>
          </cell>
          <cell r="B101">
            <v>82</v>
          </cell>
          <cell r="C101">
            <v>6.2328204333104856E-5</v>
          </cell>
        </row>
        <row r="102">
          <cell r="A102">
            <v>4100</v>
          </cell>
          <cell r="B102">
            <v>205</v>
          </cell>
          <cell r="C102">
            <v>1.5582051083276214E-4</v>
          </cell>
        </row>
        <row r="103">
          <cell r="A103">
            <v>4101</v>
          </cell>
          <cell r="B103">
            <v>50</v>
          </cell>
          <cell r="C103">
            <v>3.8005002642137105E-5</v>
          </cell>
        </row>
        <row r="104">
          <cell r="A104">
            <v>4102</v>
          </cell>
          <cell r="B104">
            <v>25</v>
          </cell>
          <cell r="C104">
            <v>1.9002501321068553E-5</v>
          </cell>
        </row>
        <row r="105">
          <cell r="A105">
            <v>4105</v>
          </cell>
          <cell r="B105">
            <v>13</v>
          </cell>
          <cell r="C105">
            <v>9.8813006869556479E-6</v>
          </cell>
        </row>
        <row r="106">
          <cell r="A106">
            <v>4110</v>
          </cell>
          <cell r="B106">
            <v>14567</v>
          </cell>
          <cell r="C106">
            <v>1.1072377469760223E-2</v>
          </cell>
        </row>
        <row r="107">
          <cell r="A107">
            <v>4120</v>
          </cell>
          <cell r="B107">
            <v>29071</v>
          </cell>
          <cell r="C107">
            <v>2.2096868636191355E-2</v>
          </cell>
        </row>
        <row r="108">
          <cell r="A108">
            <v>4130</v>
          </cell>
          <cell r="B108">
            <v>11816</v>
          </cell>
          <cell r="C108">
            <v>8.9813422243898398E-3</v>
          </cell>
        </row>
        <row r="109">
          <cell r="A109">
            <v>4140</v>
          </cell>
          <cell r="B109">
            <v>5259</v>
          </cell>
          <cell r="C109">
            <v>3.9973661778999808E-3</v>
          </cell>
        </row>
        <row r="110">
          <cell r="A110">
            <v>4150</v>
          </cell>
          <cell r="B110">
            <v>142</v>
          </cell>
          <cell r="C110">
            <v>1.0793420750366937E-4</v>
          </cell>
        </row>
        <row r="111">
          <cell r="A111">
            <v>4160</v>
          </cell>
          <cell r="B111">
            <v>0</v>
          </cell>
          <cell r="C111">
            <v>0</v>
          </cell>
        </row>
        <row r="112">
          <cell r="A112">
            <v>4037</v>
          </cell>
          <cell r="B112">
            <v>5485</v>
          </cell>
          <cell r="C112">
            <v>4.1691487898424407E-3</v>
          </cell>
        </row>
        <row r="113">
          <cell r="A113">
            <v>2311</v>
          </cell>
          <cell r="B113">
            <v>15135</v>
          </cell>
          <cell r="C113">
            <v>1.1504114299774902E-2</v>
          </cell>
        </row>
        <row r="114">
          <cell r="A114">
            <v>2312</v>
          </cell>
          <cell r="B114">
            <v>87</v>
          </cell>
          <cell r="C114">
            <v>6.6128704597318561E-5</v>
          </cell>
        </row>
        <row r="115">
          <cell r="A115">
            <v>2313</v>
          </cell>
          <cell r="B115">
            <v>16</v>
          </cell>
          <cell r="C115">
            <v>1.2161600845483874E-5</v>
          </cell>
        </row>
        <row r="116">
          <cell r="A116">
            <v>4032</v>
          </cell>
          <cell r="B116">
            <v>5445</v>
          </cell>
          <cell r="C116">
            <v>4.138744787728731E-3</v>
          </cell>
        </row>
        <row r="117">
          <cell r="A117">
            <v>4033</v>
          </cell>
          <cell r="B117">
            <v>9047</v>
          </cell>
          <cell r="C117">
            <v>6.8766251780682875E-3</v>
          </cell>
        </row>
        <row r="118">
          <cell r="A118">
            <v>4034</v>
          </cell>
          <cell r="B118">
            <v>5230</v>
          </cell>
          <cell r="C118">
            <v>3.9753232763675411E-3</v>
          </cell>
        </row>
        <row r="119">
          <cell r="A119">
            <v>4035</v>
          </cell>
          <cell r="B119">
            <v>225</v>
          </cell>
          <cell r="C119">
            <v>1.7102251188961696E-4</v>
          </cell>
        </row>
        <row r="120">
          <cell r="A120">
            <v>4036</v>
          </cell>
          <cell r="B120">
            <v>70</v>
          </cell>
          <cell r="C120">
            <v>5.3207003698991946E-5</v>
          </cell>
        </row>
        <row r="121">
          <cell r="A121">
            <v>5411</v>
          </cell>
          <cell r="B121">
            <v>15941</v>
          </cell>
          <cell r="C121">
            <v>1.2116754942366151E-2</v>
          </cell>
        </row>
        <row r="122">
          <cell r="A122">
            <v>5412</v>
          </cell>
          <cell r="B122">
            <v>12151</v>
          </cell>
          <cell r="C122">
            <v>9.235975742092159E-3</v>
          </cell>
        </row>
        <row r="123">
          <cell r="A123">
            <v>5414</v>
          </cell>
          <cell r="B123">
            <v>0</v>
          </cell>
          <cell r="C123">
            <v>0</v>
          </cell>
        </row>
        <row r="124">
          <cell r="A124" t="str">
            <v>Grand Total</v>
          </cell>
          <cell r="B124">
            <v>1315616.2748049316</v>
          </cell>
          <cell r="C124">
            <v>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022 Customer Count"/>
      <sheetName val="Interject_LastPulledValues"/>
      <sheetName val="2012 Customer Count"/>
      <sheetName val="2011 Customer Count"/>
      <sheetName val="2011 Customer Count without AK"/>
      <sheetName val="2010 Customer Count"/>
      <sheetName val="2009 Customer Count"/>
      <sheetName val="2008CustCountAlloc with Yakima"/>
    </sheetNames>
    <sheetDataSet>
      <sheetData sheetId="0">
        <row r="5">
          <cell r="A5">
            <v>2010</v>
          </cell>
          <cell r="B5">
            <v>148116</v>
          </cell>
          <cell r="C5">
            <v>0.11002167570813416</v>
          </cell>
        </row>
        <row r="6">
          <cell r="A6">
            <v>2011</v>
          </cell>
          <cell r="B6">
            <v>32091</v>
          </cell>
          <cell r="C6">
            <v>2.3837435490762195E-2</v>
          </cell>
        </row>
        <row r="7">
          <cell r="A7">
            <v>2012</v>
          </cell>
          <cell r="B7">
            <v>26672</v>
          </cell>
          <cell r="C7">
            <v>1.9812161646867013E-2</v>
          </cell>
        </row>
        <row r="8">
          <cell r="A8">
            <v>2013</v>
          </cell>
          <cell r="B8">
            <v>62576</v>
          </cell>
          <cell r="C8">
            <v>4.6481922136110909E-2</v>
          </cell>
        </row>
        <row r="9">
          <cell r="A9">
            <v>2014</v>
          </cell>
          <cell r="B9">
            <v>59</v>
          </cell>
          <cell r="C9">
            <v>4.382564251519023E-5</v>
          </cell>
        </row>
        <row r="10">
          <cell r="A10">
            <v>2015</v>
          </cell>
          <cell r="B10">
            <v>0</v>
          </cell>
          <cell r="C10">
            <v>0</v>
          </cell>
        </row>
        <row r="11">
          <cell r="A11">
            <v>2021</v>
          </cell>
          <cell r="B11">
            <v>36744</v>
          </cell>
          <cell r="C11">
            <v>2.7293718789460165E-2</v>
          </cell>
        </row>
        <row r="12">
          <cell r="A12">
            <v>2025</v>
          </cell>
          <cell r="B12">
            <v>2534</v>
          </cell>
          <cell r="C12">
            <v>1.8822742056524074E-3</v>
          </cell>
        </row>
        <row r="13">
          <cell r="A13">
            <v>2031</v>
          </cell>
          <cell r="B13">
            <v>296</v>
          </cell>
          <cell r="C13">
            <v>2.1987102007620861E-4</v>
          </cell>
        </row>
        <row r="14">
          <cell r="A14">
            <v>2032</v>
          </cell>
          <cell r="B14">
            <v>32865</v>
          </cell>
          <cell r="C14">
            <v>2.441236849596147E-2</v>
          </cell>
        </row>
        <row r="15">
          <cell r="A15">
            <v>2040</v>
          </cell>
          <cell r="B15">
            <v>8619</v>
          </cell>
          <cell r="C15">
            <v>6.4022578447190609E-3</v>
          </cell>
        </row>
        <row r="16">
          <cell r="A16">
            <v>2041</v>
          </cell>
          <cell r="B16">
            <v>2404</v>
          </cell>
          <cell r="C16">
            <v>1.7857092306189375E-3</v>
          </cell>
        </row>
        <row r="17">
          <cell r="A17">
            <v>2042</v>
          </cell>
          <cell r="B17">
            <v>95</v>
          </cell>
          <cell r="C17">
            <v>7.0566712524458843E-5</v>
          </cell>
        </row>
        <row r="18">
          <cell r="A18">
            <v>2043</v>
          </cell>
          <cell r="B18">
            <v>5895</v>
          </cell>
          <cell r="C18">
            <v>4.3788502140177351E-3</v>
          </cell>
        </row>
        <row r="19">
          <cell r="A19">
            <v>2044</v>
          </cell>
          <cell r="B19">
            <v>8343</v>
          </cell>
          <cell r="C19">
            <v>6.1972429746480016E-3</v>
          </cell>
        </row>
        <row r="20">
          <cell r="A20">
            <v>2045</v>
          </cell>
          <cell r="B20">
            <v>6895</v>
          </cell>
          <cell r="C20">
            <v>5.1216577142751971E-3</v>
          </cell>
        </row>
        <row r="21">
          <cell r="A21">
            <v>2046</v>
          </cell>
          <cell r="B21">
            <v>9968</v>
          </cell>
          <cell r="C21">
            <v>7.4043051625663761E-3</v>
          </cell>
        </row>
        <row r="22">
          <cell r="A22">
            <v>2047</v>
          </cell>
          <cell r="B22">
            <v>15070</v>
          </cell>
          <cell r="C22">
            <v>1.1194109028879944E-2</v>
          </cell>
        </row>
        <row r="23">
          <cell r="A23">
            <v>2048</v>
          </cell>
          <cell r="B23">
            <v>129</v>
          </cell>
          <cell r="C23">
            <v>9.5822167533212528E-5</v>
          </cell>
        </row>
        <row r="24">
          <cell r="A24">
            <v>2049</v>
          </cell>
          <cell r="B24">
            <v>26</v>
          </cell>
          <cell r="C24">
            <v>1.9312995006693999E-5</v>
          </cell>
        </row>
        <row r="25">
          <cell r="A25">
            <v>2050</v>
          </cell>
          <cell r="B25">
            <v>45</v>
          </cell>
          <cell r="C25">
            <v>3.3426337511585765E-5</v>
          </cell>
        </row>
        <row r="26">
          <cell r="A26">
            <v>2051</v>
          </cell>
          <cell r="B26">
            <v>354</v>
          </cell>
          <cell r="C26">
            <v>2.6295385509114136E-4</v>
          </cell>
        </row>
        <row r="27">
          <cell r="A27">
            <v>2053</v>
          </cell>
          <cell r="B27">
            <v>73</v>
          </cell>
          <cell r="C27">
            <v>5.4224947518794688E-5</v>
          </cell>
        </row>
        <row r="28">
          <cell r="A28">
            <v>2054</v>
          </cell>
          <cell r="B28">
            <v>15000</v>
          </cell>
          <cell r="C28">
            <v>1.1142112503861922E-2</v>
          </cell>
        </row>
        <row r="29">
          <cell r="A29">
            <v>2111</v>
          </cell>
          <cell r="B29">
            <v>97830</v>
          </cell>
          <cell r="C29">
            <v>7.2668857750187457E-2</v>
          </cell>
        </row>
        <row r="30">
          <cell r="A30">
            <v>2112</v>
          </cell>
          <cell r="B30">
            <v>30611</v>
          </cell>
          <cell r="C30">
            <v>2.2738080390381152E-2</v>
          </cell>
        </row>
        <row r="31">
          <cell r="A31">
            <v>2113</v>
          </cell>
          <cell r="B31">
            <v>0</v>
          </cell>
          <cell r="C31">
            <v>0</v>
          </cell>
        </row>
        <row r="32">
          <cell r="A32">
            <v>2120</v>
          </cell>
          <cell r="B32">
            <v>6807</v>
          </cell>
          <cell r="C32">
            <v>5.0562906542525399E-3</v>
          </cell>
        </row>
        <row r="33">
          <cell r="A33">
            <v>2121</v>
          </cell>
          <cell r="B33">
            <v>0</v>
          </cell>
          <cell r="C33">
            <v>0</v>
          </cell>
        </row>
        <row r="34">
          <cell r="A34">
            <v>2125</v>
          </cell>
          <cell r="B34">
            <v>1</v>
          </cell>
          <cell r="C34">
            <v>7.4280750025746149E-7</v>
          </cell>
        </row>
        <row r="35">
          <cell r="A35">
            <v>2131</v>
          </cell>
          <cell r="B35">
            <v>0</v>
          </cell>
          <cell r="C35">
            <v>0</v>
          </cell>
        </row>
        <row r="36">
          <cell r="A36">
            <v>2132</v>
          </cell>
          <cell r="B36">
            <v>2582</v>
          </cell>
          <cell r="C36">
            <v>1.9179289656647655E-3</v>
          </cell>
        </row>
        <row r="37">
          <cell r="A37">
            <v>2140</v>
          </cell>
          <cell r="B37">
            <v>3405</v>
          </cell>
          <cell r="C37">
            <v>2.5292595383766565E-3</v>
          </cell>
        </row>
        <row r="38">
          <cell r="A38">
            <v>2143</v>
          </cell>
          <cell r="B38">
            <v>0</v>
          </cell>
          <cell r="C38">
            <v>0</v>
          </cell>
        </row>
        <row r="39">
          <cell r="A39">
            <v>2144</v>
          </cell>
          <cell r="B39">
            <v>15383</v>
          </cell>
          <cell r="C39">
            <v>1.142660777646053E-2</v>
          </cell>
        </row>
        <row r="40">
          <cell r="A40">
            <v>2146</v>
          </cell>
          <cell r="B40">
            <v>8559</v>
          </cell>
          <cell r="C40">
            <v>6.3576893947036132E-3</v>
          </cell>
        </row>
        <row r="41">
          <cell r="A41">
            <v>2148</v>
          </cell>
          <cell r="C41">
            <v>0</v>
          </cell>
        </row>
        <row r="42">
          <cell r="A42">
            <v>2149</v>
          </cell>
          <cell r="B42">
            <v>19811</v>
          </cell>
          <cell r="C42">
            <v>1.471575938760057E-2</v>
          </cell>
        </row>
        <row r="43">
          <cell r="A43">
            <v>2150</v>
          </cell>
          <cell r="B43">
            <v>0</v>
          </cell>
          <cell r="C43">
            <v>0</v>
          </cell>
        </row>
        <row r="44">
          <cell r="A44">
            <v>2160</v>
          </cell>
          <cell r="B44">
            <v>0</v>
          </cell>
          <cell r="C44">
            <v>0</v>
          </cell>
        </row>
        <row r="45">
          <cell r="A45">
            <v>2170</v>
          </cell>
          <cell r="B45">
            <v>0</v>
          </cell>
          <cell r="C45">
            <v>0</v>
          </cell>
        </row>
        <row r="46">
          <cell r="A46">
            <v>2171</v>
          </cell>
          <cell r="B46">
            <v>52</v>
          </cell>
          <cell r="C46">
            <v>3.8625990013387998E-5</v>
          </cell>
        </row>
        <row r="47">
          <cell r="A47">
            <v>2172</v>
          </cell>
          <cell r="B47">
            <v>0</v>
          </cell>
          <cell r="C47">
            <v>0</v>
          </cell>
        </row>
        <row r="48">
          <cell r="A48">
            <v>2173</v>
          </cell>
          <cell r="B48">
            <v>20</v>
          </cell>
          <cell r="C48">
            <v>1.485615000514923E-5</v>
          </cell>
        </row>
        <row r="49">
          <cell r="A49">
            <v>2178</v>
          </cell>
          <cell r="B49">
            <v>3675</v>
          </cell>
          <cell r="C49">
            <v>2.7298175634461711E-3</v>
          </cell>
        </row>
        <row r="50">
          <cell r="A50">
            <v>2179</v>
          </cell>
          <cell r="B50">
            <v>0</v>
          </cell>
          <cell r="C50">
            <v>0</v>
          </cell>
        </row>
        <row r="51">
          <cell r="A51">
            <v>2180</v>
          </cell>
          <cell r="B51">
            <v>88677.811018862994</v>
          </cell>
          <cell r="C51">
            <v>6.5870543131225201E-2</v>
          </cell>
        </row>
        <row r="52">
          <cell r="A52">
            <v>2182</v>
          </cell>
          <cell r="B52">
            <v>2</v>
          </cell>
          <cell r="C52">
            <v>1.485615000514923E-6</v>
          </cell>
        </row>
        <row r="53">
          <cell r="A53">
            <v>2183</v>
          </cell>
          <cell r="B53">
            <v>72187</v>
          </cell>
          <cell r="C53">
            <v>5.3621045021085369E-2</v>
          </cell>
        </row>
        <row r="54">
          <cell r="A54">
            <v>2184</v>
          </cell>
          <cell r="B54">
            <v>1</v>
          </cell>
          <cell r="C54">
            <v>7.4280750025746149E-7</v>
          </cell>
        </row>
        <row r="55">
          <cell r="A55">
            <v>2185</v>
          </cell>
          <cell r="B55">
            <v>3675</v>
          </cell>
          <cell r="C55">
            <v>2.7298175634461711E-3</v>
          </cell>
        </row>
        <row r="56">
          <cell r="A56">
            <v>2186</v>
          </cell>
          <cell r="B56">
            <v>23203</v>
          </cell>
          <cell r="C56">
            <v>1.7235362428473879E-2</v>
          </cell>
        </row>
        <row r="57">
          <cell r="A57">
            <v>2187</v>
          </cell>
          <cell r="B57">
            <v>0</v>
          </cell>
          <cell r="C57">
            <v>0</v>
          </cell>
        </row>
        <row r="58">
          <cell r="A58">
            <v>2188</v>
          </cell>
          <cell r="B58">
            <v>30673</v>
          </cell>
          <cell r="C58">
            <v>2.2784134455397117E-2</v>
          </cell>
        </row>
        <row r="59">
          <cell r="A59">
            <v>2189</v>
          </cell>
          <cell r="B59">
            <v>1</v>
          </cell>
          <cell r="C59">
            <v>7.4280750025746149E-7</v>
          </cell>
        </row>
        <row r="60">
          <cell r="A60">
            <v>2190</v>
          </cell>
          <cell r="B60">
            <v>339</v>
          </cell>
          <cell r="C60">
            <v>2.5181174258727943E-4</v>
          </cell>
        </row>
        <row r="61">
          <cell r="A61">
            <v>2191</v>
          </cell>
          <cell r="B61">
            <v>6</v>
          </cell>
          <cell r="C61">
            <v>4.4568450015447687E-6</v>
          </cell>
        </row>
        <row r="62">
          <cell r="A62">
            <v>2195</v>
          </cell>
          <cell r="B62">
            <v>36966</v>
          </cell>
          <cell r="C62">
            <v>2.745862205451732E-2</v>
          </cell>
        </row>
        <row r="63">
          <cell r="A63">
            <v>2210</v>
          </cell>
          <cell r="B63">
            <v>23634</v>
          </cell>
          <cell r="C63">
            <v>1.7555512461084846E-2</v>
          </cell>
        </row>
        <row r="64">
          <cell r="A64">
            <v>2211</v>
          </cell>
          <cell r="B64">
            <v>26569</v>
          </cell>
          <cell r="C64">
            <v>1.9735652474340493E-2</v>
          </cell>
        </row>
        <row r="65">
          <cell r="A65">
            <v>2212</v>
          </cell>
          <cell r="B65">
            <v>6748</v>
          </cell>
          <cell r="C65">
            <v>5.0124650117373505E-3</v>
          </cell>
        </row>
        <row r="66">
          <cell r="A66">
            <v>2213</v>
          </cell>
          <cell r="B66">
            <v>0</v>
          </cell>
          <cell r="C66">
            <v>0</v>
          </cell>
        </row>
        <row r="67">
          <cell r="A67">
            <v>2214</v>
          </cell>
          <cell r="B67">
            <v>8080</v>
          </cell>
          <cell r="C67">
            <v>6.0018846020802891E-3</v>
          </cell>
        </row>
        <row r="68">
          <cell r="A68">
            <v>2215</v>
          </cell>
          <cell r="B68">
            <v>21506</v>
          </cell>
          <cell r="C68">
            <v>1.5974818100536966E-2</v>
          </cell>
        </row>
        <row r="69">
          <cell r="A69">
            <v>2310</v>
          </cell>
          <cell r="B69">
            <v>12789</v>
          </cell>
          <cell r="C69">
            <v>9.4997651207926748E-3</v>
          </cell>
        </row>
        <row r="70">
          <cell r="A70">
            <v>2410</v>
          </cell>
          <cell r="B70">
            <v>99333</v>
          </cell>
          <cell r="C70">
            <v>7.3785297423074422E-2</v>
          </cell>
        </row>
        <row r="71">
          <cell r="A71">
            <v>2411</v>
          </cell>
          <cell r="B71">
            <v>0</v>
          </cell>
          <cell r="C71">
            <v>0</v>
          </cell>
        </row>
        <row r="72">
          <cell r="A72">
            <v>2412</v>
          </cell>
          <cell r="B72">
            <v>0</v>
          </cell>
          <cell r="C72">
            <v>0</v>
          </cell>
        </row>
        <row r="73">
          <cell r="A73">
            <v>2413</v>
          </cell>
          <cell r="B73">
            <v>0</v>
          </cell>
          <cell r="C73">
            <v>0</v>
          </cell>
        </row>
        <row r="74">
          <cell r="A74">
            <v>2414</v>
          </cell>
          <cell r="B74">
            <v>0</v>
          </cell>
          <cell r="C74">
            <v>0</v>
          </cell>
        </row>
        <row r="75">
          <cell r="A75">
            <v>2420</v>
          </cell>
          <cell r="B75">
            <v>0</v>
          </cell>
          <cell r="C75">
            <v>0</v>
          </cell>
        </row>
        <row r="76">
          <cell r="A76">
            <v>2430</v>
          </cell>
          <cell r="B76">
            <v>0</v>
          </cell>
          <cell r="C76">
            <v>0</v>
          </cell>
        </row>
        <row r="77">
          <cell r="A77">
            <v>2431</v>
          </cell>
          <cell r="B77">
            <v>0</v>
          </cell>
          <cell r="C77">
            <v>0</v>
          </cell>
        </row>
        <row r="78">
          <cell r="A78">
            <v>2432</v>
          </cell>
          <cell r="B78">
            <v>0</v>
          </cell>
          <cell r="C78">
            <v>0</v>
          </cell>
        </row>
        <row r="79">
          <cell r="A79">
            <v>2440</v>
          </cell>
          <cell r="B79">
            <v>0</v>
          </cell>
          <cell r="C79">
            <v>0</v>
          </cell>
        </row>
        <row r="80">
          <cell r="A80">
            <v>2450</v>
          </cell>
          <cell r="B80">
            <v>0</v>
          </cell>
          <cell r="C80">
            <v>0</v>
          </cell>
        </row>
        <row r="81">
          <cell r="A81">
            <v>2451</v>
          </cell>
          <cell r="B81">
            <v>0</v>
          </cell>
          <cell r="C81">
            <v>0</v>
          </cell>
        </row>
        <row r="82">
          <cell r="A82">
            <v>3022</v>
          </cell>
          <cell r="B82">
            <v>5326</v>
          </cell>
          <cell r="C82">
            <v>3.9561927463712399E-3</v>
          </cell>
        </row>
        <row r="83">
          <cell r="A83">
            <v>3023</v>
          </cell>
          <cell r="B83">
            <v>12441</v>
          </cell>
          <cell r="C83">
            <v>9.241268110703079E-3</v>
          </cell>
        </row>
        <row r="84">
          <cell r="A84">
            <v>3024</v>
          </cell>
          <cell r="B84">
            <v>5886</v>
          </cell>
          <cell r="C84">
            <v>4.3721649465154186E-3</v>
          </cell>
        </row>
        <row r="85">
          <cell r="A85">
            <v>3025</v>
          </cell>
          <cell r="B85">
            <v>1270</v>
          </cell>
          <cell r="C85">
            <v>9.4336552532697608E-4</v>
          </cell>
        </row>
        <row r="86">
          <cell r="A86">
            <v>4008</v>
          </cell>
          <cell r="B86">
            <v>0</v>
          </cell>
          <cell r="C86">
            <v>0</v>
          </cell>
        </row>
        <row r="87">
          <cell r="A87">
            <v>4009</v>
          </cell>
          <cell r="B87">
            <v>0</v>
          </cell>
          <cell r="C87">
            <v>0</v>
          </cell>
        </row>
        <row r="88">
          <cell r="A88">
            <v>4010</v>
          </cell>
          <cell r="B88">
            <v>0</v>
          </cell>
          <cell r="C88">
            <v>0</v>
          </cell>
        </row>
        <row r="89">
          <cell r="A89">
            <v>4012</v>
          </cell>
          <cell r="B89">
            <v>0</v>
          </cell>
          <cell r="C89">
            <v>0</v>
          </cell>
        </row>
        <row r="90">
          <cell r="A90">
            <v>4013</v>
          </cell>
          <cell r="B90">
            <v>0</v>
          </cell>
          <cell r="C90">
            <v>0</v>
          </cell>
        </row>
        <row r="91">
          <cell r="A91">
            <v>4014</v>
          </cell>
          <cell r="B91">
            <v>8668</v>
          </cell>
          <cell r="C91">
            <v>6.4386554122316765E-3</v>
          </cell>
        </row>
        <row r="92">
          <cell r="A92">
            <v>4016</v>
          </cell>
          <cell r="B92">
            <v>41</v>
          </cell>
          <cell r="C92">
            <v>3.0455107510555921E-5</v>
          </cell>
        </row>
        <row r="93">
          <cell r="A93">
            <v>4018</v>
          </cell>
          <cell r="B93">
            <v>16566</v>
          </cell>
          <cell r="C93">
            <v>1.2305349049265108E-2</v>
          </cell>
        </row>
        <row r="94">
          <cell r="A94">
            <v>4019</v>
          </cell>
          <cell r="B94">
            <v>62</v>
          </cell>
          <cell r="C94">
            <v>4.6054065015962615E-5</v>
          </cell>
        </row>
        <row r="95">
          <cell r="A95">
            <v>4020</v>
          </cell>
          <cell r="B95">
            <v>59688</v>
          </cell>
          <cell r="C95">
            <v>4.4336694075367361E-2</v>
          </cell>
        </row>
        <row r="96">
          <cell r="A96">
            <v>4021</v>
          </cell>
          <cell r="B96">
            <v>154</v>
          </cell>
          <cell r="C96">
            <v>1.1439235503964907E-4</v>
          </cell>
        </row>
        <row r="97">
          <cell r="A97">
            <v>4022</v>
          </cell>
          <cell r="B97">
            <v>0</v>
          </cell>
          <cell r="C97">
            <v>0</v>
          </cell>
        </row>
        <row r="98">
          <cell r="A98">
            <v>4025</v>
          </cell>
          <cell r="B98">
            <v>0</v>
          </cell>
          <cell r="C98">
            <v>0</v>
          </cell>
        </row>
        <row r="99">
          <cell r="A99">
            <v>4030</v>
          </cell>
          <cell r="B99">
            <v>50890</v>
          </cell>
          <cell r="C99">
            <v>3.7801473688102216E-2</v>
          </cell>
        </row>
        <row r="100">
          <cell r="A100">
            <v>4031</v>
          </cell>
          <cell r="B100">
            <v>157</v>
          </cell>
          <cell r="C100">
            <v>1.1662077754042146E-4</v>
          </cell>
        </row>
        <row r="101">
          <cell r="A101">
            <v>4040</v>
          </cell>
          <cell r="B101">
            <v>240</v>
          </cell>
          <cell r="C101">
            <v>1.7827380006179075E-4</v>
          </cell>
        </row>
        <row r="102">
          <cell r="A102">
            <v>4050</v>
          </cell>
          <cell r="B102">
            <v>76</v>
          </cell>
          <cell r="C102">
            <v>5.6453370019567073E-5</v>
          </cell>
        </row>
        <row r="103">
          <cell r="A103">
            <v>4100</v>
          </cell>
          <cell r="B103">
            <v>194</v>
          </cell>
          <cell r="C103">
            <v>1.4410465504994754E-4</v>
          </cell>
        </row>
        <row r="104">
          <cell r="A104">
            <v>4101</v>
          </cell>
          <cell r="B104">
            <v>50</v>
          </cell>
          <cell r="C104">
            <v>3.7140375012873077E-5</v>
          </cell>
        </row>
        <row r="105">
          <cell r="A105">
            <v>4102</v>
          </cell>
          <cell r="B105">
            <v>25</v>
          </cell>
          <cell r="C105">
            <v>1.8570187506436539E-5</v>
          </cell>
        </row>
        <row r="106">
          <cell r="A106">
            <v>4105</v>
          </cell>
          <cell r="B106">
            <v>17</v>
          </cell>
          <cell r="C106">
            <v>1.2627727504376846E-5</v>
          </cell>
        </row>
        <row r="107">
          <cell r="A107">
            <v>4110</v>
          </cell>
          <cell r="B107">
            <v>14742</v>
          </cell>
          <cell r="C107">
            <v>1.0950468168795496E-2</v>
          </cell>
        </row>
        <row r="108">
          <cell r="A108">
            <v>4120</v>
          </cell>
          <cell r="B108">
            <v>25596</v>
          </cell>
          <cell r="C108">
            <v>1.9012900776589983E-2</v>
          </cell>
        </row>
        <row r="109">
          <cell r="A109">
            <v>4130</v>
          </cell>
          <cell r="B109">
            <v>10566</v>
          </cell>
          <cell r="C109">
            <v>7.8485040477203373E-3</v>
          </cell>
        </row>
        <row r="110">
          <cell r="A110">
            <v>4140</v>
          </cell>
          <cell r="B110">
            <v>4768</v>
          </cell>
          <cell r="C110">
            <v>3.5417061612275764E-3</v>
          </cell>
        </row>
        <row r="111">
          <cell r="A111">
            <v>4150</v>
          </cell>
          <cell r="B111">
            <v>121</v>
          </cell>
          <cell r="C111">
            <v>8.9879707531152845E-5</v>
          </cell>
        </row>
        <row r="112">
          <cell r="A112">
            <v>4160</v>
          </cell>
          <cell r="B112">
            <v>0</v>
          </cell>
          <cell r="C112">
            <v>0</v>
          </cell>
        </row>
        <row r="113">
          <cell r="A113">
            <v>4037</v>
          </cell>
          <cell r="B113">
            <v>5485</v>
          </cell>
          <cell r="C113">
            <v>4.074299138912176E-3</v>
          </cell>
        </row>
        <row r="114">
          <cell r="A114">
            <v>2311</v>
          </cell>
          <cell r="B114">
            <v>15135</v>
          </cell>
          <cell r="C114">
            <v>1.124239151639668E-2</v>
          </cell>
        </row>
        <row r="115">
          <cell r="A115">
            <v>2312</v>
          </cell>
          <cell r="B115">
            <v>87</v>
          </cell>
          <cell r="C115">
            <v>6.4624252522399147E-5</v>
          </cell>
        </row>
        <row r="116">
          <cell r="A116">
            <v>2313</v>
          </cell>
          <cell r="B116">
            <v>16</v>
          </cell>
          <cell r="C116">
            <v>1.1884920004119384E-5</v>
          </cell>
        </row>
        <row r="117">
          <cell r="A117">
            <v>4032</v>
          </cell>
          <cell r="B117">
            <v>5445</v>
          </cell>
          <cell r="C117">
            <v>4.0445868389018778E-3</v>
          </cell>
        </row>
        <row r="118">
          <cell r="A118">
            <v>4033</v>
          </cell>
          <cell r="B118">
            <v>9047</v>
          </cell>
          <cell r="C118">
            <v>6.7201794548292539E-3</v>
          </cell>
        </row>
        <row r="119">
          <cell r="A119">
            <v>4034</v>
          </cell>
          <cell r="B119">
            <v>5230</v>
          </cell>
          <cell r="C119">
            <v>3.8848832263465236E-3</v>
          </cell>
        </row>
        <row r="120">
          <cell r="A120">
            <v>4035</v>
          </cell>
          <cell r="B120">
            <v>225</v>
          </cell>
          <cell r="C120">
            <v>1.6713168755792883E-4</v>
          </cell>
        </row>
        <row r="121">
          <cell r="A121">
            <v>4036</v>
          </cell>
          <cell r="B121">
            <v>70</v>
          </cell>
          <cell r="C121">
            <v>5.1996525018022304E-5</v>
          </cell>
        </row>
        <row r="122">
          <cell r="A122">
            <v>5411</v>
          </cell>
          <cell r="B122">
            <v>16706</v>
          </cell>
          <cell r="C122">
            <v>1.2409342099301151E-2</v>
          </cell>
        </row>
        <row r="123">
          <cell r="A123">
            <v>5412</v>
          </cell>
          <cell r="B123">
            <v>13259</v>
          </cell>
          <cell r="C123">
            <v>9.8488846459136824E-3</v>
          </cell>
        </row>
        <row r="124">
          <cell r="A124">
            <v>5414</v>
          </cell>
          <cell r="B124">
            <v>0</v>
          </cell>
          <cell r="C124">
            <v>0</v>
          </cell>
        </row>
        <row r="125">
          <cell r="A125">
            <v>2000</v>
          </cell>
          <cell r="B125">
            <v>0</v>
          </cell>
          <cell r="C125">
            <v>0</v>
          </cell>
        </row>
        <row r="126">
          <cell r="A126" t="str">
            <v>Grand Total</v>
          </cell>
          <cell r="B126">
            <v>1346243.811018863</v>
          </cell>
          <cell r="C126">
            <v>1</v>
          </cell>
        </row>
        <row r="127">
          <cell r="A127" t="str">
            <v>check figure</v>
          </cell>
          <cell r="B127">
            <v>0</v>
          </cell>
          <cell r="C127"/>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Corp-OH"/>
    </sheetNames>
    <sheetDataSet>
      <sheetData sheetId="0"/>
      <sheetData sheetId="1">
        <row r="11">
          <cell r="A11">
            <v>50086</v>
          </cell>
          <cell r="B11" t="str">
            <v>Safety and Training</v>
          </cell>
          <cell r="C11">
            <v>1454.67</v>
          </cell>
          <cell r="D11">
            <v>1917.41</v>
          </cell>
        </row>
        <row r="12">
          <cell r="A12">
            <v>51260</v>
          </cell>
          <cell r="B12" t="str">
            <v>Depreciation</v>
          </cell>
          <cell r="C12">
            <v>813072.89</v>
          </cell>
          <cell r="D12">
            <v>441024.44</v>
          </cell>
        </row>
        <row r="13">
          <cell r="A13">
            <v>52090</v>
          </cell>
          <cell r="B13" t="str">
            <v>Uniforms</v>
          </cell>
          <cell r="C13">
            <v>0</v>
          </cell>
          <cell r="D13">
            <v>0</v>
          </cell>
        </row>
        <row r="14">
          <cell r="A14">
            <v>52120</v>
          </cell>
          <cell r="B14" t="str">
            <v>Parts and Materials</v>
          </cell>
          <cell r="C14">
            <v>-172777.22</v>
          </cell>
          <cell r="D14">
            <v>-84809.54</v>
          </cell>
        </row>
        <row r="15">
          <cell r="A15">
            <v>56037</v>
          </cell>
          <cell r="B15" t="str">
            <v>Termination Pay</v>
          </cell>
          <cell r="C15">
            <v>0</v>
          </cell>
          <cell r="D15">
            <v>0</v>
          </cell>
        </row>
        <row r="16">
          <cell r="A16">
            <v>57255</v>
          </cell>
          <cell r="B16" t="str">
            <v>Other Prof Fees</v>
          </cell>
          <cell r="C16">
            <v>0</v>
          </cell>
          <cell r="D16">
            <v>0</v>
          </cell>
        </row>
        <row r="17">
          <cell r="A17">
            <v>57260</v>
          </cell>
          <cell r="B17" t="str">
            <v>Depreciation</v>
          </cell>
          <cell r="C17">
            <v>790132.23</v>
          </cell>
          <cell r="D17">
            <v>253978.87</v>
          </cell>
        </row>
        <row r="18">
          <cell r="A18">
            <v>59271</v>
          </cell>
          <cell r="B18" t="str">
            <v>Property and Liability Insurance</v>
          </cell>
          <cell r="C18">
            <v>11000</v>
          </cell>
          <cell r="D18">
            <v>-3805.53</v>
          </cell>
        </row>
        <row r="19">
          <cell r="A19">
            <v>59331</v>
          </cell>
          <cell r="B19" t="str">
            <v>RM Fixed Costs</v>
          </cell>
          <cell r="C19">
            <v>1255885.68</v>
          </cell>
          <cell r="D19">
            <v>427943.21</v>
          </cell>
        </row>
        <row r="20">
          <cell r="A20">
            <v>59340</v>
          </cell>
          <cell r="B20" t="str">
            <v>Self Insurance Premium</v>
          </cell>
          <cell r="C20">
            <v>0.03</v>
          </cell>
          <cell r="D20">
            <v>-0.01</v>
          </cell>
        </row>
        <row r="21">
          <cell r="A21">
            <v>70010</v>
          </cell>
          <cell r="B21" t="str">
            <v>Salaries</v>
          </cell>
          <cell r="C21">
            <v>50303605.5</v>
          </cell>
          <cell r="D21">
            <v>17299878.850000001</v>
          </cell>
        </row>
        <row r="22">
          <cell r="A22">
            <v>70015</v>
          </cell>
          <cell r="B22" t="str">
            <v>Deferred Comp Earnings</v>
          </cell>
          <cell r="C22">
            <v>3118450.63</v>
          </cell>
          <cell r="D22">
            <v>-1767478.43</v>
          </cell>
        </row>
        <row r="23">
          <cell r="A23">
            <v>70020</v>
          </cell>
          <cell r="B23" t="str">
            <v>Wages Regular</v>
          </cell>
          <cell r="C23">
            <v>843528.94</v>
          </cell>
          <cell r="D23">
            <v>333687.34999999998</v>
          </cell>
        </row>
        <row r="24">
          <cell r="A24">
            <v>70025</v>
          </cell>
          <cell r="B24" t="str">
            <v>Wages O.T.</v>
          </cell>
          <cell r="C24">
            <v>14306.64</v>
          </cell>
          <cell r="D24">
            <v>7892.5</v>
          </cell>
        </row>
        <row r="25">
          <cell r="A25">
            <v>70030</v>
          </cell>
          <cell r="B25" t="str">
            <v>Corp Allocated Bonus</v>
          </cell>
          <cell r="C25">
            <v>36000000</v>
          </cell>
          <cell r="D25">
            <v>13269576.93</v>
          </cell>
        </row>
        <row r="26">
          <cell r="A26">
            <v>70036</v>
          </cell>
          <cell r="B26" t="str">
            <v>Other Bonus/Commission - Non-Safety</v>
          </cell>
          <cell r="C26">
            <v>376970.57</v>
          </cell>
          <cell r="D26">
            <v>-4861549.5199999996</v>
          </cell>
        </row>
        <row r="27">
          <cell r="A27">
            <v>70037</v>
          </cell>
          <cell r="B27" t="str">
            <v>Termination Pay</v>
          </cell>
          <cell r="C27">
            <v>128847.74</v>
          </cell>
          <cell r="D27">
            <v>0</v>
          </cell>
        </row>
        <row r="28">
          <cell r="A28">
            <v>70045</v>
          </cell>
          <cell r="B28" t="str">
            <v>Contract Labor</v>
          </cell>
          <cell r="C28">
            <v>503426.33</v>
          </cell>
          <cell r="D28">
            <v>201521.97</v>
          </cell>
        </row>
        <row r="29">
          <cell r="A29">
            <v>70050</v>
          </cell>
          <cell r="B29" t="str">
            <v>Payroll Taxes</v>
          </cell>
          <cell r="C29">
            <v>3098603.82</v>
          </cell>
          <cell r="D29">
            <v>1227311.52</v>
          </cell>
        </row>
        <row r="30">
          <cell r="A30">
            <v>70060</v>
          </cell>
          <cell r="B30" t="str">
            <v>Group Insurance</v>
          </cell>
          <cell r="C30">
            <v>1365862.48</v>
          </cell>
          <cell r="D30">
            <v>465662.79</v>
          </cell>
        </row>
        <row r="31">
          <cell r="A31">
            <v>70065</v>
          </cell>
          <cell r="B31" t="str">
            <v>Vacation Pay</v>
          </cell>
          <cell r="C31">
            <v>56960.37</v>
          </cell>
          <cell r="D31">
            <v>21312.799999999999</v>
          </cell>
        </row>
        <row r="32">
          <cell r="A32">
            <v>70070</v>
          </cell>
          <cell r="B32" t="str">
            <v>Sick Pay</v>
          </cell>
          <cell r="C32">
            <v>0</v>
          </cell>
          <cell r="D32">
            <v>0</v>
          </cell>
        </row>
        <row r="33">
          <cell r="A33">
            <v>70086</v>
          </cell>
          <cell r="B33" t="str">
            <v>Safety and Training</v>
          </cell>
          <cell r="C33">
            <v>735805.48</v>
          </cell>
          <cell r="D33">
            <v>182942.92</v>
          </cell>
        </row>
        <row r="34">
          <cell r="A34">
            <v>70090</v>
          </cell>
          <cell r="B34" t="str">
            <v>WCN Training</v>
          </cell>
          <cell r="C34">
            <v>690188.04</v>
          </cell>
          <cell r="D34">
            <v>1125038.47</v>
          </cell>
        </row>
        <row r="35">
          <cell r="A35">
            <v>70095</v>
          </cell>
          <cell r="B35" t="str">
            <v>Empl &amp; Commun Activ</v>
          </cell>
          <cell r="C35">
            <v>994325.1</v>
          </cell>
          <cell r="D35">
            <v>812361.86</v>
          </cell>
        </row>
        <row r="36">
          <cell r="A36">
            <v>70105</v>
          </cell>
          <cell r="B36" t="str">
            <v>Employee Relocation</v>
          </cell>
          <cell r="C36">
            <v>5918673.1699999999</v>
          </cell>
          <cell r="D36">
            <v>1397162.77</v>
          </cell>
        </row>
        <row r="37">
          <cell r="A37">
            <v>70106</v>
          </cell>
          <cell r="B37" t="str">
            <v>Corporate Office Relocation</v>
          </cell>
          <cell r="C37">
            <v>0</v>
          </cell>
          <cell r="D37">
            <v>0</v>
          </cell>
        </row>
        <row r="38">
          <cell r="A38">
            <v>70110</v>
          </cell>
          <cell r="B38" t="str">
            <v>Contributions</v>
          </cell>
          <cell r="C38">
            <v>465842.16</v>
          </cell>
          <cell r="D38">
            <v>-4531.2700000000004</v>
          </cell>
        </row>
        <row r="39">
          <cell r="A39">
            <v>70112</v>
          </cell>
          <cell r="B39" t="str">
            <v>Political Contributions</v>
          </cell>
          <cell r="C39">
            <v>0</v>
          </cell>
          <cell r="D39">
            <v>0</v>
          </cell>
        </row>
        <row r="40">
          <cell r="A40">
            <v>70116</v>
          </cell>
          <cell r="B40" t="str">
            <v>Pension and Profit Sharing</v>
          </cell>
          <cell r="C40">
            <v>386091.69</v>
          </cell>
          <cell r="D40">
            <v>1517269.69</v>
          </cell>
        </row>
        <row r="41">
          <cell r="A41">
            <v>70120</v>
          </cell>
          <cell r="B41" t="str">
            <v>Plane Parts &amp; Materials</v>
          </cell>
          <cell r="C41">
            <v>238787.92</v>
          </cell>
          <cell r="D41">
            <v>8985.65</v>
          </cell>
        </row>
        <row r="42">
          <cell r="A42">
            <v>70142</v>
          </cell>
          <cell r="B42" t="str">
            <v>Fuel Expense</v>
          </cell>
          <cell r="C42">
            <v>185993.27</v>
          </cell>
          <cell r="D42">
            <v>130228.1</v>
          </cell>
        </row>
        <row r="43">
          <cell r="A43">
            <v>70145</v>
          </cell>
          <cell r="B43" t="str">
            <v>Outside Repairs</v>
          </cell>
          <cell r="C43">
            <v>243850.64</v>
          </cell>
          <cell r="D43">
            <v>-131128.91</v>
          </cell>
        </row>
        <row r="44">
          <cell r="A44">
            <v>70146</v>
          </cell>
          <cell r="B44" t="str">
            <v>Aircraft Lubricants &amp; Consumables</v>
          </cell>
          <cell r="C44">
            <v>2807.42</v>
          </cell>
          <cell r="D44">
            <v>172.21</v>
          </cell>
        </row>
        <row r="45">
          <cell r="A45">
            <v>70147</v>
          </cell>
          <cell r="B45" t="str">
            <v>Bldg &amp; Property Maint</v>
          </cell>
          <cell r="C45">
            <v>-30991.05</v>
          </cell>
          <cell r="D45">
            <v>16391.25</v>
          </cell>
        </row>
        <row r="46">
          <cell r="A46">
            <v>70165</v>
          </cell>
          <cell r="B46" t="str">
            <v>Communications</v>
          </cell>
          <cell r="C46">
            <v>286420.13</v>
          </cell>
          <cell r="D46">
            <v>81988.600000000006</v>
          </cell>
        </row>
        <row r="47">
          <cell r="A47">
            <v>70167</v>
          </cell>
          <cell r="B47" t="str">
            <v>Cellular Telephone</v>
          </cell>
          <cell r="C47">
            <v>103311.9</v>
          </cell>
          <cell r="D47">
            <v>41544.949999999997</v>
          </cell>
        </row>
        <row r="48">
          <cell r="A48">
            <v>70170</v>
          </cell>
          <cell r="B48" t="str">
            <v>Real Estate Rentals</v>
          </cell>
          <cell r="C48">
            <v>2611902.92</v>
          </cell>
          <cell r="D48">
            <v>882131.31</v>
          </cell>
        </row>
        <row r="49">
          <cell r="A49">
            <v>70175</v>
          </cell>
          <cell r="B49" t="str">
            <v>Equip/Vehicle Rental</v>
          </cell>
          <cell r="C49">
            <v>5184</v>
          </cell>
          <cell r="D49">
            <v>1728</v>
          </cell>
        </row>
        <row r="50">
          <cell r="A50">
            <v>70185</v>
          </cell>
          <cell r="B50" t="str">
            <v>Postage</v>
          </cell>
          <cell r="C50">
            <v>562439.47</v>
          </cell>
          <cell r="D50">
            <v>214865.83</v>
          </cell>
        </row>
        <row r="51">
          <cell r="A51">
            <v>70190</v>
          </cell>
          <cell r="B51" t="str">
            <v>Registration Fees</v>
          </cell>
          <cell r="C51">
            <v>1001451.33</v>
          </cell>
          <cell r="D51">
            <v>395381.08</v>
          </cell>
        </row>
        <row r="52">
          <cell r="A52">
            <v>70195</v>
          </cell>
          <cell r="B52" t="str">
            <v>Dues and Subscriptions</v>
          </cell>
          <cell r="C52">
            <v>1443347.72</v>
          </cell>
          <cell r="D52">
            <v>833765.22</v>
          </cell>
        </row>
        <row r="53">
          <cell r="A53">
            <v>70196</v>
          </cell>
          <cell r="B53" t="str">
            <v>Club Dues</v>
          </cell>
          <cell r="C53">
            <v>47619.53</v>
          </cell>
          <cell r="D53">
            <v>60188.7</v>
          </cell>
        </row>
        <row r="54">
          <cell r="A54">
            <v>70200</v>
          </cell>
          <cell r="B54" t="str">
            <v>Travel</v>
          </cell>
          <cell r="C54">
            <v>361756.82</v>
          </cell>
          <cell r="D54">
            <v>161553.16</v>
          </cell>
        </row>
        <row r="55">
          <cell r="A55">
            <v>70201</v>
          </cell>
          <cell r="B55" t="str">
            <v>Entertainment</v>
          </cell>
          <cell r="C55">
            <v>127578.91</v>
          </cell>
          <cell r="D55">
            <v>24104.58</v>
          </cell>
        </row>
        <row r="56">
          <cell r="A56">
            <v>70202</v>
          </cell>
          <cell r="B56" t="str">
            <v>Excursions Meetings</v>
          </cell>
          <cell r="C56">
            <v>1131729.0900000001</v>
          </cell>
          <cell r="D56">
            <v>108004.6</v>
          </cell>
        </row>
        <row r="57">
          <cell r="A57">
            <v>70203</v>
          </cell>
          <cell r="B57" t="str">
            <v>Lodging</v>
          </cell>
          <cell r="C57">
            <v>317114.99</v>
          </cell>
          <cell r="D57">
            <v>118697.41</v>
          </cell>
        </row>
        <row r="58">
          <cell r="A58">
            <v>70205</v>
          </cell>
          <cell r="B58" t="str">
            <v>Travel - Auto</v>
          </cell>
          <cell r="C58">
            <v>172427.7</v>
          </cell>
          <cell r="D58">
            <v>56746.12</v>
          </cell>
        </row>
        <row r="59">
          <cell r="A59">
            <v>70206</v>
          </cell>
          <cell r="B59" t="str">
            <v>Meals</v>
          </cell>
          <cell r="C59">
            <v>283068.57</v>
          </cell>
          <cell r="D59">
            <v>95023.46</v>
          </cell>
        </row>
        <row r="60">
          <cell r="A60">
            <v>70210</v>
          </cell>
          <cell r="B60" t="str">
            <v>Office Supplies and Equip</v>
          </cell>
          <cell r="C60">
            <v>112807.96</v>
          </cell>
          <cell r="D60">
            <v>65606.11</v>
          </cell>
        </row>
        <row r="61">
          <cell r="A61">
            <v>70214</v>
          </cell>
          <cell r="B61" t="str">
            <v>Credit Card Fees</v>
          </cell>
          <cell r="C61">
            <v>9341.57</v>
          </cell>
          <cell r="D61">
            <v>39825.129999999997</v>
          </cell>
        </row>
        <row r="62">
          <cell r="A62">
            <v>70215</v>
          </cell>
          <cell r="B62" t="str">
            <v>Bank Charges</v>
          </cell>
          <cell r="C62">
            <v>3600263.43</v>
          </cell>
          <cell r="D62">
            <v>1139269.4099999999</v>
          </cell>
        </row>
        <row r="63">
          <cell r="A63">
            <v>70216</v>
          </cell>
          <cell r="B63" t="str">
            <v>Outside Storages</v>
          </cell>
          <cell r="C63">
            <v>149271.85</v>
          </cell>
          <cell r="D63">
            <v>44953.79</v>
          </cell>
        </row>
        <row r="64">
          <cell r="A64">
            <v>70230</v>
          </cell>
          <cell r="B64" t="str">
            <v>External Recruiter Fees</v>
          </cell>
          <cell r="C64">
            <v>146540</v>
          </cell>
          <cell r="D64">
            <v>0</v>
          </cell>
        </row>
        <row r="65">
          <cell r="A65">
            <v>70231</v>
          </cell>
          <cell r="B65" t="str">
            <v>Recruitment Advertising &amp; Expenses</v>
          </cell>
          <cell r="C65">
            <v>327097.37</v>
          </cell>
          <cell r="D65">
            <v>635046.87</v>
          </cell>
        </row>
        <row r="66">
          <cell r="A66">
            <v>70232</v>
          </cell>
          <cell r="B66" t="str">
            <v>Recruitment Travel Expenses</v>
          </cell>
          <cell r="C66">
            <v>0</v>
          </cell>
          <cell r="D66">
            <v>0</v>
          </cell>
        </row>
        <row r="67">
          <cell r="A67">
            <v>70235</v>
          </cell>
          <cell r="B67" t="str">
            <v>Legal</v>
          </cell>
          <cell r="C67">
            <v>1543604.36</v>
          </cell>
          <cell r="D67">
            <v>1430266.85</v>
          </cell>
        </row>
        <row r="68">
          <cell r="A68">
            <v>70240</v>
          </cell>
          <cell r="B68" t="str">
            <v>Accounting Professional Fees</v>
          </cell>
          <cell r="C68">
            <v>3829169</v>
          </cell>
          <cell r="D68">
            <v>879748</v>
          </cell>
        </row>
        <row r="69">
          <cell r="A69">
            <v>70245</v>
          </cell>
          <cell r="B69" t="str">
            <v>Payroll Processing Fees</v>
          </cell>
          <cell r="C69">
            <v>612131.43000000005</v>
          </cell>
          <cell r="D69">
            <v>361921.34</v>
          </cell>
        </row>
        <row r="70">
          <cell r="A70">
            <v>70250</v>
          </cell>
          <cell r="B70" t="str">
            <v>Acquisition Cost Write Off</v>
          </cell>
          <cell r="C70">
            <v>10225194.630000001</v>
          </cell>
          <cell r="D70">
            <v>3679771.44</v>
          </cell>
        </row>
        <row r="71">
          <cell r="A71">
            <v>70255</v>
          </cell>
          <cell r="B71" t="str">
            <v>Other Prof Fees</v>
          </cell>
          <cell r="C71">
            <v>3315086.97</v>
          </cell>
          <cell r="D71">
            <v>1324581.6100000001</v>
          </cell>
        </row>
        <row r="72">
          <cell r="A72">
            <v>70260</v>
          </cell>
          <cell r="B72" t="str">
            <v>Depreciation</v>
          </cell>
          <cell r="C72">
            <v>4891923.24</v>
          </cell>
          <cell r="D72">
            <v>1816305.63</v>
          </cell>
        </row>
        <row r="73">
          <cell r="A73">
            <v>70271</v>
          </cell>
          <cell r="B73" t="str">
            <v>Property and Liability Insurance</v>
          </cell>
          <cell r="C73">
            <v>850489.2</v>
          </cell>
          <cell r="D73">
            <v>257421.7</v>
          </cell>
        </row>
        <row r="74">
          <cell r="A74">
            <v>70273</v>
          </cell>
          <cell r="B74" t="str">
            <v>Directors and Officers Insurance</v>
          </cell>
          <cell r="C74">
            <v>71208</v>
          </cell>
          <cell r="D74">
            <v>23736</v>
          </cell>
        </row>
        <row r="75">
          <cell r="A75">
            <v>70275</v>
          </cell>
          <cell r="B75" t="str">
            <v>Property Taxes</v>
          </cell>
          <cell r="C75">
            <v>112616.15</v>
          </cell>
          <cell r="D75">
            <v>53897.67</v>
          </cell>
        </row>
        <row r="76">
          <cell r="A76">
            <v>70300</v>
          </cell>
          <cell r="B76" t="str">
            <v>Data Processing</v>
          </cell>
          <cell r="C76">
            <v>368918.64</v>
          </cell>
          <cell r="D76">
            <v>-117488.9</v>
          </cell>
        </row>
        <row r="77">
          <cell r="A77">
            <v>70301</v>
          </cell>
          <cell r="B77" t="str">
            <v>Computer Software</v>
          </cell>
          <cell r="C77">
            <v>61079.68</v>
          </cell>
          <cell r="D77">
            <v>8281.92</v>
          </cell>
        </row>
        <row r="78">
          <cell r="A78">
            <v>70302</v>
          </cell>
          <cell r="B78" t="str">
            <v>Computer Supplies</v>
          </cell>
          <cell r="C78">
            <v>64731.08</v>
          </cell>
          <cell r="D78">
            <v>22673.53</v>
          </cell>
        </row>
        <row r="79">
          <cell r="A79">
            <v>70324</v>
          </cell>
          <cell r="B79" t="str">
            <v>Penalties and Violations</v>
          </cell>
          <cell r="C79">
            <v>49196.1</v>
          </cell>
          <cell r="D79">
            <v>4926.66</v>
          </cell>
        </row>
        <row r="80">
          <cell r="A80">
            <v>70345</v>
          </cell>
          <cell r="B80" t="str">
            <v>Security Services</v>
          </cell>
          <cell r="C80">
            <v>0</v>
          </cell>
          <cell r="D80">
            <v>0</v>
          </cell>
        </row>
        <row r="81">
          <cell r="A81">
            <v>70357</v>
          </cell>
          <cell r="B81" t="str">
            <v>Permits</v>
          </cell>
          <cell r="C81">
            <v>0</v>
          </cell>
          <cell r="D81">
            <v>0</v>
          </cell>
        </row>
        <row r="82">
          <cell r="A82">
            <v>70371</v>
          </cell>
          <cell r="B82" t="str">
            <v>Board of Directors Fees</v>
          </cell>
          <cell r="C82">
            <v>441302.14</v>
          </cell>
          <cell r="D82">
            <v>147585.29999999999</v>
          </cell>
        </row>
        <row r="83">
          <cell r="A83">
            <v>70372</v>
          </cell>
          <cell r="B83" t="str">
            <v>Board of Directors Expense Report</v>
          </cell>
          <cell r="C83">
            <v>16277.11</v>
          </cell>
          <cell r="D83">
            <v>21033.98</v>
          </cell>
        </row>
        <row r="84">
          <cell r="A84">
            <v>70475</v>
          </cell>
          <cell r="B84" t="str">
            <v>Trade Shows</v>
          </cell>
          <cell r="C84">
            <v>256688.65</v>
          </cell>
          <cell r="D84">
            <v>16793.68</v>
          </cell>
        </row>
        <row r="85">
          <cell r="A85"/>
          <cell r="B85" t="str">
            <v xml:space="preserve">     Total expenses</v>
          </cell>
          <cell r="C85">
            <v>147850996.78</v>
          </cell>
          <cell r="D85">
            <v>47220839.089999996</v>
          </cell>
        </row>
        <row r="86">
          <cell r="A86" t="str">
            <v>3*,!3*9</v>
          </cell>
          <cell r="B86" t="str">
            <v xml:space="preserve">     Total eliminated revenues</v>
          </cell>
          <cell r="C86">
            <v>4755418947.04</v>
          </cell>
          <cell r="D86">
            <v>1646255138.3599999</v>
          </cell>
        </row>
        <row r="89">
          <cell r="C89">
            <v>680770822.68999958</v>
          </cell>
          <cell r="D89">
            <v>223260671.86000013</v>
          </cell>
        </row>
        <row r="90">
          <cell r="C90">
            <v>5436189769.7299995</v>
          </cell>
          <cell r="D90">
            <v>1869515810.22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Western%20Region/WUTC/WIP%20Files/2195%20Yakima/General%20Rate%20Filings/6.15.2022%20General%20Rate%20Filing/Recycle%20Logs%200421-0322.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Western%20Region/WUTC/WIP%20Files/2195%20Yakima/General%20Rate%20Filings/6.15.2022%20General%20Rate%20Filing/3%20&amp;%205%20Year%20Insurance.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Yakima%20GRC%20Pro%20forma%203.31.22.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Western%20Region/WUTC/WIP%20Files/2195%20Yakima/General%20Rate%20Filings/6.15.2022%20General%20Rate%20Filing/JE%20Queries%202022-%20From%20District.xlsx" TargetMode="External"/><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4.554595601854" createdVersion="7" refreshedVersion="7" minRefreshableVersion="3" recordCount="51" xr:uid="{00000000-000A-0000-FFFF-FFFF08000000}">
  <cacheSource type="worksheet">
    <worksheetSource ref="B19:AQ70" sheet="41201 JE Query" r:id="rId2"/>
  </cacheSource>
  <cacheFields count="42">
    <cacheField name="Full Account" numFmtId="0">
      <sharedItems/>
    </cacheField>
    <cacheField name="Date" numFmtId="14">
      <sharedItems containsSemiMixedTypes="0" containsNonDate="0" containsDate="1" containsString="0" minDate="2021-04-21T00:00:00" maxDate="2022-04-01T00:00:00"/>
    </cacheField>
    <cacheField name="Amount USD" numFmtId="40">
      <sharedItems containsSemiMixedTypes="0" containsString="0" containsNumber="1" minValue="-30697.13" maxValue="30697.13"/>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4">
        <s v="CONFEDERATED TRIBES &amp; BANDS OF"/>
        <s v="PO 00267: CONFEDERATED TRIBES &amp; BANDS OF"/>
        <s v="Monthly reimbursement"/>
        <s v="Reclass Acct 43001 into 41201"/>
        <s v="Reclass from 43001"/>
        <s v="WRO B&amp;O Tax Reclass"/>
        <s v="B&amp;O Tax Accrual"/>
        <s v="Sales &amp; Use Tax True Up"/>
        <s v="Utility Tax True Up"/>
        <s v="Refuse Tax True Up"/>
        <s v="PO 00088: CONFEDERATED TRIBES &amp; BANDS OF"/>
        <s v="2022-02 WRO B&amp;O Tax Accrual"/>
        <s v="2022-03 WRO B&amp;O Tax Accrual"/>
        <s v="Passthrough Tax True Up"/>
      </sharedItems>
    </cacheField>
    <cacheField name="Date Doc" numFmtId="183">
      <sharedItems containsNonDate="0" containsDate="1" containsString="0" containsBlank="1" minDate="2021-04-01T00:00:00" maxDate="2022-03-02T00:00:00"/>
    </cacheField>
    <cacheField name="Doc Desc" numFmtId="0">
      <sharedItems containsBlank="1"/>
    </cacheField>
    <cacheField name="Doc Ctrl Num" numFmtId="0">
      <sharedItems containsDate="1" containsString="0" containsBlank="1" containsMixedTypes="1" minDate="2021-03-01T00:00:00" maxDate="2022-02-02T00:00:00"/>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Blank="1" containsMixedTypes="1" containsNumber="1" containsInteger="1" minValue="2195" maxValue="2195"/>
    </cacheField>
    <cacheField name="Date Entered" numFmtId="14">
      <sharedItems containsSemiMixedTypes="0" containsNonDate="0" containsDate="1" containsString="0" minDate="2021-04-07T00:00:00" maxDate="2022-04-08T00:00:00"/>
    </cacheField>
    <cacheField name="Date Posted" numFmtId="14">
      <sharedItems containsSemiMixedTypes="0" containsNonDate="0" containsDate="1" containsString="0" minDate="2021-04-07T00:00:00" maxDate="2022-04-08T00:00:00"/>
    </cacheField>
    <cacheField name="Amt Net" numFmtId="0">
      <sharedItems containsString="0" containsBlank="1" containsNumber="1" minValue="25450.3" maxValue="30697.1"/>
    </cacheField>
    <cacheField name="Date Due" numFmtId="14">
      <sharedItems containsNonDate="0" containsDate="1" containsString="0" containsBlank="1" minDate="2021-04-11T00:00:00" maxDate="2022-03-12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1201" maxValue="41201"/>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99"/>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4.554337499998" createdVersion="7" refreshedVersion="7" minRefreshableVersion="3" recordCount="73" xr:uid="{00000000-000A-0000-FFFF-FFFF09000000}">
  <cacheSource type="worksheet">
    <worksheetSource ref="B19:AQ92" sheet="43001 JE Query (2)" r:id="rId2"/>
  </cacheSource>
  <cacheFields count="42">
    <cacheField name="Full Account" numFmtId="0">
      <sharedItems/>
    </cacheField>
    <cacheField name="Date" numFmtId="14">
      <sharedItems containsSemiMixedTypes="0" containsNonDate="0" containsDate="1" containsString="0" minDate="2021-04-30T00:00:00" maxDate="2022-03-01T00:00:00"/>
    </cacheField>
    <cacheField name="Amount USD" numFmtId="40">
      <sharedItems containsSemiMixedTypes="0" containsString="0" containsNumber="1" minValue="-28404.57" maxValue="28442.16"/>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NonDate="0" containsString="0" containsBlank="1"/>
    </cacheField>
    <cacheField name="One Time Vendor" numFmtId="0">
      <sharedItems containsNonDate="0" containsString="0" containsBlank="1"/>
    </cacheField>
    <cacheField name="Further Description" numFmtId="0">
      <sharedItems count="28">
        <s v="2021-03 WRO B&amp;O Tax Accrual"/>
        <s v="WRO B&amp;O Tax Reclass"/>
        <s v="B&amp;O Tax Accrual"/>
        <s v="B&amp;O True Up"/>
        <s v="Refuse True Up"/>
        <s v="Sales Tax True Up"/>
        <s v="B&amp;O Tax True Up"/>
        <s v="Utility Tax True Up"/>
        <s v="2021-04 WRO B&amp;O Tax Accrual"/>
        <s v="Tax True up"/>
        <s v="Refuse Tax True Up"/>
        <s v="2021-05 WRO B&amp;O Tax Accrual"/>
        <s v="2021-06 WRO B&amp;O Tax Accrual"/>
        <s v="2021-07 WRO B&amp;O Tax Accrual"/>
        <s v="2021-08 WRO B&amp;O Tax Accrual"/>
        <s v="Sales &amp; Use Tax True Up"/>
        <s v="Unearned Rev true up"/>
        <s v="2021-09 WRO B&amp;O Tax Accrual"/>
        <s v="Accrued Sales &amp; Use Tax True Up"/>
        <s v="True up pass thru taxes"/>
        <s v="2021-10 WRO B&amp;O Tax Accrual"/>
        <s v="True up CC fees"/>
        <s v="True up RET checks"/>
        <s v="2021-11 WRO B&amp;O Tax Accrual"/>
        <s v="2021-12 WRO B&amp;O Tax Accrual"/>
        <s v="Reclass Acct 43001 into 41201"/>
        <s v="2022-01 WRO B&amp;O Tax Accrual"/>
        <s v="Reclass to 41201"/>
      </sharedItems>
    </cacheField>
    <cacheField name="Date Doc" numFmtId="183">
      <sharedItems containsNonDate="0" containsString="0" containsBlank="1"/>
    </cacheField>
    <cacheField name="Doc Desc" numFmtId="0">
      <sharedItems containsNonDate="0" containsString="0" containsBlank="1"/>
    </cacheField>
    <cacheField name="Doc Ctrl Num" numFmtId="0">
      <sharedItems containsNonDate="0" containsString="0" containsBlank="1"/>
    </cacheField>
    <cacheField name="Po Ctrl Num" numFmtId="0">
      <sharedItems containsNonDate="0" containsString="0"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NonDate="0" containsString="0" containsBlank="1"/>
    </cacheField>
    <cacheField name="Date Entered" numFmtId="14">
      <sharedItems containsSemiMixedTypes="0" containsNonDate="0" containsDate="1" containsString="0" minDate="2021-04-07T00:00:00" maxDate="2022-03-05T00:00:00"/>
    </cacheField>
    <cacheField name="Date Posted" numFmtId="14">
      <sharedItems containsSemiMixedTypes="0" containsNonDate="0" containsDate="1" containsString="0" minDate="2021-04-07T00:00:00" maxDate="2022-03-05T00:00:00"/>
    </cacheField>
    <cacheField name="Amt Net" numFmtId="0">
      <sharedItems containsNonDate="0" containsString="0" containsBlank="1"/>
    </cacheField>
    <cacheField name="Date Due" numFmtId="14">
      <sharedItems containsNonDate="0" containsString="0" containsBlank="1"/>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3001" maxValue="43001"/>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99"/>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4.597396064812" createdVersion="7" refreshedVersion="7" minRefreshableVersion="3" recordCount="23" xr:uid="{00000000-000A-0000-FFFF-FFFF0A000000}">
  <cacheSource type="worksheet">
    <worksheetSource ref="B19:AQ42" sheet="91010 JE Query (2)" r:id="rId2"/>
  </cacheSource>
  <cacheFields count="42">
    <cacheField name="Full Account" numFmtId="0">
      <sharedItems/>
    </cacheField>
    <cacheField name="Date" numFmtId="14">
      <sharedItems containsSemiMixedTypes="0" containsNonDate="0" containsDate="1" containsString="0" minDate="2021-07-31T00:00:00" maxDate="2022-04-01T00:00:00" count="6">
        <d v="2021-07-31T00:00:00"/>
        <d v="2021-10-31T00:00:00"/>
        <d v="2021-12-31T00:00:00"/>
        <d v="2022-01-31T00:00:00"/>
        <d v="2022-02-28T00:00:00"/>
        <d v="2022-03-31T00:00:00"/>
      </sharedItems>
    </cacheField>
    <cacheField name="Amount USD" numFmtId="40">
      <sharedItems containsSemiMixedTypes="0" containsString="0" containsNumber="1" minValue="-1072.75" maxValue="-24.4"/>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NonDate="0" containsString="0" containsBlank="1"/>
    </cacheField>
    <cacheField name="One Time Vendor" numFmtId="0">
      <sharedItems containsNonDate="0" containsString="0" containsBlank="1"/>
    </cacheField>
    <cacheField name="Further Description" numFmtId="0">
      <sharedItems/>
    </cacheField>
    <cacheField name="Date Doc" numFmtId="183">
      <sharedItems containsNonDate="0" containsString="0" containsBlank="1"/>
    </cacheField>
    <cacheField name="FAR #" numFmtId="0">
      <sharedItems/>
    </cacheField>
    <cacheField name="Description from FAR" numFmtId="17">
      <sharedItems count="4">
        <s v="Container"/>
        <s v="RO Box"/>
        <s v="Tractor - Non-Reg"/>
        <s v="Shop Equipment"/>
      </sharedItems>
    </cacheField>
    <cacheField name="Po Ctrl Num" numFmtId="0">
      <sharedItems containsNonDate="0" containsString="0"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NonDate="0" containsString="0" containsBlank="1"/>
    </cacheField>
    <cacheField name="Date Entered" numFmtId="14">
      <sharedItems containsSemiMixedTypes="0" containsNonDate="0" containsDate="1" containsString="0" minDate="2021-08-05T00:00:00" maxDate="2022-04-07T00:00:00"/>
    </cacheField>
    <cacheField name="Date Posted" numFmtId="14">
      <sharedItems containsSemiMixedTypes="0" containsNonDate="0" containsDate="1" containsString="0" minDate="2021-08-05T00:00:00" maxDate="2022-04-07T00:00:00"/>
    </cacheField>
    <cacheField name="Amt Net" numFmtId="0">
      <sharedItems containsNonDate="0" containsString="0" containsBlank="1"/>
    </cacheField>
    <cacheField name="Date Due" numFmtId="14">
      <sharedItems containsNonDate="0" containsString="0" containsBlank="1"/>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0"/>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91010" maxValue="91010" count="1">
        <n v="91010"/>
      </sharedItems>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ole Moser" refreshedDate="44720.788629629627" createdVersion="6" refreshedVersion="6" minRefreshableVersion="3" recordCount="1345" xr:uid="{00000000-000A-0000-FFFF-FFFF0B000000}">
  <cacheSource type="worksheet">
    <worksheetSource ref="A1:G1346" sheet="Data" r:id="rId2"/>
  </cacheSource>
  <cacheFields count="7">
    <cacheField name="Date" numFmtId="0">
      <sharedItems containsDate="1" containsMixedTypes="1" minDate="2012-04-12T00:00:00" maxDate="2022-04-01T00:00:00"/>
    </cacheField>
    <cacheField name="Ticket #" numFmtId="0">
      <sharedItems containsSemiMixedTypes="0" containsString="0" containsNumber="1" containsInteger="1" minValue="40295" maxValue="41648"/>
    </cacheField>
    <cacheField name="Driver" numFmtId="0">
      <sharedItems containsBlank="1"/>
    </cacheField>
    <cacheField name="Rt" numFmtId="0">
      <sharedItems containsBlank="1" containsMixedTypes="1" containsNumber="1" containsInteger="1" minValue="2" maxValue="86"/>
    </cacheField>
    <cacheField name="Description" numFmtId="0">
      <sharedItems containsBlank="1" count="5">
        <s v="Commercial (non-regulated)"/>
        <s v="Residential (regulated)"/>
        <s v="Naches (non-regulated)"/>
        <s v="Other (non-regulated)"/>
        <m/>
      </sharedItems>
    </cacheField>
    <cacheField name="Lbs" numFmtId="164">
      <sharedItems containsString="0" containsBlank="1" containsNumber="1" containsInteger="1" minValue="620" maxValue="12380"/>
    </cacheField>
    <cacheField name="Tons" numFmtId="43">
      <sharedItems containsString="0" containsBlank="1" containsNumber="1" minValue="0.31" maxValue="6.1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1194074074" createdVersion="7" refreshedVersion="7" minRefreshableVersion="3" recordCount="196" xr:uid="{00000000-000A-0000-FFFF-FFFF0C000000}">
  <cacheSource type="worksheet">
    <worksheetSource ref="B19:AQ215" sheet="5 Year Insurance" r:id="rId2"/>
  </cacheSource>
  <cacheFields count="44">
    <cacheField name="Full Account" numFmtId="0">
      <sharedItems count="5">
        <s v="59341-2195-000-00"/>
        <s v="59400-2195-000-00"/>
        <s v="59343-2195-000-00"/>
        <s v="59344-2195-000-00"/>
        <s v="59342-2195-000-00"/>
      </sharedItems>
    </cacheField>
    <cacheField name="Date" numFmtId="14">
      <sharedItems containsSemiMixedTypes="0" containsNonDate="0" containsDate="1" containsString="0" minDate="2017-04-21T00:00:00" maxDate="2022-04-01T00:00:00" count="70">
        <d v="2017-04-21T00:00:00"/>
        <d v="2017-04-30T00:00:00"/>
        <d v="2017-05-31T00:00:00"/>
        <d v="2017-06-19T00:00:00"/>
        <d v="2017-06-30T00:00:00"/>
        <d v="2017-07-31T00:00:00"/>
        <d v="2017-09-30T00:00:00"/>
        <d v="2017-10-31T00:00:00"/>
        <d v="2017-11-30T00:00:00"/>
        <d v="2017-12-31T00:00:00"/>
        <d v="2018-01-12T00:00:00"/>
        <d v="2018-01-31T00:00:00"/>
        <d v="2018-02-28T00:00:00"/>
        <d v="2018-03-31T00:00:00"/>
        <d v="2018-04-27T00:00:00"/>
        <d v="2018-04-30T00:00:00"/>
        <d v="2018-05-31T00:00:00"/>
        <d v="2018-06-26T00:00:00"/>
        <d v="2018-06-30T00:00:00"/>
        <d v="2018-07-31T00:00:00"/>
        <d v="2018-08-31T00:00:00"/>
        <d v="2018-09-30T00:00:00"/>
        <d v="2018-10-31T00:00:00"/>
        <d v="2018-11-30T00:00:00"/>
        <d v="2018-12-21T00:00:00"/>
        <d v="2018-12-31T00:00:00"/>
        <d v="2019-01-24T00:00:00"/>
        <d v="2019-01-31T00:00:00"/>
        <d v="2019-02-28T00:00:00"/>
        <d v="2019-03-31T00:00:00"/>
        <d v="2019-04-30T00:00:00"/>
        <d v="2019-05-31T00:00:00"/>
        <d v="2019-06-30T00:00:00"/>
        <d v="2019-07-31T00:00:00"/>
        <d v="2019-08-31T00:00:00"/>
        <d v="2019-11-30T00:00:00"/>
        <d v="2019-12-09T00:00:00"/>
        <d v="2019-12-31T00:00:00"/>
        <d v="2020-01-31T00:00:00"/>
        <d v="2020-02-29T00:00:00"/>
        <d v="2020-03-31T00:00:00"/>
        <d v="2020-04-30T00:00:00"/>
        <d v="2020-05-07T00:00:00"/>
        <d v="2020-05-31T00:00:00"/>
        <d v="2020-07-31T00:00:00"/>
        <d v="2020-08-26T00:00:00"/>
        <d v="2020-08-31T00:00:00"/>
        <d v="2020-09-30T00:00:00"/>
        <d v="2020-10-16T00:00:00"/>
        <d v="2020-10-31T00:00:00"/>
        <d v="2020-11-30T00:00:00"/>
        <d v="2020-12-18T00:00:00"/>
        <d v="2020-12-31T00:00:00"/>
        <d v="2021-01-31T00:00:00"/>
        <d v="2021-02-28T00:00:00"/>
        <d v="2021-03-31T00:00:00"/>
        <d v="2021-04-23T00:00:00"/>
        <d v="2021-04-30T00:00:00"/>
        <d v="2021-05-31T00:00:00"/>
        <d v="2021-06-30T00:00:00"/>
        <d v="2021-07-31T00:00:00"/>
        <d v="2021-08-31T00:00:00"/>
        <d v="2021-09-30T00:00:00"/>
        <d v="2021-10-31T00:00:00"/>
        <d v="2021-11-30T00:00:00"/>
        <d v="2021-12-29T00:00:00"/>
        <d v="2021-12-31T00:00:00"/>
        <d v="2022-01-31T00:00:00"/>
        <d v="2022-02-28T00:00:00"/>
        <d v="2022-03-31T00:00:00"/>
      </sharedItems>
      <fieldGroup par="43" base="1">
        <rangePr groupBy="months" startDate="2017-04-21T00:00:00" endDate="2022-04-01T00:00:00"/>
        <groupItems count="14">
          <s v="&lt;4/21/2017"/>
          <s v="Jan"/>
          <s v="Feb"/>
          <s v="Mar"/>
          <s v="Apr"/>
          <s v="May"/>
          <s v="Jun"/>
          <s v="Jul"/>
          <s v="Aug"/>
          <s v="Sep"/>
          <s v="Oct"/>
          <s v="Nov"/>
          <s v="Dec"/>
          <s v="&gt;4/1/2022"/>
        </groupItems>
      </fieldGroup>
    </cacheField>
    <cacheField name="Amount USD" numFmtId="40">
      <sharedItems containsSemiMixedTypes="0" containsString="0" containsNumber="1" minValue="-40767.24" maxValue="7608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Blank="1"/>
    </cacheField>
    <cacheField name="Further Description" numFmtId="0">
      <sharedItems/>
    </cacheField>
    <cacheField name="Date Doc" numFmtId="183">
      <sharedItems containsNonDate="0" containsDate="1" containsString="0" containsBlank="1" minDate="2017-06-01T00:00:00" maxDate="2021-12-10T00:00:00"/>
    </cacheField>
    <cacheField name="Doc Desc" numFmtId="0">
      <sharedItems containsBlank="1"/>
    </cacheField>
    <cacheField name="Doc Ctrl Num" numFmtId="0">
      <sharedItems containsBlank="1" containsMixedTypes="1" containsNumber="1" containsInteger="1" minValue="148" maxValue="8094534"/>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Blank="1" containsMixedTypes="1" containsNumber="1" containsInteger="1" minValue="2195" maxValue="2195"/>
    </cacheField>
    <cacheField name="Date Entered" numFmtId="14">
      <sharedItems containsSemiMixedTypes="0" containsNonDate="0" containsDate="1" containsString="0" minDate="2017-04-21T00:00:00" maxDate="2022-04-05T00:00:00"/>
    </cacheField>
    <cacheField name="Date Posted" numFmtId="14">
      <sharedItems containsSemiMixedTypes="0" containsNonDate="0" containsDate="1" containsString="0" minDate="2017-04-25T00:00:00" maxDate="2022-04-05T00:00:00"/>
    </cacheField>
    <cacheField name="Amt Net" numFmtId="0">
      <sharedItems containsString="0" containsBlank="1" containsNumber="1" minValue="476.08" maxValue="27349.7"/>
    </cacheField>
    <cacheField name="Date Due" numFmtId="14">
      <sharedItems containsNonDate="0" containsDate="1" containsString="0" containsBlank="1" minDate="2017-06-02T00:00:00" maxDate="2021-12-20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59341" maxValue="59400"/>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 name="Quarters" numFmtId="0" databaseField="0">
      <fieldGroup base="1">
        <rangePr groupBy="quarters" startDate="2017-04-21T00:00:00" endDate="2022-04-01T00:00:00"/>
        <groupItems count="6">
          <s v="&lt;4/21/2017"/>
          <s v="Qtr1"/>
          <s v="Qtr2"/>
          <s v="Qtr3"/>
          <s v="Qtr4"/>
          <s v="&gt;4/1/2022"/>
        </groupItems>
      </fieldGroup>
    </cacheField>
    <cacheField name="Years" numFmtId="0" databaseField="0">
      <fieldGroup base="1">
        <rangePr groupBy="years" startDate="2017-04-21T00:00:00" endDate="2022-04-01T00:00:00"/>
        <groupItems count="8">
          <s v="&lt;4/21/2017"/>
          <s v="2017"/>
          <s v="2018"/>
          <s v="2019"/>
          <s v="2020"/>
          <s v="2021"/>
          <s v="2022"/>
          <s v="&gt;4/1/2022"/>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00710185188" createdVersion="7" refreshedVersion="7" minRefreshableVersion="3" recordCount="35" xr:uid="{00000000-000A-0000-FFFF-FFFF0D000000}">
  <cacheSource type="worksheet">
    <worksheetSource ref="B19:AQ54" sheet="70195 JE Query (2)" r:id="rId2"/>
  </cacheSource>
  <cacheFields count="42">
    <cacheField name="Full Account" numFmtId="0">
      <sharedItems/>
    </cacheField>
    <cacheField name="Date" numFmtId="14">
      <sharedItems containsSemiMixedTypes="0" containsNonDate="0" containsDate="1" containsString="0" minDate="2021-04-23T00:00:00" maxDate="2022-04-01T00:00:00"/>
    </cacheField>
    <cacheField name="Amount USD" numFmtId="40">
      <sharedItems containsSemiMixedTypes="0" containsString="0" containsNumber="1" minValue="-500" maxValue="5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6">
        <s v="WASHINGTON REFUSE &amp; RECYCLING ASSOC"/>
        <s v="FMCSA D&amp;A CLEARINGHOUSE~MICHELLE KENNEY"/>
        <s v="PO 01776 - SQ  LAW PUBLICATIONS~CHRISTIE"/>
        <s v="PO 01869: Yakima Valley Tourism: PCard:"/>
        <s v="Chamber membership dues 2021-2022"/>
        <s v="WRRA Regular Dues"/>
        <s v="June 2021 WRRA Regular Dues - Invoice De"/>
        <s v="SELAH CHAMBER OF COMMERCE"/>
        <s v="YAKIMA CHAMBER OF COMMERCE"/>
        <s v="PO 01869 - IN  YAKIMA VALLEY VISITOR~CHR"/>
        <s v="2022 vendor license"/>
        <s v="YAKAMA NATION GAMING COMMISSION"/>
        <s v="CITY OF SELAH"/>
        <s v="PO 02684 - CO YAKIMA I PERMITS LICEN~CHR"/>
        <s v="Nov WRRA Regular Dues"/>
        <s v="PO 01046 - ASSOC OF WA BUSINESS 02~MARLE"/>
      </sharedItems>
    </cacheField>
    <cacheField name="Date Doc" numFmtId="183">
      <sharedItems containsNonDate="0" containsDate="1" containsString="0" containsBlank="1" minDate="2021-04-01T00:00:00" maxDate="2022-03-02T00:00:00"/>
    </cacheField>
    <cacheField name="Doc Desc" numFmtId="0">
      <sharedItems containsBlank="1"/>
    </cacheField>
    <cacheField name="Doc Ctrl Num" numFmtId="0">
      <sharedItems containsBlank="1" containsMixedTypes="1" containsNumber="1" containsInteger="1" minValue="1346" maxValue="16502"/>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Blank="1" containsMixedTypes="1" containsNumber="1" containsInteger="1" minValue="2000" maxValue="2195"/>
    </cacheField>
    <cacheField name="Date Entered" numFmtId="14">
      <sharedItems containsSemiMixedTypes="0" containsNonDate="0" containsDate="1" containsString="0" minDate="2021-04-23T00:00:00" maxDate="2022-04-05T00:00:00"/>
    </cacheField>
    <cacheField name="Date Posted" numFmtId="14">
      <sharedItems containsSemiMixedTypes="0" containsNonDate="0" containsDate="1" containsString="0" minDate="2021-04-28T00:00:00" maxDate="2022-04-05T00:00:00"/>
    </cacheField>
    <cacheField name="Amt Net" numFmtId="0">
      <sharedItems containsString="0" containsBlank="1" containsNumber="1" containsInteger="1" minValue="125" maxValue="9180"/>
    </cacheField>
    <cacheField name="Date Due" numFmtId="14">
      <sharedItems containsNonDate="0" containsDate="1" containsString="0" containsBlank="1" minDate="2021-05-06T00:00:00" maxDate="2022-04-06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195" maxValue="70195"/>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00093171293" createdVersion="7" refreshedVersion="7" minRefreshableVersion="3" recordCount="70" xr:uid="{00000000-000A-0000-FFFF-FFFF0E000000}">
  <cacheSource type="worksheet">
    <worksheetSource ref="B19:AQ89" sheet="70255 JE Query" r:id="rId2"/>
  </cacheSource>
  <cacheFields count="42">
    <cacheField name="Full Account" numFmtId="0">
      <sharedItems/>
    </cacheField>
    <cacheField name="Date" numFmtId="14">
      <sharedItems containsSemiMixedTypes="0" containsNonDate="0" containsDate="1" containsString="0" minDate="2021-04-14T00:00:00" maxDate="2022-04-01T00:00:00"/>
    </cacheField>
    <cacheField name="Amount USD" numFmtId="40">
      <sharedItems containsSemiMixedTypes="0" containsString="0" containsNumber="1" minValue="-4000" maxValue="41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Blank="1"/>
    </cacheField>
    <cacheField name="Further Description" numFmtId="0">
      <sharedItems count="30">
        <s v="SCOTT A CAVE"/>
        <s v="BERKELEY RESEARCH GROUP LLC"/>
        <s v="2021 CONSULTANT FEE"/>
        <s v="Reclass WA Lobbying"/>
        <s v="Recollect Amortization"/>
        <s v="Reclass Lobbying to Oth Prof Fees for We"/>
        <s v="PO 00190: SCOTT A CAVE: CHECK: 2021 CONS"/>
        <s v="OPTIMUM MAY 102089"/>
        <s v="OPTIMUM JUNE ACCRUAL"/>
        <s v="Weinman Consulting Reclass"/>
        <s v="OPTIMUM JUNE 102095"/>
        <s v="OPTIMUM JULY 102101"/>
        <s v="OPTIMUM AUGUST 102104"/>
        <s v="Renewal for app"/>
        <s v="RECOLLECT SYSTEMS INC"/>
        <s v="OPTIMUM AUGUST 102112"/>
        <s v="PO 02158 - ROBERT~CHRISTIE HERBST"/>
        <s v="OPTIMUM OCTOBER 102118"/>
        <s v="TERRACE HEIGHTS SEWER DISTRICT"/>
        <s v="OPTIMUM NOVEMBER 102126"/>
        <s v="OPTIMUM DECEMBER 102133"/>
        <s v="OPTIMUM JAN 102140"/>
        <s v="PO 00157: SCOTT A CAVE: CHECK: 2022 CONS"/>
        <s v="PO 00266: RSA: PCard: 2022 Annual websit"/>
        <s v="PO 00267: RSA: PCard: Website updates (2"/>
        <s v="OPTIMUM FEB 102144"/>
        <s v="PO 00266 - ROBERTSHARP~CHRISTIE HERBST"/>
        <s v="PO 00267 - ROBERTSHARP~CHRISTIE HERBST"/>
        <s v="2022 CONSULTANT FEE"/>
        <s v="OPTIMUM MARCH 102151"/>
      </sharedItems>
    </cacheField>
    <cacheField name="Date Doc" numFmtId="183">
      <sharedItems containsNonDate="0" containsDate="1" containsString="0" containsBlank="1" minDate="2021-03-31T00:00:00" maxDate="2022-03-01T00:00:00"/>
    </cacheField>
    <cacheField name="Doc Desc" numFmtId="0">
      <sharedItems containsBlank="1"/>
    </cacheField>
    <cacheField name="Doc Ctrl Num" numFmtId="0">
      <sharedItems containsBlank="1" containsMixedTypes="1" containsNumber="1" containsInteger="1" minValue="20710" maxValue="980765"/>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2000" maxValue="2195"/>
    </cacheField>
    <cacheField name="Date Entered" numFmtId="14">
      <sharedItems containsSemiMixedTypes="0" containsNonDate="0" containsDate="1" containsString="0" minDate="2021-04-07T00:00:00" maxDate="2022-04-08T00:00:00"/>
    </cacheField>
    <cacheField name="Date Posted" numFmtId="14">
      <sharedItems containsSemiMixedTypes="0" containsNonDate="0" containsDate="1" containsString="0" minDate="2021-04-07T00:00:00" maxDate="2022-04-08T00:00:00"/>
    </cacheField>
    <cacheField name="Amt Net" numFmtId="0">
      <sharedItems containsString="0" containsBlank="1" containsNumber="1" containsInteger="1" minValue="125" maxValue="16000"/>
    </cacheField>
    <cacheField name="Date Due" numFmtId="14">
      <sharedItems containsNonDate="0" containsDate="1" containsString="0" containsBlank="1" minDate="2021-04-10T00:00:00" maxDate="2022-03-11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255" maxValue="70255"/>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dsay Waldram" refreshedDate="44719.503104513889" createdVersion="7" refreshedVersion="7" minRefreshableVersion="3" recordCount="45" xr:uid="{00000000-000A-0000-FFFF-FFFF0F000000}">
  <cacheSource type="worksheet">
    <worksheetSource ref="B19:AQ64" sheet="70235 JE Query" r:id="rId2"/>
  </cacheSource>
  <cacheFields count="42">
    <cacheField name="Full Account" numFmtId="0">
      <sharedItems/>
    </cacheField>
    <cacheField name="Date" numFmtId="14">
      <sharedItems containsSemiMixedTypes="0" containsNonDate="0" containsDate="1" containsString="0" minDate="2021-04-30T00:00:00" maxDate="2022-04-01T00:00:00"/>
    </cacheField>
    <cacheField name="Amount USD" numFmtId="40">
      <sharedItems containsSemiMixedTypes="0" containsString="0" containsNumber="1" minValue="-24217.7" maxValue="24217.7"/>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0">
        <s v="Legal Accrual"/>
        <s v="Reclass WA Lobbying"/>
        <s v="WEINMAN CONSULTING SERVICES"/>
        <s v="STOEL RIVES ATTORNEYS AT LAW, LLP"/>
        <s v="DAVIS GRIMM PAYNE AND MARRA"/>
        <s v="Reclass Lobbying to Oth Prof Fees for We"/>
        <s v="PARKINSON &amp; PHINNEY"/>
        <s v="WILLIAMS KASTNER AND GIBBS PLLC"/>
        <s v="Davis Grimm"/>
        <s v="Weinman Consulting Reclass"/>
      </sharedItems>
    </cacheField>
    <cacheField name="Date Doc" numFmtId="183">
      <sharedItems containsNonDate="0" containsDate="1" containsString="0" containsBlank="1" minDate="2021-02-21T00:00:00" maxDate="2022-01-18T00:00:00"/>
    </cacheField>
    <cacheField name="Doc Desc" numFmtId="0">
      <sharedItems containsBlank="1"/>
    </cacheField>
    <cacheField name="Doc Ctrl Num" numFmtId="0">
      <sharedItems containsBlank="1" containsMixedTypes="1" containsNumber="1" containsInteger="1" minValue="1266" maxValue="4304163"/>
    </cacheField>
    <cacheField name="Po Ctrl Num" numFmtId="0">
      <sharedItems containsBlank="1" containsMixedTypes="1" containsNumber="1" containsInteger="1" minValue="1266" maxValue="4304163"/>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1010" maxValue="1010"/>
    </cacheField>
    <cacheField name="Date Entered" numFmtId="14">
      <sharedItems containsSemiMixedTypes="0" containsNonDate="0" containsDate="1" containsString="0" minDate="2021-04-07T00:00:00" maxDate="2022-04-08T00:00:00"/>
    </cacheField>
    <cacheField name="Date Posted" numFmtId="14">
      <sharedItems containsSemiMixedTypes="0" containsNonDate="0" containsDate="1" containsString="0" minDate="2021-04-07T00:00:00" maxDate="2022-04-08T00:00:00"/>
    </cacheField>
    <cacheField name="Amt Net" numFmtId="0">
      <sharedItems containsString="0" containsBlank="1" containsNumber="1" minValue="142.5" maxValue="24217.7"/>
    </cacheField>
    <cacheField name="Date Due" numFmtId="14">
      <sharedItems containsNonDate="0" containsDate="1" containsString="0" containsBlank="1" minDate="2021-03-13T00:00:00" maxDate="2022-02-12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70235" maxValue="70235"/>
    </cacheField>
    <cacheField name="Seg2" numFmtId="0">
      <sharedItems containsSemiMixedTypes="0" containsString="0" containsNumber="1" containsInteger="1" minValue="2195" maxValue="2195"/>
    </cacheField>
    <cacheField name="Seg3" numFmtId="0">
      <sharedItems containsSemiMixedTypes="0" containsString="0" containsNumber="1" containsInteger="1" minValue="0" maxValue="10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41201-2195-000-00"/>
    <d v="2021-04-21T00:00:00"/>
    <n v="28310.31"/>
    <n v="0"/>
    <s v="USD"/>
    <s v="JRNLWA00426909"/>
    <s v="P"/>
    <s v="From Voucher Posting."/>
    <s v="asnell"/>
    <s v="0/JE IC"/>
    <s v="VUS000015387"/>
    <m/>
    <x v="0"/>
    <d v="2021-04-01T00:00:00"/>
    <s v="Monthly reimbursement"/>
    <d v="2021-03-01T00:00:00"/>
    <s v="PO-2195-21-00267"/>
    <m/>
    <m/>
    <s v="VO05761629"/>
    <s v="JRNL01012490"/>
    <s v="FX2195"/>
    <d v="2021-04-21T00:00:00"/>
    <d v="2021-04-28T00:00:00"/>
    <n v="28310.3"/>
    <d v="2021-04-11T00:00:00"/>
    <s v="wci_wa"/>
    <n v="0"/>
    <n v="0"/>
    <n v="0"/>
    <n v="0"/>
    <n v="0"/>
    <n v="1"/>
    <n v="41201"/>
    <n v="2195"/>
    <n v="0"/>
    <n v="0"/>
    <m/>
    <m/>
    <m/>
    <m/>
    <s v="VO05761629"/>
  </r>
  <r>
    <s v="41201-2195-000-00"/>
    <d v="2021-04-30T00:00:00"/>
    <n v="-28310.31"/>
    <n v="0"/>
    <s v="USD"/>
    <s v="JRNLWA00426458"/>
    <s v="P"/>
    <s v="OPEX8 - AP ACCRUAL"/>
    <s v="ahuynh"/>
    <s v="0/JE IC"/>
    <m/>
    <m/>
    <x v="1"/>
    <m/>
    <m/>
    <m/>
    <m/>
    <m/>
    <m/>
    <s v="JRNL01011131"/>
    <s v="JRNL01011333"/>
    <m/>
    <d v="2021-04-07T00:00:00"/>
    <d v="2021-04-07T00:00:00"/>
    <m/>
    <m/>
    <s v="wci_wa"/>
    <n v="0"/>
    <n v="0"/>
    <n v="0"/>
    <n v="0"/>
    <n v="5"/>
    <n v="1"/>
    <n v="41201"/>
    <n v="2195"/>
    <n v="0"/>
    <n v="0"/>
    <m/>
    <m/>
    <m/>
    <m/>
    <s v=""/>
  </r>
  <r>
    <s v="41201-2195-000-00"/>
    <d v="2021-04-30T00:00:00"/>
    <n v="29185.82"/>
    <n v="0"/>
    <s v="USD"/>
    <s v="JRNLWA00428052"/>
    <s v="P"/>
    <s v="OPEX8 - AP ACCRUAL"/>
    <s v="HelenaK"/>
    <s v="0/JE IC"/>
    <m/>
    <m/>
    <x v="1"/>
    <m/>
    <m/>
    <m/>
    <m/>
    <m/>
    <m/>
    <s v="JRNL01014933"/>
    <s v="JRNL01014933"/>
    <m/>
    <d v="2021-05-06T00:00:00"/>
    <d v="2021-05-06T00:00:00"/>
    <m/>
    <m/>
    <s v="wci_wa"/>
    <n v="0"/>
    <n v="0"/>
    <n v="0"/>
    <n v="0"/>
    <n v="0"/>
    <n v="1"/>
    <n v="41201"/>
    <n v="2195"/>
    <n v="0"/>
    <n v="0"/>
    <m/>
    <m/>
    <m/>
    <m/>
    <s v=""/>
  </r>
  <r>
    <s v="41201-2195-000-00"/>
    <d v="2021-05-19T00:00:00"/>
    <n v="29185.82"/>
    <n v="0"/>
    <s v="USD"/>
    <s v="JRNLWA00428487"/>
    <s v="P"/>
    <s v="From Voucher Posting."/>
    <s v="asnell"/>
    <s v="0/JE IC"/>
    <s v="VUS000015387"/>
    <m/>
    <x v="0"/>
    <d v="2021-05-01T00:00:00"/>
    <s v="Monthly reimbursement"/>
    <d v="2021-04-01T00:00:00"/>
    <s v="PO-2195-21-00267"/>
    <m/>
    <m/>
    <s v="VO05791084"/>
    <s v="JRNL01016019"/>
    <s v="FX2195"/>
    <d v="2021-05-19T00:00:00"/>
    <d v="2021-05-20T00:00:00"/>
    <n v="29185.8"/>
    <d v="2021-05-11T00:00:00"/>
    <s v="wci_wa"/>
    <n v="0"/>
    <n v="0"/>
    <n v="0"/>
    <n v="0"/>
    <n v="0"/>
    <n v="1"/>
    <n v="41201"/>
    <n v="2195"/>
    <n v="0"/>
    <n v="0"/>
    <m/>
    <m/>
    <m/>
    <m/>
    <s v="VO05791084"/>
  </r>
  <r>
    <s v="41201-2195-000-00"/>
    <d v="2021-05-31T00:00:00"/>
    <n v="-29185.82"/>
    <n v="0"/>
    <s v="USD"/>
    <s v="JRNLWA00428115"/>
    <s v="P"/>
    <s v="OPEX8 - AP ACCRUAL"/>
    <s v="pabbott"/>
    <s v="0/JE IC"/>
    <m/>
    <m/>
    <x v="1"/>
    <m/>
    <m/>
    <m/>
    <m/>
    <m/>
    <m/>
    <s v="JRNL01014933"/>
    <s v="JRNL01014973"/>
    <m/>
    <d v="2021-05-06T00:00:00"/>
    <d v="2021-05-07T00:00:00"/>
    <m/>
    <m/>
    <s v="wci_wa"/>
    <n v="0"/>
    <n v="0"/>
    <n v="0"/>
    <n v="0"/>
    <n v="5"/>
    <n v="1"/>
    <n v="41201"/>
    <n v="2195"/>
    <n v="0"/>
    <n v="0"/>
    <m/>
    <m/>
    <m/>
    <m/>
    <s v=""/>
  </r>
  <r>
    <s v="41201-2195-000-00"/>
    <d v="2021-05-31T00:00:00"/>
    <n v="27688.400000000001"/>
    <n v="0"/>
    <s v="USD"/>
    <s v="JRNLWA00429581"/>
    <s v="P"/>
    <s v="OPEX8 - AP ACCRUAL"/>
    <s v="ahuynh"/>
    <s v="0/JE IC"/>
    <m/>
    <m/>
    <x v="1"/>
    <m/>
    <m/>
    <m/>
    <m/>
    <m/>
    <m/>
    <s v="JRNL01018286"/>
    <s v="JRNL01018286"/>
    <m/>
    <d v="2021-06-04T00:00:00"/>
    <d v="2021-06-07T00:00:00"/>
    <m/>
    <m/>
    <s v="wci_wa"/>
    <n v="0"/>
    <n v="0"/>
    <n v="0"/>
    <n v="0"/>
    <n v="0"/>
    <n v="1"/>
    <n v="41201"/>
    <n v="2195"/>
    <n v="0"/>
    <n v="0"/>
    <m/>
    <m/>
    <m/>
    <m/>
    <s v=""/>
  </r>
  <r>
    <s v="41201-2195-000-00"/>
    <d v="2021-06-09T00:00:00"/>
    <n v="27688.400000000001"/>
    <n v="0"/>
    <s v="USD"/>
    <s v="JRNLWA00429936"/>
    <s v="P"/>
    <s v="From Voucher Posting."/>
    <s v="asnell"/>
    <s v="0/JE IC"/>
    <s v="VUS000015387"/>
    <m/>
    <x v="0"/>
    <d v="2021-06-01T00:00:00"/>
    <s v="Monthly reimbursement"/>
    <d v="2021-05-01T00:00:00"/>
    <s v="PO-2195-21-00267"/>
    <m/>
    <m/>
    <s v="VO05811879"/>
    <s v="JRNL01019175"/>
    <s v="FX2195"/>
    <d v="2021-06-09T00:00:00"/>
    <d v="2021-06-09T00:00:00"/>
    <n v="27688.400000000001"/>
    <d v="2021-06-11T00:00:00"/>
    <s v="wci_wa"/>
    <n v="0"/>
    <n v="0"/>
    <n v="0"/>
    <n v="0"/>
    <n v="0"/>
    <n v="1"/>
    <n v="41201"/>
    <n v="2195"/>
    <n v="0"/>
    <n v="0"/>
    <m/>
    <m/>
    <m/>
    <m/>
    <s v="VO05811879"/>
  </r>
  <r>
    <s v="41201-2195-000-00"/>
    <d v="2021-06-30T00:00:00"/>
    <n v="-27688.400000000001"/>
    <n v="0"/>
    <s v="USD"/>
    <s v="JRNLWA00429669"/>
    <s v="P"/>
    <s v="OPEX8 - AP ACCRUAL"/>
    <s v="HelenaK"/>
    <s v="0/JE IC"/>
    <m/>
    <m/>
    <x v="1"/>
    <m/>
    <m/>
    <m/>
    <m/>
    <m/>
    <m/>
    <s v="JRNL01018286"/>
    <s v="JRNL01018358"/>
    <m/>
    <d v="2021-06-05T00:00:00"/>
    <d v="2021-06-07T00:00:00"/>
    <m/>
    <m/>
    <s v="wci_wa"/>
    <n v="0"/>
    <n v="0"/>
    <n v="0"/>
    <n v="0"/>
    <n v="5"/>
    <n v="1"/>
    <n v="41201"/>
    <n v="2195"/>
    <n v="0"/>
    <n v="0"/>
    <m/>
    <m/>
    <m/>
    <m/>
    <s v=""/>
  </r>
  <r>
    <s v="41201-2195-000-00"/>
    <d v="2021-06-30T00:00:00"/>
    <n v="29799.759999999998"/>
    <n v="0"/>
    <s v="USD"/>
    <s v="JRNLWA00431289"/>
    <s v="P"/>
    <s v="OPEX8 - AP ACCRUAL"/>
    <s v="HeatherH"/>
    <s v="0/JE IC"/>
    <m/>
    <m/>
    <x v="1"/>
    <m/>
    <m/>
    <m/>
    <m/>
    <m/>
    <m/>
    <s v="JRNL01022245"/>
    <s v="JRNL01022245"/>
    <m/>
    <d v="2021-07-08T00:00:00"/>
    <d v="2021-07-08T00:00:00"/>
    <m/>
    <m/>
    <s v="wci_wa"/>
    <n v="0"/>
    <n v="0"/>
    <n v="0"/>
    <n v="0"/>
    <n v="0"/>
    <n v="1"/>
    <n v="41201"/>
    <n v="2195"/>
    <n v="0"/>
    <n v="0"/>
    <m/>
    <m/>
    <m/>
    <m/>
    <s v=""/>
  </r>
  <r>
    <s v="41201-2195-000-00"/>
    <d v="2021-07-28T00:00:00"/>
    <n v="29799.759999999998"/>
    <n v="0"/>
    <s v="USD"/>
    <s v="JRNLWA00431739"/>
    <s v="P"/>
    <s v="From Voucher Posting."/>
    <s v="asnell"/>
    <s v="0/JE IC"/>
    <s v="VUS000015387"/>
    <m/>
    <x v="0"/>
    <d v="2021-07-01T00:00:00"/>
    <s v="Monthly reimbursement"/>
    <d v="2021-06-01T00:00:00"/>
    <s v="PO-2195-21-00267"/>
    <m/>
    <m/>
    <s v="VO05867504"/>
    <s v="JRNL01023654"/>
    <s v="FX2195"/>
    <d v="2021-07-28T00:00:00"/>
    <d v="2021-07-28T00:00:00"/>
    <n v="29799.8"/>
    <d v="2021-07-11T00:00:00"/>
    <s v="wci_wa"/>
    <n v="0"/>
    <n v="0"/>
    <n v="0"/>
    <n v="0"/>
    <n v="0"/>
    <n v="1"/>
    <n v="41201"/>
    <n v="2195"/>
    <n v="0"/>
    <n v="0"/>
    <m/>
    <m/>
    <m/>
    <m/>
    <s v="VO05867504"/>
  </r>
  <r>
    <s v="41201-2195-000-00"/>
    <d v="2021-07-31T00:00:00"/>
    <n v="-29799.759999999998"/>
    <n v="0"/>
    <s v="USD"/>
    <s v="JRNLWA00431312"/>
    <s v="P"/>
    <s v="OPEX8 - AP ACCRUAL"/>
    <s v="HeatherH"/>
    <s v="0/JE IC"/>
    <m/>
    <m/>
    <x v="1"/>
    <m/>
    <m/>
    <m/>
    <m/>
    <m/>
    <m/>
    <s v="JRNL01022245"/>
    <s v="JRNL01022337"/>
    <m/>
    <d v="2021-07-08T00:00:00"/>
    <d v="2021-07-08T00:00:00"/>
    <m/>
    <m/>
    <s v="wci_wa"/>
    <n v="0"/>
    <n v="0"/>
    <n v="0"/>
    <n v="0"/>
    <n v="5"/>
    <n v="1"/>
    <n v="41201"/>
    <n v="2195"/>
    <n v="0"/>
    <n v="0"/>
    <m/>
    <m/>
    <m/>
    <m/>
    <s v=""/>
  </r>
  <r>
    <s v="41201-2195-000-00"/>
    <d v="2021-07-31T00:00:00"/>
    <n v="28733.49"/>
    <n v="0"/>
    <s v="USD"/>
    <s v="JRNLWA00432690"/>
    <s v="P"/>
    <s v="OPEX8 - AP ACCRUAL"/>
    <s v="LaurenTi"/>
    <s v="0/JE IC"/>
    <m/>
    <m/>
    <x v="1"/>
    <m/>
    <m/>
    <m/>
    <m/>
    <m/>
    <m/>
    <s v="JRNL01025665"/>
    <s v="JRNL01025665"/>
    <m/>
    <d v="2021-08-05T00:00:00"/>
    <d v="2021-08-06T00:00:00"/>
    <m/>
    <m/>
    <s v="wci_wa"/>
    <n v="0"/>
    <n v="0"/>
    <n v="0"/>
    <n v="0"/>
    <n v="0"/>
    <n v="1"/>
    <n v="41201"/>
    <n v="2195"/>
    <n v="0"/>
    <n v="0"/>
    <m/>
    <m/>
    <m/>
    <m/>
    <s v=""/>
  </r>
  <r>
    <s v="41201-2195-000-00"/>
    <d v="2021-08-12T00:00:00"/>
    <n v="28733.49"/>
    <n v="0"/>
    <s v="USD"/>
    <s v="JRNLWA00433113"/>
    <s v="P"/>
    <s v="From Voucher Posting."/>
    <s v="JudyA"/>
    <s v="0/JE IC"/>
    <s v="VUS000015387"/>
    <m/>
    <x v="0"/>
    <d v="2021-08-01T00:00:00"/>
    <s v="Monthly reimbursement"/>
    <d v="2021-07-01T00:00:00"/>
    <s v="PO-2195-21-00267"/>
    <m/>
    <m/>
    <s v="VO05885418"/>
    <s v="JRNL01026590"/>
    <s v="FX2195"/>
    <d v="2021-08-12T00:00:00"/>
    <d v="2021-08-13T00:00:00"/>
    <n v="28733.5"/>
    <d v="2021-08-11T00:00:00"/>
    <s v="wci_wa"/>
    <n v="0"/>
    <n v="0"/>
    <n v="0"/>
    <n v="0"/>
    <n v="0"/>
    <n v="1"/>
    <n v="41201"/>
    <n v="2195"/>
    <n v="0"/>
    <n v="0"/>
    <m/>
    <m/>
    <m/>
    <m/>
    <s v="VO05885418"/>
  </r>
  <r>
    <s v="41201-2195-000-00"/>
    <d v="2021-08-31T00:00:00"/>
    <n v="-28733.49"/>
    <n v="0"/>
    <s v="USD"/>
    <s v="JRNLWA00432714"/>
    <s v="P"/>
    <s v="OPEX8 - AP ACCRUAL"/>
    <s v="LaurenTi"/>
    <s v="0/JE IC"/>
    <m/>
    <m/>
    <x v="1"/>
    <m/>
    <m/>
    <m/>
    <m/>
    <m/>
    <m/>
    <s v="JRNL01025665"/>
    <s v="JRNL01025724"/>
    <m/>
    <d v="2021-08-05T00:00:00"/>
    <d v="2021-08-06T00:00:00"/>
    <m/>
    <m/>
    <s v="wci_wa"/>
    <n v="0"/>
    <n v="0"/>
    <n v="0"/>
    <n v="0"/>
    <n v="5"/>
    <n v="1"/>
    <n v="41201"/>
    <n v="2195"/>
    <n v="0"/>
    <n v="0"/>
    <m/>
    <m/>
    <m/>
    <m/>
    <s v=""/>
  </r>
  <r>
    <s v="41201-2195-000-00"/>
    <d v="2021-08-31T00:00:00"/>
    <n v="28412"/>
    <n v="0"/>
    <s v="USD"/>
    <s v="JRNLWA00434394"/>
    <s v="P"/>
    <s v="OPEX8 - AP ACCRUAL"/>
    <s v="HeatherH"/>
    <s v="0/JE IC"/>
    <m/>
    <m/>
    <x v="1"/>
    <m/>
    <m/>
    <m/>
    <m/>
    <m/>
    <m/>
    <s v="JRNL01029322"/>
    <s v="JRNL01029322"/>
    <m/>
    <d v="2021-09-07T00:00:00"/>
    <d v="2021-09-08T00:00:00"/>
    <m/>
    <m/>
    <s v="wci_wa"/>
    <n v="0"/>
    <n v="0"/>
    <n v="0"/>
    <n v="0"/>
    <n v="0"/>
    <n v="1"/>
    <n v="41201"/>
    <n v="2195"/>
    <n v="0"/>
    <n v="0"/>
    <m/>
    <m/>
    <m/>
    <m/>
    <s v=""/>
  </r>
  <r>
    <s v="41201-2195-000-00"/>
    <d v="2021-09-15T00:00:00"/>
    <n v="28412"/>
    <n v="0"/>
    <s v="USD"/>
    <s v="JRNLWA00434788"/>
    <s v="P"/>
    <s v="From Voucher Posting."/>
    <s v="asnell"/>
    <s v="0/JE IC"/>
    <s v="VUS000015387"/>
    <m/>
    <x v="0"/>
    <d v="2021-09-07T00:00:00"/>
    <s v="Monthly reimbursement"/>
    <n v="82021"/>
    <s v="PO-2195-21-00267"/>
    <m/>
    <m/>
    <s v="VO05923348"/>
    <s v="JRNL01030240"/>
    <n v="2195"/>
    <d v="2021-09-15T00:00:00"/>
    <d v="2021-09-15T00:00:00"/>
    <n v="28412"/>
    <d v="2021-09-17T00:00:00"/>
    <s v="wci_wa"/>
    <n v="0"/>
    <n v="0"/>
    <n v="0"/>
    <n v="0"/>
    <n v="0"/>
    <n v="1"/>
    <n v="41201"/>
    <n v="2195"/>
    <n v="0"/>
    <n v="0"/>
    <m/>
    <m/>
    <m/>
    <m/>
    <s v="VO05923348"/>
  </r>
  <r>
    <s v="41201-2195-000-00"/>
    <d v="2021-09-30T00:00:00"/>
    <n v="-28412"/>
    <n v="0"/>
    <s v="USD"/>
    <s v="JRNLWA00434441"/>
    <s v="P"/>
    <s v="OPEX8 - AP ACCRUAL"/>
    <s v="HeatherH"/>
    <s v="0/JE IC"/>
    <m/>
    <m/>
    <x v="1"/>
    <m/>
    <m/>
    <m/>
    <m/>
    <m/>
    <m/>
    <s v="JRNL01029322"/>
    <s v="JRNL01029432"/>
    <m/>
    <d v="2021-09-08T00:00:00"/>
    <d v="2021-09-08T00:00:00"/>
    <m/>
    <m/>
    <s v="wci_wa"/>
    <n v="0"/>
    <n v="0"/>
    <n v="0"/>
    <n v="0"/>
    <n v="5"/>
    <n v="1"/>
    <n v="41201"/>
    <n v="2195"/>
    <n v="0"/>
    <n v="0"/>
    <m/>
    <m/>
    <m/>
    <m/>
    <s v=""/>
  </r>
  <r>
    <s v="41201-2195-000-00"/>
    <d v="2021-09-30T00:00:00"/>
    <n v="25465.22"/>
    <n v="0"/>
    <s v="USD"/>
    <s v="JRNLWA00436209"/>
    <s v="P"/>
    <s v="OPEX8 - AP ACCRUAL"/>
    <s v="SKACKO"/>
    <s v="0/JE IC"/>
    <m/>
    <m/>
    <x v="1"/>
    <m/>
    <m/>
    <m/>
    <m/>
    <m/>
    <m/>
    <s v="JRNL01033611"/>
    <s v="JRNL01033611"/>
    <m/>
    <d v="2021-10-07T00:00:00"/>
    <d v="2021-10-07T00:00:00"/>
    <m/>
    <m/>
    <s v="wci_wa"/>
    <n v="0"/>
    <n v="0"/>
    <n v="0"/>
    <n v="0"/>
    <n v="0"/>
    <n v="1"/>
    <n v="41201"/>
    <n v="2195"/>
    <n v="0"/>
    <n v="0"/>
    <m/>
    <m/>
    <m/>
    <m/>
    <s v=""/>
  </r>
  <r>
    <s v="41201-2195-000-00"/>
    <d v="2021-10-20T00:00:00"/>
    <n v="25465.22"/>
    <n v="0"/>
    <s v="USD"/>
    <s v="JRNLWA00436504"/>
    <s v="P"/>
    <s v="From Voucher Posting."/>
    <s v="JudyA"/>
    <s v="0/JE IC"/>
    <s v="VUS000015387"/>
    <m/>
    <x v="0"/>
    <d v="2021-10-06T00:00:00"/>
    <s v="Monthly reimbursement"/>
    <d v="2021-09-01T00:00:00"/>
    <s v="PO-2195-21-00267"/>
    <m/>
    <m/>
    <s v="VO05965552"/>
    <s v="JRNL01034273"/>
    <s v="FX2195"/>
    <d v="2021-10-20T00:00:00"/>
    <d v="2021-10-20T00:00:00"/>
    <n v="25465.200000000001"/>
    <d v="2021-10-16T00:00:00"/>
    <s v="wci_wa"/>
    <n v="0"/>
    <n v="0"/>
    <n v="0"/>
    <n v="0"/>
    <n v="0"/>
    <n v="1"/>
    <n v="41201"/>
    <n v="2195"/>
    <n v="0"/>
    <n v="0"/>
    <m/>
    <m/>
    <m/>
    <m/>
    <s v="VO05965552"/>
  </r>
  <r>
    <s v="41201-2195-000-00"/>
    <d v="2021-10-31T00:00:00"/>
    <n v="-25465.22"/>
    <n v="0"/>
    <s v="USD"/>
    <s v="JRNLWA00436286"/>
    <s v="P"/>
    <s v="OPEX8 - AP ACCRUAL"/>
    <s v="SKACKO"/>
    <s v="0/JE IC"/>
    <m/>
    <m/>
    <x v="1"/>
    <m/>
    <m/>
    <m/>
    <m/>
    <m/>
    <m/>
    <s v="JRNL01033611"/>
    <s v="JRNL01033651"/>
    <m/>
    <d v="2021-10-07T00:00:00"/>
    <d v="2021-10-07T00:00:00"/>
    <m/>
    <m/>
    <s v="wci_wa"/>
    <n v="0"/>
    <n v="0"/>
    <n v="0"/>
    <n v="0"/>
    <n v="5"/>
    <n v="1"/>
    <n v="41201"/>
    <n v="2195"/>
    <n v="0"/>
    <n v="0"/>
    <m/>
    <m/>
    <m/>
    <m/>
    <s v=""/>
  </r>
  <r>
    <s v="41201-2195-000-00"/>
    <d v="2021-10-31T00:00:00"/>
    <n v="30697.13"/>
    <n v="0"/>
    <s v="USD"/>
    <s v="JRNLWA00437689"/>
    <s v="P"/>
    <s v="OPEX8 - AP ACCRUAL"/>
    <s v="HeatherH"/>
    <s v="0/JE IC"/>
    <m/>
    <m/>
    <x v="1"/>
    <m/>
    <m/>
    <m/>
    <m/>
    <m/>
    <m/>
    <s v="JRNL01036792"/>
    <s v="JRNL01036792"/>
    <m/>
    <d v="2021-11-04T00:00:00"/>
    <d v="2021-11-05T00:00:00"/>
    <m/>
    <m/>
    <s v="wci_wa"/>
    <n v="0"/>
    <n v="0"/>
    <n v="0"/>
    <n v="0"/>
    <n v="0"/>
    <n v="1"/>
    <n v="41201"/>
    <n v="2195"/>
    <n v="0"/>
    <n v="0"/>
    <m/>
    <m/>
    <m/>
    <m/>
    <s v=""/>
  </r>
  <r>
    <s v="41201-2195-000-00"/>
    <d v="2021-11-10T00:00:00"/>
    <n v="30697.13"/>
    <n v="0"/>
    <s v="USD"/>
    <s v="JRNLWA00438059"/>
    <s v="P"/>
    <s v="From Voucher Posting."/>
    <s v="MariaJ"/>
    <s v="0/JE IC"/>
    <s v="VUS000015387"/>
    <m/>
    <x v="0"/>
    <d v="2021-11-01T00:00:00"/>
    <s v="Monthly reimbursement"/>
    <d v="2021-10-01T00:00:00"/>
    <s v="PO-2195-21-00267"/>
    <m/>
    <m/>
    <s v="VO05992674"/>
    <s v="JRNL01037726"/>
    <s v="FX2195"/>
    <d v="2021-11-10T00:00:00"/>
    <d v="2021-11-10T00:00:00"/>
    <n v="30697.1"/>
    <d v="2021-11-11T00:00:00"/>
    <s v="wci_wa"/>
    <n v="0"/>
    <n v="0"/>
    <n v="0"/>
    <n v="0"/>
    <n v="0"/>
    <n v="1"/>
    <n v="41201"/>
    <n v="2195"/>
    <n v="0"/>
    <n v="0"/>
    <m/>
    <m/>
    <m/>
    <m/>
    <s v="VO05992674"/>
  </r>
  <r>
    <s v="41201-2195-000-00"/>
    <d v="2021-11-30T00:00:00"/>
    <n v="-30697.13"/>
    <n v="0"/>
    <s v="USD"/>
    <s v="JRNLWA00437732"/>
    <s v="P"/>
    <s v="OPEX8 - AP ACCRUAL"/>
    <s v="HeatherH"/>
    <s v="0/JE IC"/>
    <m/>
    <m/>
    <x v="1"/>
    <m/>
    <m/>
    <m/>
    <m/>
    <m/>
    <m/>
    <s v="JRNL01036792"/>
    <s v="JRNL01036872"/>
    <m/>
    <d v="2021-11-05T00:00:00"/>
    <d v="2021-11-05T00:00:00"/>
    <m/>
    <m/>
    <s v="wci_wa"/>
    <n v="0"/>
    <n v="0"/>
    <n v="0"/>
    <n v="0"/>
    <n v="5"/>
    <n v="1"/>
    <n v="41201"/>
    <n v="2195"/>
    <n v="0"/>
    <n v="0"/>
    <m/>
    <m/>
    <m/>
    <m/>
    <s v=""/>
  </r>
  <r>
    <s v="41201-2195-000-00"/>
    <d v="2021-11-30T00:00:00"/>
    <n v="28865.14"/>
    <n v="0"/>
    <s v="USD"/>
    <s v="JRNLWA00439538"/>
    <s v="P"/>
    <s v="OPEX8 - AP ACCRUAL"/>
    <s v="HeatherH"/>
    <s v="0/JE IC"/>
    <m/>
    <m/>
    <x v="1"/>
    <m/>
    <m/>
    <m/>
    <m/>
    <m/>
    <m/>
    <s v="JRNL01041314"/>
    <s v="JRNL01041314"/>
    <m/>
    <d v="2021-12-07T00:00:00"/>
    <d v="2021-12-07T00:00:00"/>
    <m/>
    <m/>
    <s v="wci_wa"/>
    <n v="0"/>
    <n v="0"/>
    <n v="0"/>
    <n v="0"/>
    <n v="0"/>
    <n v="1"/>
    <n v="41201"/>
    <n v="2195"/>
    <n v="0"/>
    <n v="0"/>
    <m/>
    <m/>
    <m/>
    <m/>
    <s v=""/>
  </r>
  <r>
    <s v="41201-2195-000-00"/>
    <d v="2021-12-28T00:00:00"/>
    <n v="28865.14"/>
    <n v="0"/>
    <s v="USD"/>
    <s v="JRNLWA00439911"/>
    <s v="P"/>
    <s v="From Voucher Posting."/>
    <s v="JudyA"/>
    <s v="0/JE IC"/>
    <s v="VUS000015387"/>
    <m/>
    <x v="0"/>
    <d v="2021-12-01T00:00:00"/>
    <s v="Monthly reimbursement"/>
    <d v="2021-11-01T00:00:00"/>
    <s v="PO-2195-21-00267"/>
    <m/>
    <m/>
    <s v="VO06052153"/>
    <s v="JRNL01042424"/>
    <s v="FX2195"/>
    <d v="2021-12-28T00:00:00"/>
    <d v="2022-01-01T00:00:00"/>
    <n v="28865.1"/>
    <d v="2021-12-11T00:00:00"/>
    <s v="wci_wa"/>
    <n v="0"/>
    <n v="0"/>
    <n v="0"/>
    <n v="0"/>
    <n v="0"/>
    <n v="1"/>
    <n v="41201"/>
    <n v="2195"/>
    <n v="0"/>
    <n v="0"/>
    <m/>
    <m/>
    <m/>
    <m/>
    <s v="VO06052153"/>
  </r>
  <r>
    <s v="41201-2195-000-00"/>
    <d v="2021-12-31T00:00:00"/>
    <n v="-28865.14"/>
    <n v="0"/>
    <s v="USD"/>
    <s v="JRNLWA00439555"/>
    <s v="P"/>
    <s v="OPEX8 - AP ACCRUAL"/>
    <s v="SKACKO"/>
    <s v="0/JE IC"/>
    <m/>
    <m/>
    <x v="1"/>
    <m/>
    <m/>
    <m/>
    <m/>
    <m/>
    <m/>
    <s v="JRNL01041314"/>
    <s v="JRNL01041319"/>
    <m/>
    <d v="2021-12-07T00:00:00"/>
    <d v="2021-12-07T00:00:00"/>
    <m/>
    <m/>
    <s v="wci_wa"/>
    <n v="0"/>
    <n v="0"/>
    <n v="0"/>
    <n v="0"/>
    <n v="5"/>
    <n v="1"/>
    <n v="41201"/>
    <n v="2195"/>
    <n v="0"/>
    <n v="0"/>
    <m/>
    <m/>
    <m/>
    <m/>
    <s v=""/>
  </r>
  <r>
    <s v="41201-2195-000-00"/>
    <d v="2021-12-31T00:00:00"/>
    <n v="25450.26"/>
    <n v="0"/>
    <s v="USD"/>
    <s v="JRNLWA00441135"/>
    <s v="P"/>
    <s v="OPEX8 - AP ACCRUAL"/>
    <s v="HeatherH"/>
    <s v="0/JE IC"/>
    <m/>
    <m/>
    <x v="1"/>
    <m/>
    <m/>
    <m/>
    <m/>
    <m/>
    <m/>
    <s v="JRNL01045078"/>
    <s v="JRNL01045078"/>
    <m/>
    <d v="2022-01-07T00:00:00"/>
    <d v="2022-01-07T00:00:00"/>
    <m/>
    <m/>
    <s v="wci_wa"/>
    <n v="0"/>
    <n v="0"/>
    <n v="0"/>
    <n v="0"/>
    <n v="0"/>
    <n v="1"/>
    <n v="41201"/>
    <n v="2195"/>
    <n v="0"/>
    <n v="0"/>
    <m/>
    <m/>
    <m/>
    <m/>
    <s v=""/>
  </r>
  <r>
    <s v="41201-2195-000-00"/>
    <d v="2022-01-12T00:00:00"/>
    <n v="25450.26"/>
    <n v="0"/>
    <s v="USD"/>
    <s v="JRNLWA00441564"/>
    <s v="P"/>
    <s v="From Voucher Posting."/>
    <s v="asnell"/>
    <s v="0/JE IC"/>
    <s v="VUS000015387"/>
    <m/>
    <x v="0"/>
    <d v="2022-01-01T00:00:00"/>
    <s v="Monthly reimbursement"/>
    <d v="2021-12-01T00:00:00"/>
    <s v="PO-2195-21-00267"/>
    <m/>
    <m/>
    <s v="VO06068842"/>
    <s v="JRNL01045943"/>
    <s v="FX2195"/>
    <d v="2022-01-12T00:00:00"/>
    <d v="2022-01-13T00:00:00"/>
    <n v="25450.3"/>
    <d v="2022-01-11T00:00:00"/>
    <s v="wci_wa"/>
    <n v="0"/>
    <n v="0"/>
    <n v="0"/>
    <n v="0"/>
    <n v="0"/>
    <n v="1"/>
    <n v="41201"/>
    <n v="2195"/>
    <n v="0"/>
    <n v="0"/>
    <m/>
    <m/>
    <m/>
    <m/>
    <s v="VO06068842"/>
  </r>
  <r>
    <s v="41201-2195-000-00"/>
    <d v="2022-01-31T00:00:00"/>
    <n v="-25450.26"/>
    <n v="0"/>
    <s v="USD"/>
    <s v="JRNLWA00441141"/>
    <s v="P"/>
    <s v="OPEX8 - AP ACCRUAL"/>
    <s v="LaurenTi"/>
    <s v="0/JE IC"/>
    <m/>
    <m/>
    <x v="1"/>
    <m/>
    <m/>
    <m/>
    <m/>
    <m/>
    <m/>
    <s v="JRNL01045078"/>
    <s v="JRNL01045096"/>
    <m/>
    <d v="2022-01-07T00:00:00"/>
    <d v="2022-01-07T00:00:00"/>
    <m/>
    <m/>
    <s v="wci_wa"/>
    <n v="0"/>
    <n v="0"/>
    <n v="0"/>
    <n v="0"/>
    <n v="5"/>
    <n v="1"/>
    <n v="41201"/>
    <n v="2195"/>
    <n v="0"/>
    <n v="0"/>
    <m/>
    <m/>
    <m/>
    <m/>
    <s v=""/>
  </r>
  <r>
    <s v="41201-2195-000-00"/>
    <d v="2022-01-31T00:00:00"/>
    <n v="26286.65"/>
    <n v="0"/>
    <s v="USD"/>
    <s v="JRNLWA00442753"/>
    <s v="P"/>
    <s v="OPEX8 - AP ACCRUAL"/>
    <s v="HeatherH"/>
    <s v="0/JE IC"/>
    <m/>
    <m/>
    <x v="2"/>
    <m/>
    <m/>
    <m/>
    <m/>
    <m/>
    <m/>
    <s v="JRNL01048729"/>
    <s v="JRNL01048729"/>
    <m/>
    <d v="2022-02-04T00:00:00"/>
    <d v="2022-02-05T00:00:00"/>
    <m/>
    <m/>
    <s v="wci_wa"/>
    <n v="0"/>
    <n v="0"/>
    <n v="0"/>
    <n v="0"/>
    <n v="0"/>
    <n v="1"/>
    <n v="41201"/>
    <n v="2195"/>
    <n v="0"/>
    <n v="0"/>
    <m/>
    <m/>
    <m/>
    <m/>
    <s v=""/>
  </r>
  <r>
    <s v="41201-2195-000-00"/>
    <d v="2022-01-31T00:00:00"/>
    <n v="28404.57"/>
    <n v="0"/>
    <s v="USD"/>
    <s v="JRNLWA00442754"/>
    <s v="P"/>
    <s v="MISC7- Reclass Acct 43001 into"/>
    <s v="HeatherH"/>
    <s v="0/JE IC"/>
    <m/>
    <m/>
    <x v="3"/>
    <m/>
    <m/>
    <m/>
    <m/>
    <m/>
    <m/>
    <s v="JRNL01048730"/>
    <s v="JRNL01048730"/>
    <m/>
    <d v="2022-02-04T00:00:00"/>
    <d v="2022-02-05T00:00:00"/>
    <m/>
    <m/>
    <s v="wci_wa"/>
    <n v="0"/>
    <n v="0"/>
    <n v="0"/>
    <n v="0"/>
    <n v="0"/>
    <n v="1"/>
    <n v="41201"/>
    <n v="2195"/>
    <n v="0"/>
    <n v="0"/>
    <m/>
    <m/>
    <m/>
    <m/>
    <s v=""/>
  </r>
  <r>
    <s v="41201-2195-000-00"/>
    <d v="2022-01-31T00:00:00"/>
    <n v="254.43"/>
    <n v="0"/>
    <s v="USD"/>
    <s v="JRNLWA00443261"/>
    <s v="P"/>
    <s v="Reclass unused accounts"/>
    <s v="LaurenTi"/>
    <s v="0/JE IC"/>
    <m/>
    <m/>
    <x v="4"/>
    <m/>
    <m/>
    <m/>
    <m/>
    <m/>
    <m/>
    <s v="JRNL01049731"/>
    <s v="JRNL01049731"/>
    <m/>
    <d v="2022-02-07T00:00:00"/>
    <d v="2022-02-07T00:00:00"/>
    <m/>
    <m/>
    <s v="wci_wa"/>
    <n v="0"/>
    <n v="0"/>
    <n v="0"/>
    <n v="0"/>
    <n v="0"/>
    <n v="1"/>
    <n v="41201"/>
    <n v="2195"/>
    <n v="0"/>
    <n v="0"/>
    <m/>
    <m/>
    <m/>
    <m/>
    <s v=""/>
  </r>
  <r>
    <s v="41201-2195-000-00"/>
    <d v="2022-02-15T00:00:00"/>
    <n v="26286.65"/>
    <n v="0"/>
    <s v="USD"/>
    <s v="JRNLWA00443372"/>
    <s v="P"/>
    <s v="From Voucher Posting."/>
    <s v="JeffS"/>
    <s v="0/JE IC"/>
    <s v="VUS000015387"/>
    <m/>
    <x v="0"/>
    <d v="2022-01-31T00:00:00"/>
    <s v="Monthly reimbursement"/>
    <d v="2022-01-01T00:00:00"/>
    <s v="PO-2195-22-00088"/>
    <m/>
    <m/>
    <s v="VO06108423"/>
    <s v="JRNL01050046"/>
    <s v="FX2195"/>
    <d v="2022-02-15T00:00:00"/>
    <d v="2022-02-15T00:00:00"/>
    <n v="26286.7"/>
    <d v="2022-02-10T00:00:00"/>
    <s v="wci_wa"/>
    <n v="0"/>
    <n v="0"/>
    <n v="0"/>
    <n v="0"/>
    <n v="0"/>
    <n v="1"/>
    <n v="41201"/>
    <n v="2195"/>
    <n v="0"/>
    <n v="0"/>
    <m/>
    <m/>
    <m/>
    <m/>
    <s v="VO06108423"/>
  </r>
  <r>
    <s v="41201-2195-000-00"/>
    <d v="2022-02-28T00:00:00"/>
    <n v="-26286.65"/>
    <n v="0"/>
    <s v="USD"/>
    <s v="JRNLWA00442900"/>
    <s v="P"/>
    <s v="OPEX8 - AP ACCRUAL"/>
    <s v="HelenaK"/>
    <s v="0/JE IC"/>
    <m/>
    <m/>
    <x v="2"/>
    <m/>
    <m/>
    <m/>
    <m/>
    <m/>
    <m/>
    <s v="JRNL01048729"/>
    <s v="JRNL01048800"/>
    <m/>
    <d v="2022-02-05T00:00:00"/>
    <d v="2022-02-07T00:00:00"/>
    <m/>
    <m/>
    <s v="wci_wa"/>
    <n v="0"/>
    <n v="0"/>
    <n v="0"/>
    <n v="0"/>
    <n v="5"/>
    <n v="1"/>
    <n v="41201"/>
    <n v="2195"/>
    <n v="0"/>
    <n v="0"/>
    <m/>
    <m/>
    <m/>
    <m/>
    <s v=""/>
  </r>
  <r>
    <s v="41201-2195-000-99"/>
    <d v="2022-02-28T00:00:00"/>
    <n v="274.29000000000002"/>
    <n v="0"/>
    <s v="USD"/>
    <s v="JRNLWA00444257"/>
    <s v="P"/>
    <s v="2022-02 WRO B&amp;O Tax Reclass"/>
    <s v="DERDMAN"/>
    <s v="0/JE IC"/>
    <m/>
    <m/>
    <x v="5"/>
    <m/>
    <m/>
    <m/>
    <m/>
    <m/>
    <m/>
    <s v="JRNL01052147"/>
    <s v="JRNL01052147"/>
    <m/>
    <d v="2022-03-04T00:00:00"/>
    <d v="2022-03-04T00:00:00"/>
    <m/>
    <m/>
    <s v="wci_wa"/>
    <n v="0"/>
    <n v="0"/>
    <n v="0"/>
    <n v="0"/>
    <n v="0"/>
    <n v="1"/>
    <n v="41201"/>
    <n v="2195"/>
    <n v="0"/>
    <n v="99"/>
    <m/>
    <m/>
    <m/>
    <m/>
    <s v=""/>
  </r>
  <r>
    <s v="41201-2195-000-00"/>
    <d v="2022-02-28T00:00:00"/>
    <n v="27094.66"/>
    <n v="0"/>
    <s v="USD"/>
    <s v="JRNLWA00444398"/>
    <s v="P"/>
    <s v="TAX1-Accr. B&amp;O Tax"/>
    <s v="HelenaK"/>
    <s v="0/JE IC"/>
    <m/>
    <m/>
    <x v="6"/>
    <m/>
    <m/>
    <m/>
    <m/>
    <m/>
    <m/>
    <s v="JRNL01052419"/>
    <s v="JRNL01052419"/>
    <m/>
    <d v="2022-03-04T00:00:00"/>
    <d v="2022-03-04T00:00:00"/>
    <m/>
    <m/>
    <s v="wci_wa"/>
    <n v="0"/>
    <n v="0"/>
    <n v="0"/>
    <n v="0"/>
    <n v="0"/>
    <n v="1"/>
    <n v="41201"/>
    <n v="2195"/>
    <n v="0"/>
    <n v="0"/>
    <m/>
    <m/>
    <m/>
    <m/>
    <s v=""/>
  </r>
  <r>
    <s v="41201-2195-000-00"/>
    <d v="2022-02-28T00:00:00"/>
    <n v="6.91"/>
    <n v="0"/>
    <s v="USD"/>
    <s v="JRNLWA00444401"/>
    <s v="P"/>
    <s v="MISC2-BS Recons and PL Reclass"/>
    <s v="HelenaK"/>
    <s v="0/JE IC"/>
    <m/>
    <m/>
    <x v="7"/>
    <m/>
    <m/>
    <m/>
    <m/>
    <m/>
    <m/>
    <s v="JRNL01052422"/>
    <s v="JRNL01052422"/>
    <m/>
    <d v="2022-03-04T00:00:00"/>
    <d v="2022-03-04T00:00:00"/>
    <m/>
    <m/>
    <s v="wci_wa"/>
    <n v="0"/>
    <n v="0"/>
    <n v="0"/>
    <n v="0"/>
    <n v="0"/>
    <n v="1"/>
    <n v="41201"/>
    <n v="2195"/>
    <n v="0"/>
    <n v="0"/>
    <m/>
    <m/>
    <m/>
    <m/>
    <s v=""/>
  </r>
  <r>
    <s v="41201-2195-000-00"/>
    <d v="2022-02-28T00:00:00"/>
    <n v="580.51"/>
    <n v="0"/>
    <s v="USD"/>
    <s v="JRNLWA00444401"/>
    <s v="P"/>
    <s v="MISC2-BS Recons and PL Reclass"/>
    <s v="HelenaK"/>
    <s v="0/JE IC"/>
    <m/>
    <m/>
    <x v="8"/>
    <m/>
    <m/>
    <m/>
    <m/>
    <m/>
    <m/>
    <s v="JRNL01052422"/>
    <s v="JRNL01052422"/>
    <m/>
    <d v="2022-03-04T00:00:00"/>
    <d v="2022-03-04T00:00:00"/>
    <m/>
    <m/>
    <s v="wci_wa"/>
    <n v="0"/>
    <n v="0"/>
    <n v="0"/>
    <n v="0"/>
    <n v="0"/>
    <n v="1"/>
    <n v="41201"/>
    <n v="2195"/>
    <n v="0"/>
    <n v="0"/>
    <m/>
    <m/>
    <m/>
    <m/>
    <s v=""/>
  </r>
  <r>
    <s v="41201-2195-000-00"/>
    <d v="2022-02-28T00:00:00"/>
    <n v="-42.73"/>
    <n v="0"/>
    <s v="USD"/>
    <s v="JRNLWA00444401"/>
    <s v="P"/>
    <s v="MISC2-BS Recons and PL Reclass"/>
    <s v="HelenaK"/>
    <s v="0/JE IC"/>
    <m/>
    <m/>
    <x v="9"/>
    <m/>
    <m/>
    <m/>
    <m/>
    <m/>
    <m/>
    <s v="JRNL01052422"/>
    <s v="JRNL01052422"/>
    <m/>
    <d v="2022-03-04T00:00:00"/>
    <d v="2022-03-04T00:00:00"/>
    <m/>
    <m/>
    <s v="wci_wa"/>
    <n v="0"/>
    <n v="0"/>
    <n v="0"/>
    <n v="0"/>
    <n v="0"/>
    <n v="1"/>
    <n v="41201"/>
    <n v="2195"/>
    <n v="0"/>
    <n v="0"/>
    <m/>
    <m/>
    <m/>
    <m/>
    <s v=""/>
  </r>
  <r>
    <s v="41201-2195-000-00"/>
    <d v="2022-02-28T00:00:00"/>
    <n v="26568"/>
    <n v="0"/>
    <s v="USD"/>
    <s v="JRNLWA00444402"/>
    <s v="P"/>
    <s v="OPEX8 - AP ACCRUAL"/>
    <s v="HelenaK"/>
    <s v="0/JE IC"/>
    <m/>
    <m/>
    <x v="10"/>
    <m/>
    <m/>
    <m/>
    <m/>
    <m/>
    <m/>
    <s v="JRNL01052423"/>
    <s v="JRNL01052423"/>
    <m/>
    <d v="2022-03-04T00:00:00"/>
    <d v="2022-03-04T00:00:00"/>
    <m/>
    <m/>
    <s v="wci_wa"/>
    <n v="0"/>
    <n v="0"/>
    <n v="0"/>
    <n v="0"/>
    <n v="0"/>
    <n v="1"/>
    <n v="41201"/>
    <n v="2195"/>
    <n v="0"/>
    <n v="0"/>
    <m/>
    <m/>
    <m/>
    <m/>
    <s v=""/>
  </r>
  <r>
    <s v="41201-2195-000-00"/>
    <d v="2022-02-28T00:00:00"/>
    <n v="-254.43"/>
    <n v="0"/>
    <s v="USD"/>
    <s v="JRNLWA00444404"/>
    <s v="P"/>
    <s v="MISC7- Reclass Acct 43001 into"/>
    <s v="HelenaK"/>
    <s v="0/JE IC"/>
    <m/>
    <m/>
    <x v="3"/>
    <m/>
    <m/>
    <m/>
    <m/>
    <m/>
    <m/>
    <s v="JRNL01052425"/>
    <s v="JRNL01052425"/>
    <m/>
    <d v="2022-03-04T00:00:00"/>
    <d v="2022-03-04T00:00:00"/>
    <m/>
    <m/>
    <s v="wci_wa"/>
    <n v="0"/>
    <n v="0"/>
    <n v="0"/>
    <n v="0"/>
    <n v="0"/>
    <n v="1"/>
    <n v="41201"/>
    <n v="2195"/>
    <n v="0"/>
    <n v="0"/>
    <m/>
    <m/>
    <m/>
    <m/>
    <s v=""/>
  </r>
  <r>
    <s v="41201-2195-000-99"/>
    <d v="2022-02-28T00:00:00"/>
    <n v="284.81"/>
    <n v="0"/>
    <s v="USD"/>
    <s v="JRNLWA00444756"/>
    <s v="P"/>
    <s v="2022-02 WRO B&amp;O Tax Accrual"/>
    <s v="SKACKO"/>
    <s v="0/JE IC"/>
    <m/>
    <m/>
    <x v="11"/>
    <m/>
    <m/>
    <m/>
    <m/>
    <m/>
    <m/>
    <s v="JRNL01053041"/>
    <s v="JRNL01053041"/>
    <m/>
    <d v="2022-03-07T00:00:00"/>
    <d v="2022-03-07T00:00:00"/>
    <m/>
    <m/>
    <s v="wci_wa"/>
    <n v="0"/>
    <n v="0"/>
    <n v="0"/>
    <n v="0"/>
    <n v="0"/>
    <n v="1"/>
    <n v="41201"/>
    <n v="2195"/>
    <n v="0"/>
    <n v="99"/>
    <m/>
    <m/>
    <m/>
    <m/>
    <s v=""/>
  </r>
  <r>
    <s v="41201-2195-000-00"/>
    <d v="2022-03-09T00:00:00"/>
    <n v="26568"/>
    <n v="0"/>
    <s v="USD"/>
    <s v="JRNLWA00445002"/>
    <s v="P"/>
    <s v="From Voucher Posting."/>
    <s v="asnell"/>
    <s v="0/JE IC"/>
    <s v="VUS000015387"/>
    <m/>
    <x v="0"/>
    <d v="2022-03-01T00:00:00"/>
    <s v="Monthly reimbursement"/>
    <d v="2022-02-01T00:00:00"/>
    <s v="PO-2195-22-00088"/>
    <m/>
    <m/>
    <s v="VO06136862"/>
    <s v="JRNL01053622"/>
    <s v="FX2195"/>
    <d v="2022-03-09T00:00:00"/>
    <d v="2022-03-10T00:00:00"/>
    <n v="26568"/>
    <d v="2022-03-11T00:00:00"/>
    <s v="wci_wa"/>
    <n v="0"/>
    <n v="0"/>
    <n v="0"/>
    <n v="0"/>
    <n v="0"/>
    <n v="1"/>
    <n v="41201"/>
    <n v="2195"/>
    <n v="0"/>
    <n v="0"/>
    <m/>
    <m/>
    <m/>
    <m/>
    <s v="VO06136862"/>
  </r>
  <r>
    <s v="41201-2195-000-00"/>
    <d v="2022-03-31T00:00:00"/>
    <n v="-26568"/>
    <n v="0"/>
    <s v="USD"/>
    <s v="JRNLWA00444571"/>
    <s v="P"/>
    <s v="OPEX8 - AP ACCRUAL"/>
    <s v="HeatherH"/>
    <s v="0/JE IC"/>
    <m/>
    <m/>
    <x v="10"/>
    <m/>
    <m/>
    <m/>
    <m/>
    <m/>
    <m/>
    <s v="JRNL01052423"/>
    <s v="JRNL01052485"/>
    <m/>
    <d v="2022-03-04T00:00:00"/>
    <d v="2022-03-05T00:00:00"/>
    <m/>
    <m/>
    <s v="wci_wa"/>
    <n v="0"/>
    <n v="0"/>
    <n v="0"/>
    <n v="0"/>
    <n v="5"/>
    <n v="1"/>
    <n v="41201"/>
    <n v="2195"/>
    <n v="0"/>
    <n v="0"/>
    <m/>
    <m/>
    <m/>
    <m/>
    <s v=""/>
  </r>
  <r>
    <s v="41201-2195-000-99"/>
    <d v="2022-03-31T00:00:00"/>
    <n v="-284.81"/>
    <n v="0"/>
    <s v="USD"/>
    <s v="JRNLWA00444787"/>
    <s v="P"/>
    <s v="2022-02 WRO B&amp;O Tax Accrual"/>
    <s v="DERDMAN"/>
    <s v="0/JE IC"/>
    <m/>
    <m/>
    <x v="11"/>
    <m/>
    <m/>
    <m/>
    <m/>
    <m/>
    <m/>
    <s v="JRNL01053041"/>
    <s v="JRNL01053059"/>
    <m/>
    <d v="2022-03-07T00:00:00"/>
    <d v="2022-03-07T00:00:00"/>
    <m/>
    <m/>
    <s v="wci_wa"/>
    <n v="0"/>
    <n v="0"/>
    <n v="0"/>
    <n v="0"/>
    <n v="5"/>
    <n v="1"/>
    <n v="41201"/>
    <n v="2195"/>
    <n v="0"/>
    <n v="99"/>
    <m/>
    <m/>
    <m/>
    <m/>
    <s v=""/>
  </r>
  <r>
    <s v="41201-2195-000-99"/>
    <d v="2022-03-31T00:00:00"/>
    <n v="307.04000000000002"/>
    <n v="0"/>
    <s v="USD"/>
    <s v="JRNLWA00445779"/>
    <s v="P"/>
    <s v="2022-03 WRO B&amp;O Tax Reclass"/>
    <s v="SKACKO"/>
    <s v="0/JE IC"/>
    <m/>
    <m/>
    <x v="5"/>
    <m/>
    <m/>
    <m/>
    <m/>
    <m/>
    <m/>
    <s v="JRNL01055772"/>
    <s v="JRNL01055772"/>
    <m/>
    <d v="2022-04-05T00:00:00"/>
    <d v="2022-04-05T00:00:00"/>
    <m/>
    <m/>
    <s v="wci_wa"/>
    <n v="0"/>
    <n v="0"/>
    <n v="0"/>
    <n v="0"/>
    <n v="0"/>
    <n v="1"/>
    <n v="41201"/>
    <n v="2195"/>
    <n v="0"/>
    <n v="99"/>
    <m/>
    <m/>
    <m/>
    <m/>
    <s v=""/>
  </r>
  <r>
    <s v="41201-2195-000-00"/>
    <d v="2022-03-31T00:00:00"/>
    <n v="28277.65"/>
    <n v="0"/>
    <s v="USD"/>
    <s v="JRNLWA00446290"/>
    <s v="P"/>
    <s v="TAX1-Accr. B&amp;O Tax"/>
    <s v="HeatherH"/>
    <s v="0/JE IC"/>
    <m/>
    <m/>
    <x v="6"/>
    <m/>
    <m/>
    <m/>
    <m/>
    <m/>
    <m/>
    <s v="JRNL01056806"/>
    <s v="JRNL01056806"/>
    <m/>
    <d v="2022-04-06T00:00:00"/>
    <d v="2022-04-07T00:00:00"/>
    <m/>
    <m/>
    <s v="wci_wa"/>
    <n v="0"/>
    <n v="0"/>
    <n v="0"/>
    <n v="0"/>
    <n v="0"/>
    <n v="1"/>
    <n v="41201"/>
    <n v="2195"/>
    <n v="0"/>
    <n v="0"/>
    <m/>
    <m/>
    <m/>
    <m/>
    <s v=""/>
  </r>
  <r>
    <s v="41201-2195-000-99"/>
    <d v="2022-03-31T00:00:00"/>
    <n v="378.68"/>
    <n v="0"/>
    <s v="USD"/>
    <s v="JRNLWA00446469"/>
    <s v="P"/>
    <s v="2022-03 WRO B&amp;O Tax Accrual"/>
    <s v="DERDMAN"/>
    <s v="0/JE IC"/>
    <m/>
    <m/>
    <x v="12"/>
    <m/>
    <m/>
    <m/>
    <m/>
    <m/>
    <m/>
    <s v="JRNL01057347"/>
    <s v="JRNL01057347"/>
    <m/>
    <d v="2022-04-07T00:00:00"/>
    <d v="2022-04-07T00:00:00"/>
    <m/>
    <m/>
    <s v="wci_wa"/>
    <n v="0"/>
    <n v="0"/>
    <n v="0"/>
    <n v="0"/>
    <n v="0"/>
    <n v="1"/>
    <n v="41201"/>
    <n v="2195"/>
    <n v="0"/>
    <n v="99"/>
    <m/>
    <m/>
    <m/>
    <m/>
    <s v=""/>
  </r>
  <r>
    <s v="41201-2195-000-00"/>
    <d v="2022-03-31T00:00:00"/>
    <n v="-42.73"/>
    <n v="0"/>
    <s v="USD"/>
    <s v="JRNLWA00446498"/>
    <s v="P"/>
    <s v="MISC2-BS Recons and PL Reclass"/>
    <s v="SKACKO"/>
    <s v="0/JE IC"/>
    <m/>
    <m/>
    <x v="9"/>
    <m/>
    <m/>
    <m/>
    <m/>
    <m/>
    <m/>
    <s v="JRNL01057398"/>
    <s v="JRNL01057398"/>
    <m/>
    <d v="2022-04-07T00:00:00"/>
    <d v="2022-04-07T00:00:00"/>
    <m/>
    <m/>
    <s v="wci_wa"/>
    <n v="0"/>
    <n v="0"/>
    <n v="0"/>
    <n v="0"/>
    <n v="0"/>
    <n v="1"/>
    <n v="41201"/>
    <n v="2195"/>
    <n v="0"/>
    <n v="0"/>
    <m/>
    <m/>
    <m/>
    <m/>
    <s v=""/>
  </r>
  <r>
    <s v="41201-2195-000-00"/>
    <d v="2022-03-31T00:00:00"/>
    <n v="-2853.25"/>
    <n v="0"/>
    <s v="USD"/>
    <s v="JRNLWA00446498"/>
    <s v="P"/>
    <s v="MISC2-BS Recons and PL Reclass"/>
    <s v="SKACKO"/>
    <s v="0/JE IC"/>
    <m/>
    <m/>
    <x v="13"/>
    <m/>
    <m/>
    <m/>
    <m/>
    <m/>
    <m/>
    <s v="JRNL01057398"/>
    <s v="JRNL01057398"/>
    <m/>
    <d v="2022-04-07T00:00:00"/>
    <d v="2022-04-07T00:00:00"/>
    <m/>
    <m/>
    <s v="wci_wa"/>
    <n v="0"/>
    <n v="0"/>
    <n v="0"/>
    <n v="0"/>
    <n v="0"/>
    <n v="1"/>
    <n v="41201"/>
    <n v="2195"/>
    <n v="0"/>
    <n v="0"/>
    <m/>
    <m/>
    <m/>
    <m/>
    <s v=""/>
  </r>
  <r>
    <s v="41201-2195-000-00"/>
    <d v="2022-03-31T00:00:00"/>
    <n v="28334.3"/>
    <n v="0"/>
    <s v="USD"/>
    <s v="JRNLWA00446558"/>
    <s v="P"/>
    <s v="OPEX8 - AP ACCRUAL"/>
    <s v="HeatherH"/>
    <s v="0/JE IC"/>
    <m/>
    <m/>
    <x v="10"/>
    <m/>
    <m/>
    <m/>
    <m/>
    <m/>
    <m/>
    <s v="JRNL01057529"/>
    <s v="JRNL01057529"/>
    <m/>
    <d v="2022-04-07T00:00:00"/>
    <d v="2022-04-07T00:00:00"/>
    <m/>
    <m/>
    <s v="wci_wa"/>
    <n v="0"/>
    <n v="0"/>
    <n v="0"/>
    <n v="0"/>
    <n v="0"/>
    <n v="1"/>
    <n v="41201"/>
    <n v="2195"/>
    <n v="0"/>
    <n v="0"/>
    <m/>
    <m/>
    <m/>
    <m/>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s v="43001-2195-000-99"/>
    <d v="2021-04-30T00:00:00"/>
    <n v="-232.06"/>
    <n v="0"/>
    <s v="USD"/>
    <s v="JRNLWA00426507"/>
    <s v="P"/>
    <s v="2021-03 WRO B&amp;O Tax Accrual"/>
    <s v="ahuynh"/>
    <s v="0/JE IC"/>
    <m/>
    <m/>
    <x v="0"/>
    <m/>
    <m/>
    <m/>
    <m/>
    <m/>
    <m/>
    <s v="JRNL01011432"/>
    <s v="JRNL01011475"/>
    <m/>
    <d v="2021-04-07T00:00:00"/>
    <d v="2021-04-07T00:00:00"/>
    <m/>
    <m/>
    <s v="wci_wa"/>
    <n v="0"/>
    <n v="0"/>
    <n v="0"/>
    <n v="0"/>
    <n v="5"/>
    <n v="1"/>
    <n v="43001"/>
    <n v="2195"/>
    <n v="0"/>
    <n v="99"/>
    <m/>
    <m/>
    <m/>
    <m/>
    <s v=""/>
  </r>
  <r>
    <s v="43001-2195-000-99"/>
    <d v="2021-04-30T00:00:00"/>
    <n v="232"/>
    <n v="0"/>
    <s v="USD"/>
    <s v="JRNLWA00427678"/>
    <s v="P"/>
    <s v="2021-04 WRO B&amp;O Tax Reclass"/>
    <s v="JacobMas"/>
    <s v="0/JE IC"/>
    <m/>
    <m/>
    <x v="1"/>
    <m/>
    <m/>
    <m/>
    <m/>
    <m/>
    <m/>
    <s v="JRNL01014254"/>
    <s v="JRNL01014254"/>
    <m/>
    <d v="2021-05-05T00:00:00"/>
    <d v="2021-05-06T00:00:00"/>
    <m/>
    <m/>
    <s v="wci_wa"/>
    <n v="0"/>
    <n v="0"/>
    <n v="0"/>
    <n v="0"/>
    <n v="0"/>
    <n v="1"/>
    <n v="43001"/>
    <n v="2195"/>
    <n v="0"/>
    <n v="99"/>
    <m/>
    <m/>
    <m/>
    <m/>
    <s v=""/>
  </r>
  <r>
    <s v="43001-2195-000-00"/>
    <d v="2021-04-30T00:00:00"/>
    <n v="25958.42"/>
    <n v="0"/>
    <s v="USD"/>
    <s v="JRNLWA00427997"/>
    <s v="P"/>
    <s v="TAX1-Accr. B&amp;O Tax"/>
    <s v="HelenaK"/>
    <s v="0/JE IC"/>
    <m/>
    <m/>
    <x v="2"/>
    <m/>
    <m/>
    <m/>
    <m/>
    <m/>
    <m/>
    <s v="JRNL01014858"/>
    <s v="JRNL01014858"/>
    <m/>
    <d v="2021-05-06T00:00:00"/>
    <d v="2021-05-06T00:00:00"/>
    <m/>
    <m/>
    <s v="wci_wa"/>
    <n v="0"/>
    <n v="0"/>
    <n v="0"/>
    <n v="0"/>
    <n v="0"/>
    <n v="1"/>
    <n v="43001"/>
    <n v="2195"/>
    <n v="0"/>
    <n v="0"/>
    <m/>
    <m/>
    <m/>
    <m/>
    <s v=""/>
  </r>
  <r>
    <s v="43001-2195-000-00"/>
    <d v="2021-04-30T00:00:00"/>
    <n v="27.9"/>
    <n v="0"/>
    <s v="USD"/>
    <s v="JRNLWA00428053"/>
    <s v="P"/>
    <s v="MISC2-BS Recons and PL Reclass"/>
    <s v="HelenaK"/>
    <s v="0/JE IC"/>
    <m/>
    <m/>
    <x v="3"/>
    <m/>
    <m/>
    <m/>
    <m/>
    <m/>
    <m/>
    <s v="JRNL01014934"/>
    <s v="JRNL01014934"/>
    <m/>
    <d v="2021-05-06T00:00:00"/>
    <d v="2021-05-06T00:00:00"/>
    <m/>
    <m/>
    <s v="wci_wa"/>
    <n v="0"/>
    <n v="0"/>
    <n v="0"/>
    <n v="0"/>
    <n v="0"/>
    <n v="1"/>
    <n v="43001"/>
    <n v="2195"/>
    <n v="0"/>
    <n v="0"/>
    <m/>
    <m/>
    <m/>
    <m/>
    <s v=""/>
  </r>
  <r>
    <s v="43001-2195-000-00"/>
    <d v="2021-04-30T00:00:00"/>
    <n v="-726.51"/>
    <n v="0"/>
    <s v="USD"/>
    <s v="JRNLWA00428053"/>
    <s v="P"/>
    <s v="MISC2-BS Recons and PL Reclass"/>
    <s v="HelenaK"/>
    <s v="0/JE IC"/>
    <m/>
    <m/>
    <x v="4"/>
    <m/>
    <m/>
    <m/>
    <m/>
    <m/>
    <m/>
    <s v="JRNL01014934"/>
    <s v="JRNL01014934"/>
    <m/>
    <d v="2021-05-06T00:00:00"/>
    <d v="2021-05-06T00:00:00"/>
    <m/>
    <m/>
    <s v="wci_wa"/>
    <n v="0"/>
    <n v="0"/>
    <n v="0"/>
    <n v="0"/>
    <n v="0"/>
    <n v="1"/>
    <n v="43001"/>
    <n v="2195"/>
    <n v="0"/>
    <n v="0"/>
    <m/>
    <m/>
    <m/>
    <m/>
    <s v=""/>
  </r>
  <r>
    <s v="43001-2195-000-00"/>
    <d v="2021-04-30T00:00:00"/>
    <n v="917.95"/>
    <n v="0"/>
    <s v="USD"/>
    <s v="JRNLWA00428224"/>
    <s v="P"/>
    <s v="MISC3-Exp Reclass"/>
    <s v="HeatherH"/>
    <s v="0/JE IC"/>
    <m/>
    <m/>
    <x v="5"/>
    <m/>
    <m/>
    <m/>
    <m/>
    <m/>
    <m/>
    <s v="JRNL01015438"/>
    <s v="JRNL01015438"/>
    <m/>
    <d v="2021-05-07T00:00:00"/>
    <d v="2021-05-07T00:00:00"/>
    <m/>
    <m/>
    <s v="wci_wa"/>
    <n v="0"/>
    <n v="0"/>
    <n v="0"/>
    <n v="0"/>
    <n v="0"/>
    <n v="1"/>
    <n v="43001"/>
    <n v="2195"/>
    <n v="0"/>
    <n v="0"/>
    <m/>
    <m/>
    <m/>
    <m/>
    <s v=""/>
  </r>
  <r>
    <s v="43001-2195-000-00"/>
    <d v="2021-04-30T00:00:00"/>
    <n v="61.38"/>
    <n v="0"/>
    <s v="USD"/>
    <s v="JRNLWA00428224"/>
    <s v="P"/>
    <s v="MISC3-Exp Reclass"/>
    <s v="HeatherH"/>
    <s v="0/JE IC"/>
    <m/>
    <m/>
    <x v="6"/>
    <m/>
    <m/>
    <m/>
    <m/>
    <m/>
    <m/>
    <s v="JRNL01015438"/>
    <s v="JRNL01015438"/>
    <m/>
    <d v="2021-05-07T00:00:00"/>
    <d v="2021-05-07T00:00:00"/>
    <m/>
    <m/>
    <s v="wci_wa"/>
    <n v="0"/>
    <n v="0"/>
    <n v="0"/>
    <n v="0"/>
    <n v="0"/>
    <n v="1"/>
    <n v="43001"/>
    <n v="2195"/>
    <n v="0"/>
    <n v="0"/>
    <m/>
    <m/>
    <m/>
    <m/>
    <s v=""/>
  </r>
  <r>
    <s v="43001-2195-000-00"/>
    <d v="2021-04-30T00:00:00"/>
    <n v="499.37"/>
    <n v="0"/>
    <s v="USD"/>
    <s v="JRNLWA00428224"/>
    <s v="P"/>
    <s v="MISC3-Exp Reclass"/>
    <s v="HeatherH"/>
    <s v="0/JE IC"/>
    <m/>
    <m/>
    <x v="7"/>
    <m/>
    <m/>
    <m/>
    <m/>
    <m/>
    <m/>
    <s v="JRNL01015438"/>
    <s v="JRNL01015438"/>
    <m/>
    <d v="2021-05-07T00:00:00"/>
    <d v="2021-05-07T00:00:00"/>
    <m/>
    <m/>
    <s v="wci_wa"/>
    <n v="0"/>
    <n v="0"/>
    <n v="0"/>
    <n v="0"/>
    <n v="0"/>
    <n v="1"/>
    <n v="43001"/>
    <n v="2195"/>
    <n v="0"/>
    <n v="0"/>
    <m/>
    <m/>
    <m/>
    <m/>
    <s v=""/>
  </r>
  <r>
    <s v="43001-2195-000-99"/>
    <d v="2021-04-30T00:00:00"/>
    <n v="247.3"/>
    <n v="0"/>
    <s v="USD"/>
    <s v="JRNLWA00428309"/>
    <s v="P"/>
    <s v="2021-04 WRO B&amp;O Tax Accrual"/>
    <s v="HeatherH"/>
    <s v="0/JE IC"/>
    <m/>
    <m/>
    <x v="8"/>
    <m/>
    <m/>
    <m/>
    <m/>
    <m/>
    <m/>
    <s v="JRNL01015532"/>
    <s v="JRNL01015532"/>
    <m/>
    <d v="2021-05-07T00:00:00"/>
    <d v="2021-05-07T00:00:00"/>
    <m/>
    <m/>
    <s v="wci_wa"/>
    <n v="0"/>
    <n v="0"/>
    <n v="0"/>
    <n v="0"/>
    <n v="0"/>
    <n v="1"/>
    <n v="43001"/>
    <n v="2195"/>
    <n v="0"/>
    <n v="99"/>
    <m/>
    <m/>
    <m/>
    <m/>
    <s v=""/>
  </r>
  <r>
    <s v="43001-2195-000-99"/>
    <d v="2021-05-31T00:00:00"/>
    <n v="-247.3"/>
    <n v="0"/>
    <s v="USD"/>
    <s v="JRNLWA00428311"/>
    <s v="P"/>
    <s v="2021-04 WRO B&amp;O Tax Accrual"/>
    <s v="JoshuaV"/>
    <s v="0/JE IC"/>
    <m/>
    <m/>
    <x v="8"/>
    <m/>
    <m/>
    <m/>
    <m/>
    <m/>
    <m/>
    <s v="JRNL01015532"/>
    <s v="JRNL01015535"/>
    <m/>
    <d v="2021-05-07T00:00:00"/>
    <d v="2021-05-07T00:00:00"/>
    <m/>
    <m/>
    <s v="wci_wa"/>
    <n v="0"/>
    <n v="0"/>
    <n v="0"/>
    <n v="0"/>
    <n v="5"/>
    <n v="1"/>
    <n v="43001"/>
    <n v="2195"/>
    <n v="0"/>
    <n v="99"/>
    <m/>
    <m/>
    <m/>
    <m/>
    <s v=""/>
  </r>
  <r>
    <s v="43001-2195-000-99"/>
    <d v="2021-05-31T00:00:00"/>
    <n v="247.23"/>
    <n v="0"/>
    <s v="USD"/>
    <s v="JRNLWA00429192"/>
    <s v="P"/>
    <s v="2021-05 WRO B&amp;O Tax Reclass"/>
    <s v="HelenaK"/>
    <s v="0/JE IC"/>
    <m/>
    <m/>
    <x v="1"/>
    <m/>
    <m/>
    <m/>
    <m/>
    <m/>
    <m/>
    <s v="JRNL01017641"/>
    <s v="JRNL01017641"/>
    <m/>
    <d v="2021-06-03T00:00:00"/>
    <d v="2021-06-03T00:00:00"/>
    <m/>
    <m/>
    <s v="wci_wa"/>
    <n v="0"/>
    <n v="0"/>
    <n v="0"/>
    <n v="0"/>
    <n v="0"/>
    <n v="1"/>
    <n v="43001"/>
    <n v="2195"/>
    <n v="0"/>
    <n v="99"/>
    <m/>
    <m/>
    <m/>
    <m/>
    <s v=""/>
  </r>
  <r>
    <s v="43001-2195-000-00"/>
    <d v="2021-05-31T00:00:00"/>
    <n v="27086.51"/>
    <n v="0"/>
    <s v="USD"/>
    <s v="JRNLWA00429201"/>
    <s v="P"/>
    <s v="TAX1-Accr. B&amp;O Tax"/>
    <s v="HelenaK"/>
    <s v="0/JE IC"/>
    <m/>
    <m/>
    <x v="2"/>
    <m/>
    <m/>
    <m/>
    <m/>
    <m/>
    <m/>
    <s v="JRNL01017660"/>
    <s v="JRNL01017660"/>
    <m/>
    <d v="2021-06-03T00:00:00"/>
    <d v="2021-06-03T00:00:00"/>
    <m/>
    <m/>
    <s v="wci_wa"/>
    <n v="0"/>
    <n v="0"/>
    <n v="0"/>
    <n v="0"/>
    <n v="0"/>
    <n v="1"/>
    <n v="43001"/>
    <n v="2195"/>
    <n v="0"/>
    <n v="0"/>
    <m/>
    <m/>
    <m/>
    <m/>
    <s v=""/>
  </r>
  <r>
    <s v="43001-2195-000-00"/>
    <d v="2021-05-31T00:00:00"/>
    <n v="-0.88"/>
    <n v="0"/>
    <s v="USD"/>
    <s v="JRNLWA00429584"/>
    <s v="P"/>
    <s v="MISC2-BS Recons and PL Reclass"/>
    <s v="ahuynh"/>
    <s v="0/JE IC"/>
    <m/>
    <m/>
    <x v="9"/>
    <m/>
    <m/>
    <m/>
    <m/>
    <m/>
    <m/>
    <s v="JRNL01018289"/>
    <s v="JRNL01018289"/>
    <m/>
    <d v="2021-06-04T00:00:00"/>
    <d v="2021-06-07T00:00:00"/>
    <m/>
    <m/>
    <s v="wci_wa"/>
    <n v="0"/>
    <n v="0"/>
    <n v="0"/>
    <n v="0"/>
    <n v="0"/>
    <n v="1"/>
    <n v="43001"/>
    <n v="2195"/>
    <n v="0"/>
    <n v="0"/>
    <m/>
    <m/>
    <m/>
    <m/>
    <s v=""/>
  </r>
  <r>
    <s v="43001-2195-000-00"/>
    <d v="2021-05-31T00:00:00"/>
    <n v="1193.6300000000001"/>
    <n v="0"/>
    <s v="USD"/>
    <s v="JRNLWA00429584"/>
    <s v="P"/>
    <s v="MISC2-BS Recons and PL Reclass"/>
    <s v="ahuynh"/>
    <s v="0/JE IC"/>
    <m/>
    <m/>
    <x v="10"/>
    <m/>
    <m/>
    <m/>
    <m/>
    <m/>
    <m/>
    <s v="JRNL01018289"/>
    <s v="JRNL01018289"/>
    <m/>
    <d v="2021-06-04T00:00:00"/>
    <d v="2021-06-07T00:00:00"/>
    <m/>
    <m/>
    <s v="wci_wa"/>
    <n v="0"/>
    <n v="0"/>
    <n v="0"/>
    <n v="0"/>
    <n v="0"/>
    <n v="1"/>
    <n v="43001"/>
    <n v="2195"/>
    <n v="0"/>
    <n v="0"/>
    <m/>
    <m/>
    <m/>
    <m/>
    <s v=""/>
  </r>
  <r>
    <s v="43001-2195-000-99"/>
    <d v="2021-05-31T00:00:00"/>
    <n v="223.92"/>
    <n v="0"/>
    <s v="USD"/>
    <s v="JRNLWA00429860"/>
    <s v="P"/>
    <s v="2021-05 WRO B&amp;O Tax Accrual"/>
    <s v="LaurenTi"/>
    <s v="0/JE IC"/>
    <m/>
    <m/>
    <x v="11"/>
    <m/>
    <m/>
    <m/>
    <m/>
    <m/>
    <m/>
    <s v="JRNL01018960"/>
    <s v="JRNL01018960"/>
    <m/>
    <d v="2021-06-07T00:00:00"/>
    <d v="2021-06-07T00:00:00"/>
    <m/>
    <m/>
    <s v="wci_wa"/>
    <n v="0"/>
    <n v="0"/>
    <n v="0"/>
    <n v="0"/>
    <n v="0"/>
    <n v="1"/>
    <n v="43001"/>
    <n v="2195"/>
    <n v="0"/>
    <n v="99"/>
    <m/>
    <m/>
    <m/>
    <m/>
    <s v=""/>
  </r>
  <r>
    <s v="43001-2195-000-99"/>
    <d v="2021-06-30T00:00:00"/>
    <n v="-223.92"/>
    <n v="0"/>
    <s v="USD"/>
    <s v="JRNLWA00429882"/>
    <s v="P"/>
    <s v="2021-05 WRO B&amp;O Tax Accrual"/>
    <s v="LaurenTi"/>
    <s v="0/JE IC"/>
    <m/>
    <m/>
    <x v="11"/>
    <m/>
    <m/>
    <m/>
    <m/>
    <m/>
    <m/>
    <s v="JRNL01018960"/>
    <s v="JRNL01019026"/>
    <m/>
    <d v="2021-06-07T00:00:00"/>
    <d v="2021-06-07T00:00:00"/>
    <m/>
    <m/>
    <s v="wci_wa"/>
    <n v="0"/>
    <n v="0"/>
    <n v="0"/>
    <n v="0"/>
    <n v="5"/>
    <n v="1"/>
    <n v="43001"/>
    <n v="2195"/>
    <n v="0"/>
    <n v="99"/>
    <m/>
    <m/>
    <m/>
    <m/>
    <s v=""/>
  </r>
  <r>
    <s v="43001-2195-000-99"/>
    <d v="2021-06-30T00:00:00"/>
    <n v="223.86"/>
    <n v="0"/>
    <s v="USD"/>
    <s v="JRNLWA00430357"/>
    <s v="P"/>
    <s v="2021-06 WRO B&amp;O Tax Reclass"/>
    <s v="HeatherH"/>
    <s v="0/JE IC"/>
    <m/>
    <m/>
    <x v="1"/>
    <m/>
    <m/>
    <m/>
    <m/>
    <m/>
    <m/>
    <s v="JRNL01020501"/>
    <s v="JRNL01020501"/>
    <m/>
    <d v="2021-07-02T00:00:00"/>
    <d v="2021-07-05T00:00:00"/>
    <m/>
    <m/>
    <s v="wci_wa"/>
    <n v="0"/>
    <n v="0"/>
    <n v="0"/>
    <n v="0"/>
    <n v="0"/>
    <n v="1"/>
    <n v="43001"/>
    <n v="2195"/>
    <n v="0"/>
    <n v="99"/>
    <m/>
    <m/>
    <m/>
    <m/>
    <s v=""/>
  </r>
  <r>
    <s v="43001-2195-000-00"/>
    <d v="2021-06-30T00:00:00"/>
    <n v="28442.16"/>
    <n v="0"/>
    <s v="USD"/>
    <s v="JRNLWA00431292"/>
    <s v="P"/>
    <s v="TAX1-Accr. B&amp;O Tax"/>
    <s v="HeatherH"/>
    <s v="0/JE IC"/>
    <m/>
    <m/>
    <x v="2"/>
    <m/>
    <m/>
    <m/>
    <m/>
    <m/>
    <m/>
    <s v="JRNL01022248"/>
    <s v="JRNL01022248"/>
    <m/>
    <d v="2021-07-08T00:00:00"/>
    <d v="2021-07-08T00:00:00"/>
    <m/>
    <m/>
    <s v="wci_wa"/>
    <n v="0"/>
    <n v="0"/>
    <n v="0"/>
    <n v="0"/>
    <n v="0"/>
    <n v="1"/>
    <n v="43001"/>
    <n v="2195"/>
    <n v="0"/>
    <n v="0"/>
    <m/>
    <m/>
    <m/>
    <m/>
    <s v=""/>
  </r>
  <r>
    <s v="43001-2195-000-99"/>
    <d v="2021-06-30T00:00:00"/>
    <n v="232.87"/>
    <n v="0"/>
    <s v="USD"/>
    <s v="JRNLWA00431439"/>
    <s v="P"/>
    <s v="2021-06 WRO B&amp;O Tax Accrual"/>
    <s v="JacobMas"/>
    <s v="0/JE IC"/>
    <m/>
    <m/>
    <x v="12"/>
    <m/>
    <m/>
    <m/>
    <m/>
    <m/>
    <m/>
    <s v="JRNL01022767"/>
    <s v="JRNL01022767"/>
    <m/>
    <d v="2021-07-08T00:00:00"/>
    <d v="2021-07-08T00:00:00"/>
    <m/>
    <m/>
    <s v="wci_wa"/>
    <n v="0"/>
    <n v="0"/>
    <n v="0"/>
    <n v="0"/>
    <n v="0"/>
    <n v="1"/>
    <n v="43001"/>
    <n v="2195"/>
    <n v="0"/>
    <n v="99"/>
    <m/>
    <m/>
    <m/>
    <m/>
    <s v=""/>
  </r>
  <r>
    <s v="43001-2195-000-00"/>
    <d v="2021-06-30T00:00:00"/>
    <n v="-4.9800000000000004"/>
    <n v="0"/>
    <s v="USD"/>
    <s v="JRNLWA00431448"/>
    <s v="P"/>
    <s v="MISC2-BS Recons and PL Reclass"/>
    <s v="LaurenTi"/>
    <s v="0/JE IC"/>
    <m/>
    <m/>
    <x v="9"/>
    <m/>
    <m/>
    <m/>
    <m/>
    <m/>
    <m/>
    <s v="JRNL01022789"/>
    <s v="JRNL01022789"/>
    <m/>
    <d v="2021-07-08T00:00:00"/>
    <d v="2021-07-08T00:00:00"/>
    <m/>
    <m/>
    <s v="wci_wa"/>
    <n v="0"/>
    <n v="0"/>
    <n v="0"/>
    <n v="0"/>
    <n v="0"/>
    <n v="1"/>
    <n v="43001"/>
    <n v="2195"/>
    <n v="0"/>
    <n v="0"/>
    <m/>
    <m/>
    <m/>
    <m/>
    <s v=""/>
  </r>
  <r>
    <s v="43001-2195-000-99"/>
    <d v="2021-07-31T00:00:00"/>
    <n v="-232.87"/>
    <n v="0"/>
    <s v="USD"/>
    <s v="JRNLWA00431452"/>
    <s v="P"/>
    <s v="2021-06 WRO B&amp;O Tax Accrual"/>
    <s v="LaurenTi"/>
    <s v="0/JE IC"/>
    <m/>
    <m/>
    <x v="12"/>
    <m/>
    <m/>
    <m/>
    <m/>
    <m/>
    <m/>
    <s v="JRNL01022767"/>
    <s v="JRNL01022782"/>
    <m/>
    <d v="2021-07-08T00:00:00"/>
    <d v="2021-07-08T00:00:00"/>
    <m/>
    <m/>
    <s v="wci_wa"/>
    <n v="0"/>
    <n v="0"/>
    <n v="0"/>
    <n v="0"/>
    <n v="5"/>
    <n v="1"/>
    <n v="43001"/>
    <n v="2195"/>
    <n v="0"/>
    <n v="99"/>
    <m/>
    <m/>
    <m/>
    <m/>
    <s v=""/>
  </r>
  <r>
    <s v="43001-2195-000-99"/>
    <d v="2021-07-31T00:00:00"/>
    <n v="53.65"/>
    <n v="0"/>
    <s v="USD"/>
    <s v="JRNLWA00432812"/>
    <s v="P"/>
    <s v="2021-07 WRO B&amp;O Tax Reclass"/>
    <s v="pabbott"/>
    <s v="0/JE IC"/>
    <m/>
    <m/>
    <x v="1"/>
    <m/>
    <m/>
    <m/>
    <m/>
    <m/>
    <m/>
    <s v="JRNL01025967"/>
    <s v="JRNL01025967"/>
    <m/>
    <d v="2021-08-06T00:00:00"/>
    <d v="2021-08-06T00:00:00"/>
    <m/>
    <m/>
    <s v="wci_wa"/>
    <n v="0"/>
    <n v="0"/>
    <n v="0"/>
    <n v="0"/>
    <n v="0"/>
    <n v="1"/>
    <n v="43001"/>
    <n v="2195"/>
    <n v="0"/>
    <n v="99"/>
    <m/>
    <m/>
    <m/>
    <m/>
    <s v=""/>
  </r>
  <r>
    <s v="43001-2195-000-99"/>
    <d v="2021-07-31T00:00:00"/>
    <n v="239.62"/>
    <n v="0"/>
    <s v="USD"/>
    <s v="JRNLWA00432933"/>
    <s v="P"/>
    <s v="2021-07 WRO B&amp;O Tax Accrual"/>
    <s v="HeatherH"/>
    <s v="0/JE IC"/>
    <m/>
    <m/>
    <x v="13"/>
    <m/>
    <m/>
    <m/>
    <m/>
    <m/>
    <m/>
    <s v="JRNL01026207"/>
    <s v="JRNL01026207"/>
    <m/>
    <d v="2021-08-06T00:00:00"/>
    <d v="2021-08-06T00:00:00"/>
    <m/>
    <m/>
    <s v="wci_wa"/>
    <n v="0"/>
    <n v="0"/>
    <n v="0"/>
    <n v="0"/>
    <n v="0"/>
    <n v="1"/>
    <n v="43001"/>
    <n v="2195"/>
    <n v="0"/>
    <n v="99"/>
    <m/>
    <m/>
    <m/>
    <m/>
    <s v=""/>
  </r>
  <r>
    <s v="43001-2195-000-00"/>
    <d v="2021-07-31T00:00:00"/>
    <n v="28035"/>
    <n v="0"/>
    <s v="USD"/>
    <s v="JRNLWA00432975"/>
    <s v="P"/>
    <s v="TAX1-Accr. B&amp;O Tax"/>
    <s v="HeatherH"/>
    <s v="0/JE IC"/>
    <m/>
    <m/>
    <x v="2"/>
    <m/>
    <m/>
    <m/>
    <m/>
    <m/>
    <m/>
    <s v="JRNL01026271"/>
    <s v="JRNL01026271"/>
    <m/>
    <d v="2021-08-06T00:00:00"/>
    <d v="2021-08-06T00:00:00"/>
    <m/>
    <m/>
    <s v="wci_wa"/>
    <n v="0"/>
    <n v="0"/>
    <n v="0"/>
    <n v="0"/>
    <n v="0"/>
    <n v="1"/>
    <n v="43001"/>
    <n v="2195"/>
    <n v="0"/>
    <n v="0"/>
    <m/>
    <m/>
    <m/>
    <m/>
    <s v=""/>
  </r>
  <r>
    <s v="43001-2195-000-99"/>
    <d v="2021-08-31T00:00:00"/>
    <n v="-239.62"/>
    <n v="0"/>
    <s v="USD"/>
    <s v="JRNLWA00432986"/>
    <s v="P"/>
    <s v="2021-07 WRO B&amp;O Tax Accrual"/>
    <s v="HeatherH"/>
    <s v="0/JE IC"/>
    <m/>
    <m/>
    <x v="13"/>
    <m/>
    <m/>
    <m/>
    <m/>
    <m/>
    <m/>
    <s v="JRNL01026207"/>
    <s v="JRNL01026280"/>
    <m/>
    <d v="2021-08-06T00:00:00"/>
    <d v="2021-08-06T00:00:00"/>
    <m/>
    <m/>
    <s v="wci_wa"/>
    <n v="0"/>
    <n v="0"/>
    <n v="0"/>
    <n v="0"/>
    <n v="5"/>
    <n v="1"/>
    <n v="43001"/>
    <n v="2195"/>
    <n v="0"/>
    <n v="99"/>
    <m/>
    <m/>
    <m/>
    <m/>
    <s v=""/>
  </r>
  <r>
    <s v="43001-2195-000-00"/>
    <d v="2021-08-31T00:00:00"/>
    <n v="28314.78"/>
    <n v="0"/>
    <s v="USD"/>
    <s v="JRNLWA00433997"/>
    <s v="P"/>
    <s v="TAX1-Accr. B&amp;O Tax"/>
    <s v="HeatherH"/>
    <s v="0/JE IC"/>
    <m/>
    <m/>
    <x v="2"/>
    <m/>
    <m/>
    <m/>
    <m/>
    <m/>
    <m/>
    <s v="JRNL01028560"/>
    <s v="JRNL01028560"/>
    <m/>
    <d v="2021-09-03T00:00:00"/>
    <d v="2021-09-06T00:00:00"/>
    <m/>
    <m/>
    <s v="wci_wa"/>
    <n v="0"/>
    <n v="0"/>
    <n v="0"/>
    <n v="0"/>
    <n v="0"/>
    <n v="1"/>
    <n v="43001"/>
    <n v="2195"/>
    <n v="0"/>
    <n v="0"/>
    <m/>
    <m/>
    <m/>
    <m/>
    <s v=""/>
  </r>
  <r>
    <s v="43001-2195-000-99"/>
    <d v="2021-08-31T00:00:00"/>
    <n v="239.56"/>
    <n v="0"/>
    <s v="USD"/>
    <s v="JRNLWA00434063"/>
    <s v="P"/>
    <s v="2021-08 WRO B&amp;O Tax Reclass"/>
    <s v="HeatherH"/>
    <s v="0/JE IC"/>
    <m/>
    <m/>
    <x v="1"/>
    <m/>
    <m/>
    <m/>
    <m/>
    <m/>
    <m/>
    <s v="JRNL01028866"/>
    <s v="JRNL01028866"/>
    <m/>
    <d v="2021-09-07T00:00:00"/>
    <d v="2021-09-07T00:00:00"/>
    <m/>
    <m/>
    <s v="wci_wa"/>
    <n v="0"/>
    <n v="0"/>
    <n v="0"/>
    <n v="0"/>
    <n v="0"/>
    <n v="1"/>
    <n v="43001"/>
    <n v="2195"/>
    <n v="0"/>
    <n v="99"/>
    <m/>
    <m/>
    <m/>
    <m/>
    <s v=""/>
  </r>
  <r>
    <s v="43001-2195-000-99"/>
    <d v="2021-08-31T00:00:00"/>
    <n v="244.5"/>
    <n v="0"/>
    <s v="USD"/>
    <s v="JRNLWA00434544"/>
    <s v="P"/>
    <s v="2021-08 WRO B&amp;O Tax Accrual"/>
    <s v="pabbott"/>
    <s v="0/JE IC"/>
    <m/>
    <m/>
    <x v="14"/>
    <m/>
    <m/>
    <m/>
    <m/>
    <m/>
    <m/>
    <s v="JRNL01029722"/>
    <s v="JRNL01029722"/>
    <m/>
    <d v="2021-09-08T00:00:00"/>
    <d v="2021-09-08T00:00:00"/>
    <m/>
    <m/>
    <s v="wci_wa"/>
    <n v="0"/>
    <n v="0"/>
    <n v="0"/>
    <n v="0"/>
    <n v="0"/>
    <n v="1"/>
    <n v="43001"/>
    <n v="2195"/>
    <n v="0"/>
    <n v="99"/>
    <m/>
    <m/>
    <m/>
    <m/>
    <s v=""/>
  </r>
  <r>
    <s v="43001-2195-000-00"/>
    <d v="2021-08-31T00:00:00"/>
    <n v="-163.29"/>
    <n v="0"/>
    <s v="USD"/>
    <s v="JRNLWA00434654"/>
    <s v="P"/>
    <s v="MISC2-BS Recons and PL Reclass"/>
    <s v="HeatherH"/>
    <s v="0/JE IC"/>
    <m/>
    <m/>
    <x v="15"/>
    <m/>
    <m/>
    <m/>
    <m/>
    <m/>
    <m/>
    <s v="JRNL01029927"/>
    <s v="JRNL01029927"/>
    <m/>
    <d v="2021-09-08T00:00:00"/>
    <d v="2021-09-08T00:00:00"/>
    <m/>
    <m/>
    <s v="wci_wa"/>
    <n v="0"/>
    <n v="0"/>
    <n v="0"/>
    <n v="0"/>
    <n v="0"/>
    <n v="1"/>
    <n v="43001"/>
    <n v="2195"/>
    <n v="0"/>
    <n v="0"/>
    <m/>
    <m/>
    <m/>
    <m/>
    <s v=""/>
  </r>
  <r>
    <s v="43001-2195-000-00"/>
    <d v="2021-08-31T00:00:00"/>
    <n v="-317.74"/>
    <n v="0"/>
    <s v="USD"/>
    <s v="JRNLWA00434654"/>
    <s v="P"/>
    <s v="MISC2-BS Recons and PL Reclass"/>
    <s v="HeatherH"/>
    <s v="0/JE IC"/>
    <m/>
    <m/>
    <x v="6"/>
    <m/>
    <m/>
    <m/>
    <m/>
    <m/>
    <m/>
    <s v="JRNL01029927"/>
    <s v="JRNL01029927"/>
    <m/>
    <d v="2021-09-08T00:00:00"/>
    <d v="2021-09-08T00:00:00"/>
    <m/>
    <m/>
    <s v="wci_wa"/>
    <n v="0"/>
    <n v="0"/>
    <n v="0"/>
    <n v="0"/>
    <n v="0"/>
    <n v="1"/>
    <n v="43001"/>
    <n v="2195"/>
    <n v="0"/>
    <n v="0"/>
    <m/>
    <m/>
    <m/>
    <m/>
    <s v=""/>
  </r>
  <r>
    <s v="43001-2195-000-00"/>
    <d v="2021-08-31T00:00:00"/>
    <n v="-152.66"/>
    <n v="0"/>
    <s v="USD"/>
    <s v="JRNLWA00434654"/>
    <s v="P"/>
    <s v="MISC2-BS Recons and PL Reclass"/>
    <s v="HeatherH"/>
    <s v="0/JE IC"/>
    <m/>
    <m/>
    <x v="16"/>
    <m/>
    <m/>
    <m/>
    <m/>
    <m/>
    <m/>
    <s v="JRNL01029927"/>
    <s v="JRNL01029927"/>
    <m/>
    <d v="2021-09-08T00:00:00"/>
    <d v="2021-09-08T00:00:00"/>
    <m/>
    <m/>
    <s v="wci_wa"/>
    <n v="0"/>
    <n v="0"/>
    <n v="0"/>
    <n v="0"/>
    <n v="0"/>
    <n v="1"/>
    <n v="43001"/>
    <n v="2195"/>
    <n v="0"/>
    <n v="0"/>
    <m/>
    <m/>
    <m/>
    <m/>
    <s v=""/>
  </r>
  <r>
    <s v="43001-2195-000-00"/>
    <d v="2021-08-31T00:00:00"/>
    <n v="25.99"/>
    <n v="0"/>
    <s v="USD"/>
    <s v="JRNLWA00434654"/>
    <s v="P"/>
    <s v="MISC2-BS Recons and PL Reclass"/>
    <s v="HeatherH"/>
    <s v="0/JE IC"/>
    <m/>
    <m/>
    <x v="7"/>
    <m/>
    <m/>
    <m/>
    <m/>
    <m/>
    <m/>
    <s v="JRNL01029927"/>
    <s v="JRNL01029927"/>
    <m/>
    <d v="2021-09-08T00:00:00"/>
    <d v="2021-09-08T00:00:00"/>
    <m/>
    <m/>
    <s v="wci_wa"/>
    <n v="0"/>
    <n v="0"/>
    <n v="0"/>
    <n v="0"/>
    <n v="0"/>
    <n v="1"/>
    <n v="43001"/>
    <n v="2195"/>
    <n v="0"/>
    <n v="0"/>
    <m/>
    <m/>
    <m/>
    <m/>
    <s v=""/>
  </r>
  <r>
    <s v="43001-2195-000-99"/>
    <d v="2021-09-30T00:00:00"/>
    <n v="-244.5"/>
    <n v="0"/>
    <s v="USD"/>
    <s v="JRNLWA00434595"/>
    <s v="P"/>
    <s v="2021-08 WRO B&amp;O Tax Accrual"/>
    <s v="HelenaK"/>
    <s v="0/JE IC"/>
    <m/>
    <m/>
    <x v="14"/>
    <m/>
    <m/>
    <m/>
    <m/>
    <m/>
    <m/>
    <s v="JRNL01029722"/>
    <s v="JRNL01029775"/>
    <m/>
    <d v="2021-09-08T00:00:00"/>
    <d v="2021-09-08T00:00:00"/>
    <m/>
    <m/>
    <s v="wci_wa"/>
    <n v="0"/>
    <n v="0"/>
    <n v="0"/>
    <n v="0"/>
    <n v="5"/>
    <n v="1"/>
    <n v="43001"/>
    <n v="2195"/>
    <n v="0"/>
    <n v="99"/>
    <m/>
    <m/>
    <m/>
    <m/>
    <s v=""/>
  </r>
  <r>
    <s v="43001-2195-000-00"/>
    <d v="2021-09-30T00:00:00"/>
    <n v="28155.07"/>
    <n v="0"/>
    <s v="USD"/>
    <s v="JRNLWA00435674"/>
    <s v="P"/>
    <s v="TAX1-Accr. B&amp;O Tax"/>
    <s v="HelenaK"/>
    <s v="0/JE IC"/>
    <m/>
    <m/>
    <x v="2"/>
    <m/>
    <m/>
    <m/>
    <m/>
    <m/>
    <m/>
    <s v="JRNL01032503"/>
    <s v="JRNL01032503"/>
    <m/>
    <d v="2021-10-06T00:00:00"/>
    <d v="2021-10-06T00:00:00"/>
    <m/>
    <m/>
    <s v="wci_wa"/>
    <n v="0"/>
    <n v="0"/>
    <n v="0"/>
    <n v="0"/>
    <n v="0"/>
    <n v="1"/>
    <n v="43001"/>
    <n v="2195"/>
    <n v="0"/>
    <n v="0"/>
    <m/>
    <m/>
    <m/>
    <m/>
    <s v=""/>
  </r>
  <r>
    <s v="43001-2195-000-99"/>
    <d v="2021-09-30T00:00:00"/>
    <n v="692.7"/>
    <n v="0"/>
    <s v="USD"/>
    <s v="JRNLWA00435689"/>
    <s v="P"/>
    <s v="2021-09 WRO B&amp;O Tax Reclass"/>
    <s v="HeatherH"/>
    <s v="0/JE IC"/>
    <m/>
    <m/>
    <x v="1"/>
    <m/>
    <m/>
    <m/>
    <m/>
    <m/>
    <m/>
    <s v="JRNL01032603"/>
    <s v="JRNL01032603"/>
    <m/>
    <d v="2021-10-06T00:00:00"/>
    <d v="2021-10-06T00:00:00"/>
    <m/>
    <m/>
    <s v="wci_wa"/>
    <n v="0"/>
    <n v="0"/>
    <n v="0"/>
    <n v="0"/>
    <n v="0"/>
    <n v="1"/>
    <n v="43001"/>
    <n v="2195"/>
    <n v="0"/>
    <n v="99"/>
    <m/>
    <m/>
    <m/>
    <m/>
    <s v=""/>
  </r>
  <r>
    <s v="43001-2195-000-00"/>
    <d v="2021-09-30T00:00:00"/>
    <n v="566.14"/>
    <n v="0"/>
    <s v="USD"/>
    <s v="JRNLWA00435702"/>
    <s v="P"/>
    <s v="MISC2-BS Recons and PL Reclass"/>
    <s v="SKACKO"/>
    <s v="0/JE IC"/>
    <m/>
    <m/>
    <x v="15"/>
    <m/>
    <m/>
    <m/>
    <m/>
    <m/>
    <m/>
    <s v="JRNL01032649"/>
    <s v="JRNL01032649"/>
    <m/>
    <d v="2021-10-06T00:00:00"/>
    <d v="2021-10-06T00:00:00"/>
    <m/>
    <m/>
    <s v="wci_wa"/>
    <n v="0"/>
    <n v="0"/>
    <n v="0"/>
    <n v="0"/>
    <n v="0"/>
    <n v="1"/>
    <n v="43001"/>
    <n v="2195"/>
    <n v="0"/>
    <n v="0"/>
    <m/>
    <m/>
    <m/>
    <m/>
    <s v=""/>
  </r>
  <r>
    <s v="43001-2195-000-00"/>
    <d v="2021-09-30T00:00:00"/>
    <n v="-460.07"/>
    <n v="0"/>
    <s v="USD"/>
    <s v="JRNLWA00435702"/>
    <s v="P"/>
    <s v="MISC2-BS Recons and PL Reclass"/>
    <s v="SKACKO"/>
    <s v="0/JE IC"/>
    <m/>
    <m/>
    <x v="7"/>
    <m/>
    <m/>
    <m/>
    <m/>
    <m/>
    <m/>
    <s v="JRNL01032649"/>
    <s v="JRNL01032649"/>
    <m/>
    <d v="2021-10-06T00:00:00"/>
    <d v="2021-10-06T00:00:00"/>
    <m/>
    <m/>
    <s v="wci_wa"/>
    <n v="0"/>
    <n v="0"/>
    <n v="0"/>
    <n v="0"/>
    <n v="0"/>
    <n v="1"/>
    <n v="43001"/>
    <n v="2195"/>
    <n v="0"/>
    <n v="0"/>
    <m/>
    <m/>
    <m/>
    <m/>
    <s v=""/>
  </r>
  <r>
    <s v="43001-2195-000-00"/>
    <d v="2021-09-30T00:00:00"/>
    <n v="-0.28999999999999998"/>
    <n v="0"/>
    <s v="USD"/>
    <s v="JRNLWA00435702"/>
    <s v="P"/>
    <s v="MISC2-BS Recons and PL Reclass"/>
    <s v="SKACKO"/>
    <s v="0/JE IC"/>
    <m/>
    <m/>
    <x v="7"/>
    <m/>
    <m/>
    <m/>
    <m/>
    <m/>
    <m/>
    <s v="JRNL01032649"/>
    <s v="JRNL01032649"/>
    <m/>
    <d v="2021-10-06T00:00:00"/>
    <d v="2021-10-06T00:00:00"/>
    <m/>
    <m/>
    <s v="wci_wa"/>
    <n v="0"/>
    <n v="0"/>
    <n v="0"/>
    <n v="0"/>
    <n v="0"/>
    <n v="1"/>
    <n v="43001"/>
    <n v="2195"/>
    <n v="0"/>
    <n v="0"/>
    <m/>
    <m/>
    <m/>
    <m/>
    <s v=""/>
  </r>
  <r>
    <s v="43001-2195-000-99"/>
    <d v="2021-09-30T00:00:00"/>
    <n v="250.58"/>
    <n v="0"/>
    <s v="USD"/>
    <s v="JRNLWA00436299"/>
    <s v="P"/>
    <s v="2021-09 WRO B&amp;O Tax Accrual"/>
    <s v="SKACKO"/>
    <s v="0/JE IC"/>
    <m/>
    <m/>
    <x v="17"/>
    <m/>
    <m/>
    <m/>
    <m/>
    <m/>
    <m/>
    <s v="JRNL01033712"/>
    <s v="JRNL01033712"/>
    <m/>
    <d v="2021-10-07T00:00:00"/>
    <d v="2021-10-07T00:00:00"/>
    <m/>
    <m/>
    <s v="wci_wa"/>
    <n v="0"/>
    <n v="0"/>
    <n v="0"/>
    <n v="0"/>
    <n v="0"/>
    <n v="1"/>
    <n v="43001"/>
    <n v="2195"/>
    <n v="0"/>
    <n v="99"/>
    <m/>
    <m/>
    <m/>
    <m/>
    <s v=""/>
  </r>
  <r>
    <s v="43001-2195-000-99"/>
    <d v="2021-10-31T00:00:00"/>
    <n v="-250.58"/>
    <n v="0"/>
    <s v="USD"/>
    <s v="JRNLWA00436309"/>
    <s v="P"/>
    <s v="2021-09 WRO B&amp;O Tax Accrual"/>
    <s v="HeatherH"/>
    <s v="0/JE IC"/>
    <m/>
    <m/>
    <x v="17"/>
    <m/>
    <m/>
    <m/>
    <m/>
    <m/>
    <m/>
    <s v="JRNL01033712"/>
    <s v="JRNL01033714"/>
    <m/>
    <d v="2021-10-07T00:00:00"/>
    <d v="2021-10-07T00:00:00"/>
    <m/>
    <m/>
    <s v="wci_wa"/>
    <n v="0"/>
    <n v="0"/>
    <n v="0"/>
    <n v="0"/>
    <n v="5"/>
    <n v="1"/>
    <n v="43001"/>
    <n v="2195"/>
    <n v="0"/>
    <n v="99"/>
    <m/>
    <m/>
    <m/>
    <m/>
    <s v=""/>
  </r>
  <r>
    <s v="43001-2195-000-00"/>
    <d v="2021-10-31T00:00:00"/>
    <n v="28304.18"/>
    <n v="0"/>
    <s v="USD"/>
    <s v="JRNLWA00437687"/>
    <s v="P"/>
    <s v="TAX1-Accr. B&amp;O Tax"/>
    <s v="HeatherH"/>
    <s v="0/JE IC"/>
    <m/>
    <m/>
    <x v="2"/>
    <m/>
    <m/>
    <m/>
    <m/>
    <m/>
    <m/>
    <s v="JRNL01036790"/>
    <s v="JRNL01036790"/>
    <m/>
    <d v="2021-11-04T00:00:00"/>
    <d v="2021-11-05T00:00:00"/>
    <m/>
    <m/>
    <s v="wci_wa"/>
    <n v="0"/>
    <n v="0"/>
    <n v="0"/>
    <n v="0"/>
    <n v="0"/>
    <n v="1"/>
    <n v="43001"/>
    <n v="2195"/>
    <n v="0"/>
    <n v="0"/>
    <m/>
    <m/>
    <m/>
    <m/>
    <s v=""/>
  </r>
  <r>
    <s v="43001-2195-000-00"/>
    <d v="2021-10-31T00:00:00"/>
    <n v="-42.68"/>
    <n v="0"/>
    <s v="USD"/>
    <s v="JRNLWA00437688"/>
    <s v="P"/>
    <s v="MISC3-BS Recons and PL Reclass"/>
    <s v="HeatherH"/>
    <s v="0/JE IC"/>
    <m/>
    <m/>
    <x v="10"/>
    <m/>
    <m/>
    <m/>
    <m/>
    <m/>
    <m/>
    <s v="JRNL01036791"/>
    <s v="JRNL01036791"/>
    <m/>
    <d v="2021-11-04T00:00:00"/>
    <d v="2021-11-05T00:00:00"/>
    <m/>
    <m/>
    <s v="wci_wa"/>
    <n v="0"/>
    <n v="0"/>
    <n v="0"/>
    <n v="0"/>
    <n v="0"/>
    <n v="1"/>
    <n v="43001"/>
    <n v="2195"/>
    <n v="0"/>
    <n v="0"/>
    <m/>
    <m/>
    <m/>
    <m/>
    <s v=""/>
  </r>
  <r>
    <s v="43001-2195-000-00"/>
    <d v="2021-10-31T00:00:00"/>
    <n v="-32.93"/>
    <n v="0"/>
    <s v="USD"/>
    <s v="JRNLWA00437688"/>
    <s v="P"/>
    <s v="MISC3-BS Recons and PL Reclass"/>
    <s v="HeatherH"/>
    <s v="0/JE IC"/>
    <m/>
    <m/>
    <x v="6"/>
    <m/>
    <m/>
    <m/>
    <m/>
    <m/>
    <m/>
    <s v="JRNL01036791"/>
    <s v="JRNL01036791"/>
    <m/>
    <d v="2021-11-04T00:00:00"/>
    <d v="2021-11-05T00:00:00"/>
    <m/>
    <m/>
    <s v="wci_wa"/>
    <n v="0"/>
    <n v="0"/>
    <n v="0"/>
    <n v="0"/>
    <n v="0"/>
    <n v="1"/>
    <n v="43001"/>
    <n v="2195"/>
    <n v="0"/>
    <n v="0"/>
    <m/>
    <m/>
    <m/>
    <m/>
    <s v=""/>
  </r>
  <r>
    <s v="43001-2195-000-00"/>
    <d v="2021-10-31T00:00:00"/>
    <n v="65.14"/>
    <n v="0"/>
    <s v="USD"/>
    <s v="JRNLWA00437688"/>
    <s v="P"/>
    <s v="MISC3-BS Recons and PL Reclass"/>
    <s v="HeatherH"/>
    <s v="0/JE IC"/>
    <m/>
    <m/>
    <x v="18"/>
    <m/>
    <m/>
    <m/>
    <m/>
    <m/>
    <m/>
    <s v="JRNL01036791"/>
    <s v="JRNL01036791"/>
    <m/>
    <d v="2021-11-04T00:00:00"/>
    <d v="2021-11-05T00:00:00"/>
    <m/>
    <m/>
    <s v="wci_wa"/>
    <n v="0"/>
    <n v="0"/>
    <n v="0"/>
    <n v="0"/>
    <n v="0"/>
    <n v="1"/>
    <n v="43001"/>
    <n v="2195"/>
    <n v="0"/>
    <n v="0"/>
    <m/>
    <m/>
    <m/>
    <m/>
    <s v=""/>
  </r>
  <r>
    <s v="43001-2195-000-00"/>
    <d v="2021-10-31T00:00:00"/>
    <n v="1.96"/>
    <n v="0"/>
    <s v="USD"/>
    <s v="JRNLWA00437688"/>
    <s v="P"/>
    <s v="MISC3-BS Recons and PL Reclass"/>
    <s v="HeatherH"/>
    <s v="0/JE IC"/>
    <m/>
    <m/>
    <x v="19"/>
    <m/>
    <m/>
    <m/>
    <m/>
    <m/>
    <m/>
    <s v="JRNL01036791"/>
    <s v="JRNL01036791"/>
    <m/>
    <d v="2021-11-04T00:00:00"/>
    <d v="2021-11-05T00:00:00"/>
    <m/>
    <m/>
    <s v="wci_wa"/>
    <n v="0"/>
    <n v="0"/>
    <n v="0"/>
    <n v="0"/>
    <n v="0"/>
    <n v="1"/>
    <n v="43001"/>
    <n v="2195"/>
    <n v="0"/>
    <n v="0"/>
    <m/>
    <m/>
    <m/>
    <m/>
    <s v=""/>
  </r>
  <r>
    <s v="43001-2195-000-99"/>
    <d v="2021-10-31T00:00:00"/>
    <n v="250.51"/>
    <n v="0"/>
    <s v="USD"/>
    <s v="JRNLWA00437776"/>
    <s v="P"/>
    <s v="2021-10 WRO B&amp;O Tax Reclass"/>
    <s v="pabbott"/>
    <s v="0/JE IC"/>
    <m/>
    <m/>
    <x v="1"/>
    <m/>
    <m/>
    <m/>
    <m/>
    <m/>
    <m/>
    <s v="JRNL01037262"/>
    <s v="JRNL01037262"/>
    <m/>
    <d v="2021-11-05T00:00:00"/>
    <d v="2021-11-05T00:00:00"/>
    <m/>
    <m/>
    <s v="wci_wa"/>
    <n v="0"/>
    <n v="0"/>
    <n v="0"/>
    <n v="0"/>
    <n v="0"/>
    <n v="1"/>
    <n v="43001"/>
    <n v="2195"/>
    <n v="0"/>
    <n v="99"/>
    <m/>
    <m/>
    <m/>
    <m/>
    <s v=""/>
  </r>
  <r>
    <s v="43001-2195-000-99"/>
    <d v="2021-10-31T00:00:00"/>
    <n v="267.02999999999997"/>
    <n v="0"/>
    <s v="USD"/>
    <s v="JRNLWA00437995"/>
    <s v="P"/>
    <s v="2021-10 WRO B&amp;O Tax Accrual"/>
    <s v="HeatherH"/>
    <s v="0/JE IC"/>
    <m/>
    <m/>
    <x v="20"/>
    <m/>
    <m/>
    <m/>
    <m/>
    <m/>
    <m/>
    <s v="JRNL01037531"/>
    <s v="JRNL01037531"/>
    <m/>
    <d v="2021-11-05T00:00:00"/>
    <d v="2021-11-05T00:00:00"/>
    <m/>
    <m/>
    <s v="wci_wa"/>
    <n v="0"/>
    <n v="0"/>
    <n v="0"/>
    <n v="0"/>
    <n v="0"/>
    <n v="1"/>
    <n v="43001"/>
    <n v="2195"/>
    <n v="0"/>
    <n v="99"/>
    <m/>
    <m/>
    <m/>
    <m/>
    <s v=""/>
  </r>
  <r>
    <s v="43001-2195-000-99"/>
    <d v="2021-11-30T00:00:00"/>
    <n v="-267.02999999999997"/>
    <n v="0"/>
    <s v="USD"/>
    <s v="JRNLWA00437996"/>
    <s v="P"/>
    <s v="2021-10 WRO B&amp;O Tax Accrual"/>
    <s v="HeatherH"/>
    <s v="0/JE IC"/>
    <m/>
    <m/>
    <x v="20"/>
    <m/>
    <m/>
    <m/>
    <m/>
    <m/>
    <m/>
    <s v="JRNL01037531"/>
    <s v="JRNL01037557"/>
    <m/>
    <d v="2021-11-05T00:00:00"/>
    <d v="2021-11-05T00:00:00"/>
    <m/>
    <m/>
    <s v="wci_wa"/>
    <n v="0"/>
    <n v="0"/>
    <n v="0"/>
    <n v="0"/>
    <n v="5"/>
    <n v="1"/>
    <n v="43001"/>
    <n v="2195"/>
    <n v="0"/>
    <n v="99"/>
    <m/>
    <m/>
    <m/>
    <m/>
    <s v=""/>
  </r>
  <r>
    <s v="43001-2195-000-00"/>
    <d v="2021-11-30T00:00:00"/>
    <n v="87.17"/>
    <n v="0"/>
    <s v="USD"/>
    <s v="JRNLWA00438838"/>
    <s v="P"/>
    <s v="MISC1-Cash Account Reclasses"/>
    <s v="SKACKO"/>
    <s v="0/JE IC"/>
    <m/>
    <m/>
    <x v="21"/>
    <m/>
    <m/>
    <m/>
    <m/>
    <m/>
    <m/>
    <s v="JRNL01039745"/>
    <s v="JRNL01039745"/>
    <m/>
    <d v="2021-12-03T00:00:00"/>
    <d v="2021-12-03T00:00:00"/>
    <m/>
    <m/>
    <s v="wci_wa"/>
    <n v="0"/>
    <n v="0"/>
    <n v="0"/>
    <n v="0"/>
    <n v="0"/>
    <n v="1"/>
    <n v="43001"/>
    <n v="2195"/>
    <n v="0"/>
    <n v="0"/>
    <m/>
    <m/>
    <m/>
    <m/>
    <s v=""/>
  </r>
  <r>
    <s v="43001-2195-000-00"/>
    <d v="2021-11-30T00:00:00"/>
    <n v="917.22"/>
    <n v="0"/>
    <s v="USD"/>
    <s v="JRNLWA00438838"/>
    <s v="P"/>
    <s v="MISC1-Cash Account Reclasses"/>
    <s v="SKACKO"/>
    <s v="0/JE IC"/>
    <m/>
    <m/>
    <x v="22"/>
    <m/>
    <m/>
    <m/>
    <m/>
    <m/>
    <m/>
    <s v="JRNL01039745"/>
    <s v="JRNL01039745"/>
    <m/>
    <d v="2021-12-03T00:00:00"/>
    <d v="2021-12-03T00:00:00"/>
    <m/>
    <m/>
    <s v="wci_wa"/>
    <n v="0"/>
    <n v="0"/>
    <n v="0"/>
    <n v="0"/>
    <n v="0"/>
    <n v="1"/>
    <n v="43001"/>
    <n v="2195"/>
    <n v="0"/>
    <n v="0"/>
    <m/>
    <m/>
    <m/>
    <m/>
    <s v=""/>
  </r>
  <r>
    <s v="43001-2195-000-00"/>
    <d v="2021-11-30T00:00:00"/>
    <n v="28050.07"/>
    <n v="0"/>
    <s v="USD"/>
    <s v="JRNLWA00438911"/>
    <s v="P"/>
    <s v="TAX1-Accr. B&amp;O Tax"/>
    <s v="pabbott"/>
    <s v="0/JE IC"/>
    <m/>
    <m/>
    <x v="2"/>
    <m/>
    <m/>
    <m/>
    <m/>
    <m/>
    <m/>
    <s v="JRNL01039894"/>
    <s v="JRNL01039894"/>
    <m/>
    <d v="2021-12-03T00:00:00"/>
    <d v="2021-12-04T00:00:00"/>
    <m/>
    <m/>
    <s v="wci_wa"/>
    <n v="0"/>
    <n v="0"/>
    <n v="0"/>
    <n v="0"/>
    <n v="0"/>
    <n v="1"/>
    <n v="43001"/>
    <n v="2195"/>
    <n v="0"/>
    <n v="0"/>
    <m/>
    <m/>
    <m/>
    <m/>
    <s v=""/>
  </r>
  <r>
    <s v="43001-2195-000-99"/>
    <d v="2021-11-30T00:00:00"/>
    <n v="266.95999999999998"/>
    <n v="0"/>
    <s v="USD"/>
    <s v="JRNLWA00439028"/>
    <s v="P"/>
    <s v="2021-11 WRO B&amp;O Tax Reclass"/>
    <s v="SKACKO"/>
    <s v="0/JE IC"/>
    <m/>
    <m/>
    <x v="1"/>
    <m/>
    <m/>
    <m/>
    <m/>
    <m/>
    <m/>
    <s v="JRNL01040432"/>
    <s v="JRNL01040432"/>
    <m/>
    <d v="2021-12-06T00:00:00"/>
    <d v="2021-12-06T00:00:00"/>
    <m/>
    <m/>
    <s v="wci_wa"/>
    <n v="0"/>
    <n v="0"/>
    <n v="0"/>
    <n v="0"/>
    <n v="0"/>
    <n v="1"/>
    <n v="43001"/>
    <n v="2195"/>
    <n v="0"/>
    <n v="99"/>
    <m/>
    <m/>
    <m/>
    <m/>
    <s v=""/>
  </r>
  <r>
    <s v="43001-2195-000-99"/>
    <d v="2021-11-30T00:00:00"/>
    <n v="257.2"/>
    <n v="0"/>
    <s v="USD"/>
    <s v="JRNLWA00439536"/>
    <s v="P"/>
    <s v="2021-11 WRO B&amp;O Tax Accrual"/>
    <s v="HeatherH"/>
    <s v="0/JE IC"/>
    <m/>
    <m/>
    <x v="23"/>
    <m/>
    <m/>
    <m/>
    <m/>
    <m/>
    <m/>
    <s v="JRNL01041311"/>
    <s v="JRNL01041311"/>
    <m/>
    <d v="2021-12-07T00:00:00"/>
    <d v="2021-12-07T00:00:00"/>
    <m/>
    <m/>
    <s v="wci_wa"/>
    <n v="0"/>
    <n v="0"/>
    <n v="0"/>
    <n v="0"/>
    <n v="0"/>
    <n v="1"/>
    <n v="43001"/>
    <n v="2195"/>
    <n v="0"/>
    <n v="99"/>
    <m/>
    <m/>
    <m/>
    <m/>
    <s v=""/>
  </r>
  <r>
    <s v="43001-2195-000-00"/>
    <d v="2021-11-30T00:00:00"/>
    <n v="-42.68"/>
    <n v="0"/>
    <s v="USD"/>
    <s v="JRNLWA00439537"/>
    <s v="P"/>
    <s v="MISC4-BS Recons and PL Reclass"/>
    <s v="HeatherH"/>
    <s v="0/JE IC"/>
    <m/>
    <m/>
    <x v="10"/>
    <m/>
    <m/>
    <m/>
    <m/>
    <m/>
    <m/>
    <s v="JRNL01041313"/>
    <s v="JRNL01041313"/>
    <m/>
    <d v="2021-12-07T00:00:00"/>
    <d v="2021-12-07T00:00:00"/>
    <m/>
    <m/>
    <s v="wci_wa"/>
    <n v="0"/>
    <n v="0"/>
    <n v="0"/>
    <n v="0"/>
    <n v="0"/>
    <n v="1"/>
    <n v="43001"/>
    <n v="2195"/>
    <n v="0"/>
    <n v="0"/>
    <m/>
    <m/>
    <m/>
    <m/>
    <s v=""/>
  </r>
  <r>
    <s v="43001-2195-000-00"/>
    <d v="2021-11-30T00:00:00"/>
    <n v="-0.03"/>
    <n v="0"/>
    <s v="USD"/>
    <s v="JRNLWA00439537"/>
    <s v="P"/>
    <s v="MISC4-BS Recons and PL Reclass"/>
    <s v="HeatherH"/>
    <s v="0/JE IC"/>
    <m/>
    <m/>
    <x v="6"/>
    <m/>
    <m/>
    <m/>
    <m/>
    <m/>
    <m/>
    <s v="JRNL01041313"/>
    <s v="JRNL01041313"/>
    <m/>
    <d v="2021-12-07T00:00:00"/>
    <d v="2021-12-07T00:00:00"/>
    <m/>
    <m/>
    <s v="wci_wa"/>
    <n v="0"/>
    <n v="0"/>
    <n v="0"/>
    <n v="0"/>
    <n v="0"/>
    <n v="1"/>
    <n v="43001"/>
    <n v="2195"/>
    <n v="0"/>
    <n v="0"/>
    <m/>
    <m/>
    <m/>
    <m/>
    <s v=""/>
  </r>
  <r>
    <s v="43001-2195-000-00"/>
    <d v="2021-11-30T00:00:00"/>
    <n v="-32.67"/>
    <n v="0"/>
    <s v="USD"/>
    <s v="JRNLWA00439537"/>
    <s v="P"/>
    <s v="MISC4-BS Recons and PL Reclass"/>
    <s v="HeatherH"/>
    <s v="0/JE IC"/>
    <m/>
    <m/>
    <x v="18"/>
    <m/>
    <m/>
    <m/>
    <m/>
    <m/>
    <m/>
    <s v="JRNL01041313"/>
    <s v="JRNL01041313"/>
    <m/>
    <d v="2021-12-07T00:00:00"/>
    <d v="2021-12-07T00:00:00"/>
    <m/>
    <m/>
    <s v="wci_wa"/>
    <n v="0"/>
    <n v="0"/>
    <n v="0"/>
    <n v="0"/>
    <n v="0"/>
    <n v="1"/>
    <n v="43001"/>
    <n v="2195"/>
    <n v="0"/>
    <n v="0"/>
    <m/>
    <m/>
    <m/>
    <m/>
    <s v=""/>
  </r>
  <r>
    <s v="43001-2195-000-99"/>
    <d v="2021-12-31T00:00:00"/>
    <n v="-257.2"/>
    <n v="0"/>
    <s v="USD"/>
    <s v="JRNLWA00439554"/>
    <s v="P"/>
    <s v="2021-11 WRO B&amp;O Tax Accrual"/>
    <s v="SKACKO"/>
    <s v="0/JE IC"/>
    <m/>
    <m/>
    <x v="23"/>
    <m/>
    <m/>
    <m/>
    <m/>
    <m/>
    <m/>
    <s v="JRNL01041311"/>
    <s v="JRNL01041318"/>
    <m/>
    <d v="2021-12-07T00:00:00"/>
    <d v="2021-12-07T00:00:00"/>
    <m/>
    <m/>
    <s v="wci_wa"/>
    <n v="0"/>
    <n v="0"/>
    <n v="0"/>
    <n v="0"/>
    <n v="5"/>
    <n v="1"/>
    <n v="43001"/>
    <n v="2195"/>
    <n v="0"/>
    <n v="99"/>
    <m/>
    <m/>
    <m/>
    <m/>
    <s v=""/>
  </r>
  <r>
    <s v="43001-2195-000-99"/>
    <d v="2021-12-31T00:00:00"/>
    <n v="274.27999999999997"/>
    <n v="0"/>
    <s v="USD"/>
    <s v="JRNLWA00440113"/>
    <s v="P"/>
    <s v="2021-12 WRO B&amp;O Tax Reclass"/>
    <s v="HeatherH"/>
    <s v="0/JE IC"/>
    <m/>
    <m/>
    <x v="1"/>
    <m/>
    <m/>
    <m/>
    <m/>
    <m/>
    <m/>
    <s v="JRNL01043140"/>
    <s v="JRNL01043140"/>
    <m/>
    <d v="2022-01-04T00:00:00"/>
    <d v="2022-01-04T00:00:00"/>
    <m/>
    <m/>
    <s v="wci_wa"/>
    <n v="0"/>
    <n v="0"/>
    <n v="0"/>
    <n v="0"/>
    <n v="0"/>
    <n v="1"/>
    <n v="43001"/>
    <n v="2195"/>
    <n v="0"/>
    <n v="99"/>
    <m/>
    <m/>
    <m/>
    <m/>
    <s v=""/>
  </r>
  <r>
    <s v="43001-2195-000-00"/>
    <d v="2021-12-31T00:00:00"/>
    <n v="25968.51"/>
    <n v="0"/>
    <s v="USD"/>
    <s v="JRNLWA00441134"/>
    <s v="P"/>
    <s v="TAX1-Accr. B&amp;O Tax"/>
    <s v="HeatherH"/>
    <s v="0/JE IC"/>
    <m/>
    <m/>
    <x v="2"/>
    <m/>
    <m/>
    <m/>
    <m/>
    <m/>
    <m/>
    <s v="JRNL01045077"/>
    <s v="JRNL01045077"/>
    <m/>
    <d v="2022-01-07T00:00:00"/>
    <d v="2022-01-07T00:00:00"/>
    <m/>
    <m/>
    <s v="wci_wa"/>
    <n v="0"/>
    <n v="0"/>
    <n v="0"/>
    <n v="0"/>
    <n v="0"/>
    <n v="1"/>
    <n v="43001"/>
    <n v="2195"/>
    <n v="0"/>
    <n v="0"/>
    <m/>
    <m/>
    <m/>
    <m/>
    <s v=""/>
  </r>
  <r>
    <s v="43001-2195-000-00"/>
    <d v="2021-12-31T00:00:00"/>
    <n v="143.15"/>
    <n v="0"/>
    <s v="USD"/>
    <s v="JRNLWA00441180"/>
    <s v="P"/>
    <s v="MISC2-BS Recons and PL Reclass"/>
    <s v="HeatherH"/>
    <s v="0/JE IC"/>
    <m/>
    <m/>
    <x v="15"/>
    <m/>
    <m/>
    <m/>
    <m/>
    <m/>
    <m/>
    <s v="JRNL01045222"/>
    <s v="JRNL01045222"/>
    <m/>
    <d v="2022-01-07T00:00:00"/>
    <d v="2022-01-07T00:00:00"/>
    <m/>
    <m/>
    <s v="wci_wa"/>
    <n v="0"/>
    <n v="0"/>
    <n v="0"/>
    <n v="0"/>
    <n v="0"/>
    <n v="1"/>
    <n v="43001"/>
    <n v="2195"/>
    <n v="0"/>
    <n v="0"/>
    <m/>
    <m/>
    <m/>
    <m/>
    <s v=""/>
  </r>
  <r>
    <s v="43001-2195-000-00"/>
    <d v="2021-12-31T00:00:00"/>
    <n v="-42.71"/>
    <n v="0"/>
    <s v="USD"/>
    <s v="JRNLWA00441180"/>
    <s v="P"/>
    <s v="MISC2-BS Recons and PL Reclass"/>
    <s v="HeatherH"/>
    <s v="0/JE IC"/>
    <m/>
    <m/>
    <x v="10"/>
    <m/>
    <m/>
    <m/>
    <m/>
    <m/>
    <m/>
    <s v="JRNL01045222"/>
    <s v="JRNL01045222"/>
    <m/>
    <d v="2022-01-07T00:00:00"/>
    <d v="2022-01-07T00:00:00"/>
    <m/>
    <m/>
    <s v="wci_wa"/>
    <n v="0"/>
    <n v="0"/>
    <n v="0"/>
    <n v="0"/>
    <n v="0"/>
    <n v="1"/>
    <n v="43001"/>
    <n v="2195"/>
    <n v="0"/>
    <n v="0"/>
    <m/>
    <m/>
    <m/>
    <m/>
    <s v=""/>
  </r>
  <r>
    <s v="43001-2195-000-99"/>
    <d v="2021-12-31T00:00:00"/>
    <n v="271.38"/>
    <n v="0"/>
    <s v="USD"/>
    <s v="JRNLWA00441352"/>
    <s v="P"/>
    <s v="2021-12 WRO B&amp;O Tax Accrual"/>
    <s v="HeatherH"/>
    <s v="0/JE IC"/>
    <m/>
    <m/>
    <x v="24"/>
    <m/>
    <m/>
    <m/>
    <m/>
    <m/>
    <m/>
    <s v="JRNL01045553"/>
    <s v="JRNL01045553"/>
    <m/>
    <d v="2022-01-07T00:00:00"/>
    <d v="2022-01-07T00:00:00"/>
    <m/>
    <m/>
    <s v="wci_wa"/>
    <n v="0"/>
    <n v="0"/>
    <n v="0"/>
    <n v="0"/>
    <n v="0"/>
    <n v="1"/>
    <n v="43001"/>
    <n v="2195"/>
    <n v="0"/>
    <n v="99"/>
    <m/>
    <m/>
    <m/>
    <m/>
    <s v=""/>
  </r>
  <r>
    <s v="43001-2195-000-99"/>
    <d v="2022-01-31T00:00:00"/>
    <n v="-271.38"/>
    <n v="0"/>
    <s v="USD"/>
    <s v="JRNLWA00441401"/>
    <s v="P"/>
    <s v="2021-12 WRO B&amp;O Tax Accrual"/>
    <s v="HeatherH"/>
    <s v="0/JE IC"/>
    <m/>
    <m/>
    <x v="24"/>
    <m/>
    <m/>
    <m/>
    <m/>
    <m/>
    <m/>
    <s v="JRNL01045553"/>
    <s v="JRNL01045628"/>
    <m/>
    <d v="2022-01-07T00:00:00"/>
    <d v="2022-01-07T00:00:00"/>
    <m/>
    <m/>
    <s v="wci_wa"/>
    <n v="0"/>
    <n v="0"/>
    <n v="0"/>
    <n v="0"/>
    <n v="5"/>
    <n v="1"/>
    <n v="43001"/>
    <n v="2195"/>
    <n v="0"/>
    <n v="99"/>
    <m/>
    <m/>
    <m/>
    <m/>
    <s v=""/>
  </r>
  <r>
    <s v="43001-2195-000-00"/>
    <d v="2022-01-31T00:00:00"/>
    <n v="25496.32"/>
    <n v="0"/>
    <s v="USD"/>
    <s v="JRNLWA00442482"/>
    <s v="P"/>
    <s v="TAX1-Accr. B&amp;O Tax"/>
    <s v="HelenaK"/>
    <s v="0/JE IC"/>
    <m/>
    <m/>
    <x v="2"/>
    <m/>
    <m/>
    <m/>
    <m/>
    <m/>
    <m/>
    <s v="JRNL01048271"/>
    <s v="JRNL01048271"/>
    <m/>
    <d v="2022-02-04T00:00:00"/>
    <d v="2022-02-04T00:00:00"/>
    <m/>
    <m/>
    <s v="wci_wa"/>
    <n v="0"/>
    <n v="0"/>
    <n v="0"/>
    <n v="0"/>
    <n v="0"/>
    <n v="1"/>
    <n v="43001"/>
    <n v="2195"/>
    <n v="0"/>
    <n v="0"/>
    <m/>
    <m/>
    <m/>
    <m/>
    <s v=""/>
  </r>
  <r>
    <s v="43001-2195-000-99"/>
    <d v="2022-01-31T00:00:00"/>
    <n v="292.56"/>
    <n v="0"/>
    <s v="USD"/>
    <s v="JRNLWA00442494"/>
    <s v="P"/>
    <s v="2022-01 WRO B&amp;O Tax Reclass"/>
    <s v="DERDMAN"/>
    <s v="0/JE IC"/>
    <m/>
    <m/>
    <x v="1"/>
    <m/>
    <m/>
    <m/>
    <m/>
    <m/>
    <m/>
    <s v="JRNL01048337"/>
    <s v="JRNL01048337"/>
    <m/>
    <d v="2022-02-04T00:00:00"/>
    <d v="2022-02-04T00:00:00"/>
    <m/>
    <m/>
    <s v="wci_wa"/>
    <n v="0"/>
    <n v="0"/>
    <n v="0"/>
    <n v="0"/>
    <n v="0"/>
    <n v="1"/>
    <n v="43001"/>
    <n v="2195"/>
    <n v="0"/>
    <n v="99"/>
    <m/>
    <m/>
    <m/>
    <m/>
    <s v=""/>
  </r>
  <r>
    <s v="43001-2195-000-00"/>
    <d v="2022-01-31T00:00:00"/>
    <n v="25.13"/>
    <n v="0"/>
    <s v="USD"/>
    <s v="JRNLWA00442549"/>
    <s v="P"/>
    <s v="MISC2-BS Recons and PL Reclass"/>
    <s v="HelenaK"/>
    <s v="0/JE IC"/>
    <m/>
    <m/>
    <x v="15"/>
    <m/>
    <m/>
    <m/>
    <m/>
    <m/>
    <m/>
    <s v="JRNL01048537"/>
    <s v="JRNL01048537"/>
    <m/>
    <d v="2022-02-04T00:00:00"/>
    <d v="2022-02-04T00:00:00"/>
    <m/>
    <m/>
    <s v="wci_wa"/>
    <n v="0"/>
    <n v="0"/>
    <n v="0"/>
    <n v="0"/>
    <n v="0"/>
    <n v="1"/>
    <n v="43001"/>
    <n v="2195"/>
    <n v="0"/>
    <n v="0"/>
    <m/>
    <m/>
    <m/>
    <m/>
    <s v=""/>
  </r>
  <r>
    <s v="43001-2195-000-00"/>
    <d v="2022-01-31T00:00:00"/>
    <n v="2904.67"/>
    <n v="0"/>
    <s v="USD"/>
    <s v="JRNLWA00442549"/>
    <s v="P"/>
    <s v="MISC2-BS Recons and PL Reclass"/>
    <s v="HelenaK"/>
    <s v="0/JE IC"/>
    <m/>
    <m/>
    <x v="7"/>
    <m/>
    <m/>
    <m/>
    <m/>
    <m/>
    <m/>
    <s v="JRNL01048537"/>
    <s v="JRNL01048537"/>
    <m/>
    <d v="2022-02-04T00:00:00"/>
    <d v="2022-02-04T00:00:00"/>
    <m/>
    <m/>
    <s v="wci_wa"/>
    <n v="0"/>
    <n v="0"/>
    <n v="0"/>
    <n v="0"/>
    <n v="0"/>
    <n v="1"/>
    <n v="43001"/>
    <n v="2195"/>
    <n v="0"/>
    <n v="0"/>
    <m/>
    <m/>
    <m/>
    <m/>
    <s v=""/>
  </r>
  <r>
    <s v="43001-2195-000-00"/>
    <d v="2022-01-31T00:00:00"/>
    <n v="-42.73"/>
    <n v="0"/>
    <s v="USD"/>
    <s v="JRNLWA00442549"/>
    <s v="P"/>
    <s v="MISC2-BS Recons and PL Reclass"/>
    <s v="HelenaK"/>
    <s v="0/JE IC"/>
    <m/>
    <m/>
    <x v="10"/>
    <m/>
    <m/>
    <m/>
    <m/>
    <m/>
    <m/>
    <s v="JRNL01048537"/>
    <s v="JRNL01048537"/>
    <m/>
    <d v="2022-02-04T00:00:00"/>
    <d v="2022-02-04T00:00:00"/>
    <m/>
    <m/>
    <s v="wci_wa"/>
    <n v="0"/>
    <n v="0"/>
    <n v="0"/>
    <n v="0"/>
    <n v="0"/>
    <n v="1"/>
    <n v="43001"/>
    <n v="2195"/>
    <n v="0"/>
    <n v="0"/>
    <m/>
    <m/>
    <m/>
    <m/>
    <s v=""/>
  </r>
  <r>
    <s v="43001-2195-000-00"/>
    <d v="2022-01-31T00:00:00"/>
    <n v="-28404.57"/>
    <n v="0"/>
    <s v="USD"/>
    <s v="JRNLWA00442754"/>
    <s v="P"/>
    <s v="MISC7- Reclass Acct 43001 into"/>
    <s v="HeatherH"/>
    <s v="0/JE IC"/>
    <m/>
    <m/>
    <x v="25"/>
    <m/>
    <m/>
    <m/>
    <m/>
    <m/>
    <m/>
    <s v="JRNL01048730"/>
    <s v="JRNL01048730"/>
    <m/>
    <d v="2022-02-04T00:00:00"/>
    <d v="2022-02-05T00:00:00"/>
    <m/>
    <m/>
    <s v="wci_wa"/>
    <n v="0"/>
    <n v="0"/>
    <n v="0"/>
    <n v="0"/>
    <n v="0"/>
    <n v="1"/>
    <n v="43001"/>
    <n v="2195"/>
    <n v="0"/>
    <n v="0"/>
    <m/>
    <m/>
    <m/>
    <m/>
    <s v=""/>
  </r>
  <r>
    <s v="43001-2195-000-99"/>
    <d v="2022-01-31T00:00:00"/>
    <n v="254.43"/>
    <n v="0"/>
    <s v="USD"/>
    <s v="JRNLWA00443205"/>
    <s v="P"/>
    <s v="2022-01 WRO B&amp;O Tax Accrual"/>
    <s v="SKACKO"/>
    <s v="0/JE IC"/>
    <m/>
    <m/>
    <x v="26"/>
    <m/>
    <m/>
    <m/>
    <m/>
    <m/>
    <m/>
    <s v="JRNL01049646"/>
    <s v="JRNL01049646"/>
    <m/>
    <d v="2022-02-07T00:00:00"/>
    <d v="2022-02-07T00:00:00"/>
    <m/>
    <m/>
    <s v="wci_wa"/>
    <n v="0"/>
    <n v="0"/>
    <n v="0"/>
    <n v="0"/>
    <n v="0"/>
    <n v="1"/>
    <n v="43001"/>
    <n v="2195"/>
    <n v="0"/>
    <n v="99"/>
    <m/>
    <m/>
    <m/>
    <m/>
    <s v=""/>
  </r>
  <r>
    <s v="43001-2195-000-00"/>
    <d v="2022-01-31T00:00:00"/>
    <n v="-254.43"/>
    <n v="0"/>
    <s v="USD"/>
    <s v="JRNLWA00443261"/>
    <s v="P"/>
    <s v="Reclass unused accounts"/>
    <s v="LaurenTi"/>
    <s v="0/JE IC"/>
    <m/>
    <m/>
    <x v="27"/>
    <m/>
    <m/>
    <m/>
    <m/>
    <m/>
    <m/>
    <s v="JRNL01049731"/>
    <s v="JRNL01049731"/>
    <m/>
    <d v="2022-02-07T00:00:00"/>
    <d v="2022-02-07T00:00:00"/>
    <m/>
    <m/>
    <s v="wci_wa"/>
    <n v="0"/>
    <n v="0"/>
    <n v="0"/>
    <n v="0"/>
    <n v="0"/>
    <n v="1"/>
    <n v="43001"/>
    <n v="2195"/>
    <n v="0"/>
    <n v="0"/>
    <m/>
    <m/>
    <m/>
    <m/>
    <s v=""/>
  </r>
  <r>
    <s v="43001-2195-000-99"/>
    <d v="2022-02-28T00:00:00"/>
    <n v="-254.43"/>
    <n v="0"/>
    <s v="USD"/>
    <s v="JRNLWA00443257"/>
    <s v="P"/>
    <s v="2022-01 WRO B&amp;O Tax Accrual"/>
    <s v="HeatherH"/>
    <s v="0/JE IC"/>
    <m/>
    <m/>
    <x v="26"/>
    <m/>
    <m/>
    <m/>
    <m/>
    <m/>
    <m/>
    <s v="JRNL01049646"/>
    <s v="JRNL01049700"/>
    <m/>
    <d v="2022-02-07T00:00:00"/>
    <d v="2022-02-07T00:00:00"/>
    <m/>
    <m/>
    <s v="wci_wa"/>
    <n v="0"/>
    <n v="0"/>
    <n v="0"/>
    <n v="0"/>
    <n v="5"/>
    <n v="1"/>
    <n v="43001"/>
    <n v="2195"/>
    <n v="0"/>
    <n v="99"/>
    <m/>
    <m/>
    <m/>
    <m/>
    <s v=""/>
  </r>
  <r>
    <s v="43001-2195-000-00"/>
    <d v="2022-02-28T00:00:00"/>
    <n v="254.43"/>
    <n v="0"/>
    <s v="USD"/>
    <s v="JRNLWA00444404"/>
    <s v="P"/>
    <s v="MISC7- Reclass Acct 43001 into"/>
    <s v="HelenaK"/>
    <s v="0/JE IC"/>
    <m/>
    <m/>
    <x v="25"/>
    <m/>
    <m/>
    <m/>
    <m/>
    <m/>
    <m/>
    <s v="JRNL01052425"/>
    <s v="JRNL01052425"/>
    <m/>
    <d v="2022-03-04T00:00:00"/>
    <d v="2022-03-04T00:00:00"/>
    <m/>
    <m/>
    <s v="wci_wa"/>
    <n v="0"/>
    <n v="0"/>
    <n v="0"/>
    <n v="0"/>
    <n v="0"/>
    <n v="1"/>
    <n v="43001"/>
    <n v="2195"/>
    <n v="0"/>
    <n v="0"/>
    <m/>
    <m/>
    <m/>
    <m/>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
  <r>
    <s v="91010-2195-000-00"/>
    <x v="0"/>
    <n v="-496.8"/>
    <n v="0"/>
    <s v="USD"/>
    <s v="JRNLWA00432560"/>
    <s v="P"/>
    <s v="July Proceeds"/>
    <s v="HelenaK"/>
    <s v="0/JE IC"/>
    <m/>
    <m/>
    <s v="FAS PROCEEDS"/>
    <m/>
    <s v="FAS #60610"/>
    <x v="0"/>
    <m/>
    <m/>
    <m/>
    <s v="JRNL01025505"/>
    <s v="JRNL01025505"/>
    <m/>
    <d v="2021-08-05T00:00:00"/>
    <d v="2021-08-05T00:00:00"/>
    <m/>
    <m/>
    <s v="wci_wa"/>
    <n v="0"/>
    <n v="0"/>
    <n v="0"/>
    <n v="0"/>
    <n v="0"/>
    <n v="1"/>
    <x v="0"/>
    <n v="2195"/>
    <n v="0"/>
    <n v="0"/>
    <m/>
    <m/>
    <m/>
    <m/>
    <s v=""/>
  </r>
  <r>
    <s v="91010-2195-000-00"/>
    <x v="0"/>
    <n v="-500"/>
    <n v="0"/>
    <s v="USD"/>
    <s v="JRNLWA00432560"/>
    <s v="P"/>
    <s v="July Proceeds"/>
    <s v="HelenaK"/>
    <s v="0/JE IC"/>
    <m/>
    <m/>
    <s v="FAS PROCEEDS"/>
    <m/>
    <s v="FAS #60619"/>
    <x v="1"/>
    <m/>
    <m/>
    <m/>
    <s v="JRNL01025505"/>
    <s v="JRNL01025505"/>
    <m/>
    <d v="2021-08-05T00:00:00"/>
    <d v="2021-08-05T00:00:00"/>
    <m/>
    <m/>
    <s v="wci_wa"/>
    <n v="0"/>
    <n v="0"/>
    <n v="0"/>
    <n v="0"/>
    <n v="0"/>
    <n v="1"/>
    <x v="0"/>
    <n v="2195"/>
    <n v="0"/>
    <n v="0"/>
    <m/>
    <m/>
    <m/>
    <m/>
    <s v=""/>
  </r>
  <r>
    <s v="91010-2195-000-00"/>
    <x v="0"/>
    <n v="-216"/>
    <n v="0"/>
    <s v="USD"/>
    <s v="JRNLWA00432560"/>
    <s v="P"/>
    <s v="July Proceeds"/>
    <s v="HelenaK"/>
    <s v="0/JE IC"/>
    <m/>
    <m/>
    <s v="FAS PROCEEDS"/>
    <m/>
    <s v="FAS #60612"/>
    <x v="0"/>
    <m/>
    <m/>
    <m/>
    <s v="JRNL01025505"/>
    <s v="JRNL01025505"/>
    <m/>
    <d v="2021-08-05T00:00:00"/>
    <d v="2021-08-05T00:00:00"/>
    <m/>
    <m/>
    <s v="wci_wa"/>
    <n v="0"/>
    <n v="0"/>
    <n v="0"/>
    <n v="0"/>
    <n v="0"/>
    <n v="1"/>
    <x v="0"/>
    <n v="2195"/>
    <n v="0"/>
    <n v="0"/>
    <m/>
    <m/>
    <m/>
    <m/>
    <s v=""/>
  </r>
  <r>
    <s v="91010-2195-000-00"/>
    <x v="0"/>
    <n v="-327.2"/>
    <n v="0"/>
    <s v="USD"/>
    <s v="JRNLWA00432560"/>
    <s v="P"/>
    <s v="July Proceeds"/>
    <s v="HelenaK"/>
    <s v="0/JE IC"/>
    <m/>
    <m/>
    <s v="FAS PROCEEDS"/>
    <m/>
    <s v="FAS #60617"/>
    <x v="1"/>
    <m/>
    <m/>
    <m/>
    <s v="JRNL01025505"/>
    <s v="JRNL01025505"/>
    <m/>
    <d v="2021-08-05T00:00:00"/>
    <d v="2021-08-05T00:00:00"/>
    <m/>
    <m/>
    <s v="wci_wa"/>
    <n v="0"/>
    <n v="0"/>
    <n v="0"/>
    <n v="0"/>
    <n v="0"/>
    <n v="1"/>
    <x v="0"/>
    <n v="2195"/>
    <n v="0"/>
    <n v="0"/>
    <m/>
    <m/>
    <m/>
    <m/>
    <s v=""/>
  </r>
  <r>
    <s v="91010-2195-000-00"/>
    <x v="0"/>
    <n v="-332"/>
    <n v="0"/>
    <s v="USD"/>
    <s v="JRNLWA00432560"/>
    <s v="P"/>
    <s v="July Proceeds"/>
    <s v="HelenaK"/>
    <s v="0/JE IC"/>
    <m/>
    <m/>
    <s v="FAS PROCEEDS"/>
    <m/>
    <s v="FAS #60610"/>
    <x v="0"/>
    <m/>
    <m/>
    <m/>
    <s v="JRNL01025505"/>
    <s v="JRNL01025505"/>
    <m/>
    <d v="2021-08-05T00:00:00"/>
    <d v="2021-08-05T00:00:00"/>
    <m/>
    <m/>
    <s v="wci_wa"/>
    <n v="0"/>
    <n v="0"/>
    <n v="0"/>
    <n v="0"/>
    <n v="0"/>
    <n v="1"/>
    <x v="0"/>
    <n v="2195"/>
    <n v="0"/>
    <n v="0"/>
    <m/>
    <m/>
    <m/>
    <m/>
    <s v=""/>
  </r>
  <r>
    <s v="91010-2195-000-00"/>
    <x v="0"/>
    <n v="-210"/>
    <n v="0"/>
    <s v="USD"/>
    <s v="JRNLWA00432560"/>
    <s v="P"/>
    <s v="July Proceeds"/>
    <s v="HelenaK"/>
    <s v="0/JE IC"/>
    <m/>
    <m/>
    <s v="FAS PROCEEDS"/>
    <m/>
    <s v="FAS #60619"/>
    <x v="1"/>
    <m/>
    <m/>
    <m/>
    <s v="JRNL01025505"/>
    <s v="JRNL01025505"/>
    <m/>
    <d v="2021-08-05T00:00:00"/>
    <d v="2021-08-05T00:00:00"/>
    <m/>
    <m/>
    <s v="wci_wa"/>
    <n v="0"/>
    <n v="0"/>
    <n v="0"/>
    <n v="0"/>
    <n v="0"/>
    <n v="1"/>
    <x v="0"/>
    <n v="2195"/>
    <n v="0"/>
    <n v="0"/>
    <m/>
    <m/>
    <m/>
    <m/>
    <s v=""/>
  </r>
  <r>
    <s v="91010-2195-000-00"/>
    <x v="0"/>
    <n v="-24.4"/>
    <n v="0"/>
    <s v="USD"/>
    <s v="JRNLWA00432560"/>
    <s v="P"/>
    <s v="July Proceeds"/>
    <s v="HelenaK"/>
    <s v="0/JE IC"/>
    <m/>
    <m/>
    <s v="FAS PROCEEDS"/>
    <m/>
    <s v="FAS #60613"/>
    <x v="0"/>
    <m/>
    <m/>
    <m/>
    <s v="JRNL01025505"/>
    <s v="JRNL01025505"/>
    <m/>
    <d v="2021-08-05T00:00:00"/>
    <d v="2021-08-05T00:00:00"/>
    <m/>
    <m/>
    <s v="wci_wa"/>
    <n v="0"/>
    <n v="0"/>
    <n v="0"/>
    <n v="0"/>
    <n v="0"/>
    <n v="1"/>
    <x v="0"/>
    <n v="2195"/>
    <n v="0"/>
    <n v="0"/>
    <m/>
    <m/>
    <m/>
    <m/>
    <s v=""/>
  </r>
  <r>
    <s v="91010-2195-000-00"/>
    <x v="1"/>
    <n v="-1000"/>
    <n v="0"/>
    <s v="USD"/>
    <s v="JRNLWA00437317"/>
    <s v="P"/>
    <s v="October  Proceeds"/>
    <s v="HeatherH"/>
    <s v="0/JE IC"/>
    <m/>
    <m/>
    <s v="FAS PROCEEDS"/>
    <m/>
    <s v="FAS #60608"/>
    <x v="2"/>
    <m/>
    <m/>
    <m/>
    <s v="JRNL01036294"/>
    <s v="JRNL01036294"/>
    <m/>
    <d v="2021-11-04T00:00:00"/>
    <d v="2021-11-04T00:00:00"/>
    <m/>
    <m/>
    <s v="wci_wa"/>
    <n v="0"/>
    <n v="0"/>
    <n v="0"/>
    <n v="0"/>
    <n v="0"/>
    <n v="1"/>
    <x v="0"/>
    <n v="2195"/>
    <n v="0"/>
    <n v="0"/>
    <m/>
    <m/>
    <m/>
    <m/>
    <s v=""/>
  </r>
  <r>
    <s v="91010-2195-000-00"/>
    <x v="2"/>
    <n v="-50"/>
    <n v="0"/>
    <s v="USD"/>
    <s v="JRNLWA00440855"/>
    <s v="P"/>
    <s v="December  Proceeds"/>
    <s v="SKACKO"/>
    <s v="0/JE IC"/>
    <m/>
    <m/>
    <s v="FAS PROCEEDS"/>
    <m/>
    <s v="FAS #60612"/>
    <x v="0"/>
    <m/>
    <m/>
    <m/>
    <s v="JRNL01044663"/>
    <s v="JRNL01044663"/>
    <m/>
    <d v="2022-01-06T00:00:00"/>
    <d v="2022-01-06T00:00:00"/>
    <m/>
    <m/>
    <s v="wci_wa"/>
    <n v="0"/>
    <n v="0"/>
    <n v="0"/>
    <n v="0"/>
    <n v="0"/>
    <n v="1"/>
    <x v="0"/>
    <n v="2195"/>
    <n v="0"/>
    <n v="0"/>
    <m/>
    <m/>
    <m/>
    <m/>
    <s v=""/>
  </r>
  <r>
    <s v="91010-2195-000-00"/>
    <x v="2"/>
    <n v="-150"/>
    <n v="0"/>
    <s v="USD"/>
    <s v="JRNLWA00440855"/>
    <s v="P"/>
    <s v="December  Proceeds"/>
    <s v="SKACKO"/>
    <s v="0/JE IC"/>
    <m/>
    <m/>
    <s v="FAS PROCEEDS"/>
    <m/>
    <s v="FAS #60617"/>
    <x v="1"/>
    <m/>
    <m/>
    <m/>
    <s v="JRNL01044663"/>
    <s v="JRNL01044663"/>
    <m/>
    <d v="2022-01-06T00:00:00"/>
    <d v="2022-01-06T00:00:00"/>
    <m/>
    <m/>
    <s v="wci_wa"/>
    <n v="0"/>
    <n v="0"/>
    <n v="0"/>
    <n v="0"/>
    <n v="0"/>
    <n v="1"/>
    <x v="0"/>
    <n v="2195"/>
    <n v="0"/>
    <n v="0"/>
    <m/>
    <m/>
    <m/>
    <m/>
    <s v=""/>
  </r>
  <r>
    <s v="91010-2195-000-00"/>
    <x v="2"/>
    <n v="-150"/>
    <n v="0"/>
    <s v="USD"/>
    <s v="JRNLWA00440855"/>
    <s v="P"/>
    <s v="December  Proceeds"/>
    <s v="SKACKO"/>
    <s v="0/JE IC"/>
    <m/>
    <m/>
    <s v="FAS PROCEEDS"/>
    <m/>
    <s v="FAS #60619"/>
    <x v="1"/>
    <m/>
    <m/>
    <m/>
    <s v="JRNL01044663"/>
    <s v="JRNL01044663"/>
    <m/>
    <d v="2022-01-06T00:00:00"/>
    <d v="2022-01-06T00:00:00"/>
    <m/>
    <m/>
    <s v="wci_wa"/>
    <n v="0"/>
    <n v="0"/>
    <n v="0"/>
    <n v="0"/>
    <n v="0"/>
    <n v="1"/>
    <x v="0"/>
    <n v="2195"/>
    <n v="0"/>
    <n v="0"/>
    <m/>
    <m/>
    <m/>
    <m/>
    <s v=""/>
  </r>
  <r>
    <s v="91010-2195-000-00"/>
    <x v="2"/>
    <n v="-1072.75"/>
    <n v="0"/>
    <s v="USD"/>
    <s v="JRNLWA00440855"/>
    <s v="P"/>
    <s v="December  Proceeds"/>
    <s v="SKACKO"/>
    <s v="0/JE IC"/>
    <m/>
    <m/>
    <s v="FAS PROCEEDS"/>
    <m/>
    <s v="FAS #60610"/>
    <x v="0"/>
    <m/>
    <m/>
    <m/>
    <s v="JRNL01044663"/>
    <s v="JRNL01044663"/>
    <m/>
    <d v="2022-01-06T00:00:00"/>
    <d v="2022-01-06T00:00:00"/>
    <m/>
    <m/>
    <s v="wci_wa"/>
    <n v="0"/>
    <n v="0"/>
    <n v="0"/>
    <n v="0"/>
    <n v="0"/>
    <n v="1"/>
    <x v="0"/>
    <n v="2195"/>
    <n v="0"/>
    <n v="0"/>
    <m/>
    <m/>
    <m/>
    <m/>
    <s v=""/>
  </r>
  <r>
    <s v="91010-2195-000-00"/>
    <x v="3"/>
    <n v="-342"/>
    <n v="0"/>
    <s v="USD"/>
    <s v="JRNLWA00442492"/>
    <s v="P"/>
    <s v="January  Proceeds"/>
    <s v="DERDMAN"/>
    <s v="0/JE IC"/>
    <m/>
    <m/>
    <s v="FAS PROCEEDS"/>
    <m/>
    <s v="FAS #60610"/>
    <x v="0"/>
    <m/>
    <m/>
    <m/>
    <s v="JRNL01048331"/>
    <s v="JRNL01048331"/>
    <m/>
    <d v="2022-02-04T00:00:00"/>
    <d v="2022-02-04T00:00:00"/>
    <m/>
    <m/>
    <s v="wci_wa"/>
    <n v="0"/>
    <n v="0"/>
    <n v="0"/>
    <n v="0"/>
    <n v="0"/>
    <n v="1"/>
    <x v="0"/>
    <n v="2195"/>
    <n v="0"/>
    <n v="0"/>
    <m/>
    <m/>
    <m/>
    <m/>
    <s v=""/>
  </r>
  <r>
    <s v="91010-2195-000-00"/>
    <x v="4"/>
    <n v="-57.2"/>
    <n v="0"/>
    <s v="USD"/>
    <s v="JRNLWA00444280"/>
    <s v="P"/>
    <s v="February  Proceeds"/>
    <s v="DERDMAN"/>
    <s v="0/JE IC"/>
    <m/>
    <m/>
    <s v="FAS PROCEEDS"/>
    <m/>
    <s v="FAS #60611"/>
    <x v="0"/>
    <m/>
    <m/>
    <m/>
    <s v="JRNL01052212"/>
    <s v="JRNL01052212"/>
    <m/>
    <d v="2022-03-04T00:00:00"/>
    <d v="2022-03-04T00:00:00"/>
    <m/>
    <m/>
    <s v="wci_wa"/>
    <n v="0"/>
    <n v="0"/>
    <n v="0"/>
    <n v="0"/>
    <n v="0"/>
    <n v="1"/>
    <x v="0"/>
    <n v="2195"/>
    <n v="0"/>
    <n v="0"/>
    <m/>
    <m/>
    <m/>
    <m/>
    <s v=""/>
  </r>
  <r>
    <s v="91010-2195-000-00"/>
    <x v="4"/>
    <n v="-130"/>
    <n v="0"/>
    <s v="USD"/>
    <s v="JRNLWA00444280"/>
    <s v="P"/>
    <s v="February  Proceeds"/>
    <s v="DERDMAN"/>
    <s v="0/JE IC"/>
    <m/>
    <m/>
    <s v="FAS PROCEEDS"/>
    <m/>
    <s v="FAS #183988"/>
    <x v="0"/>
    <m/>
    <m/>
    <m/>
    <s v="JRNL01052212"/>
    <s v="JRNL01052212"/>
    <m/>
    <d v="2022-03-04T00:00:00"/>
    <d v="2022-03-04T00:00:00"/>
    <m/>
    <m/>
    <s v="wci_wa"/>
    <n v="0"/>
    <n v="0"/>
    <n v="0"/>
    <n v="0"/>
    <n v="0"/>
    <n v="1"/>
    <x v="0"/>
    <n v="2195"/>
    <n v="0"/>
    <n v="0"/>
    <m/>
    <m/>
    <m/>
    <m/>
    <s v=""/>
  </r>
  <r>
    <s v="91010-2195-000-00"/>
    <x v="5"/>
    <n v="-300"/>
    <n v="0"/>
    <s v="USD"/>
    <s v="JRNLWA00446035"/>
    <s v="P"/>
    <s v="March  Proceeds"/>
    <s v="DERDMAN"/>
    <s v="0/JE IC"/>
    <m/>
    <m/>
    <s v="FAS PROCEEDS"/>
    <m/>
    <s v="FAS #60610"/>
    <x v="0"/>
    <m/>
    <m/>
    <m/>
    <s v="JRNL01056477"/>
    <s v="JRNL01056477"/>
    <m/>
    <d v="2022-04-06T00:00:00"/>
    <d v="2022-04-06T00:00:00"/>
    <m/>
    <m/>
    <s v="wci_wa"/>
    <n v="0"/>
    <n v="0"/>
    <n v="0"/>
    <n v="0"/>
    <n v="0"/>
    <n v="1"/>
    <x v="0"/>
    <n v="2195"/>
    <n v="0"/>
    <n v="0"/>
    <m/>
    <m/>
    <m/>
    <m/>
    <s v=""/>
  </r>
  <r>
    <s v="91010-2195-000-00"/>
    <x v="5"/>
    <n v="-300"/>
    <n v="0"/>
    <s v="USD"/>
    <s v="JRNLWA00446035"/>
    <s v="P"/>
    <s v="March  Proceeds"/>
    <s v="DERDMAN"/>
    <s v="0/JE IC"/>
    <m/>
    <m/>
    <s v="FAS PROCEEDS"/>
    <m/>
    <s v="FAS #60610"/>
    <x v="0"/>
    <m/>
    <m/>
    <m/>
    <s v="JRNL01056477"/>
    <s v="JRNL01056477"/>
    <m/>
    <d v="2022-04-06T00:00:00"/>
    <d v="2022-04-06T00:00:00"/>
    <m/>
    <m/>
    <s v="wci_wa"/>
    <n v="0"/>
    <n v="0"/>
    <n v="0"/>
    <n v="0"/>
    <n v="0"/>
    <n v="1"/>
    <x v="0"/>
    <n v="2195"/>
    <n v="0"/>
    <n v="0"/>
    <m/>
    <m/>
    <m/>
    <m/>
    <s v=""/>
  </r>
  <r>
    <s v="91010-2195-000-00"/>
    <x v="5"/>
    <n v="-49.2"/>
    <n v="0"/>
    <s v="USD"/>
    <s v="JRNLWA00446035"/>
    <s v="P"/>
    <s v="March  Proceeds"/>
    <s v="DERDMAN"/>
    <s v="0/JE IC"/>
    <m/>
    <m/>
    <s v="FAS PROCEEDS"/>
    <m/>
    <s v="FAS #60611"/>
    <x v="0"/>
    <m/>
    <m/>
    <m/>
    <s v="JRNL01056477"/>
    <s v="JRNL01056477"/>
    <m/>
    <d v="2022-04-06T00:00:00"/>
    <d v="2022-04-06T00:00:00"/>
    <m/>
    <m/>
    <s v="wci_wa"/>
    <n v="0"/>
    <n v="0"/>
    <n v="0"/>
    <n v="0"/>
    <n v="0"/>
    <n v="1"/>
    <x v="0"/>
    <n v="2195"/>
    <n v="0"/>
    <n v="0"/>
    <m/>
    <m/>
    <m/>
    <m/>
    <s v=""/>
  </r>
  <r>
    <s v="91010-2195-000-00"/>
    <x v="5"/>
    <n v="-200"/>
    <n v="0"/>
    <s v="USD"/>
    <s v="JRNLWA00446035"/>
    <s v="P"/>
    <s v="March  Proceeds"/>
    <s v="DERDMAN"/>
    <s v="0/JE IC"/>
    <m/>
    <m/>
    <s v="FAS PROCEEDS"/>
    <m/>
    <s v="FAS #60617"/>
    <x v="1"/>
    <m/>
    <m/>
    <m/>
    <s v="JRNL01056477"/>
    <s v="JRNL01056477"/>
    <m/>
    <d v="2022-04-06T00:00:00"/>
    <d v="2022-04-06T00:00:00"/>
    <m/>
    <m/>
    <s v="wci_wa"/>
    <n v="0"/>
    <n v="0"/>
    <n v="0"/>
    <n v="0"/>
    <n v="0"/>
    <n v="1"/>
    <x v="0"/>
    <n v="2195"/>
    <n v="0"/>
    <n v="0"/>
    <m/>
    <m/>
    <m/>
    <m/>
    <s v=""/>
  </r>
  <r>
    <s v="91010-2195-000-00"/>
    <x v="5"/>
    <n v="-500"/>
    <n v="0"/>
    <s v="USD"/>
    <s v="JRNLWA00446035"/>
    <s v="P"/>
    <s v="March  Proceeds"/>
    <s v="DERDMAN"/>
    <s v="0/JE IC"/>
    <m/>
    <m/>
    <s v="FAS PROCEEDS"/>
    <m/>
    <s v="FAS #76473"/>
    <x v="0"/>
    <m/>
    <m/>
    <m/>
    <s v="JRNL01056477"/>
    <s v="JRNL01056477"/>
    <m/>
    <d v="2022-04-06T00:00:00"/>
    <d v="2022-04-06T00:00:00"/>
    <m/>
    <m/>
    <s v="wci_wa"/>
    <n v="0"/>
    <n v="0"/>
    <n v="0"/>
    <n v="0"/>
    <n v="0"/>
    <n v="1"/>
    <x v="0"/>
    <n v="2195"/>
    <n v="0"/>
    <n v="0"/>
    <m/>
    <m/>
    <m/>
    <m/>
    <s v=""/>
  </r>
  <r>
    <s v="91010-2195-000-00"/>
    <x v="5"/>
    <n v="-700"/>
    <n v="0"/>
    <s v="USD"/>
    <s v="JRNLWA00446035"/>
    <s v="P"/>
    <s v="March  Proceeds"/>
    <s v="DERDMAN"/>
    <s v="0/JE IC"/>
    <m/>
    <m/>
    <s v="FAS PROCEEDS"/>
    <m/>
    <s v="FAS #90692 - Forklift Disposal"/>
    <x v="3"/>
    <m/>
    <m/>
    <m/>
    <s v="JRNL01056477"/>
    <s v="JRNL01056477"/>
    <m/>
    <d v="2022-04-06T00:00:00"/>
    <d v="2022-04-06T00:00:00"/>
    <m/>
    <m/>
    <s v="wci_wa"/>
    <n v="0"/>
    <n v="0"/>
    <n v="0"/>
    <n v="0"/>
    <n v="0"/>
    <n v="1"/>
    <x v="0"/>
    <n v="2195"/>
    <n v="0"/>
    <n v="0"/>
    <m/>
    <m/>
    <m/>
    <m/>
    <s v=""/>
  </r>
  <r>
    <s v="91010-2195-000-00"/>
    <x v="5"/>
    <n v="-78"/>
    <n v="0"/>
    <s v="USD"/>
    <s v="JRNLWA00446035"/>
    <s v="P"/>
    <s v="March  Proceeds"/>
    <s v="DERDMAN"/>
    <s v="0/JE IC"/>
    <m/>
    <m/>
    <s v="FAS PROCEEDS"/>
    <m/>
    <s v="FAS #90711"/>
    <x v="0"/>
    <m/>
    <m/>
    <m/>
    <s v="JRNL01056477"/>
    <s v="JRNL01056477"/>
    <m/>
    <d v="2022-04-06T00:00:00"/>
    <d v="2022-04-06T00:00:00"/>
    <m/>
    <m/>
    <s v="wci_wa"/>
    <n v="0"/>
    <n v="0"/>
    <n v="0"/>
    <n v="0"/>
    <n v="0"/>
    <n v="1"/>
    <x v="0"/>
    <n v="2195"/>
    <n v="0"/>
    <n v="0"/>
    <m/>
    <m/>
    <m/>
    <m/>
    <s v=""/>
  </r>
  <r>
    <s v="91010-2195-000-00"/>
    <x v="5"/>
    <n v="-50"/>
    <n v="0"/>
    <s v="USD"/>
    <s v="JRNLWA00446035"/>
    <s v="P"/>
    <s v="March  Proceeds"/>
    <s v="DERDMAN"/>
    <s v="0/JE IC"/>
    <m/>
    <m/>
    <s v="FAS PROCEEDS"/>
    <m/>
    <s v="FAS #90720"/>
    <x v="0"/>
    <m/>
    <m/>
    <m/>
    <s v="JRNL01056477"/>
    <s v="JRNL01056477"/>
    <m/>
    <d v="2022-04-06T00:00:00"/>
    <d v="2022-04-06T00:00:00"/>
    <m/>
    <m/>
    <s v="wci_wa"/>
    <n v="0"/>
    <n v="0"/>
    <n v="0"/>
    <n v="0"/>
    <n v="0"/>
    <n v="1"/>
    <x v="0"/>
    <n v="2195"/>
    <n v="0"/>
    <n v="0"/>
    <m/>
    <m/>
    <m/>
    <m/>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5">
  <r>
    <d v="2021-04-01T00:00:00"/>
    <n v="40295"/>
    <s v="JO"/>
    <n v="86"/>
    <x v="0"/>
    <n v="7180"/>
    <n v="3.59"/>
  </r>
  <r>
    <d v="2021-04-01T00:00:00"/>
    <n v="40296"/>
    <s v="JO"/>
    <n v="86"/>
    <x v="0"/>
    <n v="5480"/>
    <n v="2.74"/>
  </r>
  <r>
    <d v="2021-04-01T00:00:00"/>
    <n v="40297"/>
    <s v="SV"/>
    <n v="7"/>
    <x v="0"/>
    <n v="4440"/>
    <n v="2.2200000000000002"/>
  </r>
  <r>
    <d v="2021-04-01T00:00:00"/>
    <n v="40298"/>
    <s v="PM"/>
    <n v="80"/>
    <x v="0"/>
    <n v="6020"/>
    <n v="3.01"/>
  </r>
  <r>
    <d v="2021-04-01T00:00:00"/>
    <n v="40299"/>
    <s v="JB"/>
    <n v="83"/>
    <x v="1"/>
    <n v="6920"/>
    <n v="3.46"/>
  </r>
  <r>
    <d v="2021-04-02T00:00:00"/>
    <n v="40300"/>
    <s v="VP"/>
    <n v="5"/>
    <x v="0"/>
    <n v="4720"/>
    <n v="2.36"/>
  </r>
  <r>
    <d v="2021-04-02T00:00:00"/>
    <n v="40301"/>
    <s v="VP"/>
    <n v="5"/>
    <x v="0"/>
    <n v="5820"/>
    <n v="2.91"/>
  </r>
  <r>
    <d v="2021-04-02T00:00:00"/>
    <n v="40302"/>
    <s v="SV"/>
    <n v="5"/>
    <x v="0"/>
    <n v="1100"/>
    <n v="0.55000000000000004"/>
  </r>
  <r>
    <d v="2021-04-02T00:00:00"/>
    <n v="40303"/>
    <s v="HB"/>
    <n v="86"/>
    <x v="0"/>
    <n v="8960"/>
    <n v="4.4800000000000004"/>
  </r>
  <r>
    <d v="2021-04-05T00:00:00"/>
    <n v="40304"/>
    <s v="BB"/>
    <n v="5"/>
    <x v="2"/>
    <n v="8640"/>
    <n v="4.32"/>
  </r>
  <r>
    <d v="2021-04-05T00:00:00"/>
    <n v="40305"/>
    <s v="CH"/>
    <n v="3"/>
    <x v="0"/>
    <n v="3360"/>
    <n v="1.68"/>
  </r>
  <r>
    <d v="2021-04-05T00:00:00"/>
    <n v="40306"/>
    <s v="JB"/>
    <n v="84"/>
    <x v="1"/>
    <n v="6100"/>
    <n v="3.05"/>
  </r>
  <r>
    <d v="2021-04-05T00:00:00"/>
    <n v="40307"/>
    <s v="JO"/>
    <n v="86"/>
    <x v="0"/>
    <n v="8940"/>
    <n v="4.47"/>
  </r>
  <r>
    <d v="2021-04-05T00:00:00"/>
    <n v="40308"/>
    <s v="BB"/>
    <n v="5"/>
    <x v="0"/>
    <n v="7080"/>
    <n v="3.54"/>
  </r>
  <r>
    <d v="2021-04-06T00:00:00"/>
    <n v="40309"/>
    <s v="JB"/>
    <n v="82"/>
    <x v="1"/>
    <n v="5880"/>
    <n v="2.94"/>
  </r>
  <r>
    <d v="2021-04-06T00:00:00"/>
    <n v="40310"/>
    <s v="PM"/>
    <n v="80"/>
    <x v="0"/>
    <n v="3580"/>
    <n v="1.79"/>
  </r>
  <r>
    <d v="2021-04-06T00:00:00"/>
    <n v="40311"/>
    <s v="HB"/>
    <n v="86"/>
    <x v="0"/>
    <n v="6220"/>
    <n v="3.11"/>
  </r>
  <r>
    <d v="2021-04-07T00:00:00"/>
    <n v="40312"/>
    <s v="BB"/>
    <n v="5"/>
    <x v="0"/>
    <n v="5900"/>
    <n v="2.95"/>
  </r>
  <r>
    <d v="2021-04-07T00:00:00"/>
    <n v="40313"/>
    <s v="BB"/>
    <n v="5"/>
    <x v="0"/>
    <n v="7000"/>
    <n v="3.5"/>
  </r>
  <r>
    <d v="2021-04-07T00:00:00"/>
    <n v="40314"/>
    <s v="HB"/>
    <n v="86"/>
    <x v="0"/>
    <n v="5180"/>
    <n v="2.59"/>
  </r>
  <r>
    <d v="2021-04-07T00:00:00"/>
    <n v="40315"/>
    <s v="JB"/>
    <n v="80"/>
    <x v="1"/>
    <n v="4240"/>
    <n v="2.12"/>
  </r>
  <r>
    <d v="2021-04-07T00:00:00"/>
    <n v="40316"/>
    <s v="JO"/>
    <n v="86"/>
    <x v="0"/>
    <n v="6200"/>
    <n v="3.11"/>
  </r>
  <r>
    <d v="2021-04-08T00:00:00"/>
    <n v="40317"/>
    <s v="BDI"/>
    <m/>
    <x v="3"/>
    <n v="4640"/>
    <n v="2.3199999999999998"/>
  </r>
  <r>
    <d v="2021-04-08T00:00:00"/>
    <n v="40318"/>
    <s v="BDI"/>
    <m/>
    <x v="3"/>
    <n v="6100"/>
    <n v="3.05"/>
  </r>
  <r>
    <d v="2021-04-08T00:00:00"/>
    <n v="40319"/>
    <s v="JO"/>
    <n v="86"/>
    <x v="0"/>
    <n v="5960"/>
    <n v="2.98"/>
  </r>
  <r>
    <d v="2021-04-08T00:00:00"/>
    <n v="40320"/>
    <s v="BDI"/>
    <m/>
    <x v="3"/>
    <n v="5020"/>
    <n v="2.5099999999999998"/>
  </r>
  <r>
    <d v="2021-04-08T00:00:00"/>
    <n v="40321"/>
    <s v="BDI"/>
    <m/>
    <x v="3"/>
    <n v="3700"/>
    <n v="1.85"/>
  </r>
  <r>
    <d v="2021-04-08T00:00:00"/>
    <n v="40322"/>
    <s v="JO"/>
    <n v="86"/>
    <x v="0"/>
    <n v="5140"/>
    <n v="2.57"/>
  </r>
  <r>
    <d v="2021-04-08T00:00:00"/>
    <n v="40323"/>
    <s v="SC"/>
    <n v="80"/>
    <x v="0"/>
    <n v="5320"/>
    <n v="2.66"/>
  </r>
  <r>
    <d v="2021-04-08T00:00:00"/>
    <n v="40324"/>
    <s v="JB"/>
    <n v="84"/>
    <x v="1"/>
    <n v="3540"/>
    <n v="1.77"/>
  </r>
  <r>
    <d v="2021-04-08T00:00:00"/>
    <n v="40325"/>
    <s v="SV"/>
    <n v="7"/>
    <x v="0"/>
    <n v="5380"/>
    <n v="2.69"/>
  </r>
  <r>
    <d v="2021-04-09T00:00:00"/>
    <n v="40326"/>
    <s v="SV"/>
    <n v="5"/>
    <x v="0"/>
    <n v="7300"/>
    <n v="3.65"/>
  </r>
  <r>
    <d v="2021-04-09T00:00:00"/>
    <n v="40327"/>
    <s v="RS"/>
    <n v="5"/>
    <x v="0"/>
    <n v="3240"/>
    <n v="1.62"/>
  </r>
  <r>
    <d v="2021-04-09T00:00:00"/>
    <n v="40328"/>
    <s v="PM"/>
    <n v="80"/>
    <x v="0"/>
    <n v="3440"/>
    <n v="1.72"/>
  </r>
  <r>
    <d v="2021-04-12T00:00:00"/>
    <n v="40329"/>
    <s v="VP"/>
    <n v="5"/>
    <x v="0"/>
    <n v="7820"/>
    <n v="3.91"/>
  </r>
  <r>
    <d v="2012-04-12T00:00:00"/>
    <n v="40330"/>
    <s v="VP"/>
    <n v="5"/>
    <x v="0"/>
    <n v="4660"/>
    <n v="2.33"/>
  </r>
  <r>
    <d v="2021-04-12T00:00:00"/>
    <n v="40331"/>
    <s v="JB"/>
    <n v="3"/>
    <x v="0"/>
    <n v="3620"/>
    <n v="1.81"/>
  </r>
  <r>
    <d v="2021-04-12T00:00:00"/>
    <n v="40332"/>
    <s v="PM"/>
    <n v="80"/>
    <x v="0"/>
    <n v="4540"/>
    <n v="2.27"/>
  </r>
  <r>
    <d v="2021-04-12T00:00:00"/>
    <n v="40333"/>
    <s v="VP"/>
    <n v="5"/>
    <x v="0"/>
    <n v="6520"/>
    <n v="3.26"/>
  </r>
  <r>
    <d v="2021-04-12T00:00:00"/>
    <n v="40334"/>
    <s v="JB"/>
    <n v="83"/>
    <x v="0"/>
    <n v="6900"/>
    <n v="3.45"/>
  </r>
  <r>
    <d v="2021-04-12T00:00:00"/>
    <n v="40335"/>
    <s v="JO"/>
    <n v="86"/>
    <x v="0"/>
    <n v="8940"/>
    <n v="4.47"/>
  </r>
  <r>
    <d v="2012-04-12T00:00:00"/>
    <n v="40336"/>
    <s v="HB"/>
    <n v="86"/>
    <x v="0"/>
    <n v="5720"/>
    <n v="2.86"/>
  </r>
  <r>
    <d v="2021-04-13T00:00:00"/>
    <n v="40337"/>
    <s v="JB"/>
    <n v="81"/>
    <x v="1"/>
    <n v="2200"/>
    <n v="1.1000000000000001"/>
  </r>
  <r>
    <d v="2021-04-13T00:00:00"/>
    <n v="40338"/>
    <s v="HB"/>
    <n v="86"/>
    <x v="0"/>
    <n v="4120"/>
    <n v="2.06"/>
  </r>
  <r>
    <d v="2021-04-14T00:00:00"/>
    <n v="40339"/>
    <s v="VP"/>
    <n v="5"/>
    <x v="0"/>
    <n v="6260"/>
    <n v="3.13"/>
  </r>
  <r>
    <d v="2021-04-14T00:00:00"/>
    <n v="40340"/>
    <s v="VP"/>
    <n v="5"/>
    <x v="0"/>
    <n v="6000"/>
    <n v="3"/>
  </r>
  <r>
    <d v="2021-04-14T00:00:00"/>
    <n v="40341"/>
    <s v="HB"/>
    <n v="86"/>
    <x v="0"/>
    <n v="4880"/>
    <n v="2.44"/>
  </r>
  <r>
    <d v="2021-04-14T00:00:00"/>
    <n v="40342"/>
    <s v="JO"/>
    <n v="86"/>
    <x v="0"/>
    <n v="5640"/>
    <n v="2.82"/>
  </r>
  <r>
    <d v="2021-04-15T00:00:00"/>
    <n v="40343"/>
    <s v="JO"/>
    <n v="86"/>
    <x v="0"/>
    <n v="6760"/>
    <n v="3.38"/>
  </r>
  <r>
    <d v="2021-04-15T00:00:00"/>
    <n v="40344"/>
    <s v="BDI"/>
    <m/>
    <x v="3"/>
    <n v="5100"/>
    <n v="2.5499999999999998"/>
  </r>
  <r>
    <d v="2012-04-15T00:00:00"/>
    <n v="40345"/>
    <s v="BDI"/>
    <m/>
    <x v="3"/>
    <n v="6380"/>
    <n v="3.19"/>
  </r>
  <r>
    <d v="2021-04-15T00:00:00"/>
    <n v="40346"/>
    <s v="JO"/>
    <n v="86"/>
    <x v="0"/>
    <n v="5000"/>
    <n v="2.5"/>
  </r>
  <r>
    <d v="2021-04-15T00:00:00"/>
    <n v="40347"/>
    <s v="SV"/>
    <n v="7"/>
    <x v="0"/>
    <n v="4240"/>
    <n v="2.12"/>
  </r>
  <r>
    <d v="2021-04-15T00:00:00"/>
    <n v="40348"/>
    <s v="JB"/>
    <n v="83"/>
    <x v="1"/>
    <n v="7280"/>
    <n v="3.64"/>
  </r>
  <r>
    <d v="2021-04-16T00:00:00"/>
    <n v="40349"/>
    <s v="VP"/>
    <n v="5"/>
    <x v="0"/>
    <n v="4880"/>
    <n v="2.44"/>
  </r>
  <r>
    <d v="2021-04-16T00:00:00"/>
    <n v="40350"/>
    <s v="VP"/>
    <n v="5"/>
    <x v="0"/>
    <n v="7080"/>
    <n v="3.54"/>
  </r>
  <r>
    <d v="2021-04-16T00:00:00"/>
    <n v="40351"/>
    <s v="HB"/>
    <n v="86"/>
    <x v="0"/>
    <n v="8580"/>
    <n v="4.29"/>
  </r>
  <r>
    <d v="2021-04-16T00:00:00"/>
    <n v="40352"/>
    <s v="VP"/>
    <n v="5"/>
    <x v="0"/>
    <n v="2200"/>
    <n v="1.1000000000000001"/>
  </r>
  <r>
    <d v="2021-04-19T00:00:00"/>
    <n v="40353"/>
    <s v="VP"/>
    <n v="5"/>
    <x v="0"/>
    <n v="7160"/>
    <n v="3.58"/>
  </r>
  <r>
    <d v="2021-04-19T00:00:00"/>
    <n v="40354"/>
    <s v="JB"/>
    <n v="3"/>
    <x v="0"/>
    <n v="3180"/>
    <n v="1.59"/>
  </r>
  <r>
    <d v="2021-04-19T00:00:00"/>
    <n v="40355"/>
    <s v="VP"/>
    <n v="5"/>
    <x v="0"/>
    <n v="3580"/>
    <n v="1.79"/>
  </r>
  <r>
    <d v="2021-04-19T00:00:00"/>
    <n v="40356"/>
    <s v="VP"/>
    <n v="5"/>
    <x v="0"/>
    <n v="5620"/>
    <n v="2.81"/>
  </r>
  <r>
    <d v="2021-04-19T00:00:00"/>
    <n v="40357"/>
    <s v="RC"/>
    <n v="86"/>
    <x v="0"/>
    <n v="6040"/>
    <n v="3.02"/>
  </r>
  <r>
    <d v="2021-04-19T00:00:00"/>
    <n v="40358"/>
    <s v="JB"/>
    <n v="84"/>
    <x v="1"/>
    <n v="4740"/>
    <n v="2.37"/>
  </r>
  <r>
    <d v="2021-04-20T00:00:00"/>
    <n v="40359"/>
    <s v="JB"/>
    <n v="82"/>
    <x v="1"/>
    <n v="6320"/>
    <n v="3.16"/>
  </r>
  <r>
    <d v="2021-04-20T00:00:00"/>
    <n v="40360"/>
    <s v="HB"/>
    <n v="86"/>
    <x v="0"/>
    <n v="7380"/>
    <n v="3.69"/>
  </r>
  <r>
    <d v="2021-04-21T00:00:00"/>
    <n v="40361"/>
    <s v="VP"/>
    <n v="5"/>
    <x v="0"/>
    <n v="8040"/>
    <n v="4.0199999999999996"/>
  </r>
  <r>
    <d v="2021-04-21T00:00:00"/>
    <n v="40362"/>
    <s v="VP"/>
    <n v="5"/>
    <x v="0"/>
    <n v="5700"/>
    <n v="2.85"/>
  </r>
  <r>
    <d v="2021-04-21T00:00:00"/>
    <n v="40363"/>
    <s v="HB"/>
    <n v="86"/>
    <x v="0"/>
    <n v="5740"/>
    <n v="2.87"/>
  </r>
  <r>
    <d v="2021-04-21T00:00:00"/>
    <n v="40364"/>
    <s v="RC"/>
    <n v="86"/>
    <x v="0"/>
    <n v="3540"/>
    <n v="1.77"/>
  </r>
  <r>
    <d v="2021-04-21T00:00:00"/>
    <n v="40365"/>
    <s v="JB"/>
    <n v="80"/>
    <x v="1"/>
    <n v="4400"/>
    <n v="2.2000000000000002"/>
  </r>
  <r>
    <d v="2021-04-22T00:00:00"/>
    <n v="40366"/>
    <s v="BDI"/>
    <m/>
    <x v="3"/>
    <n v="5720"/>
    <n v="2.86"/>
  </r>
  <r>
    <d v="2021-04-22T00:00:00"/>
    <n v="40367"/>
    <s v="RC"/>
    <n v="86"/>
    <x v="0"/>
    <n v="6740"/>
    <n v="3.37"/>
  </r>
  <r>
    <d v="2021-04-22T00:00:00"/>
    <n v="40368"/>
    <s v="BDI"/>
    <m/>
    <x v="3"/>
    <n v="5480"/>
    <n v="2.74"/>
  </r>
  <r>
    <d v="2021-04-22T00:00:00"/>
    <n v="40369"/>
    <s v="BDI"/>
    <m/>
    <x v="3"/>
    <n v="5220"/>
    <n v="2.61"/>
  </r>
  <r>
    <d v="2021-04-22T00:00:00"/>
    <n v="40370"/>
    <s v="BDI"/>
    <m/>
    <x v="3"/>
    <n v="3620"/>
    <n v="1.81"/>
  </r>
  <r>
    <d v="2021-04-22T00:00:00"/>
    <n v="40371"/>
    <s v="RC"/>
    <n v="86"/>
    <x v="0"/>
    <n v="3880"/>
    <n v="1.94"/>
  </r>
  <r>
    <d v="2021-04-22T00:00:00"/>
    <n v="40372"/>
    <s v="SV"/>
    <n v="7"/>
    <x v="0"/>
    <n v="4740"/>
    <n v="2.37"/>
  </r>
  <r>
    <d v="2021-04-22T00:00:00"/>
    <n v="40373"/>
    <s v="JB"/>
    <n v="84"/>
    <x v="1"/>
    <n v="3860"/>
    <n v="1.93"/>
  </r>
  <r>
    <d v="2021-04-22T00:00:00"/>
    <n v="40374"/>
    <s v="PM"/>
    <n v="80"/>
    <x v="0"/>
    <n v="5480"/>
    <n v="2.74"/>
  </r>
  <r>
    <d v="2021-04-23T00:00:00"/>
    <n v="40375"/>
    <s v="VP"/>
    <n v="5"/>
    <x v="0"/>
    <n v="4680"/>
    <n v="2.34"/>
  </r>
  <r>
    <d v="2021-04-23T00:00:00"/>
    <n v="40376"/>
    <s v="VP"/>
    <n v="5"/>
    <x v="0"/>
    <n v="7020"/>
    <n v="3.51"/>
  </r>
  <r>
    <d v="2021-04-23T00:00:00"/>
    <n v="40377"/>
    <s v="HB"/>
    <n v="86"/>
    <x v="0"/>
    <n v="8260"/>
    <n v="4.13"/>
  </r>
  <r>
    <d v="2021-04-23T00:00:00"/>
    <n v="40378"/>
    <s v="VP"/>
    <n v="5"/>
    <x v="0"/>
    <n v="1240"/>
    <n v="0.62"/>
  </r>
  <r>
    <d v="2021-04-26T00:00:00"/>
    <n v="40379"/>
    <s v="VP"/>
    <n v="5"/>
    <x v="0"/>
    <n v="9860"/>
    <n v="4.93"/>
  </r>
  <r>
    <d v="2021-04-26T00:00:00"/>
    <n v="40380"/>
    <s v="JB"/>
    <n v="3"/>
    <x v="0"/>
    <n v="3600"/>
    <n v="1.8"/>
  </r>
  <r>
    <d v="2021-04-26T00:00:00"/>
    <n v="40381"/>
    <s v="VP"/>
    <n v="5"/>
    <x v="0"/>
    <n v="7960"/>
    <n v="3.98"/>
  </r>
  <r>
    <d v="2021-04-26T00:00:00"/>
    <n v="40382"/>
    <s v="JB"/>
    <n v="83"/>
    <x v="1"/>
    <n v="7200"/>
    <n v="3.6"/>
  </r>
  <r>
    <d v="2021-04-26T00:00:00"/>
    <n v="40383"/>
    <s v="CH"/>
    <n v="80"/>
    <x v="0"/>
    <n v="5040"/>
    <n v="2.52"/>
  </r>
  <r>
    <d v="2021-04-26T00:00:00"/>
    <n v="40384"/>
    <s v="JO"/>
    <n v="86"/>
    <x v="0"/>
    <n v="9060"/>
    <n v="4.53"/>
  </r>
  <r>
    <d v="2021-04-27T00:00:00"/>
    <n v="40385"/>
    <s v="RS"/>
    <n v="86"/>
    <x v="0"/>
    <n v="9040"/>
    <n v="4.5199999999999996"/>
  </r>
  <r>
    <d v="2021-04-27T00:00:00"/>
    <n v="40386"/>
    <s v="JB"/>
    <n v="81"/>
    <x v="1"/>
    <n v="2640"/>
    <n v="1.32"/>
  </r>
  <r>
    <d v="2021-04-28T00:00:00"/>
    <n v="40387"/>
    <s v="VP"/>
    <n v="5"/>
    <x v="0"/>
    <n v="7980"/>
    <n v="3.99"/>
  </r>
  <r>
    <d v="2021-04-28T00:00:00"/>
    <n v="40388"/>
    <s v="RS"/>
    <n v="86"/>
    <x v="0"/>
    <n v="4200"/>
    <n v="2.1"/>
  </r>
  <r>
    <d v="2021-04-28T00:00:00"/>
    <n v="40389"/>
    <s v="VP"/>
    <n v="5"/>
    <x v="0"/>
    <n v="5360"/>
    <n v="2.68"/>
  </r>
  <r>
    <d v="2021-04-28T00:00:00"/>
    <n v="40390"/>
    <s v="JO"/>
    <n v="86"/>
    <x v="0"/>
    <n v="5840"/>
    <n v="2.92"/>
  </r>
  <r>
    <d v="2021-04-29T00:00:00"/>
    <n v="40391"/>
    <s v="JO"/>
    <n v="86"/>
    <x v="0"/>
    <n v="9060"/>
    <n v="4.53"/>
  </r>
  <r>
    <d v="2021-04-29T00:00:00"/>
    <n v="40392"/>
    <s v="JO"/>
    <n v="86"/>
    <x v="0"/>
    <n v="6020"/>
    <n v="3.04"/>
  </r>
  <r>
    <d v="2021-04-29T00:00:00"/>
    <n v="40393"/>
    <s v="CH"/>
    <n v="80"/>
    <x v="0"/>
    <n v="4720"/>
    <n v="2.36"/>
  </r>
  <r>
    <d v="2021-04-29T00:00:00"/>
    <n v="40394"/>
    <s v="RS"/>
    <n v="7"/>
    <x v="0"/>
    <n v="4440"/>
    <n v="2.2200000000000002"/>
  </r>
  <r>
    <d v="2021-04-29T00:00:00"/>
    <n v="40395"/>
    <s v="JB"/>
    <n v="83"/>
    <x v="1"/>
    <n v="7480"/>
    <n v="3.74"/>
  </r>
  <r>
    <d v="2021-04-30T00:00:00"/>
    <n v="40396"/>
    <s v="VP"/>
    <n v="5"/>
    <x v="0"/>
    <n v="4600"/>
    <n v="2.2999999999999998"/>
  </r>
  <r>
    <d v="2021-04-30T00:00:00"/>
    <n v="40397"/>
    <s v="VP"/>
    <n v="5"/>
    <x v="0"/>
    <n v="6700"/>
    <n v="3.35"/>
  </r>
  <r>
    <d v="2021-04-30T00:00:00"/>
    <n v="40398"/>
    <s v="RS"/>
    <n v="86"/>
    <x v="0"/>
    <n v="8420"/>
    <n v="4.21"/>
  </r>
  <r>
    <d v="2021-04-30T00:00:00"/>
    <n v="40399"/>
    <s v="VP"/>
    <n v="5"/>
    <x v="0"/>
    <n v="2000"/>
    <n v="1"/>
  </r>
  <r>
    <d v="2021-05-03T00:00:00"/>
    <n v="40400"/>
    <s v="VP"/>
    <n v="5"/>
    <x v="0"/>
    <n v="6880"/>
    <n v="3.44"/>
  </r>
  <r>
    <d v="2021-05-03T00:00:00"/>
    <n v="40401"/>
    <s v="JB"/>
    <n v="3"/>
    <x v="0"/>
    <n v="3360"/>
    <n v="1.68"/>
  </r>
  <r>
    <d v="2021-05-03T00:00:00"/>
    <n v="40402"/>
    <s v="VP"/>
    <n v="5"/>
    <x v="0"/>
    <n v="5080"/>
    <n v="2.54"/>
  </r>
  <r>
    <d v="2021-05-03T00:00:00"/>
    <n v="40403"/>
    <s v="VP"/>
    <n v="5"/>
    <x v="0"/>
    <n v="5540"/>
    <n v="2.77"/>
  </r>
  <r>
    <d v="2021-05-03T00:00:00"/>
    <n v="40404"/>
    <s v="JB"/>
    <n v="84"/>
    <x v="1"/>
    <n v="6760"/>
    <n v="3.38"/>
  </r>
  <r>
    <d v="2021-05-03T00:00:00"/>
    <n v="40405"/>
    <s v="JO"/>
    <n v="86"/>
    <x v="0"/>
    <n v="9720"/>
    <n v="4.8600000000000003"/>
  </r>
  <r>
    <d v="2021-05-03T00:00:00"/>
    <n v="40406"/>
    <s v="JB"/>
    <n v="3"/>
    <x v="0"/>
    <n v="3200"/>
    <n v="1.6"/>
  </r>
  <r>
    <d v="2021-05-04T00:00:00"/>
    <n v="40407"/>
    <s v="JB"/>
    <n v="82"/>
    <x v="1"/>
    <n v="6040"/>
    <n v="3.02"/>
  </r>
  <r>
    <d v="2021-05-04T00:00:00"/>
    <n v="40408"/>
    <s v="HB"/>
    <n v="86"/>
    <x v="0"/>
    <n v="7400"/>
    <n v="3.7"/>
  </r>
  <r>
    <d v="2021-05-04T00:00:00"/>
    <n v="40409"/>
    <s v="CH"/>
    <n v="80"/>
    <x v="0"/>
    <n v="4000"/>
    <n v="2"/>
  </r>
  <r>
    <d v="2021-05-05T00:00:00"/>
    <n v="40410"/>
    <s v="VP"/>
    <n v="5"/>
    <x v="0"/>
    <n v="8680"/>
    <n v="4.34"/>
  </r>
  <r>
    <d v="2021-05-05T00:00:00"/>
    <n v="40411"/>
    <s v="VP"/>
    <n v="5"/>
    <x v="0"/>
    <n v="5500"/>
    <n v="2.75"/>
  </r>
  <r>
    <d v="2021-05-05T00:00:00"/>
    <n v="40412"/>
    <s v="JB"/>
    <n v="80"/>
    <x v="1"/>
    <n v="4480"/>
    <n v="2.2400000000000002"/>
  </r>
  <r>
    <d v="2021-05-05T00:00:00"/>
    <n v="40413"/>
    <s v="SV"/>
    <n v="7"/>
    <x v="0"/>
    <n v="5380"/>
    <n v="2.69"/>
  </r>
  <r>
    <d v="2021-05-05T00:00:00"/>
    <n v="40414"/>
    <s v="JO"/>
    <n v="86"/>
    <x v="0"/>
    <n v="7080"/>
    <n v="3.54"/>
  </r>
  <r>
    <d v="2021-05-06T00:00:00"/>
    <n v="40415"/>
    <s v="BDI"/>
    <m/>
    <x v="3"/>
    <n v="5600"/>
    <n v="2.84"/>
  </r>
  <r>
    <d v="2021-05-06T00:00:00"/>
    <n v="40416"/>
    <s v="BDI"/>
    <m/>
    <x v="3"/>
    <n v="4960"/>
    <n v="2.48"/>
  </r>
  <r>
    <d v="2021-05-06T00:00:00"/>
    <n v="40417"/>
    <s v="JO"/>
    <n v="86"/>
    <x v="0"/>
    <n v="7160"/>
    <n v="3.58"/>
  </r>
  <r>
    <d v="2021-05-06T00:00:00"/>
    <n v="40418"/>
    <s v="BDI"/>
    <m/>
    <x v="3"/>
    <n v="4300"/>
    <n v="2.15"/>
  </r>
  <r>
    <d v="2021-05-06T00:00:00"/>
    <n v="40419"/>
    <s v="BDI"/>
    <m/>
    <x v="3"/>
    <n v="4000"/>
    <n v="2"/>
  </r>
  <r>
    <d v="2021-05-06T00:00:00"/>
    <n v="40420"/>
    <s v="JO"/>
    <n v="86"/>
    <x v="0"/>
    <n v="5580"/>
    <n v="2.79"/>
  </r>
  <r>
    <d v="2021-05-06T00:00:00"/>
    <n v="40421"/>
    <s v="SV"/>
    <n v="7"/>
    <x v="0"/>
    <n v="5120"/>
    <n v="2.56"/>
  </r>
  <r>
    <d v="2021-05-06T00:00:00"/>
    <n v="40422"/>
    <s v="PM"/>
    <n v="80"/>
    <x v="0"/>
    <n v="6340"/>
    <n v="3.17"/>
  </r>
  <r>
    <d v="2021-05-06T00:00:00"/>
    <n v="40423"/>
    <s v="JB"/>
    <n v="84"/>
    <x v="1"/>
    <n v="3780"/>
    <n v="1.89"/>
  </r>
  <r>
    <d v="2021-05-07T00:00:00"/>
    <n v="40424"/>
    <s v="VP"/>
    <n v="5"/>
    <x v="0"/>
    <n v="4300"/>
    <n v="2.15"/>
  </r>
  <r>
    <d v="2021-05-07T00:00:00"/>
    <n v="40425"/>
    <s v="VP"/>
    <n v="5"/>
    <x v="0"/>
    <n v="6760"/>
    <n v="3.38"/>
  </r>
  <r>
    <d v="2021-05-07T00:00:00"/>
    <n v="40426"/>
    <s v="VP"/>
    <n v="5"/>
    <x v="0"/>
    <n v="5900"/>
    <n v="2.95"/>
  </r>
  <r>
    <d v="2021-05-07T00:00:00"/>
    <n v="40427"/>
    <s v="VP"/>
    <n v="5"/>
    <x v="0"/>
    <n v="2520"/>
    <n v="1.26"/>
  </r>
  <r>
    <d v="2021-05-10T00:00:00"/>
    <n v="40428"/>
    <s v="VP"/>
    <n v="5"/>
    <x v="0"/>
    <n v="7220"/>
    <n v="3.61"/>
  </r>
  <r>
    <d v="2021-05-10T00:00:00"/>
    <n v="40429"/>
    <s v="JB"/>
    <n v="3"/>
    <x v="0"/>
    <n v="4080"/>
    <n v="2.04"/>
  </r>
  <r>
    <d v="2021-05-10T00:00:00"/>
    <n v="40430"/>
    <s v="VP"/>
    <n v="5"/>
    <x v="0"/>
    <n v="5180"/>
    <n v="2.59"/>
  </r>
  <r>
    <d v="2021-05-10T00:00:00"/>
    <n v="40431"/>
    <s v="VP"/>
    <n v="5"/>
    <x v="0"/>
    <n v="5660"/>
    <n v="2.83"/>
  </r>
  <r>
    <d v="2021-05-10T00:00:00"/>
    <n v="40432"/>
    <s v="CH"/>
    <n v="80"/>
    <x v="1"/>
    <n v="5260"/>
    <n v="2.63"/>
  </r>
  <r>
    <d v="2021-05-10T00:00:00"/>
    <n v="40433"/>
    <s v="JO"/>
    <n v="86"/>
    <x v="0"/>
    <n v="6300"/>
    <n v="3.15"/>
  </r>
  <r>
    <d v="2021-05-10T00:00:00"/>
    <n v="40434"/>
    <s v="JB"/>
    <n v="83"/>
    <x v="1"/>
    <n v="7120"/>
    <n v="3.56"/>
  </r>
  <r>
    <d v="2021-05-11T00:00:00"/>
    <n v="40435"/>
    <s v="VP"/>
    <n v="5"/>
    <x v="0"/>
    <n v="6640"/>
    <n v="3.32"/>
  </r>
  <r>
    <d v="2021-05-11T00:00:00"/>
    <n v="40436"/>
    <s v="JB"/>
    <n v="81"/>
    <x v="1"/>
    <n v="2660"/>
    <n v="1.33"/>
  </r>
  <r>
    <d v="2021-05-12T00:00:00"/>
    <n v="40437"/>
    <s v="VP"/>
    <n v="5"/>
    <x v="0"/>
    <n v="8340"/>
    <n v="4.17"/>
  </r>
  <r>
    <d v="2021-05-12T00:00:00"/>
    <n v="40438"/>
    <s v="JO"/>
    <n v="86"/>
    <x v="0"/>
    <n v="1960"/>
    <n v="0.98"/>
  </r>
  <r>
    <d v="2021-05-12T00:00:00"/>
    <n v="40439"/>
    <s v="VP"/>
    <n v="5"/>
    <x v="0"/>
    <n v="5700"/>
    <n v="2.85"/>
  </r>
  <r>
    <d v="2021-05-12T00:00:00"/>
    <n v="40440"/>
    <s v="JO"/>
    <n v="86"/>
    <x v="0"/>
    <n v="5980"/>
    <n v="2.99"/>
  </r>
  <r>
    <d v="2021-05-13T00:00:00"/>
    <n v="40441"/>
    <s v="BDI"/>
    <m/>
    <x v="3"/>
    <n v="6920"/>
    <n v="3.46"/>
  </r>
  <r>
    <d v="2021-05-13T00:00:00"/>
    <n v="40442"/>
    <s v="JO"/>
    <n v="86"/>
    <x v="0"/>
    <n v="7120"/>
    <n v="3.56"/>
  </r>
  <r>
    <d v="2021-05-13T00:00:00"/>
    <n v="40443"/>
    <s v="BDI"/>
    <m/>
    <x v="3"/>
    <n v="5800"/>
    <n v="2.9"/>
  </r>
  <r>
    <d v="2021-05-13T00:00:00"/>
    <n v="40444"/>
    <s v="JO"/>
    <n v="86"/>
    <x v="0"/>
    <n v="5100"/>
    <n v="2.5499999999999998"/>
  </r>
  <r>
    <d v="2021-05-13T00:00:00"/>
    <n v="40445"/>
    <s v="SV"/>
    <n v="7"/>
    <x v="0"/>
    <n v="3440"/>
    <n v="1.72"/>
  </r>
  <r>
    <d v="2021-05-13T00:00:00"/>
    <n v="40446"/>
    <s v="CH"/>
    <n v="80"/>
    <x v="0"/>
    <n v="5280"/>
    <n v="2.64"/>
  </r>
  <r>
    <d v="2021-05-13T00:00:00"/>
    <n v="40447"/>
    <s v="JB"/>
    <n v="83"/>
    <x v="1"/>
    <n v="7740"/>
    <n v="3.87"/>
  </r>
  <r>
    <d v="2021-05-14T00:00:00"/>
    <n v="40448"/>
    <s v="VP"/>
    <n v="5"/>
    <x v="0"/>
    <n v="4520"/>
    <n v="2.2599999999999998"/>
  </r>
  <r>
    <d v="2021-05-14T00:00:00"/>
    <n v="40449"/>
    <s v="VP"/>
    <n v="5"/>
    <x v="0"/>
    <n v="7260"/>
    <n v="3.63"/>
  </r>
  <r>
    <d v="2021-05-14T00:00:00"/>
    <n v="40450"/>
    <s v="JO"/>
    <n v="86"/>
    <x v="0"/>
    <n v="5880"/>
    <n v="2.94"/>
  </r>
  <r>
    <d v="2021-05-14T00:00:00"/>
    <n v="40451"/>
    <s v="CH"/>
    <n v="80"/>
    <x v="0"/>
    <n v="3740"/>
    <n v="1.87"/>
  </r>
  <r>
    <d v="2021-05-14T00:00:00"/>
    <n v="40452"/>
    <s v="VP"/>
    <n v="5"/>
    <x v="0"/>
    <n v="1840"/>
    <n v="0.92"/>
  </r>
  <r>
    <d v="2021-05-17T00:00:00"/>
    <n v="40453"/>
    <s v="VP"/>
    <n v="5"/>
    <x v="0"/>
    <n v="7960"/>
    <n v="3.98"/>
  </r>
  <r>
    <d v="2021-05-17T00:00:00"/>
    <n v="40454"/>
    <s v="JB"/>
    <n v="3"/>
    <x v="0"/>
    <n v="4120"/>
    <n v="2.06"/>
  </r>
  <r>
    <d v="2021-05-17T00:00:00"/>
    <n v="40455"/>
    <s v="VP"/>
    <n v="5"/>
    <x v="0"/>
    <n v="4440"/>
    <n v="2.2200000000000002"/>
  </r>
  <r>
    <d v="2021-05-17T00:00:00"/>
    <n v="40456"/>
    <s v="CH"/>
    <n v="80"/>
    <x v="0"/>
    <n v="2800"/>
    <n v="1.4"/>
  </r>
  <r>
    <d v="2021-05-17T00:00:00"/>
    <n v="40457"/>
    <s v="VP"/>
    <n v="5"/>
    <x v="0"/>
    <n v="5680"/>
    <n v="2.84"/>
  </r>
  <r>
    <d v="2021-05-17T00:00:00"/>
    <n v="40458"/>
    <s v="JO"/>
    <n v="86"/>
    <x v="0"/>
    <n v="6220"/>
    <n v="3.11"/>
  </r>
  <r>
    <d v="2021-05-17T00:00:00"/>
    <n v="40459"/>
    <s v="JB"/>
    <n v="84"/>
    <x v="1"/>
    <n v="6420"/>
    <n v="3.21"/>
  </r>
  <r>
    <d v="2021-05-18T00:00:00"/>
    <n v="40460"/>
    <s v="CH"/>
    <n v="80"/>
    <x v="0"/>
    <n v="3620"/>
    <n v="1.81"/>
  </r>
  <r>
    <d v="2021-05-18T00:00:00"/>
    <n v="40461"/>
    <s v="JB"/>
    <n v="82"/>
    <x v="1"/>
    <n v="6240"/>
    <n v="3.12"/>
  </r>
  <r>
    <d v="2021-05-18T00:00:00"/>
    <n v="40462"/>
    <s v="HB"/>
    <n v="86"/>
    <x v="0"/>
    <n v="7380"/>
    <n v="3.69"/>
  </r>
  <r>
    <d v="2021-05-19T00:00:00"/>
    <n v="40463"/>
    <s v="VP"/>
    <n v="5"/>
    <x v="0"/>
    <n v="7280"/>
    <n v="3.64"/>
  </r>
  <r>
    <d v="2021-05-19T00:00:00"/>
    <n v="40464"/>
    <s v="HB"/>
    <n v="86"/>
    <x v="0"/>
    <n v="3120"/>
    <n v="1.56"/>
  </r>
  <r>
    <d v="2021-05-19T00:00:00"/>
    <n v="40465"/>
    <s v="VP"/>
    <n v="5"/>
    <x v="0"/>
    <n v="5840"/>
    <n v="2.92"/>
  </r>
  <r>
    <d v="2021-05-19T00:00:00"/>
    <n v="40466"/>
    <s v="JB"/>
    <n v="80"/>
    <x v="1"/>
    <n v="4380"/>
    <n v="2.19"/>
  </r>
  <r>
    <d v="2021-05-19T00:00:00"/>
    <n v="40467"/>
    <s v="HB"/>
    <n v="86"/>
    <x v="0"/>
    <n v="5740"/>
    <n v="2.87"/>
  </r>
  <r>
    <d v="2021-05-20T00:00:00"/>
    <n v="40468"/>
    <s v="BDI"/>
    <m/>
    <x v="3"/>
    <n v="4780"/>
    <n v="2.39"/>
  </r>
  <r>
    <d v="2021-05-20T00:00:00"/>
    <n v="40469"/>
    <s v="BDI"/>
    <m/>
    <x v="3"/>
    <n v="4540"/>
    <n v="2.27"/>
  </r>
  <r>
    <d v="2021-05-20T00:00:00"/>
    <n v="40470"/>
    <s v="JO"/>
    <n v="86"/>
    <x v="0"/>
    <n v="6580"/>
    <n v="3.29"/>
  </r>
  <r>
    <d v="2021-05-20T00:00:00"/>
    <n v="40471"/>
    <s v="BDI"/>
    <m/>
    <x v="3"/>
    <n v="4420"/>
    <n v="2.21"/>
  </r>
  <r>
    <d v="2021-05-20T00:00:00"/>
    <n v="40472"/>
    <s v="BDI"/>
    <m/>
    <x v="3"/>
    <n v="4380"/>
    <n v="2.19"/>
  </r>
  <r>
    <d v="2021-05-20T00:00:00"/>
    <n v="40473"/>
    <s v="JO"/>
    <n v="86"/>
    <x v="0"/>
    <n v="5360"/>
    <n v="2.68"/>
  </r>
  <r>
    <d v="2021-05-20T00:00:00"/>
    <n v="40474"/>
    <s v="JB"/>
    <n v="84"/>
    <x v="1"/>
    <n v="4060"/>
    <n v="2.0299999999999998"/>
  </r>
  <r>
    <d v="2021-05-20T00:00:00"/>
    <n v="40475"/>
    <s v="SV"/>
    <n v="7"/>
    <x v="0"/>
    <n v="4360"/>
    <n v="2.1800000000000002"/>
  </r>
  <r>
    <d v="2021-05-20T00:00:00"/>
    <n v="40476"/>
    <s v="CH"/>
    <n v="80"/>
    <x v="0"/>
    <n v="4960"/>
    <n v="2.48"/>
  </r>
  <r>
    <d v="2021-05-21T00:00:00"/>
    <n v="40477"/>
    <s v="VP"/>
    <n v="5"/>
    <x v="0"/>
    <n v="5540"/>
    <n v="2.77"/>
  </r>
  <r>
    <d v="2021-05-21T00:00:00"/>
    <n v="40478"/>
    <s v="VP"/>
    <n v="5"/>
    <x v="0"/>
    <n v="6560"/>
    <n v="3.28"/>
  </r>
  <r>
    <d v="2021-05-21T00:00:00"/>
    <n v="40479"/>
    <s v="CH"/>
    <n v="80"/>
    <x v="0"/>
    <n v="4320"/>
    <n v="2.16"/>
  </r>
  <r>
    <d v="2021-05-21T00:00:00"/>
    <n v="40480"/>
    <s v="HB"/>
    <n v="86"/>
    <x v="0"/>
    <n v="5500"/>
    <n v="2.75"/>
  </r>
  <r>
    <d v="2021-05-21T00:00:00"/>
    <n v="40481"/>
    <s v="VP"/>
    <n v="5"/>
    <x v="0"/>
    <n v="2080"/>
    <n v="1.04"/>
  </r>
  <r>
    <d v="2021-05-24T00:00:00"/>
    <n v="40482"/>
    <s v="VP"/>
    <n v="5"/>
    <x v="0"/>
    <n v="7540"/>
    <n v="3.77"/>
  </r>
  <r>
    <d v="2021-05-24T00:00:00"/>
    <n v="40483"/>
    <s v="JB"/>
    <n v="3"/>
    <x v="0"/>
    <n v="3800"/>
    <n v="1.9"/>
  </r>
  <r>
    <d v="2021-05-24T00:00:00"/>
    <n v="40484"/>
    <s v="VP"/>
    <n v="5"/>
    <x v="0"/>
    <n v="5120"/>
    <n v="2.56"/>
  </r>
  <r>
    <d v="2021-05-24T00:00:00"/>
    <n v="40485"/>
    <s v="VP"/>
    <n v="5"/>
    <x v="0"/>
    <n v="5620"/>
    <n v="2.81"/>
  </r>
  <r>
    <d v="2021-05-24T00:00:00"/>
    <n v="40486"/>
    <s v="JO"/>
    <n v="86"/>
    <x v="0"/>
    <n v="6260"/>
    <n v="3.13"/>
  </r>
  <r>
    <d v="2021-05-25T00:00:00"/>
    <n v="40487"/>
    <s v="JB"/>
    <n v="83"/>
    <x v="1"/>
    <n v="7280"/>
    <n v="3.64"/>
  </r>
  <r>
    <d v="2021-05-25T00:00:00"/>
    <n v="40488"/>
    <s v="CH"/>
    <n v="80"/>
    <x v="0"/>
    <n v="5020"/>
    <n v="2.5099999999999998"/>
  </r>
  <r>
    <d v="2021-05-25T00:00:00"/>
    <n v="40489"/>
    <s v="CH"/>
    <n v="80"/>
    <x v="0"/>
    <n v="3080"/>
    <n v="1.54"/>
  </r>
  <r>
    <d v="2021-05-25T00:00:00"/>
    <n v="40490"/>
    <s v="HB"/>
    <n v="86"/>
    <x v="0"/>
    <n v="7080"/>
    <n v="3.54"/>
  </r>
  <r>
    <d v="2021-05-25T00:00:00"/>
    <n v="40491"/>
    <s v="PM"/>
    <n v="81"/>
    <x v="1"/>
    <n v="2620"/>
    <n v="1.31"/>
  </r>
  <r>
    <d v="2021-05-26T00:00:00"/>
    <n v="40492"/>
    <s v="VP"/>
    <n v="5"/>
    <x v="0"/>
    <n v="8460"/>
    <n v="4.2300000000000004"/>
  </r>
  <r>
    <d v="2021-05-26T00:00:00"/>
    <n v="40493"/>
    <s v="JO"/>
    <n v="86"/>
    <x v="0"/>
    <n v="1980"/>
    <n v="0.99"/>
  </r>
  <r>
    <d v="2021-05-26T00:00:00"/>
    <n v="40494"/>
    <s v="VP"/>
    <n v="5"/>
    <x v="0"/>
    <n v="5920"/>
    <n v="2.96"/>
  </r>
  <r>
    <d v="2021-05-26T00:00:00"/>
    <n v="40495"/>
    <s v="JO"/>
    <n v="86"/>
    <x v="0"/>
    <n v="6440"/>
    <n v="3.22"/>
  </r>
  <r>
    <d v="2021-05-27T00:00:00"/>
    <n v="40496"/>
    <s v="JO"/>
    <n v="86"/>
    <x v="0"/>
    <n v="6720"/>
    <n v="3.36"/>
  </r>
  <r>
    <d v="2021-05-27T00:00:00"/>
    <n v="40497"/>
    <s v="JO"/>
    <n v="86"/>
    <x v="1"/>
    <n v="5400"/>
    <n v="2.7"/>
  </r>
  <r>
    <d v="2021-05-27T00:00:00"/>
    <n v="40498"/>
    <s v="CH"/>
    <n v="80"/>
    <x v="0"/>
    <n v="5660"/>
    <n v="2.83"/>
  </r>
  <r>
    <d v="2021-05-27T00:00:00"/>
    <n v="40499"/>
    <s v="PM"/>
    <n v="83"/>
    <x v="1"/>
    <n v="7760"/>
    <n v="3.88"/>
  </r>
  <r>
    <d v="2021-05-28T00:00:00"/>
    <n v="40500"/>
    <s v="VP"/>
    <n v="5"/>
    <x v="0"/>
    <n v="9880"/>
    <n v="4.9400000000000004"/>
  </r>
  <r>
    <d v="2021-05-28T00:00:00"/>
    <n v="41001"/>
    <s v="VP"/>
    <n v="5"/>
    <x v="0"/>
    <n v="1620"/>
    <n v="0.81"/>
  </r>
  <r>
    <d v="2021-05-28T00:00:00"/>
    <n v="41002"/>
    <s v="HB"/>
    <n v="86"/>
    <x v="0"/>
    <n v="7260"/>
    <n v="3.63"/>
  </r>
  <r>
    <d v="2021-05-28T00:00:00"/>
    <n v="41003"/>
    <s v="CH"/>
    <n v="80"/>
    <x v="0"/>
    <n v="3940"/>
    <n v="1.97"/>
  </r>
  <r>
    <d v="2021-05-28T00:00:00"/>
    <n v="41004"/>
    <s v="VP"/>
    <n v="5"/>
    <x v="0"/>
    <n v="2160"/>
    <n v="1.08"/>
  </r>
  <r>
    <d v="2021-06-01T00:00:00"/>
    <n v="41005"/>
    <s v="VP"/>
    <n v="5"/>
    <x v="0"/>
    <n v="7880"/>
    <n v="3.94"/>
  </r>
  <r>
    <d v="2021-06-01T00:00:00"/>
    <n v="41006"/>
    <s v="JB"/>
    <n v="3"/>
    <x v="0"/>
    <n v="3980"/>
    <n v="1.99"/>
  </r>
  <r>
    <d v="2021-06-01T00:00:00"/>
    <n v="41007"/>
    <s v="VP"/>
    <n v="5"/>
    <x v="0"/>
    <n v="5340"/>
    <n v="2.67"/>
  </r>
  <r>
    <d v="2021-06-01T00:00:00"/>
    <n v="41008"/>
    <s v="CH"/>
    <n v="80"/>
    <x v="0"/>
    <n v="3160"/>
    <n v="1.58"/>
  </r>
  <r>
    <d v="2021-06-01T00:00:00"/>
    <n v="41009"/>
    <s v="VP"/>
    <n v="5"/>
    <x v="0"/>
    <n v="6480"/>
    <n v="3.24"/>
  </r>
  <r>
    <d v="2021-06-01T00:00:00"/>
    <n v="41010"/>
    <s v="JB"/>
    <n v="84"/>
    <x v="1"/>
    <n v="6700"/>
    <n v="3.35"/>
  </r>
  <r>
    <d v="2021-06-01T00:00:00"/>
    <n v="41011"/>
    <s v="JO"/>
    <n v="86"/>
    <x v="0"/>
    <n v="7020"/>
    <n v="3.51"/>
  </r>
  <r>
    <d v="2021-06-02T00:00:00"/>
    <n v="41012"/>
    <s v="JB"/>
    <n v="82"/>
    <x v="1"/>
    <n v="6300"/>
    <n v="3.15"/>
  </r>
  <r>
    <d v="2021-06-02T00:00:00"/>
    <n v="41013"/>
    <s v="CH"/>
    <n v="80"/>
    <x v="0"/>
    <n v="3960"/>
    <n v="1.98"/>
  </r>
  <r>
    <d v="2021-06-02T00:00:00"/>
    <n v="41014"/>
    <s v="JO"/>
    <n v="86"/>
    <x v="0"/>
    <n v="3760"/>
    <n v="1.88"/>
  </r>
  <r>
    <d v="2021-06-02T00:00:00"/>
    <n v="41015"/>
    <s v="HB"/>
    <n v="86"/>
    <x v="0"/>
    <n v="9520"/>
    <n v="4.76"/>
  </r>
  <r>
    <d v="2021-06-02T00:00:00"/>
    <n v="41016"/>
    <s v="VP"/>
    <n v="5"/>
    <x v="0"/>
    <n v="5460"/>
    <n v="2.73"/>
  </r>
  <r>
    <d v="2021-06-03T00:00:00"/>
    <n v="41017"/>
    <s v="VP"/>
    <n v="5"/>
    <x v="0"/>
    <n v="8480"/>
    <n v="4.24"/>
  </r>
  <r>
    <d v="2021-06-03T00:00:00"/>
    <n v="41018"/>
    <s v="JB"/>
    <n v="80"/>
    <x v="1"/>
    <n v="1980"/>
    <n v="0.99"/>
  </r>
  <r>
    <d v="2021-06-03T00:00:00"/>
    <n v="41019"/>
    <s v="?"/>
    <n v="80"/>
    <x v="0"/>
    <n v="3100"/>
    <n v="1.55"/>
  </r>
  <r>
    <d v="2021-06-03T00:00:00"/>
    <n v="41020"/>
    <s v="JO"/>
    <n v="86"/>
    <x v="0"/>
    <n v="5360"/>
    <n v="2.68"/>
  </r>
  <r>
    <d v="2021-06-03T00:00:00"/>
    <n v="41021"/>
    <s v="SV"/>
    <n v="7"/>
    <x v="0"/>
    <n v="3100"/>
    <n v="1.55"/>
  </r>
  <r>
    <d v="2021-06-03T00:00:00"/>
    <n v="41022"/>
    <s v="?"/>
    <s v="?"/>
    <x v="0"/>
    <n v="1700"/>
    <n v="0.85"/>
  </r>
  <r>
    <d v="2021-06-04T00:00:00"/>
    <n v="41023"/>
    <s v="VP"/>
    <n v="5"/>
    <x v="0"/>
    <n v="4320"/>
    <n v="2.16"/>
  </r>
  <r>
    <d v="2021-06-04T00:00:00"/>
    <n v="41024"/>
    <s v="JO"/>
    <n v="86"/>
    <x v="0"/>
    <n v="7180"/>
    <n v="3.59"/>
  </r>
  <r>
    <d v="2021-06-04T00:00:00"/>
    <n v="41025"/>
    <s v="VP"/>
    <n v="5"/>
    <x v="0"/>
    <n v="7480"/>
    <n v="3.74"/>
  </r>
  <r>
    <d v="2021-06-04T00:00:00"/>
    <n v="41026"/>
    <s v="HB"/>
    <n v="86"/>
    <x v="0"/>
    <n v="5360"/>
    <n v="2.68"/>
  </r>
  <r>
    <d v="2021-06-04T00:00:00"/>
    <n v="41027"/>
    <s v="JB"/>
    <n v="84"/>
    <x v="1"/>
    <n v="4060"/>
    <n v="2.0299999999999998"/>
  </r>
  <r>
    <d v="2021-06-04T00:00:00"/>
    <n v="41028"/>
    <s v="VP"/>
    <n v="5"/>
    <x v="0"/>
    <n v="860"/>
    <n v="0.43"/>
  </r>
  <r>
    <d v="2021-06-04T00:00:00"/>
    <n v="41029"/>
    <s v="CH"/>
    <n v="80"/>
    <x v="0"/>
    <n v="4780"/>
    <n v="2.39"/>
  </r>
  <r>
    <d v="2021-06-07T00:00:00"/>
    <n v="41030"/>
    <s v="VP"/>
    <n v="5"/>
    <x v="0"/>
    <n v="7180"/>
    <n v="3.59"/>
  </r>
  <r>
    <d v="2021-06-07T00:00:00"/>
    <n v="41031"/>
    <s v="JB"/>
    <n v="3"/>
    <x v="0"/>
    <n v="3440"/>
    <n v="1.72"/>
  </r>
  <r>
    <d v="2021-06-07T00:00:00"/>
    <n v="41032"/>
    <s v="VP"/>
    <n v="5"/>
    <x v="0"/>
    <n v="4040"/>
    <n v="2.02"/>
  </r>
  <r>
    <d v="2021-06-07T00:00:00"/>
    <n v="41033"/>
    <s v="JO"/>
    <n v="86"/>
    <x v="0"/>
    <n v="5720"/>
    <n v="2.86"/>
  </r>
  <r>
    <d v="2021-06-07T00:00:00"/>
    <n v="41034"/>
    <s v="VP"/>
    <n v="5"/>
    <x v="0"/>
    <n v="5860"/>
    <n v="2.93"/>
  </r>
  <r>
    <d v="2021-06-07T00:00:00"/>
    <n v="41035"/>
    <s v="CH"/>
    <n v="80"/>
    <x v="1"/>
    <n v="4420"/>
    <n v="2.21"/>
  </r>
  <r>
    <d v="2021-06-07T00:00:00"/>
    <n v="41036"/>
    <s v="JB"/>
    <n v="83"/>
    <x v="1"/>
    <n v="7340"/>
    <n v="3.67"/>
  </r>
  <r>
    <d v="2021-06-08T00:00:00"/>
    <n v="41037"/>
    <s v="CH"/>
    <n v="80"/>
    <x v="0"/>
    <n v="3420"/>
    <n v="1.71"/>
  </r>
  <r>
    <d v="2021-06-08T00:00:00"/>
    <n v="41038"/>
    <s v="HB"/>
    <n v="86"/>
    <x v="0"/>
    <n v="5980"/>
    <n v="2.99"/>
  </r>
  <r>
    <d v="2021-06-08T00:00:00"/>
    <n v="41039"/>
    <s v="JB"/>
    <n v="81"/>
    <x v="1"/>
    <n v="2640"/>
    <n v="1.32"/>
  </r>
  <r>
    <d v="2021-06-09T00:00:00"/>
    <n v="41040"/>
    <s v="VP"/>
    <n v="5"/>
    <x v="0"/>
    <n v="7980"/>
    <n v="3.99"/>
  </r>
  <r>
    <d v="2021-06-09T00:00:00"/>
    <n v="41041"/>
    <s v="HB"/>
    <n v="86"/>
    <x v="0"/>
    <n v="2000"/>
    <n v="1"/>
  </r>
  <r>
    <d v="2021-06-09T00:00:00"/>
    <n v="41042"/>
    <s v="VP"/>
    <n v="5"/>
    <x v="0"/>
    <n v="6180"/>
    <n v="3.09"/>
  </r>
  <r>
    <d v="2021-06-09T00:00:00"/>
    <n v="41043"/>
    <s v="JO"/>
    <n v="86"/>
    <x v="0"/>
    <n v="7260"/>
    <n v="3.63"/>
  </r>
  <r>
    <d v="2021-06-10T00:00:00"/>
    <n v="41044"/>
    <s v="BDI"/>
    <m/>
    <x v="3"/>
    <n v="6840"/>
    <n v="3.42"/>
  </r>
  <r>
    <d v="2021-06-10T00:00:00"/>
    <n v="41045"/>
    <s v="BDI"/>
    <m/>
    <x v="3"/>
    <n v="5600"/>
    <n v="2.8"/>
  </r>
  <r>
    <d v="2021-06-10T00:00:00"/>
    <n v="41046"/>
    <s v="JO"/>
    <n v="86"/>
    <x v="0"/>
    <n v="7400"/>
    <n v="3.7"/>
  </r>
  <r>
    <d v="2021-06-10T00:00:00"/>
    <n v="41047"/>
    <s v="BDI"/>
    <m/>
    <x v="3"/>
    <n v="6540"/>
    <n v="3.27"/>
  </r>
  <r>
    <d v="2021-06-10T00:00:00"/>
    <n v="41048"/>
    <s v="BDI"/>
    <m/>
    <x v="3"/>
    <n v="5380"/>
    <n v="2.69"/>
  </r>
  <r>
    <d v="2021-06-10T00:00:00"/>
    <n v="41049"/>
    <s v="JO"/>
    <n v="86"/>
    <x v="0"/>
    <n v="6180"/>
    <n v="3.09"/>
  </r>
  <r>
    <d v="2021-06-10T00:00:00"/>
    <n v="41050"/>
    <s v="CH"/>
    <n v="80"/>
    <x v="0"/>
    <n v="3900"/>
    <n v="1.95"/>
  </r>
  <r>
    <d v="2021-06-10T00:00:00"/>
    <n v="41051"/>
    <s v="SV"/>
    <n v="7"/>
    <x v="0"/>
    <n v="5420"/>
    <n v="2.71"/>
  </r>
  <r>
    <d v="2021-06-10T00:00:00"/>
    <n v="41052"/>
    <s v="JB"/>
    <n v="83"/>
    <x v="1"/>
    <n v="7540"/>
    <n v="3.77"/>
  </r>
  <r>
    <d v="2021-06-11T00:00:00"/>
    <n v="41053"/>
    <s v="VP"/>
    <n v="5"/>
    <x v="0"/>
    <n v="8500"/>
    <n v="4.25"/>
  </r>
  <r>
    <d v="2021-06-11T00:00:00"/>
    <n v="41054"/>
    <s v="VP"/>
    <n v="5"/>
    <x v="0"/>
    <n v="11980"/>
    <n v="5.99"/>
  </r>
  <r>
    <d v="2021-06-11T00:00:00"/>
    <n v="41055"/>
    <s v="HB"/>
    <n v="86"/>
    <x v="0"/>
    <n v="6580"/>
    <n v="3.29"/>
  </r>
  <r>
    <d v="2021-06-11T00:00:00"/>
    <n v="41056"/>
    <s v="CH"/>
    <n v="80"/>
    <x v="0"/>
    <n v="5980"/>
    <n v="2.99"/>
  </r>
  <r>
    <d v="2021-06-11T00:00:00"/>
    <n v="41057"/>
    <s v="VP"/>
    <n v="5"/>
    <x v="0"/>
    <n v="1800"/>
    <n v="0.9"/>
  </r>
  <r>
    <d v="2021-06-14T00:00:00"/>
    <n v="41058"/>
    <s v="SC"/>
    <n v="5"/>
    <x v="0"/>
    <n v="7620"/>
    <n v="3.81"/>
  </r>
  <r>
    <d v="2021-06-14T00:00:00"/>
    <n v="41059"/>
    <s v="JB"/>
    <n v="3"/>
    <x v="0"/>
    <n v="3960"/>
    <n v="1.98"/>
  </r>
  <r>
    <d v="2021-06-14T00:00:00"/>
    <n v="41060"/>
    <s v="SC"/>
    <n v="5"/>
    <x v="0"/>
    <n v="5080"/>
    <n v="2.54"/>
  </r>
  <r>
    <d v="2021-06-14T00:00:00"/>
    <n v="41061"/>
    <s v="CH"/>
    <n v="80"/>
    <x v="0"/>
    <n v="3220"/>
    <n v="1.61"/>
  </r>
  <r>
    <d v="2021-06-14T00:00:00"/>
    <n v="41062"/>
    <s v="SC"/>
    <n v="5"/>
    <x v="0"/>
    <n v="5920"/>
    <n v="2.96"/>
  </r>
  <r>
    <d v="2021-06-14T00:00:00"/>
    <n v="41063"/>
    <s v="JO"/>
    <n v="86"/>
    <x v="0"/>
    <n v="6840"/>
    <n v="3.42"/>
  </r>
  <r>
    <d v="2021-06-14T00:00:00"/>
    <n v="41064"/>
    <s v="JB"/>
    <n v="84"/>
    <x v="1"/>
    <n v="6400"/>
    <n v="3.2"/>
  </r>
  <r>
    <d v="2021-06-15T00:00:00"/>
    <n v="41065"/>
    <s v="JB"/>
    <n v="82"/>
    <x v="1"/>
    <n v="5780"/>
    <n v="2.89"/>
  </r>
  <r>
    <d v="2021-06-15T00:00:00"/>
    <n v="41066"/>
    <s v="CH"/>
    <n v="80"/>
    <x v="0"/>
    <n v="3260"/>
    <n v="1.63"/>
  </r>
  <r>
    <d v="2021-06-15T00:00:00"/>
    <n v="41067"/>
    <s v="HB"/>
    <n v="86"/>
    <x v="0"/>
    <n v="6860"/>
    <n v="3.43"/>
  </r>
  <r>
    <d v="2021-06-16T00:00:00"/>
    <n v="41068"/>
    <s v="VP"/>
    <n v="5"/>
    <x v="0"/>
    <n v="9800"/>
    <n v="4.9000000000000004"/>
  </r>
  <r>
    <d v="2021-06-16T00:00:00"/>
    <n v="41069"/>
    <s v="HB"/>
    <n v="86"/>
    <x v="0"/>
    <n v="3160"/>
    <n v="1.58"/>
  </r>
  <r>
    <d v="2021-06-16T00:00:00"/>
    <n v="41070"/>
    <s v="JB"/>
    <n v="80"/>
    <x v="1"/>
    <n v="2140"/>
    <n v="1.07"/>
  </r>
  <r>
    <d v="2021-06-16T00:00:00"/>
    <n v="41071"/>
    <s v="JB"/>
    <n v="80"/>
    <x v="0"/>
    <n v="2080"/>
    <n v="1.04"/>
  </r>
  <r>
    <d v="2021-06-16T00:00:00"/>
    <n v="41072"/>
    <s v="SC"/>
    <n v="5"/>
    <x v="0"/>
    <n v="7220"/>
    <n v="3.61"/>
  </r>
  <r>
    <d v="2021-06-16T00:00:00"/>
    <n v="41073"/>
    <s v="SC"/>
    <n v="5"/>
    <x v="0"/>
    <n v="6800"/>
    <n v="3.4"/>
  </r>
  <r>
    <d v="2021-06-17T00:00:00"/>
    <n v="41074"/>
    <s v="BDI"/>
    <m/>
    <x v="3"/>
    <n v="5900"/>
    <n v="2.95"/>
  </r>
  <r>
    <d v="2021-06-17T00:00:00"/>
    <n v="41075"/>
    <s v="BDI"/>
    <m/>
    <x v="3"/>
    <n v="7860"/>
    <n v="3.93"/>
  </r>
  <r>
    <d v="2021-06-17T00:00:00"/>
    <n v="41076"/>
    <s v="SC"/>
    <n v="5"/>
    <x v="0"/>
    <n v="8320"/>
    <n v="4.16"/>
  </r>
  <r>
    <d v="2021-06-17T00:00:00"/>
    <n v="41077"/>
    <s v="SC"/>
    <n v="5"/>
    <x v="0"/>
    <n v="5640"/>
    <n v="2.82"/>
  </r>
  <r>
    <d v="2021-06-17T00:00:00"/>
    <n v="41078"/>
    <s v="JB"/>
    <n v="84"/>
    <x v="1"/>
    <n v="4040"/>
    <n v="2.02"/>
  </r>
  <r>
    <d v="2021-06-17T00:00:00"/>
    <n v="41079"/>
    <s v="SV"/>
    <n v="7"/>
    <x v="0"/>
    <n v="4880"/>
    <n v="2.44"/>
  </r>
  <r>
    <d v="2021-06-17T00:00:00"/>
    <n v="41080"/>
    <s v="CH"/>
    <n v="80"/>
    <x v="0"/>
    <n v="5800"/>
    <n v="2.9"/>
  </r>
  <r>
    <d v="2021-06-18T00:00:00"/>
    <n v="41081"/>
    <s v="SC"/>
    <n v="5"/>
    <x v="0"/>
    <n v="5420"/>
    <n v="2.71"/>
  </r>
  <r>
    <d v="2021-06-18T00:00:00"/>
    <n v="41082"/>
    <s v="SC"/>
    <n v="5"/>
    <x v="0"/>
    <n v="8520"/>
    <n v="4.26"/>
  </r>
  <r>
    <d v="2021-06-18T00:00:00"/>
    <n v="41083"/>
    <s v="SC"/>
    <n v="5"/>
    <x v="0"/>
    <n v="1460"/>
    <n v="0.73"/>
  </r>
  <r>
    <d v="2021-06-18T00:00:00"/>
    <n v="41084"/>
    <s v="HB"/>
    <n v="86"/>
    <x v="0"/>
    <n v="6620"/>
    <n v="3.31"/>
  </r>
  <r>
    <d v="2021-06-18T00:00:00"/>
    <n v="41085"/>
    <s v="CH"/>
    <n v="80"/>
    <x v="0"/>
    <n v="5660"/>
    <n v="2.83"/>
  </r>
  <r>
    <d v="2021-06-21T00:00:00"/>
    <n v="41086"/>
    <s v="SC"/>
    <n v="5"/>
    <x v="0"/>
    <n v="6260"/>
    <n v="3.13"/>
  </r>
  <r>
    <d v="2021-06-21T00:00:00"/>
    <n v="41087"/>
    <s v="JB"/>
    <n v="3"/>
    <x v="0"/>
    <n v="3500"/>
    <n v="1.75"/>
  </r>
  <r>
    <d v="2021-06-21T00:00:00"/>
    <n v="41088"/>
    <s v="SC"/>
    <n v="5"/>
    <x v="0"/>
    <n v="8700"/>
    <n v="4.3499999999999996"/>
  </r>
  <r>
    <d v="2021-06-21T00:00:00"/>
    <n v="41089"/>
    <s v="CH"/>
    <n v="80"/>
    <x v="0"/>
    <n v="4160"/>
    <n v="2.08"/>
  </r>
  <r>
    <d v="2021-06-21T00:00:00"/>
    <n v="41090"/>
    <s v="JO"/>
    <n v="86"/>
    <x v="0"/>
    <n v="6400"/>
    <n v="3.2"/>
  </r>
  <r>
    <d v="2021-06-21T00:00:00"/>
    <n v="41091"/>
    <s v="JB"/>
    <n v="83"/>
    <x v="1"/>
    <n v="6520"/>
    <n v="3.26"/>
  </r>
  <r>
    <d v="2021-06-22T00:00:00"/>
    <n v="41092"/>
    <s v="CH"/>
    <n v="80"/>
    <x v="0"/>
    <n v="3100"/>
    <n v="1.55"/>
  </r>
  <r>
    <d v="2021-06-22T00:00:00"/>
    <n v="41093"/>
    <s v="HB"/>
    <n v="86"/>
    <x v="0"/>
    <n v="5380"/>
    <n v="2.69"/>
  </r>
  <r>
    <d v="2021-06-22T00:00:00"/>
    <n v="41094"/>
    <s v="JB"/>
    <n v="81"/>
    <x v="1"/>
    <n v="2460"/>
    <n v="1.23"/>
  </r>
  <r>
    <d v="2021-06-23T00:00:00"/>
    <n v="41095"/>
    <s v="SC"/>
    <n v="5"/>
    <x v="0"/>
    <n v="8020"/>
    <n v="4.01"/>
  </r>
  <r>
    <d v="2021-06-23T00:00:00"/>
    <n v="41096"/>
    <s v="HB"/>
    <n v="86"/>
    <x v="0"/>
    <n v="3600"/>
    <n v="1.8"/>
  </r>
  <r>
    <d v="2021-06-23T00:00:00"/>
    <n v="41097"/>
    <s v="SC"/>
    <n v="5"/>
    <x v="0"/>
    <n v="4960"/>
    <n v="2.48"/>
  </r>
  <r>
    <d v="2021-06-23T00:00:00"/>
    <n v="41098"/>
    <s v="JO"/>
    <n v="86"/>
    <x v="0"/>
    <n v="6100"/>
    <n v="3.05"/>
  </r>
  <r>
    <d v="2021-06-24T00:00:00"/>
    <n v="41099"/>
    <s v="BDI"/>
    <m/>
    <x v="3"/>
    <n v="4300"/>
    <n v="2.15"/>
  </r>
  <r>
    <d v="2021-06-24T00:00:00"/>
    <n v="41100"/>
    <s v="BDI"/>
    <m/>
    <x v="3"/>
    <n v="4900"/>
    <n v="2.4500000000000002"/>
  </r>
  <r>
    <d v="2021-06-24T00:00:00"/>
    <n v="41101"/>
    <s v="JO"/>
    <n v="86"/>
    <x v="0"/>
    <n v="6600"/>
    <n v="3.3"/>
  </r>
  <r>
    <d v="2021-06-24T00:00:00"/>
    <n v="41102"/>
    <s v="BDI"/>
    <m/>
    <x v="3"/>
    <n v="3860"/>
    <n v="1.93"/>
  </r>
  <r>
    <d v="2021-06-24T00:00:00"/>
    <n v="41103"/>
    <s v="BDI"/>
    <m/>
    <x v="3"/>
    <n v="3740"/>
    <n v="1.87"/>
  </r>
  <r>
    <d v="2021-06-24T00:00:00"/>
    <n v="41104"/>
    <s v="JO"/>
    <n v="86"/>
    <x v="0"/>
    <n v="4900"/>
    <n v="2.4500000000000002"/>
  </r>
  <r>
    <d v="2021-06-24T00:00:00"/>
    <n v="41105"/>
    <s v="SV"/>
    <n v="7"/>
    <x v="0"/>
    <n v="5120"/>
    <n v="2.56"/>
  </r>
  <r>
    <d v="2021-06-24T00:00:00"/>
    <n v="41106"/>
    <s v="CH"/>
    <n v="80"/>
    <x v="0"/>
    <n v="4300"/>
    <n v="2.15"/>
  </r>
  <r>
    <d v="2021-06-24T00:00:00"/>
    <n v="41107"/>
    <s v="JB"/>
    <n v="83"/>
    <x v="1"/>
    <n v="7180"/>
    <n v="3.59"/>
  </r>
  <r>
    <d v="2021-06-25T00:00:00"/>
    <n v="41108"/>
    <s v="SC"/>
    <n v="5"/>
    <x v="0"/>
    <n v="9340"/>
    <n v="4.67"/>
  </r>
  <r>
    <d v="2021-06-25T00:00:00"/>
    <n v="41109"/>
    <s v="HB"/>
    <n v="86"/>
    <x v="0"/>
    <n v="5440"/>
    <n v="2.72"/>
  </r>
  <r>
    <d v="2021-06-25T00:00:00"/>
    <n v="41110"/>
    <s v="SC"/>
    <n v="5"/>
    <x v="0"/>
    <n v="3120"/>
    <n v="1.56"/>
  </r>
  <r>
    <d v="2021-06-25T00:00:00"/>
    <n v="41111"/>
    <s v="CH"/>
    <n v="80"/>
    <x v="0"/>
    <n v="3660"/>
    <n v="1.83"/>
  </r>
  <r>
    <d v="2021-06-28T00:00:00"/>
    <n v="41112"/>
    <s v="VP"/>
    <n v="5"/>
    <x v="0"/>
    <n v="7860"/>
    <n v="3.93"/>
  </r>
  <r>
    <d v="2021-06-28T00:00:00"/>
    <n v="41113"/>
    <s v="JB"/>
    <n v="80"/>
    <x v="1"/>
    <n v="3400"/>
    <n v="1.7"/>
  </r>
  <r>
    <d v="2021-06-28T00:00:00"/>
    <n v="41114"/>
    <s v="CH"/>
    <n v="80"/>
    <x v="0"/>
    <n v="2760"/>
    <n v="1.38"/>
  </r>
  <r>
    <d v="2021-06-28T00:00:00"/>
    <n v="41115"/>
    <s v="VP"/>
    <n v="5"/>
    <x v="0"/>
    <n v="3160"/>
    <n v="1.58"/>
  </r>
  <r>
    <d v="2021-06-28T00:00:00"/>
    <n v="41116"/>
    <s v="JO"/>
    <n v="86"/>
    <x v="0"/>
    <n v="6680"/>
    <n v="3.34"/>
  </r>
  <r>
    <d v="2021-06-28T00:00:00"/>
    <n v="41117"/>
    <s v="PM"/>
    <n v="84"/>
    <x v="1"/>
    <n v="6420"/>
    <n v="3.21"/>
  </r>
  <r>
    <s v="6/28//2021"/>
    <n v="41118"/>
    <s v="VP"/>
    <n v="5"/>
    <x v="0"/>
    <n v="3900"/>
    <n v="1.95"/>
  </r>
  <r>
    <d v="2021-06-29T00:00:00"/>
    <n v="41119"/>
    <s v="CH"/>
    <n v="80"/>
    <x v="0"/>
    <n v="3440"/>
    <n v="1.72"/>
  </r>
  <r>
    <d v="2021-06-29T00:00:00"/>
    <n v="41120"/>
    <s v="RS"/>
    <n v="86"/>
    <x v="0"/>
    <n v="5440"/>
    <n v="2.72"/>
  </r>
  <r>
    <d v="2021-06-29T00:00:00"/>
    <n v="41121"/>
    <s v="PM"/>
    <n v="82"/>
    <x v="1"/>
    <n v="6020"/>
    <n v="3.01"/>
  </r>
  <r>
    <d v="2021-06-30T00:00:00"/>
    <n v="41122"/>
    <s v="VP"/>
    <n v="5"/>
    <x v="0"/>
    <n v="4820"/>
    <n v="2.41"/>
  </r>
  <r>
    <d v="2021-06-30T00:00:00"/>
    <n v="41123"/>
    <s v="RS"/>
    <n v="86"/>
    <x v="0"/>
    <n v="3820"/>
    <n v="1.91"/>
  </r>
  <r>
    <d v="2021-06-30T00:00:00"/>
    <n v="41124"/>
    <s v="JO"/>
    <n v="86"/>
    <x v="0"/>
    <n v="11200"/>
    <n v="5.6"/>
  </r>
  <r>
    <d v="2021-06-30T00:00:00"/>
    <n v="41125"/>
    <s v="JB"/>
    <n v="80"/>
    <x v="1"/>
    <n v="4400"/>
    <n v="2.2000000000000002"/>
  </r>
  <r>
    <d v="2021-06-30T00:00:00"/>
    <n v="41126"/>
    <s v="VP"/>
    <n v="5"/>
    <x v="0"/>
    <n v="9120"/>
    <n v="4.5599999999999996"/>
  </r>
  <r>
    <d v="2021-07-01T00:00:00"/>
    <n v="41127"/>
    <s v="JO"/>
    <n v="86"/>
    <x v="0"/>
    <n v="6280"/>
    <n v="3.14"/>
  </r>
  <r>
    <d v="2021-07-01T00:00:00"/>
    <n v="41128"/>
    <s v="JO"/>
    <n v="86"/>
    <x v="0"/>
    <n v="4640"/>
    <n v="2.3199999999999998"/>
  </r>
  <r>
    <d v="2021-07-01T00:00:00"/>
    <n v="41129"/>
    <s v="CH"/>
    <n v="80"/>
    <x v="0"/>
    <n v="4340"/>
    <n v="2.17"/>
  </r>
  <r>
    <d v="2021-07-01T00:00:00"/>
    <n v="41130"/>
    <s v="SV"/>
    <n v="7"/>
    <x v="0"/>
    <n v="4380"/>
    <n v="2.19"/>
  </r>
  <r>
    <d v="2021-07-01T00:00:00"/>
    <n v="41131"/>
    <s v="PM"/>
    <n v="84"/>
    <x v="1"/>
    <n v="3700"/>
    <n v="1.85"/>
  </r>
  <r>
    <d v="2021-07-02T00:00:00"/>
    <n v="41132"/>
    <s v="VP"/>
    <n v="5"/>
    <x v="0"/>
    <n v="3800"/>
    <n v="1.9"/>
  </r>
  <r>
    <d v="2021-07-02T00:00:00"/>
    <n v="41133"/>
    <s v="RS"/>
    <n v="86"/>
    <x v="0"/>
    <n v="5820"/>
    <n v="2.91"/>
  </r>
  <r>
    <d v="2021-07-02T00:00:00"/>
    <n v="41134"/>
    <s v="VP"/>
    <n v="5"/>
    <x v="0"/>
    <n v="5280"/>
    <n v="2.64"/>
  </r>
  <r>
    <d v="2021-07-02T00:00:00"/>
    <n v="41135"/>
    <s v="CH"/>
    <n v="80"/>
    <x v="0"/>
    <n v="3500"/>
    <n v="1.75"/>
  </r>
  <r>
    <d v="2021-07-02T00:00:00"/>
    <n v="41136"/>
    <s v="VP"/>
    <n v="5"/>
    <x v="0"/>
    <n v="2300"/>
    <n v="1.1499999999999999"/>
  </r>
  <r>
    <d v="2021-07-05T00:00:00"/>
    <n v="41137"/>
    <s v="VP"/>
    <n v="5"/>
    <x v="0"/>
    <n v="9100"/>
    <n v="4.55"/>
  </r>
  <r>
    <d v="2021-07-05T00:00:00"/>
    <n v="41138"/>
    <s v="PM"/>
    <n v="3"/>
    <x v="0"/>
    <n v="2640"/>
    <n v="1.32"/>
  </r>
  <r>
    <d v="2021-07-05T00:00:00"/>
    <n v="41139"/>
    <s v="JB"/>
    <n v="83"/>
    <x v="1"/>
    <n v="4640"/>
    <n v="2.3199999999999998"/>
  </r>
  <r>
    <d v="2021-07-05T00:00:00"/>
    <n v="41140"/>
    <s v="VP"/>
    <n v="5"/>
    <x v="0"/>
    <n v="5260"/>
    <n v="2.63"/>
  </r>
  <r>
    <d v="2021-07-05T00:00:00"/>
    <n v="41141"/>
    <s v="JO"/>
    <n v="86"/>
    <x v="0"/>
    <n v="4560"/>
    <n v="2.2799999999999998"/>
  </r>
  <r>
    <d v="2021-07-05T00:00:00"/>
    <n v="41142"/>
    <s v="CH"/>
    <n v="80"/>
    <x v="0"/>
    <n v="3960"/>
    <n v="1.98"/>
  </r>
  <r>
    <d v="2021-07-06T00:00:00"/>
    <n v="41143"/>
    <s v="CH"/>
    <n v="80"/>
    <x v="0"/>
    <n v="2760"/>
    <n v="1.38"/>
  </r>
  <r>
    <d v="2021-07-06T00:00:00"/>
    <n v="41144"/>
    <s v="HB"/>
    <n v="86"/>
    <x v="0"/>
    <n v="6580"/>
    <n v="3.29"/>
  </r>
  <r>
    <d v="2021-07-06T00:00:00"/>
    <n v="41145"/>
    <s v="JB"/>
    <n v="81"/>
    <x v="1"/>
    <n v="2400"/>
    <n v="1.2"/>
  </r>
  <r>
    <d v="2021-07-07T00:00:00"/>
    <n v="41146"/>
    <s v="VP"/>
    <n v="5"/>
    <x v="0"/>
    <n v="5840"/>
    <n v="2.92"/>
  </r>
  <r>
    <d v="2021-07-07T00:00:00"/>
    <n v="41147"/>
    <s v="VP"/>
    <n v="5"/>
    <x v="0"/>
    <n v="5660"/>
    <n v="2.83"/>
  </r>
  <r>
    <d v="2021-07-07T00:00:00"/>
    <n v="41148"/>
    <s v="JO"/>
    <n v="86"/>
    <x v="0"/>
    <n v="5660"/>
    <n v="2.83"/>
  </r>
  <r>
    <d v="2021-07-07T00:00:00"/>
    <n v="41149"/>
    <s v="HB"/>
    <n v="86"/>
    <x v="0"/>
    <n v="2420"/>
    <n v="1.21"/>
  </r>
  <r>
    <d v="2021-07-08T00:00:00"/>
    <n v="41150"/>
    <s v="BDI"/>
    <m/>
    <x v="3"/>
    <n v="4360"/>
    <n v="2.1800000000000002"/>
  </r>
  <r>
    <d v="2021-07-08T00:00:00"/>
    <n v="41151"/>
    <s v="BDI"/>
    <m/>
    <x v="3"/>
    <n v="6160"/>
    <n v="3.08"/>
  </r>
  <r>
    <d v="2021-07-08T00:00:00"/>
    <n v="41152"/>
    <s v="JO"/>
    <n v="86"/>
    <x v="0"/>
    <n v="5900"/>
    <n v="2.95"/>
  </r>
  <r>
    <d v="2021-07-08T00:00:00"/>
    <n v="41153"/>
    <s v="BDI"/>
    <m/>
    <x v="3"/>
    <n v="4080"/>
    <n v="2.04"/>
  </r>
  <r>
    <d v="2021-07-08T00:00:00"/>
    <n v="41154"/>
    <s v="BDI"/>
    <m/>
    <x v="3"/>
    <n v="4240"/>
    <n v="2.12"/>
  </r>
  <r>
    <d v="2021-07-08T00:00:00"/>
    <n v="41155"/>
    <s v="JO"/>
    <n v="86"/>
    <x v="0"/>
    <n v="4980"/>
    <n v="2.4900000000000002"/>
  </r>
  <r>
    <d v="2021-07-08T00:00:00"/>
    <n v="41156"/>
    <s v="SV"/>
    <n v="7"/>
    <x v="0"/>
    <n v="4000"/>
    <n v="2"/>
  </r>
  <r>
    <d v="2021-07-08T00:00:00"/>
    <n v="41157"/>
    <s v="CH"/>
    <n v="80"/>
    <x v="0"/>
    <n v="4320"/>
    <n v="2.16"/>
  </r>
  <r>
    <d v="2021-07-08T00:00:00"/>
    <n v="41158"/>
    <s v="JB"/>
    <n v="83"/>
    <x v="1"/>
    <n v="7220"/>
    <n v="3.61"/>
  </r>
  <r>
    <d v="2021-07-09T00:00:00"/>
    <n v="41159"/>
    <s v="VP"/>
    <n v="5"/>
    <x v="0"/>
    <n v="4240"/>
    <n v="2.12"/>
  </r>
  <r>
    <d v="2021-07-09T00:00:00"/>
    <n v="41160"/>
    <s v="VP"/>
    <n v="5"/>
    <x v="0"/>
    <n v="5700"/>
    <n v="2.85"/>
  </r>
  <r>
    <d v="2021-07-09T00:00:00"/>
    <n v="41161"/>
    <s v="HB"/>
    <n v="86"/>
    <x v="0"/>
    <n v="5580"/>
    <n v="2.79"/>
  </r>
  <r>
    <d v="2021-07-09T00:00:00"/>
    <n v="41162"/>
    <s v="CH"/>
    <n v="80"/>
    <x v="0"/>
    <n v="3420"/>
    <n v="1.71"/>
  </r>
  <r>
    <d v="2021-07-09T00:00:00"/>
    <n v="41163"/>
    <s v="VP"/>
    <n v="5"/>
    <x v="0"/>
    <n v="1620"/>
    <n v="0.81"/>
  </r>
  <r>
    <d v="2021-07-12T00:00:00"/>
    <n v="41164"/>
    <s v="VP"/>
    <n v="5"/>
    <x v="0"/>
    <n v="7660"/>
    <n v="3.83"/>
  </r>
  <r>
    <d v="2021-07-12T00:00:00"/>
    <n v="41165"/>
    <s v="JB"/>
    <n v="3"/>
    <x v="0"/>
    <n v="3620"/>
    <n v="1.81"/>
  </r>
  <r>
    <d v="2021-07-12T00:00:00"/>
    <n v="41166"/>
    <s v="VP"/>
    <n v="5"/>
    <x v="0"/>
    <n v="3260"/>
    <n v="1.63"/>
  </r>
  <r>
    <d v="2021-07-12T00:00:00"/>
    <n v="41167"/>
    <s v="CH"/>
    <n v="80"/>
    <x v="0"/>
    <n v="3000"/>
    <n v="1.5"/>
  </r>
  <r>
    <d v="2021-07-12T00:00:00"/>
    <n v="41168"/>
    <s v="VP"/>
    <n v="5"/>
    <x v="0"/>
    <n v="5020"/>
    <n v="2.5099999999999998"/>
  </r>
  <r>
    <d v="2021-07-12T00:00:00"/>
    <n v="41169"/>
    <s v="JB"/>
    <n v="84"/>
    <x v="1"/>
    <n v="6380"/>
    <n v="3.19"/>
  </r>
  <r>
    <d v="2021-07-12T00:00:00"/>
    <n v="41170"/>
    <s v="JO"/>
    <n v="86"/>
    <x v="0"/>
    <n v="4580"/>
    <n v="2.29"/>
  </r>
  <r>
    <d v="2021-07-13T00:00:00"/>
    <n v="41171"/>
    <s v="JB"/>
    <n v="82"/>
    <x v="1"/>
    <n v="5800"/>
    <n v="2.9"/>
  </r>
  <r>
    <d v="2021-07-13T00:00:00"/>
    <n v="41172"/>
    <s v="CH"/>
    <n v="80"/>
    <x v="0"/>
    <n v="3100"/>
    <n v="1.55"/>
  </r>
  <r>
    <d v="2021-07-13T00:00:00"/>
    <n v="41173"/>
    <s v="HB"/>
    <n v="86"/>
    <x v="0"/>
    <n v="5980"/>
    <n v="2.99"/>
  </r>
  <r>
    <d v="2021-07-14T00:00:00"/>
    <n v="41174"/>
    <s v="VP"/>
    <n v="5"/>
    <x v="0"/>
    <n v="7960"/>
    <n v="3.98"/>
  </r>
  <r>
    <d v="2021-07-14T00:00:00"/>
    <n v="41175"/>
    <s v="HB"/>
    <n v="86"/>
    <x v="0"/>
    <n v="3180"/>
    <n v="1.59"/>
  </r>
  <r>
    <d v="2021-07-14T00:00:00"/>
    <n v="41176"/>
    <s v="JB"/>
    <n v="80"/>
    <x v="1"/>
    <n v="4340"/>
    <n v="2.17"/>
  </r>
  <r>
    <d v="2021-07-14T00:00:00"/>
    <n v="41177"/>
    <s v="VP"/>
    <n v="5"/>
    <x v="0"/>
    <n v="5340"/>
    <n v="2.67"/>
  </r>
  <r>
    <d v="2021-07-14T00:00:00"/>
    <n v="41178"/>
    <s v="JO"/>
    <n v="86"/>
    <x v="0"/>
    <n v="6820"/>
    <n v="3.41"/>
  </r>
  <r>
    <d v="2021-07-15T00:00:00"/>
    <n v="41179"/>
    <s v="JO"/>
    <n v="86"/>
    <x v="0"/>
    <n v="7320"/>
    <n v="3.66"/>
  </r>
  <r>
    <d v="2021-07-15T00:00:00"/>
    <n v="41180"/>
    <s v="BDI"/>
    <m/>
    <x v="3"/>
    <n v="4960"/>
    <n v="2.48"/>
  </r>
  <r>
    <d v="2021-07-15T00:00:00"/>
    <n v="41181"/>
    <s v="BDI"/>
    <m/>
    <x v="3"/>
    <n v="7460"/>
    <n v="3.73"/>
  </r>
  <r>
    <d v="2021-07-15T00:00:00"/>
    <n v="41182"/>
    <s v="JO"/>
    <n v="86"/>
    <x v="0"/>
    <n v="5540"/>
    <n v="2.77"/>
  </r>
  <r>
    <d v="2021-07-15T00:00:00"/>
    <n v="41183"/>
    <s v="JB"/>
    <n v="84"/>
    <x v="1"/>
    <n v="3780"/>
    <n v="1.89"/>
  </r>
  <r>
    <d v="2021-07-15T00:00:00"/>
    <n v="41184"/>
    <s v="CH"/>
    <n v="80"/>
    <x v="0"/>
    <n v="4560"/>
    <n v="2.2799999999999998"/>
  </r>
  <r>
    <d v="2021-07-15T00:00:00"/>
    <n v="41185"/>
    <s v="SV"/>
    <n v="7"/>
    <x v="0"/>
    <n v="4800"/>
    <n v="2.4"/>
  </r>
  <r>
    <d v="2021-07-16T00:00:00"/>
    <n v="41186"/>
    <s v="VP"/>
    <n v="5"/>
    <x v="0"/>
    <n v="4280"/>
    <n v="2.14"/>
  </r>
  <r>
    <d v="2021-07-16T00:00:00"/>
    <n v="41187"/>
    <s v="VP"/>
    <n v="5"/>
    <x v="0"/>
    <n v="5260"/>
    <n v="2.63"/>
  </r>
  <r>
    <d v="2021-07-16T00:00:00"/>
    <n v="41188"/>
    <s v="CH"/>
    <n v="80"/>
    <x v="0"/>
    <n v="3660"/>
    <n v="1.83"/>
  </r>
  <r>
    <d v="2021-07-16T00:00:00"/>
    <n v="41189"/>
    <s v="SV"/>
    <n v="7"/>
    <x v="0"/>
    <n v="4380"/>
    <n v="2.19"/>
  </r>
  <r>
    <d v="2021-07-16T00:00:00"/>
    <n v="41190"/>
    <s v="VP"/>
    <n v="5"/>
    <x v="0"/>
    <n v="2120"/>
    <n v="1.06"/>
  </r>
  <r>
    <d v="2021-07-19T00:00:00"/>
    <n v="41191"/>
    <s v="VP"/>
    <n v="5"/>
    <x v="0"/>
    <n v="6100"/>
    <n v="3.05"/>
  </r>
  <r>
    <d v="2021-07-19T00:00:00"/>
    <n v="41192"/>
    <s v="JB"/>
    <n v="3"/>
    <x v="0"/>
    <n v="3060"/>
    <n v="1.53"/>
  </r>
  <r>
    <d v="2021-07-19T00:00:00"/>
    <n v="41193"/>
    <s v="VP"/>
    <n v="5"/>
    <x v="0"/>
    <n v="4040"/>
    <n v="2.02"/>
  </r>
  <r>
    <d v="2021-07-19T00:00:00"/>
    <n v="41194"/>
    <s v="JO"/>
    <n v="86"/>
    <x v="0"/>
    <n v="5940"/>
    <n v="2.97"/>
  </r>
  <r>
    <d v="2021-07-19T00:00:00"/>
    <n v="41195"/>
    <s v="VP"/>
    <n v="5"/>
    <x v="0"/>
    <n v="6160"/>
    <n v="3.08"/>
  </r>
  <r>
    <d v="2021-07-19T00:00:00"/>
    <n v="41196"/>
    <s v="JB"/>
    <n v="83"/>
    <x v="1"/>
    <n v="7820"/>
    <n v="3.91"/>
  </r>
  <r>
    <d v="2021-07-19T00:00:00"/>
    <n v="41197"/>
    <s v="CH"/>
    <n v="80"/>
    <x v="0"/>
    <n v="4420"/>
    <n v="2.21"/>
  </r>
  <r>
    <d v="2021-07-20T00:00:00"/>
    <n v="41198"/>
    <s v="CH"/>
    <n v="80"/>
    <x v="0"/>
    <n v="3160"/>
    <n v="1.58"/>
  </r>
  <r>
    <d v="2021-07-20T00:00:00"/>
    <n v="41199"/>
    <s v="VP"/>
    <n v="5"/>
    <x v="0"/>
    <n v="5780"/>
    <n v="2.89"/>
  </r>
  <r>
    <d v="2021-07-20T00:00:00"/>
    <n v="41200"/>
    <s v="JB"/>
    <n v="81"/>
    <x v="1"/>
    <n v="2680"/>
    <n v="1.34"/>
  </r>
  <r>
    <d v="2021-07-21T00:00:00"/>
    <n v="41201"/>
    <s v="VP"/>
    <n v="5"/>
    <x v="0"/>
    <n v="7580"/>
    <n v="3.79"/>
  </r>
  <r>
    <d v="2021-07-21T00:00:00"/>
    <n v="41202"/>
    <s v="HB"/>
    <n v="86"/>
    <x v="0"/>
    <n v="2960"/>
    <n v="1.48"/>
  </r>
  <r>
    <d v="2021-07-21T00:00:00"/>
    <n v="41203"/>
    <s v="VP"/>
    <n v="5"/>
    <x v="0"/>
    <n v="5900"/>
    <n v="2.95"/>
  </r>
  <r>
    <d v="2021-07-21T00:00:00"/>
    <n v="41204"/>
    <s v="JO"/>
    <n v="86"/>
    <x v="0"/>
    <n v="5620"/>
    <n v="2.81"/>
  </r>
  <r>
    <d v="2021-07-22T00:00:00"/>
    <n v="41205"/>
    <s v="BDI"/>
    <m/>
    <x v="3"/>
    <n v="5960"/>
    <n v="2.98"/>
  </r>
  <r>
    <d v="2021-07-22T00:00:00"/>
    <n v="41206"/>
    <s v="BDI"/>
    <m/>
    <x v="3"/>
    <n v="4440"/>
    <n v="2.2200000000000002"/>
  </r>
  <r>
    <d v="2021-07-22T00:00:00"/>
    <n v="41207"/>
    <s v="JO"/>
    <n v="86"/>
    <x v="0"/>
    <n v="7120"/>
    <n v="3.56"/>
  </r>
  <r>
    <d v="2021-07-22T00:00:00"/>
    <n v="41208"/>
    <s v="BDI"/>
    <m/>
    <x v="3"/>
    <n v="4820"/>
    <n v="2.41"/>
  </r>
  <r>
    <d v="2021-07-22T00:00:00"/>
    <n v="41209"/>
    <s v="BDI"/>
    <m/>
    <x v="3"/>
    <n v="3800"/>
    <n v="1.9"/>
  </r>
  <r>
    <d v="2021-07-22T00:00:00"/>
    <n v="41210"/>
    <s v="RS"/>
    <n v="7"/>
    <x v="0"/>
    <n v="3900"/>
    <n v="1.95"/>
  </r>
  <r>
    <d v="2021-07-22T00:00:00"/>
    <n v="41211"/>
    <s v="JO"/>
    <n v="86"/>
    <x v="0"/>
    <n v="5020"/>
    <n v="2.5099999999999998"/>
  </r>
  <r>
    <d v="2021-07-22T00:00:00"/>
    <n v="41212"/>
    <s v="CH"/>
    <n v="80"/>
    <x v="0"/>
    <n v="4540"/>
    <n v="2.27"/>
  </r>
  <r>
    <d v="2021-07-22T00:00:00"/>
    <n v="41213"/>
    <s v="JB"/>
    <n v="83"/>
    <x v="1"/>
    <n v="7660"/>
    <n v="3.83"/>
  </r>
  <r>
    <d v="2021-07-23T00:00:00"/>
    <n v="41214"/>
    <s v="VP"/>
    <n v="5"/>
    <x v="0"/>
    <n v="5620"/>
    <n v="2.81"/>
  </r>
  <r>
    <d v="2021-07-23T00:00:00"/>
    <n v="41215"/>
    <s v="VP"/>
    <n v="5"/>
    <x v="0"/>
    <n v="4820"/>
    <n v="2.41"/>
  </r>
  <r>
    <d v="2021-07-23T00:00:00"/>
    <n v="41216"/>
    <s v="CH"/>
    <n v="80"/>
    <x v="0"/>
    <n v="4140"/>
    <n v="2.0699999999999998"/>
  </r>
  <r>
    <d v="2021-07-23T00:00:00"/>
    <n v="41217"/>
    <s v="SV"/>
    <n v="86"/>
    <x v="0"/>
    <n v="5400"/>
    <n v="2.7"/>
  </r>
  <r>
    <d v="2021-07-23T00:00:00"/>
    <n v="41218"/>
    <s v="VP"/>
    <n v="5"/>
    <x v="0"/>
    <n v="1320"/>
    <n v="0.66"/>
  </r>
  <r>
    <d v="2021-07-26T00:00:00"/>
    <n v="41219"/>
    <s v="VP"/>
    <n v="5"/>
    <x v="0"/>
    <n v="6120"/>
    <n v="3.06"/>
  </r>
  <r>
    <d v="2021-07-26T00:00:00"/>
    <n v="41220"/>
    <s v="SC"/>
    <n v="80"/>
    <x v="0"/>
    <n v="2560"/>
    <n v="1.28"/>
  </r>
  <r>
    <d v="2021-07-26T00:00:00"/>
    <n v="41221"/>
    <s v="VP"/>
    <n v="5"/>
    <x v="0"/>
    <n v="4820"/>
    <n v="2.41"/>
  </r>
  <r>
    <d v="2021-07-26T00:00:00"/>
    <n v="41222"/>
    <s v="JO"/>
    <n v="86"/>
    <x v="0"/>
    <n v="6120"/>
    <n v="3.06"/>
  </r>
  <r>
    <d v="2021-07-26T00:00:00"/>
    <n v="41223"/>
    <s v="VP"/>
    <n v="5"/>
    <x v="0"/>
    <n v="5000"/>
    <n v="2.5"/>
  </r>
  <r>
    <d v="2021-07-26T00:00:00"/>
    <n v="41224"/>
    <s v="JB"/>
    <n v="84"/>
    <x v="1"/>
    <n v="6040"/>
    <n v="3.02"/>
  </r>
  <r>
    <d v="2021-07-27T00:00:00"/>
    <n v="41225"/>
    <s v="HB"/>
    <n v="86"/>
    <x v="0"/>
    <n v="6400"/>
    <n v="3.22"/>
  </r>
  <r>
    <d v="2021-07-27T00:00:00"/>
    <n v="41226"/>
    <s v="JB"/>
    <n v="82"/>
    <x v="1"/>
    <n v="6000"/>
    <n v="3"/>
  </r>
  <r>
    <d v="2021-07-28T00:00:00"/>
    <n v="41227"/>
    <s v="VP"/>
    <n v="5"/>
    <x v="0"/>
    <n v="6480"/>
    <n v="3.24"/>
  </r>
  <r>
    <d v="2021-07-28T00:00:00"/>
    <n v="41228"/>
    <s v="HB"/>
    <n v="86"/>
    <x v="0"/>
    <n v="3760"/>
    <n v="1.88"/>
  </r>
  <r>
    <d v="2021-07-28T00:00:00"/>
    <n v="41229"/>
    <s v="VP"/>
    <n v="5"/>
    <x v="0"/>
    <n v="4360"/>
    <n v="2.1800000000000002"/>
  </r>
  <r>
    <d v="2021-07-28T00:00:00"/>
    <n v="41230"/>
    <s v="JB"/>
    <n v="80"/>
    <x v="1"/>
    <n v="4400"/>
    <n v="2.2000000000000002"/>
  </r>
  <r>
    <d v="2021-07-28T00:00:00"/>
    <n v="41231"/>
    <s v="JO"/>
    <n v="86"/>
    <x v="0"/>
    <n v="7460"/>
    <n v="3.73"/>
  </r>
  <r>
    <d v="2021-07-29T00:00:00"/>
    <n v="41232"/>
    <s v="JO"/>
    <n v="86"/>
    <x v="0"/>
    <n v="6560"/>
    <n v="3.28"/>
  </r>
  <r>
    <d v="2021-07-29T00:00:00"/>
    <n v="41233"/>
    <s v="JO"/>
    <n v="86"/>
    <x v="0"/>
    <n v="4220"/>
    <n v="2.11"/>
  </r>
  <r>
    <d v="2021-07-29T00:00:00"/>
    <n v="41234"/>
    <s v="JB"/>
    <n v="84"/>
    <x v="1"/>
    <n v="3860"/>
    <n v="1.93"/>
  </r>
  <r>
    <d v="2021-07-29T00:00:00"/>
    <n v="41235"/>
    <s v="SV"/>
    <n v="7"/>
    <x v="0"/>
    <n v="5020"/>
    <n v="2.5099999999999998"/>
  </r>
  <r>
    <d v="2021-07-30T00:00:00"/>
    <n v="41236"/>
    <s v="VP"/>
    <n v="5"/>
    <x v="0"/>
    <n v="5360"/>
    <n v="2.68"/>
  </r>
  <r>
    <d v="2021-07-30T00:00:00"/>
    <n v="41237"/>
    <s v="VP"/>
    <n v="5"/>
    <x v="0"/>
    <n v="5300"/>
    <n v="2.65"/>
  </r>
  <r>
    <d v="2021-07-30T00:00:00"/>
    <n v="41238"/>
    <s v="HB"/>
    <n v="86"/>
    <x v="0"/>
    <n v="5160"/>
    <n v="2.58"/>
  </r>
  <r>
    <d v="2021-07-30T00:00:00"/>
    <n v="41239"/>
    <s v="VP"/>
    <n v="5"/>
    <x v="0"/>
    <n v="1480"/>
    <n v="0.74"/>
  </r>
  <r>
    <d v="2021-08-02T00:00:00"/>
    <n v="41240"/>
    <s v="VP"/>
    <n v="5"/>
    <x v="0"/>
    <n v="8840"/>
    <n v="4.42"/>
  </r>
  <r>
    <d v="2021-08-02T00:00:00"/>
    <n v="41241"/>
    <s v="JB"/>
    <n v="3"/>
    <x v="0"/>
    <n v="3800"/>
    <n v="1.9"/>
  </r>
  <r>
    <d v="2021-08-02T00:00:00"/>
    <n v="41242"/>
    <s v="VP"/>
    <n v="5"/>
    <x v="0"/>
    <n v="3400"/>
    <n v="1.7"/>
  </r>
  <r>
    <d v="2021-08-02T00:00:00"/>
    <n v="41243"/>
    <s v="VP"/>
    <n v="5"/>
    <x v="0"/>
    <n v="4720"/>
    <n v="2.36"/>
  </r>
  <r>
    <d v="2021-08-02T00:00:00"/>
    <n v="41244"/>
    <s v="JB"/>
    <n v="83"/>
    <x v="1"/>
    <n v="7160"/>
    <n v="3.58"/>
  </r>
  <r>
    <d v="2021-08-02T00:00:00"/>
    <n v="41245"/>
    <s v="RC"/>
    <n v="86"/>
    <x v="0"/>
    <n v="6360"/>
    <n v="3.18"/>
  </r>
  <r>
    <d v="2021-08-02T00:00:00"/>
    <n v="41246"/>
    <s v="CH"/>
    <n v="80"/>
    <x v="0"/>
    <n v="4700"/>
    <n v="2.35"/>
  </r>
  <r>
    <d v="2021-08-03T00:00:00"/>
    <n v="41247"/>
    <s v="CH"/>
    <n v="80"/>
    <x v="0"/>
    <n v="3840"/>
    <n v="1.92"/>
  </r>
  <r>
    <d v="2021-08-03T00:00:00"/>
    <n v="41248"/>
    <s v="HB"/>
    <n v="86"/>
    <x v="0"/>
    <n v="5820"/>
    <n v="2.91"/>
  </r>
  <r>
    <d v="2021-08-03T00:00:00"/>
    <n v="41249"/>
    <s v="JB"/>
    <n v="81"/>
    <x v="1"/>
    <n v="2800"/>
    <n v="1.4"/>
  </r>
  <r>
    <d v="2021-08-04T00:00:00"/>
    <n v="41250"/>
    <s v="VP"/>
    <n v="5"/>
    <x v="0"/>
    <n v="7980"/>
    <n v="3.99"/>
  </r>
  <r>
    <d v="2021-08-04T00:00:00"/>
    <n v="40502"/>
    <s v="HB"/>
    <n v="86"/>
    <x v="0"/>
    <n v="2540"/>
    <n v="1.27"/>
  </r>
  <r>
    <d v="2021-08-04T00:00:00"/>
    <n v="40503"/>
    <s v="VP"/>
    <n v="5"/>
    <x v="0"/>
    <n v="5040"/>
    <n v="2.52"/>
  </r>
  <r>
    <d v="2021-08-04T00:00:00"/>
    <n v="40504"/>
    <s v="RC"/>
    <n v="86"/>
    <x v="0"/>
    <n v="4480"/>
    <n v="2.2400000000000002"/>
  </r>
  <r>
    <d v="2021-08-05T00:00:00"/>
    <n v="40505"/>
    <s v="BDI"/>
    <m/>
    <x v="3"/>
    <n v="5220"/>
    <n v="2.61"/>
  </r>
  <r>
    <d v="2021-08-05T00:00:00"/>
    <n v="40506"/>
    <s v="BDI"/>
    <m/>
    <x v="3"/>
    <n v="4420"/>
    <n v="2.21"/>
  </r>
  <r>
    <d v="2021-08-05T00:00:00"/>
    <n v="40507"/>
    <s v="RC"/>
    <n v="86"/>
    <x v="0"/>
    <n v="6880"/>
    <n v="3.44"/>
  </r>
  <r>
    <d v="2021-08-05T00:00:00"/>
    <n v="40508"/>
    <s v="BDI"/>
    <m/>
    <x v="3"/>
    <n v="4100"/>
    <n v="2.0499999999999998"/>
  </r>
  <r>
    <d v="2021-08-05T00:00:00"/>
    <n v="40509"/>
    <s v="BDI"/>
    <m/>
    <x v="3"/>
    <n v="3380"/>
    <n v="1.69"/>
  </r>
  <r>
    <d v="2021-08-05T00:00:00"/>
    <n v="40510"/>
    <s v="RC"/>
    <n v="86"/>
    <x v="0"/>
    <n v="5100"/>
    <n v="2.5499999999999998"/>
  </r>
  <r>
    <d v="2021-08-05T00:00:00"/>
    <n v="40511"/>
    <s v="SV"/>
    <n v="7"/>
    <x v="0"/>
    <n v="4340"/>
    <n v="2.17"/>
  </r>
  <r>
    <d v="2021-08-05T00:00:00"/>
    <n v="40512"/>
    <s v="CH"/>
    <n v="80"/>
    <x v="0"/>
    <n v="4780"/>
    <n v="2.39"/>
  </r>
  <r>
    <d v="2021-08-05T00:00:00"/>
    <n v="40513"/>
    <s v="JB"/>
    <n v="83"/>
    <x v="1"/>
    <n v="6640"/>
    <n v="3.32"/>
  </r>
  <r>
    <d v="2021-08-06T00:00:00"/>
    <n v="40514"/>
    <s v="VP"/>
    <n v="5"/>
    <x v="0"/>
    <n v="4640"/>
    <n v="2.3199999999999998"/>
  </r>
  <r>
    <d v="2021-08-06T00:00:00"/>
    <n v="40515"/>
    <s v="VP"/>
    <n v="5"/>
    <x v="0"/>
    <n v="5200"/>
    <n v="2.6"/>
  </r>
  <r>
    <d v="2021-08-06T00:00:00"/>
    <n v="40516"/>
    <s v="CH"/>
    <n v="80"/>
    <x v="0"/>
    <n v="3280"/>
    <n v="1.64"/>
  </r>
  <r>
    <d v="2021-08-06T00:00:00"/>
    <n v="40517"/>
    <s v="HB"/>
    <n v="86"/>
    <x v="0"/>
    <n v="5000"/>
    <n v="2.5"/>
  </r>
  <r>
    <d v="2021-08-06T00:00:00"/>
    <n v="40518"/>
    <s v="VP"/>
    <n v="5"/>
    <x v="0"/>
    <n v="1700"/>
    <n v="0.85"/>
  </r>
  <r>
    <d v="2021-08-09T00:00:00"/>
    <n v="40519"/>
    <s v="VP"/>
    <n v="5"/>
    <x v="0"/>
    <n v="7640"/>
    <n v="3.82"/>
  </r>
  <r>
    <d v="2021-08-09T00:00:00"/>
    <n v="40520"/>
    <s v="JB"/>
    <n v="3"/>
    <x v="0"/>
    <n v="2840"/>
    <n v="1.42"/>
  </r>
  <r>
    <d v="2021-08-09T00:00:00"/>
    <n v="40521"/>
    <s v="VP"/>
    <n v="5"/>
    <x v="0"/>
    <n v="4600"/>
    <n v="2.2999999999999998"/>
  </r>
  <r>
    <d v="2021-08-09T00:00:00"/>
    <n v="40522"/>
    <s v="CH"/>
    <n v="80"/>
    <x v="0"/>
    <n v="2720"/>
    <n v="1.36"/>
  </r>
  <r>
    <d v="2021-08-09T00:00:00"/>
    <n v="40523"/>
    <s v="JO"/>
    <n v="86"/>
    <x v="0"/>
    <n v="6420"/>
    <n v="3.21"/>
  </r>
  <r>
    <d v="2021-08-09T00:00:00"/>
    <n v="40524"/>
    <s v="VP"/>
    <n v="5"/>
    <x v="0"/>
    <n v="5640"/>
    <n v="2.82"/>
  </r>
  <r>
    <d v="2021-08-09T00:00:00"/>
    <n v="40525"/>
    <s v="JB"/>
    <n v="84"/>
    <x v="1"/>
    <n v="5920"/>
    <n v="2.96"/>
  </r>
  <r>
    <d v="2021-08-10T00:00:00"/>
    <n v="40526"/>
    <s v="CH"/>
    <n v="80"/>
    <x v="0"/>
    <n v="3820"/>
    <n v="1.91"/>
  </r>
  <r>
    <d v="2021-08-10T00:00:00"/>
    <n v="40527"/>
    <s v="JB"/>
    <n v="82"/>
    <x v="1"/>
    <n v="5740"/>
    <n v="2.87"/>
  </r>
  <r>
    <d v="2021-08-10T00:00:00"/>
    <n v="40528"/>
    <s v="HB"/>
    <n v="86"/>
    <x v="0"/>
    <n v="6100"/>
    <n v="3.05"/>
  </r>
  <r>
    <d v="2021-08-11T00:00:00"/>
    <n v="40529"/>
    <s v="VP"/>
    <n v="5"/>
    <x v="0"/>
    <n v="9020"/>
    <n v="4.51"/>
  </r>
  <r>
    <d v="2021-08-11T00:00:00"/>
    <n v="40530"/>
    <s v="HB"/>
    <n v="86"/>
    <x v="0"/>
    <n v="2940"/>
    <n v="1.47"/>
  </r>
  <r>
    <d v="2021-08-11T00:00:00"/>
    <n v="40531"/>
    <s v="VP"/>
    <n v="5"/>
    <x v="0"/>
    <n v="5260"/>
    <n v="2.63"/>
  </r>
  <r>
    <d v="2021-08-11T00:00:00"/>
    <n v="40532"/>
    <s v="JO"/>
    <n v="86"/>
    <x v="0"/>
    <n v="7800"/>
    <n v="3.9"/>
  </r>
  <r>
    <d v="2021-08-11T00:00:00"/>
    <n v="40533"/>
    <s v="JB"/>
    <n v="80"/>
    <x v="0"/>
    <n v="4400"/>
    <n v="2.2000000000000002"/>
  </r>
  <r>
    <d v="2021-08-12T00:00:00"/>
    <n v="40534"/>
    <s v="JO"/>
    <n v="86"/>
    <x v="0"/>
    <n v="7880"/>
    <n v="3.94"/>
  </r>
  <r>
    <d v="2021-08-12T00:00:00"/>
    <n v="40535"/>
    <s v="BDI"/>
    <m/>
    <x v="3"/>
    <n v="6440"/>
    <n v="3.22"/>
  </r>
  <r>
    <d v="2021-08-12T00:00:00"/>
    <n v="40536"/>
    <s v="BDI"/>
    <m/>
    <x v="3"/>
    <n v="4620"/>
    <n v="2.31"/>
  </r>
  <r>
    <d v="2021-08-12T00:00:00"/>
    <n v="40537"/>
    <s v="JO"/>
    <n v="86"/>
    <x v="0"/>
    <n v="5100"/>
    <n v="2.5499999999999998"/>
  </r>
  <r>
    <d v="2021-08-12T00:00:00"/>
    <n v="40538"/>
    <s v="JB"/>
    <n v="84"/>
    <x v="1"/>
    <n v="3840"/>
    <n v="1.92"/>
  </r>
  <r>
    <d v="2021-08-12T00:00:00"/>
    <n v="40539"/>
    <s v="RS"/>
    <n v="7"/>
    <x v="0"/>
    <n v="4880"/>
    <n v="2.44"/>
  </r>
  <r>
    <d v="2021-08-12T00:00:00"/>
    <n v="40540"/>
    <s v="CH"/>
    <n v="80"/>
    <x v="0"/>
    <n v="5480"/>
    <n v="2.74"/>
  </r>
  <r>
    <d v="2021-08-13T00:00:00"/>
    <n v="40541"/>
    <s v="VP"/>
    <n v="5"/>
    <x v="0"/>
    <n v="4940"/>
    <n v="2.4700000000000002"/>
  </r>
  <r>
    <d v="2021-08-13T00:00:00"/>
    <n v="40542"/>
    <s v="VP"/>
    <n v="5"/>
    <x v="0"/>
    <n v="6600"/>
    <n v="3.3"/>
  </r>
  <r>
    <d v="2021-08-13T00:00:00"/>
    <n v="40543"/>
    <s v="HB"/>
    <n v="86"/>
    <x v="0"/>
    <n v="4500"/>
    <n v="2.25"/>
  </r>
  <r>
    <d v="2021-08-13T00:00:00"/>
    <n v="40544"/>
    <s v="CH"/>
    <n v="80"/>
    <x v="0"/>
    <n v="3660"/>
    <n v="1.83"/>
  </r>
  <r>
    <d v="2021-08-13T00:00:00"/>
    <n v="40545"/>
    <s v="VP"/>
    <n v="5"/>
    <x v="0"/>
    <n v="1720"/>
    <n v="0.86"/>
  </r>
  <r>
    <d v="2021-08-16T00:00:00"/>
    <n v="40546"/>
    <s v="VP"/>
    <n v="5"/>
    <x v="0"/>
    <n v="7040"/>
    <n v="3.52"/>
  </r>
  <r>
    <d v="2021-08-16T00:00:00"/>
    <n v="40547"/>
    <s v="JB"/>
    <n v="3"/>
    <x v="0"/>
    <n v="3900"/>
    <n v="1.95"/>
  </r>
  <r>
    <d v="2021-08-16T00:00:00"/>
    <n v="40548"/>
    <s v="VP"/>
    <n v="5"/>
    <x v="0"/>
    <n v="3620"/>
    <n v="1.81"/>
  </r>
  <r>
    <d v="2021-08-16T00:00:00"/>
    <n v="40549"/>
    <s v="JO"/>
    <n v="86"/>
    <x v="0"/>
    <n v="6440"/>
    <n v="3.22"/>
  </r>
  <r>
    <d v="2021-08-16T00:00:00"/>
    <n v="40550"/>
    <s v="VP"/>
    <n v="5"/>
    <x v="0"/>
    <n v="5320"/>
    <n v="2.66"/>
  </r>
  <r>
    <d v="2021-08-16T00:00:00"/>
    <n v="40551"/>
    <s v="CH"/>
    <n v="80"/>
    <x v="0"/>
    <n v="5140"/>
    <n v="2.57"/>
  </r>
  <r>
    <d v="2021-08-16T00:00:00"/>
    <n v="40552"/>
    <s v="JB"/>
    <n v="83"/>
    <x v="1"/>
    <n v="7380"/>
    <n v="3.69"/>
  </r>
  <r>
    <d v="2021-08-17T00:00:00"/>
    <n v="40553"/>
    <s v="HB"/>
    <n v="86"/>
    <x v="0"/>
    <n v="5420"/>
    <n v="2.71"/>
  </r>
  <r>
    <d v="2021-08-17T00:00:00"/>
    <n v="40554"/>
    <s v="CH"/>
    <n v="80"/>
    <x v="0"/>
    <n v="3700"/>
    <n v="1.85"/>
  </r>
  <r>
    <d v="2021-08-17T00:00:00"/>
    <n v="40555"/>
    <s v="JB"/>
    <n v="81"/>
    <x v="1"/>
    <n v="2420"/>
    <n v="1.21"/>
  </r>
  <r>
    <d v="2021-08-18T00:00:00"/>
    <n v="40556"/>
    <s v="VP"/>
    <n v="5"/>
    <x v="0"/>
    <n v="8980"/>
    <n v="4.49"/>
  </r>
  <r>
    <d v="2021-08-18T00:00:00"/>
    <n v="40557"/>
    <s v="HB"/>
    <n v="86"/>
    <x v="0"/>
    <n v="2380"/>
    <n v="1.19"/>
  </r>
  <r>
    <d v="2021-08-18T00:00:00"/>
    <n v="40558"/>
    <s v="VP"/>
    <n v="5"/>
    <x v="0"/>
    <n v="4260"/>
    <n v="2.13"/>
  </r>
  <r>
    <d v="2021-08-18T00:00:00"/>
    <n v="40559"/>
    <s v="JO"/>
    <n v="86"/>
    <x v="0"/>
    <n v="6400"/>
    <n v="3.2"/>
  </r>
  <r>
    <d v="2021-08-19T00:00:00"/>
    <n v="40560"/>
    <s v="BDI"/>
    <m/>
    <x v="3"/>
    <n v="4960"/>
    <n v="2.48"/>
  </r>
  <r>
    <d v="2021-08-19T00:00:00"/>
    <n v="40561"/>
    <s v="BDI"/>
    <m/>
    <x v="3"/>
    <n v="3740"/>
    <n v="1.87"/>
  </r>
  <r>
    <d v="2021-08-19T00:00:00"/>
    <n v="40562"/>
    <s v="JO"/>
    <n v="86"/>
    <x v="0"/>
    <n v="8440"/>
    <n v="4.22"/>
  </r>
  <r>
    <d v="2021-08-19T00:00:00"/>
    <n v="40563"/>
    <s v="BDI"/>
    <m/>
    <x v="3"/>
    <n v="3800"/>
    <n v="1.9"/>
  </r>
  <r>
    <d v="2021-08-19T00:00:00"/>
    <n v="40564"/>
    <s v="BDI"/>
    <m/>
    <x v="3"/>
    <n v="4140"/>
    <n v="2.0699999999999998"/>
  </r>
  <r>
    <d v="2021-08-19T00:00:00"/>
    <n v="40565"/>
    <s v="JO"/>
    <n v="86"/>
    <x v="0"/>
    <n v="6780"/>
    <n v="3.39"/>
  </r>
  <r>
    <d v="2021-08-19T00:00:00"/>
    <n v="40566"/>
    <s v="SV"/>
    <n v="7"/>
    <x v="0"/>
    <n v="4460"/>
    <n v="2.23"/>
  </r>
  <r>
    <d v="2021-08-19T00:00:00"/>
    <n v="40567"/>
    <s v="CH"/>
    <n v="80"/>
    <x v="0"/>
    <n v="4500"/>
    <n v="2.25"/>
  </r>
  <r>
    <d v="2021-08-19T00:00:00"/>
    <n v="40568"/>
    <s v="JB"/>
    <n v="83"/>
    <x v="1"/>
    <n v="6820"/>
    <n v="3.41"/>
  </r>
  <r>
    <d v="2021-08-20T00:00:00"/>
    <n v="40569"/>
    <s v="VP"/>
    <n v="5"/>
    <x v="0"/>
    <n v="5840"/>
    <n v="2.92"/>
  </r>
  <r>
    <d v="2021-08-20T00:00:00"/>
    <n v="40570"/>
    <s v="VP"/>
    <n v="5"/>
    <x v="0"/>
    <n v="6200"/>
    <n v="3.1"/>
  </r>
  <r>
    <d v="2021-08-20T00:00:00"/>
    <n v="40571"/>
    <s v="CH"/>
    <n v="80"/>
    <x v="0"/>
    <n v="4020"/>
    <n v="2.0099999999999998"/>
  </r>
  <r>
    <d v="2021-08-20T00:00:00"/>
    <n v="40572"/>
    <s v="HB"/>
    <n v="86"/>
    <x v="0"/>
    <n v="5940"/>
    <n v="2.97"/>
  </r>
  <r>
    <d v="2021-08-20T00:00:00"/>
    <n v="40573"/>
    <s v="VP"/>
    <n v="5"/>
    <x v="0"/>
    <n v="1260"/>
    <n v="0.63"/>
  </r>
  <r>
    <d v="2021-08-23T00:00:00"/>
    <n v="40574"/>
    <s v="JB"/>
    <n v="3"/>
    <x v="0"/>
    <n v="3000"/>
    <n v="1.5"/>
  </r>
  <r>
    <d v="2021-08-23T00:00:00"/>
    <n v="40575"/>
    <s v="RS"/>
    <n v="5"/>
    <x v="0"/>
    <n v="7540"/>
    <n v="3.77"/>
  </r>
  <r>
    <d v="2021-08-23T00:00:00"/>
    <n v="40576"/>
    <s v="CH"/>
    <n v="80"/>
    <x v="0"/>
    <n v="2800"/>
    <n v="1.4"/>
  </r>
  <r>
    <d v="2021-08-23T00:00:00"/>
    <n v="40577"/>
    <s v="RS"/>
    <n v="5"/>
    <x v="0"/>
    <n v="7760"/>
    <n v="3.88"/>
  </r>
  <r>
    <d v="2021-08-23T00:00:00"/>
    <n v="40578"/>
    <s v="JO"/>
    <n v="86"/>
    <x v="0"/>
    <n v="6560"/>
    <n v="3.28"/>
  </r>
  <r>
    <d v="2021-08-23T00:00:00"/>
    <n v="40579"/>
    <s v="JB"/>
    <n v="84"/>
    <x v="1"/>
    <n v="6280"/>
    <n v="3.14"/>
  </r>
  <r>
    <d v="2021-08-24T00:00:00"/>
    <n v="40580"/>
    <s v="CH"/>
    <n v="80"/>
    <x v="0"/>
    <n v="3680"/>
    <n v="1.84"/>
  </r>
  <r>
    <d v="2021-08-24T00:00:00"/>
    <n v="40581"/>
    <s v="JB"/>
    <n v="82"/>
    <x v="1"/>
    <n v="6080"/>
    <n v="3.04"/>
  </r>
  <r>
    <d v="2021-08-24T00:00:00"/>
    <n v="40582"/>
    <s v="JO"/>
    <n v="86"/>
    <x v="0"/>
    <n v="6700"/>
    <n v="3.35"/>
  </r>
  <r>
    <d v="2021-08-25T00:00:00"/>
    <n v="40583"/>
    <s v="SC"/>
    <n v="5"/>
    <x v="0"/>
    <n v="8480"/>
    <n v="4.24"/>
  </r>
  <r>
    <d v="2021-08-25T00:00:00"/>
    <n v="40584"/>
    <s v="HB"/>
    <n v="86"/>
    <x v="0"/>
    <n v="3800"/>
    <n v="1.9"/>
  </r>
  <r>
    <d v="2021-08-25T00:00:00"/>
    <n v="40585"/>
    <s v="SC"/>
    <n v="5"/>
    <x v="0"/>
    <n v="6760"/>
    <n v="3.38"/>
  </r>
  <r>
    <d v="2021-08-25T00:00:00"/>
    <n v="40586"/>
    <s v="JB"/>
    <n v="80"/>
    <x v="1"/>
    <n v="4240"/>
    <n v="2.12"/>
  </r>
  <r>
    <d v="2021-08-25T00:00:00"/>
    <n v="40587"/>
    <s v="JO"/>
    <n v="86"/>
    <x v="0"/>
    <n v="7480"/>
    <n v="3.74"/>
  </r>
  <r>
    <d v="2021-08-26T00:00:00"/>
    <n v="40588"/>
    <s v="JO"/>
    <n v="86"/>
    <x v="0"/>
    <n v="8200"/>
    <n v="4.0999999999999996"/>
  </r>
  <r>
    <d v="2021-08-26T00:00:00"/>
    <n v="40589"/>
    <s v="JB"/>
    <n v="84"/>
    <x v="1"/>
    <n v="4100"/>
    <n v="2.0499999999999998"/>
  </r>
  <r>
    <d v="2021-08-26T00:00:00"/>
    <n v="40590"/>
    <s v="CH"/>
    <n v="80"/>
    <x v="0"/>
    <n v="5100"/>
    <n v="2.5499999999999998"/>
  </r>
  <r>
    <d v="2021-08-26T00:00:00"/>
    <n v="40591"/>
    <s v="SV"/>
    <n v="7"/>
    <x v="0"/>
    <n v="5280"/>
    <n v="2.64"/>
  </r>
  <r>
    <d v="2021-08-26T00:00:00"/>
    <n v="40592"/>
    <s v="VP"/>
    <n v="5"/>
    <x v="0"/>
    <n v="4660"/>
    <n v="2.33"/>
  </r>
  <r>
    <d v="2021-08-27T00:00:00"/>
    <n v="40593"/>
    <s v="SC"/>
    <n v="5"/>
    <x v="0"/>
    <n v="9720"/>
    <n v="4.8600000000000003"/>
  </r>
  <r>
    <d v="2021-08-27T00:00:00"/>
    <n v="40594"/>
    <s v="SC"/>
    <n v="5"/>
    <x v="0"/>
    <n v="4100"/>
    <n v="2.0499999999999998"/>
  </r>
  <r>
    <d v="2021-08-27T00:00:00"/>
    <n v="40595"/>
    <s v="CH"/>
    <n v="80"/>
    <x v="0"/>
    <n v="5120"/>
    <n v="2.56"/>
  </r>
  <r>
    <d v="2021-08-27T00:00:00"/>
    <n v="40596"/>
    <s v="HB"/>
    <n v="86"/>
    <x v="0"/>
    <n v="5720"/>
    <n v="2.86"/>
  </r>
  <r>
    <d v="2021-08-30T00:00:00"/>
    <n v="40597"/>
    <s v="VP"/>
    <n v="5"/>
    <x v="0"/>
    <n v="9000"/>
    <n v="4.5"/>
  </r>
  <r>
    <d v="2021-08-30T00:00:00"/>
    <n v="40598"/>
    <s v="JB"/>
    <n v="3"/>
    <x v="0"/>
    <n v="4360"/>
    <n v="2.1800000000000002"/>
  </r>
  <r>
    <d v="2021-08-30T00:00:00"/>
    <n v="40599"/>
    <s v="VP"/>
    <n v="5"/>
    <x v="0"/>
    <n v="4320"/>
    <n v="2.16"/>
  </r>
  <r>
    <d v="2021-08-30T00:00:00"/>
    <n v="40600"/>
    <s v="JO"/>
    <n v="86"/>
    <x v="0"/>
    <n v="6620"/>
    <n v="3.31"/>
  </r>
  <r>
    <d v="2021-08-30T00:00:00"/>
    <n v="40601"/>
    <s v="CH"/>
    <n v="80"/>
    <x v="0"/>
    <n v="4720"/>
    <n v="2.36"/>
  </r>
  <r>
    <d v="2021-08-30T00:00:00"/>
    <n v="40602"/>
    <s v="JB"/>
    <n v="83"/>
    <x v="1"/>
    <n v="7220"/>
    <n v="3.61"/>
  </r>
  <r>
    <d v="2021-08-30T00:00:00"/>
    <n v="40603"/>
    <s v="VP"/>
    <n v="5"/>
    <x v="0"/>
    <n v="7720"/>
    <n v="3.86"/>
  </r>
  <r>
    <d v="2021-08-31T00:00:00"/>
    <n v="40604"/>
    <s v="CH"/>
    <n v="80"/>
    <x v="0"/>
    <n v="3520"/>
    <n v="1.76"/>
  </r>
  <r>
    <d v="2021-08-31T00:00:00"/>
    <n v="40605"/>
    <s v="VP"/>
    <n v="5"/>
    <x v="0"/>
    <n v="7160"/>
    <n v="3.58"/>
  </r>
  <r>
    <d v="2021-08-31T00:00:00"/>
    <n v="40606"/>
    <s v="JB"/>
    <n v="81"/>
    <x v="1"/>
    <n v="2760"/>
    <n v="1.38"/>
  </r>
  <r>
    <d v="2021-09-01T00:00:00"/>
    <n v="40609"/>
    <s v="VP"/>
    <n v="5"/>
    <x v="0"/>
    <n v="8440"/>
    <n v="4.22"/>
  </r>
  <r>
    <d v="2021-09-01T00:00:00"/>
    <n v="40611"/>
    <s v="VP"/>
    <n v="5"/>
    <x v="0"/>
    <n v="2740"/>
    <n v="1.37"/>
  </r>
  <r>
    <d v="2021-09-01T00:00:00"/>
    <n v="40612"/>
    <s v="VP"/>
    <n v="5"/>
    <x v="0"/>
    <n v="5860"/>
    <n v="2.93"/>
  </r>
  <r>
    <d v="2021-09-01T00:00:00"/>
    <n v="40613"/>
    <s v="JO"/>
    <n v="86"/>
    <x v="0"/>
    <n v="5720"/>
    <n v="2.86"/>
  </r>
  <r>
    <d v="2021-09-02T00:00:00"/>
    <n v="40614"/>
    <s v="JO"/>
    <n v="86"/>
    <x v="0"/>
    <n v="7500"/>
    <n v="3.75"/>
  </r>
  <r>
    <d v="2021-09-02T00:00:00"/>
    <n v="40615"/>
    <s v="JO"/>
    <n v="86"/>
    <x v="0"/>
    <n v="5220"/>
    <n v="2.61"/>
  </r>
  <r>
    <d v="2021-09-02T00:00:00"/>
    <n v="40616"/>
    <s v="SV"/>
    <n v="7"/>
    <x v="0"/>
    <n v="4880"/>
    <n v="2.44"/>
  </r>
  <r>
    <d v="2021-09-02T00:00:00"/>
    <n v="40617"/>
    <s v="CH"/>
    <n v="80"/>
    <x v="0"/>
    <n v="4500"/>
    <n v="2.25"/>
  </r>
  <r>
    <d v="2021-09-02T00:00:00"/>
    <n v="40618"/>
    <s v="JB"/>
    <n v="83"/>
    <x v="1"/>
    <n v="7080"/>
    <n v="3.54"/>
  </r>
  <r>
    <d v="2021-09-03T00:00:00"/>
    <n v="40619"/>
    <s v="SV"/>
    <n v="7"/>
    <x v="0"/>
    <n v="5160"/>
    <n v="2.58"/>
  </r>
  <r>
    <d v="2021-09-03T00:00:00"/>
    <n v="40620"/>
    <s v="VP"/>
    <n v="5"/>
    <x v="0"/>
    <n v="8060"/>
    <n v="4.03"/>
  </r>
  <r>
    <d v="2021-09-03T00:00:00"/>
    <n v="40621"/>
    <s v="CH"/>
    <n v="80"/>
    <x v="0"/>
    <n v="5140"/>
    <n v="2.57"/>
  </r>
  <r>
    <d v="2021-09-03T00:00:00"/>
    <n v="40622"/>
    <s v="HB"/>
    <n v="86"/>
    <x v="0"/>
    <n v="5080"/>
    <n v="2.54"/>
  </r>
  <r>
    <d v="2021-09-03T00:00:00"/>
    <n v="40623"/>
    <s v="VP"/>
    <n v="5"/>
    <x v="0"/>
    <n v="3620"/>
    <n v="1.81"/>
  </r>
  <r>
    <d v="2021-09-07T00:00:00"/>
    <n v="40624"/>
    <s v="VP"/>
    <n v="5"/>
    <x v="0"/>
    <n v="8380"/>
    <n v="4.1900000000000004"/>
  </r>
  <r>
    <d v="2021-09-07T00:00:00"/>
    <n v="40625"/>
    <s v="JB"/>
    <n v="3"/>
    <x v="0"/>
    <n v="3580"/>
    <n v="1.79"/>
  </r>
  <r>
    <d v="2021-09-07T00:00:00"/>
    <n v="40626"/>
    <s v="VP"/>
    <n v="5"/>
    <x v="0"/>
    <n v="6600"/>
    <n v="3.3"/>
  </r>
  <r>
    <d v="2021-09-07T00:00:00"/>
    <n v="40627"/>
    <s v="CH"/>
    <n v="80"/>
    <x v="0"/>
    <n v="3440"/>
    <n v="1.72"/>
  </r>
  <r>
    <d v="2021-09-07T00:00:00"/>
    <n v="40628"/>
    <s v="JO"/>
    <n v="86"/>
    <x v="0"/>
    <n v="6900"/>
    <n v="3.45"/>
  </r>
  <r>
    <d v="2021-09-07T00:00:00"/>
    <n v="40629"/>
    <s v="JB"/>
    <n v="84"/>
    <x v="1"/>
    <n v="6560"/>
    <n v="3.28"/>
  </r>
  <r>
    <d v="2021-09-07T00:00:00"/>
    <n v="40630"/>
    <s v="VP"/>
    <n v="5"/>
    <x v="0"/>
    <n v="6440"/>
    <n v="3.22"/>
  </r>
  <r>
    <d v="2021-09-08T00:00:00"/>
    <n v="40631"/>
    <s v="JB"/>
    <n v="82"/>
    <x v="1"/>
    <n v="5920"/>
    <n v="2.96"/>
  </r>
  <r>
    <d v="2021-09-08T00:00:00"/>
    <n v="40632"/>
    <s v="CH"/>
    <n v="80"/>
    <x v="0"/>
    <n v="3500"/>
    <n v="1.75"/>
  </r>
  <r>
    <d v="2021-09-08T00:00:00"/>
    <n v="40633"/>
    <s v="HB"/>
    <n v="86"/>
    <x v="0"/>
    <n v="10280"/>
    <n v="5.14"/>
  </r>
  <r>
    <d v="2021-09-08T00:00:00"/>
    <n v="40634"/>
    <s v="VP"/>
    <n v="5"/>
    <x v="0"/>
    <n v="5260"/>
    <n v="2.63"/>
  </r>
  <r>
    <d v="2021-09-09T00:00:00"/>
    <n v="40635"/>
    <s v="VP"/>
    <n v="5"/>
    <x v="0"/>
    <n v="6640"/>
    <n v="3.32"/>
  </r>
  <r>
    <d v="2021-09-09T00:00:00"/>
    <n v="40636"/>
    <s v="JB"/>
    <n v="80"/>
    <x v="1"/>
    <n v="4900"/>
    <n v="2.4500000000000002"/>
  </r>
  <r>
    <d v="2021-09-09T00:00:00"/>
    <n v="40637"/>
    <s v="JO"/>
    <n v="86"/>
    <x v="0"/>
    <n v="6840"/>
    <n v="3.42"/>
  </r>
  <r>
    <d v="2021-09-09T00:00:00"/>
    <n v="40638"/>
    <s v="SV"/>
    <n v="7"/>
    <x v="0"/>
    <n v="2740"/>
    <n v="1.37"/>
  </r>
  <r>
    <d v="2021-09-10T00:00:00"/>
    <n v="40639"/>
    <s v="BDI"/>
    <m/>
    <x v="3"/>
    <n v="7140"/>
    <n v="3.57"/>
  </r>
  <r>
    <d v="2021-09-10T00:00:00"/>
    <n v="40640"/>
    <s v="BDI"/>
    <m/>
    <x v="3"/>
    <n v="5740"/>
    <n v="2.87"/>
  </r>
  <r>
    <d v="2021-09-10T00:00:00"/>
    <n v="40641"/>
    <s v="JO"/>
    <n v="86"/>
    <x v="0"/>
    <n v="7580"/>
    <n v="3.79"/>
  </r>
  <r>
    <d v="2021-09-10T00:00:00"/>
    <n v="40642"/>
    <s v="BDI"/>
    <m/>
    <x v="3"/>
    <n v="5160"/>
    <n v="2.58"/>
  </r>
  <r>
    <d v="2021-09-10T00:00:00"/>
    <n v="40643"/>
    <s v="BDI"/>
    <m/>
    <x v="3"/>
    <n v="4280"/>
    <n v="2.14"/>
  </r>
  <r>
    <d v="2021-09-10T00:00:00"/>
    <n v="40644"/>
    <s v="VP"/>
    <n v="5"/>
    <x v="0"/>
    <n v="9340"/>
    <n v="4.67"/>
  </r>
  <r>
    <d v="2021-09-10T00:00:00"/>
    <n v="40645"/>
    <s v="BDI"/>
    <m/>
    <x v="3"/>
    <n v="2900"/>
    <n v="1.45"/>
  </r>
  <r>
    <d v="2021-09-10T00:00:00"/>
    <n v="40646"/>
    <s v="JO"/>
    <n v="86"/>
    <x v="0"/>
    <n v="6480"/>
    <n v="3.24"/>
  </r>
  <r>
    <d v="2021-09-10T00:00:00"/>
    <n v="40647"/>
    <s v="JB"/>
    <n v="84"/>
    <x v="1"/>
    <n v="4240"/>
    <n v="2.12"/>
  </r>
  <r>
    <d v="2021-09-10T00:00:00"/>
    <n v="40648"/>
    <s v="VP"/>
    <n v="5"/>
    <x v="0"/>
    <n v="3380"/>
    <n v="1.69"/>
  </r>
  <r>
    <d v="2021-09-10T00:00:00"/>
    <n v="40649"/>
    <s v="HB"/>
    <n v="86"/>
    <x v="0"/>
    <n v="4960"/>
    <n v="2.48"/>
  </r>
  <r>
    <d v="2021-09-10T00:00:00"/>
    <n v="40650"/>
    <s v="CH"/>
    <n v="80"/>
    <x v="0"/>
    <n v="4960"/>
    <n v="2.48"/>
  </r>
  <r>
    <d v="2021-09-13T00:00:00"/>
    <n v="40651"/>
    <s v="JB"/>
    <n v="3"/>
    <x v="0"/>
    <n v="3100"/>
    <n v="1.55"/>
  </r>
  <r>
    <d v="2021-09-13T00:00:00"/>
    <n v="40652"/>
    <s v="VP"/>
    <n v="5"/>
    <x v="0"/>
    <n v="10980"/>
    <n v="5.49"/>
  </r>
  <r>
    <d v="2021-09-13T00:00:00"/>
    <n v="40653"/>
    <s v="JO"/>
    <n v="86"/>
    <x v="0"/>
    <n v="6400"/>
    <n v="3.2"/>
  </r>
  <r>
    <d v="2021-09-13T00:00:00"/>
    <n v="40654"/>
    <s v="JB"/>
    <n v="83"/>
    <x v="1"/>
    <n v="6880"/>
    <n v="3.44"/>
  </r>
  <r>
    <d v="2021-09-13T00:00:00"/>
    <n v="40655"/>
    <s v="VP"/>
    <n v="5"/>
    <x v="0"/>
    <n v="6720"/>
    <n v="3.36"/>
  </r>
  <r>
    <d v="2021-09-13T00:00:00"/>
    <n v="40656"/>
    <s v="CH"/>
    <n v="80"/>
    <x v="0"/>
    <n v="4800"/>
    <n v="2.4"/>
  </r>
  <r>
    <d v="2021-09-14T00:00:00"/>
    <n v="40657"/>
    <s v="CH"/>
    <n v="80"/>
    <x v="0"/>
    <n v="2960"/>
    <n v="1.48"/>
  </r>
  <r>
    <d v="2021-09-14T00:00:00"/>
    <n v="40658"/>
    <s v="HB"/>
    <n v="86"/>
    <x v="0"/>
    <n v="6480"/>
    <n v="3.24"/>
  </r>
  <r>
    <d v="2021-09-14T00:00:00"/>
    <n v="40659"/>
    <s v="JB"/>
    <n v="81"/>
    <x v="1"/>
    <n v="3160"/>
    <n v="1.58"/>
  </r>
  <r>
    <d v="2021-09-15T00:00:00"/>
    <n v="40660"/>
    <s v="VP"/>
    <n v="5"/>
    <x v="0"/>
    <n v="9160"/>
    <n v="4.58"/>
  </r>
  <r>
    <d v="2021-09-15T00:00:00"/>
    <n v="40661"/>
    <s v="HB"/>
    <n v="86"/>
    <x v="0"/>
    <n v="2720"/>
    <n v="1.36"/>
  </r>
  <r>
    <d v="2021-09-15T00:00:00"/>
    <n v="40662"/>
    <s v="VP"/>
    <n v="5"/>
    <x v="0"/>
    <n v="5860"/>
    <n v="2.93"/>
  </r>
  <r>
    <d v="2021-09-15T00:00:00"/>
    <n v="40663"/>
    <s v="JO"/>
    <n v="86"/>
    <x v="0"/>
    <n v="5380"/>
    <n v="2.69"/>
  </r>
  <r>
    <d v="2021-09-16T00:00:00"/>
    <n v="40664"/>
    <s v="JO"/>
    <n v="86"/>
    <x v="0"/>
    <n v="6600"/>
    <n v="3.3"/>
  </r>
  <r>
    <d v="2021-09-16T00:00:00"/>
    <n v="40665"/>
    <s v="BDI"/>
    <m/>
    <x v="3"/>
    <n v="5740"/>
    <n v="2.87"/>
  </r>
  <r>
    <d v="2021-09-16T00:00:00"/>
    <n v="40666"/>
    <s v="BDI"/>
    <m/>
    <x v="3"/>
    <n v="8260"/>
    <n v="4.13"/>
  </r>
  <r>
    <d v="2021-09-16T00:00:00"/>
    <n v="40667"/>
    <s v="JO"/>
    <n v="86"/>
    <x v="0"/>
    <n v="4860"/>
    <n v="2.4300000000000002"/>
  </r>
  <r>
    <d v="2021-09-16T00:00:00"/>
    <n v="40668"/>
    <s v="SV"/>
    <n v="7"/>
    <x v="0"/>
    <n v="6420"/>
    <n v="3.21"/>
  </r>
  <r>
    <d v="2021-09-16T00:00:00"/>
    <n v="40669"/>
    <s v="CH"/>
    <n v="80"/>
    <x v="0"/>
    <n v="4480"/>
    <n v="2.2400000000000002"/>
  </r>
  <r>
    <d v="2021-09-16T00:00:00"/>
    <n v="40670"/>
    <s v="JB"/>
    <n v="83"/>
    <x v="1"/>
    <n v="7240"/>
    <n v="3.62"/>
  </r>
  <r>
    <d v="2021-09-17T00:00:00"/>
    <n v="40671"/>
    <s v="VP"/>
    <n v="5"/>
    <x v="0"/>
    <n v="4660"/>
    <n v="2.33"/>
  </r>
  <r>
    <d v="2021-09-17T00:00:00"/>
    <n v="40672"/>
    <s v="CH"/>
    <n v="80"/>
    <x v="0"/>
    <n v="4700"/>
    <n v="2.35"/>
  </r>
  <r>
    <d v="2021-09-17T00:00:00"/>
    <n v="40673"/>
    <s v="HB"/>
    <n v="86"/>
    <x v="0"/>
    <n v="4900"/>
    <n v="2.4500000000000002"/>
  </r>
  <r>
    <d v="2021-09-17T00:00:00"/>
    <n v="40674"/>
    <s v="VP"/>
    <n v="5"/>
    <x v="0"/>
    <n v="2100"/>
    <n v="1.05"/>
  </r>
  <r>
    <d v="2021-09-17T00:00:00"/>
    <n v="40675"/>
    <s v="VP"/>
    <n v="5"/>
    <x v="0"/>
    <n v="3600"/>
    <n v="1.8"/>
  </r>
  <r>
    <d v="2021-09-20T00:00:00"/>
    <n v="40676"/>
    <s v="VP"/>
    <n v="5"/>
    <x v="0"/>
    <n v="10700"/>
    <n v="5.35"/>
  </r>
  <r>
    <d v="2021-09-20T00:00:00"/>
    <n v="40677"/>
    <s v="JB"/>
    <n v="3"/>
    <x v="0"/>
    <n v="3620"/>
    <n v="1.81"/>
  </r>
  <r>
    <d v="2021-09-20T00:00:00"/>
    <n v="40678"/>
    <s v="CH"/>
    <n v="80"/>
    <x v="0"/>
    <n v="3460"/>
    <n v="1.73"/>
  </r>
  <r>
    <d v="2021-09-20T00:00:00"/>
    <n v="40679"/>
    <s v="VP"/>
    <n v="5"/>
    <x v="0"/>
    <n v="7840"/>
    <n v="3.92"/>
  </r>
  <r>
    <d v="2021-09-20T00:00:00"/>
    <n v="40680"/>
    <s v="JO"/>
    <n v="86"/>
    <x v="0"/>
    <n v="6460"/>
    <n v="3.23"/>
  </r>
  <r>
    <d v="2021-09-20T00:00:00"/>
    <n v="40681"/>
    <s v="JB"/>
    <n v="84"/>
    <x v="1"/>
    <n v="6020"/>
    <n v="3.01"/>
  </r>
  <r>
    <d v="2021-09-21T00:00:00"/>
    <n v="40682"/>
    <s v="CH"/>
    <n v="80"/>
    <x v="0"/>
    <n v="3480"/>
    <n v="1.74"/>
  </r>
  <r>
    <d v="2021-09-21T00:00:00"/>
    <n v="40683"/>
    <s v="HB"/>
    <n v="86"/>
    <x v="0"/>
    <n v="6360"/>
    <n v="3.18"/>
  </r>
  <r>
    <d v="2021-09-21T00:00:00"/>
    <n v="40684"/>
    <s v="JB"/>
    <n v="82"/>
    <x v="1"/>
    <n v="5940"/>
    <n v="2.97"/>
  </r>
  <r>
    <d v="2021-09-22T00:00:00"/>
    <n v="40685"/>
    <s v="VP"/>
    <n v="5"/>
    <x v="0"/>
    <n v="8700"/>
    <n v="4.3499999999999996"/>
  </r>
  <r>
    <d v="2021-09-22T00:00:00"/>
    <n v="40686"/>
    <s v="JB"/>
    <n v="80"/>
    <x v="1"/>
    <n v="1920"/>
    <n v="0.96"/>
  </r>
  <r>
    <d v="2021-09-22T00:00:00"/>
    <n v="40687"/>
    <s v="JB"/>
    <n v="80"/>
    <x v="1"/>
    <n v="1300"/>
    <n v="0.65"/>
  </r>
  <r>
    <d v="2021-09-22T00:00:00"/>
    <n v="40688"/>
    <s v="HB"/>
    <n v="86"/>
    <x v="0"/>
    <n v="3520"/>
    <n v="1.76"/>
  </r>
  <r>
    <d v="2021-09-22T00:00:00"/>
    <n v="40689"/>
    <s v="VP"/>
    <n v="5"/>
    <x v="0"/>
    <n v="5100"/>
    <n v="2.5499999999999998"/>
  </r>
  <r>
    <d v="2021-09-22T00:00:00"/>
    <n v="40690"/>
    <s v="JO"/>
    <n v="86"/>
    <x v="0"/>
    <n v="5400"/>
    <n v="2.7"/>
  </r>
  <r>
    <d v="2021-09-23T00:00:00"/>
    <n v="40691"/>
    <s v="BDI"/>
    <m/>
    <x v="3"/>
    <n v="4560"/>
    <n v="2.2799999999999998"/>
  </r>
  <r>
    <d v="2021-09-23T00:00:00"/>
    <n v="40692"/>
    <s v="BDI"/>
    <m/>
    <x v="3"/>
    <n v="4340"/>
    <n v="2.17"/>
  </r>
  <r>
    <d v="2021-09-23T00:00:00"/>
    <n v="40693"/>
    <s v="JO"/>
    <n v="86"/>
    <x v="0"/>
    <n v="7560"/>
    <n v="3.78"/>
  </r>
  <r>
    <d v="2021-09-23T00:00:00"/>
    <n v="40694"/>
    <s v="BDI"/>
    <m/>
    <x v="3"/>
    <n v="3940"/>
    <n v="1.97"/>
  </r>
  <r>
    <d v="2021-09-23T00:00:00"/>
    <n v="40695"/>
    <s v="BDI"/>
    <m/>
    <x v="3"/>
    <n v="3680"/>
    <n v="1.84"/>
  </r>
  <r>
    <d v="2021-09-23T00:00:00"/>
    <n v="40696"/>
    <s v="JO"/>
    <n v="86"/>
    <x v="0"/>
    <n v="5980"/>
    <n v="2.99"/>
  </r>
  <r>
    <d v="2021-09-23T00:00:00"/>
    <n v="40697"/>
    <s v="SV"/>
    <n v="7"/>
    <x v="0"/>
    <n v="4660"/>
    <n v="2.33"/>
  </r>
  <r>
    <d v="2021-09-23T00:00:00"/>
    <n v="40698"/>
    <s v="JB"/>
    <n v="84"/>
    <x v="1"/>
    <n v="3960"/>
    <n v="1.98"/>
  </r>
  <r>
    <d v="2021-09-23T00:00:00"/>
    <n v="40699"/>
    <s v="CH"/>
    <n v="80"/>
    <x v="0"/>
    <n v="4280"/>
    <n v="2.14"/>
  </r>
  <r>
    <d v="2021-09-24T00:00:00"/>
    <n v="40700"/>
    <s v="VP"/>
    <n v="5"/>
    <x v="0"/>
    <n v="4600"/>
    <n v="2.2999999999999998"/>
  </r>
  <r>
    <d v="2021-09-24T00:00:00"/>
    <n v="40701"/>
    <s v="VP"/>
    <n v="5"/>
    <x v="0"/>
    <n v="5100"/>
    <n v="2.5499999999999998"/>
  </r>
  <r>
    <d v="2021-09-24T00:00:00"/>
    <n v="40702"/>
    <s v="CH"/>
    <n v="80"/>
    <x v="0"/>
    <n v="4320"/>
    <n v="2.16"/>
  </r>
  <r>
    <d v="2021-09-24T00:00:00"/>
    <n v="40703"/>
    <s v="HB"/>
    <n v="86"/>
    <x v="0"/>
    <n v="5780"/>
    <n v="2.89"/>
  </r>
  <r>
    <d v="2021-09-24T00:00:00"/>
    <n v="40704"/>
    <s v="VP"/>
    <n v="5"/>
    <x v="0"/>
    <n v="1560"/>
    <n v="0.78"/>
  </r>
  <r>
    <d v="2021-09-27T00:00:00"/>
    <n v="40705"/>
    <s v="JB"/>
    <n v="3"/>
    <x v="0"/>
    <n v="4040"/>
    <n v="2.02"/>
  </r>
  <r>
    <d v="2021-09-27T00:00:00"/>
    <n v="40706"/>
    <s v="VP"/>
    <n v="5"/>
    <x v="0"/>
    <n v="9660"/>
    <n v="4.83"/>
  </r>
  <r>
    <d v="2021-09-27T00:00:00"/>
    <n v="40707"/>
    <s v="CH"/>
    <n v="80"/>
    <x v="0"/>
    <n v="5040"/>
    <n v="2.52"/>
  </r>
  <r>
    <d v="2021-09-27T00:00:00"/>
    <n v="40708"/>
    <s v="JB"/>
    <n v="83"/>
    <x v="1"/>
    <n v="6600"/>
    <n v="3.3"/>
  </r>
  <r>
    <d v="2021-09-27T00:00:00"/>
    <n v="40709"/>
    <s v="VP"/>
    <n v="5"/>
    <x v="0"/>
    <n v="6820"/>
    <n v="3.41"/>
  </r>
  <r>
    <d v="2021-09-27T00:00:00"/>
    <n v="40710"/>
    <s v="RC"/>
    <n v="86"/>
    <x v="0"/>
    <n v="6360"/>
    <n v="3.18"/>
  </r>
  <r>
    <d v="2021-09-28T00:00:00"/>
    <n v="40711"/>
    <s v="CH"/>
    <n v="80"/>
    <x v="0"/>
    <n v="3840"/>
    <n v="1.92"/>
  </r>
  <r>
    <d v="2021-09-28T00:00:00"/>
    <n v="40712"/>
    <s v="HB"/>
    <n v="86"/>
    <x v="0"/>
    <n v="6060"/>
    <n v="3.03"/>
  </r>
  <r>
    <d v="2021-09-28T00:00:00"/>
    <n v="40713"/>
    <s v="JB"/>
    <n v="81"/>
    <x v="1"/>
    <n v="2740"/>
    <n v="1.37"/>
  </r>
  <r>
    <d v="2021-09-29T00:00:00"/>
    <n v="40714"/>
    <s v="VP"/>
    <n v="5"/>
    <x v="0"/>
    <n v="9500"/>
    <n v="4.75"/>
  </r>
  <r>
    <d v="2021-09-29T00:00:00"/>
    <n v="40715"/>
    <s v="HB"/>
    <n v="86"/>
    <x v="0"/>
    <n v="2660"/>
    <n v="1.33"/>
  </r>
  <r>
    <d v="2021-09-29T00:00:00"/>
    <n v="40716"/>
    <s v="VP"/>
    <n v="5"/>
    <x v="0"/>
    <n v="5840"/>
    <n v="2.92"/>
  </r>
  <r>
    <d v="2021-09-29T00:00:00"/>
    <n v="40717"/>
    <s v="RC"/>
    <n v="86"/>
    <x v="0"/>
    <n v="4520"/>
    <n v="2.2599999999999998"/>
  </r>
  <r>
    <d v="2021-09-30T00:00:00"/>
    <n v="40718"/>
    <s v="RC"/>
    <n v="86"/>
    <x v="0"/>
    <n v="7040"/>
    <n v="3.52"/>
  </r>
  <r>
    <d v="2021-09-30T00:00:00"/>
    <n v="40719"/>
    <s v="VOID"/>
    <m/>
    <x v="4"/>
    <m/>
    <m/>
  </r>
  <r>
    <d v="2021-09-30T00:00:00"/>
    <n v="40720"/>
    <s v="RC"/>
    <n v="86"/>
    <x v="0"/>
    <n v="5100"/>
    <n v="2.5499999999999998"/>
  </r>
  <r>
    <d v="2021-09-30T00:00:00"/>
    <n v="40721"/>
    <s v="SV"/>
    <n v="7"/>
    <x v="0"/>
    <n v="4440"/>
    <n v="2.2200000000000002"/>
  </r>
  <r>
    <d v="2021-09-30T00:00:00"/>
    <n v="40722"/>
    <s v="CH"/>
    <n v="80"/>
    <x v="0"/>
    <n v="4560"/>
    <n v="2.2799999999999998"/>
  </r>
  <r>
    <d v="2021-09-30T00:00:00"/>
    <n v="40723"/>
    <s v="JB"/>
    <n v="83"/>
    <x v="1"/>
    <n v="7120"/>
    <n v="3.56"/>
  </r>
  <r>
    <d v="2021-10-01T00:00:00"/>
    <n v="40724"/>
    <s v="VP"/>
    <n v="5"/>
    <x v="0"/>
    <n v="4860"/>
    <n v="2.4300000000000002"/>
  </r>
  <r>
    <d v="2021-10-01T00:00:00"/>
    <n v="40725"/>
    <s v="VP"/>
    <n v="5"/>
    <x v="0"/>
    <n v="5620"/>
    <n v="2.81"/>
  </r>
  <r>
    <d v="2021-10-01T00:00:00"/>
    <n v="40726"/>
    <s v="CH"/>
    <n v="80"/>
    <x v="0"/>
    <n v="4460"/>
    <n v="2.23"/>
  </r>
  <r>
    <d v="2021-10-01T00:00:00"/>
    <n v="40727"/>
    <s v="VP"/>
    <n v="5"/>
    <x v="0"/>
    <n v="1780"/>
    <n v="0.89"/>
  </r>
  <r>
    <d v="2021-10-01T00:00:00"/>
    <n v="40728"/>
    <s v="HB"/>
    <n v="86"/>
    <x v="0"/>
    <n v="5500"/>
    <n v="2.75"/>
  </r>
  <r>
    <d v="2021-10-04T00:00:00"/>
    <n v="40729"/>
    <s v="JB"/>
    <n v="3"/>
    <x v="0"/>
    <n v="3460"/>
    <n v="1.73"/>
  </r>
  <r>
    <d v="2021-10-04T00:00:00"/>
    <n v="40730"/>
    <s v="VP"/>
    <n v="5"/>
    <x v="0"/>
    <n v="9760"/>
    <n v="4.88"/>
  </r>
  <r>
    <d v="2021-10-04T00:00:00"/>
    <n v="40731"/>
    <s v="PM"/>
    <n v="80"/>
    <x v="0"/>
    <n v="2660"/>
    <n v="1.33"/>
  </r>
  <r>
    <d v="2021-10-04T00:00:00"/>
    <n v="40732"/>
    <s v="VP"/>
    <n v="5"/>
    <x v="0"/>
    <n v="7800"/>
    <n v="3.9"/>
  </r>
  <r>
    <d v="2021-10-04T00:00:00"/>
    <n v="40733"/>
    <s v="JO"/>
    <n v="86"/>
    <x v="0"/>
    <n v="6640"/>
    <n v="3.32"/>
  </r>
  <r>
    <d v="2021-10-04T00:00:00"/>
    <n v="40734"/>
    <s v="JB"/>
    <n v="84"/>
    <x v="1"/>
    <n v="6460"/>
    <n v="3.23"/>
  </r>
  <r>
    <d v="2021-10-05T00:00:00"/>
    <n v="40735"/>
    <s v="HB"/>
    <n v="86"/>
    <x v="0"/>
    <n v="6280"/>
    <n v="3.14"/>
  </r>
  <r>
    <d v="2021-10-05T00:00:00"/>
    <n v="40736"/>
    <s v="JB"/>
    <n v="82"/>
    <x v="1"/>
    <n v="5860"/>
    <n v="2.93"/>
  </r>
  <r>
    <d v="2021-10-06T00:00:00"/>
    <n v="40737"/>
    <s v="VP"/>
    <n v="5"/>
    <x v="0"/>
    <n v="8140"/>
    <n v="4.07"/>
  </r>
  <r>
    <d v="2021-10-06T00:00:00"/>
    <n v="40738"/>
    <s v="HB"/>
    <n v="86"/>
    <x v="0"/>
    <n v="3600"/>
    <n v="1.8"/>
  </r>
  <r>
    <d v="2021-10-06T00:00:00"/>
    <n v="40739"/>
    <s v="JB"/>
    <n v="80"/>
    <x v="1"/>
    <n v="4240"/>
    <n v="2.12"/>
  </r>
  <r>
    <d v="2021-10-06T00:00:00"/>
    <n v="40740"/>
    <s v="VP"/>
    <n v="5"/>
    <x v="0"/>
    <n v="6180"/>
    <n v="3.09"/>
  </r>
  <r>
    <d v="2021-10-06T00:00:00"/>
    <n v="40741"/>
    <s v="JO"/>
    <n v="86"/>
    <x v="0"/>
    <n v="6440"/>
    <n v="3.22"/>
  </r>
  <r>
    <d v="2021-10-07T00:00:00"/>
    <n v="40742"/>
    <s v="BDI"/>
    <m/>
    <x v="3"/>
    <n v="6020"/>
    <n v="3.01"/>
  </r>
  <r>
    <d v="2021-10-07T00:00:00"/>
    <n v="40743"/>
    <s v="JO"/>
    <n v="86"/>
    <x v="0"/>
    <n v="6400"/>
    <n v="3.2"/>
  </r>
  <r>
    <d v="2021-10-07T00:00:00"/>
    <n v="40744"/>
    <s v="BDI"/>
    <m/>
    <x v="3"/>
    <n v="3260"/>
    <n v="1.63"/>
  </r>
  <r>
    <d v="2021-10-07T00:00:00"/>
    <n v="40745"/>
    <s v="BDI"/>
    <m/>
    <x v="3"/>
    <n v="5120"/>
    <n v="2.56"/>
  </r>
  <r>
    <d v="2021-10-07T00:00:00"/>
    <n v="40746"/>
    <s v="BDI"/>
    <m/>
    <x v="3"/>
    <n v="2860"/>
    <n v="1.43"/>
  </r>
  <r>
    <d v="2021-10-07T00:00:00"/>
    <n v="40747"/>
    <s v="JO"/>
    <n v="86"/>
    <x v="0"/>
    <n v="5780"/>
    <n v="2.89"/>
  </r>
  <r>
    <d v="2021-10-07T00:00:00"/>
    <n v="40748"/>
    <s v="JB"/>
    <n v="84"/>
    <x v="1"/>
    <n v="3940"/>
    <n v="1.97"/>
  </r>
  <r>
    <d v="2021-10-07T00:00:00"/>
    <n v="40749"/>
    <s v="PM"/>
    <m/>
    <x v="0"/>
    <n v="5360"/>
    <n v="2.68"/>
  </r>
  <r>
    <d v="2021-10-07T00:00:00"/>
    <n v="40750"/>
    <s v="SV"/>
    <n v="7"/>
    <x v="0"/>
    <n v="5640"/>
    <n v="2.82"/>
  </r>
  <r>
    <d v="2021-10-08T00:00:00"/>
    <n v="40751"/>
    <s v="VP"/>
    <n v="5"/>
    <x v="1"/>
    <n v="4840"/>
    <n v="2.42"/>
  </r>
  <r>
    <d v="2021-10-08T00:00:00"/>
    <n v="40752"/>
    <s v="VP"/>
    <n v="5"/>
    <x v="0"/>
    <n v="5780"/>
    <n v="2.89"/>
  </r>
  <r>
    <d v="2021-10-08T00:00:00"/>
    <n v="40753"/>
    <s v="HB"/>
    <n v="86"/>
    <x v="0"/>
    <n v="5540"/>
    <n v="2.77"/>
  </r>
  <r>
    <d v="2021-10-08T00:00:00"/>
    <n v="40754"/>
    <s v="VP"/>
    <n v="5"/>
    <x v="0"/>
    <n v="1500"/>
    <n v="0.75"/>
  </r>
  <r>
    <d v="2021-10-11T00:00:00"/>
    <n v="40755"/>
    <s v="VP"/>
    <n v="5"/>
    <x v="0"/>
    <n v="8100"/>
    <n v="4.05"/>
  </r>
  <r>
    <d v="2021-10-11T00:00:00"/>
    <n v="40756"/>
    <s v="JB"/>
    <n v="3"/>
    <x v="0"/>
    <n v="3660"/>
    <n v="1.83"/>
  </r>
  <r>
    <d v="2021-10-11T00:00:00"/>
    <n v="40757"/>
    <s v="VP"/>
    <n v="5"/>
    <x v="0"/>
    <n v="5100"/>
    <n v="2.5499999999999998"/>
  </r>
  <r>
    <d v="2021-10-11T00:00:00"/>
    <n v="40758"/>
    <s v="CH"/>
    <n v="80"/>
    <x v="0"/>
    <n v="5300"/>
    <n v="2.65"/>
  </r>
  <r>
    <d v="2021-10-11T00:00:00"/>
    <n v="40759"/>
    <s v="JO"/>
    <n v="86"/>
    <x v="0"/>
    <n v="6780"/>
    <n v="3.39"/>
  </r>
  <r>
    <d v="2021-10-11T00:00:00"/>
    <n v="40760"/>
    <s v="VP"/>
    <n v="5"/>
    <x v="0"/>
    <n v="6160"/>
    <n v="3.08"/>
  </r>
  <r>
    <d v="2021-10-11T00:00:00"/>
    <n v="40761"/>
    <s v="JB"/>
    <n v="83"/>
    <x v="1"/>
    <n v="7520"/>
    <n v="3.76"/>
  </r>
  <r>
    <d v="2021-10-12T00:00:00"/>
    <n v="40762"/>
    <s v="CH"/>
    <n v="80"/>
    <x v="0"/>
    <n v="3700"/>
    <n v="1.85"/>
  </r>
  <r>
    <d v="2021-10-12T00:00:00"/>
    <n v="40763"/>
    <s v="HB"/>
    <n v="86"/>
    <x v="0"/>
    <n v="5240"/>
    <n v="2.62"/>
  </r>
  <r>
    <d v="2021-10-12T00:00:00"/>
    <n v="40764"/>
    <s v="JB"/>
    <n v="81"/>
    <x v="1"/>
    <n v="2600"/>
    <n v="1.3"/>
  </r>
  <r>
    <d v="2021-10-13T00:00:00"/>
    <n v="40765"/>
    <s v="VP"/>
    <n v="5"/>
    <x v="0"/>
    <n v="8280"/>
    <n v="4.1399999999999997"/>
  </r>
  <r>
    <d v="2021-10-13T00:00:00"/>
    <n v="40766"/>
    <s v="HB"/>
    <n v="86"/>
    <x v="0"/>
    <n v="3680"/>
    <n v="1.84"/>
  </r>
  <r>
    <d v="2021-10-13T00:00:00"/>
    <n v="40767"/>
    <s v="VP"/>
    <n v="5"/>
    <x v="0"/>
    <n v="4420"/>
    <n v="2.21"/>
  </r>
  <r>
    <d v="2021-10-13T00:00:00"/>
    <n v="40768"/>
    <s v="JO"/>
    <n v="86"/>
    <x v="0"/>
    <n v="5820"/>
    <n v="2.91"/>
  </r>
  <r>
    <d v="2021-10-14T00:00:00"/>
    <n v="40769"/>
    <s v="BDI"/>
    <m/>
    <x v="3"/>
    <n v="3180"/>
    <n v="1.59"/>
  </r>
  <r>
    <d v="2021-10-14T00:00:00"/>
    <n v="40770"/>
    <s v="BDI"/>
    <m/>
    <x v="3"/>
    <n v="4520"/>
    <n v="2.2599999999999998"/>
  </r>
  <r>
    <d v="2021-10-14T00:00:00"/>
    <n v="40771"/>
    <s v="JO"/>
    <n v="86"/>
    <x v="0"/>
    <n v="6300"/>
    <n v="3.15"/>
  </r>
  <r>
    <d v="2021-10-14T00:00:00"/>
    <n v="40772"/>
    <s v="BDI"/>
    <m/>
    <x v="3"/>
    <n v="1980"/>
    <n v="0.99"/>
  </r>
  <r>
    <d v="2021-10-14T00:00:00"/>
    <n v="40773"/>
    <s v="BDI"/>
    <m/>
    <x v="3"/>
    <n v="2600"/>
    <n v="1.3"/>
  </r>
  <r>
    <d v="2021-10-14T00:00:00"/>
    <n v="40774"/>
    <s v="JO"/>
    <n v="86"/>
    <x v="0"/>
    <n v="5660"/>
    <n v="2.83"/>
  </r>
  <r>
    <d v="2021-10-14T00:00:00"/>
    <n v="40775"/>
    <s v="SV"/>
    <n v="7"/>
    <x v="0"/>
    <n v="4660"/>
    <n v="2.33"/>
  </r>
  <r>
    <d v="2021-10-14T00:00:00"/>
    <n v="40776"/>
    <s v="CH"/>
    <n v="80"/>
    <x v="0"/>
    <n v="4620"/>
    <n v="2.31"/>
  </r>
  <r>
    <d v="2021-10-14T00:00:00"/>
    <n v="40777"/>
    <s v="JB"/>
    <n v="83"/>
    <x v="1"/>
    <n v="7540"/>
    <n v="3.77"/>
  </r>
  <r>
    <d v="2021-10-15T00:00:00"/>
    <n v="40778"/>
    <s v="VP"/>
    <n v="5"/>
    <x v="0"/>
    <n v="5740"/>
    <n v="2.87"/>
  </r>
  <r>
    <d v="2021-10-15T00:00:00"/>
    <n v="40779"/>
    <s v="VP"/>
    <n v="5"/>
    <x v="0"/>
    <n v="6160"/>
    <n v="3.08"/>
  </r>
  <r>
    <d v="2021-10-15T00:00:00"/>
    <n v="40780"/>
    <s v="CH"/>
    <n v="80"/>
    <x v="0"/>
    <n v="4740"/>
    <n v="2.37"/>
  </r>
  <r>
    <d v="2021-10-15T00:00:00"/>
    <n v="40781"/>
    <s v="HB"/>
    <n v="86"/>
    <x v="0"/>
    <n v="7380"/>
    <n v="3.69"/>
  </r>
  <r>
    <d v="2021-10-15T00:00:00"/>
    <n v="40782"/>
    <s v="VP"/>
    <n v="5"/>
    <x v="0"/>
    <n v="1680"/>
    <n v="0.84"/>
  </r>
  <r>
    <d v="2021-10-18T00:00:00"/>
    <n v="40783"/>
    <s v="VP"/>
    <n v="5"/>
    <x v="0"/>
    <n v="5820"/>
    <n v="2.91"/>
  </r>
  <r>
    <d v="2021-10-18T00:00:00"/>
    <n v="40784"/>
    <s v="VP"/>
    <n v="5"/>
    <x v="0"/>
    <n v="5560"/>
    <n v="2.78"/>
  </r>
  <r>
    <d v="2021-10-18T00:00:00"/>
    <n v="40785"/>
    <s v="CH"/>
    <n v="80"/>
    <x v="0"/>
    <n v="3600"/>
    <n v="1.8"/>
  </r>
  <r>
    <d v="2021-10-18T00:00:00"/>
    <n v="40786"/>
    <s v="JO"/>
    <n v="86"/>
    <x v="0"/>
    <n v="6020"/>
    <n v="3.01"/>
  </r>
  <r>
    <d v="2021-10-18T00:00:00"/>
    <n v="40787"/>
    <s v="VP"/>
    <n v="5"/>
    <x v="0"/>
    <n v="5840"/>
    <n v="2.92"/>
  </r>
  <r>
    <d v="2021-10-18T00:00:00"/>
    <n v="40788"/>
    <s v="JB"/>
    <n v="84"/>
    <x v="1"/>
    <n v="6500"/>
    <n v="3.25"/>
  </r>
  <r>
    <d v="2021-10-19T00:00:00"/>
    <n v="40789"/>
    <s v="JB"/>
    <n v="82"/>
    <x v="1"/>
    <n v="5880"/>
    <n v="2.94"/>
  </r>
  <r>
    <d v="2021-10-19T00:00:00"/>
    <n v="40790"/>
    <s v="CH"/>
    <n v="80"/>
    <x v="0"/>
    <n v="3320"/>
    <n v="1.66"/>
  </r>
  <r>
    <d v="2021-10-19T00:00:00"/>
    <n v="40791"/>
    <s v="HB"/>
    <n v="86"/>
    <x v="0"/>
    <n v="5740"/>
    <n v="2.87"/>
  </r>
  <r>
    <d v="2021-10-20T00:00:00"/>
    <n v="40792"/>
    <s v="VP"/>
    <n v="5"/>
    <x v="0"/>
    <n v="8660"/>
    <n v="4.33"/>
  </r>
  <r>
    <d v="2021-10-20T00:00:00"/>
    <n v="40793"/>
    <s v="JB"/>
    <n v="2"/>
    <x v="1"/>
    <n v="880"/>
    <n v="0.44"/>
  </r>
  <r>
    <d v="2021-10-20T00:00:00"/>
    <n v="40794"/>
    <s v="HB"/>
    <n v="86"/>
    <x v="0"/>
    <n v="4900"/>
    <n v="2.4500000000000002"/>
  </r>
  <r>
    <d v="2021-10-20T00:00:00"/>
    <n v="40795"/>
    <s v="SV"/>
    <n v="7"/>
    <x v="0"/>
    <n v="4880"/>
    <n v="2.44"/>
  </r>
  <r>
    <d v="2021-10-20T00:00:00"/>
    <n v="40796"/>
    <s v="JB"/>
    <n v="80"/>
    <x v="1"/>
    <n v="4380"/>
    <n v="2.19"/>
  </r>
  <r>
    <d v="2021-10-20T00:00:00"/>
    <n v="40797"/>
    <s v="JO"/>
    <n v="86"/>
    <x v="0"/>
    <n v="5880"/>
    <n v="2.94"/>
  </r>
  <r>
    <d v="2021-10-21T00:00:00"/>
    <n v="40798"/>
    <m/>
    <s v="BDI"/>
    <x v="3"/>
    <n v="4520"/>
    <n v="2.2599999999999998"/>
  </r>
  <r>
    <d v="2021-10-21T00:00:00"/>
    <n v="40799"/>
    <m/>
    <s v="BDI"/>
    <x v="3"/>
    <n v="5180"/>
    <n v="2.59"/>
  </r>
  <r>
    <d v="2021-10-21T00:00:00"/>
    <n v="40800"/>
    <s v="JO"/>
    <n v="86"/>
    <x v="0"/>
    <n v="6740"/>
    <n v="3.37"/>
  </r>
  <r>
    <d v="2021-10-21T00:00:00"/>
    <n v="40801"/>
    <m/>
    <s v="BDI"/>
    <x v="3"/>
    <n v="3700"/>
    <n v="1.85"/>
  </r>
  <r>
    <d v="2021-10-21T00:00:00"/>
    <n v="40802"/>
    <m/>
    <s v="BDI"/>
    <x v="3"/>
    <n v="3800"/>
    <n v="1.9"/>
  </r>
  <r>
    <d v="2021-10-21T00:00:00"/>
    <n v="40803"/>
    <s v="JO"/>
    <n v="86"/>
    <x v="0"/>
    <n v="5640"/>
    <n v="2.82"/>
  </r>
  <r>
    <d v="2021-10-21T00:00:00"/>
    <n v="40804"/>
    <s v="SV"/>
    <n v="7"/>
    <x v="0"/>
    <n v="4980"/>
    <n v="2.4900000000000002"/>
  </r>
  <r>
    <d v="2021-10-21T00:00:00"/>
    <n v="40805"/>
    <s v="CH"/>
    <n v="80"/>
    <x v="0"/>
    <n v="4620"/>
    <n v="2.31"/>
  </r>
  <r>
    <d v="2021-10-21T00:00:00"/>
    <n v="40806"/>
    <s v="JB"/>
    <n v="84"/>
    <x v="1"/>
    <n v="4080"/>
    <n v="2.04"/>
  </r>
  <r>
    <d v="2021-10-22T00:00:00"/>
    <n v="40807"/>
    <s v="SV"/>
    <n v="7"/>
    <x v="0"/>
    <n v="5100"/>
    <n v="2.5499999999999998"/>
  </r>
  <r>
    <d v="2021-10-22T00:00:00"/>
    <n v="40808"/>
    <s v="SV"/>
    <n v="7"/>
    <x v="0"/>
    <n v="6180"/>
    <n v="3.09"/>
  </r>
  <r>
    <d v="2021-10-22T00:00:00"/>
    <n v="40809"/>
    <s v="CH"/>
    <n v="80"/>
    <x v="0"/>
    <n v="4580"/>
    <n v="2.29"/>
  </r>
  <r>
    <d v="2021-10-22T00:00:00"/>
    <n v="40810"/>
    <s v="VP"/>
    <n v="5"/>
    <x v="0"/>
    <n v="2060"/>
    <n v="1.03"/>
  </r>
  <r>
    <d v="2021-10-22T00:00:00"/>
    <n v="40811"/>
    <s v="HB"/>
    <n v="86"/>
    <x v="0"/>
    <n v="7420"/>
    <n v="3.71"/>
  </r>
  <r>
    <d v="2021-10-22T00:00:00"/>
    <n v="40812"/>
    <s v="VP"/>
    <n v="5"/>
    <x v="0"/>
    <n v="12380"/>
    <n v="6.19"/>
  </r>
  <r>
    <d v="2021-10-25T00:00:00"/>
    <n v="40813"/>
    <s v="CH"/>
    <n v="80"/>
    <x v="0"/>
    <n v="5700"/>
    <n v="2.85"/>
  </r>
  <r>
    <d v="2021-10-25T00:00:00"/>
    <n v="40814"/>
    <s v="VP"/>
    <n v="5"/>
    <x v="0"/>
    <n v="9140"/>
    <n v="4.57"/>
  </r>
  <r>
    <d v="2021-10-25T00:00:00"/>
    <n v="40815"/>
    <s v="JB"/>
    <n v="83"/>
    <x v="1"/>
    <n v="7280"/>
    <n v="3.64"/>
  </r>
  <r>
    <d v="2021-10-25T00:00:00"/>
    <n v="40816"/>
    <s v="JO"/>
    <n v="86"/>
    <x v="0"/>
    <n v="6720"/>
    <n v="3.36"/>
  </r>
  <r>
    <d v="2021-10-26T00:00:00"/>
    <n v="40817"/>
    <s v="CH"/>
    <n v="80"/>
    <x v="0"/>
    <n v="3180"/>
    <n v="1.59"/>
  </r>
  <r>
    <d v="2021-10-26T00:00:00"/>
    <n v="40818"/>
    <s v="HB"/>
    <n v="86"/>
    <x v="0"/>
    <n v="5900"/>
    <n v="2.95"/>
  </r>
  <r>
    <d v="2021-10-26T00:00:00"/>
    <n v="40819"/>
    <s v="JB"/>
    <n v="81"/>
    <x v="1"/>
    <n v="2840"/>
    <n v="1.42"/>
  </r>
  <r>
    <d v="2021-10-27T00:00:00"/>
    <n v="40820"/>
    <s v="VP"/>
    <n v="5"/>
    <x v="0"/>
    <n v="10800"/>
    <n v="5.4"/>
  </r>
  <r>
    <d v="2021-10-27T00:00:00"/>
    <n v="40821"/>
    <s v="HB"/>
    <n v="86"/>
    <x v="0"/>
    <n v="4060"/>
    <n v="2.0299999999999998"/>
  </r>
  <r>
    <d v="2021-10-27T00:00:00"/>
    <n v="40822"/>
    <s v="VP"/>
    <n v="5"/>
    <x v="0"/>
    <n v="4260"/>
    <n v="2.13"/>
  </r>
  <r>
    <d v="2021-10-27T00:00:00"/>
    <n v="40823"/>
    <s v="JO"/>
    <n v="86"/>
    <x v="0"/>
    <n v="5820"/>
    <n v="2.91"/>
  </r>
  <r>
    <d v="2021-10-28T00:00:00"/>
    <n v="40824"/>
    <s v="JO"/>
    <n v="86"/>
    <x v="0"/>
    <n v="7020"/>
    <n v="3.51"/>
  </r>
  <r>
    <d v="2021-10-28T00:00:00"/>
    <n v="40825"/>
    <s v="JO"/>
    <n v="86"/>
    <x v="0"/>
    <n v="6020"/>
    <n v="3.01"/>
  </r>
  <r>
    <d v="2021-10-28T00:00:00"/>
    <n v="40826"/>
    <s v="SV"/>
    <n v="7"/>
    <x v="0"/>
    <n v="5940"/>
    <n v="2.97"/>
  </r>
  <r>
    <d v="2021-10-28T00:00:00"/>
    <n v="40827"/>
    <s v="CH"/>
    <n v="80"/>
    <x v="0"/>
    <n v="4600"/>
    <n v="2.2999999999999998"/>
  </r>
  <r>
    <d v="2021-10-28T00:00:00"/>
    <n v="40828"/>
    <s v="JB"/>
    <n v="83"/>
    <x v="1"/>
    <n v="7040"/>
    <n v="3.52"/>
  </r>
  <r>
    <d v="2021-10-29T00:00:00"/>
    <n v="40829"/>
    <s v="VP"/>
    <n v="5"/>
    <x v="0"/>
    <n v="4940"/>
    <n v="2.4700000000000002"/>
  </r>
  <r>
    <d v="2021-10-29T00:00:00"/>
    <n v="40830"/>
    <s v="VP"/>
    <n v="5"/>
    <x v="0"/>
    <n v="6200"/>
    <n v="3.1"/>
  </r>
  <r>
    <d v="2021-10-29T00:00:00"/>
    <n v="40831"/>
    <s v="CH"/>
    <n v="80"/>
    <x v="0"/>
    <n v="4280"/>
    <n v="2.14"/>
  </r>
  <r>
    <d v="2021-10-29T00:00:00"/>
    <n v="40832"/>
    <s v="HB"/>
    <n v="86"/>
    <x v="0"/>
    <n v="7020"/>
    <n v="3.51"/>
  </r>
  <r>
    <d v="2021-10-29T00:00:00"/>
    <n v="40833"/>
    <s v="SV"/>
    <n v="5"/>
    <x v="0"/>
    <n v="1320"/>
    <n v="0.66"/>
  </r>
  <r>
    <d v="2021-11-01T00:00:00"/>
    <n v="40834"/>
    <s v="VP"/>
    <n v="5"/>
    <x v="0"/>
    <n v="5380"/>
    <n v="2.69"/>
  </r>
  <r>
    <d v="2021-11-01T00:00:00"/>
    <n v="40835"/>
    <s v="VP"/>
    <n v="5"/>
    <x v="0"/>
    <n v="6280"/>
    <n v="3.14"/>
  </r>
  <r>
    <d v="2021-11-01T00:00:00"/>
    <n v="40836"/>
    <s v="CH"/>
    <n v="80"/>
    <x v="0"/>
    <n v="4480"/>
    <n v="2.2400000000000002"/>
  </r>
  <r>
    <d v="2021-11-01T00:00:00"/>
    <n v="40837"/>
    <s v="JB"/>
    <n v="84"/>
    <x v="1"/>
    <n v="6440"/>
    <n v="3.22"/>
  </r>
  <r>
    <d v="2021-11-01T00:00:00"/>
    <n v="40838"/>
    <s v="VP"/>
    <n v="5"/>
    <x v="2"/>
    <n v="5280"/>
    <n v="2.64"/>
  </r>
  <r>
    <d v="2021-11-02T00:00:00"/>
    <n v="40839"/>
    <s v="JB"/>
    <n v="82"/>
    <x v="1"/>
    <n v="6080"/>
    <n v="3.04"/>
  </r>
  <r>
    <d v="2021-11-02T00:00:00"/>
    <n v="40840"/>
    <s v="CH"/>
    <n v="80"/>
    <x v="0"/>
    <n v="3520"/>
    <n v="1.76"/>
  </r>
  <r>
    <d v="2021-11-02T00:00:00"/>
    <n v="40841"/>
    <s v="HB"/>
    <n v="86"/>
    <x v="0"/>
    <n v="5760"/>
    <n v="2.88"/>
  </r>
  <r>
    <d v="2021-11-03T00:00:00"/>
    <n v="40842"/>
    <s v="VP"/>
    <n v="5"/>
    <x v="0"/>
    <n v="9540"/>
    <n v="4.7699999999999996"/>
  </r>
  <r>
    <d v="2021-11-03T00:00:00"/>
    <n v="40843"/>
    <s v="PM"/>
    <n v="2"/>
    <x v="1"/>
    <n v="780"/>
    <n v="0.39"/>
  </r>
  <r>
    <d v="2021-11-03T00:00:00"/>
    <n v="40844"/>
    <s v="HB"/>
    <n v="86"/>
    <x v="0"/>
    <n v="4180"/>
    <n v="2.09"/>
  </r>
  <r>
    <d v="2021-11-03T00:00:00"/>
    <n v="40845"/>
    <s v="VP"/>
    <n v="5"/>
    <x v="0"/>
    <n v="5380"/>
    <n v="2.69"/>
  </r>
  <r>
    <d v="2021-11-03T00:00:00"/>
    <n v="40846"/>
    <s v="JB"/>
    <n v="80"/>
    <x v="1"/>
    <n v="4340"/>
    <n v="2.17"/>
  </r>
  <r>
    <d v="2021-11-03T00:00:00"/>
    <n v="40847"/>
    <s v="JO"/>
    <n v="86"/>
    <x v="0"/>
    <n v="5460"/>
    <n v="2.73"/>
  </r>
  <r>
    <d v="2021-11-04T00:00:00"/>
    <n v="40848"/>
    <s v="JO"/>
    <n v="86"/>
    <x v="0"/>
    <n v="7380"/>
    <n v="3.69"/>
  </r>
  <r>
    <d v="2021-11-04T00:00:00"/>
    <n v="40849"/>
    <s v="JO"/>
    <n v="86"/>
    <x v="0"/>
    <n v="6360"/>
    <n v="3.18"/>
  </r>
  <r>
    <d v="2021-11-04T00:00:00"/>
    <n v="40850"/>
    <s v="JB"/>
    <n v="84"/>
    <x v="1"/>
    <n v="4360"/>
    <n v="2.1800000000000002"/>
  </r>
  <r>
    <d v="2021-11-04T00:00:00"/>
    <n v="40851"/>
    <s v="CH"/>
    <n v="80"/>
    <x v="0"/>
    <n v="4620"/>
    <n v="2.31"/>
  </r>
  <r>
    <d v="2021-11-04T00:00:00"/>
    <n v="40852"/>
    <s v="SV"/>
    <n v="7"/>
    <x v="0"/>
    <n v="5540"/>
    <n v="2.77"/>
  </r>
  <r>
    <d v="2021-11-05T00:00:00"/>
    <n v="40853"/>
    <s v="VP"/>
    <n v="5"/>
    <x v="0"/>
    <n v="5520"/>
    <n v="2.76"/>
  </r>
  <r>
    <d v="2021-11-05T00:00:00"/>
    <n v="40854"/>
    <s v="VP"/>
    <n v="5"/>
    <x v="0"/>
    <n v="5320"/>
    <n v="2.66"/>
  </r>
  <r>
    <d v="2021-11-05T00:00:00"/>
    <n v="40855"/>
    <s v="CH"/>
    <n v="80"/>
    <x v="0"/>
    <n v="4600"/>
    <n v="2.2999999999999998"/>
  </r>
  <r>
    <d v="2021-11-05T00:00:00"/>
    <n v="40856"/>
    <s v="HB"/>
    <n v="86"/>
    <x v="0"/>
    <n v="7240"/>
    <n v="3.62"/>
  </r>
  <r>
    <d v="2021-11-05T00:00:00"/>
    <n v="40857"/>
    <s v="VP"/>
    <n v="5"/>
    <x v="0"/>
    <n v="1700"/>
    <n v="0.85"/>
  </r>
  <r>
    <d v="2021-11-08T00:00:00"/>
    <n v="40858"/>
    <s v="JB"/>
    <n v="3"/>
    <x v="0"/>
    <n v="3640"/>
    <n v="1.82"/>
  </r>
  <r>
    <d v="2021-11-08T00:00:00"/>
    <n v="40859"/>
    <s v="VP"/>
    <n v="5"/>
    <x v="0"/>
    <n v="10340"/>
    <n v="5.17"/>
  </r>
  <r>
    <d v="2021-11-08T00:00:00"/>
    <n v="40860"/>
    <s v="CH"/>
    <n v="80"/>
    <x v="0"/>
    <n v="5860"/>
    <n v="1.93"/>
  </r>
  <r>
    <d v="2021-11-08T00:00:00"/>
    <n v="40861"/>
    <s v="JB"/>
    <n v="83"/>
    <x v="1"/>
    <n v="7580"/>
    <n v="3.79"/>
  </r>
  <r>
    <d v="2021-11-08T00:00:00"/>
    <n v="40862"/>
    <s v="JO"/>
    <n v="86"/>
    <x v="0"/>
    <n v="7000"/>
    <n v="3.5"/>
  </r>
  <r>
    <d v="2021-11-08T00:00:00"/>
    <n v="40863"/>
    <s v="VP"/>
    <n v="5"/>
    <x v="0"/>
    <n v="7440"/>
    <n v="3.72"/>
  </r>
  <r>
    <d v="2021-11-09T00:00:00"/>
    <n v="40864"/>
    <s v="HB"/>
    <n v="86"/>
    <x v="0"/>
    <n v="5680"/>
    <n v="2.84"/>
  </r>
  <r>
    <d v="2021-11-09T00:00:00"/>
    <n v="40865"/>
    <s v="CH"/>
    <n v="80"/>
    <x v="0"/>
    <n v="3460"/>
    <n v="1.73"/>
  </r>
  <r>
    <d v="2021-11-09T00:00:00"/>
    <n v="40866"/>
    <s v="JB"/>
    <n v="83"/>
    <x v="1"/>
    <n v="2880"/>
    <n v="1.44"/>
  </r>
  <r>
    <d v="2021-11-10T00:00:00"/>
    <n v="40867"/>
    <s v="JO"/>
    <n v="86"/>
    <x v="0"/>
    <n v="9820"/>
    <n v="4.91"/>
  </r>
  <r>
    <d v="2021-11-10T00:00:00"/>
    <n v="40868"/>
    <s v="HB"/>
    <n v="86"/>
    <x v="0"/>
    <n v="3560"/>
    <n v="1.78"/>
  </r>
  <r>
    <d v="2021-11-10T00:00:00"/>
    <n v="40869"/>
    <s v="HB"/>
    <n v="86"/>
    <x v="0"/>
    <n v="4300"/>
    <n v="2.15"/>
  </r>
  <r>
    <d v="2021-11-10T00:00:00"/>
    <n v="40870"/>
    <s v="JO"/>
    <n v="86"/>
    <x v="0"/>
    <n v="5680"/>
    <n v="2.93"/>
  </r>
  <r>
    <d v="2021-11-11T00:00:00"/>
    <n v="40871"/>
    <m/>
    <s v="BDI"/>
    <x v="3"/>
    <n v="6940"/>
    <n v="3.47"/>
  </r>
  <r>
    <d v="2021-11-11T00:00:00"/>
    <n v="40872"/>
    <m/>
    <s v="BDI"/>
    <x v="3"/>
    <n v="5960"/>
    <n v="2.98"/>
  </r>
  <r>
    <d v="2021-11-11T00:00:00"/>
    <n v="40873"/>
    <m/>
    <s v="BDI"/>
    <x v="3"/>
    <n v="6060"/>
    <n v="3.03"/>
  </r>
  <r>
    <d v="2021-11-11T00:00:00"/>
    <n v="40874"/>
    <m/>
    <s v="BDI"/>
    <x v="3"/>
    <n v="6280"/>
    <n v="3.14"/>
  </r>
  <r>
    <d v="2021-11-11T00:00:00"/>
    <n v="40875"/>
    <s v="BB"/>
    <n v="7"/>
    <x v="0"/>
    <n v="5200"/>
    <n v="2.6"/>
  </r>
  <r>
    <d v="2021-11-11T00:00:00"/>
    <n v="40876"/>
    <s v="CH"/>
    <n v="80"/>
    <x v="0"/>
    <n v="4660"/>
    <n v="2.33"/>
  </r>
  <r>
    <d v="2021-11-11T00:00:00"/>
    <n v="40877"/>
    <s v="HB"/>
    <n v="86"/>
    <x v="0"/>
    <n v="6180"/>
    <n v="3.09"/>
  </r>
  <r>
    <d v="2021-11-11T00:00:00"/>
    <n v="40878"/>
    <s v="JB"/>
    <n v="83"/>
    <x v="1"/>
    <n v="8320"/>
    <n v="4.16"/>
  </r>
  <r>
    <d v="2021-11-12T00:00:00"/>
    <n v="40879"/>
    <s v="VP"/>
    <n v="5"/>
    <x v="0"/>
    <n v="8560"/>
    <n v="4.29"/>
  </r>
  <r>
    <d v="2021-11-12T00:00:00"/>
    <n v="40880"/>
    <s v="RC"/>
    <n v="86"/>
    <x v="0"/>
    <n v="3400"/>
    <n v="1.7"/>
  </r>
  <r>
    <d v="2021-11-12T00:00:00"/>
    <n v="40881"/>
    <s v="VP"/>
    <n v="5"/>
    <x v="0"/>
    <n v="5300"/>
    <n v="2.65"/>
  </r>
  <r>
    <d v="2021-11-12T00:00:00"/>
    <n v="40882"/>
    <s v="CH"/>
    <n v="80"/>
    <x v="0"/>
    <n v="4340"/>
    <n v="2.17"/>
  </r>
  <r>
    <d v="2021-11-12T00:00:00"/>
    <n v="40883"/>
    <s v="VP"/>
    <n v="5"/>
    <x v="0"/>
    <n v="2260"/>
    <n v="1.1299999999999999"/>
  </r>
  <r>
    <d v="2021-11-12T00:00:00"/>
    <n v="40884"/>
    <s v="HB"/>
    <n v="86"/>
    <x v="0"/>
    <n v="6960"/>
    <n v="3.48"/>
  </r>
  <r>
    <d v="2021-11-15T00:00:00"/>
    <n v="40885"/>
    <s v="JB"/>
    <n v="3"/>
    <x v="0"/>
    <n v="4100"/>
    <n v="2.0499999999999998"/>
  </r>
  <r>
    <d v="2021-11-15T00:00:00"/>
    <n v="40886"/>
    <s v="VP"/>
    <n v="5"/>
    <x v="0"/>
    <n v="11900"/>
    <n v="5.95"/>
  </r>
  <r>
    <d v="2021-11-15T00:00:00"/>
    <n v="40887"/>
    <s v="CH"/>
    <n v="80"/>
    <x v="0"/>
    <n v="3340"/>
    <n v="1.67"/>
  </r>
  <r>
    <d v="2021-11-15T00:00:00"/>
    <n v="40888"/>
    <s v="JB"/>
    <n v="84"/>
    <x v="1"/>
    <n v="6060"/>
    <n v="3.03"/>
  </r>
  <r>
    <d v="2021-11-15T00:00:00"/>
    <n v="40889"/>
    <s v="VP"/>
    <n v="5"/>
    <x v="0"/>
    <n v="7500"/>
    <n v="3.75"/>
  </r>
  <r>
    <d v="2021-11-15T00:00:00"/>
    <n v="40890"/>
    <s v="RC"/>
    <n v="86"/>
    <x v="0"/>
    <n v="6520"/>
    <n v="3.26"/>
  </r>
  <r>
    <d v="2021-11-16T00:00:00"/>
    <n v="40891"/>
    <s v="HB"/>
    <n v="86"/>
    <x v="0"/>
    <n v="5340"/>
    <n v="2.67"/>
  </r>
  <r>
    <d v="2021-11-16T00:00:00"/>
    <n v="40892"/>
    <s v="JB"/>
    <n v="82"/>
    <x v="1"/>
    <n v="6380"/>
    <n v="3.19"/>
  </r>
  <r>
    <d v="2021-11-16T00:00:00"/>
    <n v="40893"/>
    <s v="CH"/>
    <n v="80"/>
    <x v="0"/>
    <n v="3660"/>
    <n v="1.83"/>
  </r>
  <r>
    <d v="2021-11-17T00:00:00"/>
    <n v="40894"/>
    <s v="JB"/>
    <n v="80"/>
    <x v="1"/>
    <n v="680"/>
    <n v="0.34"/>
  </r>
  <r>
    <d v="2021-11-17T00:00:00"/>
    <n v="40895"/>
    <s v="VP"/>
    <n v="5"/>
    <x v="0"/>
    <n v="9500"/>
    <n v="4.75"/>
  </r>
  <r>
    <d v="2021-11-17T00:00:00"/>
    <n v="40896"/>
    <s v="HB"/>
    <n v="86"/>
    <x v="0"/>
    <n v="4240"/>
    <n v="2.12"/>
  </r>
  <r>
    <d v="2021-11-17T00:00:00"/>
    <n v="40897"/>
    <s v="VP"/>
    <n v="5"/>
    <x v="0"/>
    <n v="5220"/>
    <n v="2.61"/>
  </r>
  <r>
    <d v="2021-11-17T00:00:00"/>
    <n v="40898"/>
    <s v="JB"/>
    <n v="80"/>
    <x v="1"/>
    <n v="4660"/>
    <n v="2.33"/>
  </r>
  <r>
    <d v="2021-11-17T00:00:00"/>
    <n v="40899"/>
    <s v="RC"/>
    <n v="86"/>
    <x v="0"/>
    <n v="3560"/>
    <n v="1.78"/>
  </r>
  <r>
    <d v="2021-11-18T00:00:00"/>
    <n v="40900"/>
    <s v="BDI"/>
    <m/>
    <x v="3"/>
    <n v="4740"/>
    <n v="2.37"/>
  </r>
  <r>
    <d v="2021-11-18T00:00:00"/>
    <n v="40901"/>
    <s v="BDI"/>
    <m/>
    <x v="3"/>
    <n v="4880"/>
    <n v="2.44"/>
  </r>
  <r>
    <d v="2021-11-18T00:00:00"/>
    <n v="40902"/>
    <s v="RC"/>
    <n v="86"/>
    <x v="0"/>
    <n v="6680"/>
    <n v="3.34"/>
  </r>
  <r>
    <d v="2021-11-18T00:00:00"/>
    <n v="40903"/>
    <s v="BDI"/>
    <m/>
    <x v="3"/>
    <n v="2280"/>
    <n v="1.1399999999999999"/>
  </r>
  <r>
    <d v="2021-11-18T00:00:00"/>
    <n v="40904"/>
    <s v="BDI"/>
    <m/>
    <x v="3"/>
    <n v="3480"/>
    <n v="1.74"/>
  </r>
  <r>
    <d v="2021-11-18T00:00:00"/>
    <n v="40905"/>
    <s v="RS"/>
    <n v="7"/>
    <x v="0"/>
    <n v="5220"/>
    <n v="2.61"/>
  </r>
  <r>
    <d v="2021-11-18T00:00:00"/>
    <n v="40906"/>
    <s v="RC"/>
    <n v="86"/>
    <x v="0"/>
    <n v="4960"/>
    <n v="2.48"/>
  </r>
  <r>
    <d v="2021-11-18T00:00:00"/>
    <n v="40907"/>
    <s v="JB"/>
    <n v="84"/>
    <x v="1"/>
    <n v="4360"/>
    <n v="2.1800000000000002"/>
  </r>
  <r>
    <d v="2021-11-18T00:00:00"/>
    <n v="40908"/>
    <s v="CH"/>
    <n v="80"/>
    <x v="0"/>
    <n v="4780"/>
    <n v="2.39"/>
  </r>
  <r>
    <d v="2021-11-19T00:00:00"/>
    <n v="40909"/>
    <s v="VP"/>
    <n v="5"/>
    <x v="0"/>
    <n v="6060"/>
    <n v="3.03"/>
  </r>
  <r>
    <d v="2021-11-19T00:00:00"/>
    <n v="40910"/>
    <s v="VP"/>
    <n v="5"/>
    <x v="0"/>
    <n v="5820"/>
    <n v="2.91"/>
  </r>
  <r>
    <d v="2021-11-19T00:00:00"/>
    <n v="40911"/>
    <s v="CH"/>
    <n v="80"/>
    <x v="0"/>
    <n v="4440"/>
    <n v="2.2200000000000002"/>
  </r>
  <r>
    <d v="2021-11-19T00:00:00"/>
    <n v="40912"/>
    <s v="HB"/>
    <n v="86"/>
    <x v="0"/>
    <n v="6880"/>
    <n v="3.44"/>
  </r>
  <r>
    <d v="2021-11-19T00:00:00"/>
    <n v="40913"/>
    <s v="VP"/>
    <n v="5"/>
    <x v="0"/>
    <n v="1100"/>
    <n v="0.55000000000000004"/>
  </r>
  <r>
    <d v="2021-11-22T00:00:00"/>
    <n v="40914"/>
    <s v="JB"/>
    <n v="3"/>
    <x v="0"/>
    <n v="4000"/>
    <n v="2"/>
  </r>
  <r>
    <d v="2021-11-22T00:00:00"/>
    <n v="40915"/>
    <s v="VP"/>
    <n v="5"/>
    <x v="0"/>
    <n v="11500"/>
    <n v="5.75"/>
  </r>
  <r>
    <d v="2021-11-22T00:00:00"/>
    <n v="40916"/>
    <s v="CH"/>
    <n v="80"/>
    <x v="0"/>
    <n v="5220"/>
    <n v="2.61"/>
  </r>
  <r>
    <d v="2021-11-22T00:00:00"/>
    <n v="40917"/>
    <s v="JB"/>
    <n v="83"/>
    <x v="1"/>
    <n v="7620"/>
    <n v="3.81"/>
  </r>
  <r>
    <d v="2021-11-22T00:00:00"/>
    <n v="40918"/>
    <s v="VP"/>
    <n v="5"/>
    <x v="0"/>
    <n v="8980"/>
    <n v="4.49"/>
  </r>
  <r>
    <d v="2021-11-22T00:00:00"/>
    <n v="40919"/>
    <s v="JO"/>
    <n v="86"/>
    <x v="0"/>
    <n v="7900"/>
    <n v="3.99"/>
  </r>
  <r>
    <d v="2021-11-23T00:00:00"/>
    <n v="40920"/>
    <s v="CH"/>
    <n v="80"/>
    <x v="0"/>
    <n v="3800"/>
    <n v="1.9"/>
  </r>
  <r>
    <d v="2021-11-23T00:00:00"/>
    <n v="40921"/>
    <s v="HB"/>
    <n v="86"/>
    <x v="0"/>
    <n v="6200"/>
    <n v="3.1"/>
  </r>
  <r>
    <d v="2021-11-23T00:00:00"/>
    <n v="40922"/>
    <s v="JB"/>
    <n v="81"/>
    <x v="1"/>
    <n v="3080"/>
    <n v="1.54"/>
  </r>
  <r>
    <d v="2021-11-24T00:00:00"/>
    <n v="40923"/>
    <s v="VP"/>
    <n v="5"/>
    <x v="0"/>
    <n v="9920"/>
    <n v="4.96"/>
  </r>
  <r>
    <d v="2021-11-24T00:00:00"/>
    <n v="40924"/>
    <s v="HB"/>
    <n v="86"/>
    <x v="0"/>
    <n v="4460"/>
    <n v="2.23"/>
  </r>
  <r>
    <d v="2021-11-24T00:00:00"/>
    <n v="40925"/>
    <s v="VP"/>
    <n v="5"/>
    <x v="0"/>
    <n v="4080"/>
    <n v="2.04"/>
  </r>
  <r>
    <d v="2021-11-24T00:00:00"/>
    <n v="40926"/>
    <s v="JO"/>
    <n v="86"/>
    <x v="0"/>
    <n v="5840"/>
    <n v="2.92"/>
  </r>
  <r>
    <d v="2021-11-26T00:00:00"/>
    <n v="40927"/>
    <s v="JO"/>
    <n v="86"/>
    <x v="0"/>
    <n v="6280"/>
    <n v="3.14"/>
  </r>
  <r>
    <d v="2021-11-26T00:00:00"/>
    <n v="40928"/>
    <s v="BDI"/>
    <m/>
    <x v="3"/>
    <n v="4300"/>
    <n v="2.15"/>
  </r>
  <r>
    <d v="2021-11-26T00:00:00"/>
    <n v="40929"/>
    <s v="JO"/>
    <n v="86"/>
    <x v="0"/>
    <n v="5720"/>
    <n v="2.86"/>
  </r>
  <r>
    <d v="2021-11-26T00:00:00"/>
    <n v="40930"/>
    <s v="BDI"/>
    <m/>
    <x v="3"/>
    <n v="6560"/>
    <n v="3.28"/>
  </r>
  <r>
    <d v="2021-11-26T00:00:00"/>
    <n v="40931"/>
    <s v="BDI"/>
    <m/>
    <x v="3"/>
    <n v="2240"/>
    <n v="1.1200000000000001"/>
  </r>
  <r>
    <d v="2021-11-26T00:00:00"/>
    <n v="40932"/>
    <s v="CH"/>
    <n v="80"/>
    <x v="0"/>
    <n v="3320"/>
    <n v="1.66"/>
  </r>
  <r>
    <d v="2021-11-26T00:00:00"/>
    <n v="40933"/>
    <s v="VP"/>
    <n v="5"/>
    <x v="0"/>
    <n v="1400"/>
    <n v="0.7"/>
  </r>
  <r>
    <d v="2021-11-26T00:00:00"/>
    <n v="40934"/>
    <s v="SV"/>
    <n v="7"/>
    <x v="0"/>
    <n v="4980"/>
    <n v="2.4900000000000002"/>
  </r>
  <r>
    <d v="2021-11-26T00:00:00"/>
    <n v="40935"/>
    <s v="VOID"/>
    <m/>
    <x v="4"/>
    <m/>
    <m/>
  </r>
  <r>
    <d v="2021-11-26T00:00:00"/>
    <n v="40936"/>
    <s v="JB"/>
    <n v="83"/>
    <x v="1"/>
    <n v="7440"/>
    <n v="3.72"/>
  </r>
  <r>
    <d v="2021-11-27T00:00:00"/>
    <n v="40937"/>
    <s v="VP"/>
    <n v="5"/>
    <x v="0"/>
    <n v="5960"/>
    <n v="2.98"/>
  </r>
  <r>
    <d v="2021-11-27T00:00:00"/>
    <n v="40938"/>
    <s v="HB"/>
    <n v="86"/>
    <x v="0"/>
    <n v="5780"/>
    <n v="2.89"/>
  </r>
  <r>
    <d v="2021-11-27T00:00:00"/>
    <n v="40939"/>
    <s v="VOID"/>
    <m/>
    <x v="4"/>
    <m/>
    <m/>
  </r>
  <r>
    <d v="2021-11-29T00:00:00"/>
    <n v="40940"/>
    <s v="JB"/>
    <n v="3"/>
    <x v="0"/>
    <n v="2660"/>
    <n v="1.33"/>
  </r>
  <r>
    <d v="2021-11-29T00:00:00"/>
    <n v="40941"/>
    <s v="VP"/>
    <n v="5"/>
    <x v="0"/>
    <n v="8040"/>
    <n v="4.0199999999999996"/>
  </r>
  <r>
    <d v="2021-11-29T00:00:00"/>
    <n v="40942"/>
    <s v="CH"/>
    <n v="80"/>
    <x v="0"/>
    <n v="2400"/>
    <n v="1.2"/>
  </r>
  <r>
    <d v="2021-11-29T00:00:00"/>
    <n v="40943"/>
    <s v="VP"/>
    <n v="5"/>
    <x v="0"/>
    <n v="5380"/>
    <n v="2.69"/>
  </r>
  <r>
    <d v="2021-11-29T00:00:00"/>
    <n v="40944"/>
    <s v="JO"/>
    <n v="86"/>
    <x v="0"/>
    <n v="6400"/>
    <n v="3.2"/>
  </r>
  <r>
    <d v="2021-11-29T00:00:00"/>
    <n v="40945"/>
    <s v="JB"/>
    <n v="84"/>
    <x v="1"/>
    <n v="7840"/>
    <n v="3.92"/>
  </r>
  <r>
    <d v="2021-11-30T00:00:00"/>
    <n v="40946"/>
    <s v="JB"/>
    <n v="82"/>
    <x v="1"/>
    <n v="6980"/>
    <n v="3.49"/>
  </r>
  <r>
    <d v="2021-11-30T00:00:00"/>
    <n v="40947"/>
    <s v="CH"/>
    <n v="80"/>
    <x v="0"/>
    <n v="3080"/>
    <n v="1.54"/>
  </r>
  <r>
    <d v="2021-11-30T00:00:00"/>
    <n v="40948"/>
    <s v="HB"/>
    <n v="86"/>
    <x v="0"/>
    <n v="4060"/>
    <n v="2.0299999999999998"/>
  </r>
  <r>
    <d v="2021-12-01T00:00:00"/>
    <n v="40949"/>
    <s v="JB"/>
    <n v="2"/>
    <x v="1"/>
    <n v="760"/>
    <n v="0.38"/>
  </r>
  <r>
    <d v="2021-12-01T00:00:00"/>
    <n v="40950"/>
    <s v="VP"/>
    <n v="5"/>
    <x v="0"/>
    <n v="8140"/>
    <n v="4.07"/>
  </r>
  <r>
    <d v="2021-12-01T00:00:00"/>
    <n v="40951"/>
    <s v="HB"/>
    <n v="86"/>
    <x v="0"/>
    <n v="3420"/>
    <n v="1.71"/>
  </r>
  <r>
    <d v="2021-12-01T00:00:00"/>
    <n v="40952"/>
    <s v="VP"/>
    <n v="5"/>
    <x v="0"/>
    <n v="3580"/>
    <n v="1.79"/>
  </r>
  <r>
    <d v="2021-12-01T00:00:00"/>
    <n v="40953"/>
    <s v="JB"/>
    <n v="80"/>
    <x v="1"/>
    <n v="4660"/>
    <n v="2.33"/>
  </r>
  <r>
    <d v="2021-12-01T00:00:00"/>
    <n v="40954"/>
    <s v="JO"/>
    <n v="86"/>
    <x v="0"/>
    <n v="5060"/>
    <n v="2.5299999999999998"/>
  </r>
  <r>
    <d v="2021-12-02T00:00:00"/>
    <n v="40955"/>
    <s v="JO"/>
    <n v="86"/>
    <x v="0"/>
    <n v="7020"/>
    <n v="3.51"/>
  </r>
  <r>
    <d v="2021-12-02T00:00:00"/>
    <n v="40956"/>
    <s v="JO"/>
    <n v="86"/>
    <x v="0"/>
    <n v="5420"/>
    <n v="2.71"/>
  </r>
  <r>
    <d v="2021-12-02T00:00:00"/>
    <n v="40957"/>
    <s v="CH"/>
    <n v="80"/>
    <x v="0"/>
    <n v="4160"/>
    <n v="2.08"/>
  </r>
  <r>
    <d v="2021-12-02T00:00:00"/>
    <n v="40958"/>
    <s v="JB"/>
    <n v="84"/>
    <x v="1"/>
    <n v="3960"/>
    <n v="1.98"/>
  </r>
  <r>
    <d v="2021-12-02T00:00:00"/>
    <n v="40959"/>
    <s v="SV"/>
    <n v="7"/>
    <x v="0"/>
    <n v="5540"/>
    <n v="2.77"/>
  </r>
  <r>
    <d v="2021-12-03T00:00:00"/>
    <n v="40960"/>
    <s v="VP"/>
    <n v="5"/>
    <x v="0"/>
    <n v="5580"/>
    <n v="2.79"/>
  </r>
  <r>
    <d v="2021-12-03T00:00:00"/>
    <n v="40961"/>
    <s v="VP"/>
    <n v="5"/>
    <x v="0"/>
    <n v="5360"/>
    <n v="2.68"/>
  </r>
  <r>
    <d v="2021-12-03T00:00:00"/>
    <n v="40962"/>
    <s v="HB"/>
    <n v="86"/>
    <x v="0"/>
    <n v="6540"/>
    <n v="3.27"/>
  </r>
  <r>
    <d v="2021-12-03T00:00:00"/>
    <n v="40963"/>
    <s v="VP"/>
    <n v="5"/>
    <x v="0"/>
    <n v="1840"/>
    <n v="0.92"/>
  </r>
  <r>
    <d v="2021-12-06T00:00:00"/>
    <n v="40964"/>
    <s v="VP"/>
    <n v="5"/>
    <x v="0"/>
    <n v="7820"/>
    <n v="3.91"/>
  </r>
  <r>
    <d v="2021-12-06T00:00:00"/>
    <n v="40965"/>
    <s v="JB"/>
    <n v="3"/>
    <x v="0"/>
    <n v="3120"/>
    <n v="1.56"/>
  </r>
  <r>
    <d v="2021-12-06T00:00:00"/>
    <n v="40966"/>
    <s v="VP"/>
    <n v="5"/>
    <x v="0"/>
    <n v="3920"/>
    <n v="1.96"/>
  </r>
  <r>
    <d v="2021-12-06T00:00:00"/>
    <n v="40967"/>
    <s v="CH"/>
    <n v="80"/>
    <x v="0"/>
    <n v="5540"/>
    <n v="2.77"/>
  </r>
  <r>
    <d v="2021-12-06T00:00:00"/>
    <n v="40968"/>
    <s v="JB"/>
    <n v="83"/>
    <x v="1"/>
    <n v="7860"/>
    <n v="3.93"/>
  </r>
  <r>
    <d v="2021-12-06T00:00:00"/>
    <n v="40969"/>
    <s v="JO"/>
    <n v="86"/>
    <x v="0"/>
    <n v="6780"/>
    <n v="3.39"/>
  </r>
  <r>
    <d v="2021-12-06T00:00:00"/>
    <n v="40970"/>
    <s v="VP"/>
    <n v="5"/>
    <x v="0"/>
    <n v="6000"/>
    <n v="3"/>
  </r>
  <r>
    <d v="2021-12-06T00:00:00"/>
    <n v="40971"/>
    <s v="VOID"/>
    <m/>
    <x v="4"/>
    <m/>
    <m/>
  </r>
  <r>
    <d v="2021-12-07T00:00:00"/>
    <n v="40972"/>
    <s v="CH"/>
    <n v="80"/>
    <x v="0"/>
    <n v="3640"/>
    <n v="1.82"/>
  </r>
  <r>
    <d v="2021-12-07T00:00:00"/>
    <n v="40973"/>
    <s v="HB"/>
    <n v="86"/>
    <x v="0"/>
    <n v="5100"/>
    <n v="2.5499999999999998"/>
  </r>
  <r>
    <d v="2021-12-07T00:00:00"/>
    <n v="40974"/>
    <s v="JB"/>
    <n v="81"/>
    <x v="1"/>
    <n v="3180"/>
    <n v="1.59"/>
  </r>
  <r>
    <d v="2021-12-08T00:00:00"/>
    <n v="40975"/>
    <s v="VP"/>
    <n v="5"/>
    <x v="0"/>
    <n v="9700"/>
    <n v="4.8499999999999996"/>
  </r>
  <r>
    <d v="2021-12-08T00:00:00"/>
    <n v="40976"/>
    <s v="JO"/>
    <n v="86"/>
    <x v="0"/>
    <n v="6240"/>
    <n v="3.12"/>
  </r>
  <r>
    <d v="2021-12-08T00:00:00"/>
    <n v="40977"/>
    <s v="HB"/>
    <n v="86"/>
    <x v="0"/>
    <n v="3200"/>
    <n v="1.6"/>
  </r>
  <r>
    <d v="2021-12-08T00:00:00"/>
    <n v="40978"/>
    <s v="VP"/>
    <n v="5"/>
    <x v="0"/>
    <n v="5360"/>
    <n v="2.68"/>
  </r>
  <r>
    <d v="2021-12-09T00:00:00"/>
    <n v="40979"/>
    <s v="BDI"/>
    <m/>
    <x v="3"/>
    <n v="6280"/>
    <n v="3.14"/>
  </r>
  <r>
    <d v="2021-12-09T00:00:00"/>
    <n v="40980"/>
    <s v="BDI"/>
    <m/>
    <x v="3"/>
    <n v="5400"/>
    <n v="2.7"/>
  </r>
  <r>
    <d v="2021-12-09T00:00:00"/>
    <n v="40981"/>
    <s v="JO"/>
    <n v="86"/>
    <x v="0"/>
    <n v="6780"/>
    <n v="3.39"/>
  </r>
  <r>
    <d v="2021-12-09T00:00:00"/>
    <n v="40982"/>
    <s v="BDI"/>
    <m/>
    <x v="3"/>
    <n v="4820"/>
    <n v="2.41"/>
  </r>
  <r>
    <d v="2021-12-09T00:00:00"/>
    <n v="40983"/>
    <s v="BDI"/>
    <m/>
    <x v="3"/>
    <n v="5560"/>
    <n v="2.78"/>
  </r>
  <r>
    <d v="2021-12-09T00:00:00"/>
    <n v="40984"/>
    <s v="RS"/>
    <n v="7"/>
    <x v="0"/>
    <n v="3640"/>
    <n v="1.82"/>
  </r>
  <r>
    <d v="2021-12-09T00:00:00"/>
    <n v="40985"/>
    <s v="JO"/>
    <n v="86"/>
    <x v="0"/>
    <n v="5340"/>
    <n v="2.67"/>
  </r>
  <r>
    <d v="2021-12-09T00:00:00"/>
    <n v="40986"/>
    <s v="CH"/>
    <n v="80"/>
    <x v="0"/>
    <n v="4100"/>
    <n v="2.0499999999999998"/>
  </r>
  <r>
    <d v="2021-12-09T00:00:00"/>
    <n v="40987"/>
    <s v="JB"/>
    <n v="83"/>
    <x v="1"/>
    <n v="8740"/>
    <n v="4.37"/>
  </r>
  <r>
    <d v="2021-12-10T00:00:00"/>
    <n v="40988"/>
    <s v="VP"/>
    <n v="5"/>
    <x v="0"/>
    <n v="4720"/>
    <n v="2.36"/>
  </r>
  <r>
    <d v="2021-12-10T00:00:00"/>
    <n v="40989"/>
    <s v="VP"/>
    <n v="5"/>
    <x v="0"/>
    <n v="5460"/>
    <n v="2.73"/>
  </r>
  <r>
    <d v="2021-12-10T00:00:00"/>
    <n v="40990"/>
    <s v="CH"/>
    <n v="80"/>
    <x v="0"/>
    <n v="3700"/>
    <n v="1.8520000000000001"/>
  </r>
  <r>
    <d v="2021-12-10T00:00:00"/>
    <n v="40991"/>
    <s v="VP"/>
    <n v="5"/>
    <x v="0"/>
    <n v="1520"/>
    <n v="0.76"/>
  </r>
  <r>
    <d v="2021-12-10T00:00:00"/>
    <n v="40992"/>
    <s v="JO"/>
    <n v="86"/>
    <x v="0"/>
    <n v="6120"/>
    <n v="3.06"/>
  </r>
  <r>
    <d v="2021-12-13T00:00:00"/>
    <n v="40993"/>
    <s v="JB"/>
    <n v="3"/>
    <x v="0"/>
    <n v="3640"/>
    <n v="1.82"/>
  </r>
  <r>
    <d v="2021-12-13T00:00:00"/>
    <n v="40994"/>
    <s v="VP"/>
    <n v="5"/>
    <x v="0"/>
    <n v="10400"/>
    <n v="5.0199999999999996"/>
  </r>
  <r>
    <d v="2021-12-13T00:00:00"/>
    <n v="40995"/>
    <s v="CH"/>
    <n v="80"/>
    <x v="0"/>
    <n v="3080"/>
    <n v="1.54"/>
  </r>
  <r>
    <d v="2021-12-13T00:00:00"/>
    <n v="40996"/>
    <s v="JO"/>
    <n v="86"/>
    <x v="0"/>
    <n v="6500"/>
    <n v="3.25"/>
  </r>
  <r>
    <d v="2021-12-13T00:00:00"/>
    <n v="40997"/>
    <s v="VP"/>
    <n v="5"/>
    <x v="0"/>
    <n v="7920"/>
    <n v="3.96"/>
  </r>
  <r>
    <d v="2021-12-13T00:00:00"/>
    <n v="40998"/>
    <s v="JB"/>
    <n v="84"/>
    <x v="1"/>
    <n v="6600"/>
    <n v="3.3"/>
  </r>
  <r>
    <d v="2021-12-13T00:00:00"/>
    <n v="40999"/>
    <s v="VOID"/>
    <m/>
    <x v="4"/>
    <m/>
    <m/>
  </r>
  <r>
    <d v="2021-12-14T00:00:00"/>
    <n v="41000"/>
    <s v="JB"/>
    <n v="82"/>
    <x v="1"/>
    <n v="6420"/>
    <n v="3.21"/>
  </r>
  <r>
    <d v="2021-12-14T00:00:00"/>
    <n v="41251"/>
    <s v="JO"/>
    <n v="86"/>
    <x v="0"/>
    <n v="5120"/>
    <n v="2.56"/>
  </r>
  <r>
    <d v="2021-12-14T00:00:00"/>
    <n v="41252"/>
    <s v="CH"/>
    <n v="80"/>
    <x v="0"/>
    <n v="4020"/>
    <n v="2.0099999999999998"/>
  </r>
  <r>
    <d v="2021-12-15T00:00:00"/>
    <n v="41254"/>
    <s v="JO"/>
    <n v="86"/>
    <x v="0"/>
    <n v="7340"/>
    <n v="3.67"/>
  </r>
  <r>
    <d v="2021-12-15T00:00:00"/>
    <n v="41253"/>
    <s v="JB"/>
    <n v="2"/>
    <x v="1"/>
    <n v="800"/>
    <n v="0.4"/>
  </r>
  <r>
    <d v="2021-12-15T00:00:00"/>
    <n v="41255"/>
    <s v="HB"/>
    <n v="86"/>
    <x v="0"/>
    <n v="5120"/>
    <n v="2.56"/>
  </r>
  <r>
    <d v="2021-12-15T00:00:00"/>
    <n v="41256"/>
    <s v="VP"/>
    <n v="5"/>
    <x v="0"/>
    <n v="7880"/>
    <n v="3.94"/>
  </r>
  <r>
    <d v="2021-12-15T00:00:00"/>
    <n v="41257"/>
    <s v="JB"/>
    <n v="80"/>
    <x v="1"/>
    <n v="4820"/>
    <n v="2.41"/>
  </r>
  <r>
    <d v="2021-12-16T00:00:00"/>
    <n v="41258"/>
    <s v="BDI"/>
    <m/>
    <x v="3"/>
    <n v="3560"/>
    <n v="1.78"/>
  </r>
  <r>
    <d v="2021-12-16T00:00:00"/>
    <n v="41259"/>
    <s v="BDI"/>
    <m/>
    <x v="3"/>
    <n v="4980"/>
    <n v="2.4900000000000002"/>
  </r>
  <r>
    <d v="2021-12-16T00:00:00"/>
    <n v="41260"/>
    <s v="JO"/>
    <n v="86"/>
    <x v="0"/>
    <n v="7380"/>
    <n v="3.69"/>
  </r>
  <r>
    <d v="2021-12-16T00:00:00"/>
    <n v="41261"/>
    <s v="BDI"/>
    <m/>
    <x v="3"/>
    <n v="2480"/>
    <n v="1.24"/>
  </r>
  <r>
    <d v="2021-12-16T00:00:00"/>
    <n v="41262"/>
    <s v="BDI"/>
    <m/>
    <x v="3"/>
    <n v="2120"/>
    <n v="1.06"/>
  </r>
  <r>
    <d v="2021-12-16T00:00:00"/>
    <n v="41263"/>
    <s v="JO"/>
    <n v="86"/>
    <x v="0"/>
    <n v="5020"/>
    <n v="2.5099999999999998"/>
  </r>
  <r>
    <d v="2021-12-16T00:00:00"/>
    <n v="41264"/>
    <s v="JB"/>
    <n v="84"/>
    <x v="1"/>
    <n v="4440"/>
    <n v="2.2200000000000002"/>
  </r>
  <r>
    <d v="2021-12-16T00:00:00"/>
    <n v="41265"/>
    <s v="CH"/>
    <n v="80"/>
    <x v="0"/>
    <n v="4020"/>
    <n v="2.0099999999999998"/>
  </r>
  <r>
    <d v="2021-12-16T00:00:00"/>
    <n v="41266"/>
    <s v="SV"/>
    <n v="7"/>
    <x v="0"/>
    <n v="4740"/>
    <n v="2.37"/>
  </r>
  <r>
    <d v="2021-12-17T00:00:00"/>
    <n v="41267"/>
    <s v="VP"/>
    <n v="5"/>
    <x v="0"/>
    <n v="5320"/>
    <n v="2.66"/>
  </r>
  <r>
    <d v="2021-12-17T00:00:00"/>
    <n v="41268"/>
    <s v="VP"/>
    <n v="5"/>
    <x v="0"/>
    <n v="5280"/>
    <n v="2.64"/>
  </r>
  <r>
    <d v="2021-12-17T00:00:00"/>
    <n v="41269"/>
    <s v="CH"/>
    <n v="80"/>
    <x v="0"/>
    <n v="3460"/>
    <n v="1.73"/>
  </r>
  <r>
    <d v="2021-12-17T00:00:00"/>
    <n v="41270"/>
    <s v="VP"/>
    <n v="5"/>
    <x v="0"/>
    <n v="1280"/>
    <n v="0.64"/>
  </r>
  <r>
    <d v="2021-12-17T00:00:00"/>
    <n v="41271"/>
    <s v="RC"/>
    <n v="86"/>
    <x v="0"/>
    <n v="6340"/>
    <n v="3.17"/>
  </r>
  <r>
    <d v="2021-12-20T00:00:00"/>
    <n v="41272"/>
    <s v="JB"/>
    <n v="3"/>
    <x v="0"/>
    <n v="3460"/>
    <n v="1.73"/>
  </r>
  <r>
    <d v="2021-12-20T00:00:00"/>
    <n v="41273"/>
    <s v="VP"/>
    <n v="5"/>
    <x v="0"/>
    <n v="10460"/>
    <n v="5.23"/>
  </r>
  <r>
    <d v="2021-12-20T00:00:00"/>
    <n v="41274"/>
    <s v="VP"/>
    <n v="5"/>
    <x v="0"/>
    <n v="8860"/>
    <n v="4.43"/>
  </r>
  <r>
    <d v="2021-12-20T00:00:00"/>
    <n v="41275"/>
    <s v="CH"/>
    <n v="80"/>
    <x v="0"/>
    <n v="4920"/>
    <n v="2.46"/>
  </r>
  <r>
    <d v="2021-12-20T00:00:00"/>
    <n v="41276"/>
    <s v="JO"/>
    <n v="86"/>
    <x v="0"/>
    <n v="6900"/>
    <n v="3.45"/>
  </r>
  <r>
    <d v="2021-12-20T00:00:00"/>
    <n v="41277"/>
    <s v="PM"/>
    <n v="83"/>
    <x v="1"/>
    <n v="6400"/>
    <n v="3.2"/>
  </r>
  <r>
    <d v="2021-12-21T00:00:00"/>
    <n v="41278"/>
    <s v="HB"/>
    <n v="86"/>
    <x v="0"/>
    <n v="5440"/>
    <n v="2.72"/>
  </r>
  <r>
    <d v="2021-12-21T00:00:00"/>
    <n v="41279"/>
    <s v="CH"/>
    <n v="80"/>
    <x v="0"/>
    <n v="3280"/>
    <n v="1.64"/>
  </r>
  <r>
    <d v="2021-12-21T00:00:00"/>
    <n v="41280"/>
    <s v="PM"/>
    <n v="81"/>
    <x v="1"/>
    <n v="2600"/>
    <n v="1.3"/>
  </r>
  <r>
    <d v="2021-12-22T00:00:00"/>
    <n v="41281"/>
    <s v="VP"/>
    <n v="5"/>
    <x v="0"/>
    <n v="7200"/>
    <n v="3.6"/>
  </r>
  <r>
    <d v="2021-12-22T00:00:00"/>
    <n v="41282"/>
    <s v="HB"/>
    <n v="86"/>
    <x v="0"/>
    <n v="7460"/>
    <n v="3.73"/>
  </r>
  <r>
    <d v="2021-12-22T00:00:00"/>
    <n v="41283"/>
    <s v="JO"/>
    <n v="86"/>
    <x v="0"/>
    <n v="6380"/>
    <n v="3.19"/>
  </r>
  <r>
    <d v="2021-12-23T00:00:00"/>
    <n v="41284"/>
    <s v="BDI"/>
    <m/>
    <x v="3"/>
    <n v="4780"/>
    <n v="2.39"/>
  </r>
  <r>
    <d v="2021-12-23T00:00:00"/>
    <n v="41285"/>
    <s v="BDI"/>
    <m/>
    <x v="3"/>
    <n v="5160"/>
    <n v="2.58"/>
  </r>
  <r>
    <d v="2021-12-23T00:00:00"/>
    <n v="41286"/>
    <s v="JO"/>
    <n v="86"/>
    <x v="0"/>
    <n v="7300"/>
    <n v="3.65"/>
  </r>
  <r>
    <d v="2021-12-23T00:00:00"/>
    <n v="41287"/>
    <s v="BDI"/>
    <m/>
    <x v="3"/>
    <n v="3520"/>
    <n v="1.76"/>
  </r>
  <r>
    <d v="2021-12-23T00:00:00"/>
    <n v="41288"/>
    <s v="BDI"/>
    <m/>
    <x v="3"/>
    <n v="3860"/>
    <n v="1.93"/>
  </r>
  <r>
    <d v="2021-12-23T00:00:00"/>
    <n v="41289"/>
    <s v="JO"/>
    <n v="86"/>
    <x v="0"/>
    <n v="4760"/>
    <n v="2.38"/>
  </r>
  <r>
    <d v="2021-12-23T00:00:00"/>
    <n v="41290"/>
    <s v="SV"/>
    <n v="7"/>
    <x v="0"/>
    <n v="5600"/>
    <n v="2.8"/>
  </r>
  <r>
    <d v="2021-12-23T00:00:00"/>
    <n v="41291"/>
    <s v="CH"/>
    <n v="80"/>
    <x v="0"/>
    <n v="4300"/>
    <n v="2.15"/>
  </r>
  <r>
    <d v="2021-12-23T00:00:00"/>
    <n v="41292"/>
    <s v="HB"/>
    <n v="86"/>
    <x v="0"/>
    <n v="2620"/>
    <n v="1.31"/>
  </r>
  <r>
    <d v="2021-12-23T00:00:00"/>
    <n v="41293"/>
    <s v="PM"/>
    <n v="83"/>
    <x v="1"/>
    <n v="6400"/>
    <n v="3.2"/>
  </r>
  <r>
    <d v="2021-12-24T00:00:00"/>
    <n v="41294"/>
    <s v="VP"/>
    <n v="5"/>
    <x v="0"/>
    <n v="8580"/>
    <n v="4.29"/>
  </r>
  <r>
    <d v="2021-12-24T00:00:00"/>
    <n v="41295"/>
    <s v="HB"/>
    <n v="86"/>
    <x v="0"/>
    <n v="4160"/>
    <n v="2.08"/>
  </r>
  <r>
    <d v="2021-12-27T00:00:00"/>
    <n v="41296"/>
    <s v="JB"/>
    <n v="3"/>
    <x v="0"/>
    <n v="2400"/>
    <n v="1.2"/>
  </r>
  <r>
    <d v="2021-12-27T00:00:00"/>
    <n v="41297"/>
    <s v="SC"/>
    <n v="5"/>
    <x v="0"/>
    <n v="6280"/>
    <n v="3.14"/>
  </r>
  <r>
    <d v="2021-12-27T00:00:00"/>
    <n v="41298"/>
    <s v="CH"/>
    <n v="80"/>
    <x v="0"/>
    <n v="2760"/>
    <n v="1.38"/>
  </r>
  <r>
    <d v="2021-12-27T00:00:00"/>
    <n v="41299"/>
    <s v="SC"/>
    <n v="5"/>
    <x v="0"/>
    <n v="5460"/>
    <n v="2.73"/>
  </r>
  <r>
    <d v="2021-12-27T00:00:00"/>
    <n v="41300"/>
    <s v="JO"/>
    <n v="86"/>
    <x v="0"/>
    <n v="5700"/>
    <n v="2.85"/>
  </r>
  <r>
    <d v="2021-12-27T00:00:00"/>
    <n v="41301"/>
    <s v="JB"/>
    <n v="84"/>
    <x v="1"/>
    <n v="6960"/>
    <n v="3.48"/>
  </r>
  <r>
    <d v="2021-12-28T00:00:00"/>
    <n v="41302"/>
    <s v="CH"/>
    <n v="80"/>
    <x v="0"/>
    <n v="2920"/>
    <n v="1.46"/>
  </r>
  <r>
    <d v="2021-12-28T00:00:00"/>
    <n v="41303"/>
    <s v="JB"/>
    <n v="82"/>
    <x v="1"/>
    <n v="6200"/>
    <n v="3.1"/>
  </r>
  <r>
    <d v="2021-12-28T00:00:00"/>
    <n v="41304"/>
    <s v="HB"/>
    <n v="86"/>
    <x v="0"/>
    <n v="3660"/>
    <n v="1.83"/>
  </r>
  <r>
    <d v="2021-12-29T00:00:00"/>
    <n v="41305"/>
    <s v="HB"/>
    <n v="86"/>
    <x v="0"/>
    <n v="2180"/>
    <n v="1.0900000000000001"/>
  </r>
  <r>
    <d v="2021-12-29T00:00:00"/>
    <n v="41306"/>
    <s v="SC"/>
    <n v="5"/>
    <x v="0"/>
    <n v="11260"/>
    <n v="5.63"/>
  </r>
  <r>
    <d v="2021-12-29T00:00:00"/>
    <n v="41307"/>
    <s v="JB"/>
    <n v="80"/>
    <x v="1"/>
    <n v="4400"/>
    <n v="2.2000000000000002"/>
  </r>
  <r>
    <d v="2021-12-29T00:00:00"/>
    <n v="41308"/>
    <s v="JO"/>
    <n v="86"/>
    <x v="0"/>
    <n v="4200"/>
    <n v="2.1"/>
  </r>
  <r>
    <d v="2021-12-30T00:00:00"/>
    <n v="41309"/>
    <s v="JO"/>
    <n v="86"/>
    <x v="0"/>
    <n v="5600"/>
    <n v="2.8"/>
  </r>
  <r>
    <d v="2021-12-30T00:00:00"/>
    <n v="41310"/>
    <s v="JO"/>
    <n v="86"/>
    <x v="0"/>
    <n v="4100"/>
    <n v="2.0499999999999998"/>
  </r>
  <r>
    <d v="2021-12-30T00:00:00"/>
    <n v="41311"/>
    <s v="SV"/>
    <n v="7"/>
    <x v="0"/>
    <n v="4960"/>
    <n v="2.48"/>
  </r>
  <r>
    <d v="2021-12-30T00:00:00"/>
    <n v="41312"/>
    <s v="CH"/>
    <n v="80"/>
    <x v="0"/>
    <n v="3640"/>
    <n v="1.82"/>
  </r>
  <r>
    <d v="2021-12-29T00:00:00"/>
    <n v="41313"/>
    <s v="JB"/>
    <n v="84"/>
    <x v="1"/>
    <n v="3960"/>
    <n v="1.98"/>
  </r>
  <r>
    <d v="2021-12-31T00:00:00"/>
    <n v="41314"/>
    <s v="SC"/>
    <n v="5"/>
    <x v="0"/>
    <n v="8220"/>
    <n v="4.1100000000000003"/>
  </r>
  <r>
    <d v="2021-12-31T00:00:00"/>
    <n v="41315"/>
    <s v="SC"/>
    <n v="5"/>
    <x v="0"/>
    <n v="820"/>
    <n v="0.41"/>
  </r>
  <r>
    <d v="2021-12-31T00:00:00"/>
    <n v="41316"/>
    <s v="CH"/>
    <n v="80"/>
    <x v="0"/>
    <n v="2100"/>
    <n v="1.05"/>
  </r>
  <r>
    <d v="2021-12-31T00:00:00"/>
    <n v="41317"/>
    <s v="HB"/>
    <n v="86"/>
    <x v="0"/>
    <n v="4240"/>
    <n v="2.12"/>
  </r>
  <r>
    <d v="2022-01-04T00:00:00"/>
    <n v="41318"/>
    <s v="CH"/>
    <n v="80"/>
    <x v="0"/>
    <n v="2860"/>
    <n v="1.43"/>
  </r>
  <r>
    <d v="2022-01-04T00:00:00"/>
    <n v="41319"/>
    <s v="JO"/>
    <n v="86"/>
    <x v="0"/>
    <n v="5580"/>
    <n v="2.79"/>
  </r>
  <r>
    <d v="2022-01-05T00:00:00"/>
    <n v="41320"/>
    <s v="SC"/>
    <n v="86"/>
    <x v="0"/>
    <n v="12360"/>
    <n v="6.18"/>
  </r>
  <r>
    <d v="2022-01-05T00:00:00"/>
    <n v="41321"/>
    <s v="JB"/>
    <n v="83"/>
    <x v="1"/>
    <n v="4840"/>
    <n v="2.42"/>
  </r>
  <r>
    <d v="2022-01-05T00:00:00"/>
    <n v="41322"/>
    <s v="VOID"/>
    <m/>
    <x v="4"/>
    <m/>
    <m/>
  </r>
  <r>
    <d v="2022-01-05T00:00:00"/>
    <n v="41323"/>
    <s v="JO"/>
    <n v="86"/>
    <x v="0"/>
    <n v="4640"/>
    <n v="2.3199999999999998"/>
  </r>
  <r>
    <d v="2022-01-05T00:00:00"/>
    <n v="41324"/>
    <s v="HB"/>
    <n v="86"/>
    <x v="0"/>
    <n v="6840"/>
    <n v="3.42"/>
  </r>
  <r>
    <d v="2022-01-07T00:00:00"/>
    <n v="41325"/>
    <s v="CH"/>
    <n v="80"/>
    <x v="0"/>
    <n v="3240"/>
    <n v="1.62"/>
  </r>
  <r>
    <d v="2022-01-10T00:00:00"/>
    <n v="41326"/>
    <s v="VP"/>
    <n v="5"/>
    <x v="0"/>
    <n v="10960"/>
    <n v="5.48"/>
  </r>
  <r>
    <d v="2022-01-10T00:00:00"/>
    <n v="41327"/>
    <s v="VP"/>
    <n v="5"/>
    <x v="0"/>
    <n v="7320"/>
    <n v="3.66"/>
  </r>
  <r>
    <d v="2022-01-10T00:00:00"/>
    <n v="41328"/>
    <s v="JB"/>
    <n v="3"/>
    <x v="0"/>
    <n v="4920"/>
    <n v="2.46"/>
  </r>
  <r>
    <d v="2022-01-10T00:00:00"/>
    <n v="41329"/>
    <s v="JO"/>
    <n v="86"/>
    <x v="0"/>
    <n v="5300"/>
    <n v="2.65"/>
  </r>
  <r>
    <d v="2022-01-10T00:00:00"/>
    <n v="41330"/>
    <s v="BDI"/>
    <m/>
    <x v="3"/>
    <n v="3520"/>
    <n v="1.76"/>
  </r>
  <r>
    <d v="2022-01-10T00:00:00"/>
    <n v="41331"/>
    <s v="BDI"/>
    <m/>
    <x v="3"/>
    <n v="3620"/>
    <n v="1.81"/>
  </r>
  <r>
    <d v="2022-01-10T00:00:00"/>
    <n v="41332"/>
    <s v="SV"/>
    <n v="7"/>
    <x v="0"/>
    <n v="7820"/>
    <n v="3.91"/>
  </r>
  <r>
    <d v="2022-01-10T00:00:00"/>
    <n v="41333"/>
    <s v="JB"/>
    <n v="84"/>
    <x v="1"/>
    <n v="6280"/>
    <n v="3.18"/>
  </r>
  <r>
    <d v="2022-01-11T00:00:00"/>
    <n v="41334"/>
    <s v="TN"/>
    <n v="80"/>
    <x v="0"/>
    <n v="3100"/>
    <n v="1.55"/>
  </r>
  <r>
    <d v="2022-01-11T00:00:00"/>
    <n v="41335"/>
    <s v="HB"/>
    <n v="86"/>
    <x v="0"/>
    <n v="5060"/>
    <n v="2.5299999999999998"/>
  </r>
  <r>
    <d v="2022-01-11T00:00:00"/>
    <n v="41336"/>
    <s v="JB"/>
    <n v="82"/>
    <x v="1"/>
    <n v="5500"/>
    <n v="2.75"/>
  </r>
  <r>
    <d v="2022-01-12T00:00:00"/>
    <n v="41337"/>
    <s v="BDI"/>
    <m/>
    <x v="3"/>
    <n v="1900"/>
    <n v="0.95"/>
  </r>
  <r>
    <d v="2022-01-12T00:00:00"/>
    <n v="41338"/>
    <s v="VP"/>
    <n v="5"/>
    <x v="0"/>
    <n v="10460"/>
    <n v="5.23"/>
  </r>
  <r>
    <d v="2022-01-12T00:00:00"/>
    <n v="41339"/>
    <s v="JB"/>
    <n v="2"/>
    <x v="1"/>
    <n v="1060"/>
    <n v="0.53"/>
  </r>
  <r>
    <d v="2022-01-12T00:00:00"/>
    <n v="41340"/>
    <s v="JB"/>
    <n v="80"/>
    <x v="1"/>
    <n v="3860"/>
    <n v="1.93"/>
  </r>
  <r>
    <d v="2022-01-12T00:00:00"/>
    <n v="41341"/>
    <s v="JO"/>
    <n v="86"/>
    <x v="0"/>
    <n v="6320"/>
    <n v="3.16"/>
  </r>
  <r>
    <d v="2022-01-12T00:00:00"/>
    <n v="41342"/>
    <s v="VP"/>
    <n v="5"/>
    <x v="0"/>
    <n v="6800"/>
    <n v="3.4"/>
  </r>
  <r>
    <d v="2022-01-12T00:00:00"/>
    <n v="41343"/>
    <s v="HB"/>
    <n v="86"/>
    <x v="0"/>
    <n v="5320"/>
    <n v="2.66"/>
  </r>
  <r>
    <d v="2022-01-13T00:00:00"/>
    <n v="41344"/>
    <s v="BDI"/>
    <m/>
    <x v="3"/>
    <n v="3260"/>
    <n v="1.63"/>
  </r>
  <r>
    <d v="2022-01-13T00:00:00"/>
    <n v="41345"/>
    <s v="JO"/>
    <n v="86"/>
    <x v="0"/>
    <n v="9000"/>
    <n v="4.5"/>
  </r>
  <r>
    <d v="2022-01-13T00:00:00"/>
    <n v="41346"/>
    <s v="BDI"/>
    <m/>
    <x v="3"/>
    <n v="1800"/>
    <n v="0.9"/>
  </r>
  <r>
    <d v="2022-01-13T00:00:00"/>
    <n v="41347"/>
    <s v="BDI"/>
    <m/>
    <x v="3"/>
    <n v="7620"/>
    <n v="3.81"/>
  </r>
  <r>
    <d v="2022-01-13T00:00:00"/>
    <n v="41348"/>
    <s v="JO"/>
    <n v="86"/>
    <x v="0"/>
    <n v="8720"/>
    <n v="4.3600000000000003"/>
  </r>
  <r>
    <d v="2022-01-13T00:00:00"/>
    <n v="41349"/>
    <s v="TH"/>
    <n v="80"/>
    <x v="0"/>
    <n v="6760"/>
    <n v="3.38"/>
  </r>
  <r>
    <d v="2022-01-13T00:00:00"/>
    <n v="41350"/>
    <s v="VOID"/>
    <m/>
    <x v="4"/>
    <m/>
    <m/>
  </r>
  <r>
    <d v="2022-01-13T00:00:00"/>
    <n v="41351"/>
    <s v="JB"/>
    <n v="84"/>
    <x v="1"/>
    <n v="3840"/>
    <n v="1.92"/>
  </r>
  <r>
    <d v="2022-01-13T00:00:00"/>
    <n v="41352"/>
    <s v="SV"/>
    <n v="7"/>
    <x v="0"/>
    <n v="8380"/>
    <n v="4.1900000000000004"/>
  </r>
  <r>
    <d v="2022-01-14T00:00:00"/>
    <n v="41353"/>
    <s v="VP"/>
    <n v="5"/>
    <x v="0"/>
    <n v="7880"/>
    <n v="3.94"/>
  </r>
  <r>
    <d v="2022-01-14T00:00:00"/>
    <n v="41354"/>
    <s v="VP"/>
    <n v="5"/>
    <x v="0"/>
    <n v="7000"/>
    <n v="3.5"/>
  </r>
  <r>
    <d v="2022-01-14T00:00:00"/>
    <n v="41355"/>
    <s v="HB"/>
    <n v="86"/>
    <x v="0"/>
    <n v="8520"/>
    <n v="4.26"/>
  </r>
  <r>
    <d v="2022-01-14T00:00:00"/>
    <n v="41356"/>
    <s v="VP"/>
    <n v="5"/>
    <x v="0"/>
    <n v="1800"/>
    <n v="0.9"/>
  </r>
  <r>
    <d v="2022-01-17T00:00:00"/>
    <n v="41357"/>
    <s v="VP"/>
    <n v="5"/>
    <x v="0"/>
    <n v="10680"/>
    <n v="5.34"/>
  </r>
  <r>
    <d v="2022-01-17T00:00:00"/>
    <n v="41358"/>
    <s v="JO"/>
    <n v="86"/>
    <x v="0"/>
    <n v="4680"/>
    <n v="2.34"/>
  </r>
  <r>
    <d v="2022-01-17T00:00:00"/>
    <n v="41359"/>
    <s v="VP"/>
    <n v="5"/>
    <x v="0"/>
    <n v="7760"/>
    <n v="3.88"/>
  </r>
  <r>
    <d v="2022-01-17T00:00:00"/>
    <n v="41360"/>
    <s v="CH"/>
    <n v="80"/>
    <x v="0"/>
    <n v="6580"/>
    <n v="3.29"/>
  </r>
  <r>
    <d v="2022-01-17T00:00:00"/>
    <n v="41361"/>
    <s v="PM"/>
    <n v="83"/>
    <x v="1"/>
    <n v="10300"/>
    <n v="5.15"/>
  </r>
  <r>
    <d v="2022-01-18T00:00:00"/>
    <n v="41362"/>
    <s v="HB"/>
    <n v="86"/>
    <x v="0"/>
    <n v="6700"/>
    <n v="3.35"/>
  </r>
  <r>
    <d v="2022-01-18T00:00:00"/>
    <n v="41363"/>
    <s v="CH"/>
    <n v="80"/>
    <x v="0"/>
    <n v="4540"/>
    <n v="2.27"/>
  </r>
  <r>
    <d v="2022-01-18T00:00:00"/>
    <n v="41364"/>
    <s v="PM"/>
    <n v="81"/>
    <x v="1"/>
    <n v="3080"/>
    <n v="1.54"/>
  </r>
  <r>
    <d v="2022-01-19T00:00:00"/>
    <n v="41365"/>
    <s v="VP"/>
    <n v="5"/>
    <x v="0"/>
    <n v="7180"/>
    <n v="3.59"/>
  </r>
  <r>
    <d v="2022-01-19T00:00:00"/>
    <n v="41366"/>
    <s v="HB"/>
    <n v="86"/>
    <x v="0"/>
    <n v="3640"/>
    <n v="1.82"/>
  </r>
  <r>
    <d v="2022-01-19T00:00:00"/>
    <n v="41367"/>
    <s v="VP"/>
    <n v="5"/>
    <x v="0"/>
    <n v="6040"/>
    <n v="3.02"/>
  </r>
  <r>
    <d v="2022-01-19T00:00:00"/>
    <n v="41368"/>
    <s v="JO"/>
    <n v="86"/>
    <x v="0"/>
    <n v="4520"/>
    <n v="2.2599999999999998"/>
  </r>
  <r>
    <d v="2022-01-20T00:00:00"/>
    <n v="41369"/>
    <s v="BDI"/>
    <m/>
    <x v="3"/>
    <n v="5480"/>
    <n v="2.74"/>
  </r>
  <r>
    <d v="2022-01-20T00:00:00"/>
    <n v="41370"/>
    <s v="BDI"/>
    <m/>
    <x v="3"/>
    <n v="5240"/>
    <n v="2.62"/>
  </r>
  <r>
    <d v="2022-01-20T00:00:00"/>
    <n v="41371"/>
    <s v="JO"/>
    <n v="86"/>
    <x v="0"/>
    <n v="6800"/>
    <n v="3.4"/>
  </r>
  <r>
    <d v="2022-01-20T00:00:00"/>
    <n v="41372"/>
    <s v="BDI"/>
    <m/>
    <x v="3"/>
    <n v="4320"/>
    <n v="2.16"/>
  </r>
  <r>
    <d v="2022-01-20T00:00:00"/>
    <n v="41373"/>
    <s v="BDI"/>
    <m/>
    <x v="3"/>
    <n v="4440"/>
    <n v="2.2200000000000002"/>
  </r>
  <r>
    <d v="2022-01-20T00:00:00"/>
    <n v="41374"/>
    <s v="JO"/>
    <n v="86"/>
    <x v="0"/>
    <n v="5640"/>
    <n v="2.82"/>
  </r>
  <r>
    <d v="2022-01-20T00:00:00"/>
    <n v="41375"/>
    <s v="SV"/>
    <n v="7"/>
    <x v="0"/>
    <n v="4700"/>
    <n v="2.35"/>
  </r>
  <r>
    <d v="2022-01-20T00:00:00"/>
    <n v="41376"/>
    <s v="CH"/>
    <n v="80"/>
    <x v="0"/>
    <n v="4580"/>
    <n v="2.29"/>
  </r>
  <r>
    <d v="2022-01-20T00:00:00"/>
    <n v="41377"/>
    <s v="PM"/>
    <n v="83"/>
    <x v="1"/>
    <n v="3300"/>
    <n v="1.65"/>
  </r>
  <r>
    <d v="2022-01-21T00:00:00"/>
    <n v="41378"/>
    <s v="VP"/>
    <n v="5"/>
    <x v="0"/>
    <n v="4500"/>
    <n v="2.25"/>
  </r>
  <r>
    <d v="2022-01-21T00:00:00"/>
    <n v="41379"/>
    <s v="VP"/>
    <n v="5"/>
    <x v="0"/>
    <n v="6000"/>
    <n v="3"/>
  </r>
  <r>
    <d v="2022-01-21T00:00:00"/>
    <n v="41380"/>
    <s v="CH"/>
    <n v="80"/>
    <x v="0"/>
    <n v="4320"/>
    <n v="2.16"/>
  </r>
  <r>
    <d v="2022-01-21T00:00:00"/>
    <n v="41381"/>
    <s v="HB"/>
    <n v="86"/>
    <x v="0"/>
    <n v="5820"/>
    <n v="2.91"/>
  </r>
  <r>
    <d v="2022-01-21T00:00:00"/>
    <n v="41382"/>
    <s v="VP"/>
    <n v="5"/>
    <x v="0"/>
    <n v="900"/>
    <n v="0.45"/>
  </r>
  <r>
    <d v="2022-01-24T00:00:00"/>
    <n v="41383"/>
    <s v="JB"/>
    <n v="3"/>
    <x v="0"/>
    <n v="3440"/>
    <n v="1.72"/>
  </r>
  <r>
    <d v="2022-01-24T00:00:00"/>
    <n v="41384"/>
    <s v="VP"/>
    <n v="5"/>
    <x v="0"/>
    <n v="11340"/>
    <n v="5.67"/>
  </r>
  <r>
    <d v="2022-01-24T00:00:00"/>
    <n v="41385"/>
    <s v="CH"/>
    <n v="80"/>
    <x v="0"/>
    <n v="3140"/>
    <n v="1.57"/>
  </r>
  <r>
    <d v="2022-01-24T00:00:00"/>
    <n v="41386"/>
    <s v="JO"/>
    <n v="86"/>
    <x v="0"/>
    <n v="4180"/>
    <n v="2.09"/>
  </r>
  <r>
    <d v="2022-01-24T00:00:00"/>
    <n v="41387"/>
    <s v="VP"/>
    <n v="5"/>
    <x v="0"/>
    <n v="5880"/>
    <n v="2.94"/>
  </r>
  <r>
    <d v="2022-01-24T00:00:00"/>
    <n v="41388"/>
    <s v="JB"/>
    <n v="84"/>
    <x v="1"/>
    <n v="6900"/>
    <n v="3.45"/>
  </r>
  <r>
    <d v="2022-01-25T00:00:00"/>
    <n v="41389"/>
    <s v="CH"/>
    <n v="80"/>
    <x v="0"/>
    <n v="2960"/>
    <n v="1.48"/>
  </r>
  <r>
    <d v="2022-01-25T00:00:00"/>
    <n v="41390"/>
    <s v="HB"/>
    <n v="86"/>
    <x v="0"/>
    <n v="5400"/>
    <n v="2.7"/>
  </r>
  <r>
    <d v="2022-01-25T00:00:00"/>
    <n v="41391"/>
    <s v="JB"/>
    <n v="82"/>
    <x v="0"/>
    <n v="6680"/>
    <n v="3.34"/>
  </r>
  <r>
    <d v="2022-01-26T00:00:00"/>
    <n v="41392"/>
    <s v="JB"/>
    <n v="2"/>
    <x v="1"/>
    <n v="840"/>
    <n v="0.42"/>
  </r>
  <r>
    <d v="2022-01-26T00:00:00"/>
    <n v="41393"/>
    <s v="VP"/>
    <n v="5"/>
    <x v="0"/>
    <n v="8780"/>
    <n v="4.3899999999999997"/>
  </r>
  <r>
    <d v="2022-01-26T00:00:00"/>
    <n v="41394"/>
    <s v="JO"/>
    <n v="86"/>
    <x v="1"/>
    <n v="4540"/>
    <n v="2.27"/>
  </r>
  <r>
    <d v="2022-01-26T00:00:00"/>
    <n v="41395"/>
    <s v="VP"/>
    <n v="5"/>
    <x v="0"/>
    <n v="4240"/>
    <n v="2.12"/>
  </r>
  <r>
    <d v="2022-01-26T00:00:00"/>
    <n v="41396"/>
    <s v="HB"/>
    <n v="86"/>
    <x v="0"/>
    <n v="3060"/>
    <n v="1.53"/>
  </r>
  <r>
    <d v="2022-01-26T00:00:00"/>
    <n v="41397"/>
    <s v="JB"/>
    <n v="80"/>
    <x v="1"/>
    <n v="4780"/>
    <n v="2.39"/>
  </r>
  <r>
    <d v="2022-01-27T00:00:00"/>
    <n v="41398"/>
    <s v="JO"/>
    <n v="86"/>
    <x v="0"/>
    <n v="6660"/>
    <n v="3.33"/>
  </r>
  <r>
    <d v="2022-01-27T00:00:00"/>
    <n v="41399"/>
    <s v="JO"/>
    <n v="86"/>
    <x v="0"/>
    <n v="5640"/>
    <n v="2.82"/>
  </r>
  <r>
    <d v="2022-01-27T00:00:00"/>
    <n v="41400"/>
    <s v="CH"/>
    <n v="80"/>
    <x v="0"/>
    <n v="3880"/>
    <n v="1.94"/>
  </r>
  <r>
    <d v="2022-01-27T00:00:00"/>
    <n v="41401"/>
    <s v="JB"/>
    <n v="84"/>
    <x v="1"/>
    <n v="3860"/>
    <n v="1.93"/>
  </r>
  <r>
    <d v="2022-01-27T00:00:00"/>
    <n v="41402"/>
    <s v="VP"/>
    <n v="5"/>
    <x v="0"/>
    <n v="4940"/>
    <n v="2.4700000000000002"/>
  </r>
  <r>
    <d v="2022-01-28T00:00:00"/>
    <n v="41403"/>
    <s v="VP"/>
    <n v="5"/>
    <x v="0"/>
    <n v="5680"/>
    <n v="2.84"/>
  </r>
  <r>
    <d v="2022-01-28T00:00:00"/>
    <n v="41404"/>
    <s v="VP"/>
    <n v="5"/>
    <x v="0"/>
    <n v="5800"/>
    <n v="2.9"/>
  </r>
  <r>
    <d v="2022-01-28T00:00:00"/>
    <n v="41405"/>
    <s v="CH"/>
    <n v="80"/>
    <x v="0"/>
    <n v="4480"/>
    <n v="2.2400000000000002"/>
  </r>
  <r>
    <d v="2022-01-28T00:00:00"/>
    <n v="41406"/>
    <s v="JO"/>
    <n v="5"/>
    <x v="0"/>
    <n v="1080"/>
    <n v="0.54"/>
  </r>
  <r>
    <d v="2022-01-28T00:00:00"/>
    <n v="41407"/>
    <s v="HB"/>
    <n v="86"/>
    <x v="0"/>
    <n v="6280"/>
    <n v="3.14"/>
  </r>
  <r>
    <d v="2022-01-31T00:00:00"/>
    <n v="41408"/>
    <s v="JB"/>
    <n v="3"/>
    <x v="0"/>
    <n v="3300"/>
    <n v="1.65"/>
  </r>
  <r>
    <d v="2022-01-31T00:00:00"/>
    <n v="41409"/>
    <s v="VP"/>
    <n v="5"/>
    <x v="0"/>
    <n v="9980"/>
    <n v="4.99"/>
  </r>
  <r>
    <d v="2022-01-31T00:00:00"/>
    <n v="41410"/>
    <s v="CH"/>
    <n v="80"/>
    <x v="0"/>
    <n v="4440"/>
    <n v="2.2200000000000002"/>
  </r>
  <r>
    <d v="2022-01-31T00:00:00"/>
    <n v="41411"/>
    <s v="JO"/>
    <n v="86"/>
    <x v="0"/>
    <n v="5540"/>
    <n v="2.77"/>
  </r>
  <r>
    <d v="2022-01-31T00:00:00"/>
    <n v="41412"/>
    <s v="VP"/>
    <n v="5"/>
    <x v="0"/>
    <n v="6400"/>
    <n v="3.2"/>
  </r>
  <r>
    <d v="2022-01-31T00:00:00"/>
    <n v="41413"/>
    <s v="JB"/>
    <n v="83"/>
    <x v="1"/>
    <n v="7680"/>
    <n v="3.84"/>
  </r>
  <r>
    <d v="2022-02-01T00:00:00"/>
    <n v="41414"/>
    <s v="HB"/>
    <n v="86"/>
    <x v="0"/>
    <n v="6000"/>
    <n v="3"/>
  </r>
  <r>
    <d v="2022-02-01T00:00:00"/>
    <n v="41415"/>
    <s v="CH"/>
    <n v="80"/>
    <x v="0"/>
    <n v="3300"/>
    <n v="1.65"/>
  </r>
  <r>
    <d v="2022-02-01T00:00:00"/>
    <n v="41416"/>
    <s v="JB"/>
    <n v="81"/>
    <x v="1"/>
    <n v="2840"/>
    <n v="1.42"/>
  </r>
  <r>
    <d v="2022-02-02T00:00:00"/>
    <n v="41417"/>
    <s v="VP"/>
    <n v="5"/>
    <x v="0"/>
    <n v="9420"/>
    <n v="4.71"/>
  </r>
  <r>
    <d v="2022-02-02T00:00:00"/>
    <n v="41418"/>
    <s v="HB"/>
    <n v="86"/>
    <x v="0"/>
    <n v="4060"/>
    <n v="2.0299999999999998"/>
  </r>
  <r>
    <d v="2022-02-02T00:00:00"/>
    <n v="41419"/>
    <s v="VP"/>
    <n v="5"/>
    <x v="0"/>
    <n v="4280"/>
    <n v="2.14"/>
  </r>
  <r>
    <d v="2022-02-02T00:00:00"/>
    <n v="41420"/>
    <s v="JO"/>
    <n v="86"/>
    <x v="0"/>
    <n v="5340"/>
    <n v="2.67"/>
  </r>
  <r>
    <d v="2022-02-03T00:00:00"/>
    <n v="41421"/>
    <s v="JO"/>
    <n v="86"/>
    <x v="0"/>
    <n v="7160"/>
    <n v="3.58"/>
  </r>
  <r>
    <d v="2022-02-03T00:00:00"/>
    <n v="41422"/>
    <s v="JO"/>
    <n v="86"/>
    <x v="0"/>
    <n v="5580"/>
    <n v="2.79"/>
  </r>
  <r>
    <d v="2022-02-03T00:00:00"/>
    <n v="41423"/>
    <s v="CH"/>
    <n v="80"/>
    <x v="0"/>
    <n v="4280"/>
    <n v="2.14"/>
  </r>
  <r>
    <d v="2022-02-03T00:00:00"/>
    <n v="41424"/>
    <s v="SV"/>
    <n v="7"/>
    <x v="0"/>
    <n v="4680"/>
    <n v="2.34"/>
  </r>
  <r>
    <d v="2022-02-03T00:00:00"/>
    <n v="41425"/>
    <s v="JB"/>
    <n v="83"/>
    <x v="1"/>
    <n v="7700"/>
    <n v="3.85"/>
  </r>
  <r>
    <d v="2022-02-04T00:00:00"/>
    <n v="41426"/>
    <s v="VP"/>
    <n v="5"/>
    <x v="0"/>
    <n v="4780"/>
    <n v="2.39"/>
  </r>
  <r>
    <d v="2022-02-04T00:00:00"/>
    <n v="41427"/>
    <s v="VP"/>
    <n v="5"/>
    <x v="0"/>
    <n v="5220"/>
    <n v="2.61"/>
  </r>
  <r>
    <d v="2022-02-04T00:00:00"/>
    <n v="41428"/>
    <s v="CH"/>
    <n v="80"/>
    <x v="0"/>
    <n v="3980"/>
    <n v="1.99"/>
  </r>
  <r>
    <d v="2022-02-04T00:00:00"/>
    <n v="41429"/>
    <s v="HB"/>
    <n v="86"/>
    <x v="0"/>
    <n v="6660"/>
    <n v="3.33"/>
  </r>
  <r>
    <d v="2022-02-04T00:00:00"/>
    <n v="41430"/>
    <s v="VP"/>
    <n v="5"/>
    <x v="0"/>
    <n v="2760"/>
    <n v="1.38"/>
  </r>
  <r>
    <d v="2022-02-07T00:00:00"/>
    <n v="41431"/>
    <s v="VP"/>
    <n v="5"/>
    <x v="0"/>
    <n v="7600"/>
    <n v="3.8"/>
  </r>
  <r>
    <d v="2022-02-07T00:00:00"/>
    <n v="41432"/>
    <s v="JB"/>
    <n v="3"/>
    <x v="0"/>
    <n v="2840"/>
    <n v="1.42"/>
  </r>
  <r>
    <d v="2022-02-07T00:00:00"/>
    <n v="41433"/>
    <s v="VP"/>
    <n v="5"/>
    <x v="0"/>
    <n v="4180"/>
    <n v="2.09"/>
  </r>
  <r>
    <d v="2022-02-07T00:00:00"/>
    <n v="41434"/>
    <s v="CH"/>
    <n v="80"/>
    <x v="0"/>
    <n v="3560"/>
    <n v="1.78"/>
  </r>
  <r>
    <d v="2022-02-07T00:00:00"/>
    <n v="41435"/>
    <s v="JO"/>
    <n v="86"/>
    <x v="0"/>
    <n v="6260"/>
    <n v="3.13"/>
  </r>
  <r>
    <d v="2022-02-07T00:00:00"/>
    <n v="41436"/>
    <s v="VP"/>
    <n v="5"/>
    <x v="0"/>
    <n v="6740"/>
    <n v="3.37"/>
  </r>
  <r>
    <d v="2022-02-07T00:00:00"/>
    <n v="41437"/>
    <s v="JB"/>
    <n v="84"/>
    <x v="1"/>
    <n v="6720"/>
    <n v="3.36"/>
  </r>
  <r>
    <d v="2022-02-08T00:00:00"/>
    <n v="41438"/>
    <s v="JB"/>
    <n v="82"/>
    <x v="1"/>
    <n v="6160"/>
    <n v="3.08"/>
  </r>
  <r>
    <d v="2022-02-08T00:00:00"/>
    <n v="41439"/>
    <s v="CH"/>
    <n v="80"/>
    <x v="0"/>
    <n v="3600"/>
    <n v="1.8"/>
  </r>
  <r>
    <d v="2022-02-08T00:00:00"/>
    <n v="41440"/>
    <s v="JO"/>
    <n v="86"/>
    <x v="0"/>
    <n v="5320"/>
    <n v="2.66"/>
  </r>
  <r>
    <d v="2022-02-09T00:00:00"/>
    <n v="41441"/>
    <s v="VP"/>
    <n v="5"/>
    <x v="0"/>
    <n v="8300"/>
    <n v="4.1500000000000004"/>
  </r>
  <r>
    <d v="2022-02-09T00:00:00"/>
    <n v="41442"/>
    <s v="HB"/>
    <n v="10"/>
    <x v="0"/>
    <n v="3560"/>
    <n v="1.78"/>
  </r>
  <r>
    <d v="2022-02-09T00:00:00"/>
    <n v="41443"/>
    <s v="VP"/>
    <n v="5"/>
    <x v="0"/>
    <n v="4520"/>
    <n v="2.2599999999999998"/>
  </r>
  <r>
    <d v="2022-02-09T00:00:00"/>
    <n v="41444"/>
    <s v="JB"/>
    <n v="80"/>
    <x v="1"/>
    <n v="4120"/>
    <n v="2.06"/>
  </r>
  <r>
    <d v="2022-02-09T00:00:00"/>
    <n v="41445"/>
    <s v="JO"/>
    <n v="86"/>
    <x v="0"/>
    <n v="5140"/>
    <n v="2.57"/>
  </r>
  <r>
    <d v="2022-02-09T00:00:00"/>
    <n v="41446"/>
    <s v="JB"/>
    <n v="2"/>
    <x v="1"/>
    <n v="740"/>
    <n v="0.37"/>
  </r>
  <r>
    <d v="2022-02-10T00:00:00"/>
    <n v="41447"/>
    <s v="BDI"/>
    <m/>
    <x v="3"/>
    <n v="7040"/>
    <n v="3.52"/>
  </r>
  <r>
    <d v="2022-02-10T00:00:00"/>
    <n v="41448"/>
    <s v="BDI"/>
    <m/>
    <x v="3"/>
    <n v="5660"/>
    <n v="2.83"/>
  </r>
  <r>
    <d v="2022-02-10T00:00:00"/>
    <n v="41449"/>
    <s v="JO"/>
    <n v="86"/>
    <x v="0"/>
    <n v="7960"/>
    <n v="3.98"/>
  </r>
  <r>
    <d v="2022-02-10T00:00:00"/>
    <n v="41450"/>
    <s v="BDI"/>
    <m/>
    <x v="3"/>
    <n v="6240"/>
    <n v="3.12"/>
  </r>
  <r>
    <d v="2022-02-10T00:00:00"/>
    <n v="41451"/>
    <s v="BDI"/>
    <m/>
    <x v="3"/>
    <n v="6000"/>
    <n v="3"/>
  </r>
  <r>
    <d v="2022-02-10T00:00:00"/>
    <n v="41452"/>
    <s v="JO"/>
    <n v="86"/>
    <x v="0"/>
    <n v="5180"/>
    <n v="2.59"/>
  </r>
  <r>
    <d v="2022-02-10T00:00:00"/>
    <n v="41453"/>
    <s v="JB"/>
    <n v="84"/>
    <x v="1"/>
    <n v="3880"/>
    <n v="1.94"/>
  </r>
  <r>
    <d v="2022-02-10T00:00:00"/>
    <n v="41454"/>
    <s v="SV"/>
    <n v="7"/>
    <x v="0"/>
    <n v="5020"/>
    <n v="2.5099999999999998"/>
  </r>
  <r>
    <d v="2022-02-10T00:00:00"/>
    <n v="41455"/>
    <s v="CH"/>
    <n v="80"/>
    <x v="0"/>
    <n v="4680"/>
    <n v="2.34"/>
  </r>
  <r>
    <d v="2022-02-11T00:00:00"/>
    <n v="41456"/>
    <s v="VP"/>
    <n v="5"/>
    <x v="0"/>
    <n v="4880"/>
    <n v="2.44"/>
  </r>
  <r>
    <d v="2022-02-11T00:00:00"/>
    <n v="41457"/>
    <s v="VP"/>
    <n v="5"/>
    <x v="0"/>
    <n v="6600"/>
    <n v="3.3"/>
  </r>
  <r>
    <d v="2022-02-11T00:00:00"/>
    <n v="41458"/>
    <s v="CH"/>
    <n v="80"/>
    <x v="0"/>
    <n v="4040"/>
    <n v="2.02"/>
  </r>
  <r>
    <d v="2022-02-11T00:00:00"/>
    <n v="41459"/>
    <s v="HB"/>
    <n v="86"/>
    <x v="0"/>
    <n v="7000"/>
    <n v="3.5"/>
  </r>
  <r>
    <d v="2022-02-11T00:00:00"/>
    <n v="41460"/>
    <s v="VP"/>
    <n v="5"/>
    <x v="0"/>
    <n v="940"/>
    <n v="0.47"/>
  </r>
  <r>
    <d v="2022-02-14T00:00:00"/>
    <n v="41461"/>
    <s v="JB"/>
    <n v="3"/>
    <x v="0"/>
    <n v="3140"/>
    <n v="1.57"/>
  </r>
  <r>
    <d v="2022-02-14T00:00:00"/>
    <n v="41462"/>
    <s v="VP"/>
    <n v="5"/>
    <x v="0"/>
    <n v="10240"/>
    <n v="5.12"/>
  </r>
  <r>
    <d v="2022-02-14T00:00:00"/>
    <n v="41463"/>
    <s v="VP"/>
    <n v="5"/>
    <x v="0"/>
    <n v="7060"/>
    <n v="3.53"/>
  </r>
  <r>
    <d v="2022-02-14T00:00:00"/>
    <n v="41464"/>
    <s v="CH"/>
    <n v="80"/>
    <x v="0"/>
    <n v="4960"/>
    <n v="2.48"/>
  </r>
  <r>
    <d v="2022-02-14T00:00:00"/>
    <n v="41465"/>
    <s v="JO"/>
    <n v="86"/>
    <x v="0"/>
    <n v="5660"/>
    <n v="2.83"/>
  </r>
  <r>
    <d v="2022-02-14T00:00:00"/>
    <n v="41466"/>
    <s v="JB"/>
    <n v="83"/>
    <x v="1"/>
    <n v="6680"/>
    <n v="3.34"/>
  </r>
  <r>
    <d v="2022-02-15T00:00:00"/>
    <n v="41467"/>
    <s v="JO"/>
    <n v="86"/>
    <x v="0"/>
    <n v="6180"/>
    <n v="3.09"/>
  </r>
  <r>
    <d v="2022-02-15T00:00:00"/>
    <n v="41468"/>
    <s v="CH"/>
    <n v="80"/>
    <x v="0"/>
    <n v="2820"/>
    <n v="1.41"/>
  </r>
  <r>
    <d v="2022-02-15T00:00:00"/>
    <n v="41469"/>
    <s v="JB"/>
    <n v="81"/>
    <x v="1"/>
    <n v="3420"/>
    <n v="1.71"/>
  </r>
  <r>
    <d v="2022-02-16T00:00:00"/>
    <n v="41470"/>
    <s v="VP"/>
    <n v="5"/>
    <x v="0"/>
    <n v="7900"/>
    <n v="3.95"/>
  </r>
  <r>
    <d v="2022-02-16T00:00:00"/>
    <n v="41471"/>
    <s v="HB"/>
    <n v="10"/>
    <x v="0"/>
    <n v="3860"/>
    <n v="1.93"/>
  </r>
  <r>
    <d v="2022-02-16T00:00:00"/>
    <n v="41472"/>
    <s v="VP"/>
    <n v="5"/>
    <x v="0"/>
    <n v="4320"/>
    <n v="2.16"/>
  </r>
  <r>
    <d v="2022-02-16T00:00:00"/>
    <n v="41473"/>
    <s v="JO"/>
    <n v="86"/>
    <x v="0"/>
    <n v="5760"/>
    <n v="2.88"/>
  </r>
  <r>
    <d v="2022-02-17T00:00:00"/>
    <n v="41474"/>
    <s v="BDI"/>
    <m/>
    <x v="3"/>
    <n v="4400"/>
    <n v="2.2000000000000002"/>
  </r>
  <r>
    <d v="2022-02-17T00:00:00"/>
    <n v="41475"/>
    <s v="BDI"/>
    <m/>
    <x v="3"/>
    <n v="5900"/>
    <n v="2.95"/>
  </r>
  <r>
    <d v="2022-02-17T00:00:00"/>
    <n v="41476"/>
    <s v="JO"/>
    <n v="86"/>
    <x v="0"/>
    <n v="8440"/>
    <n v="4.22"/>
  </r>
  <r>
    <d v="2022-02-17T00:00:00"/>
    <n v="41477"/>
    <s v="BDI"/>
    <m/>
    <x v="3"/>
    <n v="3060"/>
    <n v="1.53"/>
  </r>
  <r>
    <d v="2022-02-17T00:00:00"/>
    <n v="41478"/>
    <s v="BDI"/>
    <m/>
    <x v="3"/>
    <n v="2680"/>
    <n v="1.34"/>
  </r>
  <r>
    <d v="2022-02-17T00:00:00"/>
    <n v="41479"/>
    <s v="JO"/>
    <n v="86"/>
    <x v="0"/>
    <n v="6580"/>
    <n v="3.29"/>
  </r>
  <r>
    <d v="2022-02-17T00:00:00"/>
    <n v="41480"/>
    <s v="SV"/>
    <n v="7"/>
    <x v="0"/>
    <n v="5400"/>
    <n v="2.7"/>
  </r>
  <r>
    <d v="2022-02-17T00:00:00"/>
    <n v="41481"/>
    <s v="CH"/>
    <n v="80"/>
    <x v="0"/>
    <n v="4120"/>
    <n v="2.06"/>
  </r>
  <r>
    <d v="2022-02-17T00:00:00"/>
    <n v="41482"/>
    <s v="JB"/>
    <n v="83"/>
    <x v="1"/>
    <n v="7360"/>
    <n v="3.68"/>
  </r>
  <r>
    <d v="2022-02-18T00:00:00"/>
    <n v="41483"/>
    <s v="VP"/>
    <n v="5"/>
    <x v="0"/>
    <n v="5820"/>
    <n v="2.91"/>
  </r>
  <r>
    <d v="2022-02-18T00:00:00"/>
    <n v="41484"/>
    <s v="VP"/>
    <n v="5"/>
    <x v="0"/>
    <n v="6760"/>
    <n v="3.38"/>
  </r>
  <r>
    <d v="2022-02-18T00:00:00"/>
    <n v="41485"/>
    <s v="CH"/>
    <n v="80"/>
    <x v="0"/>
    <n v="4060"/>
    <n v="2.0299999999999998"/>
  </r>
  <r>
    <d v="2022-02-18T00:00:00"/>
    <n v="41486"/>
    <s v="JO"/>
    <n v="86"/>
    <x v="0"/>
    <n v="6900"/>
    <n v="3.45"/>
  </r>
  <r>
    <d v="2022-02-18T00:00:00"/>
    <n v="41487"/>
    <s v="VP"/>
    <n v="5"/>
    <x v="0"/>
    <n v="940"/>
    <n v="0.47"/>
  </r>
  <r>
    <d v="2022-02-21T00:00:00"/>
    <n v="41488"/>
    <s v="JB"/>
    <n v="3"/>
    <x v="0"/>
    <n v="3360"/>
    <n v="1.681"/>
  </r>
  <r>
    <d v="2022-02-21T00:00:00"/>
    <n v="41489"/>
    <s v="VP"/>
    <n v="5"/>
    <x v="0"/>
    <n v="10140"/>
    <n v="5.07"/>
  </r>
  <r>
    <d v="2022-02-21T00:00:00"/>
    <n v="41490"/>
    <s v="CH"/>
    <n v="80"/>
    <x v="0"/>
    <n v="3400"/>
    <n v="1.7"/>
  </r>
  <r>
    <d v="2022-02-21T00:00:00"/>
    <n v="41491"/>
    <s v="VP"/>
    <n v="5"/>
    <x v="0"/>
    <n v="7740"/>
    <n v="3.87"/>
  </r>
  <r>
    <d v="2022-02-21T00:00:00"/>
    <n v="41492"/>
    <s v="JO"/>
    <n v="86"/>
    <x v="0"/>
    <n v="4580"/>
    <n v="2.29"/>
  </r>
  <r>
    <d v="2022-02-21T00:00:00"/>
    <n v="41493"/>
    <s v="JB"/>
    <n v="84"/>
    <x v="1"/>
    <n v="5620"/>
    <n v="2.81"/>
  </r>
  <r>
    <d v="2022-02-22T00:00:00"/>
    <n v="41494"/>
    <s v="CH"/>
    <n v="80"/>
    <x v="0"/>
    <n v="3420"/>
    <n v="1.71"/>
  </r>
  <r>
    <d v="2022-02-22T00:00:00"/>
    <n v="41495"/>
    <s v="HB"/>
    <n v="10"/>
    <x v="0"/>
    <n v="5280"/>
    <n v="2.64"/>
  </r>
  <r>
    <d v="2022-02-22T00:00:00"/>
    <n v="41496"/>
    <s v="JB"/>
    <n v="82"/>
    <x v="1"/>
    <n v="6080"/>
    <n v="3.04"/>
  </r>
  <r>
    <d v="2022-02-23T00:00:00"/>
    <n v="41497"/>
    <s v="JB"/>
    <n v="2"/>
    <x v="1"/>
    <n v="760"/>
    <n v="0.38"/>
  </r>
  <r>
    <d v="2022-02-23T00:00:00"/>
    <n v="41498"/>
    <s v="VP"/>
    <n v="5"/>
    <x v="0"/>
    <n v="7360"/>
    <n v="3.68"/>
  </r>
  <r>
    <d v="2022-02-23T00:00:00"/>
    <n v="41499"/>
    <s v="JO"/>
    <n v="86"/>
    <x v="0"/>
    <n v="3460"/>
    <n v="1.73"/>
  </r>
  <r>
    <d v="2022-02-23T00:00:00"/>
    <n v="41500"/>
    <s v="VP"/>
    <n v="5"/>
    <x v="0"/>
    <n v="5080"/>
    <n v="2.54"/>
  </r>
  <r>
    <d v="2022-02-23T00:00:00"/>
    <n v="41501"/>
    <s v="JB"/>
    <n v="80"/>
    <x v="1"/>
    <n v="4160"/>
    <n v="2.08"/>
  </r>
  <r>
    <d v="2022-02-23T00:00:00"/>
    <n v="41502"/>
    <s v="HB"/>
    <n v="10"/>
    <x v="0"/>
    <n v="4320"/>
    <n v="2.16"/>
  </r>
  <r>
    <d v="2022-02-24T00:00:00"/>
    <n v="41503"/>
    <s v="BDI"/>
    <m/>
    <x v="3"/>
    <n v="4740"/>
    <n v="2.37"/>
  </r>
  <r>
    <d v="2022-02-24T00:00:00"/>
    <n v="41504"/>
    <s v="BDI"/>
    <m/>
    <x v="3"/>
    <n v="4420"/>
    <n v="2.21"/>
  </r>
  <r>
    <d v="2022-02-24T00:00:00"/>
    <n v="41505"/>
    <s v="JO"/>
    <n v="86"/>
    <x v="0"/>
    <n v="5720"/>
    <n v="2.86"/>
  </r>
  <r>
    <d v="2022-02-24T00:00:00"/>
    <n v="41506"/>
    <s v="BDI"/>
    <m/>
    <x v="3"/>
    <n v="4380"/>
    <n v="2.19"/>
  </r>
  <r>
    <d v="2022-02-24T00:00:00"/>
    <n v="41507"/>
    <s v="BDI"/>
    <m/>
    <x v="3"/>
    <n v="4000"/>
    <n v="2"/>
  </r>
  <r>
    <d v="2022-02-24T00:00:00"/>
    <n v="41508"/>
    <s v="JB"/>
    <n v="84"/>
    <x v="1"/>
    <n v="3500"/>
    <n v="1.75"/>
  </r>
  <r>
    <d v="2022-02-24T00:00:00"/>
    <n v="41509"/>
    <s v="JO"/>
    <n v="86"/>
    <x v="0"/>
    <n v="4660"/>
    <n v="2.33"/>
  </r>
  <r>
    <d v="2022-02-24T00:00:00"/>
    <n v="41510"/>
    <s v="CH"/>
    <n v="80"/>
    <x v="0"/>
    <n v="3800"/>
    <n v="1.9"/>
  </r>
  <r>
    <d v="2022-02-24T00:00:00"/>
    <n v="41511"/>
    <s v="SV"/>
    <n v="7"/>
    <x v="0"/>
    <n v="5000"/>
    <n v="2.5"/>
  </r>
  <r>
    <d v="2022-02-25T00:00:00"/>
    <n v="41512"/>
    <s v="VP"/>
    <n v="5"/>
    <x v="0"/>
    <n v="5000"/>
    <n v="2.5"/>
  </r>
  <r>
    <d v="2022-02-25T00:00:00"/>
    <n v="41513"/>
    <s v="VP"/>
    <n v="5"/>
    <x v="0"/>
    <n v="5700"/>
    <n v="2.85"/>
  </r>
  <r>
    <d v="2022-02-25T00:00:00"/>
    <n v="41514"/>
    <s v="CH"/>
    <n v="80"/>
    <x v="0"/>
    <n v="3780"/>
    <n v="1.89"/>
  </r>
  <r>
    <d v="2022-02-25T00:00:00"/>
    <n v="41515"/>
    <s v="HB"/>
    <n v="10"/>
    <x v="0"/>
    <n v="5900"/>
    <n v="2.95"/>
  </r>
  <r>
    <d v="2022-02-25T00:00:00"/>
    <n v="41516"/>
    <s v="VP"/>
    <n v="5"/>
    <x v="0"/>
    <n v="620"/>
    <n v="0.31"/>
  </r>
  <r>
    <d v="2022-02-28T00:00:00"/>
    <n v="41517"/>
    <s v="JB"/>
    <n v="3"/>
    <x v="0"/>
    <n v="2780"/>
    <n v="1.39"/>
  </r>
  <r>
    <d v="2022-02-28T00:00:00"/>
    <n v="41518"/>
    <s v="VP"/>
    <n v="5"/>
    <x v="0"/>
    <n v="7540"/>
    <n v="3.77"/>
  </r>
  <r>
    <d v="2022-02-28T00:00:00"/>
    <n v="41519"/>
    <s v="VP"/>
    <n v="5"/>
    <x v="0"/>
    <n v="4940"/>
    <n v="2.4700000000000002"/>
  </r>
  <r>
    <d v="2022-02-28T00:00:00"/>
    <n v="41520"/>
    <s v="CH"/>
    <n v="80"/>
    <x v="0"/>
    <n v="3650"/>
    <n v="1.83"/>
  </r>
  <r>
    <d v="2022-02-28T00:00:00"/>
    <n v="41521"/>
    <s v="JB"/>
    <n v="83"/>
    <x v="1"/>
    <n v="6600"/>
    <n v="3.3"/>
  </r>
  <r>
    <d v="2022-02-28T00:00:00"/>
    <n v="41522"/>
    <s v="JO"/>
    <n v="86"/>
    <x v="0"/>
    <n v="6440"/>
    <n v="3.22"/>
  </r>
  <r>
    <d v="2022-02-28T00:00:00"/>
    <n v="41523"/>
    <s v="VP"/>
    <n v="5"/>
    <x v="0"/>
    <n v="5480"/>
    <n v="2.74"/>
  </r>
  <r>
    <d v="2022-03-01T00:00:00"/>
    <n v="41524"/>
    <s v="CH"/>
    <n v="80"/>
    <x v="0"/>
    <n v="3560"/>
    <n v="1.78"/>
  </r>
  <r>
    <d v="2022-03-01T00:00:00"/>
    <n v="41525"/>
    <s v="HB"/>
    <n v="10"/>
    <x v="0"/>
    <n v="5360"/>
    <n v="2.68"/>
  </r>
  <r>
    <d v="2022-03-01T00:00:00"/>
    <n v="41526"/>
    <s v="JB"/>
    <n v="81"/>
    <x v="1"/>
    <n v="2580"/>
    <n v="1.29"/>
  </r>
  <r>
    <d v="2022-03-02T00:00:00"/>
    <n v="41527"/>
    <s v="VP"/>
    <n v="5"/>
    <x v="0"/>
    <n v="8860"/>
    <n v="4.43"/>
  </r>
  <r>
    <d v="2022-03-02T00:00:00"/>
    <n v="41528"/>
    <s v="HB"/>
    <n v="10"/>
    <x v="0"/>
    <n v="4340"/>
    <n v="2.17"/>
  </r>
  <r>
    <d v="2022-03-02T00:00:00"/>
    <n v="41529"/>
    <s v="VP"/>
    <n v="5"/>
    <x v="0"/>
    <n v="4160"/>
    <n v="2.08"/>
  </r>
  <r>
    <d v="2022-03-02T00:00:00"/>
    <n v="41530"/>
    <s v="JO"/>
    <n v="86"/>
    <x v="3"/>
    <n v="5510"/>
    <n v="2.76"/>
  </r>
  <r>
    <d v="2022-03-03T00:00:00"/>
    <n v="41531"/>
    <s v="JO"/>
    <n v="86"/>
    <x v="0"/>
    <n v="7720"/>
    <n v="3.86"/>
  </r>
  <r>
    <d v="2022-03-03T00:00:00"/>
    <n v="41532"/>
    <s v="JO"/>
    <n v="86"/>
    <x v="0"/>
    <n v="5300"/>
    <n v="2.65"/>
  </r>
  <r>
    <d v="2022-03-03T00:00:00"/>
    <n v="41533"/>
    <s v="SV"/>
    <n v="7"/>
    <x v="0"/>
    <n v="4780"/>
    <n v="2.39"/>
  </r>
  <r>
    <d v="2022-03-03T00:00:00"/>
    <n v="41534"/>
    <s v="CH"/>
    <n v="80"/>
    <x v="0"/>
    <n v="4620"/>
    <n v="2.31"/>
  </r>
  <r>
    <d v="2022-03-03T00:00:00"/>
    <n v="41535"/>
    <s v="JB"/>
    <n v="83"/>
    <x v="1"/>
    <n v="7000"/>
    <n v="3.5"/>
  </r>
  <r>
    <d v="2022-03-04T00:00:00"/>
    <n v="41536"/>
    <s v="VP"/>
    <n v="5"/>
    <x v="0"/>
    <n v="6020"/>
    <n v="3.01"/>
  </r>
  <r>
    <d v="2022-03-04T00:00:00"/>
    <n v="41537"/>
    <s v="VP"/>
    <n v="5"/>
    <x v="0"/>
    <n v="5400"/>
    <n v="2.7"/>
  </r>
  <r>
    <d v="2022-03-04T00:00:00"/>
    <n v="41538"/>
    <s v="CH"/>
    <n v="80"/>
    <x v="0"/>
    <n v="4420"/>
    <n v="2.21"/>
  </r>
  <r>
    <d v="2022-03-04T00:00:00"/>
    <n v="41539"/>
    <s v="VP"/>
    <n v="5"/>
    <x v="0"/>
    <n v="960"/>
    <n v="0.48"/>
  </r>
  <r>
    <d v="2022-03-04T00:00:00"/>
    <n v="41540"/>
    <s v="HB"/>
    <n v="10"/>
    <x v="0"/>
    <n v="6920"/>
    <n v="3.46"/>
  </r>
  <r>
    <d v="2022-03-07T00:00:00"/>
    <n v="41541"/>
    <s v="VP"/>
    <n v="5"/>
    <x v="0"/>
    <n v="7660"/>
    <n v="3.83"/>
  </r>
  <r>
    <d v="2022-03-07T00:00:00"/>
    <n v="41542"/>
    <s v="VP"/>
    <n v="5"/>
    <x v="0"/>
    <n v="5140"/>
    <n v="2.57"/>
  </r>
  <r>
    <d v="2022-03-07T00:00:00"/>
    <n v="41543"/>
    <s v="CH"/>
    <n v="80"/>
    <x v="0"/>
    <n v="3440"/>
    <n v="1.72"/>
  </r>
  <r>
    <d v="2022-03-07T00:00:00"/>
    <n v="41544"/>
    <s v="VP"/>
    <n v="5"/>
    <x v="0"/>
    <n v="5520"/>
    <n v="2.76"/>
  </r>
  <r>
    <d v="2022-03-07T00:00:00"/>
    <n v="41545"/>
    <s v="JB"/>
    <n v="84"/>
    <x v="1"/>
    <n v="6340"/>
    <n v="3.17"/>
  </r>
  <r>
    <d v="2022-03-07T00:00:00"/>
    <n v="41546"/>
    <s v="JO"/>
    <n v="86"/>
    <x v="0"/>
    <n v="7020"/>
    <n v="3.51"/>
  </r>
  <r>
    <d v="2022-03-08T00:00:00"/>
    <n v="41547"/>
    <s v="JB"/>
    <n v="82"/>
    <x v="1"/>
    <n v="6080"/>
    <n v="3.04"/>
  </r>
  <r>
    <d v="2022-03-08T00:00:00"/>
    <n v="41548"/>
    <s v="CH"/>
    <n v="80"/>
    <x v="0"/>
    <n v="3220"/>
    <n v="1.61"/>
  </r>
  <r>
    <d v="2022-03-08T00:00:00"/>
    <n v="41549"/>
    <s v="HB"/>
    <n v="10"/>
    <x v="0"/>
    <n v="5660"/>
    <n v="2.83"/>
  </r>
  <r>
    <d v="2022-03-09T00:00:00"/>
    <n v="41550"/>
    <s v="VP"/>
    <n v="5"/>
    <x v="0"/>
    <n v="6200"/>
    <n v="3.1"/>
  </r>
  <r>
    <d v="2022-03-09T00:00:00"/>
    <n v="41551"/>
    <s v="JB"/>
    <n v="2"/>
    <x v="1"/>
    <n v="880"/>
    <n v="0.44"/>
  </r>
  <r>
    <d v="2022-03-09T00:00:00"/>
    <n v="41552"/>
    <s v="HB"/>
    <n v="10"/>
    <x v="0"/>
    <n v="3880"/>
    <n v="1.94"/>
  </r>
  <r>
    <d v="2022-03-09T00:00:00"/>
    <n v="41553"/>
    <s v="VP"/>
    <n v="5"/>
    <x v="0"/>
    <n v="7000"/>
    <n v="3.5"/>
  </r>
  <r>
    <d v="2022-03-09T00:00:00"/>
    <n v="41554"/>
    <s v="JB"/>
    <n v="80"/>
    <x v="1"/>
    <n v="4300"/>
    <n v="2.15"/>
  </r>
  <r>
    <d v="2022-03-09T00:00:00"/>
    <n v="41555"/>
    <s v="JO"/>
    <n v="86"/>
    <x v="0"/>
    <n v="5040"/>
    <n v="2.52"/>
  </r>
  <r>
    <d v="2022-03-10T00:00:00"/>
    <n v="41556"/>
    <s v="BDI"/>
    <m/>
    <x v="3"/>
    <n v="5520"/>
    <n v="2.76"/>
  </r>
  <r>
    <d v="2022-03-10T00:00:00"/>
    <n v="41557"/>
    <s v="BDI"/>
    <m/>
    <x v="3"/>
    <n v="4960"/>
    <n v="2.48"/>
  </r>
  <r>
    <d v="2022-03-10T00:00:00"/>
    <n v="41558"/>
    <s v="JO"/>
    <n v="86"/>
    <x v="0"/>
    <n v="7080"/>
    <n v="3.54"/>
  </r>
  <r>
    <d v="2022-03-10T00:00:00"/>
    <n v="41559"/>
    <s v="BDI"/>
    <m/>
    <x v="3"/>
    <n v="4420"/>
    <n v="2.21"/>
  </r>
  <r>
    <d v="2022-03-10T00:00:00"/>
    <n v="41560"/>
    <s v="BDI"/>
    <m/>
    <x v="3"/>
    <n v="4060"/>
    <n v="2.0299999999999998"/>
  </r>
  <r>
    <d v="2022-03-10T00:00:00"/>
    <n v="41561"/>
    <s v="JO"/>
    <n v="86"/>
    <x v="0"/>
    <n v="6100"/>
    <n v="3.05"/>
  </r>
  <r>
    <d v="2022-03-10T00:00:00"/>
    <n v="41562"/>
    <s v="JB"/>
    <n v="84"/>
    <x v="1"/>
    <n v="3980"/>
    <n v="1.99"/>
  </r>
  <r>
    <d v="2022-03-10T00:00:00"/>
    <n v="41563"/>
    <s v="CH"/>
    <n v="80"/>
    <x v="0"/>
    <n v="4380"/>
    <n v="2.19"/>
  </r>
  <r>
    <d v="2022-03-10T00:00:00"/>
    <n v="41564"/>
    <s v="SV"/>
    <n v="7"/>
    <x v="0"/>
    <n v="4160"/>
    <n v="2.08"/>
  </r>
  <r>
    <d v="2022-03-11T00:00:00"/>
    <n v="41565"/>
    <s v="VP"/>
    <n v="5"/>
    <x v="0"/>
    <n v="5500"/>
    <n v="2.75"/>
  </r>
  <r>
    <d v="2022-03-11T00:00:00"/>
    <n v="41566"/>
    <s v="VP"/>
    <n v="5"/>
    <x v="0"/>
    <n v="5280"/>
    <n v="2.64"/>
  </r>
  <r>
    <d v="2022-03-11T00:00:00"/>
    <n v="41567"/>
    <s v="CH"/>
    <n v="80"/>
    <x v="0"/>
    <n v="4240"/>
    <n v="2.12"/>
  </r>
  <r>
    <d v="2022-03-11T00:00:00"/>
    <n v="41568"/>
    <s v="HB"/>
    <n v="10"/>
    <x v="0"/>
    <n v="6480"/>
    <n v="3.24"/>
  </r>
  <r>
    <d v="2022-03-11T00:00:00"/>
    <n v="41569"/>
    <s v="VP"/>
    <n v="5"/>
    <x v="0"/>
    <n v="1440"/>
    <n v="0.72"/>
  </r>
  <r>
    <d v="2022-03-11T00:00:00"/>
    <n v="41570"/>
    <s v="VP"/>
    <n v="5"/>
    <x v="0"/>
    <n v="6440"/>
    <n v="3.22"/>
  </r>
  <r>
    <d v="2022-03-14T00:00:00"/>
    <n v="41571"/>
    <s v="JB"/>
    <n v="3"/>
    <x v="0"/>
    <n v="3100"/>
    <n v="1.55"/>
  </r>
  <r>
    <d v="2022-03-14T00:00:00"/>
    <n v="41572"/>
    <s v="VP"/>
    <n v="5"/>
    <x v="0"/>
    <n v="5500"/>
    <n v="2.75"/>
  </r>
  <r>
    <d v="2022-03-14T00:00:00"/>
    <n v="41573"/>
    <s v="CH"/>
    <n v="80"/>
    <x v="0"/>
    <n v="5360"/>
    <n v="2.68"/>
  </r>
  <r>
    <d v="2022-03-14T00:00:00"/>
    <n v="41574"/>
    <s v="JB"/>
    <n v="83"/>
    <x v="1"/>
    <n v="6860"/>
    <n v="3.43"/>
  </r>
  <r>
    <d v="2022-03-14T00:00:00"/>
    <n v="41575"/>
    <s v="VP"/>
    <n v="5"/>
    <x v="0"/>
    <n v="6660"/>
    <n v="3.33"/>
  </r>
  <r>
    <d v="2022-03-14T00:00:00"/>
    <n v="41576"/>
    <s v="JO"/>
    <n v="86"/>
    <x v="0"/>
    <n v="6800"/>
    <n v="3.4"/>
  </r>
  <r>
    <d v="2022-03-15T00:00:00"/>
    <n v="41577"/>
    <s v="CH"/>
    <n v="80"/>
    <x v="0"/>
    <n v="2920"/>
    <n v="1.46"/>
  </r>
  <r>
    <d v="2022-03-15T00:00:00"/>
    <n v="41578"/>
    <s v="HB"/>
    <n v="10"/>
    <x v="0"/>
    <n v="5860"/>
    <n v="2.93"/>
  </r>
  <r>
    <d v="2022-03-15T00:00:00"/>
    <n v="41579"/>
    <s v="JB"/>
    <n v="81"/>
    <x v="1"/>
    <n v="2860"/>
    <n v="1.42"/>
  </r>
  <r>
    <d v="2022-03-16T00:00:00"/>
    <n v="41580"/>
    <s v="VP"/>
    <n v="5"/>
    <x v="0"/>
    <n v="8820"/>
    <n v="4.41"/>
  </r>
  <r>
    <d v="2022-03-16T00:00:00"/>
    <n v="41581"/>
    <s v="HB"/>
    <n v="10"/>
    <x v="0"/>
    <n v="4160"/>
    <n v="2.08"/>
  </r>
  <r>
    <d v="2022-03-16T00:00:00"/>
    <n v="41582"/>
    <s v="VP"/>
    <n v="5"/>
    <x v="0"/>
    <n v="3600"/>
    <n v="1.8"/>
  </r>
  <r>
    <d v="2022-03-17T00:00:00"/>
    <n v="41583"/>
    <s v="BDI"/>
    <m/>
    <x v="3"/>
    <n v="3480"/>
    <n v="1.74"/>
  </r>
  <r>
    <d v="2022-03-17T00:00:00"/>
    <n v="41584"/>
    <s v="BDI"/>
    <m/>
    <x v="3"/>
    <n v="4960"/>
    <n v="2.48"/>
  </r>
  <r>
    <d v="2022-03-17T00:00:00"/>
    <n v="41585"/>
    <s v="BDI"/>
    <m/>
    <x v="3"/>
    <n v="2260"/>
    <n v="1.1299999999999999"/>
  </r>
  <r>
    <d v="2022-03-17T00:00:00"/>
    <n v="41586"/>
    <s v="BDI"/>
    <m/>
    <x v="3"/>
    <n v="1680"/>
    <n v="0.84"/>
  </r>
  <r>
    <d v="2022-03-17T00:00:00"/>
    <n v="41587"/>
    <s v="JO"/>
    <n v="86"/>
    <x v="0"/>
    <n v="10480"/>
    <n v="5.24"/>
  </r>
  <r>
    <d v="2022-03-17T00:00:00"/>
    <n v="41588"/>
    <s v="CH"/>
    <n v="80"/>
    <x v="0"/>
    <n v="4360"/>
    <n v="2.1800000000000002"/>
  </r>
  <r>
    <d v="2022-03-17T00:00:00"/>
    <n v="41589"/>
    <s v="SV"/>
    <n v="7"/>
    <x v="0"/>
    <n v="4580"/>
    <n v="2.29"/>
  </r>
  <r>
    <d v="2022-03-17T00:00:00"/>
    <n v="41590"/>
    <s v="JO"/>
    <n v="86"/>
    <x v="0"/>
    <n v="8020"/>
    <n v="4.01"/>
  </r>
  <r>
    <d v="2022-03-17T00:00:00"/>
    <n v="41591"/>
    <s v="JB"/>
    <n v="83"/>
    <x v="1"/>
    <n v="7020"/>
    <n v="3.51"/>
  </r>
  <r>
    <d v="2022-03-18T00:00:00"/>
    <n v="41592"/>
    <s v="VP"/>
    <n v="5"/>
    <x v="0"/>
    <n v="5220"/>
    <n v="2.61"/>
  </r>
  <r>
    <d v="2022-03-18T00:00:00"/>
    <n v="41593"/>
    <s v="VP"/>
    <n v="5"/>
    <x v="0"/>
    <n v="6260"/>
    <n v="3.13"/>
  </r>
  <r>
    <d v="2022-03-18T00:00:00"/>
    <n v="41594"/>
    <s v="CH"/>
    <n v="80"/>
    <x v="0"/>
    <n v="4720"/>
    <n v="2.36"/>
  </r>
  <r>
    <d v="2022-03-18T00:00:00"/>
    <n v="41595"/>
    <s v="HB"/>
    <n v="10"/>
    <x v="0"/>
    <n v="6340"/>
    <n v="3.17"/>
  </r>
  <r>
    <d v="2022-03-18T00:00:00"/>
    <n v="41596"/>
    <s v="VP"/>
    <n v="5"/>
    <x v="0"/>
    <n v="1560"/>
    <n v="0.78"/>
  </r>
  <r>
    <d v="2022-03-21T00:00:00"/>
    <n v="41597"/>
    <s v="JB"/>
    <n v="3"/>
    <x v="0"/>
    <n v="3420"/>
    <n v="1.71"/>
  </r>
  <r>
    <d v="2022-03-21T00:00:00"/>
    <n v="41598"/>
    <s v="VP"/>
    <n v="5"/>
    <x v="0"/>
    <n v="10680"/>
    <n v="5.34"/>
  </r>
  <r>
    <d v="2022-03-21T00:00:00"/>
    <n v="41599"/>
    <s v="VP"/>
    <n v="5"/>
    <x v="0"/>
    <n v="4300"/>
    <n v="2.15"/>
  </r>
  <r>
    <d v="2022-03-21T00:00:00"/>
    <n v="41600"/>
    <s v="CH"/>
    <n v="80"/>
    <x v="0"/>
    <n v="3360"/>
    <n v="1.68"/>
  </r>
  <r>
    <d v="2022-03-21T00:00:00"/>
    <n v="41601"/>
    <s v="VP"/>
    <n v="5"/>
    <x v="0"/>
    <n v="6380"/>
    <n v="3.19"/>
  </r>
  <r>
    <d v="2022-03-21T00:00:00"/>
    <n v="41602"/>
    <s v="JB"/>
    <n v="84"/>
    <x v="1"/>
    <n v="6420"/>
    <n v="3.21"/>
  </r>
  <r>
    <d v="2022-03-21T00:00:00"/>
    <n v="41603"/>
    <s v="JO"/>
    <n v="86"/>
    <x v="0"/>
    <n v="6180"/>
    <n v="3.09"/>
  </r>
  <r>
    <d v="2022-03-22T00:00:00"/>
    <n v="41604"/>
    <s v="JB"/>
    <n v="82"/>
    <x v="1"/>
    <n v="5860"/>
    <n v="2.93"/>
  </r>
  <r>
    <d v="2022-03-22T00:00:00"/>
    <n v="41605"/>
    <s v="CH"/>
    <n v="80"/>
    <x v="0"/>
    <n v="2940"/>
    <n v="1.47"/>
  </r>
  <r>
    <d v="2022-03-22T00:00:00"/>
    <n v="41606"/>
    <s v="HB"/>
    <n v="10"/>
    <x v="0"/>
    <n v="5600"/>
    <n v="2.8"/>
  </r>
  <r>
    <d v="2022-03-23T00:00:00"/>
    <n v="41607"/>
    <s v="JB"/>
    <n v="2"/>
    <x v="1"/>
    <n v="980"/>
    <n v="0.49"/>
  </r>
  <r>
    <d v="2022-03-23T00:00:00"/>
    <n v="41608"/>
    <s v="VP"/>
    <n v="5"/>
    <x v="0"/>
    <n v="8580"/>
    <n v="4.29"/>
  </r>
  <r>
    <d v="2022-03-23T00:00:00"/>
    <n v="41609"/>
    <s v="HB"/>
    <n v="10"/>
    <x v="0"/>
    <n v="4740"/>
    <n v="2.37"/>
  </r>
  <r>
    <d v="2022-03-23T00:00:00"/>
    <n v="41610"/>
    <s v="VP"/>
    <n v="5"/>
    <x v="0"/>
    <n v="4000"/>
    <n v="2"/>
  </r>
  <r>
    <d v="2022-03-23T00:00:00"/>
    <n v="41611"/>
    <s v="JB"/>
    <n v="80"/>
    <x v="1"/>
    <n v="4040"/>
    <n v="2.02"/>
  </r>
  <r>
    <d v="2022-03-23T00:00:00"/>
    <n v="41612"/>
    <s v="JO"/>
    <n v="86"/>
    <x v="0"/>
    <n v="4700"/>
    <n v="2.35"/>
  </r>
  <r>
    <d v="2022-03-24T00:00:00"/>
    <n v="41613"/>
    <s v="BDI"/>
    <m/>
    <x v="3"/>
    <n v="4880"/>
    <n v="2.44"/>
  </r>
  <r>
    <d v="2022-03-24T00:00:00"/>
    <n v="41614"/>
    <s v="BDI"/>
    <m/>
    <x v="3"/>
    <n v="4520"/>
    <n v="2.2599999999999998"/>
  </r>
  <r>
    <d v="2022-03-24T00:00:00"/>
    <n v="41615"/>
    <s v="JO"/>
    <n v="86"/>
    <x v="0"/>
    <n v="7840"/>
    <n v="3.92"/>
  </r>
  <r>
    <d v="2022-03-24T00:00:00"/>
    <n v="41616"/>
    <s v="BDI"/>
    <m/>
    <x v="3"/>
    <n v="4140"/>
    <n v="2.0699999999999998"/>
  </r>
  <r>
    <d v="2022-03-24T00:00:00"/>
    <n v="41617"/>
    <s v="BDI"/>
    <m/>
    <x v="3"/>
    <n v="4760"/>
    <n v="2.38"/>
  </r>
  <r>
    <d v="2022-03-24T00:00:00"/>
    <n v="41618"/>
    <s v="JO"/>
    <n v="86"/>
    <x v="0"/>
    <n v="9880"/>
    <n v="4.99"/>
  </r>
  <r>
    <d v="2022-03-24T00:00:00"/>
    <n v="41619"/>
    <s v="SC"/>
    <n v="7"/>
    <x v="0"/>
    <n v="4880"/>
    <n v="2.44"/>
  </r>
  <r>
    <d v="2022-03-24T00:00:00"/>
    <n v="41620"/>
    <s v="CH"/>
    <n v="80"/>
    <x v="0"/>
    <n v="4660"/>
    <n v="2.33"/>
  </r>
  <r>
    <d v="2022-03-24T00:00:00"/>
    <n v="41626"/>
    <s v="JB"/>
    <n v="84"/>
    <x v="1"/>
    <n v="3920"/>
    <n v="1.96"/>
  </r>
  <r>
    <d v="2022-03-25T00:00:00"/>
    <n v="41627"/>
    <s v="SC"/>
    <n v="5"/>
    <x v="0"/>
    <n v="10780"/>
    <n v="5.39"/>
  </r>
  <r>
    <d v="2022-03-25T00:00:00"/>
    <n v="41628"/>
    <s v="SC"/>
    <n v="5"/>
    <x v="0"/>
    <n v="2160"/>
    <n v="1.08"/>
  </r>
  <r>
    <d v="2022-03-25T00:00:00"/>
    <n v="41629"/>
    <s v="CH"/>
    <n v="80"/>
    <x v="0"/>
    <n v="4460"/>
    <n v="2.23"/>
  </r>
  <r>
    <d v="2022-03-25T00:00:00"/>
    <n v="41630"/>
    <s v="HB"/>
    <n v="10"/>
    <x v="0"/>
    <n v="6540"/>
    <n v="3.27"/>
  </r>
  <r>
    <d v="2022-03-28T00:00:00"/>
    <n v="41631"/>
    <s v="VP"/>
    <n v="5"/>
    <x v="0"/>
    <n v="7100"/>
    <n v="3.55"/>
  </r>
  <r>
    <d v="2022-03-28T00:00:00"/>
    <n v="41632"/>
    <s v="JB"/>
    <n v="3"/>
    <x v="0"/>
    <n v="3720"/>
    <n v="1.86"/>
  </r>
  <r>
    <d v="2022-03-28T00:00:00"/>
    <n v="41633"/>
    <s v="VP"/>
    <n v="5"/>
    <x v="0"/>
    <n v="5060"/>
    <n v="2.5299999999999998"/>
  </r>
  <r>
    <d v="2022-03-28T00:00:00"/>
    <n v="41634"/>
    <s v="CH"/>
    <n v="80"/>
    <x v="0"/>
    <n v="4740"/>
    <n v="2.37"/>
  </r>
  <r>
    <d v="2022-03-28T00:00:00"/>
    <n v="41635"/>
    <s v="JB"/>
    <n v="83"/>
    <x v="1"/>
    <n v="6840"/>
    <n v="3.42"/>
  </r>
  <r>
    <d v="2022-03-28T00:00:00"/>
    <n v="41636"/>
    <s v="VP"/>
    <n v="5"/>
    <x v="0"/>
    <n v="6100"/>
    <n v="3.05"/>
  </r>
  <r>
    <d v="2022-03-28T00:00:00"/>
    <n v="41637"/>
    <s v="JO"/>
    <n v="86"/>
    <x v="0"/>
    <n v="6520"/>
    <n v="3.26"/>
  </r>
  <r>
    <d v="2022-03-29T00:00:00"/>
    <n v="41638"/>
    <s v="CH"/>
    <n v="80"/>
    <x v="0"/>
    <n v="2820"/>
    <n v="1.41"/>
  </r>
  <r>
    <d v="2022-03-29T00:00:00"/>
    <n v="41639"/>
    <s v="HB"/>
    <n v="10"/>
    <x v="0"/>
    <n v="5900"/>
    <n v="2.95"/>
  </r>
  <r>
    <d v="2022-03-29T00:00:00"/>
    <n v="41640"/>
    <s v="JB"/>
    <n v="81"/>
    <x v="1"/>
    <n v="2640"/>
    <n v="1.32"/>
  </r>
  <r>
    <d v="2022-03-30T00:00:00"/>
    <n v="41641"/>
    <s v="VP"/>
    <n v="5"/>
    <x v="0"/>
    <n v="8600"/>
    <n v="4.3"/>
  </r>
  <r>
    <d v="2022-03-30T00:00:00"/>
    <n v="41642"/>
    <s v="HB"/>
    <n v="10"/>
    <x v="0"/>
    <n v="3840"/>
    <n v="1.92"/>
  </r>
  <r>
    <d v="2022-03-30T00:00:00"/>
    <n v="41643"/>
    <s v="VP"/>
    <n v="5"/>
    <x v="0"/>
    <n v="4320"/>
    <n v="2.16"/>
  </r>
  <r>
    <d v="2022-03-30T00:00:00"/>
    <n v="41644"/>
    <s v="JO"/>
    <n v="86"/>
    <x v="0"/>
    <n v="5120"/>
    <n v="2.56"/>
  </r>
  <r>
    <d v="2022-03-31T00:00:00"/>
    <n v="41645"/>
    <s v="JO"/>
    <n v="86"/>
    <x v="0"/>
    <n v="7860"/>
    <n v="3.93"/>
  </r>
  <r>
    <d v="2022-03-31T00:00:00"/>
    <n v="41646"/>
    <s v="JO"/>
    <n v="86"/>
    <x v="0"/>
    <n v="6260"/>
    <n v="3.13"/>
  </r>
  <r>
    <d v="2022-03-31T00:00:00"/>
    <n v="41647"/>
    <s v="CH"/>
    <n v="80"/>
    <x v="0"/>
    <n v="4060"/>
    <n v="2.0299999999999998"/>
  </r>
  <r>
    <d v="2022-03-31T00:00:00"/>
    <n v="41648"/>
    <s v="JB"/>
    <n v="83"/>
    <x v="1"/>
    <n v="6640"/>
    <n v="3.3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6">
  <r>
    <x v="0"/>
    <x v="0"/>
    <n v="6000"/>
    <n v="0"/>
    <s v="USD"/>
    <s v="JRNLWA00353225"/>
    <s v="P"/>
    <s v="April 20th Insurance Entry"/>
    <s v="HeatherWe"/>
    <s v="0/JE IC"/>
    <m/>
    <m/>
    <s v="Auto NI claim 55564953989447"/>
    <m/>
    <m/>
    <m/>
    <m/>
    <m/>
    <m/>
    <s v="JRNL00840818"/>
    <s v="JRNL00840818"/>
    <m/>
    <d v="2017-04-21T00:00:00"/>
    <d v="2017-04-25T00:00:00"/>
    <m/>
    <m/>
    <s v="wci_wa"/>
    <n v="0"/>
    <n v="0"/>
    <n v="0"/>
    <n v="0"/>
    <n v="0"/>
    <n v="1"/>
    <n v="59341"/>
    <n v="2195"/>
    <n v="0"/>
    <n v="0"/>
    <m/>
    <m/>
    <m/>
    <m/>
    <s v=""/>
  </r>
  <r>
    <x v="0"/>
    <x v="0"/>
    <n v="1250"/>
    <n v="0"/>
    <s v="USD"/>
    <s v="JRNLWA00353225"/>
    <s v="P"/>
    <s v="April 20th Insurance Entry"/>
    <s v="HeatherWe"/>
    <s v="0/JE IC"/>
    <m/>
    <m/>
    <s v="Auto NI claim 55564954604094"/>
    <m/>
    <m/>
    <m/>
    <m/>
    <m/>
    <m/>
    <s v="JRNL00840818"/>
    <s v="JRNL00840818"/>
    <m/>
    <d v="2017-04-21T00:00:00"/>
    <d v="2017-04-25T00:00:00"/>
    <m/>
    <m/>
    <s v="wci_wa"/>
    <n v="0"/>
    <n v="0"/>
    <n v="0"/>
    <n v="0"/>
    <n v="0"/>
    <n v="1"/>
    <n v="59341"/>
    <n v="2195"/>
    <n v="0"/>
    <n v="0"/>
    <m/>
    <m/>
    <m/>
    <m/>
    <s v=""/>
  </r>
  <r>
    <x v="1"/>
    <x v="1"/>
    <n v="786.18"/>
    <n v="0"/>
    <s v="USD"/>
    <s v="JRNLWA00353598"/>
    <s v="P"/>
    <s v="PCard Activity April - Western"/>
    <s v="HeatherWe"/>
    <s v="0/JE IC"/>
    <m/>
    <m/>
    <s v="LP BODY SHOP INC~CHRISTIE HERBST"/>
    <m/>
    <m/>
    <m/>
    <m/>
    <m/>
    <m/>
    <s v="JRNL00841892"/>
    <s v="JRNL00841892"/>
    <m/>
    <d v="2017-05-02T00:00:00"/>
    <d v="2017-05-03T00:00:00"/>
    <m/>
    <m/>
    <s v="wci_wa"/>
    <n v="0"/>
    <n v="0"/>
    <n v="0"/>
    <n v="0"/>
    <n v="0"/>
    <n v="1"/>
    <n v="59400"/>
    <n v="2195"/>
    <n v="0"/>
    <n v="0"/>
    <m/>
    <m/>
    <m/>
    <m/>
    <s v=""/>
  </r>
  <r>
    <x v="2"/>
    <x v="2"/>
    <n v="4800"/>
    <n v="0"/>
    <s v="USD"/>
    <s v="JRNLWA00354924"/>
    <s v="P"/>
    <s v="May 31st Insurance Entry"/>
    <s v="HeatherWe"/>
    <s v="0/JE IC"/>
    <m/>
    <m/>
    <s v="WC NI claim 69677804079482"/>
    <m/>
    <m/>
    <m/>
    <m/>
    <m/>
    <m/>
    <s v="JRNL00845295"/>
    <s v="JRNL00845295"/>
    <m/>
    <d v="2017-06-01T00:00:00"/>
    <d v="2017-06-02T00:00:00"/>
    <m/>
    <m/>
    <s v="wci_wa"/>
    <n v="0"/>
    <n v="0"/>
    <n v="0"/>
    <n v="0"/>
    <n v="0"/>
    <n v="1"/>
    <n v="59343"/>
    <n v="2195"/>
    <n v="0"/>
    <n v="0"/>
    <m/>
    <m/>
    <m/>
    <m/>
    <s v=""/>
  </r>
  <r>
    <x v="1"/>
    <x v="3"/>
    <n v="2000"/>
    <n v="0"/>
    <s v="USD"/>
    <s v="JRNLWA00356241"/>
    <s v="P"/>
    <s v="From Voucher Posting."/>
    <s v="RosemaryS"/>
    <s v="0/JE IC"/>
    <s v="1TIME"/>
    <s v="Doug Hammerstrom"/>
    <s v="ONE TIME VENDOR"/>
    <d v="2017-06-01T00:00:00"/>
    <s v="Damage-Mike Leiferman (driver)"/>
    <s v="Leiferman-damage"/>
    <s v="PO-2195-17-01278"/>
    <m/>
    <m/>
    <s v="VO04323173"/>
    <s v="JRNL00848158"/>
    <n v="2195"/>
    <d v="2017-06-19T00:00:00"/>
    <d v="2017-06-20T00:00:00"/>
    <n v="2000"/>
    <d v="2017-06-02T00:00:00"/>
    <s v="wci_wa"/>
    <n v="0"/>
    <n v="0"/>
    <n v="0"/>
    <n v="0"/>
    <n v="0"/>
    <n v="1"/>
    <n v="59400"/>
    <n v="2195"/>
    <n v="0"/>
    <n v="0"/>
    <m/>
    <m/>
    <m/>
    <m/>
    <s v="VO04323173"/>
  </r>
  <r>
    <x v="0"/>
    <x v="4"/>
    <n v="1000"/>
    <n v="0"/>
    <s v="USD"/>
    <s v="JRNLWA00356464"/>
    <s v="P"/>
    <s v="June 30th Insurance Entry"/>
    <s v="HeatherWe"/>
    <s v="0/JE IC"/>
    <m/>
    <m/>
    <s v="Auto NI claim 55564954604094"/>
    <m/>
    <m/>
    <m/>
    <m/>
    <m/>
    <m/>
    <s v="JRNL00849319"/>
    <s v="JRNL00849319"/>
    <m/>
    <d v="2017-07-05T00:00:00"/>
    <d v="2017-07-05T00:00:00"/>
    <m/>
    <m/>
    <s v="wci_wa"/>
    <n v="0"/>
    <n v="0"/>
    <n v="0"/>
    <n v="0"/>
    <n v="0"/>
    <n v="1"/>
    <n v="59341"/>
    <n v="2195"/>
    <n v="0"/>
    <n v="0"/>
    <m/>
    <m/>
    <m/>
    <m/>
    <s v=""/>
  </r>
  <r>
    <x v="2"/>
    <x v="4"/>
    <n v="2800"/>
    <n v="0"/>
    <s v="USD"/>
    <s v="JRNLWA00356464"/>
    <s v="P"/>
    <s v="June 30th Insurance Entry"/>
    <s v="HeatherWe"/>
    <s v="0/JE IC"/>
    <m/>
    <m/>
    <s v="WC NI claim 69677804080010"/>
    <m/>
    <m/>
    <m/>
    <m/>
    <m/>
    <m/>
    <s v="JRNL00849319"/>
    <s v="JRNL00849319"/>
    <m/>
    <d v="2017-07-05T00:00:00"/>
    <d v="2017-07-05T00:00:00"/>
    <m/>
    <m/>
    <s v="wci_wa"/>
    <n v="0"/>
    <n v="0"/>
    <n v="0"/>
    <n v="0"/>
    <n v="0"/>
    <n v="1"/>
    <n v="59343"/>
    <n v="2195"/>
    <n v="0"/>
    <n v="0"/>
    <m/>
    <m/>
    <m/>
    <m/>
    <s v=""/>
  </r>
  <r>
    <x v="2"/>
    <x v="4"/>
    <n v="1150"/>
    <n v="0"/>
    <s v="USD"/>
    <s v="JRNLWA00356464"/>
    <s v="P"/>
    <s v="June 30th Insurance Entry"/>
    <s v="HeatherWe"/>
    <s v="0/JE IC"/>
    <m/>
    <m/>
    <s v="WC NI claim 69677804079482"/>
    <m/>
    <m/>
    <m/>
    <m/>
    <m/>
    <m/>
    <s v="JRNL00849319"/>
    <s v="JRNL00849319"/>
    <m/>
    <d v="2017-07-05T00:00:00"/>
    <d v="2017-07-05T00:00:00"/>
    <m/>
    <m/>
    <s v="wci_wa"/>
    <n v="0"/>
    <n v="0"/>
    <n v="0"/>
    <n v="0"/>
    <n v="0"/>
    <n v="1"/>
    <n v="59343"/>
    <n v="2195"/>
    <n v="0"/>
    <n v="0"/>
    <m/>
    <m/>
    <m/>
    <m/>
    <s v=""/>
  </r>
  <r>
    <x v="3"/>
    <x v="4"/>
    <n v="-170.95"/>
    <n v="0"/>
    <s v="USD"/>
    <s v="JRNLWA00356464"/>
    <s v="P"/>
    <s v="June 30th Insurance Entry"/>
    <s v="HeatherWe"/>
    <s v="0/JE IC"/>
    <m/>
    <m/>
    <s v="WC NI claim 69674983547203"/>
    <m/>
    <m/>
    <m/>
    <m/>
    <m/>
    <m/>
    <s v="JRNL00849319"/>
    <s v="JRNL00849319"/>
    <m/>
    <d v="2017-07-05T00:00:00"/>
    <d v="2017-07-05T00:00:00"/>
    <m/>
    <m/>
    <s v="wci_wa"/>
    <n v="0"/>
    <n v="0"/>
    <n v="0"/>
    <n v="0"/>
    <n v="0"/>
    <n v="1"/>
    <n v="59344"/>
    <n v="2195"/>
    <n v="0"/>
    <n v="0"/>
    <m/>
    <m/>
    <m/>
    <m/>
    <s v=""/>
  </r>
  <r>
    <x v="2"/>
    <x v="5"/>
    <n v="-4680"/>
    <n v="0"/>
    <s v="USD"/>
    <s v="JRNLWA00358141"/>
    <s v="P"/>
    <s v="July 31st Insurance Entry"/>
    <s v="HeatherWe"/>
    <s v="0/JE IC"/>
    <m/>
    <m/>
    <s v="WC NI claim 69674983593161"/>
    <m/>
    <m/>
    <m/>
    <m/>
    <m/>
    <m/>
    <s v="JRNL00853160"/>
    <s v="JRNL00853160"/>
    <m/>
    <d v="2017-08-02T00:00:00"/>
    <d v="2017-08-02T00:00:00"/>
    <m/>
    <m/>
    <s v="wci_wa"/>
    <n v="0"/>
    <n v="0"/>
    <n v="0"/>
    <n v="0"/>
    <n v="0"/>
    <n v="1"/>
    <n v="59343"/>
    <n v="2195"/>
    <n v="0"/>
    <n v="0"/>
    <m/>
    <m/>
    <m/>
    <m/>
    <s v=""/>
  </r>
  <r>
    <x v="2"/>
    <x v="5"/>
    <n v="1201"/>
    <n v="0"/>
    <s v="USD"/>
    <s v="JRNLWA00358141"/>
    <s v="P"/>
    <s v="July 31st Insurance Entry"/>
    <s v="HeatherWe"/>
    <s v="0/JE IC"/>
    <m/>
    <m/>
    <s v="WC NI claim 69677804080010"/>
    <m/>
    <m/>
    <m/>
    <m/>
    <m/>
    <m/>
    <s v="JRNL00853160"/>
    <s v="JRNL00853160"/>
    <m/>
    <d v="2017-08-02T00:00:00"/>
    <d v="2017-08-02T00:00:00"/>
    <m/>
    <m/>
    <s v="wci_wa"/>
    <n v="0"/>
    <n v="0"/>
    <n v="0"/>
    <n v="0"/>
    <n v="0"/>
    <n v="1"/>
    <n v="59343"/>
    <n v="2195"/>
    <n v="0"/>
    <n v="0"/>
    <m/>
    <m/>
    <m/>
    <m/>
    <s v=""/>
  </r>
  <r>
    <x v="2"/>
    <x v="6"/>
    <n v="-1266.6500000000001"/>
    <n v="0"/>
    <s v="USD"/>
    <s v="JRNLWA00361180"/>
    <s v="P"/>
    <s v="Sept 29th Insurance Entry"/>
    <s v="HeatherWe"/>
    <s v="0/JE IC"/>
    <m/>
    <m/>
    <s v="WC NI claim 69674983593161"/>
    <m/>
    <m/>
    <m/>
    <m/>
    <m/>
    <m/>
    <s v="JRNL00860467"/>
    <s v="JRNL00860467"/>
    <m/>
    <d v="2017-10-03T00:00:00"/>
    <d v="2017-10-03T00:00:00"/>
    <m/>
    <m/>
    <s v="wci_wa"/>
    <n v="0"/>
    <n v="0"/>
    <n v="0"/>
    <n v="0"/>
    <n v="0"/>
    <n v="1"/>
    <n v="59343"/>
    <n v="2195"/>
    <n v="0"/>
    <n v="0"/>
    <m/>
    <m/>
    <m/>
    <m/>
    <s v=""/>
  </r>
  <r>
    <x v="2"/>
    <x v="6"/>
    <n v="12.25"/>
    <n v="0"/>
    <s v="USD"/>
    <s v="JRNLWA00361180"/>
    <s v="P"/>
    <s v="Sept 29th Insurance Entry"/>
    <s v="HeatherWe"/>
    <s v="0/JE IC"/>
    <m/>
    <m/>
    <s v="WC NI claim 6D368775575900"/>
    <m/>
    <m/>
    <m/>
    <m/>
    <m/>
    <m/>
    <s v="JRNL00860467"/>
    <s v="JRNL00860467"/>
    <m/>
    <d v="2017-10-03T00:00:00"/>
    <d v="2017-10-03T00:00:00"/>
    <m/>
    <m/>
    <s v="wci_wa"/>
    <n v="0"/>
    <n v="0"/>
    <n v="0"/>
    <n v="0"/>
    <n v="0"/>
    <n v="1"/>
    <n v="59343"/>
    <n v="2195"/>
    <n v="0"/>
    <n v="0"/>
    <m/>
    <m/>
    <m/>
    <m/>
    <s v=""/>
  </r>
  <r>
    <x v="2"/>
    <x v="6"/>
    <n v="4800"/>
    <n v="0"/>
    <s v="USD"/>
    <s v="JRNLWA00361180"/>
    <s v="P"/>
    <s v="Sept 29th Insurance Entry"/>
    <s v="HeatherWe"/>
    <s v="0/JE IC"/>
    <m/>
    <m/>
    <s v="WC NI claim 6D368775802115"/>
    <m/>
    <m/>
    <m/>
    <m/>
    <m/>
    <m/>
    <s v="JRNL00860467"/>
    <s v="JRNL00860467"/>
    <m/>
    <d v="2017-10-03T00:00:00"/>
    <d v="2017-10-03T00:00:00"/>
    <m/>
    <m/>
    <s v="wci_wa"/>
    <n v="0"/>
    <n v="0"/>
    <n v="0"/>
    <n v="0"/>
    <n v="0"/>
    <n v="1"/>
    <n v="59343"/>
    <n v="2195"/>
    <n v="0"/>
    <n v="0"/>
    <m/>
    <m/>
    <m/>
    <m/>
    <s v=""/>
  </r>
  <r>
    <x v="1"/>
    <x v="6"/>
    <n v="2668.95"/>
    <n v="0"/>
    <s v="USD"/>
    <s v="JRNLWA00361268"/>
    <s v="P"/>
    <s v="PCard Activity - Sep - Western"/>
    <s v="HeatherWe"/>
    <s v="0/JE IC"/>
    <m/>
    <m/>
    <s v="AUTOCRAFT PAINT &amp; BODY WO~CHRISTIE HERBS"/>
    <m/>
    <m/>
    <m/>
    <m/>
    <m/>
    <m/>
    <s v="JRNL00860630"/>
    <s v="JRNL00860630"/>
    <m/>
    <d v="2017-10-03T00:00:00"/>
    <d v="2017-10-03T00:00:00"/>
    <m/>
    <m/>
    <s v="wci_wa"/>
    <n v="0"/>
    <n v="0"/>
    <n v="0"/>
    <n v="0"/>
    <n v="0"/>
    <n v="1"/>
    <n v="59400"/>
    <n v="2195"/>
    <n v="0"/>
    <n v="0"/>
    <m/>
    <m/>
    <m/>
    <m/>
    <s v=""/>
  </r>
  <r>
    <x v="1"/>
    <x v="6"/>
    <n v="791.83"/>
    <n v="0"/>
    <s v="USD"/>
    <s v="JRNLWA00361268"/>
    <s v="P"/>
    <s v="PCard Activity - Sep - Western"/>
    <s v="HeatherWe"/>
    <s v="0/JE IC"/>
    <m/>
    <m/>
    <s v="ENTERPRISE RENT-A-CAR~CHRISTIE HERBST"/>
    <m/>
    <m/>
    <m/>
    <m/>
    <m/>
    <m/>
    <s v="JRNL00860630"/>
    <s v="JRNL00860630"/>
    <m/>
    <d v="2017-10-03T00:00:00"/>
    <d v="2017-10-03T00:00:00"/>
    <m/>
    <m/>
    <s v="wci_wa"/>
    <n v="0"/>
    <n v="0"/>
    <n v="0"/>
    <n v="0"/>
    <n v="0"/>
    <n v="1"/>
    <n v="59400"/>
    <n v="2195"/>
    <n v="0"/>
    <n v="0"/>
    <m/>
    <m/>
    <m/>
    <m/>
    <s v=""/>
  </r>
  <r>
    <x v="2"/>
    <x v="7"/>
    <n v="469.82"/>
    <n v="0"/>
    <s v="USD"/>
    <s v="JRNLWA00362687"/>
    <s v="P"/>
    <s v="Oct 16th Insurance Entry"/>
    <s v="HeatherWe"/>
    <s v="0/JE IC"/>
    <m/>
    <m/>
    <s v="WC NI claim 6D368775575900"/>
    <m/>
    <m/>
    <m/>
    <m/>
    <m/>
    <m/>
    <s v="JRNL00863931"/>
    <s v="JRNL00863931"/>
    <m/>
    <d v="2017-11-01T00:00:00"/>
    <d v="2017-11-01T00:00:00"/>
    <m/>
    <m/>
    <s v="wci_wa"/>
    <n v="0"/>
    <n v="0"/>
    <n v="0"/>
    <n v="0"/>
    <n v="0"/>
    <n v="1"/>
    <n v="59343"/>
    <n v="2195"/>
    <n v="0"/>
    <n v="0"/>
    <m/>
    <m/>
    <m/>
    <m/>
    <s v=""/>
  </r>
  <r>
    <x v="2"/>
    <x v="7"/>
    <n v="4800"/>
    <n v="0"/>
    <s v="USD"/>
    <s v="JRNLWA00362687"/>
    <s v="P"/>
    <s v="Oct 16th Insurance Entry"/>
    <s v="HeatherWe"/>
    <s v="0/JE IC"/>
    <m/>
    <m/>
    <s v="WC NI claim 6D368775836864"/>
    <m/>
    <m/>
    <m/>
    <m/>
    <m/>
    <m/>
    <s v="JRNL00863931"/>
    <s v="JRNL00863931"/>
    <m/>
    <d v="2017-11-01T00:00:00"/>
    <d v="2017-11-01T00:00:00"/>
    <m/>
    <m/>
    <s v="wci_wa"/>
    <n v="0"/>
    <n v="0"/>
    <n v="0"/>
    <n v="0"/>
    <n v="0"/>
    <n v="1"/>
    <n v="59343"/>
    <n v="2195"/>
    <n v="0"/>
    <n v="0"/>
    <m/>
    <m/>
    <m/>
    <m/>
    <s v=""/>
  </r>
  <r>
    <x v="2"/>
    <x v="7"/>
    <n v="-3914.21"/>
    <n v="0"/>
    <s v="USD"/>
    <s v="JRNLWA00362828"/>
    <s v="P"/>
    <s v="Oct 31st Insurance Entry"/>
    <s v="HeatherWe"/>
    <s v="0/JE IC"/>
    <m/>
    <m/>
    <s v="WC NI claim 69677804080010"/>
    <m/>
    <m/>
    <m/>
    <m/>
    <m/>
    <m/>
    <s v="JRNL00864202"/>
    <s v="JRNL00864202"/>
    <m/>
    <d v="2017-11-02T00:00:00"/>
    <d v="2017-11-02T00:00:00"/>
    <m/>
    <m/>
    <s v="wci_wa"/>
    <n v="0"/>
    <n v="0"/>
    <n v="0"/>
    <n v="0"/>
    <n v="0"/>
    <n v="1"/>
    <n v="59343"/>
    <n v="2195"/>
    <n v="0"/>
    <n v="0"/>
    <m/>
    <m/>
    <m/>
    <m/>
    <s v=""/>
  </r>
  <r>
    <x v="2"/>
    <x v="7"/>
    <n v="14500"/>
    <n v="0"/>
    <s v="USD"/>
    <s v="JRNLWA00362828"/>
    <s v="P"/>
    <s v="Oct 31st Insurance Entry"/>
    <s v="HeatherWe"/>
    <s v="0/JE IC"/>
    <m/>
    <m/>
    <s v="WC NI claim 6D368775802115"/>
    <m/>
    <m/>
    <m/>
    <m/>
    <m/>
    <m/>
    <s v="JRNL00864202"/>
    <s v="JRNL00864202"/>
    <m/>
    <d v="2017-11-02T00:00:00"/>
    <d v="2017-11-02T00:00:00"/>
    <m/>
    <m/>
    <s v="wci_wa"/>
    <n v="0"/>
    <n v="0"/>
    <n v="0"/>
    <n v="0"/>
    <n v="0"/>
    <n v="1"/>
    <n v="59343"/>
    <n v="2195"/>
    <n v="0"/>
    <n v="0"/>
    <m/>
    <m/>
    <m/>
    <m/>
    <s v=""/>
  </r>
  <r>
    <x v="2"/>
    <x v="7"/>
    <n v="12.25"/>
    <n v="0"/>
    <s v="USD"/>
    <s v="JRNLWA00362828"/>
    <s v="P"/>
    <s v="Oct 31st Insurance Entry"/>
    <s v="HeatherWe"/>
    <s v="0/JE IC"/>
    <m/>
    <m/>
    <s v="WC NI claim 6D368775803039"/>
    <m/>
    <m/>
    <m/>
    <m/>
    <m/>
    <m/>
    <s v="JRNL00864202"/>
    <s v="JRNL00864202"/>
    <m/>
    <d v="2017-11-02T00:00:00"/>
    <d v="2017-11-02T00:00:00"/>
    <m/>
    <m/>
    <s v="wci_wa"/>
    <n v="0"/>
    <n v="0"/>
    <n v="0"/>
    <n v="0"/>
    <n v="0"/>
    <n v="1"/>
    <n v="59343"/>
    <n v="2195"/>
    <n v="0"/>
    <n v="0"/>
    <m/>
    <m/>
    <m/>
    <m/>
    <s v=""/>
  </r>
  <r>
    <x v="2"/>
    <x v="7"/>
    <n v="20100"/>
    <n v="0"/>
    <s v="USD"/>
    <s v="JRNLWA00362828"/>
    <s v="P"/>
    <s v="Oct 31st Insurance Entry"/>
    <s v="HeatherWe"/>
    <s v="0/JE IC"/>
    <m/>
    <m/>
    <s v="WC NI claim 6D368775836864"/>
    <m/>
    <m/>
    <m/>
    <m/>
    <m/>
    <m/>
    <s v="JRNL00864202"/>
    <s v="JRNL00864202"/>
    <m/>
    <d v="2017-11-02T00:00:00"/>
    <d v="2017-11-02T00:00:00"/>
    <m/>
    <m/>
    <s v="wci_wa"/>
    <n v="0"/>
    <n v="0"/>
    <n v="0"/>
    <n v="0"/>
    <n v="0"/>
    <n v="1"/>
    <n v="59343"/>
    <n v="2195"/>
    <n v="0"/>
    <n v="0"/>
    <m/>
    <m/>
    <m/>
    <m/>
    <s v=""/>
  </r>
  <r>
    <x v="2"/>
    <x v="8"/>
    <n v="-5610.91"/>
    <n v="0"/>
    <s v="USD"/>
    <s v="JRNLWA00364338"/>
    <s v="P"/>
    <s v="Nov 30th Insurance Entry"/>
    <s v="MimiS"/>
    <s v="0/JE IC"/>
    <m/>
    <m/>
    <s v="WC NI claim 69677804079482"/>
    <m/>
    <m/>
    <m/>
    <m/>
    <m/>
    <m/>
    <s v="JRNL00867740"/>
    <s v="JRNL00867740"/>
    <m/>
    <d v="2017-12-04T00:00:00"/>
    <d v="2017-12-04T00:00:00"/>
    <m/>
    <m/>
    <s v="wci_wa"/>
    <n v="0"/>
    <n v="0"/>
    <n v="0"/>
    <n v="0"/>
    <n v="0"/>
    <n v="1"/>
    <n v="59343"/>
    <n v="2195"/>
    <n v="0"/>
    <n v="0"/>
    <m/>
    <m/>
    <m/>
    <m/>
    <s v=""/>
  </r>
  <r>
    <x v="2"/>
    <x v="9"/>
    <n v="430.99"/>
    <n v="0"/>
    <s v="USD"/>
    <s v="JRNLWA00365866"/>
    <s v="P"/>
    <s v="Dec 31st Insurance Entry"/>
    <s v="AlexandraP"/>
    <s v="0/JE IC"/>
    <m/>
    <m/>
    <s v="WC NI claim 6D368775803039"/>
    <m/>
    <m/>
    <m/>
    <m/>
    <m/>
    <m/>
    <s v="JRNL00871213"/>
    <s v="JRNL00871213"/>
    <m/>
    <d v="2018-01-02T00:00:00"/>
    <d v="2018-01-02T00:00:00"/>
    <m/>
    <m/>
    <s v="wci_wa"/>
    <n v="0"/>
    <n v="0"/>
    <n v="0"/>
    <n v="0"/>
    <n v="0"/>
    <n v="1"/>
    <n v="59343"/>
    <n v="2195"/>
    <n v="0"/>
    <n v="0"/>
    <m/>
    <m/>
    <m/>
    <m/>
    <s v=""/>
  </r>
  <r>
    <x v="2"/>
    <x v="9"/>
    <n v="5920"/>
    <n v="0"/>
    <s v="USD"/>
    <s v="JRNLWA00365866"/>
    <s v="P"/>
    <s v="Dec 31st Insurance Entry"/>
    <s v="AlexandraP"/>
    <s v="0/JE IC"/>
    <m/>
    <m/>
    <s v="WC NI claim 6D368775836864"/>
    <m/>
    <m/>
    <m/>
    <m/>
    <m/>
    <m/>
    <s v="JRNL00871213"/>
    <s v="JRNL00871213"/>
    <m/>
    <d v="2018-01-02T00:00:00"/>
    <d v="2018-01-02T00:00:00"/>
    <m/>
    <m/>
    <s v="wci_wa"/>
    <n v="0"/>
    <n v="0"/>
    <n v="0"/>
    <n v="0"/>
    <n v="0"/>
    <n v="1"/>
    <n v="59343"/>
    <n v="2195"/>
    <n v="0"/>
    <n v="0"/>
    <m/>
    <m/>
    <m/>
    <m/>
    <s v=""/>
  </r>
  <r>
    <x v="2"/>
    <x v="9"/>
    <n v="12.25"/>
    <n v="0"/>
    <s v="USD"/>
    <s v="JRNLWA00365866"/>
    <s v="P"/>
    <s v="Dec 31st Insurance Entry"/>
    <s v="AlexandraP"/>
    <s v="0/JE IC"/>
    <m/>
    <m/>
    <s v="WC NI claim 6D368776096948"/>
    <m/>
    <m/>
    <m/>
    <m/>
    <m/>
    <m/>
    <s v="JRNL00871213"/>
    <s v="JRNL00871213"/>
    <m/>
    <d v="2018-01-02T00:00:00"/>
    <d v="2018-01-02T00:00:00"/>
    <m/>
    <m/>
    <s v="wci_wa"/>
    <n v="0"/>
    <n v="0"/>
    <n v="0"/>
    <n v="0"/>
    <n v="0"/>
    <n v="1"/>
    <n v="59343"/>
    <n v="2195"/>
    <n v="0"/>
    <n v="0"/>
    <m/>
    <m/>
    <m/>
    <m/>
    <s v=""/>
  </r>
  <r>
    <x v="1"/>
    <x v="9"/>
    <n v="927.94"/>
    <n v="0"/>
    <s v="USD"/>
    <s v="JRNLWA00365881"/>
    <s v="P"/>
    <s v="From Voucher Posting."/>
    <s v="RosemaryS"/>
    <s v="0/JE IC"/>
    <s v="1TIME"/>
    <s v="Atkins Landscaping Inc"/>
    <s v="ONE TIME VENDOR"/>
    <d v="2017-10-25T00:00:00"/>
    <s v="Replacement of trees for customer proper"/>
    <n v="51162"/>
    <s v="PO-2195-17-02793"/>
    <m/>
    <m/>
    <s v="VO04523129"/>
    <s v="JRNL00871278"/>
    <n v="2195"/>
    <d v="2018-01-03T00:00:00"/>
    <d v="2018-01-03T00:00:00"/>
    <n v="927.94"/>
    <d v="2017-10-26T00:00:00"/>
    <s v="wci_wa"/>
    <n v="0"/>
    <n v="0"/>
    <n v="0"/>
    <n v="0"/>
    <n v="0"/>
    <n v="1"/>
    <n v="59400"/>
    <n v="2195"/>
    <n v="0"/>
    <n v="0"/>
    <m/>
    <m/>
    <m/>
    <m/>
    <s v="VO04523129"/>
  </r>
  <r>
    <x v="1"/>
    <x v="9"/>
    <n v="189.89"/>
    <n v="0"/>
    <s v="USD"/>
    <s v="JRNLWA00365961"/>
    <s v="P"/>
    <s v="Wester PCard Activity - Dec"/>
    <s v="AlexandraP"/>
    <s v="0/JE IC"/>
    <m/>
    <m/>
    <s v="LP BODY SHOP INC~CHRISTIE HERBST"/>
    <m/>
    <m/>
    <m/>
    <m/>
    <m/>
    <m/>
    <s v="JRNL00871495"/>
    <s v="JRNL00871495"/>
    <m/>
    <d v="2018-01-03T00:00:00"/>
    <d v="2018-01-03T00:00:00"/>
    <m/>
    <m/>
    <s v="wci_wa"/>
    <n v="0"/>
    <n v="0"/>
    <n v="0"/>
    <n v="0"/>
    <n v="0"/>
    <n v="1"/>
    <n v="59400"/>
    <n v="2195"/>
    <n v="0"/>
    <n v="0"/>
    <m/>
    <m/>
    <m/>
    <m/>
    <s v=""/>
  </r>
  <r>
    <x v="1"/>
    <x v="9"/>
    <n v="1100"/>
    <n v="0"/>
    <s v="USD"/>
    <s v="JRNLWA00366735"/>
    <s v="P"/>
    <s v="OPEX14- AP and Exp Report Accr"/>
    <s v="MimiS"/>
    <s v="0/JE IC"/>
    <m/>
    <m/>
    <s v="1TIME : Latisha Garcia-Scott Betker 12/2"/>
    <m/>
    <m/>
    <m/>
    <m/>
    <m/>
    <m/>
    <s v="JRNL00872871"/>
    <s v="JRNL00872871"/>
    <m/>
    <d v="2018-01-05T00:00:00"/>
    <d v="2018-01-05T00:00:00"/>
    <m/>
    <m/>
    <s v="wci_wa"/>
    <n v="0"/>
    <n v="0"/>
    <n v="0"/>
    <n v="0"/>
    <n v="0"/>
    <n v="1"/>
    <n v="59400"/>
    <n v="2195"/>
    <n v="0"/>
    <n v="0"/>
    <m/>
    <m/>
    <m/>
    <m/>
    <s v=""/>
  </r>
  <r>
    <x v="1"/>
    <x v="10"/>
    <n v="1100"/>
    <n v="0"/>
    <s v="USD"/>
    <s v="JRNLWA00367291"/>
    <s v="P"/>
    <s v="From Voucher Posting."/>
    <s v="RosemaryS"/>
    <s v="0/JE IC"/>
    <s v="1TIME"/>
    <s v="Latisha Garcia"/>
    <s v="ONE TIME VENDOR"/>
    <d v="2017-12-29T00:00:00"/>
    <s v="Latisha Garcia-Scott Betker 12/29/17"/>
    <s v="Betker 12-29"/>
    <s v="PO-2195-18-00032"/>
    <m/>
    <m/>
    <s v="VO04534512"/>
    <s v="JRNL00874134"/>
    <n v="2195"/>
    <d v="2018-01-12T00:00:00"/>
    <d v="2018-01-15T00:00:00"/>
    <n v="1100"/>
    <d v="2017-12-30T00:00:00"/>
    <s v="wci_wa"/>
    <n v="0"/>
    <n v="0"/>
    <n v="0"/>
    <n v="0"/>
    <n v="0"/>
    <n v="1"/>
    <n v="59400"/>
    <n v="2195"/>
    <n v="0"/>
    <n v="0"/>
    <m/>
    <m/>
    <m/>
    <m/>
    <s v="VO04534512"/>
  </r>
  <r>
    <x v="1"/>
    <x v="11"/>
    <n v="-1100"/>
    <n v="0"/>
    <s v="USD"/>
    <s v="JRNLWA00366790"/>
    <s v="P"/>
    <s v="OPEX14- AP and Exp Report Accr"/>
    <s v="MimiS"/>
    <s v="0/JE IC"/>
    <m/>
    <m/>
    <s v="1TIME : Latisha Garcia-Scott Betker 12/2"/>
    <m/>
    <m/>
    <m/>
    <m/>
    <m/>
    <m/>
    <s v="JRNL00872871"/>
    <s v="JRNL00872965"/>
    <m/>
    <d v="2018-01-05T00:00:00"/>
    <d v="2018-01-05T00:00:00"/>
    <m/>
    <m/>
    <s v="wci_wa"/>
    <n v="0"/>
    <n v="0"/>
    <n v="0"/>
    <n v="0"/>
    <n v="5"/>
    <n v="1"/>
    <n v="59400"/>
    <n v="2195"/>
    <n v="0"/>
    <n v="0"/>
    <m/>
    <m/>
    <m/>
    <m/>
    <s v=""/>
  </r>
  <r>
    <x v="4"/>
    <x v="11"/>
    <n v="20500"/>
    <n v="0"/>
    <s v="USD"/>
    <s v="JRNLWA00367705"/>
    <s v="P"/>
    <s v="Jan 31st Insurance Entry"/>
    <s v="HeatherWe"/>
    <s v="0/JE IC"/>
    <m/>
    <m/>
    <s v="Auto NI claim 55564954604094"/>
    <m/>
    <m/>
    <m/>
    <m/>
    <m/>
    <m/>
    <s v="JRNL00875559"/>
    <s v="JRNL00875559"/>
    <m/>
    <d v="2018-02-02T00:00:00"/>
    <d v="2018-02-02T00:00:00"/>
    <m/>
    <m/>
    <s v="wci_wa"/>
    <n v="0"/>
    <n v="0"/>
    <n v="0"/>
    <n v="0"/>
    <n v="0"/>
    <n v="1"/>
    <n v="59342"/>
    <n v="2195"/>
    <n v="0"/>
    <n v="0"/>
    <m/>
    <m/>
    <m/>
    <m/>
    <s v=""/>
  </r>
  <r>
    <x v="3"/>
    <x v="11"/>
    <n v="25.7"/>
    <n v="0"/>
    <s v="USD"/>
    <s v="JRNLWA00367705"/>
    <s v="P"/>
    <s v="Jan 31st Insurance Entry"/>
    <s v="HeatherWe"/>
    <s v="0/JE IC"/>
    <m/>
    <m/>
    <s v="WC NI claim 69674983593161"/>
    <m/>
    <m/>
    <m/>
    <m/>
    <m/>
    <m/>
    <s v="JRNL00875559"/>
    <s v="JRNL00875559"/>
    <m/>
    <d v="2018-02-02T00:00:00"/>
    <d v="2018-02-02T00:00:00"/>
    <m/>
    <m/>
    <s v="wci_wa"/>
    <n v="0"/>
    <n v="0"/>
    <n v="0"/>
    <n v="0"/>
    <n v="0"/>
    <n v="1"/>
    <n v="59344"/>
    <n v="2195"/>
    <n v="0"/>
    <n v="0"/>
    <m/>
    <m/>
    <m/>
    <m/>
    <s v=""/>
  </r>
  <r>
    <x v="3"/>
    <x v="11"/>
    <n v="156.86000000000001"/>
    <n v="0"/>
    <s v="USD"/>
    <s v="JRNLWA00367705"/>
    <s v="P"/>
    <s v="Jan 31st Insurance Entry"/>
    <s v="HeatherWe"/>
    <s v="0/JE IC"/>
    <m/>
    <m/>
    <s v="WC NI claim 6D368776096948"/>
    <m/>
    <m/>
    <m/>
    <m/>
    <m/>
    <m/>
    <s v="JRNL00875559"/>
    <s v="JRNL00875559"/>
    <m/>
    <d v="2018-02-02T00:00:00"/>
    <d v="2018-02-02T00:00:00"/>
    <m/>
    <m/>
    <s v="wci_wa"/>
    <n v="0"/>
    <n v="0"/>
    <n v="0"/>
    <n v="0"/>
    <n v="0"/>
    <n v="1"/>
    <n v="59344"/>
    <n v="2195"/>
    <n v="0"/>
    <n v="0"/>
    <m/>
    <m/>
    <m/>
    <m/>
    <s v=""/>
  </r>
  <r>
    <x v="1"/>
    <x v="12"/>
    <n v="677.85"/>
    <n v="0"/>
    <s v="USD"/>
    <s v="JRNLWA00369055"/>
    <s v="P"/>
    <s v="From Voucher Posting."/>
    <s v="RosemaryS"/>
    <s v="0/JE IC"/>
    <s v="VUS000022323"/>
    <m/>
    <s v="CENTRAL WASHINGTON RAILROAD"/>
    <d v="2018-02-01T00:00:00"/>
    <s v="Damage claim-Isidro Ramirez"/>
    <s v="Damage-Ramirez"/>
    <s v="PO-2195-18-00317"/>
    <m/>
    <m/>
    <s v="VO04578266"/>
    <s v="JRNL00878705"/>
    <n v="2195"/>
    <d v="2018-02-28T00:00:00"/>
    <d v="2018-02-28T00:00:00"/>
    <n v="677.85"/>
    <d v="2018-02-02T00:00:00"/>
    <s v="wci_wa"/>
    <n v="0"/>
    <n v="0"/>
    <n v="0"/>
    <n v="0"/>
    <n v="0"/>
    <n v="1"/>
    <n v="59400"/>
    <n v="2195"/>
    <n v="0"/>
    <n v="0"/>
    <m/>
    <m/>
    <m/>
    <m/>
    <s v="VO04578266"/>
  </r>
  <r>
    <x v="3"/>
    <x v="12"/>
    <n v="-2720"/>
    <n v="0"/>
    <s v="USD"/>
    <s v="JRNLWA00369335"/>
    <s v="P"/>
    <s v="Feb 28th Insurance Entry"/>
    <s v="MimiS"/>
    <s v="0/JE IC"/>
    <m/>
    <m/>
    <s v="WC NI claim 6D368775836864"/>
    <m/>
    <m/>
    <m/>
    <m/>
    <m/>
    <m/>
    <s v="JRNL00879352"/>
    <s v="JRNL00879352"/>
    <m/>
    <d v="2018-03-05T00:00:00"/>
    <d v="2018-03-05T00:00:00"/>
    <m/>
    <m/>
    <s v="wci_wa"/>
    <n v="0"/>
    <n v="0"/>
    <n v="0"/>
    <n v="0"/>
    <n v="0"/>
    <n v="1"/>
    <n v="59344"/>
    <n v="2195"/>
    <n v="0"/>
    <n v="0"/>
    <m/>
    <m/>
    <m/>
    <m/>
    <s v=""/>
  </r>
  <r>
    <x v="3"/>
    <x v="12"/>
    <n v="22.77"/>
    <n v="0"/>
    <s v="USD"/>
    <s v="JRNLWA00369335"/>
    <s v="P"/>
    <s v="Feb 28th Insurance Entry"/>
    <s v="MimiS"/>
    <s v="0/JE IC"/>
    <m/>
    <m/>
    <s v="WC NI claim 6D368776096948"/>
    <m/>
    <m/>
    <m/>
    <m/>
    <m/>
    <m/>
    <s v="JRNL00879352"/>
    <s v="JRNL00879352"/>
    <m/>
    <d v="2018-03-05T00:00:00"/>
    <d v="2018-03-05T00:00:00"/>
    <m/>
    <m/>
    <s v="wci_wa"/>
    <n v="0"/>
    <n v="0"/>
    <n v="0"/>
    <n v="0"/>
    <n v="0"/>
    <n v="1"/>
    <n v="59344"/>
    <n v="2195"/>
    <n v="0"/>
    <n v="0"/>
    <m/>
    <m/>
    <m/>
    <m/>
    <s v=""/>
  </r>
  <r>
    <x v="4"/>
    <x v="13"/>
    <n v="1254.8"/>
    <n v="0"/>
    <s v="USD"/>
    <s v="JRNLWA00370723"/>
    <s v="P"/>
    <s v="Mar 30th Insurance Entry"/>
    <s v="AlexandraP"/>
    <s v="0/JE IC"/>
    <m/>
    <m/>
    <s v="Auto NI claim 55564953989447"/>
    <m/>
    <m/>
    <m/>
    <m/>
    <m/>
    <m/>
    <s v="JRNL00882748"/>
    <s v="JRNL00882748"/>
    <m/>
    <d v="2018-04-03T00:00:00"/>
    <d v="2018-04-03T00:00:00"/>
    <m/>
    <m/>
    <s v="wci_wa"/>
    <n v="0"/>
    <n v="0"/>
    <n v="0"/>
    <n v="0"/>
    <n v="0"/>
    <n v="1"/>
    <n v="59342"/>
    <n v="2195"/>
    <n v="0"/>
    <n v="0"/>
    <m/>
    <m/>
    <m/>
    <m/>
    <s v=""/>
  </r>
  <r>
    <x v="2"/>
    <x v="13"/>
    <n v="2800"/>
    <n v="0"/>
    <s v="USD"/>
    <s v="JRNLWA00370723"/>
    <s v="P"/>
    <s v="Mar 30th Insurance Entry"/>
    <s v="AlexandraP"/>
    <s v="0/JE IC"/>
    <m/>
    <m/>
    <s v="WC NI claim 6D368777001467"/>
    <m/>
    <m/>
    <m/>
    <m/>
    <m/>
    <m/>
    <s v="JRNL00882748"/>
    <s v="JRNL00882748"/>
    <m/>
    <d v="2018-04-03T00:00:00"/>
    <d v="2018-04-03T00:00:00"/>
    <m/>
    <m/>
    <s v="wci_wa"/>
    <n v="0"/>
    <n v="0"/>
    <n v="0"/>
    <n v="0"/>
    <n v="0"/>
    <n v="1"/>
    <n v="59343"/>
    <n v="2195"/>
    <n v="0"/>
    <n v="0"/>
    <m/>
    <m/>
    <m/>
    <m/>
    <s v=""/>
  </r>
  <r>
    <x v="3"/>
    <x v="13"/>
    <n v="65350"/>
    <n v="0"/>
    <s v="USD"/>
    <s v="JRNLWA00370723"/>
    <s v="P"/>
    <s v="Mar 30th Insurance Entry"/>
    <s v="AlexandraP"/>
    <s v="0/JE IC"/>
    <m/>
    <m/>
    <s v="WC NI claim 6D368775836864"/>
    <m/>
    <m/>
    <m/>
    <m/>
    <m/>
    <m/>
    <s v="JRNL00882748"/>
    <s v="JRNL00882748"/>
    <m/>
    <d v="2018-04-03T00:00:00"/>
    <d v="2018-04-03T00:00:00"/>
    <m/>
    <m/>
    <s v="wci_wa"/>
    <n v="0"/>
    <n v="0"/>
    <n v="0"/>
    <n v="0"/>
    <n v="0"/>
    <n v="1"/>
    <n v="59344"/>
    <n v="2195"/>
    <n v="0"/>
    <n v="0"/>
    <m/>
    <m/>
    <m/>
    <m/>
    <s v=""/>
  </r>
  <r>
    <x v="1"/>
    <x v="14"/>
    <n v="2322.62"/>
    <n v="0"/>
    <s v="USD"/>
    <s v="JRNLWA00372126"/>
    <s v="P"/>
    <s v="From Voucher Posting."/>
    <s v="RosemaryS"/>
    <s v="0/JE IC"/>
    <s v="VUS000023913"/>
    <m/>
    <s v="HANNAH GIMLIN"/>
    <d v="2018-04-11T00:00:00"/>
    <s v="Sean Cole Incident- Hannah Gimlin 4/11/1"/>
    <s v="Damage-Cole"/>
    <s v="PO-2195-18-00932"/>
    <m/>
    <m/>
    <s v="VO04634833"/>
    <s v="JRNL00886112"/>
    <n v="2195"/>
    <d v="2018-04-27T00:00:00"/>
    <d v="2018-04-30T00:00:00"/>
    <n v="2322.62"/>
    <d v="2018-04-12T00:00:00"/>
    <s v="wci_wa"/>
    <n v="0"/>
    <n v="0"/>
    <n v="0"/>
    <n v="0"/>
    <n v="0"/>
    <n v="1"/>
    <n v="59400"/>
    <n v="2195"/>
    <n v="0"/>
    <n v="0"/>
    <m/>
    <m/>
    <m/>
    <m/>
    <s v="VO04634833"/>
  </r>
  <r>
    <x v="2"/>
    <x v="15"/>
    <n v="1785"/>
    <n v="0"/>
    <s v="USD"/>
    <s v="JRNLWA00372575"/>
    <s v="P"/>
    <s v="Apr 30th Insurance Entry"/>
    <s v="AlexandraP"/>
    <s v="0/JE IC"/>
    <m/>
    <m/>
    <s v="WC NI claim 6D368777001467"/>
    <m/>
    <m/>
    <m/>
    <m/>
    <m/>
    <m/>
    <s v="JRNL00887266"/>
    <s v="JRNL00887266"/>
    <m/>
    <d v="2018-05-03T00:00:00"/>
    <d v="2018-05-03T00:00:00"/>
    <m/>
    <m/>
    <s v="wci_wa"/>
    <n v="0"/>
    <n v="0"/>
    <n v="0"/>
    <n v="0"/>
    <n v="0"/>
    <n v="1"/>
    <n v="59343"/>
    <n v="2195"/>
    <n v="0"/>
    <n v="0"/>
    <m/>
    <m/>
    <m/>
    <m/>
    <s v=""/>
  </r>
  <r>
    <x v="1"/>
    <x v="16"/>
    <n v="3006.29"/>
    <n v="0"/>
    <s v="USD"/>
    <s v="JRNLWA00374560"/>
    <s v="P"/>
    <s v="OPEX14- AP and Exp Report Accr"/>
    <s v="AlexandraP"/>
    <s v="0/JE IC"/>
    <m/>
    <m/>
    <s v="VUS000024399: PO 01260: DALE MATTIELIGH:"/>
    <m/>
    <m/>
    <m/>
    <m/>
    <m/>
    <m/>
    <s v="JRNL00891918"/>
    <s v="JRNL00891918"/>
    <m/>
    <d v="2018-06-06T00:00:00"/>
    <d v="2018-06-06T00:00:00"/>
    <m/>
    <m/>
    <s v="wci_wa"/>
    <n v="0"/>
    <n v="0"/>
    <n v="0"/>
    <n v="0"/>
    <n v="0"/>
    <n v="1"/>
    <n v="59400"/>
    <n v="2195"/>
    <n v="0"/>
    <n v="0"/>
    <m/>
    <m/>
    <m/>
    <m/>
    <s v=""/>
  </r>
  <r>
    <x v="1"/>
    <x v="17"/>
    <n v="3006.29"/>
    <n v="0"/>
    <s v="USD"/>
    <s v="JRNLWA00375176"/>
    <s v="P"/>
    <s v="From Voucher Posting."/>
    <s v="JeffS"/>
    <s v="0/JE IC"/>
    <s v="VUS000024399"/>
    <m/>
    <s v="DALE MATTIELIGH"/>
    <d v="2018-05-09T00:00:00"/>
    <s v="Damage claim-Sean Cole 5-9-18"/>
    <s v="Damage-Mattieligh"/>
    <s v="PO-2195-18-01260"/>
    <m/>
    <m/>
    <s v="VO04691530"/>
    <s v="JRNL00893568"/>
    <n v="2195"/>
    <d v="2018-06-26T00:00:00"/>
    <d v="2018-06-26T00:00:00"/>
    <n v="3006.29"/>
    <d v="2018-05-10T00:00:00"/>
    <s v="wci_wa"/>
    <n v="0"/>
    <n v="0"/>
    <n v="0"/>
    <n v="0"/>
    <n v="0"/>
    <n v="1"/>
    <n v="59400"/>
    <n v="2195"/>
    <n v="0"/>
    <n v="0"/>
    <m/>
    <m/>
    <m/>
    <m/>
    <s v="VO04691530"/>
  </r>
  <r>
    <x v="1"/>
    <x v="18"/>
    <n v="-3006.29"/>
    <n v="0"/>
    <s v="USD"/>
    <s v="JRNLWA00374568"/>
    <s v="P"/>
    <s v="OPEX14- AP and Exp Report Accr"/>
    <s v="AlexandraP"/>
    <s v="0/JE IC"/>
    <m/>
    <m/>
    <s v="VUS000024399: PO 01260: DALE MATTIELIGH:"/>
    <m/>
    <m/>
    <m/>
    <m/>
    <m/>
    <m/>
    <s v="JRNL00891918"/>
    <s v="JRNL00891956"/>
    <m/>
    <d v="2018-06-06T00:00:00"/>
    <d v="2018-06-06T00:00:00"/>
    <m/>
    <m/>
    <s v="wci_wa"/>
    <n v="0"/>
    <n v="0"/>
    <n v="0"/>
    <n v="0"/>
    <n v="5"/>
    <n v="1"/>
    <n v="59400"/>
    <n v="2195"/>
    <n v="0"/>
    <n v="0"/>
    <m/>
    <m/>
    <m/>
    <m/>
    <s v=""/>
  </r>
  <r>
    <x v="1"/>
    <x v="18"/>
    <n v="236.96"/>
    <n v="0"/>
    <s v="USD"/>
    <s v="JRNLWA00375434"/>
    <s v="P"/>
    <s v="June PCard Activity - Western"/>
    <s v="HeatherWe"/>
    <s v="0/JE IC"/>
    <m/>
    <m/>
    <s v="PRO CLEAN AUTO DETAIL SYS~CHRISTIE HERBS"/>
    <m/>
    <m/>
    <m/>
    <m/>
    <m/>
    <m/>
    <s v="JRNL00894442"/>
    <s v="JRNL00894442"/>
    <m/>
    <d v="2018-07-03T00:00:00"/>
    <d v="2018-07-03T00:00:00"/>
    <m/>
    <m/>
    <s v="wci_wa"/>
    <n v="0"/>
    <n v="0"/>
    <n v="0"/>
    <n v="0"/>
    <n v="0"/>
    <n v="1"/>
    <n v="59400"/>
    <n v="2195"/>
    <n v="0"/>
    <n v="0"/>
    <m/>
    <m/>
    <m/>
    <m/>
    <s v=""/>
  </r>
  <r>
    <x v="2"/>
    <x v="19"/>
    <n v="5180"/>
    <n v="0"/>
    <s v="USD"/>
    <s v="JRNLWA00376862"/>
    <s v="P"/>
    <s v="July 11th Insurance Entry"/>
    <s v="HeatherWe"/>
    <s v="0/JE IC"/>
    <m/>
    <m/>
    <s v="WC NI claim 6D368777553645"/>
    <m/>
    <m/>
    <m/>
    <m/>
    <m/>
    <m/>
    <s v="JRNL00897891"/>
    <s v="JRNL00897891"/>
    <m/>
    <d v="2018-08-01T00:00:00"/>
    <d v="2018-08-01T00:00:00"/>
    <m/>
    <m/>
    <s v="wci_wa"/>
    <n v="0"/>
    <n v="0"/>
    <n v="0"/>
    <n v="0"/>
    <n v="0"/>
    <n v="1"/>
    <n v="59343"/>
    <n v="2195"/>
    <n v="0"/>
    <n v="0"/>
    <m/>
    <m/>
    <m/>
    <m/>
    <s v=""/>
  </r>
  <r>
    <x v="0"/>
    <x v="20"/>
    <n v="1250"/>
    <n v="0"/>
    <s v="USD"/>
    <s v="JRNLWA00378363"/>
    <s v="P"/>
    <s v="Aug 10th Insurance Entry"/>
    <s v="HeatherWe"/>
    <s v="0/JE IC"/>
    <m/>
    <m/>
    <s v="Auto NI claim 55564957819537"/>
    <m/>
    <m/>
    <m/>
    <m/>
    <m/>
    <m/>
    <s v="JRNL00901823"/>
    <s v="JRNL00901823"/>
    <m/>
    <d v="2018-09-04T00:00:00"/>
    <d v="2018-09-04T00:00:00"/>
    <m/>
    <m/>
    <s v="wci_wa"/>
    <n v="0"/>
    <n v="0"/>
    <n v="0"/>
    <n v="0"/>
    <n v="0"/>
    <n v="1"/>
    <n v="59341"/>
    <n v="2195"/>
    <n v="0"/>
    <n v="0"/>
    <m/>
    <m/>
    <m/>
    <m/>
    <s v=""/>
  </r>
  <r>
    <x v="1"/>
    <x v="20"/>
    <n v="1588.92"/>
    <n v="0"/>
    <s v="USD"/>
    <s v="JRNLWA00378512"/>
    <s v="P"/>
    <s v="Aug Pcard Activity - Western"/>
    <s v="HelenaK"/>
    <s v="0/JE IC"/>
    <m/>
    <m/>
    <s v="VALLEY FORD NISSAN KIA~CHRISTIE HERBST"/>
    <m/>
    <m/>
    <m/>
    <m/>
    <m/>
    <m/>
    <s v="JRNL00902204"/>
    <s v="JRNL00902204"/>
    <m/>
    <d v="2018-09-05T00:00:00"/>
    <d v="2018-09-05T00:00:00"/>
    <m/>
    <m/>
    <s v="wci_wa"/>
    <n v="0"/>
    <n v="0"/>
    <n v="0"/>
    <n v="0"/>
    <n v="0"/>
    <n v="1"/>
    <n v="59400"/>
    <n v="2195"/>
    <n v="0"/>
    <n v="0"/>
    <m/>
    <m/>
    <m/>
    <m/>
    <s v=""/>
  </r>
  <r>
    <x v="1"/>
    <x v="20"/>
    <n v="606.32000000000005"/>
    <n v="0"/>
    <s v="USD"/>
    <s v="JRNLWA00378512"/>
    <s v="P"/>
    <s v="Aug Pcard Activity - Western"/>
    <s v="HelenaK"/>
    <s v="0/JE IC"/>
    <m/>
    <m/>
    <s v="DOT AFS VENDOR PAYMENTS~CHRISTIE HERBST"/>
    <m/>
    <m/>
    <m/>
    <m/>
    <m/>
    <m/>
    <s v="JRNL00902204"/>
    <s v="JRNL00902204"/>
    <m/>
    <d v="2018-09-05T00:00:00"/>
    <d v="2018-09-05T00:00:00"/>
    <m/>
    <m/>
    <s v="wci_wa"/>
    <n v="0"/>
    <n v="0"/>
    <n v="0"/>
    <n v="0"/>
    <n v="0"/>
    <n v="1"/>
    <n v="59400"/>
    <n v="2195"/>
    <n v="0"/>
    <n v="0"/>
    <m/>
    <m/>
    <m/>
    <m/>
    <s v=""/>
  </r>
  <r>
    <x v="0"/>
    <x v="21"/>
    <n v="2000"/>
    <n v="0"/>
    <s v="USD"/>
    <s v="JRNLWA00379827"/>
    <s v="P"/>
    <s v="Sept 10th Insurance Entry"/>
    <s v="AlexandraP"/>
    <s v="0/JE IC"/>
    <m/>
    <m/>
    <s v="Auto NI claim 55564957819537"/>
    <m/>
    <m/>
    <m/>
    <m/>
    <m/>
    <m/>
    <s v="JRNL00905376"/>
    <s v="JRNL00905376"/>
    <m/>
    <d v="2018-10-01T00:00:00"/>
    <d v="2018-10-01T00:00:00"/>
    <m/>
    <m/>
    <s v="wci_wa"/>
    <n v="0"/>
    <n v="0"/>
    <n v="0"/>
    <n v="0"/>
    <n v="0"/>
    <n v="1"/>
    <n v="59341"/>
    <n v="2195"/>
    <n v="0"/>
    <n v="0"/>
    <m/>
    <m/>
    <m/>
    <m/>
    <s v=""/>
  </r>
  <r>
    <x v="2"/>
    <x v="21"/>
    <n v="4800"/>
    <n v="0"/>
    <s v="USD"/>
    <s v="JRNLWA00379827"/>
    <s v="P"/>
    <s v="Sept 10th Insurance Entry"/>
    <s v="AlexandraP"/>
    <s v="0/JE IC"/>
    <m/>
    <m/>
    <s v="WC NI claim 6D368778086122"/>
    <m/>
    <m/>
    <m/>
    <m/>
    <m/>
    <m/>
    <s v="JRNL00905376"/>
    <s v="JRNL00905376"/>
    <m/>
    <d v="2018-10-01T00:00:00"/>
    <d v="2018-10-01T00:00:00"/>
    <m/>
    <m/>
    <s v="wci_wa"/>
    <n v="0"/>
    <n v="0"/>
    <n v="0"/>
    <n v="0"/>
    <n v="0"/>
    <n v="1"/>
    <n v="59343"/>
    <n v="2195"/>
    <n v="0"/>
    <n v="0"/>
    <m/>
    <m/>
    <m/>
    <m/>
    <s v=""/>
  </r>
  <r>
    <x v="2"/>
    <x v="21"/>
    <n v="2800"/>
    <n v="0"/>
    <s v="USD"/>
    <s v="JRNLWA00379827"/>
    <s v="P"/>
    <s v="Sept 10th Insurance Entry"/>
    <s v="AlexandraP"/>
    <s v="0/JE IC"/>
    <m/>
    <m/>
    <s v="WC NI claim 6D368778136425"/>
    <m/>
    <m/>
    <m/>
    <m/>
    <m/>
    <m/>
    <s v="JRNL00905376"/>
    <s v="JRNL00905376"/>
    <m/>
    <d v="2018-10-01T00:00:00"/>
    <d v="2018-10-01T00:00:00"/>
    <m/>
    <m/>
    <s v="wci_wa"/>
    <n v="0"/>
    <n v="0"/>
    <n v="0"/>
    <n v="0"/>
    <n v="0"/>
    <n v="1"/>
    <n v="59343"/>
    <n v="2195"/>
    <n v="0"/>
    <n v="0"/>
    <m/>
    <m/>
    <m/>
    <m/>
    <s v=""/>
  </r>
  <r>
    <x v="3"/>
    <x v="21"/>
    <n v="7.81"/>
    <n v="0"/>
    <s v="USD"/>
    <s v="JRNLWA00379827"/>
    <s v="P"/>
    <s v="Sept 10th Insurance Entry"/>
    <s v="AlexandraP"/>
    <s v="0/JE IC"/>
    <m/>
    <m/>
    <s v="WC NI claim 69678771570118"/>
    <m/>
    <m/>
    <m/>
    <m/>
    <m/>
    <m/>
    <s v="JRNL00905376"/>
    <s v="JRNL00905376"/>
    <m/>
    <d v="2018-10-01T00:00:00"/>
    <d v="2018-10-01T00:00:00"/>
    <m/>
    <m/>
    <s v="wci_wa"/>
    <n v="0"/>
    <n v="0"/>
    <n v="0"/>
    <n v="0"/>
    <n v="0"/>
    <n v="1"/>
    <n v="59344"/>
    <n v="2195"/>
    <n v="0"/>
    <n v="0"/>
    <m/>
    <m/>
    <m/>
    <m/>
    <s v=""/>
  </r>
  <r>
    <x v="0"/>
    <x v="22"/>
    <n v="1000"/>
    <n v="0"/>
    <s v="USD"/>
    <s v="JRNLWA00381452"/>
    <s v="P"/>
    <s v="Oct 10th Insurance Entry"/>
    <s v="HelenaK"/>
    <s v="0/JE IC"/>
    <m/>
    <m/>
    <s v="Auto NI claim 55564957819537"/>
    <m/>
    <m/>
    <m/>
    <m/>
    <m/>
    <m/>
    <s v="JRNL00909401"/>
    <s v="JRNL00909401"/>
    <m/>
    <d v="2018-10-31T00:00:00"/>
    <d v="2018-10-31T00:00:00"/>
    <m/>
    <m/>
    <s v="wci_wa"/>
    <n v="0"/>
    <n v="0"/>
    <n v="0"/>
    <n v="0"/>
    <n v="0"/>
    <n v="1"/>
    <n v="59341"/>
    <n v="2195"/>
    <n v="0"/>
    <n v="0"/>
    <m/>
    <m/>
    <m/>
    <m/>
    <s v=""/>
  </r>
  <r>
    <x v="2"/>
    <x v="22"/>
    <n v="18350"/>
    <n v="0"/>
    <s v="USD"/>
    <s v="JRNLWA00381452"/>
    <s v="P"/>
    <s v="Oct 10th Insurance Entry"/>
    <s v="HelenaK"/>
    <s v="0/JE IC"/>
    <m/>
    <m/>
    <s v="WC NI claim 6D368778086122"/>
    <m/>
    <m/>
    <m/>
    <m/>
    <m/>
    <m/>
    <s v="JRNL00909401"/>
    <s v="JRNL00909401"/>
    <m/>
    <d v="2018-10-31T00:00:00"/>
    <d v="2018-10-31T00:00:00"/>
    <m/>
    <m/>
    <s v="wci_wa"/>
    <n v="0"/>
    <n v="0"/>
    <n v="0"/>
    <n v="0"/>
    <n v="0"/>
    <n v="1"/>
    <n v="59343"/>
    <n v="2195"/>
    <n v="0"/>
    <n v="0"/>
    <m/>
    <m/>
    <m/>
    <m/>
    <s v=""/>
  </r>
  <r>
    <x v="2"/>
    <x v="22"/>
    <n v="-500"/>
    <n v="0"/>
    <s v="USD"/>
    <s v="JRNLWA00381452"/>
    <s v="P"/>
    <s v="Oct 10th Insurance Entry"/>
    <s v="HelenaK"/>
    <s v="0/JE IC"/>
    <m/>
    <m/>
    <s v="WC NI claim 6D368778136425"/>
    <m/>
    <m/>
    <m/>
    <m/>
    <m/>
    <m/>
    <s v="JRNL00909401"/>
    <s v="JRNL00909401"/>
    <m/>
    <d v="2018-10-31T00:00:00"/>
    <d v="2018-10-31T00:00:00"/>
    <m/>
    <m/>
    <s v="wci_wa"/>
    <n v="0"/>
    <n v="0"/>
    <n v="0"/>
    <n v="0"/>
    <n v="0"/>
    <n v="1"/>
    <n v="59343"/>
    <n v="2195"/>
    <n v="0"/>
    <n v="0"/>
    <m/>
    <m/>
    <m/>
    <m/>
    <s v=""/>
  </r>
  <r>
    <x v="3"/>
    <x v="22"/>
    <n v="-19300"/>
    <n v="0"/>
    <s v="USD"/>
    <s v="JRNLWA00381452"/>
    <s v="P"/>
    <s v="Oct 10th Insurance Entry"/>
    <s v="HelenaK"/>
    <s v="0/JE IC"/>
    <m/>
    <m/>
    <s v="WC NI claim 6D368775802115"/>
    <m/>
    <m/>
    <m/>
    <m/>
    <m/>
    <m/>
    <s v="JRNL00909401"/>
    <s v="JRNL00909401"/>
    <m/>
    <d v="2018-10-31T00:00:00"/>
    <d v="2018-10-31T00:00:00"/>
    <m/>
    <m/>
    <s v="wci_wa"/>
    <n v="0"/>
    <n v="0"/>
    <n v="0"/>
    <n v="0"/>
    <n v="0"/>
    <n v="1"/>
    <n v="59344"/>
    <n v="2195"/>
    <n v="0"/>
    <n v="0"/>
    <m/>
    <m/>
    <m/>
    <m/>
    <s v=""/>
  </r>
  <r>
    <x v="1"/>
    <x v="22"/>
    <n v="2537.42"/>
    <n v="0"/>
    <s v="USD"/>
    <s v="JRNLWA00381684"/>
    <s v="P"/>
    <s v="Western PCard Activity - Octob"/>
    <s v="AlexandraP"/>
    <s v="0/JE IC"/>
    <m/>
    <m/>
    <s v="SQ  SICK CUSTOM BOD~CHRISTIE HERBST"/>
    <m/>
    <m/>
    <m/>
    <m/>
    <m/>
    <m/>
    <s v="JRNL00909891"/>
    <s v="JRNL00909891"/>
    <m/>
    <d v="2018-11-02T00:00:00"/>
    <d v="2018-11-02T00:00:00"/>
    <m/>
    <m/>
    <s v="wci_wa"/>
    <n v="0"/>
    <n v="0"/>
    <n v="0"/>
    <n v="0"/>
    <n v="0"/>
    <n v="1"/>
    <n v="59400"/>
    <n v="2195"/>
    <n v="0"/>
    <n v="0"/>
    <m/>
    <m/>
    <m/>
    <m/>
    <s v=""/>
  </r>
  <r>
    <x v="0"/>
    <x v="23"/>
    <n v="76080"/>
    <n v="0"/>
    <s v="USD"/>
    <s v="JRNLWA00382985"/>
    <s v="P"/>
    <s v="Nov 9th Insurance Entry"/>
    <s v="AlexandraP"/>
    <s v="0/JE IC"/>
    <m/>
    <m/>
    <s v="Auto NI claim 55564957819537"/>
    <m/>
    <m/>
    <m/>
    <m/>
    <m/>
    <m/>
    <s v="JRNL00913403"/>
    <s v="JRNL00913403"/>
    <m/>
    <d v="2018-12-03T00:00:00"/>
    <d v="2018-12-03T00:00:00"/>
    <m/>
    <m/>
    <s v="wci_wa"/>
    <n v="0"/>
    <n v="0"/>
    <n v="0"/>
    <n v="0"/>
    <n v="0"/>
    <n v="1"/>
    <n v="59341"/>
    <n v="2195"/>
    <n v="0"/>
    <n v="0"/>
    <m/>
    <m/>
    <m/>
    <m/>
    <s v=""/>
  </r>
  <r>
    <x v="2"/>
    <x v="23"/>
    <n v="-2287.35"/>
    <n v="0"/>
    <s v="USD"/>
    <s v="JRNLWA00382985"/>
    <s v="P"/>
    <s v="Nov 9th Insurance Entry"/>
    <s v="AlexandraP"/>
    <s v="0/JE IC"/>
    <m/>
    <m/>
    <s v="WC NI claim 6D368778136425"/>
    <m/>
    <m/>
    <m/>
    <m/>
    <m/>
    <m/>
    <s v="JRNL00913403"/>
    <s v="JRNL00913403"/>
    <m/>
    <d v="2018-12-03T00:00:00"/>
    <d v="2018-12-03T00:00:00"/>
    <m/>
    <m/>
    <s v="wci_wa"/>
    <n v="0"/>
    <n v="0"/>
    <n v="0"/>
    <n v="0"/>
    <n v="0"/>
    <n v="1"/>
    <n v="59343"/>
    <n v="2195"/>
    <n v="0"/>
    <n v="0"/>
    <m/>
    <m/>
    <m/>
    <m/>
    <s v=""/>
  </r>
  <r>
    <x v="2"/>
    <x v="23"/>
    <n v="362.04"/>
    <n v="0"/>
    <s v="USD"/>
    <s v="JRNLWA00382985"/>
    <s v="P"/>
    <s v="Nov 9th Insurance Entry"/>
    <s v="AlexandraP"/>
    <s v="0/JE IC"/>
    <m/>
    <m/>
    <s v="WC NI claim 6D368778310203"/>
    <m/>
    <m/>
    <m/>
    <m/>
    <m/>
    <m/>
    <s v="JRNL00913403"/>
    <s v="JRNL00913403"/>
    <m/>
    <d v="2018-12-03T00:00:00"/>
    <d v="2018-12-03T00:00:00"/>
    <m/>
    <m/>
    <s v="wci_wa"/>
    <n v="0"/>
    <n v="0"/>
    <n v="0"/>
    <n v="0"/>
    <n v="0"/>
    <n v="1"/>
    <n v="59343"/>
    <n v="2195"/>
    <n v="0"/>
    <n v="0"/>
    <m/>
    <m/>
    <m/>
    <m/>
    <s v=""/>
  </r>
  <r>
    <x v="3"/>
    <x v="23"/>
    <n v="247.29"/>
    <n v="0"/>
    <s v="USD"/>
    <s v="JRNLWA00382985"/>
    <s v="P"/>
    <s v="Nov 9th Insurance Entry"/>
    <s v="AlexandraP"/>
    <s v="0/JE IC"/>
    <m/>
    <m/>
    <s v="WC NI claim 69678771570118"/>
    <m/>
    <m/>
    <m/>
    <m/>
    <m/>
    <m/>
    <s v="JRNL00913403"/>
    <s v="JRNL00913403"/>
    <m/>
    <d v="2018-12-03T00:00:00"/>
    <d v="2018-12-03T00:00:00"/>
    <m/>
    <m/>
    <s v="wci_wa"/>
    <n v="0"/>
    <n v="0"/>
    <n v="0"/>
    <n v="0"/>
    <n v="0"/>
    <n v="1"/>
    <n v="59344"/>
    <n v="2195"/>
    <n v="0"/>
    <n v="0"/>
    <m/>
    <m/>
    <m/>
    <m/>
    <s v=""/>
  </r>
  <r>
    <x v="1"/>
    <x v="23"/>
    <n v="2862.03"/>
    <n v="0"/>
    <s v="USD"/>
    <s v="JRNLWA00384009"/>
    <s v="P"/>
    <s v="OPEX14- AP and Exp Report Accr"/>
    <s v="AlexandraP"/>
    <s v="0/JE IC"/>
    <m/>
    <m/>
    <s v="VUS000014288: PO 02529: PACIFIC POWER AN"/>
    <m/>
    <m/>
    <m/>
    <m/>
    <m/>
    <m/>
    <s v="JRNL00915525"/>
    <s v="JRNL00915525"/>
    <m/>
    <d v="2018-12-07T00:00:00"/>
    <d v="2018-12-07T00:00:00"/>
    <m/>
    <m/>
    <s v="wci_wa"/>
    <n v="0"/>
    <n v="0"/>
    <n v="0"/>
    <n v="0"/>
    <n v="0"/>
    <n v="1"/>
    <n v="59400"/>
    <n v="2195"/>
    <n v="0"/>
    <n v="0"/>
    <m/>
    <m/>
    <m/>
    <m/>
    <s v=""/>
  </r>
  <r>
    <x v="1"/>
    <x v="23"/>
    <n v="-2862.03"/>
    <n v="0"/>
    <s v="USD"/>
    <s v="JRNLWA00384009"/>
    <s v="P"/>
    <s v="OPEX14- AP and Exp Report Accr"/>
    <s v="AlexandraP"/>
    <s v="0/JE IC"/>
    <m/>
    <m/>
    <s v="VUS000014288: PO 02529: PACIFIC POWER AN"/>
    <m/>
    <m/>
    <m/>
    <m/>
    <m/>
    <m/>
    <s v="JRNL00915525"/>
    <s v="JRNL00915525"/>
    <m/>
    <d v="2018-12-07T00:00:00"/>
    <d v="2018-12-07T00:00:00"/>
    <m/>
    <m/>
    <s v="wci_wa"/>
    <n v="0"/>
    <n v="0"/>
    <n v="0"/>
    <n v="0"/>
    <n v="0"/>
    <n v="1"/>
    <n v="59400"/>
    <n v="2195"/>
    <n v="0"/>
    <n v="0"/>
    <m/>
    <m/>
    <m/>
    <m/>
    <s v=""/>
  </r>
  <r>
    <x v="1"/>
    <x v="24"/>
    <n v="2862.03"/>
    <n v="0"/>
    <s v="USD"/>
    <s v="JRNLWA00384333"/>
    <s v="P"/>
    <s v="From Voucher Posting."/>
    <s v="MariaJ"/>
    <s v="0/JE IC"/>
    <s v="VUS000014288"/>
    <m/>
    <s v="PACIFIC POWER AND LIGHT"/>
    <d v="2018-11-15T00:00:00"/>
    <s v="Damage claim-James Bone"/>
    <n v="6577879"/>
    <s v="PO-2195-18-02529"/>
    <m/>
    <m/>
    <s v="VO04870933"/>
    <s v="JRNL00916692"/>
    <n v="2195"/>
    <d v="2018-12-21T00:00:00"/>
    <d v="2018-12-27T00:00:00"/>
    <n v="2862.03"/>
    <d v="2018-11-25T00:00:00"/>
    <s v="wci_wa"/>
    <n v="0"/>
    <n v="0"/>
    <n v="0"/>
    <n v="0"/>
    <n v="0"/>
    <n v="1"/>
    <n v="59400"/>
    <n v="2195"/>
    <n v="0"/>
    <n v="0"/>
    <m/>
    <m/>
    <m/>
    <m/>
    <s v="VO04870933"/>
  </r>
  <r>
    <x v="1"/>
    <x v="24"/>
    <n v="2317.81"/>
    <n v="0"/>
    <s v="USD"/>
    <s v="JRNLWA00384334"/>
    <s v="P"/>
    <s v="From Voucher Posting."/>
    <s v="MariaJ"/>
    <s v="0/JE IC"/>
    <s v="VUS000014288"/>
    <m/>
    <s v="PACIFIC POWER AND LIGHT"/>
    <d v="2018-06-21T00:00:00"/>
    <s v="Damage Claim-Javier Garcia 4/20/18"/>
    <n v="6514724"/>
    <s v="PO-2195-18-02651"/>
    <m/>
    <m/>
    <s v="VO04871197"/>
    <s v="JRNL00916693"/>
    <n v="2195"/>
    <d v="2018-12-21T00:00:00"/>
    <d v="2018-12-27T00:00:00"/>
    <n v="2317.81"/>
    <d v="2018-07-01T00:00:00"/>
    <s v="wci_wa"/>
    <n v="0"/>
    <n v="0"/>
    <n v="0"/>
    <n v="0"/>
    <n v="0"/>
    <n v="1"/>
    <n v="59400"/>
    <n v="2195"/>
    <n v="0"/>
    <n v="0"/>
    <m/>
    <m/>
    <m/>
    <m/>
    <s v="VO04871197"/>
  </r>
  <r>
    <x v="1"/>
    <x v="25"/>
    <n v="-2862.03"/>
    <n v="0"/>
    <s v="USD"/>
    <s v="JRNLWA00384046"/>
    <s v="P"/>
    <s v="OPEX14- AP and Exp Report Accr"/>
    <s v="AlexandraP"/>
    <s v="0/JE IC"/>
    <m/>
    <m/>
    <s v="VUS000014288: PO 02529: PACIFIC POWER AN"/>
    <m/>
    <m/>
    <m/>
    <m/>
    <m/>
    <m/>
    <s v="JRNL00915525"/>
    <s v="JRNL00915605"/>
    <m/>
    <d v="2018-12-07T00:00:00"/>
    <d v="2018-12-07T00:00:00"/>
    <m/>
    <m/>
    <s v="wci_wa"/>
    <n v="0"/>
    <n v="0"/>
    <n v="0"/>
    <n v="0"/>
    <n v="5"/>
    <n v="1"/>
    <n v="59400"/>
    <n v="2195"/>
    <n v="0"/>
    <n v="0"/>
    <m/>
    <m/>
    <m/>
    <m/>
    <s v=""/>
  </r>
  <r>
    <x v="1"/>
    <x v="25"/>
    <n v="2862.03"/>
    <n v="0"/>
    <s v="USD"/>
    <s v="JRNLWA00384046"/>
    <s v="P"/>
    <s v="OPEX14- AP and Exp Report Accr"/>
    <s v="AlexandraP"/>
    <s v="0/JE IC"/>
    <m/>
    <m/>
    <s v="VUS000014288: PO 02529: PACIFIC POWER AN"/>
    <m/>
    <m/>
    <m/>
    <m/>
    <m/>
    <m/>
    <s v="JRNL00915525"/>
    <s v="JRNL00915605"/>
    <m/>
    <d v="2018-12-07T00:00:00"/>
    <d v="2018-12-07T00:00:00"/>
    <m/>
    <m/>
    <s v="wci_wa"/>
    <n v="0"/>
    <n v="0"/>
    <n v="0"/>
    <n v="0"/>
    <n v="5"/>
    <n v="1"/>
    <n v="59400"/>
    <n v="2195"/>
    <n v="0"/>
    <n v="0"/>
    <m/>
    <m/>
    <m/>
    <m/>
    <s v=""/>
  </r>
  <r>
    <x v="2"/>
    <x v="25"/>
    <n v="-3760.47"/>
    <n v="0"/>
    <s v="USD"/>
    <s v="JRNLWA00384427"/>
    <s v="P"/>
    <s v="Dec 10th Insurance Entry"/>
    <s v="HeatherWe"/>
    <s v="0/JE IC"/>
    <m/>
    <m/>
    <s v="WC NI claim 6D368777553645"/>
    <m/>
    <m/>
    <m/>
    <m/>
    <m/>
    <m/>
    <s v="JRNL00916900"/>
    <s v="JRNL00916900"/>
    <m/>
    <d v="2018-12-31T00:00:00"/>
    <d v="2019-01-02T00:00:00"/>
    <m/>
    <m/>
    <s v="wci_wa"/>
    <n v="0"/>
    <n v="0"/>
    <n v="0"/>
    <n v="0"/>
    <n v="0"/>
    <n v="1"/>
    <n v="59343"/>
    <n v="2195"/>
    <n v="0"/>
    <n v="0"/>
    <m/>
    <m/>
    <m/>
    <m/>
    <s v=""/>
  </r>
  <r>
    <x v="2"/>
    <x v="25"/>
    <n v="12.65"/>
    <n v="0"/>
    <s v="USD"/>
    <s v="JRNLWA00384427"/>
    <s v="P"/>
    <s v="Dec 10th Insurance Entry"/>
    <s v="HeatherWe"/>
    <s v="0/JE IC"/>
    <m/>
    <m/>
    <s v="WC NI claim 6D368778028339"/>
    <m/>
    <m/>
    <m/>
    <m/>
    <m/>
    <m/>
    <s v="JRNL00916900"/>
    <s v="JRNL00916900"/>
    <m/>
    <d v="2018-12-31T00:00:00"/>
    <d v="2019-01-02T00:00:00"/>
    <m/>
    <m/>
    <s v="wci_wa"/>
    <n v="0"/>
    <n v="0"/>
    <n v="0"/>
    <n v="0"/>
    <n v="0"/>
    <n v="1"/>
    <n v="59343"/>
    <n v="2195"/>
    <n v="0"/>
    <n v="0"/>
    <m/>
    <m/>
    <m/>
    <m/>
    <s v=""/>
  </r>
  <r>
    <x v="2"/>
    <x v="25"/>
    <n v="1160"/>
    <n v="0"/>
    <s v="USD"/>
    <s v="JRNLWA00384427"/>
    <s v="P"/>
    <s v="Dec 10th Insurance Entry"/>
    <s v="HeatherWe"/>
    <s v="0/JE IC"/>
    <m/>
    <m/>
    <s v="WC NI claim 6D368778086122"/>
    <m/>
    <m/>
    <m/>
    <m/>
    <m/>
    <m/>
    <s v="JRNL00916900"/>
    <s v="JRNL00916900"/>
    <m/>
    <d v="2018-12-31T00:00:00"/>
    <d v="2019-01-02T00:00:00"/>
    <m/>
    <m/>
    <s v="wci_wa"/>
    <n v="0"/>
    <n v="0"/>
    <n v="0"/>
    <n v="0"/>
    <n v="0"/>
    <n v="1"/>
    <n v="59343"/>
    <n v="2195"/>
    <n v="0"/>
    <n v="0"/>
    <m/>
    <m/>
    <m/>
    <m/>
    <s v=""/>
  </r>
  <r>
    <x v="2"/>
    <x v="25"/>
    <n v="862.92"/>
    <n v="0"/>
    <s v="USD"/>
    <s v="JRNLWA00384427"/>
    <s v="P"/>
    <s v="Dec 10th Insurance Entry"/>
    <s v="HeatherWe"/>
    <s v="0/JE IC"/>
    <m/>
    <m/>
    <s v="WC NI claim 6D368778136425"/>
    <m/>
    <m/>
    <m/>
    <m/>
    <m/>
    <m/>
    <s v="JRNL00916900"/>
    <s v="JRNL00916900"/>
    <m/>
    <d v="2018-12-31T00:00:00"/>
    <d v="2019-01-02T00:00:00"/>
    <m/>
    <m/>
    <s v="wci_wa"/>
    <n v="0"/>
    <n v="0"/>
    <n v="0"/>
    <n v="0"/>
    <n v="0"/>
    <n v="1"/>
    <n v="59343"/>
    <n v="2195"/>
    <n v="0"/>
    <n v="0"/>
    <m/>
    <m/>
    <m/>
    <m/>
    <s v=""/>
  </r>
  <r>
    <x v="2"/>
    <x v="25"/>
    <n v="12.65"/>
    <n v="0"/>
    <s v="USD"/>
    <s v="JRNLWA00384427"/>
    <s v="P"/>
    <s v="Dec 10th Insurance Entry"/>
    <s v="HeatherWe"/>
    <s v="0/JE IC"/>
    <m/>
    <m/>
    <s v="WC NI claim 6D368778310203"/>
    <m/>
    <m/>
    <m/>
    <m/>
    <m/>
    <m/>
    <s v="JRNL00916900"/>
    <s v="JRNL00916900"/>
    <m/>
    <d v="2018-12-31T00:00:00"/>
    <d v="2019-01-02T00:00:00"/>
    <m/>
    <m/>
    <s v="wci_wa"/>
    <n v="0"/>
    <n v="0"/>
    <n v="0"/>
    <n v="0"/>
    <n v="0"/>
    <n v="1"/>
    <n v="59343"/>
    <n v="2195"/>
    <n v="0"/>
    <n v="0"/>
    <m/>
    <m/>
    <m/>
    <m/>
    <s v=""/>
  </r>
  <r>
    <x v="1"/>
    <x v="26"/>
    <n v="2200"/>
    <n v="0"/>
    <s v="USD"/>
    <s v="JRNLWA00385975"/>
    <s v="P"/>
    <s v="From Voucher Posting."/>
    <s v="MariaJ"/>
    <s v="0/JE IC"/>
    <s v="VUS000028306"/>
    <m/>
    <s v="KAILAN DUNN"/>
    <d v="2019-01-01T00:00:00"/>
    <s v="Damages-Eddie Flores"/>
    <n v="350110"/>
    <s v="PO-2195-19-00116"/>
    <m/>
    <m/>
    <s v="VO04902564"/>
    <s v="JRNL00920600"/>
    <n v="2195"/>
    <d v="2019-01-24T00:00:00"/>
    <d v="2019-01-25T00:00:00"/>
    <n v="2200"/>
    <d v="2019-01-02T00:00:00"/>
    <s v="wci_wa"/>
    <n v="0"/>
    <n v="0"/>
    <n v="0"/>
    <n v="0"/>
    <n v="0"/>
    <n v="1"/>
    <n v="59400"/>
    <n v="2195"/>
    <n v="0"/>
    <n v="0"/>
    <m/>
    <m/>
    <m/>
    <m/>
    <s v="VO04902564"/>
  </r>
  <r>
    <x v="4"/>
    <x v="27"/>
    <n v="5815.52"/>
    <n v="0"/>
    <s v="USD"/>
    <s v="JRNLWA00386078"/>
    <s v="P"/>
    <s v="Jan 10th Insurance Entry"/>
    <s v="AlexandraP"/>
    <s v="0/JE IC"/>
    <m/>
    <m/>
    <s v="Auto NI claim 55564957819537"/>
    <m/>
    <m/>
    <m/>
    <m/>
    <m/>
    <m/>
    <s v="JRNL00921047"/>
    <s v="JRNL00921047"/>
    <m/>
    <d v="2019-01-31T00:00:00"/>
    <d v="2019-01-31T00:00:00"/>
    <m/>
    <m/>
    <s v="wci_wa"/>
    <n v="0"/>
    <n v="0"/>
    <n v="0"/>
    <n v="0"/>
    <n v="0"/>
    <n v="1"/>
    <n v="59342"/>
    <n v="2195"/>
    <n v="0"/>
    <n v="0"/>
    <m/>
    <m/>
    <m/>
    <m/>
    <s v=""/>
  </r>
  <r>
    <x v="3"/>
    <x v="27"/>
    <n v="-3355.62"/>
    <n v="0"/>
    <s v="USD"/>
    <s v="JRNLWA00386078"/>
    <s v="P"/>
    <s v="Jan 10th Insurance Entry"/>
    <s v="AlexandraP"/>
    <s v="0/JE IC"/>
    <m/>
    <m/>
    <s v="WC NI claim 6D368777001467"/>
    <m/>
    <m/>
    <m/>
    <m/>
    <m/>
    <m/>
    <s v="JRNL00921047"/>
    <s v="JRNL00921047"/>
    <m/>
    <d v="2019-01-31T00:00:00"/>
    <d v="2019-01-31T00:00:00"/>
    <m/>
    <m/>
    <s v="wci_wa"/>
    <n v="0"/>
    <n v="0"/>
    <n v="0"/>
    <n v="0"/>
    <n v="0"/>
    <n v="1"/>
    <n v="59344"/>
    <n v="2195"/>
    <n v="0"/>
    <n v="0"/>
    <m/>
    <m/>
    <m/>
    <m/>
    <s v=""/>
  </r>
  <r>
    <x v="3"/>
    <x v="27"/>
    <n v="260.64999999999998"/>
    <n v="0"/>
    <s v="USD"/>
    <s v="JRNLWA00386078"/>
    <s v="P"/>
    <s v="Jan 10th Insurance Entry"/>
    <s v="AlexandraP"/>
    <s v="0/JE IC"/>
    <m/>
    <m/>
    <s v="WC NI claim 6D368778028339"/>
    <m/>
    <m/>
    <m/>
    <m/>
    <m/>
    <m/>
    <s v="JRNL00921047"/>
    <s v="JRNL00921047"/>
    <m/>
    <d v="2019-01-31T00:00:00"/>
    <d v="2019-01-31T00:00:00"/>
    <m/>
    <m/>
    <s v="wci_wa"/>
    <n v="0"/>
    <n v="0"/>
    <n v="0"/>
    <n v="0"/>
    <n v="0"/>
    <n v="1"/>
    <n v="59344"/>
    <n v="2195"/>
    <n v="0"/>
    <n v="0"/>
    <m/>
    <m/>
    <m/>
    <m/>
    <s v=""/>
  </r>
  <r>
    <x v="4"/>
    <x v="28"/>
    <n v="196"/>
    <n v="0"/>
    <s v="USD"/>
    <s v="JRNLWA00388208"/>
    <s v="P"/>
    <s v="Feb Ins Claim Entry"/>
    <s v="AlexandraP"/>
    <s v="0/JE IC"/>
    <m/>
    <m/>
    <s v="Auto NI claim 55564957819537"/>
    <m/>
    <m/>
    <m/>
    <m/>
    <m/>
    <m/>
    <s v="JRNL00926349"/>
    <s v="JRNL00926349"/>
    <m/>
    <d v="2019-03-06T00:00:00"/>
    <d v="2019-03-06T00:00:00"/>
    <m/>
    <m/>
    <s v="wci_wa"/>
    <n v="0"/>
    <n v="0"/>
    <n v="0"/>
    <n v="0"/>
    <n v="0"/>
    <n v="1"/>
    <n v="59342"/>
    <n v="2195"/>
    <n v="0"/>
    <n v="0"/>
    <m/>
    <m/>
    <m/>
    <m/>
    <s v=""/>
  </r>
  <r>
    <x v="3"/>
    <x v="28"/>
    <n v="20820"/>
    <n v="0"/>
    <s v="USD"/>
    <s v="JRNLWA00388208"/>
    <s v="P"/>
    <s v="Feb Ins Claim Entry"/>
    <s v="AlexandraP"/>
    <s v="0/JE IC"/>
    <m/>
    <m/>
    <s v="WC NI claim 6D368778834925"/>
    <m/>
    <m/>
    <m/>
    <m/>
    <m/>
    <m/>
    <s v="JRNL00926349"/>
    <s v="JRNL00926349"/>
    <m/>
    <d v="2019-03-06T00:00:00"/>
    <d v="2019-03-06T00:00:00"/>
    <m/>
    <m/>
    <s v="wci_wa"/>
    <n v="0"/>
    <n v="0"/>
    <n v="0"/>
    <n v="0"/>
    <n v="0"/>
    <n v="1"/>
    <n v="59344"/>
    <n v="2195"/>
    <n v="0"/>
    <n v="0"/>
    <m/>
    <m/>
    <m/>
    <m/>
    <s v=""/>
  </r>
  <r>
    <x v="2"/>
    <x v="29"/>
    <n v="13.05"/>
    <n v="0"/>
    <s v="USD"/>
    <s v="JRNLWA00389185"/>
    <s v="P"/>
    <s v="March Ins Claim Entry"/>
    <s v="HelenaK"/>
    <s v="0/JE IC"/>
    <m/>
    <m/>
    <s v="WC NI claim 6D368778936708"/>
    <m/>
    <m/>
    <m/>
    <m/>
    <m/>
    <m/>
    <s v="JRNL00928308"/>
    <s v="JRNL00928308"/>
    <m/>
    <d v="2019-04-02T00:00:00"/>
    <d v="2019-04-02T00:00:00"/>
    <m/>
    <m/>
    <s v="wci_wa"/>
    <n v="0"/>
    <n v="0"/>
    <n v="0"/>
    <n v="0"/>
    <n v="0"/>
    <n v="1"/>
    <n v="59343"/>
    <n v="2195"/>
    <n v="0"/>
    <n v="0"/>
    <m/>
    <m/>
    <m/>
    <m/>
    <s v=""/>
  </r>
  <r>
    <x v="2"/>
    <x v="29"/>
    <n v="377.92"/>
    <n v="0"/>
    <s v="USD"/>
    <s v="JRNLWA00389185"/>
    <s v="P"/>
    <s v="March Ins Claim Entry"/>
    <s v="HelenaK"/>
    <s v="0/JE IC"/>
    <m/>
    <m/>
    <s v="WC NI claim 6D368779144267"/>
    <m/>
    <m/>
    <m/>
    <m/>
    <m/>
    <m/>
    <s v="JRNL00928308"/>
    <s v="JRNL00928308"/>
    <m/>
    <d v="2019-04-02T00:00:00"/>
    <d v="2019-04-02T00:00:00"/>
    <m/>
    <m/>
    <s v="wci_wa"/>
    <n v="0"/>
    <n v="0"/>
    <n v="0"/>
    <n v="0"/>
    <n v="0"/>
    <n v="1"/>
    <n v="59343"/>
    <n v="2195"/>
    <n v="0"/>
    <n v="0"/>
    <m/>
    <m/>
    <m/>
    <m/>
    <s v=""/>
  </r>
  <r>
    <x v="3"/>
    <x v="29"/>
    <n v="589"/>
    <n v="0"/>
    <s v="USD"/>
    <s v="JRNLWA00389185"/>
    <s v="P"/>
    <s v="March Ins Claim Entry"/>
    <s v="HelenaK"/>
    <s v="0/JE IC"/>
    <m/>
    <m/>
    <s v="WC NI claim 6D368778086122"/>
    <m/>
    <m/>
    <m/>
    <m/>
    <m/>
    <m/>
    <s v="JRNL00928308"/>
    <s v="JRNL00928308"/>
    <m/>
    <d v="2019-04-02T00:00:00"/>
    <d v="2019-04-02T00:00:00"/>
    <m/>
    <m/>
    <s v="wci_wa"/>
    <n v="0"/>
    <n v="0"/>
    <n v="0"/>
    <n v="0"/>
    <n v="0"/>
    <n v="1"/>
    <n v="59344"/>
    <n v="2195"/>
    <n v="0"/>
    <n v="0"/>
    <m/>
    <m/>
    <m/>
    <m/>
    <s v=""/>
  </r>
  <r>
    <x v="2"/>
    <x v="30"/>
    <n v="419.06"/>
    <n v="0"/>
    <s v="USD"/>
    <s v="JRNLWA00390585"/>
    <s v="P"/>
    <s v="Apirl 8th Insurance Entry"/>
    <s v="HelenaK"/>
    <s v="0/JE IC"/>
    <m/>
    <m/>
    <s v="WC NI claim 6D368779144267"/>
    <m/>
    <m/>
    <m/>
    <m/>
    <m/>
    <m/>
    <s v="JRNL00931368"/>
    <s v="JRNL00931368"/>
    <m/>
    <d v="2019-05-01T00:00:00"/>
    <d v="2019-05-01T00:00:00"/>
    <m/>
    <m/>
    <s v="wci_wa"/>
    <n v="0"/>
    <n v="0"/>
    <n v="0"/>
    <n v="0"/>
    <n v="0"/>
    <n v="1"/>
    <n v="59343"/>
    <n v="2195"/>
    <n v="0"/>
    <n v="0"/>
    <m/>
    <m/>
    <m/>
    <m/>
    <s v=""/>
  </r>
  <r>
    <x v="3"/>
    <x v="30"/>
    <n v="476.15"/>
    <n v="0"/>
    <s v="USD"/>
    <s v="JRNLWA00390585"/>
    <s v="P"/>
    <s v="Apirl 8th Insurance Entry"/>
    <s v="HelenaK"/>
    <s v="0/JE IC"/>
    <m/>
    <m/>
    <s v="WC NI claim 6D368778136425"/>
    <m/>
    <m/>
    <m/>
    <m/>
    <m/>
    <m/>
    <s v="JRNL00931368"/>
    <s v="JRNL00931368"/>
    <m/>
    <d v="2019-05-01T00:00:00"/>
    <d v="2019-05-01T00:00:00"/>
    <m/>
    <m/>
    <s v="wci_wa"/>
    <n v="0"/>
    <n v="0"/>
    <n v="0"/>
    <n v="0"/>
    <n v="0"/>
    <n v="1"/>
    <n v="59344"/>
    <n v="2195"/>
    <n v="0"/>
    <n v="0"/>
    <m/>
    <m/>
    <m/>
    <m/>
    <s v=""/>
  </r>
  <r>
    <x v="0"/>
    <x v="31"/>
    <n v="1250"/>
    <n v="0"/>
    <s v="USD"/>
    <s v="JRNLWA00392028"/>
    <s v="P"/>
    <s v="May 7th Insurance Entry"/>
    <s v="HelenaK"/>
    <s v="0/JE IC"/>
    <m/>
    <m/>
    <s v="Auto NI claim 55564959532611"/>
    <m/>
    <m/>
    <m/>
    <m/>
    <m/>
    <m/>
    <s v="JRNL00934591"/>
    <s v="JRNL00934591"/>
    <m/>
    <d v="2019-06-03T00:00:00"/>
    <d v="2019-06-03T00:00:00"/>
    <m/>
    <m/>
    <s v="wci_wa"/>
    <n v="0"/>
    <n v="0"/>
    <n v="0"/>
    <n v="0"/>
    <n v="0"/>
    <n v="1"/>
    <n v="59341"/>
    <n v="2195"/>
    <n v="0"/>
    <n v="0"/>
    <m/>
    <m/>
    <m/>
    <m/>
    <s v=""/>
  </r>
  <r>
    <x v="2"/>
    <x v="31"/>
    <n v="172.14"/>
    <n v="0"/>
    <s v="USD"/>
    <s v="JRNLWA00392028"/>
    <s v="P"/>
    <s v="May 7th Insurance Entry"/>
    <s v="HelenaK"/>
    <s v="0/JE IC"/>
    <m/>
    <m/>
    <s v="WC NI claim 6D368779144267"/>
    <m/>
    <m/>
    <m/>
    <m/>
    <m/>
    <m/>
    <s v="JRNL00934591"/>
    <s v="JRNL00934591"/>
    <m/>
    <d v="2019-06-03T00:00:00"/>
    <d v="2019-06-03T00:00:00"/>
    <m/>
    <m/>
    <s v="wci_wa"/>
    <n v="0"/>
    <n v="0"/>
    <n v="0"/>
    <n v="0"/>
    <n v="0"/>
    <n v="1"/>
    <n v="59343"/>
    <n v="2195"/>
    <n v="0"/>
    <n v="0"/>
    <m/>
    <m/>
    <m/>
    <m/>
    <s v=""/>
  </r>
  <r>
    <x v="2"/>
    <x v="31"/>
    <n v="1040.97"/>
    <n v="0"/>
    <s v="USD"/>
    <s v="JRNLWA00392028"/>
    <s v="P"/>
    <s v="May 7th Insurance Entry"/>
    <s v="HelenaK"/>
    <s v="0/JE IC"/>
    <m/>
    <m/>
    <s v="WC NI claim 6D368779499347"/>
    <m/>
    <m/>
    <m/>
    <m/>
    <m/>
    <m/>
    <s v="JRNL00934591"/>
    <s v="JRNL00934591"/>
    <m/>
    <d v="2019-06-03T00:00:00"/>
    <d v="2019-06-03T00:00:00"/>
    <m/>
    <m/>
    <s v="wci_wa"/>
    <n v="0"/>
    <n v="0"/>
    <n v="0"/>
    <n v="0"/>
    <n v="0"/>
    <n v="1"/>
    <n v="59343"/>
    <n v="2195"/>
    <n v="0"/>
    <n v="0"/>
    <m/>
    <m/>
    <m/>
    <m/>
    <s v=""/>
  </r>
  <r>
    <x v="0"/>
    <x v="32"/>
    <n v="758.65"/>
    <n v="0"/>
    <s v="USD"/>
    <s v="JRNLWA00393387"/>
    <s v="P"/>
    <s v="June 7th Insurance Entry"/>
    <s v="HelenaK"/>
    <s v="0/JE IC"/>
    <m/>
    <m/>
    <s v="Auto NI claim 55564959532611"/>
    <m/>
    <m/>
    <m/>
    <m/>
    <m/>
    <m/>
    <s v="JRNL00937763"/>
    <s v="JRNL00937763"/>
    <m/>
    <d v="2019-07-01T00:00:00"/>
    <d v="2019-07-01T00:00:00"/>
    <m/>
    <m/>
    <s v="wci_wa"/>
    <n v="0"/>
    <n v="0"/>
    <n v="0"/>
    <n v="0"/>
    <n v="0"/>
    <n v="1"/>
    <n v="59341"/>
    <n v="2195"/>
    <n v="0"/>
    <n v="0"/>
    <m/>
    <m/>
    <m/>
    <m/>
    <s v=""/>
  </r>
  <r>
    <x v="0"/>
    <x v="32"/>
    <n v="1250"/>
    <n v="0"/>
    <s v="USD"/>
    <s v="JRNLWA00393387"/>
    <s v="P"/>
    <s v="June 7th Insurance Entry"/>
    <s v="HelenaK"/>
    <s v="0/JE IC"/>
    <m/>
    <m/>
    <s v="Auto NI claim 55564959809063"/>
    <m/>
    <m/>
    <m/>
    <m/>
    <m/>
    <m/>
    <s v="JRNL00937763"/>
    <s v="JRNL00937763"/>
    <m/>
    <d v="2019-07-01T00:00:00"/>
    <d v="2019-07-01T00:00:00"/>
    <m/>
    <m/>
    <s v="wci_wa"/>
    <n v="0"/>
    <n v="0"/>
    <n v="0"/>
    <n v="0"/>
    <n v="0"/>
    <n v="1"/>
    <n v="59341"/>
    <n v="2195"/>
    <n v="0"/>
    <n v="0"/>
    <m/>
    <m/>
    <m/>
    <m/>
    <s v=""/>
  </r>
  <r>
    <x v="2"/>
    <x v="32"/>
    <n v="11"/>
    <n v="0"/>
    <s v="USD"/>
    <s v="JRNLWA00393387"/>
    <s v="P"/>
    <s v="June 7th Insurance Entry"/>
    <s v="HelenaK"/>
    <s v="0/JE IC"/>
    <m/>
    <m/>
    <s v="WC NI claim 6D368778936708"/>
    <m/>
    <m/>
    <m/>
    <m/>
    <m/>
    <m/>
    <s v="JRNL00937763"/>
    <s v="JRNL00937763"/>
    <m/>
    <d v="2019-07-01T00:00:00"/>
    <d v="2019-07-01T00:00:00"/>
    <m/>
    <m/>
    <s v="wci_wa"/>
    <n v="0"/>
    <n v="0"/>
    <n v="0"/>
    <n v="0"/>
    <n v="0"/>
    <n v="1"/>
    <n v="59343"/>
    <n v="2195"/>
    <n v="0"/>
    <n v="0"/>
    <m/>
    <m/>
    <m/>
    <m/>
    <s v=""/>
  </r>
  <r>
    <x v="2"/>
    <x v="32"/>
    <n v="429.7"/>
    <n v="0"/>
    <s v="USD"/>
    <s v="JRNLWA00393387"/>
    <s v="P"/>
    <s v="June 7th Insurance Entry"/>
    <s v="HelenaK"/>
    <s v="0/JE IC"/>
    <m/>
    <m/>
    <s v="WC NI claim 6D368779499347"/>
    <m/>
    <m/>
    <m/>
    <m/>
    <m/>
    <m/>
    <s v="JRNL00937763"/>
    <s v="JRNL00937763"/>
    <m/>
    <d v="2019-07-01T00:00:00"/>
    <d v="2019-07-01T00:00:00"/>
    <m/>
    <m/>
    <s v="wci_wa"/>
    <n v="0"/>
    <n v="0"/>
    <n v="0"/>
    <n v="0"/>
    <n v="0"/>
    <n v="1"/>
    <n v="59343"/>
    <n v="2195"/>
    <n v="0"/>
    <n v="0"/>
    <m/>
    <m/>
    <m/>
    <m/>
    <s v=""/>
  </r>
  <r>
    <x v="3"/>
    <x v="32"/>
    <n v="-14346.42"/>
    <n v="0"/>
    <s v="USD"/>
    <s v="JRNLWA00393387"/>
    <s v="P"/>
    <s v="June 7th Insurance Entry"/>
    <s v="HelenaK"/>
    <s v="0/JE IC"/>
    <m/>
    <m/>
    <s v="WC NI claim 6D368775836864"/>
    <m/>
    <m/>
    <m/>
    <m/>
    <m/>
    <m/>
    <s v="JRNL00937763"/>
    <s v="JRNL00937763"/>
    <m/>
    <d v="2019-07-01T00:00:00"/>
    <d v="2019-07-01T00:00:00"/>
    <m/>
    <m/>
    <s v="wci_wa"/>
    <n v="0"/>
    <n v="0"/>
    <n v="0"/>
    <n v="0"/>
    <n v="0"/>
    <n v="1"/>
    <n v="59344"/>
    <n v="2195"/>
    <n v="0"/>
    <n v="0"/>
    <m/>
    <m/>
    <m/>
    <m/>
    <s v=""/>
  </r>
  <r>
    <x v="3"/>
    <x v="32"/>
    <n v="-12084"/>
    <n v="0"/>
    <s v="USD"/>
    <s v="JRNLWA00393387"/>
    <s v="P"/>
    <s v="June 7th Insurance Entry"/>
    <s v="HelenaK"/>
    <s v="0/JE IC"/>
    <m/>
    <m/>
    <s v="WC NI claim 6D368778834925"/>
    <m/>
    <m/>
    <m/>
    <m/>
    <m/>
    <m/>
    <s v="JRNL00937763"/>
    <s v="JRNL00937763"/>
    <m/>
    <d v="2019-07-01T00:00:00"/>
    <d v="2019-07-01T00:00:00"/>
    <m/>
    <m/>
    <s v="wci_wa"/>
    <n v="0"/>
    <n v="0"/>
    <n v="0"/>
    <n v="0"/>
    <n v="0"/>
    <n v="1"/>
    <n v="59344"/>
    <n v="2195"/>
    <n v="0"/>
    <n v="0"/>
    <m/>
    <m/>
    <m/>
    <m/>
    <s v=""/>
  </r>
  <r>
    <x v="1"/>
    <x v="32"/>
    <n v="1510.6"/>
    <n v="0"/>
    <s v="USD"/>
    <s v="JRNLWA00393495"/>
    <s v="P"/>
    <s v="Western Pcard Activity - Jun"/>
    <s v="HeatherWe"/>
    <s v="0/JE IC"/>
    <m/>
    <m/>
    <s v="SQ  CENTRAL WASHING~JOSH NATHANSON"/>
    <m/>
    <m/>
    <m/>
    <m/>
    <m/>
    <m/>
    <s v="JRNL00938011"/>
    <s v="JRNL00938011"/>
    <m/>
    <d v="2019-07-02T00:00:00"/>
    <d v="2019-07-02T00:00:00"/>
    <m/>
    <m/>
    <s v="wci_wa"/>
    <n v="0"/>
    <n v="0"/>
    <n v="0"/>
    <n v="0"/>
    <n v="0"/>
    <n v="1"/>
    <n v="59400"/>
    <n v="2195"/>
    <n v="0"/>
    <n v="0"/>
    <m/>
    <m/>
    <m/>
    <m/>
    <s v=""/>
  </r>
  <r>
    <x v="0"/>
    <x v="33"/>
    <n v="3797.34"/>
    <n v="0"/>
    <s v="USD"/>
    <s v="JRNLWA00394870"/>
    <s v="P"/>
    <s v="July 9th Insurance Entry"/>
    <s v="HelenaK"/>
    <s v="0/JE IC"/>
    <m/>
    <m/>
    <s v="Auto NI claim 55564959809063"/>
    <m/>
    <m/>
    <m/>
    <m/>
    <m/>
    <m/>
    <s v="JRNL00941115"/>
    <s v="JRNL00941115"/>
    <m/>
    <d v="2019-08-01T00:00:00"/>
    <d v="2019-08-01T00:00:00"/>
    <m/>
    <m/>
    <s v="wci_wa"/>
    <n v="0"/>
    <n v="0"/>
    <n v="0"/>
    <n v="0"/>
    <n v="0"/>
    <n v="1"/>
    <n v="59341"/>
    <n v="2195"/>
    <n v="0"/>
    <n v="0"/>
    <m/>
    <m/>
    <m/>
    <m/>
    <s v=""/>
  </r>
  <r>
    <x v="4"/>
    <x v="33"/>
    <n v="-40767.24"/>
    <n v="0"/>
    <s v="USD"/>
    <s v="JRNLWA00394870"/>
    <s v="P"/>
    <s v="July 9th Insurance Entry"/>
    <s v="HelenaK"/>
    <s v="0/JE IC"/>
    <m/>
    <m/>
    <s v="Auto NI claim 55564957819537"/>
    <m/>
    <m/>
    <m/>
    <m/>
    <m/>
    <m/>
    <s v="JRNL00941115"/>
    <s v="JRNL00941115"/>
    <m/>
    <d v="2019-08-01T00:00:00"/>
    <d v="2019-08-01T00:00:00"/>
    <m/>
    <m/>
    <s v="wci_wa"/>
    <n v="0"/>
    <n v="0"/>
    <n v="0"/>
    <n v="0"/>
    <n v="0"/>
    <n v="1"/>
    <n v="59342"/>
    <n v="2195"/>
    <n v="0"/>
    <n v="0"/>
    <m/>
    <m/>
    <m/>
    <m/>
    <s v=""/>
  </r>
  <r>
    <x v="3"/>
    <x v="34"/>
    <n v="1206.9000000000001"/>
    <n v="0"/>
    <s v="USD"/>
    <s v="JRNLWA00396360"/>
    <s v="P"/>
    <s v="Aug 7th Insurance Entry"/>
    <s v="HelenaK"/>
    <s v="0/JE IC"/>
    <m/>
    <m/>
    <s v="WC NI claim 6D368775836864"/>
    <m/>
    <m/>
    <m/>
    <m/>
    <m/>
    <m/>
    <s v="JRNL00944410"/>
    <s v="JRNL00944410"/>
    <m/>
    <d v="2019-09-03T00:00:00"/>
    <d v="2019-09-03T00:00:00"/>
    <m/>
    <m/>
    <s v="wci_wa"/>
    <n v="0"/>
    <n v="0"/>
    <n v="0"/>
    <n v="0"/>
    <n v="0"/>
    <n v="1"/>
    <n v="59344"/>
    <n v="2195"/>
    <n v="0"/>
    <n v="0"/>
    <m/>
    <m/>
    <m/>
    <m/>
    <s v=""/>
  </r>
  <r>
    <x v="3"/>
    <x v="34"/>
    <n v="-2426.11"/>
    <n v="0"/>
    <s v="USD"/>
    <s v="JRNLWA00396360"/>
    <s v="P"/>
    <s v="Aug 7th Insurance Entry"/>
    <s v="HelenaK"/>
    <s v="0/JE IC"/>
    <m/>
    <m/>
    <s v="WC NI claim 6D368778834925"/>
    <m/>
    <m/>
    <m/>
    <m/>
    <m/>
    <m/>
    <s v="JRNL00944410"/>
    <s v="JRNL00944410"/>
    <m/>
    <d v="2019-09-03T00:00:00"/>
    <d v="2019-09-03T00:00:00"/>
    <m/>
    <m/>
    <s v="wci_wa"/>
    <n v="0"/>
    <n v="0"/>
    <n v="0"/>
    <n v="0"/>
    <n v="0"/>
    <n v="1"/>
    <n v="59344"/>
    <n v="2195"/>
    <n v="0"/>
    <n v="0"/>
    <m/>
    <m/>
    <m/>
    <m/>
    <s v=""/>
  </r>
  <r>
    <x v="0"/>
    <x v="35"/>
    <n v="8000"/>
    <n v="0"/>
    <s v="USD"/>
    <s v="JRNLWA00400664"/>
    <s v="P"/>
    <s v="Nov 7th Insurance Entry"/>
    <s v="HelenaK"/>
    <s v="0/JE IC"/>
    <m/>
    <m/>
    <s v="Auto NI claim 55564959532611"/>
    <m/>
    <m/>
    <m/>
    <m/>
    <m/>
    <m/>
    <s v="JRNL00954190"/>
    <s v="JRNL00954190"/>
    <m/>
    <d v="2019-12-02T00:00:00"/>
    <d v="2019-12-02T00:00:00"/>
    <m/>
    <m/>
    <s v="wci_wa"/>
    <n v="0"/>
    <n v="0"/>
    <n v="0"/>
    <n v="0"/>
    <n v="0"/>
    <n v="1"/>
    <n v="59341"/>
    <n v="2195"/>
    <n v="0"/>
    <n v="0"/>
    <m/>
    <m/>
    <m/>
    <m/>
    <s v=""/>
  </r>
  <r>
    <x v="2"/>
    <x v="35"/>
    <n v="200.92"/>
    <n v="0"/>
    <s v="USD"/>
    <s v="JRNLWA00400664"/>
    <s v="P"/>
    <s v="Nov 7th Insurance Entry"/>
    <s v="HelenaK"/>
    <s v="0/JE IC"/>
    <m/>
    <m/>
    <s v="WC NI claim 6D368778936708"/>
    <m/>
    <m/>
    <m/>
    <m/>
    <m/>
    <m/>
    <s v="JRNL00954190"/>
    <s v="JRNL00954190"/>
    <m/>
    <d v="2019-12-02T00:00:00"/>
    <d v="2019-12-02T00:00:00"/>
    <m/>
    <m/>
    <s v="wci_wa"/>
    <n v="0"/>
    <n v="0"/>
    <n v="0"/>
    <n v="0"/>
    <n v="0"/>
    <n v="1"/>
    <n v="59343"/>
    <n v="2195"/>
    <n v="0"/>
    <n v="0"/>
    <m/>
    <m/>
    <m/>
    <m/>
    <s v=""/>
  </r>
  <r>
    <x v="1"/>
    <x v="35"/>
    <n v="8603.1299999999992"/>
    <n v="0"/>
    <s v="USD"/>
    <s v="JRNLWA00401554"/>
    <s v="P"/>
    <s v="OPEX14- AP and Exp Report Accr"/>
    <s v="LaurenTi"/>
    <s v="0/JE IC"/>
    <m/>
    <m/>
    <s v="VUS000014288: PO 02840: PACIFIC POWER AN"/>
    <m/>
    <m/>
    <m/>
    <m/>
    <m/>
    <m/>
    <s v="JRNL00955855"/>
    <s v="JRNL00955855"/>
    <m/>
    <d v="2019-12-05T00:00:00"/>
    <d v="2019-12-06T00:00:00"/>
    <m/>
    <m/>
    <s v="wci_wa"/>
    <n v="0"/>
    <n v="0"/>
    <n v="0"/>
    <n v="0"/>
    <n v="0"/>
    <n v="1"/>
    <n v="59400"/>
    <n v="2195"/>
    <n v="0"/>
    <n v="0"/>
    <m/>
    <m/>
    <m/>
    <m/>
    <s v=""/>
  </r>
  <r>
    <x v="1"/>
    <x v="36"/>
    <n v="8603.1299999999992"/>
    <n v="0"/>
    <s v="USD"/>
    <s v="JRNLWA00401816"/>
    <s v="P"/>
    <s v="From Voucher Posting."/>
    <s v="JudyA"/>
    <s v="0/JE IC"/>
    <s v="VUS000014288"/>
    <m/>
    <s v="PACIFIC POWER AND LIGHT"/>
    <d v="2019-11-01T00:00:00"/>
    <s v="Damage claim-Wilson Collazo"/>
    <n v="6767355"/>
    <s v="PO-2195-19-02840"/>
    <m/>
    <m/>
    <s v="VO05239434"/>
    <s v="JRNL00956529"/>
    <s v="FX2195"/>
    <d v="2019-12-09T00:00:00"/>
    <d v="2019-12-19T00:00:00"/>
    <n v="8603.1299999999992"/>
    <d v="2019-11-11T00:00:00"/>
    <s v="wci_wa"/>
    <n v="0"/>
    <n v="0"/>
    <n v="0"/>
    <n v="0"/>
    <n v="0"/>
    <n v="1"/>
    <n v="59400"/>
    <n v="2195"/>
    <n v="0"/>
    <n v="0"/>
    <m/>
    <m/>
    <m/>
    <m/>
    <s v="VO05239434"/>
  </r>
  <r>
    <x v="1"/>
    <x v="37"/>
    <n v="-8603.1299999999992"/>
    <n v="0"/>
    <s v="USD"/>
    <s v="JRNLWA00401595"/>
    <s v="P"/>
    <s v="OPEX14- AP and Exp Report Accr"/>
    <s v="HeatherH"/>
    <s v="0/JE IC"/>
    <m/>
    <m/>
    <s v="VUS000014288: PO 02840: PACIFIC POWER AN"/>
    <m/>
    <m/>
    <m/>
    <m/>
    <m/>
    <m/>
    <s v="JRNL00955855"/>
    <s v="JRNL00955977"/>
    <m/>
    <d v="2019-12-06T00:00:00"/>
    <d v="2019-12-06T00:00:00"/>
    <m/>
    <m/>
    <s v="wci_wa"/>
    <n v="0"/>
    <n v="0"/>
    <n v="0"/>
    <n v="0"/>
    <n v="5"/>
    <n v="1"/>
    <n v="59400"/>
    <n v="2195"/>
    <n v="0"/>
    <n v="0"/>
    <m/>
    <m/>
    <m/>
    <m/>
    <s v=""/>
  </r>
  <r>
    <x v="0"/>
    <x v="37"/>
    <n v="31000"/>
    <n v="0"/>
    <s v="USD"/>
    <s v="JRNLWA00402091"/>
    <s v="P"/>
    <s v="Dec 6th Insurance Entry"/>
    <s v="HeatherWe"/>
    <s v="0/JE IC"/>
    <m/>
    <m/>
    <s v="Auto NI claim 55564959532611"/>
    <m/>
    <m/>
    <m/>
    <m/>
    <m/>
    <m/>
    <s v="JRNL00957356"/>
    <s v="JRNL00957356"/>
    <m/>
    <d v="2020-01-02T00:00:00"/>
    <d v="2020-01-02T00:00:00"/>
    <m/>
    <m/>
    <s v="wci_wa"/>
    <n v="0"/>
    <n v="0"/>
    <n v="0"/>
    <n v="0"/>
    <n v="0"/>
    <n v="1"/>
    <n v="59341"/>
    <n v="2195"/>
    <n v="0"/>
    <n v="0"/>
    <m/>
    <m/>
    <m/>
    <m/>
    <s v=""/>
  </r>
  <r>
    <x v="4"/>
    <x v="38"/>
    <n v="561.5"/>
    <n v="0"/>
    <s v="USD"/>
    <s v="JRNLWA00403692"/>
    <s v="P"/>
    <s v="Jan 13th Insurance Entry"/>
    <s v="HeatherWe"/>
    <s v="0/JE IC"/>
    <m/>
    <m/>
    <s v="Auto NI claim 55564959532611"/>
    <m/>
    <m/>
    <m/>
    <m/>
    <m/>
    <m/>
    <s v="JRNL00961045"/>
    <s v="JRNL00961045"/>
    <m/>
    <d v="2020-01-31T00:00:00"/>
    <d v="2020-01-31T00:00:00"/>
    <m/>
    <m/>
    <s v="wci_wa"/>
    <n v="0"/>
    <n v="0"/>
    <n v="0"/>
    <n v="0"/>
    <n v="0"/>
    <n v="1"/>
    <n v="59342"/>
    <n v="2195"/>
    <n v="0"/>
    <n v="0"/>
    <m/>
    <m/>
    <m/>
    <m/>
    <s v=""/>
  </r>
  <r>
    <x v="4"/>
    <x v="39"/>
    <n v="1250"/>
    <n v="0"/>
    <s v="USD"/>
    <s v="JRNLWA00405156"/>
    <s v="P"/>
    <s v="Feb 7th Insurance Entry"/>
    <s v="HeatherWe"/>
    <s v="0/JE IC"/>
    <m/>
    <m/>
    <s v="Auto NI claim 55565174710651"/>
    <m/>
    <m/>
    <m/>
    <m/>
    <m/>
    <m/>
    <s v="JRNL00964652"/>
    <s v="JRNL00964652"/>
    <m/>
    <d v="2020-03-02T00:00:00"/>
    <d v="2020-03-02T00:00:00"/>
    <m/>
    <m/>
    <s v="wci_wa"/>
    <n v="0"/>
    <n v="0"/>
    <n v="0"/>
    <n v="0"/>
    <n v="0"/>
    <n v="1"/>
    <n v="59342"/>
    <n v="2195"/>
    <n v="0"/>
    <n v="0"/>
    <m/>
    <m/>
    <m/>
    <m/>
    <s v=""/>
  </r>
  <r>
    <x v="2"/>
    <x v="40"/>
    <n v="4800"/>
    <n v="0"/>
    <s v="USD"/>
    <s v="JRNLWA00406561"/>
    <s v="P"/>
    <s v="Mar 6th Insurance Entry"/>
    <s v="HeatherWe"/>
    <s v="0/JE IC"/>
    <m/>
    <m/>
    <s v="WC NI claim 6D361661489642"/>
    <m/>
    <m/>
    <m/>
    <m/>
    <m/>
    <m/>
    <s v="JRNL00968082"/>
    <s v="JRNL00968082"/>
    <m/>
    <d v="2020-04-01T00:00:00"/>
    <d v="2020-04-01T00:00:00"/>
    <m/>
    <m/>
    <s v="wci_wa"/>
    <n v="0"/>
    <n v="0"/>
    <n v="0"/>
    <n v="0"/>
    <n v="0"/>
    <n v="1"/>
    <n v="59343"/>
    <n v="2195"/>
    <n v="0"/>
    <n v="0"/>
    <m/>
    <m/>
    <m/>
    <m/>
    <s v=""/>
  </r>
  <r>
    <x v="2"/>
    <x v="40"/>
    <n v="11850"/>
    <n v="0"/>
    <s v="USD"/>
    <s v="JRNLWA00406602"/>
    <s v="P"/>
    <s v="Mar 31st Insurance Entry"/>
    <s v="LaurenTi"/>
    <s v="0/JE IC"/>
    <m/>
    <m/>
    <s v="WC NI claim 6D361661489642"/>
    <m/>
    <m/>
    <m/>
    <m/>
    <m/>
    <m/>
    <s v="JRNL00968233"/>
    <s v="JRNL00968233"/>
    <m/>
    <d v="2020-04-02T00:00:00"/>
    <d v="2020-04-02T00:00:00"/>
    <m/>
    <m/>
    <s v="wci_wa"/>
    <n v="0"/>
    <n v="0"/>
    <n v="0"/>
    <n v="0"/>
    <n v="0"/>
    <n v="1"/>
    <n v="59343"/>
    <n v="2195"/>
    <n v="0"/>
    <n v="0"/>
    <m/>
    <m/>
    <m/>
    <m/>
    <s v=""/>
  </r>
  <r>
    <x v="2"/>
    <x v="40"/>
    <n v="4200"/>
    <n v="0"/>
    <s v="USD"/>
    <s v="JRNLWA00406602"/>
    <s v="P"/>
    <s v="Mar 31st Insurance Entry"/>
    <s v="LaurenTi"/>
    <s v="0/JE IC"/>
    <m/>
    <m/>
    <s v="WC NI claim 6D367805009917"/>
    <m/>
    <m/>
    <m/>
    <m/>
    <m/>
    <m/>
    <s v="JRNL00968233"/>
    <s v="JRNL00968233"/>
    <m/>
    <d v="2020-04-02T00:00:00"/>
    <d v="2020-04-02T00:00:00"/>
    <m/>
    <m/>
    <s v="wci_wa"/>
    <n v="0"/>
    <n v="0"/>
    <n v="0"/>
    <n v="0"/>
    <n v="0"/>
    <n v="1"/>
    <n v="59343"/>
    <n v="2195"/>
    <n v="0"/>
    <n v="0"/>
    <m/>
    <m/>
    <m/>
    <m/>
    <s v=""/>
  </r>
  <r>
    <x v="4"/>
    <x v="41"/>
    <n v="-1250"/>
    <n v="0"/>
    <s v="USD"/>
    <s v="JRNLWA00408277"/>
    <s v="P"/>
    <s v="Apr 30th Insurance Entry"/>
    <s v="LaurenTi"/>
    <s v="0/JE IC"/>
    <m/>
    <m/>
    <s v="Auto NI claim 55565174710651"/>
    <m/>
    <m/>
    <m/>
    <m/>
    <m/>
    <m/>
    <s v="JRNL00972068"/>
    <s v="JRNL00972068"/>
    <m/>
    <d v="2020-05-04T00:00:00"/>
    <d v="2020-05-04T00:00:00"/>
    <m/>
    <m/>
    <s v="wci_wa"/>
    <n v="0"/>
    <n v="0"/>
    <n v="0"/>
    <n v="0"/>
    <n v="0"/>
    <n v="1"/>
    <n v="59342"/>
    <n v="2195"/>
    <n v="0"/>
    <n v="0"/>
    <m/>
    <m/>
    <m/>
    <m/>
    <s v=""/>
  </r>
  <r>
    <x v="2"/>
    <x v="41"/>
    <n v="9420"/>
    <n v="0"/>
    <s v="USD"/>
    <s v="JRNLWA00408277"/>
    <s v="P"/>
    <s v="Apr 30th Insurance Entry"/>
    <s v="LaurenTi"/>
    <s v="0/JE IC"/>
    <m/>
    <m/>
    <s v="WC NI claim 6D367805009917"/>
    <m/>
    <m/>
    <m/>
    <m/>
    <m/>
    <m/>
    <s v="JRNL00972068"/>
    <s v="JRNL00972068"/>
    <m/>
    <d v="2020-05-04T00:00:00"/>
    <d v="2020-05-04T00:00:00"/>
    <m/>
    <m/>
    <s v="wci_wa"/>
    <n v="0"/>
    <n v="0"/>
    <n v="0"/>
    <n v="0"/>
    <n v="0"/>
    <n v="1"/>
    <n v="59343"/>
    <n v="2195"/>
    <n v="0"/>
    <n v="0"/>
    <m/>
    <m/>
    <m/>
    <m/>
    <s v=""/>
  </r>
  <r>
    <x v="1"/>
    <x v="41"/>
    <n v="476.08"/>
    <n v="0"/>
    <s v="USD"/>
    <s v="JRNLWA00409176"/>
    <s v="P"/>
    <s v="OPEX14 - AP ACCRUAL"/>
    <s v="JacobMas"/>
    <s v="0/JE IC"/>
    <m/>
    <m/>
    <s v="Damage claim - Betker 4-2-2020"/>
    <m/>
    <m/>
    <m/>
    <m/>
    <m/>
    <m/>
    <s v="JRNL00973952"/>
    <s v="JRNL00973952"/>
    <m/>
    <d v="2020-05-07T00:00:00"/>
    <d v="2020-05-07T00:00:00"/>
    <m/>
    <m/>
    <s v="wci_wa"/>
    <n v="0"/>
    <n v="0"/>
    <n v="0"/>
    <n v="0"/>
    <n v="0"/>
    <n v="1"/>
    <n v="59400"/>
    <n v="2195"/>
    <n v="0"/>
    <n v="0"/>
    <m/>
    <m/>
    <m/>
    <m/>
    <s v=""/>
  </r>
  <r>
    <x v="1"/>
    <x v="42"/>
    <n v="476.08"/>
    <n v="0"/>
    <s v="USD"/>
    <s v="JRNLWA00409241"/>
    <s v="P"/>
    <s v="From Voucher Posting."/>
    <s v="asnell"/>
    <s v="0/JE IC"/>
    <s v="VUS000033767"/>
    <m/>
    <s v="TG SOLUTIONS LLC"/>
    <d v="2020-04-03T00:00:00"/>
    <s v="Damage claim - Betker 4-2-2020"/>
    <n v="148"/>
    <s v="PO-2195-20-00932"/>
    <m/>
    <m/>
    <s v="VO05401701"/>
    <s v="JRNL00973999"/>
    <s v="FX2195"/>
    <d v="2020-05-07T00:00:00"/>
    <d v="2020-05-07T00:00:00"/>
    <n v="476.08"/>
    <d v="2020-04-04T00:00:00"/>
    <s v="wci_wa"/>
    <n v="0"/>
    <n v="0"/>
    <n v="0"/>
    <n v="0"/>
    <n v="0"/>
    <n v="1"/>
    <n v="59400"/>
    <n v="2195"/>
    <n v="0"/>
    <n v="0"/>
    <m/>
    <m/>
    <m/>
    <m/>
    <s v="VO05401701"/>
  </r>
  <r>
    <x v="1"/>
    <x v="43"/>
    <n v="-476.08"/>
    <n v="0"/>
    <s v="USD"/>
    <s v="JRNLWA00409264"/>
    <s v="P"/>
    <s v="OPEX14 - AP ACCRUAL"/>
    <s v="HeatherH"/>
    <s v="0/JE IC"/>
    <m/>
    <m/>
    <s v="Damage claim - Betker 4-2-2020"/>
    <m/>
    <m/>
    <m/>
    <m/>
    <m/>
    <m/>
    <s v="JRNL00973952"/>
    <s v="JRNL00973967"/>
    <m/>
    <d v="2020-05-07T00:00:00"/>
    <d v="2020-05-07T00:00:00"/>
    <m/>
    <m/>
    <s v="wci_wa"/>
    <n v="0"/>
    <n v="0"/>
    <n v="0"/>
    <n v="0"/>
    <n v="5"/>
    <n v="1"/>
    <n v="59400"/>
    <n v="2195"/>
    <n v="0"/>
    <n v="0"/>
    <m/>
    <m/>
    <m/>
    <m/>
    <s v=""/>
  </r>
  <r>
    <x v="0"/>
    <x v="43"/>
    <n v="1250"/>
    <n v="0"/>
    <s v="USD"/>
    <s v="JRNLWA00409726"/>
    <s v="P"/>
    <s v="May 29th Insurance Entry"/>
    <s v="HeatherH"/>
    <s v="0/JE IC"/>
    <m/>
    <m/>
    <s v="Auto NI claim 55561671960486"/>
    <m/>
    <m/>
    <m/>
    <m/>
    <m/>
    <m/>
    <s v="JRNL00975307"/>
    <s v="JRNL00975307"/>
    <m/>
    <d v="2020-06-02T00:00:00"/>
    <d v="2020-06-02T00:00:00"/>
    <m/>
    <m/>
    <s v="wci_wa"/>
    <n v="0"/>
    <n v="0"/>
    <n v="0"/>
    <n v="0"/>
    <n v="0"/>
    <n v="1"/>
    <n v="59341"/>
    <n v="2195"/>
    <n v="0"/>
    <n v="0"/>
    <m/>
    <m/>
    <m/>
    <m/>
    <s v=""/>
  </r>
  <r>
    <x v="2"/>
    <x v="44"/>
    <n v="4800"/>
    <n v="0"/>
    <s v="USD"/>
    <s v="JRNLWA00412762"/>
    <s v="P"/>
    <s v="July 31st Insurance Entry"/>
    <s v="HeatherH"/>
    <s v="0/JE IC"/>
    <m/>
    <m/>
    <s v="WC NI claim 6D361662262876"/>
    <m/>
    <m/>
    <m/>
    <m/>
    <m/>
    <m/>
    <s v="JRNL00981862"/>
    <s v="JRNL00981862"/>
    <m/>
    <d v="2020-08-04T00:00:00"/>
    <d v="2020-08-05T00:00:00"/>
    <m/>
    <m/>
    <s v="wci_wa"/>
    <n v="0"/>
    <n v="0"/>
    <n v="0"/>
    <n v="0"/>
    <n v="0"/>
    <n v="1"/>
    <n v="59343"/>
    <n v="2195"/>
    <n v="0"/>
    <n v="0"/>
    <m/>
    <m/>
    <m/>
    <m/>
    <s v=""/>
  </r>
  <r>
    <x v="3"/>
    <x v="44"/>
    <n v="36.94"/>
    <n v="0"/>
    <s v="USD"/>
    <s v="JRNLWA00412762"/>
    <s v="P"/>
    <s v="July 31st Insurance Entry"/>
    <s v="HeatherH"/>
    <s v="0/JE IC"/>
    <m/>
    <m/>
    <s v="WC NI claim 6D368775803039"/>
    <m/>
    <m/>
    <m/>
    <m/>
    <m/>
    <m/>
    <s v="JRNL00981862"/>
    <s v="JRNL00981862"/>
    <m/>
    <d v="2020-08-04T00:00:00"/>
    <d v="2020-08-05T00:00:00"/>
    <m/>
    <m/>
    <s v="wci_wa"/>
    <n v="0"/>
    <n v="0"/>
    <n v="0"/>
    <n v="0"/>
    <n v="0"/>
    <n v="1"/>
    <n v="59344"/>
    <n v="2195"/>
    <n v="0"/>
    <n v="0"/>
    <m/>
    <m/>
    <m/>
    <m/>
    <s v=""/>
  </r>
  <r>
    <x v="1"/>
    <x v="44"/>
    <n v="-27349.67"/>
    <n v="0"/>
    <s v="USD"/>
    <s v="JRNLWA00413435"/>
    <s v="P"/>
    <s v="OPEX14 - AP ACCRUAL"/>
    <s v="HelenaK"/>
    <s v="0/JE IC"/>
    <m/>
    <m/>
    <s v="PO 01732: PACIFIC POWER AND LIGHT: CHECK"/>
    <m/>
    <m/>
    <m/>
    <m/>
    <m/>
    <m/>
    <s v="JRNL00983287"/>
    <s v="JRNL00983287"/>
    <m/>
    <d v="2020-08-06T00:00:00"/>
    <d v="2020-08-06T00:00:00"/>
    <m/>
    <m/>
    <s v="wci_wa"/>
    <n v="0"/>
    <n v="0"/>
    <n v="0"/>
    <n v="0"/>
    <n v="0"/>
    <n v="1"/>
    <n v="59400"/>
    <n v="2195"/>
    <n v="0"/>
    <n v="0"/>
    <m/>
    <m/>
    <m/>
    <m/>
    <s v=""/>
  </r>
  <r>
    <x v="1"/>
    <x v="44"/>
    <n v="27349.67"/>
    <n v="0"/>
    <s v="USD"/>
    <s v="JRNLWA00413435"/>
    <s v="P"/>
    <s v="OPEX14 - AP ACCRUAL"/>
    <s v="HelenaK"/>
    <s v="0/JE IC"/>
    <m/>
    <m/>
    <s v="Damage claim-Victor Ponce"/>
    <m/>
    <m/>
    <m/>
    <m/>
    <m/>
    <m/>
    <s v="JRNL00983287"/>
    <s v="JRNL00983287"/>
    <m/>
    <d v="2020-08-06T00:00:00"/>
    <d v="2020-08-06T00:00:00"/>
    <m/>
    <m/>
    <s v="wci_wa"/>
    <n v="0"/>
    <n v="0"/>
    <n v="0"/>
    <n v="0"/>
    <n v="0"/>
    <n v="1"/>
    <n v="59400"/>
    <n v="2195"/>
    <n v="0"/>
    <n v="0"/>
    <m/>
    <m/>
    <m/>
    <m/>
    <s v=""/>
  </r>
  <r>
    <x v="1"/>
    <x v="45"/>
    <n v="27349.67"/>
    <n v="0"/>
    <s v="USD"/>
    <s v="JRNLWA00413996"/>
    <s v="P"/>
    <s v="From Voucher Posting."/>
    <s v="asnell"/>
    <s v="0/JE IC"/>
    <s v="VUS000014288"/>
    <m/>
    <s v="PACIFIC POWER AND LIGHT"/>
    <d v="2020-07-08T00:00:00"/>
    <s v="Damage claim-Victor Ponce"/>
    <n v="6844110"/>
    <s v="PO-2195-20-01732"/>
    <m/>
    <m/>
    <s v="VO05511545"/>
    <s v="JRNL00984508"/>
    <s v="FX2195"/>
    <d v="2020-08-26T00:00:00"/>
    <d v="2020-08-27T00:00:00"/>
    <n v="27349.7"/>
    <d v="2020-07-18T00:00:00"/>
    <s v="wci_wa"/>
    <n v="0"/>
    <n v="0"/>
    <n v="0"/>
    <n v="0"/>
    <n v="0"/>
    <n v="1"/>
    <n v="59400"/>
    <n v="2195"/>
    <n v="0"/>
    <n v="0"/>
    <m/>
    <m/>
    <m/>
    <m/>
    <s v="VO05511545"/>
  </r>
  <r>
    <x v="1"/>
    <x v="46"/>
    <n v="27349.67"/>
    <n v="0"/>
    <s v="USD"/>
    <s v="JRNLWA00413597"/>
    <s v="P"/>
    <s v="OPEX14 - AP ACCRUAL"/>
    <s v="JacobMas"/>
    <s v="0/JE IC"/>
    <m/>
    <m/>
    <s v="PO 01732: PACIFIC POWER AND LIGHT: CHECK"/>
    <m/>
    <m/>
    <m/>
    <m/>
    <m/>
    <m/>
    <s v="JRNL00983287"/>
    <s v="JRNL00983305"/>
    <m/>
    <d v="2020-08-06T00:00:00"/>
    <d v="2020-08-07T00:00:00"/>
    <m/>
    <m/>
    <s v="wci_wa"/>
    <n v="0"/>
    <n v="0"/>
    <n v="0"/>
    <n v="0"/>
    <n v="5"/>
    <n v="1"/>
    <n v="59400"/>
    <n v="2195"/>
    <n v="0"/>
    <n v="0"/>
    <m/>
    <m/>
    <m/>
    <m/>
    <s v=""/>
  </r>
  <r>
    <x v="1"/>
    <x v="46"/>
    <n v="-27349.67"/>
    <n v="0"/>
    <s v="USD"/>
    <s v="JRNLWA00413597"/>
    <s v="P"/>
    <s v="OPEX14 - AP ACCRUAL"/>
    <s v="JacobMas"/>
    <s v="0/JE IC"/>
    <m/>
    <m/>
    <s v="Damage claim-Victor Ponce"/>
    <m/>
    <m/>
    <m/>
    <m/>
    <m/>
    <m/>
    <s v="JRNL00983287"/>
    <s v="JRNL00983305"/>
    <m/>
    <d v="2020-08-06T00:00:00"/>
    <d v="2020-08-07T00:00:00"/>
    <m/>
    <m/>
    <s v="wci_wa"/>
    <n v="0"/>
    <n v="0"/>
    <n v="0"/>
    <n v="0"/>
    <n v="5"/>
    <n v="1"/>
    <n v="59400"/>
    <n v="2195"/>
    <n v="0"/>
    <n v="0"/>
    <m/>
    <m/>
    <m/>
    <m/>
    <s v=""/>
  </r>
  <r>
    <x v="0"/>
    <x v="46"/>
    <n v="536.09"/>
    <n v="0"/>
    <s v="USD"/>
    <s v="JRNLWA00414222"/>
    <s v="P"/>
    <s v="August 31st Self Insurance Ent"/>
    <s v="HelenaK"/>
    <s v="0/JE IC"/>
    <m/>
    <m/>
    <s v="Auto NI claim 55561671960486"/>
    <m/>
    <m/>
    <m/>
    <m/>
    <m/>
    <m/>
    <s v="JRNL00985189"/>
    <s v="JRNL00985189"/>
    <m/>
    <d v="2020-09-02T00:00:00"/>
    <d v="2020-09-02T00:00:00"/>
    <m/>
    <m/>
    <s v="wci_wa"/>
    <n v="0"/>
    <n v="0"/>
    <n v="0"/>
    <n v="0"/>
    <n v="0"/>
    <n v="1"/>
    <n v="59341"/>
    <n v="2195"/>
    <n v="0"/>
    <n v="0"/>
    <m/>
    <m/>
    <m/>
    <m/>
    <s v=""/>
  </r>
  <r>
    <x v="4"/>
    <x v="46"/>
    <n v="49750"/>
    <n v="0"/>
    <s v="USD"/>
    <s v="JRNLWA00414222"/>
    <s v="P"/>
    <s v="August 31st Self Insurance Ent"/>
    <s v="HelenaK"/>
    <s v="0/JE IC"/>
    <m/>
    <m/>
    <s v="Auto NI claim 55564954604094"/>
    <m/>
    <m/>
    <m/>
    <m/>
    <m/>
    <m/>
    <s v="JRNL00985189"/>
    <s v="JRNL00985189"/>
    <m/>
    <d v="2020-09-02T00:00:00"/>
    <d v="2020-09-02T00:00:00"/>
    <m/>
    <m/>
    <s v="wci_wa"/>
    <n v="0"/>
    <n v="0"/>
    <n v="0"/>
    <n v="0"/>
    <n v="0"/>
    <n v="1"/>
    <n v="59342"/>
    <n v="2195"/>
    <n v="0"/>
    <n v="0"/>
    <m/>
    <m/>
    <m/>
    <m/>
    <s v=""/>
  </r>
  <r>
    <x v="4"/>
    <x v="46"/>
    <n v="-19725.5"/>
    <n v="0"/>
    <s v="USD"/>
    <s v="JRNLWA00414222"/>
    <s v="P"/>
    <s v="August 31st Self Insurance Ent"/>
    <s v="HelenaK"/>
    <s v="0/JE IC"/>
    <m/>
    <m/>
    <s v="Auto NI claim 55564959532611"/>
    <m/>
    <m/>
    <m/>
    <m/>
    <m/>
    <m/>
    <s v="JRNL00985189"/>
    <s v="JRNL00985189"/>
    <m/>
    <d v="2020-09-02T00:00:00"/>
    <d v="2020-09-02T00:00:00"/>
    <m/>
    <m/>
    <s v="wci_wa"/>
    <n v="0"/>
    <n v="0"/>
    <n v="0"/>
    <n v="0"/>
    <n v="0"/>
    <n v="1"/>
    <n v="59342"/>
    <n v="2195"/>
    <n v="0"/>
    <n v="0"/>
    <m/>
    <m/>
    <m/>
    <m/>
    <s v=""/>
  </r>
  <r>
    <x v="2"/>
    <x v="46"/>
    <n v="-59"/>
    <n v="0"/>
    <s v="USD"/>
    <s v="JRNLWA00414222"/>
    <s v="P"/>
    <s v="August 31st Self Insurance Ent"/>
    <s v="HelenaK"/>
    <s v="0/JE IC"/>
    <m/>
    <m/>
    <s v="WC NI claim 6D361662262876"/>
    <m/>
    <m/>
    <m/>
    <m/>
    <m/>
    <m/>
    <s v="JRNL00985189"/>
    <s v="JRNL00985189"/>
    <m/>
    <d v="2020-09-02T00:00:00"/>
    <d v="2020-09-02T00:00:00"/>
    <m/>
    <m/>
    <s v="wci_wa"/>
    <n v="0"/>
    <n v="0"/>
    <n v="0"/>
    <n v="0"/>
    <n v="0"/>
    <n v="1"/>
    <n v="59343"/>
    <n v="2195"/>
    <n v="0"/>
    <n v="0"/>
    <m/>
    <m/>
    <m/>
    <m/>
    <s v=""/>
  </r>
  <r>
    <x v="3"/>
    <x v="46"/>
    <n v="-13903.97"/>
    <n v="0"/>
    <s v="USD"/>
    <s v="JRNLWA00414222"/>
    <s v="P"/>
    <s v="August 31st Self Insurance Ent"/>
    <s v="HelenaK"/>
    <s v="0/JE IC"/>
    <m/>
    <m/>
    <s v="WC NI claim 6D368775836864"/>
    <m/>
    <m/>
    <m/>
    <m/>
    <m/>
    <m/>
    <s v="JRNL00985189"/>
    <s v="JRNL00985189"/>
    <m/>
    <d v="2020-09-02T00:00:00"/>
    <d v="2020-09-02T00:00:00"/>
    <m/>
    <m/>
    <s v="wci_wa"/>
    <n v="0"/>
    <n v="0"/>
    <n v="0"/>
    <n v="0"/>
    <n v="0"/>
    <n v="1"/>
    <n v="59344"/>
    <n v="2195"/>
    <n v="0"/>
    <n v="0"/>
    <m/>
    <m/>
    <m/>
    <m/>
    <s v=""/>
  </r>
  <r>
    <x v="2"/>
    <x v="47"/>
    <n v="2800"/>
    <n v="0"/>
    <s v="USD"/>
    <s v="JRNLWA00415606"/>
    <s v="P"/>
    <s v="Sept 30th Self Insurance Entry"/>
    <s v="HeatherH"/>
    <s v="0/JE IC"/>
    <m/>
    <m/>
    <s v="WC NI claim 6D361662565970"/>
    <m/>
    <m/>
    <m/>
    <m/>
    <m/>
    <m/>
    <s v="JRNL00988154"/>
    <s v="JRNL00988154"/>
    <m/>
    <d v="2020-10-01T00:00:00"/>
    <d v="2020-10-01T00:00:00"/>
    <m/>
    <m/>
    <s v="wci_wa"/>
    <n v="0"/>
    <n v="0"/>
    <n v="0"/>
    <n v="0"/>
    <n v="0"/>
    <n v="1"/>
    <n v="59343"/>
    <n v="2195"/>
    <n v="0"/>
    <n v="0"/>
    <m/>
    <m/>
    <m/>
    <m/>
    <s v=""/>
  </r>
  <r>
    <x v="1"/>
    <x v="47"/>
    <n v="540"/>
    <n v="0"/>
    <s v="USD"/>
    <s v="JRNLWA00416448"/>
    <s v="P"/>
    <s v="OPEX14 - AP ACCRUAL"/>
    <s v="LaurenTi"/>
    <s v="0/JE IC"/>
    <m/>
    <m/>
    <s v="Damage claim-Josh Moore"/>
    <m/>
    <m/>
    <m/>
    <m/>
    <m/>
    <m/>
    <s v="JRNL00989685"/>
    <s v="JRNL00989685"/>
    <m/>
    <d v="2020-10-06T00:00:00"/>
    <d v="2020-10-07T00:00:00"/>
    <m/>
    <m/>
    <s v="wci_wa"/>
    <n v="0"/>
    <n v="0"/>
    <n v="0"/>
    <n v="0"/>
    <n v="0"/>
    <n v="1"/>
    <n v="59400"/>
    <n v="2195"/>
    <n v="0"/>
    <n v="0"/>
    <m/>
    <m/>
    <m/>
    <m/>
    <s v=""/>
  </r>
  <r>
    <x v="1"/>
    <x v="48"/>
    <n v="540"/>
    <n v="0"/>
    <s v="USD"/>
    <s v="JRNLWA00417009"/>
    <s v="P"/>
    <s v="From Voucher Posting."/>
    <s v="asnell"/>
    <s v="0/JE IC"/>
    <s v="VUS000035223"/>
    <m/>
    <s v="RON VALICOFF"/>
    <d v="2020-07-22T00:00:00"/>
    <s v="Damage claim-Josh Moore"/>
    <s v="Damage-4040"/>
    <s v="PO-2195-20-02209"/>
    <m/>
    <m/>
    <s v="VO05562465"/>
    <s v="JRNL00990987"/>
    <s v="FX2195"/>
    <d v="2020-10-16T00:00:00"/>
    <d v="2020-10-19T00:00:00"/>
    <n v="540"/>
    <d v="2020-07-23T00:00:00"/>
    <s v="wci_wa"/>
    <n v="0"/>
    <n v="0"/>
    <n v="0"/>
    <n v="0"/>
    <n v="0"/>
    <n v="1"/>
    <n v="59400"/>
    <n v="2195"/>
    <n v="0"/>
    <n v="0"/>
    <m/>
    <m/>
    <m/>
    <m/>
    <s v="VO05562465"/>
  </r>
  <r>
    <x v="1"/>
    <x v="49"/>
    <n v="-540"/>
    <n v="0"/>
    <s v="USD"/>
    <s v="JRNLWA00416488"/>
    <s v="P"/>
    <s v="OPEX14 - AP ACCRUAL"/>
    <s v="LaurenTi"/>
    <s v="0/JE IC"/>
    <m/>
    <m/>
    <s v="Damage claim-Josh Moore"/>
    <m/>
    <m/>
    <m/>
    <m/>
    <m/>
    <m/>
    <s v="JRNL00989685"/>
    <s v="JRNL00989786"/>
    <m/>
    <d v="2020-10-07T00:00:00"/>
    <d v="2020-10-07T00:00:00"/>
    <m/>
    <m/>
    <s v="wci_wa"/>
    <n v="0"/>
    <n v="0"/>
    <n v="0"/>
    <n v="0"/>
    <n v="5"/>
    <n v="1"/>
    <n v="59400"/>
    <n v="2195"/>
    <n v="0"/>
    <n v="0"/>
    <m/>
    <m/>
    <m/>
    <m/>
    <s v=""/>
  </r>
  <r>
    <x v="2"/>
    <x v="49"/>
    <n v="19950"/>
    <n v="0"/>
    <s v="USD"/>
    <s v="JRNLWA00417303"/>
    <s v="P"/>
    <s v="Oct 30th Self Insurance Entry"/>
    <s v="HelenaK"/>
    <s v="0/JE IC"/>
    <m/>
    <m/>
    <s v="WC NI claim 6D361662565970"/>
    <m/>
    <m/>
    <m/>
    <m/>
    <m/>
    <m/>
    <s v="JRNL00991952"/>
    <s v="JRNL00991952"/>
    <m/>
    <d v="2020-11-03T00:00:00"/>
    <d v="2020-11-03T00:00:00"/>
    <m/>
    <m/>
    <s v="wci_wa"/>
    <n v="0"/>
    <n v="0"/>
    <n v="0"/>
    <n v="0"/>
    <n v="0"/>
    <n v="1"/>
    <n v="59343"/>
    <n v="2195"/>
    <n v="0"/>
    <n v="0"/>
    <m/>
    <m/>
    <m/>
    <m/>
    <s v=""/>
  </r>
  <r>
    <x v="0"/>
    <x v="50"/>
    <n v="1250"/>
    <n v="0"/>
    <s v="USD"/>
    <s v="JRNLWA00418756"/>
    <s v="P"/>
    <s v="Nov 30th Self Insurance Entry"/>
    <s v="LaurenTi"/>
    <s v="0/JE IC"/>
    <m/>
    <m/>
    <s v="Auto NI claim 55561672873068"/>
    <m/>
    <m/>
    <m/>
    <m/>
    <m/>
    <m/>
    <s v="JRNL00995123"/>
    <s v="JRNL00995123"/>
    <m/>
    <d v="2020-12-02T00:00:00"/>
    <d v="2020-12-02T00:00:00"/>
    <m/>
    <m/>
    <s v="wci_wa"/>
    <n v="0"/>
    <n v="0"/>
    <n v="0"/>
    <n v="0"/>
    <n v="0"/>
    <n v="1"/>
    <n v="59341"/>
    <n v="2195"/>
    <n v="0"/>
    <n v="0"/>
    <m/>
    <m/>
    <m/>
    <m/>
    <s v=""/>
  </r>
  <r>
    <x v="1"/>
    <x v="50"/>
    <n v="4000"/>
    <n v="0"/>
    <s v="USD"/>
    <s v="JRNLWA00419617"/>
    <s v="P"/>
    <s v="OPEX14 - AP ACCRUAL"/>
    <s v="JacobMas"/>
    <s v="0/JE IC"/>
    <m/>
    <m/>
    <s v="PO 02710: Keith Tahkeal: PCard: Damage c"/>
    <m/>
    <m/>
    <m/>
    <m/>
    <m/>
    <m/>
    <s v="JRNL00996623"/>
    <s v="JRNL00996623"/>
    <m/>
    <d v="2020-12-04T00:00:00"/>
    <d v="2020-12-04T00:00:00"/>
    <m/>
    <m/>
    <s v="wci_wa"/>
    <n v="0"/>
    <n v="0"/>
    <n v="0"/>
    <n v="0"/>
    <n v="0"/>
    <n v="1"/>
    <n v="59400"/>
    <n v="2195"/>
    <n v="0"/>
    <n v="0"/>
    <m/>
    <m/>
    <m/>
    <m/>
    <s v=""/>
  </r>
  <r>
    <x v="1"/>
    <x v="51"/>
    <n v="4000"/>
    <n v="0"/>
    <s v="USD"/>
    <s v="JRNLWA00420158"/>
    <s v="P"/>
    <s v="From Voucher Posting."/>
    <s v="asnell"/>
    <s v="0/JE IC"/>
    <s v="VUS000039938"/>
    <m/>
    <s v="KEITH TAHKEAL"/>
    <d v="2020-11-12T00:00:00"/>
    <s v="Damage claim"/>
    <s v="Damage-Tahkeal"/>
    <s v="PO-2195-20-02710"/>
    <m/>
    <m/>
    <s v="VO05629847"/>
    <s v="JRNL00997922"/>
    <s v="FX2195"/>
    <d v="2020-12-18T00:00:00"/>
    <d v="2020-12-22T00:00:00"/>
    <n v="4000"/>
    <d v="2020-11-13T00:00:00"/>
    <s v="wci_wa"/>
    <n v="0"/>
    <n v="0"/>
    <n v="0"/>
    <n v="0"/>
    <n v="0"/>
    <n v="1"/>
    <n v="59400"/>
    <n v="2195"/>
    <n v="0"/>
    <n v="0"/>
    <m/>
    <m/>
    <m/>
    <m/>
    <s v="VO05629847"/>
  </r>
  <r>
    <x v="1"/>
    <x v="52"/>
    <n v="-4000"/>
    <n v="0"/>
    <s v="USD"/>
    <s v="JRNLWA00419658"/>
    <s v="P"/>
    <s v="OPEX14 - AP ACCRUAL"/>
    <s v="JacobMas"/>
    <s v="0/JE IC"/>
    <m/>
    <m/>
    <s v="PO 02710: Keith Tahkeal: PCard: Damage c"/>
    <m/>
    <m/>
    <m/>
    <m/>
    <m/>
    <m/>
    <s v="JRNL00996623"/>
    <s v="JRNL00996653"/>
    <m/>
    <d v="2020-12-04T00:00:00"/>
    <d v="2020-12-04T00:00:00"/>
    <m/>
    <m/>
    <s v="wci_wa"/>
    <n v="0"/>
    <n v="0"/>
    <n v="0"/>
    <n v="0"/>
    <n v="5"/>
    <n v="1"/>
    <n v="59400"/>
    <n v="2195"/>
    <n v="0"/>
    <n v="0"/>
    <m/>
    <m/>
    <m/>
    <m/>
    <s v=""/>
  </r>
  <r>
    <x v="0"/>
    <x v="52"/>
    <n v="-1250"/>
    <n v="0"/>
    <s v="USD"/>
    <s v="JRNLWA00420515"/>
    <s v="P"/>
    <s v="Dec 31st Self Insurance Entry"/>
    <s v="HeatherH"/>
    <s v="0/JE IC"/>
    <m/>
    <m/>
    <s v="Auto NI claim 55561672873068"/>
    <m/>
    <m/>
    <m/>
    <m/>
    <m/>
    <m/>
    <s v="JRNL00998949"/>
    <s v="JRNL00998949"/>
    <m/>
    <d v="2021-01-05T00:00:00"/>
    <d v="2021-01-05T00:00:00"/>
    <m/>
    <m/>
    <s v="wci_wa"/>
    <n v="0"/>
    <n v="0"/>
    <n v="0"/>
    <n v="0"/>
    <n v="0"/>
    <n v="1"/>
    <n v="59341"/>
    <n v="2195"/>
    <n v="0"/>
    <n v="0"/>
    <m/>
    <m/>
    <m/>
    <m/>
    <s v=""/>
  </r>
  <r>
    <x v="0"/>
    <x v="52"/>
    <n v="1250"/>
    <n v="0"/>
    <s v="USD"/>
    <s v="JRNLWA00420515"/>
    <s v="P"/>
    <s v="Dec 31st Self Insurance Entry"/>
    <s v="HeatherH"/>
    <s v="0/JE IC"/>
    <m/>
    <m/>
    <s v="Auto NI claim 5556167299518X"/>
    <m/>
    <m/>
    <m/>
    <m/>
    <m/>
    <m/>
    <s v="JRNL00998949"/>
    <s v="JRNL00998949"/>
    <m/>
    <d v="2021-01-05T00:00:00"/>
    <d v="2021-01-05T00:00:00"/>
    <m/>
    <m/>
    <s v="wci_wa"/>
    <n v="0"/>
    <n v="0"/>
    <n v="0"/>
    <n v="0"/>
    <n v="0"/>
    <n v="1"/>
    <n v="59341"/>
    <n v="2195"/>
    <n v="0"/>
    <n v="0"/>
    <m/>
    <m/>
    <m/>
    <m/>
    <s v=""/>
  </r>
  <r>
    <x v="2"/>
    <x v="52"/>
    <n v="-3732.19"/>
    <n v="0"/>
    <s v="USD"/>
    <s v="JRNLWA00420515"/>
    <s v="P"/>
    <s v="Dec 31st Self Insurance Entry"/>
    <s v="HeatherH"/>
    <s v="0/JE IC"/>
    <m/>
    <m/>
    <s v="WC NI claim 6D361662262876"/>
    <m/>
    <m/>
    <m/>
    <m/>
    <m/>
    <m/>
    <s v="JRNL00998949"/>
    <s v="JRNL00998949"/>
    <m/>
    <d v="2021-01-05T00:00:00"/>
    <d v="2021-01-05T00:00:00"/>
    <m/>
    <m/>
    <s v="wci_wa"/>
    <n v="0"/>
    <n v="0"/>
    <n v="0"/>
    <n v="0"/>
    <n v="0"/>
    <n v="1"/>
    <n v="59343"/>
    <n v="2195"/>
    <n v="0"/>
    <n v="0"/>
    <m/>
    <m/>
    <m/>
    <m/>
    <s v=""/>
  </r>
  <r>
    <x v="4"/>
    <x v="53"/>
    <n v="13000"/>
    <n v="0"/>
    <s v="USD"/>
    <s v="JRNLWA00422303"/>
    <s v="P"/>
    <s v="January 29th Self Insurance En"/>
    <s v="HelenaK"/>
    <s v="0/JE IC"/>
    <m/>
    <m/>
    <s v="Auto NI claim 5556167299518X"/>
    <m/>
    <m/>
    <m/>
    <m/>
    <m/>
    <m/>
    <s v="JRNL01002653"/>
    <s v="JRNL01002653"/>
    <m/>
    <d v="2021-02-02T00:00:00"/>
    <d v="2021-02-02T00:00:00"/>
    <m/>
    <m/>
    <s v="wci_wa"/>
    <n v="0"/>
    <n v="0"/>
    <n v="0"/>
    <n v="0"/>
    <n v="0"/>
    <n v="1"/>
    <n v="59342"/>
    <n v="2195"/>
    <n v="0"/>
    <n v="0"/>
    <m/>
    <m/>
    <m/>
    <m/>
    <s v=""/>
  </r>
  <r>
    <x v="0"/>
    <x v="54"/>
    <n v="1250"/>
    <n v="0"/>
    <s v="USD"/>
    <s v="JRNLWA00423878"/>
    <s v="P"/>
    <s v="February 26th Self Insurance E"/>
    <s v="HelenaK"/>
    <s v="0/JE IC"/>
    <m/>
    <m/>
    <s v="Auto NI claim 55561673380124"/>
    <m/>
    <m/>
    <m/>
    <m/>
    <m/>
    <m/>
    <s v="JRNL01006068"/>
    <s v="JRNL01006068"/>
    <m/>
    <d v="2021-03-02T00:00:00"/>
    <d v="2021-03-02T00:00:00"/>
    <m/>
    <m/>
    <s v="wci_wa"/>
    <n v="0"/>
    <n v="0"/>
    <n v="0"/>
    <n v="0"/>
    <n v="0"/>
    <n v="1"/>
    <n v="59341"/>
    <n v="2195"/>
    <n v="0"/>
    <n v="0"/>
    <m/>
    <m/>
    <m/>
    <m/>
    <s v=""/>
  </r>
  <r>
    <x v="0"/>
    <x v="55"/>
    <n v="11000"/>
    <n v="0"/>
    <s v="USD"/>
    <s v="JRNLWA00425565"/>
    <s v="P"/>
    <s v="March 31st Self Insurance"/>
    <s v="HeatherH"/>
    <s v="0/JE IC"/>
    <m/>
    <m/>
    <s v="Auto NI claim 55561673380124"/>
    <m/>
    <m/>
    <m/>
    <m/>
    <m/>
    <m/>
    <s v="JRNL01009681"/>
    <s v="JRNL01009681"/>
    <m/>
    <d v="2021-04-02T00:00:00"/>
    <d v="2021-04-04T00:00:00"/>
    <m/>
    <m/>
    <s v="wci_wa"/>
    <n v="0"/>
    <n v="0"/>
    <n v="0"/>
    <n v="0"/>
    <n v="0"/>
    <n v="1"/>
    <n v="59341"/>
    <n v="2195"/>
    <n v="0"/>
    <n v="0"/>
    <m/>
    <m/>
    <m/>
    <m/>
    <s v=""/>
  </r>
  <r>
    <x v="4"/>
    <x v="55"/>
    <n v="27500"/>
    <n v="0"/>
    <s v="USD"/>
    <s v="JRNLWA00425565"/>
    <s v="P"/>
    <s v="March 31st Self Insurance"/>
    <s v="HeatherH"/>
    <s v="0/JE IC"/>
    <m/>
    <m/>
    <s v="Auto NI claim 55564954604094"/>
    <m/>
    <m/>
    <m/>
    <m/>
    <m/>
    <m/>
    <s v="JRNL01009681"/>
    <s v="JRNL01009681"/>
    <m/>
    <d v="2021-04-02T00:00:00"/>
    <d v="2021-04-04T00:00:00"/>
    <m/>
    <m/>
    <s v="wci_wa"/>
    <n v="0"/>
    <n v="0"/>
    <n v="0"/>
    <n v="0"/>
    <n v="0"/>
    <n v="1"/>
    <n v="59342"/>
    <n v="2195"/>
    <n v="0"/>
    <n v="0"/>
    <m/>
    <m/>
    <m/>
    <m/>
    <s v=""/>
  </r>
  <r>
    <x v="4"/>
    <x v="55"/>
    <n v="5454.27"/>
    <n v="0"/>
    <s v="USD"/>
    <s v="JRNLWA00425565"/>
    <s v="P"/>
    <s v="March 31st Self Insurance"/>
    <s v="HeatherH"/>
    <s v="0/JE IC"/>
    <m/>
    <m/>
    <s v="Auto NI claim 5556167299518X"/>
    <m/>
    <m/>
    <m/>
    <m/>
    <m/>
    <m/>
    <s v="JRNL01009681"/>
    <s v="JRNL01009681"/>
    <m/>
    <d v="2021-04-02T00:00:00"/>
    <d v="2021-04-04T00:00:00"/>
    <m/>
    <m/>
    <s v="wci_wa"/>
    <n v="0"/>
    <n v="0"/>
    <n v="0"/>
    <n v="0"/>
    <n v="0"/>
    <n v="1"/>
    <n v="59342"/>
    <n v="2195"/>
    <n v="0"/>
    <n v="0"/>
    <m/>
    <m/>
    <m/>
    <m/>
    <s v=""/>
  </r>
  <r>
    <x v="2"/>
    <x v="55"/>
    <n v="4200"/>
    <n v="0"/>
    <s v="USD"/>
    <s v="JRNLWA00425565"/>
    <s v="P"/>
    <s v="March 31st Self Insurance"/>
    <s v="HeatherH"/>
    <s v="0/JE IC"/>
    <m/>
    <m/>
    <s v="WC NI claim 6D361663567564"/>
    <m/>
    <m/>
    <m/>
    <m/>
    <m/>
    <m/>
    <s v="JRNL01009681"/>
    <s v="JRNL01009681"/>
    <m/>
    <d v="2021-04-02T00:00:00"/>
    <d v="2021-04-04T00:00:00"/>
    <m/>
    <m/>
    <s v="wci_wa"/>
    <n v="0"/>
    <n v="0"/>
    <n v="0"/>
    <n v="0"/>
    <n v="0"/>
    <n v="1"/>
    <n v="59343"/>
    <n v="2195"/>
    <n v="0"/>
    <n v="0"/>
    <m/>
    <m/>
    <m/>
    <m/>
    <s v=""/>
  </r>
  <r>
    <x v="1"/>
    <x v="56"/>
    <n v="1000"/>
    <n v="0"/>
    <s v="USD"/>
    <s v="JRNLWA00426930"/>
    <s v="P"/>
    <s v="From Voucher Posting."/>
    <s v="asnell"/>
    <s v="0/JE IC"/>
    <s v="VUS000041111"/>
    <m/>
    <s v="RALPH YOUNG"/>
    <d v="2021-04-01T00:00:00"/>
    <s v="Damage - Josh Moore 3/15/21"/>
    <s v="Damage-Moore"/>
    <s v="PO-2195-21-00750"/>
    <m/>
    <m/>
    <s v="VO05763436"/>
    <s v="JRNL01012544"/>
    <s v="FX2195"/>
    <d v="2021-04-23T00:00:00"/>
    <d v="2021-04-28T00:00:00"/>
    <n v="1000"/>
    <d v="2021-04-02T00:00:00"/>
    <s v="wci_wa"/>
    <n v="0"/>
    <n v="0"/>
    <n v="0"/>
    <n v="0"/>
    <n v="0"/>
    <n v="1"/>
    <n v="59400"/>
    <n v="2195"/>
    <n v="0"/>
    <n v="0"/>
    <m/>
    <m/>
    <m/>
    <m/>
    <s v="VO05763436"/>
  </r>
  <r>
    <x v="0"/>
    <x v="57"/>
    <n v="-2900"/>
    <n v="0"/>
    <s v="USD"/>
    <s v="JRNLWA00427260"/>
    <s v="P"/>
    <s v="April 30th Self Insurance Entr"/>
    <s v="HeatherH"/>
    <s v="0/JE IC"/>
    <m/>
    <m/>
    <s v="Auto NI claim 55561673380124"/>
    <m/>
    <m/>
    <m/>
    <m/>
    <m/>
    <m/>
    <s v="JRNL01013502"/>
    <s v="JRNL01013502"/>
    <m/>
    <d v="2021-05-04T00:00:00"/>
    <d v="2021-05-05T00:00:00"/>
    <m/>
    <m/>
    <s v="wci_wa"/>
    <n v="0"/>
    <n v="0"/>
    <n v="0"/>
    <n v="0"/>
    <n v="0"/>
    <n v="1"/>
    <n v="59341"/>
    <n v="2195"/>
    <n v="0"/>
    <n v="0"/>
    <m/>
    <m/>
    <m/>
    <m/>
    <s v=""/>
  </r>
  <r>
    <x v="4"/>
    <x v="57"/>
    <n v="-37981.410000000003"/>
    <n v="0"/>
    <s v="USD"/>
    <s v="JRNLWA00427260"/>
    <s v="P"/>
    <s v="April 30th Self Insurance Entr"/>
    <s v="HeatherH"/>
    <s v="0/JE IC"/>
    <m/>
    <m/>
    <s v="Auto NI claim 55564954604094"/>
    <m/>
    <m/>
    <m/>
    <m/>
    <m/>
    <m/>
    <s v="JRNL01013502"/>
    <s v="JRNL01013502"/>
    <m/>
    <d v="2021-05-04T00:00:00"/>
    <d v="2021-05-05T00:00:00"/>
    <m/>
    <m/>
    <s v="wci_wa"/>
    <n v="0"/>
    <n v="0"/>
    <n v="0"/>
    <n v="0"/>
    <n v="0"/>
    <n v="1"/>
    <n v="59342"/>
    <n v="2195"/>
    <n v="0"/>
    <n v="0"/>
    <m/>
    <m/>
    <m/>
    <m/>
    <s v=""/>
  </r>
  <r>
    <x v="4"/>
    <x v="57"/>
    <n v="-1048"/>
    <n v="0"/>
    <s v="USD"/>
    <s v="JRNLWA00427260"/>
    <s v="P"/>
    <s v="April 30th Self Insurance Entr"/>
    <s v="HeatherH"/>
    <s v="0/JE IC"/>
    <m/>
    <m/>
    <s v="Auto NI claim 5556167299518X"/>
    <m/>
    <m/>
    <m/>
    <m/>
    <m/>
    <m/>
    <s v="JRNL01013502"/>
    <s v="JRNL01013502"/>
    <m/>
    <d v="2021-05-04T00:00:00"/>
    <d v="2021-05-05T00:00:00"/>
    <m/>
    <m/>
    <s v="wci_wa"/>
    <n v="0"/>
    <n v="0"/>
    <n v="0"/>
    <n v="0"/>
    <n v="0"/>
    <n v="1"/>
    <n v="59342"/>
    <n v="2195"/>
    <n v="0"/>
    <n v="0"/>
    <m/>
    <m/>
    <m/>
    <m/>
    <s v=""/>
  </r>
  <r>
    <x v="2"/>
    <x v="57"/>
    <n v="274"/>
    <n v="0"/>
    <s v="USD"/>
    <s v="JRNLWA00427260"/>
    <s v="P"/>
    <s v="April 30th Self Insurance Entr"/>
    <s v="HeatherH"/>
    <s v="0/JE IC"/>
    <m/>
    <m/>
    <s v="WC NI claim 6D361663567564"/>
    <m/>
    <m/>
    <m/>
    <m/>
    <m/>
    <m/>
    <s v="JRNL01013502"/>
    <s v="JRNL01013502"/>
    <m/>
    <d v="2021-05-04T00:00:00"/>
    <d v="2021-05-05T00:00:00"/>
    <m/>
    <m/>
    <s v="wci_wa"/>
    <n v="0"/>
    <n v="0"/>
    <n v="0"/>
    <n v="0"/>
    <n v="0"/>
    <n v="1"/>
    <n v="59343"/>
    <n v="2195"/>
    <n v="0"/>
    <n v="0"/>
    <m/>
    <m/>
    <m/>
    <m/>
    <s v=""/>
  </r>
  <r>
    <x v="3"/>
    <x v="57"/>
    <n v="1980"/>
    <n v="0"/>
    <s v="USD"/>
    <s v="JRNLWA00427260"/>
    <s v="P"/>
    <s v="April 30th Self Insurance Entr"/>
    <s v="HeatherH"/>
    <s v="0/JE IC"/>
    <m/>
    <m/>
    <s v="WC NI claim 6D361662565970"/>
    <m/>
    <m/>
    <m/>
    <m/>
    <m/>
    <m/>
    <s v="JRNL01013502"/>
    <s v="JRNL01013502"/>
    <m/>
    <d v="2021-05-04T00:00:00"/>
    <d v="2021-05-05T00:00:00"/>
    <m/>
    <m/>
    <s v="wci_wa"/>
    <n v="0"/>
    <n v="0"/>
    <n v="0"/>
    <n v="0"/>
    <n v="0"/>
    <n v="1"/>
    <n v="59344"/>
    <n v="2195"/>
    <n v="0"/>
    <n v="0"/>
    <m/>
    <m/>
    <m/>
    <m/>
    <s v=""/>
  </r>
  <r>
    <x v="1"/>
    <x v="58"/>
    <n v="755.59"/>
    <n v="0"/>
    <s v="USD"/>
    <s v="JRNLWA00428740"/>
    <s v="P"/>
    <s v="2021-05 Pcard Activity"/>
    <s v="HeatherH"/>
    <s v="0/JE IC"/>
    <m/>
    <m/>
    <s v="JOHNSON S AUTO GLASS~JOSH NATHANSON"/>
    <m/>
    <m/>
    <m/>
    <m/>
    <m/>
    <m/>
    <s v="JRNL01016793"/>
    <s v="JRNL01016793"/>
    <m/>
    <d v="2021-06-02T00:00:00"/>
    <d v="2021-06-02T00:00:00"/>
    <m/>
    <m/>
    <s v="wci_wa"/>
    <n v="0"/>
    <n v="0"/>
    <n v="0"/>
    <n v="0"/>
    <n v="0"/>
    <n v="1"/>
    <n v="59400"/>
    <n v="2195"/>
    <n v="0"/>
    <n v="0"/>
    <m/>
    <m/>
    <m/>
    <m/>
    <s v=""/>
  </r>
  <r>
    <x v="4"/>
    <x v="58"/>
    <n v="52.5"/>
    <n v="0"/>
    <s v="USD"/>
    <s v="JRNLWA00428757"/>
    <s v="P"/>
    <s v="May 31st Self Insurance Entry"/>
    <s v="pabbott"/>
    <s v="0/JE IC"/>
    <m/>
    <m/>
    <s v="Auto NI claim 55564954604094"/>
    <m/>
    <m/>
    <m/>
    <m/>
    <m/>
    <m/>
    <s v="JRNL01016865"/>
    <s v="JRNL01016865"/>
    <m/>
    <d v="2021-06-02T00:00:00"/>
    <d v="2021-06-02T00:00:00"/>
    <m/>
    <m/>
    <s v="wci_wa"/>
    <n v="0"/>
    <n v="0"/>
    <n v="0"/>
    <n v="0"/>
    <n v="0"/>
    <n v="1"/>
    <n v="59342"/>
    <n v="2195"/>
    <n v="0"/>
    <n v="0"/>
    <m/>
    <m/>
    <m/>
    <m/>
    <s v=""/>
  </r>
  <r>
    <x v="2"/>
    <x v="58"/>
    <n v="-2096.98"/>
    <n v="0"/>
    <s v="USD"/>
    <s v="JRNLWA00428757"/>
    <s v="P"/>
    <s v="May 31st Self Insurance Entry"/>
    <s v="pabbott"/>
    <s v="0/JE IC"/>
    <m/>
    <m/>
    <s v="WC NI claim 6D361663567564"/>
    <m/>
    <m/>
    <m/>
    <m/>
    <m/>
    <m/>
    <s v="JRNL01016865"/>
    <s v="JRNL01016865"/>
    <m/>
    <d v="2021-06-02T00:00:00"/>
    <d v="2021-06-02T00:00:00"/>
    <m/>
    <m/>
    <s v="wci_wa"/>
    <n v="0"/>
    <n v="0"/>
    <n v="0"/>
    <n v="0"/>
    <n v="0"/>
    <n v="1"/>
    <n v="59343"/>
    <n v="2195"/>
    <n v="0"/>
    <n v="0"/>
    <m/>
    <m/>
    <m/>
    <m/>
    <s v=""/>
  </r>
  <r>
    <x v="3"/>
    <x v="58"/>
    <n v="-2239.2800000000002"/>
    <n v="0"/>
    <s v="USD"/>
    <s v="JRNLWA00428757"/>
    <s v="P"/>
    <s v="May 31st Self Insurance Entry"/>
    <s v="pabbott"/>
    <s v="0/JE IC"/>
    <m/>
    <m/>
    <s v="WC NI claim 6D368778086122"/>
    <m/>
    <m/>
    <m/>
    <m/>
    <m/>
    <m/>
    <s v="JRNL01016865"/>
    <s v="JRNL01016865"/>
    <m/>
    <d v="2021-06-02T00:00:00"/>
    <d v="2021-06-02T00:00:00"/>
    <m/>
    <m/>
    <s v="wci_wa"/>
    <n v="0"/>
    <n v="0"/>
    <n v="0"/>
    <n v="0"/>
    <n v="0"/>
    <n v="1"/>
    <n v="59344"/>
    <n v="2195"/>
    <n v="0"/>
    <n v="0"/>
    <m/>
    <m/>
    <m/>
    <m/>
    <s v=""/>
  </r>
  <r>
    <x v="3"/>
    <x v="58"/>
    <n v="850"/>
    <n v="0"/>
    <s v="USD"/>
    <s v="JRNLWA00428757"/>
    <s v="P"/>
    <s v="May 31st Self Insurance Entry"/>
    <s v="pabbott"/>
    <s v="0/JE IC"/>
    <m/>
    <m/>
    <s v="WC NI claim 6D361661489642"/>
    <m/>
    <m/>
    <m/>
    <m/>
    <m/>
    <m/>
    <s v="JRNL01016865"/>
    <s v="JRNL01016865"/>
    <m/>
    <d v="2021-06-02T00:00:00"/>
    <d v="2021-06-02T00:00:00"/>
    <m/>
    <m/>
    <s v="wci_wa"/>
    <n v="0"/>
    <n v="0"/>
    <n v="0"/>
    <n v="0"/>
    <n v="0"/>
    <n v="1"/>
    <n v="59344"/>
    <n v="2195"/>
    <n v="0"/>
    <n v="0"/>
    <m/>
    <m/>
    <m/>
    <m/>
    <s v=""/>
  </r>
  <r>
    <x v="3"/>
    <x v="58"/>
    <n v="25300"/>
    <n v="0"/>
    <s v="USD"/>
    <s v="JRNLWA00428757"/>
    <s v="P"/>
    <s v="May 31st Self Insurance Entry"/>
    <s v="pabbott"/>
    <s v="0/JE IC"/>
    <m/>
    <m/>
    <s v="WC NI claim 6D361662565970"/>
    <m/>
    <m/>
    <m/>
    <m/>
    <m/>
    <m/>
    <s v="JRNL01016865"/>
    <s v="JRNL01016865"/>
    <m/>
    <d v="2021-06-02T00:00:00"/>
    <d v="2021-06-02T00:00:00"/>
    <m/>
    <m/>
    <s v="wci_wa"/>
    <n v="0"/>
    <n v="0"/>
    <n v="0"/>
    <n v="0"/>
    <n v="0"/>
    <n v="1"/>
    <n v="59344"/>
    <n v="2195"/>
    <n v="0"/>
    <n v="0"/>
    <m/>
    <m/>
    <m/>
    <m/>
    <s v=""/>
  </r>
  <r>
    <x v="1"/>
    <x v="59"/>
    <n v="1996.2"/>
    <n v="0"/>
    <s v="USD"/>
    <s v="JRNLWA00430349"/>
    <s v="P"/>
    <s v="2021-06 Pcard Activity"/>
    <s v="HeatherH"/>
    <s v="0/JE IC"/>
    <m/>
    <m/>
    <s v="IN  WASHINGTON WASTEWATER~CHRISTIE HERBS"/>
    <m/>
    <m/>
    <m/>
    <m/>
    <m/>
    <m/>
    <s v="JRNL01020473"/>
    <s v="JRNL01020473"/>
    <m/>
    <d v="2021-07-02T00:00:00"/>
    <d v="2021-07-05T00:00:00"/>
    <m/>
    <m/>
    <s v="wci_wa"/>
    <n v="0"/>
    <n v="0"/>
    <n v="0"/>
    <n v="0"/>
    <n v="0"/>
    <n v="1"/>
    <n v="59400"/>
    <n v="2195"/>
    <n v="0"/>
    <n v="0"/>
    <m/>
    <m/>
    <m/>
    <m/>
    <s v=""/>
  </r>
  <r>
    <x v="0"/>
    <x v="59"/>
    <n v="-104.65"/>
    <n v="0"/>
    <s v="USD"/>
    <s v="JRNLWA00430636"/>
    <s v="P"/>
    <s v="June 30th Self Insurance Entry"/>
    <s v="JacobMas"/>
    <s v="0/JE IC"/>
    <m/>
    <m/>
    <s v="Auto NI claim 55561673380124"/>
    <m/>
    <m/>
    <m/>
    <m/>
    <m/>
    <m/>
    <s v="JRNL01021063"/>
    <s v="JRNL01021063"/>
    <m/>
    <d v="2021-07-06T00:00:00"/>
    <d v="2021-07-06T00:00:00"/>
    <m/>
    <m/>
    <s v="wci_wa"/>
    <n v="0"/>
    <n v="0"/>
    <n v="0"/>
    <n v="0"/>
    <n v="0"/>
    <n v="1"/>
    <n v="59341"/>
    <n v="2195"/>
    <n v="0"/>
    <n v="0"/>
    <m/>
    <m/>
    <m/>
    <m/>
    <s v=""/>
  </r>
  <r>
    <x v="0"/>
    <x v="59"/>
    <n v="10250"/>
    <n v="0"/>
    <s v="USD"/>
    <s v="JRNLWA00430636"/>
    <s v="P"/>
    <s v="June 30th Self Insurance Entry"/>
    <s v="JacobMas"/>
    <s v="0/JE IC"/>
    <m/>
    <m/>
    <s v="Auto NI claim 55561674267604"/>
    <m/>
    <m/>
    <m/>
    <m/>
    <m/>
    <m/>
    <s v="JRNL01021063"/>
    <s v="JRNL01021063"/>
    <m/>
    <d v="2021-07-06T00:00:00"/>
    <d v="2021-07-06T00:00:00"/>
    <m/>
    <m/>
    <s v="wci_wa"/>
    <n v="0"/>
    <n v="0"/>
    <n v="0"/>
    <n v="0"/>
    <n v="0"/>
    <n v="1"/>
    <n v="59341"/>
    <n v="2195"/>
    <n v="0"/>
    <n v="0"/>
    <m/>
    <m/>
    <m/>
    <m/>
    <s v=""/>
  </r>
  <r>
    <x v="2"/>
    <x v="59"/>
    <n v="2800"/>
    <n v="0"/>
    <s v="USD"/>
    <s v="JRNLWA00430636"/>
    <s v="P"/>
    <s v="June 30th Self Insurance Entry"/>
    <s v="JacobMas"/>
    <s v="0/JE IC"/>
    <m/>
    <m/>
    <s v="WC NI claim 1E01E010271029"/>
    <m/>
    <m/>
    <m/>
    <m/>
    <m/>
    <m/>
    <s v="JRNL01021063"/>
    <s v="JRNL01021063"/>
    <m/>
    <d v="2021-07-06T00:00:00"/>
    <d v="2021-07-06T00:00:00"/>
    <m/>
    <m/>
    <s v="wci_wa"/>
    <n v="0"/>
    <n v="0"/>
    <n v="0"/>
    <n v="0"/>
    <n v="0"/>
    <n v="1"/>
    <n v="59343"/>
    <n v="2195"/>
    <n v="0"/>
    <n v="0"/>
    <m/>
    <m/>
    <m/>
    <m/>
    <s v=""/>
  </r>
  <r>
    <x v="2"/>
    <x v="59"/>
    <n v="2800"/>
    <n v="0"/>
    <s v="USD"/>
    <s v="JRNLWA00430636"/>
    <s v="P"/>
    <s v="June 30th Self Insurance Entry"/>
    <s v="JacobMas"/>
    <s v="0/JE IC"/>
    <m/>
    <m/>
    <s v="WC NI claim 1E01E010317878"/>
    <m/>
    <m/>
    <m/>
    <m/>
    <m/>
    <m/>
    <s v="JRNL01021063"/>
    <s v="JRNL01021063"/>
    <m/>
    <d v="2021-07-06T00:00:00"/>
    <d v="2021-07-06T00:00:00"/>
    <m/>
    <m/>
    <s v="wci_wa"/>
    <n v="0"/>
    <n v="0"/>
    <n v="0"/>
    <n v="0"/>
    <n v="0"/>
    <n v="1"/>
    <n v="59343"/>
    <n v="2195"/>
    <n v="0"/>
    <n v="0"/>
    <m/>
    <m/>
    <m/>
    <m/>
    <s v=""/>
  </r>
  <r>
    <x v="0"/>
    <x v="60"/>
    <n v="194.19"/>
    <n v="0"/>
    <s v="USD"/>
    <s v="JRNLWA00431921"/>
    <s v="P"/>
    <s v="July 30th Self Insurance"/>
    <s v="HeatherH"/>
    <s v="0/JE IC"/>
    <m/>
    <m/>
    <s v="Auto NI claim 55561674267604"/>
    <m/>
    <m/>
    <m/>
    <m/>
    <m/>
    <m/>
    <s v="JRNL01024130"/>
    <s v="JRNL01024130"/>
    <m/>
    <d v="2021-08-03T00:00:00"/>
    <d v="2021-08-03T00:00:00"/>
    <m/>
    <m/>
    <s v="wci_wa"/>
    <n v="0"/>
    <n v="0"/>
    <n v="0"/>
    <n v="0"/>
    <n v="0"/>
    <n v="1"/>
    <n v="59341"/>
    <n v="2195"/>
    <n v="0"/>
    <n v="0"/>
    <m/>
    <m/>
    <m/>
    <m/>
    <s v=""/>
  </r>
  <r>
    <x v="2"/>
    <x v="60"/>
    <n v="6449"/>
    <n v="0"/>
    <s v="USD"/>
    <s v="JRNLWA00431921"/>
    <s v="P"/>
    <s v="July 30th Self Insurance"/>
    <s v="HeatherH"/>
    <s v="0/JE IC"/>
    <m/>
    <m/>
    <s v="WC NI claim 1E01E010317878"/>
    <m/>
    <m/>
    <m/>
    <m/>
    <m/>
    <m/>
    <s v="JRNL01024130"/>
    <s v="JRNL01024130"/>
    <m/>
    <d v="2021-08-03T00:00:00"/>
    <d v="2021-08-03T00:00:00"/>
    <m/>
    <m/>
    <s v="wci_wa"/>
    <n v="0"/>
    <n v="0"/>
    <n v="0"/>
    <n v="0"/>
    <n v="0"/>
    <n v="1"/>
    <n v="59343"/>
    <n v="2195"/>
    <n v="0"/>
    <n v="0"/>
    <m/>
    <m/>
    <m/>
    <m/>
    <s v=""/>
  </r>
  <r>
    <x v="3"/>
    <x v="60"/>
    <n v="-9543.77"/>
    <n v="0"/>
    <s v="USD"/>
    <s v="JRNLWA00431921"/>
    <s v="P"/>
    <s v="July 30th Self Insurance"/>
    <s v="HeatherH"/>
    <s v="0/JE IC"/>
    <m/>
    <m/>
    <s v="WC NI claim 6D367805009917"/>
    <m/>
    <m/>
    <m/>
    <m/>
    <m/>
    <m/>
    <s v="JRNL01024130"/>
    <s v="JRNL01024130"/>
    <m/>
    <d v="2021-08-03T00:00:00"/>
    <d v="2021-08-03T00:00:00"/>
    <m/>
    <m/>
    <s v="wci_wa"/>
    <n v="0"/>
    <n v="0"/>
    <n v="0"/>
    <n v="0"/>
    <n v="0"/>
    <n v="1"/>
    <n v="59344"/>
    <n v="2195"/>
    <n v="0"/>
    <n v="0"/>
    <m/>
    <m/>
    <m/>
    <m/>
    <s v=""/>
  </r>
  <r>
    <x v="1"/>
    <x v="61"/>
    <n v="4050.42"/>
    <n v="0"/>
    <s v="USD"/>
    <s v="JRNLWA00433477"/>
    <s v="P"/>
    <s v="2021-08 Pcard Activity"/>
    <s v="LaurenTi"/>
    <s v="0/JE IC"/>
    <m/>
    <m/>
    <s v="PO 01695 - CLASSIC WELDING~JOSH NATHANSO"/>
    <m/>
    <m/>
    <m/>
    <m/>
    <m/>
    <m/>
    <s v="JRNL01027716"/>
    <s v="JRNL01027716"/>
    <m/>
    <d v="2021-09-02T00:00:00"/>
    <d v="2021-09-02T00:00:00"/>
    <m/>
    <m/>
    <s v="wci_wa"/>
    <n v="0"/>
    <n v="0"/>
    <n v="0"/>
    <n v="0"/>
    <n v="0"/>
    <n v="1"/>
    <n v="59400"/>
    <n v="2195"/>
    <n v="0"/>
    <n v="0"/>
    <m/>
    <m/>
    <m/>
    <m/>
    <s v=""/>
  </r>
  <r>
    <x v="0"/>
    <x v="61"/>
    <n v="577.19000000000005"/>
    <n v="0"/>
    <s v="USD"/>
    <s v="JRNLWA00433481"/>
    <s v="P"/>
    <s v="August 31st Self Insurance"/>
    <s v="pabbott"/>
    <s v="0/JE IC"/>
    <m/>
    <m/>
    <s v="Auto NI claim 55561674267604"/>
    <m/>
    <m/>
    <m/>
    <m/>
    <m/>
    <m/>
    <s v="JRNL01027762"/>
    <s v="JRNL01027762"/>
    <m/>
    <d v="2021-09-02T00:00:00"/>
    <d v="2021-09-02T00:00:00"/>
    <m/>
    <m/>
    <s v="wci_wa"/>
    <n v="0"/>
    <n v="0"/>
    <n v="0"/>
    <n v="0"/>
    <n v="0"/>
    <n v="1"/>
    <n v="59341"/>
    <n v="2195"/>
    <n v="0"/>
    <n v="0"/>
    <m/>
    <m/>
    <m/>
    <m/>
    <s v=""/>
  </r>
  <r>
    <x v="3"/>
    <x v="61"/>
    <n v="20054.52"/>
    <n v="0"/>
    <s v="USD"/>
    <s v="JRNLWA00433481"/>
    <s v="P"/>
    <s v="August 31st Self Insurance"/>
    <s v="pabbott"/>
    <s v="0/JE IC"/>
    <m/>
    <m/>
    <s v="WC NI claim 6D361661489642"/>
    <m/>
    <m/>
    <m/>
    <m/>
    <m/>
    <m/>
    <s v="JRNL01027762"/>
    <s v="JRNL01027762"/>
    <m/>
    <d v="2021-09-02T00:00:00"/>
    <d v="2021-09-02T00:00:00"/>
    <m/>
    <m/>
    <s v="wci_wa"/>
    <n v="0"/>
    <n v="0"/>
    <n v="0"/>
    <n v="0"/>
    <n v="0"/>
    <n v="1"/>
    <n v="59344"/>
    <n v="2195"/>
    <n v="0"/>
    <n v="0"/>
    <m/>
    <m/>
    <m/>
    <m/>
    <s v=""/>
  </r>
  <r>
    <x v="3"/>
    <x v="61"/>
    <n v="57.04"/>
    <n v="0"/>
    <s v="USD"/>
    <s v="JRNLWA00433481"/>
    <s v="P"/>
    <s v="August 31st Self Insurance"/>
    <s v="pabbott"/>
    <s v="0/JE IC"/>
    <m/>
    <m/>
    <s v="WC NI claim 6D367805009917"/>
    <m/>
    <m/>
    <m/>
    <m/>
    <m/>
    <m/>
    <s v="JRNL01027762"/>
    <s v="JRNL01027762"/>
    <m/>
    <d v="2021-09-02T00:00:00"/>
    <d v="2021-09-02T00:00:00"/>
    <m/>
    <m/>
    <s v="wci_wa"/>
    <n v="0"/>
    <n v="0"/>
    <n v="0"/>
    <n v="0"/>
    <n v="0"/>
    <n v="1"/>
    <n v="59344"/>
    <n v="2195"/>
    <n v="0"/>
    <n v="0"/>
    <m/>
    <m/>
    <m/>
    <m/>
    <s v=""/>
  </r>
  <r>
    <x v="2"/>
    <x v="62"/>
    <n v="15950"/>
    <n v="0"/>
    <s v="USD"/>
    <s v="JRNLWA00435099"/>
    <s v="P"/>
    <s v="Sept 30th Self Insurance"/>
    <s v="HeatherH"/>
    <s v="0/JE IC"/>
    <m/>
    <m/>
    <s v="WC NI claim 1E01E010711766"/>
    <m/>
    <m/>
    <m/>
    <m/>
    <m/>
    <m/>
    <s v="JRNL01031417"/>
    <s v="JRNL01031417"/>
    <m/>
    <d v="2021-10-04T00:00:00"/>
    <d v="2021-10-04T00:00:00"/>
    <m/>
    <m/>
    <s v="wci_wa"/>
    <n v="0"/>
    <n v="0"/>
    <n v="0"/>
    <n v="0"/>
    <n v="0"/>
    <n v="1"/>
    <n v="59343"/>
    <n v="2195"/>
    <n v="0"/>
    <n v="0"/>
    <m/>
    <m/>
    <m/>
    <m/>
    <s v=""/>
  </r>
  <r>
    <x v="3"/>
    <x v="62"/>
    <n v="13.85"/>
    <n v="0"/>
    <s v="USD"/>
    <s v="JRNLWA00435099"/>
    <s v="P"/>
    <s v="Sept 30th Self Insurance"/>
    <s v="HeatherH"/>
    <s v="0/JE IC"/>
    <m/>
    <m/>
    <s v="WC NI claim 6D368778086122"/>
    <m/>
    <m/>
    <m/>
    <m/>
    <m/>
    <m/>
    <s v="JRNL01031417"/>
    <s v="JRNL01031417"/>
    <m/>
    <d v="2021-10-04T00:00:00"/>
    <d v="2021-10-04T00:00:00"/>
    <m/>
    <m/>
    <s v="wci_wa"/>
    <n v="0"/>
    <n v="0"/>
    <n v="0"/>
    <n v="0"/>
    <n v="0"/>
    <n v="1"/>
    <n v="59344"/>
    <n v="2195"/>
    <n v="0"/>
    <n v="0"/>
    <m/>
    <m/>
    <m/>
    <m/>
    <s v=""/>
  </r>
  <r>
    <x v="1"/>
    <x v="62"/>
    <n v="2330.34"/>
    <n v="0"/>
    <s v="USD"/>
    <s v="JRNLWA00435661"/>
    <s v="P"/>
    <s v="OPEX7-PCARD Accrual"/>
    <s v="LaurenTi"/>
    <s v="0/JE IC"/>
    <m/>
    <m/>
    <s v="PO 02153 - DOT AFS VENDOR PAYMENTS~CHRIS"/>
    <m/>
    <m/>
    <m/>
    <m/>
    <m/>
    <m/>
    <s v="JRNL01032477"/>
    <s v="JRNL01032477"/>
    <m/>
    <d v="2021-10-06T00:00:00"/>
    <d v="2021-10-06T00:00:00"/>
    <m/>
    <m/>
    <s v="wci_wa"/>
    <n v="0"/>
    <n v="0"/>
    <n v="0"/>
    <n v="0"/>
    <n v="0"/>
    <n v="1"/>
    <n v="59400"/>
    <n v="2195"/>
    <n v="0"/>
    <n v="0"/>
    <m/>
    <m/>
    <m/>
    <m/>
    <s v=""/>
  </r>
  <r>
    <x v="1"/>
    <x v="63"/>
    <n v="-2330.34"/>
    <n v="0"/>
    <s v="USD"/>
    <s v="JRNLWA00435675"/>
    <s v="P"/>
    <s v="OPEX7-PCARD Accrual"/>
    <s v="HelenaK"/>
    <s v="0/JE IC"/>
    <m/>
    <m/>
    <s v="PO 02153 - DOT AFS VENDOR PAYMENTS~CHRIS"/>
    <m/>
    <m/>
    <m/>
    <m/>
    <m/>
    <m/>
    <s v="JRNL01032477"/>
    <s v="JRNL01032487"/>
    <m/>
    <d v="2021-10-06T00:00:00"/>
    <d v="2021-10-06T00:00:00"/>
    <m/>
    <m/>
    <s v="wci_wa"/>
    <n v="0"/>
    <n v="0"/>
    <n v="0"/>
    <n v="0"/>
    <n v="5"/>
    <n v="1"/>
    <n v="59400"/>
    <n v="2195"/>
    <n v="0"/>
    <n v="0"/>
    <m/>
    <m/>
    <m/>
    <m/>
    <s v=""/>
  </r>
  <r>
    <x v="2"/>
    <x v="63"/>
    <n v="-7977.35"/>
    <n v="0"/>
    <s v="USD"/>
    <s v="JRNLWA00436828"/>
    <s v="P"/>
    <s v="Self Insurance Oct 29th"/>
    <s v="HeatherH"/>
    <s v="0/JE IC"/>
    <m/>
    <m/>
    <s v="WC NI claim 1E01E010317878"/>
    <m/>
    <m/>
    <m/>
    <m/>
    <m/>
    <m/>
    <s v="JRNL01035348"/>
    <s v="JRNL01035348"/>
    <m/>
    <d v="2021-11-02T00:00:00"/>
    <d v="2021-11-02T00:00:00"/>
    <m/>
    <m/>
    <s v="wci_wa"/>
    <n v="0"/>
    <n v="0"/>
    <n v="0"/>
    <n v="0"/>
    <n v="0"/>
    <n v="1"/>
    <n v="59343"/>
    <n v="2195"/>
    <n v="0"/>
    <n v="0"/>
    <m/>
    <m/>
    <m/>
    <m/>
    <s v=""/>
  </r>
  <r>
    <x v="2"/>
    <x v="63"/>
    <n v="146.72"/>
    <n v="0"/>
    <s v="USD"/>
    <s v="JRNLWA00436828"/>
    <s v="P"/>
    <s v="Self Insurance Oct 29th"/>
    <s v="HeatherH"/>
    <s v="0/JE IC"/>
    <m/>
    <m/>
    <s v="WC NI claim 6D361665499802"/>
    <m/>
    <m/>
    <m/>
    <m/>
    <m/>
    <m/>
    <s v="JRNL01035348"/>
    <s v="JRNL01035348"/>
    <m/>
    <d v="2021-11-02T00:00:00"/>
    <d v="2021-11-02T00:00:00"/>
    <m/>
    <m/>
    <s v="wci_wa"/>
    <n v="0"/>
    <n v="0"/>
    <n v="0"/>
    <n v="0"/>
    <n v="0"/>
    <n v="1"/>
    <n v="59343"/>
    <n v="2195"/>
    <n v="0"/>
    <n v="0"/>
    <m/>
    <m/>
    <m/>
    <m/>
    <s v=""/>
  </r>
  <r>
    <x v="1"/>
    <x v="63"/>
    <n v="2330.34"/>
    <n v="0"/>
    <s v="USD"/>
    <s v="JRNLWA00437069"/>
    <s v="P"/>
    <s v="2021-10 Pcard Activity"/>
    <s v="HeatherH"/>
    <s v="0/JE IC"/>
    <m/>
    <m/>
    <s v="PO 02153 - DOT AFS VENDOR PAYMENTS~CHRIS"/>
    <m/>
    <m/>
    <m/>
    <m/>
    <m/>
    <m/>
    <s v="JRNL01035582"/>
    <s v="JRNL01035582"/>
    <m/>
    <d v="2021-11-03T00:00:00"/>
    <d v="2021-11-03T00:00:00"/>
    <m/>
    <m/>
    <s v="wci_wa"/>
    <n v="0"/>
    <n v="0"/>
    <n v="0"/>
    <n v="0"/>
    <n v="0"/>
    <n v="1"/>
    <n v="59400"/>
    <n v="2195"/>
    <n v="0"/>
    <n v="0"/>
    <m/>
    <m/>
    <m/>
    <m/>
    <s v=""/>
  </r>
  <r>
    <x v="1"/>
    <x v="63"/>
    <n v="805.74"/>
    <n v="0"/>
    <s v="USD"/>
    <s v="JRNLWA00437686"/>
    <s v="P"/>
    <s v="OPEX7-PCARD Accrual"/>
    <s v="HeatherH"/>
    <s v="0/JE IC"/>
    <m/>
    <m/>
    <s v="PO 02317 - VALLEY FORD NISSAN KIA~JOSH N"/>
    <m/>
    <m/>
    <m/>
    <m/>
    <m/>
    <m/>
    <s v="JRNL01036789"/>
    <s v="JRNL01036789"/>
    <m/>
    <d v="2021-11-04T00:00:00"/>
    <d v="2021-11-05T00:00:00"/>
    <m/>
    <m/>
    <s v="wci_wa"/>
    <n v="0"/>
    <n v="0"/>
    <n v="0"/>
    <n v="0"/>
    <n v="0"/>
    <n v="1"/>
    <n v="59400"/>
    <n v="2195"/>
    <n v="0"/>
    <n v="0"/>
    <m/>
    <m/>
    <m/>
    <m/>
    <s v=""/>
  </r>
  <r>
    <x v="1"/>
    <x v="64"/>
    <n v="-805.74"/>
    <n v="0"/>
    <s v="USD"/>
    <s v="JRNLWA00437731"/>
    <s v="P"/>
    <s v="OPEX7-PCARD Accrual"/>
    <s v="HeatherH"/>
    <s v="0/JE IC"/>
    <m/>
    <m/>
    <s v="PO 02317 - VALLEY FORD NISSAN KIA~JOSH N"/>
    <m/>
    <m/>
    <m/>
    <m/>
    <m/>
    <m/>
    <s v="JRNL01036789"/>
    <s v="JRNL01036871"/>
    <m/>
    <d v="2021-11-05T00:00:00"/>
    <d v="2021-11-05T00:00:00"/>
    <m/>
    <m/>
    <s v="wci_wa"/>
    <n v="0"/>
    <n v="0"/>
    <n v="0"/>
    <n v="0"/>
    <n v="5"/>
    <n v="1"/>
    <n v="59400"/>
    <n v="2195"/>
    <n v="0"/>
    <n v="0"/>
    <m/>
    <m/>
    <m/>
    <m/>
    <s v=""/>
  </r>
  <r>
    <x v="2"/>
    <x v="64"/>
    <n v="143.21"/>
    <n v="0"/>
    <s v="USD"/>
    <s v="JRNLWA00438445"/>
    <s v="P"/>
    <s v="Self Insurance Nov 30th"/>
    <s v="HeatherH"/>
    <s v="0/JE IC"/>
    <m/>
    <m/>
    <s v="WC NI claim 6D361665499802"/>
    <m/>
    <m/>
    <m/>
    <m/>
    <m/>
    <m/>
    <s v="JRNL01039277"/>
    <s v="JRNL01039277"/>
    <m/>
    <d v="2021-12-03T00:00:00"/>
    <d v="2021-12-03T00:00:00"/>
    <m/>
    <m/>
    <s v="wci_wa"/>
    <n v="0"/>
    <n v="0"/>
    <n v="0"/>
    <n v="0"/>
    <n v="0"/>
    <n v="1"/>
    <n v="59343"/>
    <n v="2195"/>
    <n v="0"/>
    <n v="0"/>
    <m/>
    <m/>
    <m/>
    <m/>
    <s v=""/>
  </r>
  <r>
    <x v="3"/>
    <x v="64"/>
    <n v="-1255.3599999999999"/>
    <n v="0"/>
    <s v="USD"/>
    <s v="JRNLWA00438445"/>
    <s v="P"/>
    <s v="Self Insurance Nov 30th"/>
    <s v="HeatherH"/>
    <s v="0/JE IC"/>
    <m/>
    <m/>
    <s v="WC NI claim 6D361661489642"/>
    <m/>
    <m/>
    <m/>
    <m/>
    <m/>
    <m/>
    <s v="JRNL01039277"/>
    <s v="JRNL01039277"/>
    <m/>
    <d v="2021-12-03T00:00:00"/>
    <d v="2021-12-03T00:00:00"/>
    <m/>
    <m/>
    <s v="wci_wa"/>
    <n v="0"/>
    <n v="0"/>
    <n v="0"/>
    <n v="0"/>
    <n v="0"/>
    <n v="1"/>
    <n v="59344"/>
    <n v="2195"/>
    <n v="0"/>
    <n v="0"/>
    <m/>
    <m/>
    <m/>
    <m/>
    <s v=""/>
  </r>
  <r>
    <x v="1"/>
    <x v="64"/>
    <n v="805.74"/>
    <n v="0"/>
    <s v="USD"/>
    <s v="JRNLWA00438610"/>
    <s v="P"/>
    <s v="2021-11 Pcard Activity"/>
    <s v="SKACKO"/>
    <s v="0/JE IC"/>
    <m/>
    <m/>
    <s v="PO 02317 - VALLEY FORD NISSAN KIA~JOSH N"/>
    <m/>
    <m/>
    <m/>
    <m/>
    <m/>
    <m/>
    <s v="JRNL01039545"/>
    <s v="JRNL01039545"/>
    <m/>
    <d v="2021-12-03T00:00:00"/>
    <d v="2021-12-03T00:00:00"/>
    <m/>
    <m/>
    <s v="wci_wa"/>
    <n v="0"/>
    <n v="0"/>
    <n v="0"/>
    <n v="0"/>
    <n v="0"/>
    <n v="1"/>
    <n v="59400"/>
    <n v="2195"/>
    <n v="0"/>
    <n v="0"/>
    <m/>
    <m/>
    <m/>
    <m/>
    <s v=""/>
  </r>
  <r>
    <x v="1"/>
    <x v="65"/>
    <n v="3405.22"/>
    <n v="0"/>
    <s v="USD"/>
    <s v="JRNLWA00439917"/>
    <s v="P"/>
    <s v="From Voucher Posting."/>
    <s v="JudyA"/>
    <s v="0/JE IC"/>
    <s v="VUS000014288"/>
    <m/>
    <s v="PACIFIC POWER AND LIGHT"/>
    <d v="2021-12-09T00:00:00"/>
    <s v="Damage Claim Leo Nunez 9/20/2021"/>
    <n v="8094534"/>
    <s v="PO-2195-21-02685"/>
    <m/>
    <m/>
    <s v="VO06053021"/>
    <s v="JRNL01042447"/>
    <s v="FX2195"/>
    <d v="2021-12-29T00:00:00"/>
    <d v="2022-01-01T00:00:00"/>
    <n v="3405.22"/>
    <d v="2021-12-19T00:00:00"/>
    <s v="wci_wa"/>
    <n v="0"/>
    <n v="0"/>
    <n v="0"/>
    <n v="0"/>
    <n v="0"/>
    <n v="1"/>
    <n v="59400"/>
    <n v="2195"/>
    <n v="0"/>
    <n v="0"/>
    <m/>
    <m/>
    <m/>
    <m/>
    <s v="VO06053021"/>
  </r>
  <r>
    <x v="2"/>
    <x v="66"/>
    <n v="1000"/>
    <n v="0"/>
    <s v="USD"/>
    <s v="JRNLWA00440116"/>
    <s v="P"/>
    <s v="Self Insurance Dec 31st"/>
    <s v="HeatherH"/>
    <s v="0/JE IC"/>
    <m/>
    <m/>
    <s v="WC NI claim 1E01E010271029"/>
    <m/>
    <m/>
    <m/>
    <m/>
    <m/>
    <m/>
    <s v="JRNL01043149"/>
    <s v="JRNL01043149"/>
    <m/>
    <d v="2022-01-04T00:00:00"/>
    <d v="2022-01-04T00:00:00"/>
    <m/>
    <m/>
    <s v="wci_wa"/>
    <n v="0"/>
    <n v="0"/>
    <n v="0"/>
    <n v="0"/>
    <n v="0"/>
    <n v="1"/>
    <n v="59343"/>
    <n v="2195"/>
    <n v="0"/>
    <n v="0"/>
    <m/>
    <m/>
    <m/>
    <m/>
    <s v=""/>
  </r>
  <r>
    <x v="2"/>
    <x v="66"/>
    <n v="33.340000000000003"/>
    <n v="0"/>
    <s v="USD"/>
    <s v="JRNLWA00440116"/>
    <s v="P"/>
    <s v="Self Insurance Dec 31st"/>
    <s v="HeatherH"/>
    <s v="0/JE IC"/>
    <m/>
    <m/>
    <s v="WC NI claim 6D361665499802"/>
    <m/>
    <m/>
    <m/>
    <m/>
    <m/>
    <m/>
    <s v="JRNL01043149"/>
    <s v="JRNL01043149"/>
    <m/>
    <d v="2022-01-04T00:00:00"/>
    <d v="2022-01-04T00:00:00"/>
    <m/>
    <m/>
    <s v="wci_wa"/>
    <n v="0"/>
    <n v="0"/>
    <n v="0"/>
    <n v="0"/>
    <n v="0"/>
    <n v="1"/>
    <n v="59343"/>
    <n v="2195"/>
    <n v="0"/>
    <n v="0"/>
    <m/>
    <m/>
    <m/>
    <m/>
    <s v=""/>
  </r>
  <r>
    <x v="3"/>
    <x v="66"/>
    <n v="-13.25"/>
    <n v="0"/>
    <s v="USD"/>
    <s v="JRNLWA00440116"/>
    <s v="P"/>
    <s v="Self Insurance Dec 31st"/>
    <s v="HeatherH"/>
    <s v="0/JE IC"/>
    <m/>
    <m/>
    <s v="WC NI claim 6D367805009917"/>
    <m/>
    <m/>
    <m/>
    <m/>
    <m/>
    <m/>
    <s v="JRNL01043149"/>
    <s v="JRNL01043149"/>
    <m/>
    <d v="2022-01-04T00:00:00"/>
    <d v="2022-01-04T00:00:00"/>
    <m/>
    <m/>
    <s v="wci_wa"/>
    <n v="0"/>
    <n v="0"/>
    <n v="0"/>
    <n v="0"/>
    <n v="0"/>
    <n v="1"/>
    <n v="59344"/>
    <n v="2195"/>
    <n v="0"/>
    <n v="0"/>
    <m/>
    <m/>
    <m/>
    <m/>
    <s v=""/>
  </r>
  <r>
    <x v="1"/>
    <x v="67"/>
    <n v="1164.23"/>
    <n v="0"/>
    <s v="USD"/>
    <s v="JRNLWA00441966"/>
    <s v="P"/>
    <s v="2022-01 Pcard Activity"/>
    <s v="SKACKO"/>
    <s v="0/JE IC"/>
    <m/>
    <m/>
    <s v="PO 00145 - METAL PLUS~CHRISTIE HERBST"/>
    <m/>
    <m/>
    <m/>
    <m/>
    <m/>
    <m/>
    <s v="JRNL01047265"/>
    <s v="JRNL01047265"/>
    <m/>
    <d v="2022-02-02T00:00:00"/>
    <d v="2022-02-02T00:00:00"/>
    <m/>
    <m/>
    <s v="wci_wa"/>
    <n v="0"/>
    <n v="0"/>
    <n v="0"/>
    <n v="0"/>
    <n v="0"/>
    <n v="1"/>
    <n v="59400"/>
    <n v="2195"/>
    <n v="0"/>
    <n v="0"/>
    <m/>
    <m/>
    <m/>
    <m/>
    <s v=""/>
  </r>
  <r>
    <x v="3"/>
    <x v="67"/>
    <n v="4320.13"/>
    <n v="0"/>
    <s v="USD"/>
    <s v="JRNLWA00441991"/>
    <s v="P"/>
    <s v="Self Insurance 1.31.22"/>
    <s v="SKACKO"/>
    <s v="0/JE IC"/>
    <m/>
    <m/>
    <s v="WC NI claim 1E01E010271029"/>
    <m/>
    <m/>
    <m/>
    <m/>
    <m/>
    <m/>
    <s v="JRNL01047362"/>
    <s v="JRNL01047362"/>
    <m/>
    <d v="2022-02-02T00:00:00"/>
    <d v="2022-02-02T00:00:00"/>
    <m/>
    <m/>
    <s v="wci_wa"/>
    <n v="0"/>
    <n v="0"/>
    <n v="0"/>
    <n v="0"/>
    <n v="0"/>
    <n v="1"/>
    <n v="59344"/>
    <n v="2195"/>
    <n v="0"/>
    <n v="0"/>
    <m/>
    <m/>
    <m/>
    <m/>
    <s v=""/>
  </r>
  <r>
    <x v="3"/>
    <x v="67"/>
    <n v="19940"/>
    <n v="0"/>
    <s v="USD"/>
    <s v="JRNLWA00441991"/>
    <s v="P"/>
    <s v="Self Insurance 1.31.22"/>
    <s v="SKACKO"/>
    <s v="0/JE IC"/>
    <m/>
    <m/>
    <s v="WC NI claim 6D361662565970"/>
    <m/>
    <m/>
    <m/>
    <m/>
    <m/>
    <m/>
    <s v="JRNL01047362"/>
    <s v="JRNL01047362"/>
    <m/>
    <d v="2022-02-02T00:00:00"/>
    <d v="2022-02-02T00:00:00"/>
    <m/>
    <m/>
    <s v="wci_wa"/>
    <n v="0"/>
    <n v="0"/>
    <n v="0"/>
    <n v="0"/>
    <n v="0"/>
    <n v="1"/>
    <n v="59344"/>
    <n v="2195"/>
    <n v="0"/>
    <n v="0"/>
    <m/>
    <m/>
    <m/>
    <m/>
    <s v=""/>
  </r>
  <r>
    <x v="1"/>
    <x v="67"/>
    <n v="297.83"/>
    <n v="0"/>
    <s v="USD"/>
    <s v="JRNLWA00442481"/>
    <s v="P"/>
    <s v="OPEX7-PCARD Accrual"/>
    <s v="HelenaK"/>
    <s v="0/JE IC"/>
    <m/>
    <m/>
    <s v="PO 00247 - VALLEY CYCLING AND FIT~CHRIST"/>
    <m/>
    <m/>
    <m/>
    <m/>
    <m/>
    <m/>
    <s v="JRNL01048270"/>
    <s v="JRNL01048270"/>
    <m/>
    <d v="2022-02-04T00:00:00"/>
    <d v="2022-02-04T00:00:00"/>
    <m/>
    <m/>
    <s v="wci_wa"/>
    <n v="0"/>
    <n v="0"/>
    <n v="0"/>
    <n v="0"/>
    <n v="0"/>
    <n v="1"/>
    <n v="59400"/>
    <n v="2195"/>
    <n v="0"/>
    <n v="0"/>
    <m/>
    <m/>
    <m/>
    <m/>
    <s v=""/>
  </r>
  <r>
    <x v="1"/>
    <x v="68"/>
    <n v="-297.83"/>
    <n v="0"/>
    <s v="USD"/>
    <s v="JRNLWA00442485"/>
    <s v="P"/>
    <s v="OPEX7-PCARD Accrual"/>
    <s v="SKACKO"/>
    <s v="0/JE IC"/>
    <m/>
    <m/>
    <s v="PO 00247 - VALLEY CYCLING AND FIT~CHRIST"/>
    <m/>
    <m/>
    <m/>
    <m/>
    <m/>
    <m/>
    <s v="JRNL01048270"/>
    <s v="JRNL01048280"/>
    <m/>
    <d v="2022-02-04T00:00:00"/>
    <d v="2022-02-04T00:00:00"/>
    <m/>
    <m/>
    <s v="wci_wa"/>
    <n v="0"/>
    <n v="0"/>
    <n v="0"/>
    <n v="0"/>
    <n v="5"/>
    <n v="1"/>
    <n v="59400"/>
    <n v="2195"/>
    <n v="0"/>
    <n v="0"/>
    <m/>
    <m/>
    <m/>
    <m/>
    <s v=""/>
  </r>
  <r>
    <x v="3"/>
    <x v="68"/>
    <n v="-4248.51"/>
    <n v="0"/>
    <s v="USD"/>
    <s v="JRNLWA00443707"/>
    <s v="P"/>
    <s v="Self Insurance 2.28.22"/>
    <s v="pabbott"/>
    <s v="0/JE IC"/>
    <m/>
    <m/>
    <s v="WC NI claim 1E01E010271029"/>
    <m/>
    <m/>
    <m/>
    <m/>
    <m/>
    <m/>
    <s v="JRNL01051127"/>
    <s v="JRNL01051127"/>
    <m/>
    <d v="2022-03-02T00:00:00"/>
    <d v="2022-03-02T00:00:00"/>
    <m/>
    <m/>
    <s v="wci_wa"/>
    <n v="0"/>
    <n v="0"/>
    <n v="0"/>
    <n v="0"/>
    <n v="0"/>
    <n v="1"/>
    <n v="59344"/>
    <n v="2195"/>
    <n v="0"/>
    <n v="0"/>
    <m/>
    <m/>
    <m/>
    <m/>
    <s v=""/>
  </r>
  <r>
    <x v="1"/>
    <x v="68"/>
    <n v="297.83"/>
    <n v="0"/>
    <s v="USD"/>
    <s v="JRNLWA00444123"/>
    <s v="P"/>
    <s v="2022-02 Pcard Activity"/>
    <s v="HeatherH"/>
    <s v="0/JE IC"/>
    <m/>
    <m/>
    <s v="PO 00247 - VALLEY CYCLING AND FIT~CHRIST"/>
    <m/>
    <m/>
    <m/>
    <m/>
    <m/>
    <m/>
    <s v="JRNL01051745"/>
    <s v="JRNL01051745"/>
    <m/>
    <d v="2022-03-03T00:00:00"/>
    <d v="2022-03-03T00:00:00"/>
    <m/>
    <m/>
    <s v="wci_wa"/>
    <n v="0"/>
    <n v="0"/>
    <n v="0"/>
    <n v="0"/>
    <n v="0"/>
    <n v="1"/>
    <n v="59400"/>
    <n v="2195"/>
    <n v="0"/>
    <n v="0"/>
    <m/>
    <m/>
    <m/>
    <m/>
    <s v=""/>
  </r>
  <r>
    <x v="3"/>
    <x v="69"/>
    <n v="289.39999999999998"/>
    <n v="0"/>
    <s v="USD"/>
    <s v="JRNLWA00445481"/>
    <s v="P"/>
    <s v="Self Insurance 3.31.22"/>
    <s v="pabbott"/>
    <s v="0/JE IC"/>
    <m/>
    <m/>
    <s v="WC NI claim 1E01E010271029"/>
    <m/>
    <m/>
    <m/>
    <m/>
    <m/>
    <m/>
    <s v="JRNL01055201"/>
    <s v="JRNL01055201"/>
    <m/>
    <d v="2022-04-04T00:00:00"/>
    <d v="2022-04-04T00:00:00"/>
    <m/>
    <m/>
    <s v="wci_wa"/>
    <n v="0"/>
    <n v="0"/>
    <n v="0"/>
    <n v="0"/>
    <n v="0"/>
    <n v="1"/>
    <n v="59344"/>
    <n v="2195"/>
    <n v="0"/>
    <n v="0"/>
    <m/>
    <m/>
    <m/>
    <m/>
    <s v=""/>
  </r>
  <r>
    <x v="3"/>
    <x v="69"/>
    <n v="102.51"/>
    <n v="0"/>
    <s v="USD"/>
    <s v="JRNLWA00445481"/>
    <s v="P"/>
    <s v="Self Insurance 3.31.22"/>
    <s v="pabbott"/>
    <s v="0/JE IC"/>
    <m/>
    <m/>
    <s v="WC NI claim 55544940582263"/>
    <m/>
    <m/>
    <m/>
    <m/>
    <m/>
    <m/>
    <s v="JRNL01055201"/>
    <s v="JRNL01055201"/>
    <m/>
    <d v="2022-04-04T00:00:00"/>
    <d v="2022-04-04T00:00:00"/>
    <m/>
    <m/>
    <s v="wci_wa"/>
    <n v="0"/>
    <n v="0"/>
    <n v="0"/>
    <n v="0"/>
    <n v="0"/>
    <n v="1"/>
    <n v="59344"/>
    <n v="2195"/>
    <n v="0"/>
    <n v="0"/>
    <m/>
    <m/>
    <m/>
    <m/>
    <s v=""/>
  </r>
  <r>
    <x v="3"/>
    <x v="69"/>
    <n v="3180"/>
    <n v="0"/>
    <s v="USD"/>
    <s v="JRNLWA00445481"/>
    <s v="P"/>
    <s v="Self Insurance 3.31.22"/>
    <s v="pabbott"/>
    <s v="0/JE IC"/>
    <m/>
    <m/>
    <s v="WC NI claim 6D361662565970"/>
    <m/>
    <m/>
    <m/>
    <m/>
    <m/>
    <m/>
    <s v="JRNL01055201"/>
    <s v="JRNL01055201"/>
    <m/>
    <d v="2022-04-04T00:00:00"/>
    <d v="2022-04-04T00:00:00"/>
    <m/>
    <m/>
    <s v="wci_wa"/>
    <n v="0"/>
    <n v="0"/>
    <n v="0"/>
    <n v="0"/>
    <n v="0"/>
    <n v="1"/>
    <n v="59344"/>
    <n v="2195"/>
    <n v="0"/>
    <n v="0"/>
    <m/>
    <m/>
    <m/>
    <m/>
    <s v=""/>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
  <r>
    <s v="70195-2195-000-00"/>
    <d v="2021-04-23T00:00:00"/>
    <n v="442.1"/>
    <n v="0"/>
    <s v="USD"/>
    <s v="JRNLWA00426925"/>
    <s v="P"/>
    <s v="From Voucher Posting."/>
    <s v="JudyA"/>
    <s v="0/JE IC"/>
    <s v="VUS000014985"/>
    <m/>
    <x v="0"/>
    <d v="2021-04-01T00:00:00"/>
    <s v="WRRA April Regular Dues"/>
    <n v="16052"/>
    <s v="PO-2000-21-00562"/>
    <m/>
    <m/>
    <s v="VO05763103"/>
    <s v="JRNL01012526"/>
    <n v="2000"/>
    <d v="2021-04-23T00:00:00"/>
    <d v="2021-04-28T00:00:00"/>
    <n v="9180"/>
    <d v="2021-05-06T00:00:00"/>
    <s v="wci_wa"/>
    <n v="0"/>
    <n v="0"/>
    <n v="0"/>
    <n v="0"/>
    <n v="0"/>
    <n v="1"/>
    <n v="70195"/>
    <n v="2195"/>
    <n v="0"/>
    <n v="0"/>
    <m/>
    <m/>
    <m/>
    <m/>
    <s v="VO05763103"/>
  </r>
  <r>
    <s v="70195-2195-000-00"/>
    <d v="2021-05-24T00:00:00"/>
    <n v="442.1"/>
    <n v="0"/>
    <s v="USD"/>
    <s v="JRNLWA00428519"/>
    <s v="P"/>
    <s v="From Voucher Posting."/>
    <s v="asnell"/>
    <s v="0/JE IC"/>
    <s v="VUS000014985"/>
    <m/>
    <x v="0"/>
    <d v="2021-05-01T00:00:00"/>
    <s v="WRRA May Regular Dues"/>
    <n v="16080"/>
    <s v="PO-2000-21-00776"/>
    <m/>
    <m/>
    <s v="VO05794765"/>
    <s v="JRNL01016123"/>
    <n v="2000"/>
    <d v="2021-05-24T00:00:00"/>
    <d v="2021-05-28T00:00:00"/>
    <n v="9180"/>
    <d v="2021-06-05T00:00:00"/>
    <s v="wci_wa"/>
    <n v="0"/>
    <n v="0"/>
    <n v="0"/>
    <n v="0"/>
    <n v="0"/>
    <n v="1"/>
    <n v="70195"/>
    <n v="2195"/>
    <n v="0"/>
    <n v="0"/>
    <m/>
    <m/>
    <m/>
    <m/>
    <s v="VO05794765"/>
  </r>
  <r>
    <s v="70195-2195-000-00"/>
    <d v="2021-06-30T00:00:00"/>
    <n v="25"/>
    <n v="0"/>
    <s v="USD"/>
    <s v="JRNLWA00430725"/>
    <s v="P"/>
    <s v="June Pcard Accrual"/>
    <s v="LaurenTi"/>
    <s v="0/JE IC"/>
    <m/>
    <m/>
    <x v="1"/>
    <m/>
    <m/>
    <m/>
    <m/>
    <m/>
    <m/>
    <s v="JRNL01021184"/>
    <s v="JRNL01021184"/>
    <m/>
    <d v="2021-07-06T00:00:00"/>
    <d v="2021-07-06T00:00:00"/>
    <m/>
    <m/>
    <s v="wci_wa"/>
    <n v="0"/>
    <n v="0"/>
    <n v="0"/>
    <n v="0"/>
    <n v="0"/>
    <n v="1"/>
    <n v="70195"/>
    <n v="2195"/>
    <n v="0"/>
    <n v="0"/>
    <m/>
    <m/>
    <m/>
    <m/>
    <s v=""/>
  </r>
  <r>
    <s v="70195-2195-000-00"/>
    <d v="2021-07-20T00:00:00"/>
    <n v="442.1"/>
    <n v="0"/>
    <s v="USD"/>
    <s v="JRNLWA00431652"/>
    <s v="P"/>
    <s v="From Voucher Posting."/>
    <s v="JudyA"/>
    <s v="0/JE IC"/>
    <s v="VUS000014985"/>
    <m/>
    <x v="0"/>
    <d v="2021-07-01T00:00:00"/>
    <s v="WRRA July 2021 Regular Dues"/>
    <n v="16162"/>
    <s v="PO-2000-21-01367"/>
    <m/>
    <m/>
    <s v="VO05856400"/>
    <s v="JRNL01023316"/>
    <n v="2000"/>
    <d v="2021-07-20T00:00:00"/>
    <d v="2021-07-20T00:00:00"/>
    <n v="9180"/>
    <d v="2021-08-05T00:00:00"/>
    <s v="wci_wa"/>
    <n v="0"/>
    <n v="0"/>
    <n v="0"/>
    <n v="0"/>
    <n v="0"/>
    <n v="1"/>
    <n v="70195"/>
    <n v="2195"/>
    <n v="0"/>
    <n v="0"/>
    <m/>
    <m/>
    <m/>
    <m/>
    <s v="VO05856400"/>
  </r>
  <r>
    <s v="70195-2195-000-00"/>
    <d v="2021-07-31T00:00:00"/>
    <n v="-25"/>
    <n v="0"/>
    <s v="USD"/>
    <s v="JRNLWA00430793"/>
    <s v="P"/>
    <s v="June Pcard Accrual"/>
    <s v="pabbott"/>
    <s v="0/JE IC"/>
    <m/>
    <m/>
    <x v="1"/>
    <m/>
    <m/>
    <m/>
    <m/>
    <m/>
    <m/>
    <s v="JRNL01021184"/>
    <s v="JRNL01021211"/>
    <m/>
    <d v="2021-07-06T00:00:00"/>
    <d v="2021-07-06T00:00:00"/>
    <m/>
    <m/>
    <s v="wci_wa"/>
    <n v="0"/>
    <n v="0"/>
    <n v="0"/>
    <n v="0"/>
    <n v="5"/>
    <n v="1"/>
    <n v="70195"/>
    <n v="2195"/>
    <n v="0"/>
    <n v="0"/>
    <m/>
    <m/>
    <m/>
    <m/>
    <s v=""/>
  </r>
  <r>
    <s v="70195-2195-000-00"/>
    <d v="2021-07-31T00:00:00"/>
    <n v="25"/>
    <n v="0"/>
    <s v="USD"/>
    <s v="JRNLWA00431922"/>
    <s v="P"/>
    <s v="July Pcard Actuals"/>
    <s v="HeatherH"/>
    <s v="0/JE IC"/>
    <m/>
    <m/>
    <x v="1"/>
    <m/>
    <m/>
    <m/>
    <m/>
    <m/>
    <m/>
    <s v="JRNL01024132"/>
    <s v="JRNL01024132"/>
    <m/>
    <d v="2021-08-03T00:00:00"/>
    <d v="2021-08-03T00:00:00"/>
    <m/>
    <m/>
    <s v="wci_wa"/>
    <n v="0"/>
    <n v="0"/>
    <n v="0"/>
    <n v="0"/>
    <n v="0"/>
    <n v="1"/>
    <n v="70195"/>
    <n v="2195"/>
    <n v="0"/>
    <n v="0"/>
    <m/>
    <m/>
    <m/>
    <m/>
    <s v=""/>
  </r>
  <r>
    <s v="70195-2195-000-00"/>
    <d v="2021-08-31T00:00:00"/>
    <n v="499"/>
    <n v="0"/>
    <s v="USD"/>
    <s v="JRNLWA00433477"/>
    <s v="P"/>
    <s v="2021-08 Pcard Activity"/>
    <s v="LaurenTi"/>
    <s v="0/JE IC"/>
    <m/>
    <m/>
    <x v="2"/>
    <m/>
    <m/>
    <m/>
    <m/>
    <m/>
    <m/>
    <s v="JRNL01027716"/>
    <s v="JRNL01027716"/>
    <m/>
    <d v="2021-09-02T00:00:00"/>
    <d v="2021-09-02T00:00:00"/>
    <m/>
    <m/>
    <s v="wci_wa"/>
    <n v="0"/>
    <n v="0"/>
    <n v="0"/>
    <n v="0"/>
    <n v="0"/>
    <n v="1"/>
    <n v="70195"/>
    <n v="2195"/>
    <n v="0"/>
    <n v="0"/>
    <m/>
    <m/>
    <m/>
    <m/>
    <s v=""/>
  </r>
  <r>
    <s v="70195-2195-000-00"/>
    <d v="2021-08-31T00:00:00"/>
    <n v="331"/>
    <n v="0"/>
    <s v="USD"/>
    <s v="JRNLWA00434394"/>
    <s v="P"/>
    <s v="OPEX8 - AP ACCRUAL"/>
    <s v="HeatherH"/>
    <s v="0/JE IC"/>
    <m/>
    <m/>
    <x v="3"/>
    <m/>
    <m/>
    <m/>
    <m/>
    <m/>
    <m/>
    <s v="JRNL01029322"/>
    <s v="JRNL01029322"/>
    <m/>
    <d v="2021-09-07T00:00:00"/>
    <d v="2021-09-08T00:00:00"/>
    <m/>
    <m/>
    <s v="wci_wa"/>
    <n v="0"/>
    <n v="0"/>
    <n v="0"/>
    <n v="0"/>
    <n v="0"/>
    <n v="1"/>
    <n v="70195"/>
    <n v="2195"/>
    <n v="0"/>
    <n v="0"/>
    <m/>
    <m/>
    <m/>
    <m/>
    <s v=""/>
  </r>
  <r>
    <s v="70195-2195-000-00"/>
    <d v="2021-08-31T00:00:00"/>
    <n v="125"/>
    <n v="0"/>
    <s v="USD"/>
    <s v="JRNLWA00434394"/>
    <s v="P"/>
    <s v="OPEX8 - AP ACCRUAL"/>
    <s v="HeatherH"/>
    <s v="0/JE IC"/>
    <m/>
    <m/>
    <x v="4"/>
    <m/>
    <m/>
    <m/>
    <m/>
    <m/>
    <m/>
    <s v="JRNL01029322"/>
    <s v="JRNL01029322"/>
    <m/>
    <d v="2021-09-07T00:00:00"/>
    <d v="2021-09-08T00:00:00"/>
    <m/>
    <m/>
    <s v="wci_wa"/>
    <n v="0"/>
    <n v="0"/>
    <n v="0"/>
    <n v="0"/>
    <n v="0"/>
    <n v="1"/>
    <n v="70195"/>
    <n v="2195"/>
    <n v="0"/>
    <n v="0"/>
    <m/>
    <m/>
    <m/>
    <m/>
    <s v=""/>
  </r>
  <r>
    <s v="70195-2195-000-00"/>
    <d v="2021-08-31T00:00:00"/>
    <n v="442.1"/>
    <n v="0"/>
    <s v="USD"/>
    <s v="JRNLWA00434537"/>
    <s v="P"/>
    <s v="2021-08 PO Log Accrual - Distr"/>
    <s v="pabbott"/>
    <s v="0/JE IC"/>
    <m/>
    <m/>
    <x v="5"/>
    <m/>
    <m/>
    <m/>
    <m/>
    <m/>
    <m/>
    <s v="JRNL01029711"/>
    <s v="JRNL01029711"/>
    <m/>
    <d v="2021-09-08T00:00:00"/>
    <d v="2021-09-08T00:00:00"/>
    <m/>
    <m/>
    <s v="wci_wa"/>
    <n v="0"/>
    <n v="0"/>
    <n v="0"/>
    <n v="0"/>
    <n v="0"/>
    <n v="1"/>
    <n v="70195"/>
    <n v="2195"/>
    <n v="0"/>
    <n v="0"/>
    <m/>
    <m/>
    <m/>
    <m/>
    <s v=""/>
  </r>
  <r>
    <s v="70195-2195-000-00"/>
    <d v="2021-08-31T00:00:00"/>
    <n v="442.1"/>
    <n v="0"/>
    <s v="USD"/>
    <s v="JRNLWA00434537"/>
    <s v="P"/>
    <s v="2021-08 PO Log Accrual - Distr"/>
    <s v="pabbott"/>
    <s v="0/JE IC"/>
    <m/>
    <m/>
    <x v="6"/>
    <m/>
    <m/>
    <m/>
    <m/>
    <m/>
    <m/>
    <s v="JRNL01029711"/>
    <s v="JRNL01029711"/>
    <m/>
    <d v="2021-09-08T00:00:00"/>
    <d v="2021-09-08T00:00:00"/>
    <m/>
    <m/>
    <s v="wci_wa"/>
    <n v="0"/>
    <n v="0"/>
    <n v="0"/>
    <n v="0"/>
    <n v="0"/>
    <n v="1"/>
    <n v="70195"/>
    <n v="2195"/>
    <n v="0"/>
    <n v="0"/>
    <m/>
    <m/>
    <m/>
    <m/>
    <s v=""/>
  </r>
  <r>
    <s v="70195-2195-000-00"/>
    <d v="2021-09-15T00:00:00"/>
    <n v="125"/>
    <n v="0"/>
    <s v="USD"/>
    <s v="JRNLWA00434787"/>
    <s v="P"/>
    <s v="From Voucher Posting."/>
    <s v="asnell"/>
    <s v="0/JE IC"/>
    <s v="VUS000015416"/>
    <m/>
    <x v="7"/>
    <d v="2021-07-08T00:00:00"/>
    <s v="Chamber membership dues 2021-2022"/>
    <s v="2021-2022"/>
    <s v="PO-2195-21-01870"/>
    <m/>
    <m/>
    <s v="VO05923193"/>
    <s v="JRNL01030239"/>
    <s v="FX2195"/>
    <d v="2021-09-15T00:00:00"/>
    <d v="2021-09-15T00:00:00"/>
    <n v="125"/>
    <d v="2021-09-11T00:00:00"/>
    <s v="wci_wa"/>
    <n v="0"/>
    <n v="0"/>
    <n v="0"/>
    <n v="0"/>
    <n v="0"/>
    <n v="1"/>
    <n v="70195"/>
    <n v="2195"/>
    <n v="0"/>
    <n v="0"/>
    <m/>
    <m/>
    <m/>
    <m/>
    <s v="VO05923193"/>
  </r>
  <r>
    <s v="70195-2195-000-00"/>
    <d v="2021-09-15T00:00:00"/>
    <n v="500"/>
    <n v="0"/>
    <s v="USD"/>
    <s v="JRNLWA00434788"/>
    <s v="P"/>
    <s v="From Voucher Posting."/>
    <s v="asnell"/>
    <s v="0/JE IC"/>
    <s v="VUS000015429"/>
    <m/>
    <x v="8"/>
    <d v="2021-09-01T00:00:00"/>
    <s v="Membership dues"/>
    <n v="1346"/>
    <s v="PO-2195-21-01958"/>
    <m/>
    <m/>
    <s v="VO05923360"/>
    <s v="JRNL01030240"/>
    <n v="2195"/>
    <d v="2021-09-15T00:00:00"/>
    <d v="2021-09-15T00:00:00"/>
    <n v="500"/>
    <d v="2021-11-05T00:00:00"/>
    <s v="wci_wa"/>
    <n v="0"/>
    <n v="0"/>
    <n v="0"/>
    <n v="0"/>
    <n v="0"/>
    <n v="1"/>
    <n v="70195"/>
    <n v="2195"/>
    <n v="0"/>
    <n v="0"/>
    <m/>
    <m/>
    <m/>
    <m/>
    <s v="VO05923360"/>
  </r>
  <r>
    <s v="70195-2195-000-00"/>
    <d v="2021-09-15T00:00:00"/>
    <n v="442.1"/>
    <n v="0"/>
    <s v="USD"/>
    <s v="JRNLWA00434789"/>
    <s v="P"/>
    <s v="From Voucher Posting."/>
    <s v="asnell"/>
    <s v="0/JE IC"/>
    <s v="VUS000014985"/>
    <m/>
    <x v="0"/>
    <d v="2021-08-01T00:00:00"/>
    <s v="WRRA Regular Dues"/>
    <n v="16217"/>
    <s v="PO-2000-21-01616"/>
    <m/>
    <m/>
    <s v="VO05923549"/>
    <s v="JRNL01030250"/>
    <n v="2000"/>
    <d v="2021-09-15T00:00:00"/>
    <d v="2021-09-15T00:00:00"/>
    <n v="9180"/>
    <d v="2021-09-05T00:00:00"/>
    <s v="wci_wa"/>
    <n v="0"/>
    <n v="0"/>
    <n v="0"/>
    <n v="0"/>
    <n v="0"/>
    <n v="1"/>
    <n v="70195"/>
    <n v="2195"/>
    <n v="0"/>
    <n v="0"/>
    <m/>
    <m/>
    <m/>
    <m/>
    <s v="VO05923549"/>
  </r>
  <r>
    <s v="70195-2195-000-00"/>
    <d v="2021-09-15T00:00:00"/>
    <n v="442.1"/>
    <n v="0"/>
    <s v="USD"/>
    <s v="JRNLWA00434789"/>
    <s v="P"/>
    <s v="From Voucher Posting."/>
    <s v="asnell"/>
    <s v="0/JE IC"/>
    <s v="VUS000014985"/>
    <m/>
    <x v="0"/>
    <d v="2021-06-01T00:00:00"/>
    <s v="June 2021 WRRA Regular Dues - Invoice De"/>
    <n v="16121"/>
    <s v="PO-2000-21-01676"/>
    <m/>
    <m/>
    <s v="VO05923553"/>
    <s v="JRNL01030250"/>
    <n v="2000"/>
    <d v="2021-09-15T00:00:00"/>
    <d v="2021-09-15T00:00:00"/>
    <n v="9180"/>
    <d v="2021-07-06T00:00:00"/>
    <s v="wci_wa"/>
    <n v="0"/>
    <n v="0"/>
    <n v="0"/>
    <n v="0"/>
    <n v="0"/>
    <n v="1"/>
    <n v="70195"/>
    <n v="2195"/>
    <n v="0"/>
    <n v="0"/>
    <m/>
    <m/>
    <m/>
    <m/>
    <s v="VO05923553"/>
  </r>
  <r>
    <s v="70195-2195-000-00"/>
    <d v="2021-09-15T00:00:00"/>
    <n v="442.1"/>
    <n v="0"/>
    <s v="USD"/>
    <s v="JRNLWA00434789"/>
    <s v="P"/>
    <s v="From Voucher Posting."/>
    <s v="asnell"/>
    <s v="0/JE IC"/>
    <s v="VUS000014985"/>
    <m/>
    <x v="0"/>
    <d v="2021-09-01T00:00:00"/>
    <s v="WRRA Reg Dues 09/2021"/>
    <n v="16247"/>
    <s v="PO-2000-21-01881"/>
    <m/>
    <m/>
    <s v="VO05923558"/>
    <s v="JRNL01030250"/>
    <n v="2000"/>
    <d v="2021-09-15T00:00:00"/>
    <d v="2021-09-15T00:00:00"/>
    <n v="9180"/>
    <d v="2021-10-06T00:00:00"/>
    <s v="wci_wa"/>
    <n v="0"/>
    <n v="0"/>
    <n v="0"/>
    <n v="0"/>
    <n v="0"/>
    <n v="1"/>
    <n v="70195"/>
    <n v="2195"/>
    <n v="0"/>
    <n v="0"/>
    <m/>
    <m/>
    <m/>
    <m/>
    <s v="VO05923558"/>
  </r>
  <r>
    <s v="70195-2195-000-00"/>
    <d v="2021-09-30T00:00:00"/>
    <n v="-331"/>
    <n v="0"/>
    <s v="USD"/>
    <s v="JRNLWA00434441"/>
    <s v="P"/>
    <s v="OPEX8 - AP ACCRUAL"/>
    <s v="HeatherH"/>
    <s v="0/JE IC"/>
    <m/>
    <m/>
    <x v="3"/>
    <m/>
    <m/>
    <m/>
    <m/>
    <m/>
    <m/>
    <s v="JRNL01029322"/>
    <s v="JRNL01029432"/>
    <m/>
    <d v="2021-09-08T00:00:00"/>
    <d v="2021-09-08T00:00:00"/>
    <m/>
    <m/>
    <s v="wci_wa"/>
    <n v="0"/>
    <n v="0"/>
    <n v="0"/>
    <n v="0"/>
    <n v="5"/>
    <n v="1"/>
    <n v="70195"/>
    <n v="2195"/>
    <n v="0"/>
    <n v="0"/>
    <m/>
    <m/>
    <m/>
    <m/>
    <s v=""/>
  </r>
  <r>
    <s v="70195-2195-000-00"/>
    <d v="2021-09-30T00:00:00"/>
    <n v="-125"/>
    <n v="0"/>
    <s v="USD"/>
    <s v="JRNLWA00434441"/>
    <s v="P"/>
    <s v="OPEX8 - AP ACCRUAL"/>
    <s v="HeatherH"/>
    <s v="0/JE IC"/>
    <m/>
    <m/>
    <x v="4"/>
    <m/>
    <m/>
    <m/>
    <m/>
    <m/>
    <m/>
    <s v="JRNL01029322"/>
    <s v="JRNL01029432"/>
    <m/>
    <d v="2021-09-08T00:00:00"/>
    <d v="2021-09-08T00:00:00"/>
    <m/>
    <m/>
    <s v="wci_wa"/>
    <n v="0"/>
    <n v="0"/>
    <n v="0"/>
    <n v="0"/>
    <n v="5"/>
    <n v="1"/>
    <n v="70195"/>
    <n v="2195"/>
    <n v="0"/>
    <n v="0"/>
    <m/>
    <m/>
    <m/>
    <m/>
    <s v=""/>
  </r>
  <r>
    <s v="70195-2195-000-00"/>
    <d v="2021-09-30T00:00:00"/>
    <n v="-442.1"/>
    <n v="0"/>
    <s v="USD"/>
    <s v="JRNLWA00434592"/>
    <s v="P"/>
    <s v="2021-08 PO Log Accrual - Distr"/>
    <s v="HelenaK"/>
    <s v="0/JE IC"/>
    <m/>
    <m/>
    <x v="5"/>
    <m/>
    <m/>
    <m/>
    <m/>
    <m/>
    <m/>
    <s v="JRNL01029711"/>
    <s v="JRNL01029769"/>
    <m/>
    <d v="2021-09-08T00:00:00"/>
    <d v="2021-09-08T00:00:00"/>
    <m/>
    <m/>
    <s v="wci_wa"/>
    <n v="0"/>
    <n v="0"/>
    <n v="0"/>
    <n v="0"/>
    <n v="5"/>
    <n v="1"/>
    <n v="70195"/>
    <n v="2195"/>
    <n v="0"/>
    <n v="0"/>
    <m/>
    <m/>
    <m/>
    <m/>
    <s v=""/>
  </r>
  <r>
    <s v="70195-2195-000-00"/>
    <d v="2021-09-30T00:00:00"/>
    <n v="-442.1"/>
    <n v="0"/>
    <s v="USD"/>
    <s v="JRNLWA00434592"/>
    <s v="P"/>
    <s v="2021-08 PO Log Accrual - Distr"/>
    <s v="HelenaK"/>
    <s v="0/JE IC"/>
    <m/>
    <m/>
    <x v="6"/>
    <m/>
    <m/>
    <m/>
    <m/>
    <m/>
    <m/>
    <s v="JRNL01029711"/>
    <s v="JRNL01029769"/>
    <m/>
    <d v="2021-09-08T00:00:00"/>
    <d v="2021-09-08T00:00:00"/>
    <m/>
    <m/>
    <s v="wci_wa"/>
    <n v="0"/>
    <n v="0"/>
    <n v="0"/>
    <n v="0"/>
    <n v="5"/>
    <n v="1"/>
    <n v="70195"/>
    <n v="2195"/>
    <n v="0"/>
    <n v="0"/>
    <m/>
    <m/>
    <m/>
    <m/>
    <s v=""/>
  </r>
  <r>
    <s v="70195-2195-000-00"/>
    <d v="2021-09-30T00:00:00"/>
    <n v="331"/>
    <n v="0"/>
    <s v="USD"/>
    <s v="JRNLWA00435093"/>
    <s v="P"/>
    <s v="2021-09 Pcard Activity"/>
    <s v="HeatherH"/>
    <s v="0/JE IC"/>
    <m/>
    <m/>
    <x v="9"/>
    <m/>
    <m/>
    <m/>
    <m/>
    <m/>
    <m/>
    <s v="JRNL01031370"/>
    <s v="JRNL01031370"/>
    <m/>
    <d v="2021-10-04T00:00:00"/>
    <d v="2021-10-04T00:00:00"/>
    <m/>
    <m/>
    <s v="wci_wa"/>
    <n v="0"/>
    <n v="0"/>
    <n v="0"/>
    <n v="0"/>
    <n v="0"/>
    <n v="1"/>
    <n v="70195"/>
    <n v="2195"/>
    <n v="0"/>
    <n v="0"/>
    <m/>
    <m/>
    <m/>
    <m/>
    <s v=""/>
  </r>
  <r>
    <s v="70195-2195-000-00"/>
    <d v="2021-10-05T00:00:00"/>
    <n v="442.1"/>
    <n v="0"/>
    <s v="USD"/>
    <s v="JRNLWA00435171"/>
    <s v="P"/>
    <s v="From Voucher Posting."/>
    <s v="JudyA"/>
    <s v="0/JE IC"/>
    <s v="VUS000014985"/>
    <m/>
    <x v="0"/>
    <d v="2021-10-01T00:00:00"/>
    <s v="WRRA Regular Dues 10/2021"/>
    <n v="16277"/>
    <s v="PO-2000-21-02187"/>
    <m/>
    <m/>
    <s v="VO05947972"/>
    <s v="JRNL01031614"/>
    <n v="2000"/>
    <d v="2021-10-05T00:00:00"/>
    <d v="2021-10-05T00:00:00"/>
    <n v="9180"/>
    <d v="2021-11-05T00:00:00"/>
    <s v="wci_wa"/>
    <n v="0"/>
    <n v="0"/>
    <n v="0"/>
    <n v="0"/>
    <n v="0"/>
    <n v="1"/>
    <n v="70195"/>
    <n v="2195"/>
    <n v="0"/>
    <n v="0"/>
    <m/>
    <m/>
    <m/>
    <m/>
    <s v="VO05947972"/>
  </r>
  <r>
    <s v="70195-2195-000-00"/>
    <d v="2021-10-31T00:00:00"/>
    <n v="500"/>
    <n v="0"/>
    <s v="USD"/>
    <s v="JRNLWA00437689"/>
    <s v="P"/>
    <s v="OPEX8 - AP ACCRUAL"/>
    <s v="HeatherH"/>
    <s v="0/JE IC"/>
    <m/>
    <m/>
    <x v="10"/>
    <m/>
    <m/>
    <m/>
    <m/>
    <m/>
    <m/>
    <s v="JRNL01036792"/>
    <s v="JRNL01036792"/>
    <m/>
    <d v="2021-11-04T00:00:00"/>
    <d v="2021-11-05T00:00:00"/>
    <m/>
    <m/>
    <s v="wci_wa"/>
    <n v="0"/>
    <n v="0"/>
    <n v="0"/>
    <n v="0"/>
    <n v="0"/>
    <n v="1"/>
    <n v="70195"/>
    <n v="2195"/>
    <n v="0"/>
    <n v="0"/>
    <m/>
    <m/>
    <m/>
    <m/>
    <s v=""/>
  </r>
  <r>
    <s v="70195-2195-000-00"/>
    <d v="2021-11-03T00:00:00"/>
    <n v="500"/>
    <n v="0"/>
    <s v="USD"/>
    <s v="JRNLWA00437150"/>
    <s v="P"/>
    <s v="From Voucher Posting."/>
    <s v="asnell"/>
    <s v="0/JE IC"/>
    <s v="VUS000015436"/>
    <m/>
    <x v="11"/>
    <d v="2021-10-29T00:00:00"/>
    <s v="2022 vendor license"/>
    <n v="2022"/>
    <s v="PO-2195-21-02368"/>
    <m/>
    <m/>
    <s v="VO05984169"/>
    <s v="JRNL01035841"/>
    <s v="FX2195"/>
    <d v="2021-11-03T00:00:00"/>
    <d v="2021-11-03T00:00:00"/>
    <n v="500"/>
    <d v="2021-11-08T00:00:00"/>
    <s v="wci_wa"/>
    <n v="0"/>
    <n v="0"/>
    <n v="0"/>
    <n v="0"/>
    <n v="0"/>
    <n v="1"/>
    <n v="70195"/>
    <n v="2195"/>
    <n v="0"/>
    <n v="0"/>
    <m/>
    <m/>
    <m/>
    <m/>
    <s v="VO05984169"/>
  </r>
  <r>
    <s v="70195-2195-000-00"/>
    <d v="2021-11-30T00:00:00"/>
    <n v="-500"/>
    <n v="0"/>
    <s v="USD"/>
    <s v="JRNLWA00437732"/>
    <s v="P"/>
    <s v="OPEX8 - AP ACCRUAL"/>
    <s v="HeatherH"/>
    <s v="0/JE IC"/>
    <m/>
    <m/>
    <x v="10"/>
    <m/>
    <m/>
    <m/>
    <m/>
    <m/>
    <m/>
    <s v="JRNL01036792"/>
    <s v="JRNL01036872"/>
    <m/>
    <d v="2021-11-05T00:00:00"/>
    <d v="2021-11-05T00:00:00"/>
    <m/>
    <m/>
    <s v="wci_wa"/>
    <n v="0"/>
    <n v="0"/>
    <n v="0"/>
    <n v="0"/>
    <n v="5"/>
    <n v="1"/>
    <n v="70195"/>
    <n v="2195"/>
    <n v="0"/>
    <n v="0"/>
    <m/>
    <m/>
    <m/>
    <m/>
    <s v=""/>
  </r>
  <r>
    <s v="70195-2195-000-00"/>
    <d v="2021-12-07T00:00:00"/>
    <n v="442.1"/>
    <n v="0"/>
    <s v="USD"/>
    <s v="JRNLWA00439223"/>
    <s v="P"/>
    <s v="From Voucher Posting."/>
    <s v="JudyA"/>
    <s v="0/JE IC"/>
    <s v="VUS000014985"/>
    <m/>
    <x v="0"/>
    <d v="2021-12-01T00:00:00"/>
    <s v="WRRA Dec 2021 Regular Dues"/>
    <n v="16346"/>
    <s v="PO-2000-21-03072"/>
    <m/>
    <m/>
    <s v="VO06023651"/>
    <s v="JRNL01040739"/>
    <n v="2000"/>
    <d v="2021-12-07T00:00:00"/>
    <d v="2021-12-07T00:00:00"/>
    <n v="9180"/>
    <d v="2022-01-05T00:00:00"/>
    <s v="wci_wa"/>
    <n v="0"/>
    <n v="0"/>
    <n v="0"/>
    <n v="0"/>
    <n v="0"/>
    <n v="1"/>
    <n v="70195"/>
    <n v="2195"/>
    <n v="0"/>
    <n v="0"/>
    <m/>
    <m/>
    <m/>
    <m/>
    <s v="VO06023651"/>
  </r>
  <r>
    <s v="70195-2195-000-00"/>
    <d v="2021-12-14T00:00:00"/>
    <n v="200"/>
    <n v="0"/>
    <s v="USD"/>
    <s v="JRNLWA00439724"/>
    <s v="P"/>
    <s v="From Voucher Posting."/>
    <s v="JeffS"/>
    <s v="0/JE IC"/>
    <s v="VUS000015415"/>
    <m/>
    <x v="12"/>
    <d v="2021-12-09T00:00:00"/>
    <s v="2022 business license"/>
    <s v="2022 business license"/>
    <s v="PO-2195-21-02683"/>
    <m/>
    <m/>
    <s v="VO06031788"/>
    <s v="JRNL01041736"/>
    <s v="FX2195"/>
    <d v="2021-12-14T00:00:00"/>
    <d v="2021-12-14T00:00:00"/>
    <n v="200"/>
    <d v="2021-12-10T00:00:00"/>
    <s v="wci_wa"/>
    <n v="0"/>
    <n v="0"/>
    <n v="0"/>
    <n v="0"/>
    <n v="0"/>
    <n v="1"/>
    <n v="70195"/>
    <n v="2195"/>
    <n v="0"/>
    <n v="0"/>
    <m/>
    <m/>
    <m/>
    <m/>
    <s v="VO06031788"/>
  </r>
  <r>
    <s v="70195-2195-000-00"/>
    <d v="2021-12-31T00:00:00"/>
    <n v="10"/>
    <n v="0"/>
    <s v="USD"/>
    <s v="JRNLWA00440079"/>
    <s v="P"/>
    <s v="2021-12 Pcard Activity"/>
    <s v="pabbott"/>
    <s v="0/JE IC"/>
    <m/>
    <m/>
    <x v="13"/>
    <m/>
    <m/>
    <m/>
    <m/>
    <m/>
    <m/>
    <s v="JRNL01043028"/>
    <s v="JRNL01043028"/>
    <m/>
    <d v="2022-01-04T00:00:00"/>
    <d v="2022-01-04T00:00:00"/>
    <m/>
    <m/>
    <s v="wci_wa"/>
    <n v="0"/>
    <n v="0"/>
    <n v="0"/>
    <n v="0"/>
    <n v="0"/>
    <n v="1"/>
    <n v="70195"/>
    <n v="2195"/>
    <n v="0"/>
    <n v="0"/>
    <m/>
    <m/>
    <m/>
    <m/>
    <s v=""/>
  </r>
  <r>
    <s v="70195-2195-000-00"/>
    <d v="2021-12-31T00:00:00"/>
    <n v="442.1"/>
    <n v="0"/>
    <s v="USD"/>
    <s v="JRNLWA00440807"/>
    <s v="P"/>
    <s v="2021-12 PO Log Accrual - Distr"/>
    <s v="LaurenTi"/>
    <s v="0/JE IC"/>
    <m/>
    <m/>
    <x v="14"/>
    <m/>
    <m/>
    <m/>
    <m/>
    <m/>
    <m/>
    <s v="JRNL01044600"/>
    <s v="JRNL01044600"/>
    <m/>
    <d v="2022-01-06T00:00:00"/>
    <d v="2022-01-06T00:00:00"/>
    <m/>
    <m/>
    <s v="wci_wa"/>
    <n v="0"/>
    <n v="0"/>
    <n v="0"/>
    <n v="0"/>
    <n v="0"/>
    <n v="1"/>
    <n v="70195"/>
    <n v="2195"/>
    <n v="0"/>
    <n v="0"/>
    <m/>
    <m/>
    <m/>
    <m/>
    <s v=""/>
  </r>
  <r>
    <s v="70195-2195-000-00"/>
    <d v="2022-01-11T00:00:00"/>
    <n v="442.1"/>
    <n v="0"/>
    <s v="USD"/>
    <s v="JRNLWA00441530"/>
    <s v="P"/>
    <s v="From Voucher Posting."/>
    <s v="asnell"/>
    <s v="0/JE IC"/>
    <s v="VUS000014985"/>
    <m/>
    <x v="0"/>
    <d v="2021-11-01T00:00:00"/>
    <s v="Nov WRRA Regular Dues"/>
    <n v="16305"/>
    <s v="PO-2000-22-00017"/>
    <m/>
    <m/>
    <s v="VO06067403"/>
    <s v="JRNL01045886"/>
    <n v="2000"/>
    <d v="2022-01-11T00:00:00"/>
    <d v="2022-01-13T00:00:00"/>
    <n v="9180"/>
    <d v="2021-12-06T00:00:00"/>
    <s v="wci_wa"/>
    <n v="0"/>
    <n v="0"/>
    <n v="0"/>
    <n v="0"/>
    <n v="0"/>
    <n v="1"/>
    <n v="70195"/>
    <n v="2195"/>
    <n v="0"/>
    <n v="0"/>
    <m/>
    <m/>
    <m/>
    <m/>
    <s v="VO06067403"/>
  </r>
  <r>
    <s v="70195-2195-000-00"/>
    <d v="2022-01-13T00:00:00"/>
    <n v="463.57"/>
    <n v="0"/>
    <s v="USD"/>
    <s v="JRNLWA00441579"/>
    <s v="P"/>
    <s v="From Voucher Posting."/>
    <s v="asnell"/>
    <s v="0/JE IC"/>
    <s v="VUS000014985"/>
    <m/>
    <x v="0"/>
    <d v="2022-01-01T00:00:00"/>
    <s v="WRRA Jan 2022 Regular Dues"/>
    <n v="16442"/>
    <s v="PO-2000-22-00109"/>
    <m/>
    <m/>
    <s v="VO06069900"/>
    <s v="JRNL01045982"/>
    <n v="2000"/>
    <d v="2022-01-13T00:00:00"/>
    <d v="2022-01-13T00:00:00"/>
    <n v="9090"/>
    <d v="2022-02-05T00:00:00"/>
    <s v="wci_wa"/>
    <n v="0"/>
    <n v="0"/>
    <n v="0"/>
    <n v="0"/>
    <n v="0"/>
    <n v="1"/>
    <n v="70195"/>
    <n v="2195"/>
    <n v="0"/>
    <n v="0"/>
    <m/>
    <m/>
    <m/>
    <m/>
    <s v="VO06069900"/>
  </r>
  <r>
    <s v="70195-2195-000-00"/>
    <d v="2022-01-31T00:00:00"/>
    <n v="-442.1"/>
    <n v="0"/>
    <s v="USD"/>
    <s v="JRNLWA00440925"/>
    <s v="P"/>
    <s v="2021-12 PO Log Accrual - Distr"/>
    <s v="LaurenTi"/>
    <s v="0/JE IC"/>
    <m/>
    <m/>
    <x v="14"/>
    <m/>
    <m/>
    <m/>
    <m/>
    <m/>
    <m/>
    <s v="JRNL01044600"/>
    <s v="JRNL01044671"/>
    <m/>
    <d v="2022-01-06T00:00:00"/>
    <d v="2022-01-06T00:00:00"/>
    <m/>
    <m/>
    <s v="wci_wa"/>
    <n v="0"/>
    <n v="0"/>
    <n v="0"/>
    <n v="0"/>
    <n v="5"/>
    <n v="1"/>
    <n v="70195"/>
    <n v="2195"/>
    <n v="0"/>
    <n v="0"/>
    <m/>
    <m/>
    <m/>
    <m/>
    <s v=""/>
  </r>
  <r>
    <s v="70195-2195-000-00"/>
    <d v="2022-02-03T00:00:00"/>
    <n v="463.57"/>
    <n v="0"/>
    <s v="USD"/>
    <s v="JRNLWA00442032"/>
    <s v="P"/>
    <s v="From Voucher Posting."/>
    <s v="asnell"/>
    <s v="0/JE IC"/>
    <s v="VUS000014985"/>
    <m/>
    <x v="0"/>
    <d v="2022-02-01T00:00:00"/>
    <s v="WRRA Feb Regular Dues"/>
    <n v="16475"/>
    <s v="PO-2000-22-00340"/>
    <m/>
    <m/>
    <s v="VO06096905"/>
    <s v="JRNL01047466"/>
    <n v="2000"/>
    <d v="2022-02-03T00:00:00"/>
    <d v="2022-02-03T00:00:00"/>
    <n v="9090"/>
    <d v="2022-03-08T00:00:00"/>
    <s v="wci_wa"/>
    <n v="0"/>
    <n v="0"/>
    <n v="0"/>
    <n v="0"/>
    <n v="0"/>
    <n v="1"/>
    <n v="70195"/>
    <n v="2195"/>
    <n v="0"/>
    <n v="0"/>
    <m/>
    <m/>
    <m/>
    <m/>
    <s v="VO06096905"/>
  </r>
  <r>
    <s v="70195-2195-000-00"/>
    <d v="2022-03-03T00:00:00"/>
    <n v="463.57"/>
    <n v="0"/>
    <s v="USD"/>
    <s v="JRNLWA00443801"/>
    <s v="P"/>
    <s v="From Voucher Posting."/>
    <s v="JeffS"/>
    <s v="0/JE IC"/>
    <s v="VUS000014985"/>
    <m/>
    <x v="0"/>
    <d v="2022-03-01T00:00:00"/>
    <s v="WRRA Monthly Dues"/>
    <n v="16502"/>
    <s v="PO-2000-22-00872"/>
    <m/>
    <m/>
    <s v="VO06130182"/>
    <s v="JRNL01051351"/>
    <n v="2000"/>
    <d v="2022-03-03T00:00:00"/>
    <d v="2022-03-03T00:00:00"/>
    <n v="9090"/>
    <d v="2022-04-05T00:00:00"/>
    <s v="wci_wa"/>
    <n v="0"/>
    <n v="0"/>
    <n v="0"/>
    <n v="0"/>
    <n v="0"/>
    <n v="1"/>
    <n v="70195"/>
    <n v="2195"/>
    <n v="0"/>
    <n v="0"/>
    <m/>
    <m/>
    <m/>
    <m/>
    <s v="VO06130182"/>
  </r>
  <r>
    <s v="70195-2195-000-00"/>
    <d v="2022-03-31T00:00:00"/>
    <n v="200"/>
    <n v="0"/>
    <s v="USD"/>
    <s v="JRNLWA00445425"/>
    <s v="P"/>
    <s v="2022-03 Pcard Activity"/>
    <s v="DERDMAN"/>
    <s v="0/JE IC"/>
    <m/>
    <m/>
    <x v="15"/>
    <m/>
    <m/>
    <m/>
    <m/>
    <m/>
    <m/>
    <s v="JRNL01055092"/>
    <s v="JRNL01055092"/>
    <m/>
    <d v="2022-04-04T00:00:00"/>
    <d v="2022-04-04T00:00:00"/>
    <m/>
    <m/>
    <s v="wci_wa"/>
    <n v="0"/>
    <n v="0"/>
    <n v="0"/>
    <n v="0"/>
    <n v="0"/>
    <n v="1"/>
    <n v="70195"/>
    <n v="2195"/>
    <n v="0"/>
    <n v="0"/>
    <m/>
    <m/>
    <m/>
    <m/>
    <s v=""/>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s v="70255-2195-000-00"/>
    <d v="2021-04-14T00:00:00"/>
    <n v="2000"/>
    <n v="0"/>
    <s v="USD"/>
    <s v="JRNLWA00426794"/>
    <s v="P"/>
    <s v="From Voucher Posting."/>
    <s v="JudyA"/>
    <s v="0/JE IC"/>
    <s v="VUS000033499"/>
    <m/>
    <x v="0"/>
    <d v="2021-03-31T00:00:00"/>
    <s v="2021 CONSULTANT FEE"/>
    <n v="980732"/>
    <s v="PO-2111-21-00190"/>
    <m/>
    <m/>
    <s v="VO05751280"/>
    <s v="JRNL01012124"/>
    <n v="2111"/>
    <d v="2021-04-14T00:00:00"/>
    <d v="2021-04-19T00:00:00"/>
    <n v="12000"/>
    <d v="2021-04-10T00:00:00"/>
    <s v="wci_wa"/>
    <n v="0"/>
    <n v="0"/>
    <n v="0"/>
    <n v="0"/>
    <n v="0"/>
    <n v="1"/>
    <n v="70255"/>
    <n v="2195"/>
    <n v="0"/>
    <n v="0"/>
    <m/>
    <m/>
    <m/>
    <m/>
    <s v="VO05751280"/>
  </r>
  <r>
    <s v="70255-2195-000-00"/>
    <d v="2021-04-29T00:00:00"/>
    <n v="173.37"/>
    <n v="0"/>
    <s v="USD"/>
    <s v="JRNLWA00427030"/>
    <s v="P"/>
    <s v="From Voucher Posting."/>
    <s v="asnell"/>
    <s v="0/JE IC"/>
    <s v="VUS000032955"/>
    <s v="BERKELEY RESEARCH GROUP LLC"/>
    <x v="1"/>
    <d v="2021-04-16T00:00:00"/>
    <s v="new LG model"/>
    <n v="112384"/>
    <s v="PO-2000-21-00574"/>
    <m/>
    <m/>
    <s v="VO05770027"/>
    <s v="JRNL01012823"/>
    <n v="2000"/>
    <d v="2021-04-29T00:00:00"/>
    <d v="2021-04-30T00:00:00"/>
    <n v="3600"/>
    <d v="2021-04-17T00:00:00"/>
    <s v="wci_wa"/>
    <n v="0"/>
    <n v="0"/>
    <n v="0"/>
    <n v="0"/>
    <n v="0"/>
    <n v="1"/>
    <n v="70255"/>
    <n v="2195"/>
    <n v="0"/>
    <n v="0"/>
    <m/>
    <m/>
    <m/>
    <m/>
    <s v="VO05770027"/>
  </r>
  <r>
    <s v="70255-2195-000-00"/>
    <d v="2021-04-30T00:00:00"/>
    <n v="-2000"/>
    <n v="0"/>
    <s v="USD"/>
    <s v="JRNLWA00426463"/>
    <s v="P"/>
    <s v="2021-03 TacH PO Log Accr"/>
    <s v="ahuynh"/>
    <s v="0/JE IC"/>
    <m/>
    <m/>
    <x v="2"/>
    <m/>
    <m/>
    <m/>
    <m/>
    <m/>
    <m/>
    <s v="JRNL01011165"/>
    <s v="JRNL01011350"/>
    <m/>
    <d v="2021-04-07T00:00:00"/>
    <d v="2021-04-07T00:00:00"/>
    <m/>
    <m/>
    <s v="wci_wa"/>
    <n v="0"/>
    <n v="0"/>
    <n v="0"/>
    <n v="0"/>
    <n v="5"/>
    <n v="1"/>
    <n v="70255"/>
    <n v="2195"/>
    <n v="0"/>
    <n v="0"/>
    <m/>
    <m/>
    <m/>
    <m/>
    <s v=""/>
  </r>
  <r>
    <s v="70255-2195-000-00"/>
    <d v="2021-04-30T00:00:00"/>
    <n v="-3300"/>
    <n v="0"/>
    <s v="USD"/>
    <s v="JRNLWA00426594"/>
    <s v="P"/>
    <s v="Reclass WA Lobbying"/>
    <s v="HelenaK"/>
    <s v="0/JE IC"/>
    <m/>
    <m/>
    <x v="3"/>
    <m/>
    <m/>
    <m/>
    <m/>
    <m/>
    <m/>
    <s v="JRNL01011553"/>
    <s v="JRNL01011588"/>
    <m/>
    <d v="2021-04-07T00:00:00"/>
    <d v="2021-04-07T00:00:00"/>
    <m/>
    <m/>
    <s v="wci_wa"/>
    <n v="0"/>
    <n v="0"/>
    <n v="0"/>
    <n v="0"/>
    <n v="5"/>
    <n v="1"/>
    <n v="70255"/>
    <n v="2195"/>
    <n v="0"/>
    <n v="0"/>
    <m/>
    <m/>
    <m/>
    <m/>
    <s v=""/>
  </r>
  <r>
    <s v="70255-2195-000-00"/>
    <d v="2021-04-30T00:00:00"/>
    <n v="333.33"/>
    <n v="0"/>
    <s v="USD"/>
    <s v="JRNLWA00427998"/>
    <s v="P"/>
    <s v="OPEX6-Prepaids' Amort"/>
    <s v="HelenaK"/>
    <s v="0/JE IC"/>
    <m/>
    <m/>
    <x v="4"/>
    <m/>
    <m/>
    <m/>
    <m/>
    <m/>
    <m/>
    <s v="JRNL01014859"/>
    <s v="JRNL01014859"/>
    <m/>
    <d v="2021-05-06T00:00:00"/>
    <d v="2021-05-06T00:00:00"/>
    <m/>
    <m/>
    <s v="wci_wa"/>
    <n v="0"/>
    <n v="0"/>
    <n v="0"/>
    <n v="0"/>
    <n v="0"/>
    <n v="1"/>
    <n v="70255"/>
    <n v="2195"/>
    <n v="0"/>
    <n v="0"/>
    <m/>
    <m/>
    <m/>
    <m/>
    <s v=""/>
  </r>
  <r>
    <s v="70255-2195-000-00"/>
    <d v="2021-04-30T00:00:00"/>
    <n v="4100"/>
    <n v="0"/>
    <s v="USD"/>
    <s v="JRNLWA00428053"/>
    <s v="P"/>
    <s v="MISC2-BS Recons and PL Reclass"/>
    <s v="HelenaK"/>
    <s v="0/JE IC"/>
    <m/>
    <m/>
    <x v="5"/>
    <m/>
    <m/>
    <m/>
    <m/>
    <m/>
    <m/>
    <s v="JRNL01014934"/>
    <s v="JRNL01014934"/>
    <m/>
    <d v="2021-05-06T00:00:00"/>
    <d v="2021-05-06T00:00:00"/>
    <m/>
    <m/>
    <s v="wci_wa"/>
    <n v="0"/>
    <n v="0"/>
    <n v="0"/>
    <n v="0"/>
    <n v="0"/>
    <n v="1"/>
    <n v="70255"/>
    <n v="2195"/>
    <n v="0"/>
    <n v="0"/>
    <m/>
    <m/>
    <m/>
    <m/>
    <s v=""/>
  </r>
  <r>
    <s v="70255-2195-000-00"/>
    <d v="2021-04-30T00:00:00"/>
    <n v="2000"/>
    <n v="0"/>
    <s v="USD"/>
    <s v="JRNLWA00428235"/>
    <s v="P"/>
    <s v="2021-04 TacH PO Log Accr"/>
    <s v="HeatherH"/>
    <s v="0/JE IC"/>
    <m/>
    <m/>
    <x v="6"/>
    <m/>
    <m/>
    <m/>
    <m/>
    <m/>
    <m/>
    <s v="JRNL01015450"/>
    <s v="JRNL01015450"/>
    <m/>
    <d v="2021-05-07T00:00:00"/>
    <d v="2021-05-07T00:00:00"/>
    <m/>
    <m/>
    <s v="wci_wa"/>
    <n v="0"/>
    <n v="0"/>
    <n v="0"/>
    <n v="0"/>
    <n v="0"/>
    <n v="1"/>
    <n v="70255"/>
    <n v="2195"/>
    <n v="0"/>
    <n v="0"/>
    <m/>
    <m/>
    <m/>
    <m/>
    <s v=""/>
  </r>
  <r>
    <s v="70255-2195-000-00"/>
    <d v="2021-05-31T00:00:00"/>
    <n v="-2000"/>
    <n v="0"/>
    <s v="USD"/>
    <s v="JRNLWA00428276"/>
    <s v="P"/>
    <s v="2021-04 TacH PO Log Accr"/>
    <s v="HelenaK"/>
    <s v="0/JE IC"/>
    <m/>
    <m/>
    <x v="6"/>
    <m/>
    <m/>
    <m/>
    <m/>
    <m/>
    <m/>
    <s v="JRNL01015450"/>
    <s v="JRNL01015487"/>
    <m/>
    <d v="2021-05-07T00:00:00"/>
    <d v="2021-05-07T00:00:00"/>
    <m/>
    <m/>
    <s v="wci_wa"/>
    <n v="0"/>
    <n v="0"/>
    <n v="0"/>
    <n v="0"/>
    <n v="5"/>
    <n v="1"/>
    <n v="70255"/>
    <n v="2195"/>
    <n v="0"/>
    <n v="0"/>
    <m/>
    <m/>
    <m/>
    <m/>
    <s v=""/>
  </r>
  <r>
    <s v="70255-2195-000-00"/>
    <d v="2021-05-31T00:00:00"/>
    <n v="333.33"/>
    <n v="0"/>
    <s v="USD"/>
    <s v="JRNLWA00429586"/>
    <s v="P"/>
    <s v="OPEX6-Prepaids' Amort"/>
    <s v="ahuynh"/>
    <s v="0/JE IC"/>
    <m/>
    <m/>
    <x v="4"/>
    <m/>
    <m/>
    <m/>
    <m/>
    <m/>
    <m/>
    <s v="JRNL01018291"/>
    <s v="JRNL01018291"/>
    <m/>
    <d v="2021-06-04T00:00:00"/>
    <d v="2021-06-07T00:00:00"/>
    <m/>
    <m/>
    <s v="wci_wa"/>
    <n v="0"/>
    <n v="0"/>
    <n v="0"/>
    <n v="0"/>
    <n v="0"/>
    <n v="1"/>
    <n v="70255"/>
    <n v="2195"/>
    <n v="0"/>
    <n v="0"/>
    <m/>
    <m/>
    <m/>
    <m/>
    <s v=""/>
  </r>
  <r>
    <s v="70255-2195-000-00"/>
    <d v="2021-05-31T00:00:00"/>
    <n v="2000"/>
    <n v="0"/>
    <s v="USD"/>
    <s v="JRNLWA00429613"/>
    <s v="P"/>
    <s v="2021-05 TacH PO Log Accr"/>
    <s v="ahuynh"/>
    <s v="0/JE IC"/>
    <m/>
    <m/>
    <x v="6"/>
    <m/>
    <m/>
    <m/>
    <m/>
    <m/>
    <m/>
    <s v="JRNL01018322"/>
    <s v="JRNL01018322"/>
    <m/>
    <d v="2021-06-04T00:00:00"/>
    <d v="2021-06-07T00:00:00"/>
    <m/>
    <m/>
    <s v="wci_wa"/>
    <n v="0"/>
    <n v="0"/>
    <n v="0"/>
    <n v="0"/>
    <n v="0"/>
    <n v="1"/>
    <n v="70255"/>
    <n v="2195"/>
    <n v="0"/>
    <n v="0"/>
    <m/>
    <m/>
    <m/>
    <m/>
    <s v=""/>
  </r>
  <r>
    <s v="70255-2195-000-00"/>
    <d v="2021-05-31T00:00:00"/>
    <n v="2000"/>
    <n v="0"/>
    <s v="USD"/>
    <s v="JRNLWA00429613"/>
    <s v="P"/>
    <s v="2021-05 TacH PO Log Accr"/>
    <s v="ahuynh"/>
    <s v="0/JE IC"/>
    <m/>
    <m/>
    <x v="2"/>
    <m/>
    <m/>
    <m/>
    <m/>
    <m/>
    <m/>
    <s v="JRNL01018322"/>
    <s v="JRNL01018322"/>
    <m/>
    <d v="2021-06-04T00:00:00"/>
    <d v="2021-06-07T00:00:00"/>
    <m/>
    <m/>
    <s v="wci_wa"/>
    <n v="0"/>
    <n v="0"/>
    <n v="0"/>
    <n v="0"/>
    <n v="0"/>
    <n v="1"/>
    <n v="70255"/>
    <n v="2195"/>
    <n v="0"/>
    <n v="0"/>
    <m/>
    <m/>
    <m/>
    <m/>
    <s v=""/>
  </r>
  <r>
    <s v="70255-2195-000-00"/>
    <d v="2021-06-15T00:00:00"/>
    <n v="2000"/>
    <n v="0"/>
    <s v="USD"/>
    <s v="JRNLWA00430004"/>
    <s v="P"/>
    <s v="From Voucher Posting."/>
    <s v="asnell"/>
    <s v="0/JE IC"/>
    <s v="VUS000033499"/>
    <m/>
    <x v="0"/>
    <d v="2021-05-01T00:00:00"/>
    <s v="2021 CONSULTANT FEE"/>
    <n v="980735"/>
    <s v="PO-2111-21-00190"/>
    <m/>
    <m/>
    <s v="VO05818457"/>
    <s v="JRNL01019515"/>
    <n v="2111"/>
    <d v="2021-06-15T00:00:00"/>
    <d v="2021-06-15T00:00:00"/>
    <n v="12000"/>
    <d v="2021-05-11T00:00:00"/>
    <s v="wci_wa"/>
    <n v="0"/>
    <n v="0"/>
    <n v="0"/>
    <n v="0"/>
    <n v="0"/>
    <n v="1"/>
    <n v="70255"/>
    <n v="2195"/>
    <n v="0"/>
    <n v="0"/>
    <m/>
    <m/>
    <m/>
    <m/>
    <s v="VO05818457"/>
  </r>
  <r>
    <s v="70255-2195-000-00"/>
    <d v="2021-06-15T00:00:00"/>
    <n v="2000"/>
    <n v="0"/>
    <s v="USD"/>
    <s v="JRNLWA00430004"/>
    <s v="P"/>
    <s v="From Voucher Posting."/>
    <s v="asnell"/>
    <s v="0/JE IC"/>
    <s v="VUS000033499"/>
    <m/>
    <x v="0"/>
    <d v="2021-06-01T00:00:00"/>
    <s v="2021 CONSULTANT FEE"/>
    <n v="980738"/>
    <s v="PO-2111-21-00190"/>
    <m/>
    <m/>
    <s v="VO05818458"/>
    <s v="JRNL01019515"/>
    <n v="2111"/>
    <d v="2021-06-15T00:00:00"/>
    <d v="2021-06-15T00:00:00"/>
    <n v="12000"/>
    <d v="2021-06-11T00:00:00"/>
    <s v="wci_wa"/>
    <n v="0"/>
    <n v="0"/>
    <n v="0"/>
    <n v="0"/>
    <n v="0"/>
    <n v="1"/>
    <n v="70255"/>
    <n v="2195"/>
    <n v="0"/>
    <n v="0"/>
    <m/>
    <m/>
    <m/>
    <m/>
    <s v="VO05818458"/>
  </r>
  <r>
    <s v="70255-2195-000-00"/>
    <d v="2021-06-30T00:00:00"/>
    <n v="-2000"/>
    <n v="0"/>
    <s v="USD"/>
    <s v="JRNLWA00429682"/>
    <s v="P"/>
    <s v="2021-05 TacH PO Log Accr"/>
    <s v="HelenaK"/>
    <s v="0/JE IC"/>
    <m/>
    <m/>
    <x v="6"/>
    <m/>
    <m/>
    <m/>
    <m/>
    <m/>
    <m/>
    <s v="JRNL01018322"/>
    <s v="JRNL01018374"/>
    <m/>
    <d v="2021-06-05T00:00:00"/>
    <d v="2021-06-07T00:00:00"/>
    <m/>
    <m/>
    <s v="wci_wa"/>
    <n v="0"/>
    <n v="0"/>
    <n v="0"/>
    <n v="0"/>
    <n v="5"/>
    <n v="1"/>
    <n v="70255"/>
    <n v="2195"/>
    <n v="0"/>
    <n v="0"/>
    <m/>
    <m/>
    <m/>
    <m/>
    <s v=""/>
  </r>
  <r>
    <s v="70255-2195-000-00"/>
    <d v="2021-06-30T00:00:00"/>
    <n v="-2000"/>
    <n v="0"/>
    <s v="USD"/>
    <s v="JRNLWA00429682"/>
    <s v="P"/>
    <s v="2021-05 TacH PO Log Accr"/>
    <s v="HelenaK"/>
    <s v="0/JE IC"/>
    <m/>
    <m/>
    <x v="2"/>
    <m/>
    <m/>
    <m/>
    <m/>
    <m/>
    <m/>
    <s v="JRNL01018322"/>
    <s v="JRNL01018374"/>
    <m/>
    <d v="2021-06-05T00:00:00"/>
    <d v="2021-06-07T00:00:00"/>
    <m/>
    <m/>
    <s v="wci_wa"/>
    <n v="0"/>
    <n v="0"/>
    <n v="0"/>
    <n v="0"/>
    <n v="5"/>
    <n v="1"/>
    <n v="70255"/>
    <n v="2195"/>
    <n v="0"/>
    <n v="0"/>
    <m/>
    <m/>
    <m/>
    <m/>
    <s v=""/>
  </r>
  <r>
    <s v="70255-2195-000-00"/>
    <d v="2021-06-30T00:00:00"/>
    <n v="491.58"/>
    <n v="0"/>
    <s v="USD"/>
    <s v="JRNLWA00430905"/>
    <s v="P"/>
    <s v="OPTIMUM MAY 102089"/>
    <s v="HeatherH"/>
    <s v="0/JE IC"/>
    <m/>
    <m/>
    <x v="7"/>
    <m/>
    <m/>
    <m/>
    <m/>
    <m/>
    <m/>
    <s v="JRNL01021771"/>
    <s v="JRNL01021771"/>
    <m/>
    <d v="2021-07-07T00:00:00"/>
    <d v="2021-07-07T00:00:00"/>
    <m/>
    <m/>
    <s v="wci_wa"/>
    <n v="0"/>
    <n v="0"/>
    <n v="0"/>
    <n v="0"/>
    <n v="0"/>
    <n v="1"/>
    <n v="70255"/>
    <n v="2195"/>
    <n v="0"/>
    <n v="0"/>
    <m/>
    <m/>
    <m/>
    <m/>
    <s v=""/>
  </r>
  <r>
    <s v="70255-2195-000-00"/>
    <d v="2021-06-30T00:00:00"/>
    <n v="491.58"/>
    <n v="0"/>
    <s v="USD"/>
    <s v="JRNLWA00430907"/>
    <s v="P"/>
    <s v="OPTIMUM JUNE ACC"/>
    <s v="HeatherH"/>
    <s v="0/JE IC"/>
    <m/>
    <m/>
    <x v="8"/>
    <m/>
    <m/>
    <m/>
    <m/>
    <m/>
    <m/>
    <s v="JRNL01021773"/>
    <s v="JRNL01021773"/>
    <m/>
    <d v="2021-07-07T00:00:00"/>
    <d v="2021-07-07T00:00:00"/>
    <m/>
    <m/>
    <s v="wci_wa"/>
    <n v="0"/>
    <n v="0"/>
    <n v="0"/>
    <n v="0"/>
    <n v="0"/>
    <n v="1"/>
    <n v="70255"/>
    <n v="2195"/>
    <n v="0"/>
    <n v="0"/>
    <m/>
    <m/>
    <m/>
    <m/>
    <s v=""/>
  </r>
  <r>
    <s v="70255-2195-000-00"/>
    <d v="2021-06-30T00:00:00"/>
    <n v="2000"/>
    <n v="0"/>
    <s v="USD"/>
    <s v="JRNLWA00431223"/>
    <s v="P"/>
    <s v="2021-06 TacH PO Log Accr"/>
    <s v="LaurenTi"/>
    <s v="0/JE IC"/>
    <m/>
    <m/>
    <x v="2"/>
    <m/>
    <m/>
    <m/>
    <m/>
    <m/>
    <m/>
    <s v="JRNL01022161"/>
    <s v="JRNL01022161"/>
    <m/>
    <d v="2021-07-07T00:00:00"/>
    <d v="2021-07-08T00:00:00"/>
    <m/>
    <m/>
    <s v="wci_wa"/>
    <n v="0"/>
    <n v="0"/>
    <n v="0"/>
    <n v="0"/>
    <n v="0"/>
    <n v="1"/>
    <n v="70255"/>
    <n v="2195"/>
    <n v="0"/>
    <n v="0"/>
    <m/>
    <m/>
    <m/>
    <m/>
    <s v=""/>
  </r>
  <r>
    <s v="70255-2195-000-00"/>
    <d v="2021-06-30T00:00:00"/>
    <n v="333.33"/>
    <n v="0"/>
    <s v="USD"/>
    <s v="JRNLWA00431294"/>
    <s v="P"/>
    <s v="OPEX6-Prepaids' Amort"/>
    <s v="HeatherH"/>
    <s v="0/JE IC"/>
    <m/>
    <m/>
    <x v="4"/>
    <m/>
    <m/>
    <m/>
    <m/>
    <m/>
    <m/>
    <s v="JRNL01022250"/>
    <s v="JRNL01022250"/>
    <m/>
    <d v="2021-07-08T00:00:00"/>
    <d v="2021-07-08T00:00:00"/>
    <m/>
    <m/>
    <s v="wci_wa"/>
    <n v="0"/>
    <n v="0"/>
    <n v="0"/>
    <n v="0"/>
    <n v="0"/>
    <n v="1"/>
    <n v="70255"/>
    <n v="2195"/>
    <n v="0"/>
    <n v="0"/>
    <m/>
    <m/>
    <m/>
    <m/>
    <s v=""/>
  </r>
  <r>
    <s v="70255-2195-000-00"/>
    <d v="2021-06-30T00:00:00"/>
    <n v="3264.6"/>
    <n v="0"/>
    <s v="USD"/>
    <s v="JRNLWA00431448"/>
    <s v="P"/>
    <s v="MISC2-BS Recons and PL Reclass"/>
    <s v="LaurenTi"/>
    <s v="0/JE IC"/>
    <m/>
    <m/>
    <x v="9"/>
    <m/>
    <m/>
    <m/>
    <m/>
    <m/>
    <m/>
    <s v="JRNL01022789"/>
    <s v="JRNL01022789"/>
    <m/>
    <d v="2021-07-08T00:00:00"/>
    <d v="2021-07-08T00:00:00"/>
    <m/>
    <m/>
    <s v="wci_wa"/>
    <n v="0"/>
    <n v="0"/>
    <n v="0"/>
    <n v="0"/>
    <n v="0"/>
    <n v="1"/>
    <n v="70255"/>
    <n v="2195"/>
    <n v="0"/>
    <n v="0"/>
    <m/>
    <m/>
    <m/>
    <m/>
    <s v=""/>
  </r>
  <r>
    <s v="70255-2195-000-00"/>
    <d v="2021-07-14T00:00:00"/>
    <n v="2000"/>
    <n v="0"/>
    <s v="USD"/>
    <s v="JRNLWA00431581"/>
    <s v="P"/>
    <s v="From Voucher Posting."/>
    <s v="asnell"/>
    <s v="0/JE IC"/>
    <s v="VUS000033499"/>
    <m/>
    <x v="0"/>
    <d v="2021-06-30T00:00:00"/>
    <s v="2021 CONSULTANT FEE"/>
    <n v="980741"/>
    <s v="PO-2111-21-00190"/>
    <m/>
    <m/>
    <s v="VO05850338"/>
    <s v="JRNL01023110"/>
    <n v="2111"/>
    <d v="2021-07-14T00:00:00"/>
    <d v="2021-07-15T00:00:00"/>
    <n v="12000"/>
    <d v="2021-07-10T00:00:00"/>
    <s v="wci_wa"/>
    <n v="0"/>
    <n v="0"/>
    <n v="0"/>
    <n v="0"/>
    <n v="0"/>
    <n v="1"/>
    <n v="70255"/>
    <n v="2195"/>
    <n v="0"/>
    <n v="0"/>
    <m/>
    <m/>
    <m/>
    <m/>
    <s v="VO05850338"/>
  </r>
  <r>
    <s v="70255-2195-000-00"/>
    <d v="2021-07-31T00:00:00"/>
    <n v="-491.58"/>
    <n v="0"/>
    <s v="USD"/>
    <s v="JRNLWA00430921"/>
    <s v="P"/>
    <s v="OPTIMUM JUNE ACC"/>
    <s v="LaurenTi"/>
    <s v="0/JE IC"/>
    <m/>
    <m/>
    <x v="8"/>
    <m/>
    <m/>
    <m/>
    <m/>
    <m/>
    <m/>
    <s v="JRNL01021773"/>
    <s v="JRNL01021796"/>
    <m/>
    <d v="2021-07-07T00:00:00"/>
    <d v="2021-07-07T00:00:00"/>
    <m/>
    <m/>
    <s v="wci_wa"/>
    <n v="0"/>
    <n v="0"/>
    <n v="0"/>
    <n v="0"/>
    <n v="5"/>
    <n v="1"/>
    <n v="70255"/>
    <n v="2195"/>
    <n v="0"/>
    <n v="0"/>
    <m/>
    <m/>
    <m/>
    <m/>
    <s v=""/>
  </r>
  <r>
    <s v="70255-2195-000-00"/>
    <d v="2021-07-31T00:00:00"/>
    <n v="-2000"/>
    <n v="0"/>
    <s v="USD"/>
    <s v="JRNLWA00431301"/>
    <s v="P"/>
    <s v="2021-06 TacH PO Log Accr"/>
    <s v="HeatherH"/>
    <s v="0/JE IC"/>
    <m/>
    <m/>
    <x v="2"/>
    <m/>
    <m/>
    <m/>
    <m/>
    <m/>
    <m/>
    <s v="JRNL01022161"/>
    <s v="JRNL01022197"/>
    <m/>
    <d v="2021-07-07T00:00:00"/>
    <d v="2021-07-08T00:00:00"/>
    <m/>
    <m/>
    <s v="wci_wa"/>
    <n v="0"/>
    <n v="0"/>
    <n v="0"/>
    <n v="0"/>
    <n v="5"/>
    <n v="1"/>
    <n v="70255"/>
    <n v="2195"/>
    <n v="0"/>
    <n v="0"/>
    <m/>
    <m/>
    <m/>
    <m/>
    <s v=""/>
  </r>
  <r>
    <s v="70255-2195-000-00"/>
    <d v="2021-07-31T00:00:00"/>
    <n v="501.43"/>
    <n v="0"/>
    <s v="USD"/>
    <s v="JRNLWA00432425"/>
    <s v="P"/>
    <s v="OPTIMUM JUNE 102095"/>
    <s v="HeatherH"/>
    <s v="0/JE IC"/>
    <m/>
    <m/>
    <x v="10"/>
    <m/>
    <m/>
    <m/>
    <m/>
    <m/>
    <m/>
    <s v="JRNL01025112"/>
    <s v="JRNL01025112"/>
    <m/>
    <d v="2021-08-05T00:00:00"/>
    <d v="2021-08-05T00:00:00"/>
    <m/>
    <m/>
    <s v="wci_wa"/>
    <n v="0"/>
    <n v="0"/>
    <n v="0"/>
    <n v="0"/>
    <n v="0"/>
    <n v="1"/>
    <n v="70255"/>
    <n v="2195"/>
    <n v="0"/>
    <n v="0"/>
    <m/>
    <m/>
    <m/>
    <m/>
    <s v=""/>
  </r>
  <r>
    <s v="70255-2195-000-00"/>
    <d v="2021-07-31T00:00:00"/>
    <n v="507.16"/>
    <n v="0"/>
    <s v="USD"/>
    <s v="JRNLWA00432431"/>
    <s v="P"/>
    <s v="OPTIMUM JULY 102101"/>
    <s v="HeatherH"/>
    <s v="0/JE IC"/>
    <m/>
    <m/>
    <x v="11"/>
    <m/>
    <m/>
    <m/>
    <m/>
    <m/>
    <m/>
    <s v="JRNL01025119"/>
    <s v="JRNL01025119"/>
    <m/>
    <d v="2021-08-05T00:00:00"/>
    <d v="2021-08-05T00:00:00"/>
    <m/>
    <m/>
    <s v="wci_wa"/>
    <n v="0"/>
    <n v="0"/>
    <n v="0"/>
    <n v="0"/>
    <n v="0"/>
    <n v="1"/>
    <n v="70255"/>
    <n v="2195"/>
    <n v="0"/>
    <n v="0"/>
    <m/>
    <m/>
    <m/>
    <m/>
    <s v=""/>
  </r>
  <r>
    <s v="70255-2195-000-00"/>
    <d v="2021-07-31T00:00:00"/>
    <n v="333.33"/>
    <n v="0"/>
    <s v="USD"/>
    <s v="JRNLWA00432650"/>
    <s v="P"/>
    <s v="OPEX6-Prepaids' Amort"/>
    <s v="LaurenTi"/>
    <s v="0/JE IC"/>
    <m/>
    <m/>
    <x v="4"/>
    <m/>
    <m/>
    <m/>
    <m/>
    <m/>
    <m/>
    <s v="JRNL01025614"/>
    <s v="JRNL01025614"/>
    <m/>
    <d v="2021-08-05T00:00:00"/>
    <d v="2021-08-06T00:00:00"/>
    <m/>
    <m/>
    <s v="wci_wa"/>
    <n v="0"/>
    <n v="0"/>
    <n v="0"/>
    <n v="0"/>
    <n v="0"/>
    <n v="1"/>
    <n v="70255"/>
    <n v="2195"/>
    <n v="0"/>
    <n v="0"/>
    <m/>
    <m/>
    <m/>
    <m/>
    <s v=""/>
  </r>
  <r>
    <s v="70255-2195-000-00"/>
    <d v="2021-07-31T00:00:00"/>
    <n v="2000"/>
    <n v="0"/>
    <s v="USD"/>
    <s v="JRNLWA00432667"/>
    <s v="P"/>
    <s v="2021-07 TacH PO Log Accr"/>
    <s v="LaurenTi"/>
    <s v="0/JE IC"/>
    <m/>
    <m/>
    <x v="2"/>
    <m/>
    <m/>
    <m/>
    <m/>
    <m/>
    <m/>
    <s v="JRNL01025631"/>
    <s v="JRNL01025631"/>
    <m/>
    <d v="2021-08-05T00:00:00"/>
    <d v="2021-08-06T00:00:00"/>
    <m/>
    <m/>
    <s v="wci_wa"/>
    <n v="0"/>
    <n v="0"/>
    <n v="0"/>
    <n v="0"/>
    <n v="0"/>
    <n v="1"/>
    <n v="70255"/>
    <n v="2195"/>
    <n v="0"/>
    <n v="0"/>
    <m/>
    <m/>
    <m/>
    <m/>
    <s v=""/>
  </r>
  <r>
    <s v="70255-2195-000-00"/>
    <d v="2021-08-12T00:00:00"/>
    <n v="2000"/>
    <n v="0"/>
    <s v="USD"/>
    <s v="JRNLWA00433113"/>
    <s v="P"/>
    <s v="From Voucher Posting."/>
    <s v="JudyA"/>
    <s v="0/JE IC"/>
    <s v="VUS000033499"/>
    <m/>
    <x v="0"/>
    <d v="2021-07-31T00:00:00"/>
    <s v="2021 CONSULTANT FEE"/>
    <s v="980744 07-21"/>
    <s v="PO-2111-21-00190"/>
    <m/>
    <m/>
    <s v="VO05885383"/>
    <s v="JRNL01026590"/>
    <n v="2111"/>
    <d v="2021-08-12T00:00:00"/>
    <d v="2021-08-13T00:00:00"/>
    <n v="16000"/>
    <d v="2021-08-10T00:00:00"/>
    <s v="wci_wa"/>
    <n v="0"/>
    <n v="0"/>
    <n v="0"/>
    <n v="0"/>
    <n v="0"/>
    <n v="1"/>
    <n v="70255"/>
    <n v="2195"/>
    <n v="0"/>
    <n v="0"/>
    <m/>
    <m/>
    <m/>
    <m/>
    <s v="VO05885383"/>
  </r>
  <r>
    <s v="70255-2195-000-00"/>
    <d v="2021-08-31T00:00:00"/>
    <n v="-2000"/>
    <n v="0"/>
    <s v="USD"/>
    <s v="JRNLWA00432709"/>
    <s v="P"/>
    <s v="2021-07 TacH PO Log Accr"/>
    <s v="LaurenTi"/>
    <s v="0/JE IC"/>
    <m/>
    <m/>
    <x v="2"/>
    <m/>
    <m/>
    <m/>
    <m/>
    <m/>
    <m/>
    <s v="JRNL01025631"/>
    <s v="JRNL01025713"/>
    <m/>
    <d v="2021-08-05T00:00:00"/>
    <d v="2021-08-06T00:00:00"/>
    <m/>
    <m/>
    <s v="wci_wa"/>
    <n v="0"/>
    <n v="0"/>
    <n v="0"/>
    <n v="0"/>
    <n v="5"/>
    <n v="1"/>
    <n v="70255"/>
    <n v="2195"/>
    <n v="0"/>
    <n v="0"/>
    <m/>
    <m/>
    <m/>
    <m/>
    <s v=""/>
  </r>
  <r>
    <s v="70255-2195-000-00"/>
    <d v="2021-08-31T00:00:00"/>
    <n v="450.68"/>
    <n v="0"/>
    <s v="USD"/>
    <s v="JRNLWA00433958"/>
    <s v="P"/>
    <s v="OPTIMUM AUG 102104"/>
    <s v="pabbott"/>
    <s v="0/JE IC"/>
    <m/>
    <m/>
    <x v="12"/>
    <m/>
    <m/>
    <m/>
    <m/>
    <m/>
    <m/>
    <s v="JRNL01028487"/>
    <s v="JRNL01028487"/>
    <m/>
    <d v="2021-09-03T00:00:00"/>
    <d v="2021-09-03T00:00:00"/>
    <m/>
    <m/>
    <s v="wci_wa"/>
    <n v="0"/>
    <n v="0"/>
    <n v="0"/>
    <n v="0"/>
    <n v="0"/>
    <n v="1"/>
    <n v="70255"/>
    <n v="2195"/>
    <n v="0"/>
    <n v="0"/>
    <m/>
    <m/>
    <m/>
    <m/>
    <s v=""/>
  </r>
  <r>
    <s v="70255-2195-000-00"/>
    <d v="2021-08-31T00:00:00"/>
    <n v="2000"/>
    <n v="0"/>
    <s v="USD"/>
    <s v="JRNLWA00434317"/>
    <s v="P"/>
    <s v="2021-08 TacH PO Log Accr"/>
    <s v="HeatherH"/>
    <s v="0/JE IC"/>
    <m/>
    <m/>
    <x v="2"/>
    <m/>
    <m/>
    <m/>
    <m/>
    <m/>
    <m/>
    <s v="JRNL01029299"/>
    <s v="JRNL01029299"/>
    <m/>
    <d v="2021-09-07T00:00:00"/>
    <d v="2021-09-07T00:00:00"/>
    <m/>
    <m/>
    <s v="wci_wa"/>
    <n v="0"/>
    <n v="0"/>
    <n v="0"/>
    <n v="0"/>
    <n v="0"/>
    <n v="1"/>
    <n v="70255"/>
    <n v="2195"/>
    <n v="0"/>
    <n v="0"/>
    <m/>
    <m/>
    <m/>
    <m/>
    <s v=""/>
  </r>
  <r>
    <s v="70255-2195-000-00"/>
    <d v="2021-08-31T00:00:00"/>
    <n v="4000"/>
    <n v="0"/>
    <s v="USD"/>
    <s v="JRNLWA00434394"/>
    <s v="P"/>
    <s v="OPEX8 - AP ACCRUAL"/>
    <s v="HeatherH"/>
    <s v="0/JE IC"/>
    <m/>
    <m/>
    <x v="13"/>
    <m/>
    <m/>
    <m/>
    <m/>
    <m/>
    <m/>
    <s v="JRNL01029322"/>
    <s v="JRNL01029322"/>
    <m/>
    <d v="2021-09-07T00:00:00"/>
    <d v="2021-09-08T00:00:00"/>
    <m/>
    <m/>
    <s v="wci_wa"/>
    <n v="0"/>
    <n v="0"/>
    <n v="0"/>
    <n v="0"/>
    <n v="0"/>
    <n v="1"/>
    <n v="70255"/>
    <n v="2195"/>
    <n v="0"/>
    <n v="0"/>
    <m/>
    <m/>
    <m/>
    <m/>
    <s v=""/>
  </r>
  <r>
    <s v="70255-2195-000-00"/>
    <d v="2021-09-15T00:00:00"/>
    <n v="4000"/>
    <n v="0"/>
    <s v="USD"/>
    <s v="JRNLWA00434787"/>
    <s v="P"/>
    <s v="From Voucher Posting."/>
    <s v="asnell"/>
    <s v="0/JE IC"/>
    <s v="VUS000014261"/>
    <m/>
    <x v="14"/>
    <d v="2021-08-30T00:00:00"/>
    <s v="Renewal for app"/>
    <n v="20710"/>
    <s v="PO-2195-21-01875"/>
    <m/>
    <m/>
    <s v="VO05923186"/>
    <s v="JRNL01030239"/>
    <n v="2195"/>
    <d v="2021-09-15T00:00:00"/>
    <d v="2021-09-15T00:00:00"/>
    <n v="4000"/>
    <d v="2021-09-29T00:00:00"/>
    <s v="wci_wa"/>
    <n v="0"/>
    <n v="0"/>
    <n v="0"/>
    <n v="0"/>
    <n v="0"/>
    <n v="1"/>
    <n v="70255"/>
    <n v="2195"/>
    <n v="0"/>
    <n v="0"/>
    <m/>
    <m/>
    <m/>
    <m/>
    <s v="VO05923186"/>
  </r>
  <r>
    <s v="70255-2195-000-00"/>
    <d v="2021-09-23T00:00:00"/>
    <n v="2000"/>
    <n v="0"/>
    <s v="USD"/>
    <s v="JRNLWA00434874"/>
    <s v="P"/>
    <s v="From Voucher Posting."/>
    <s v="JudyA"/>
    <s v="0/JE IC"/>
    <s v="VUS000033499"/>
    <m/>
    <x v="0"/>
    <d v="2021-08-31T00:00:00"/>
    <s v="2021 CONSULTANT FEE"/>
    <s v="980746 08-21"/>
    <s v="PO-2111-21-00190"/>
    <m/>
    <m/>
    <s v="VO05931761"/>
    <s v="JRNL01030526"/>
    <n v="2111"/>
    <d v="2021-09-23T00:00:00"/>
    <d v="2021-09-23T00:00:00"/>
    <n v="16000"/>
    <d v="2021-09-10T00:00:00"/>
    <s v="wci_wa"/>
    <n v="0"/>
    <n v="0"/>
    <n v="0"/>
    <n v="0"/>
    <n v="0"/>
    <n v="1"/>
    <n v="70255"/>
    <n v="2195"/>
    <n v="0"/>
    <n v="0"/>
    <m/>
    <m/>
    <m/>
    <m/>
    <s v="VO05931761"/>
  </r>
  <r>
    <s v="70255-2195-000-00"/>
    <d v="2021-09-30T00:00:00"/>
    <n v="-2000"/>
    <n v="0"/>
    <s v="USD"/>
    <s v="JRNLWA00434433"/>
    <s v="P"/>
    <s v="2021-08 TacH PO Log Accr"/>
    <s v="HeatherH"/>
    <s v="0/JE IC"/>
    <m/>
    <m/>
    <x v="2"/>
    <m/>
    <m/>
    <m/>
    <m/>
    <m/>
    <m/>
    <s v="JRNL01029299"/>
    <s v="JRNL01029350"/>
    <m/>
    <d v="2021-09-07T00:00:00"/>
    <d v="2021-09-08T00:00:00"/>
    <m/>
    <m/>
    <s v="wci_wa"/>
    <n v="0"/>
    <n v="0"/>
    <n v="0"/>
    <n v="0"/>
    <n v="5"/>
    <n v="1"/>
    <n v="70255"/>
    <n v="2195"/>
    <n v="0"/>
    <n v="0"/>
    <m/>
    <m/>
    <m/>
    <m/>
    <s v=""/>
  </r>
  <r>
    <s v="70255-2195-000-00"/>
    <d v="2021-09-30T00:00:00"/>
    <n v="-4000"/>
    <n v="0"/>
    <s v="USD"/>
    <s v="JRNLWA00434441"/>
    <s v="P"/>
    <s v="OPEX8 - AP ACCRUAL"/>
    <s v="HeatherH"/>
    <s v="0/JE IC"/>
    <m/>
    <m/>
    <x v="13"/>
    <m/>
    <m/>
    <m/>
    <m/>
    <m/>
    <m/>
    <s v="JRNL01029322"/>
    <s v="JRNL01029432"/>
    <m/>
    <d v="2021-09-08T00:00:00"/>
    <d v="2021-09-08T00:00:00"/>
    <m/>
    <m/>
    <s v="wci_wa"/>
    <n v="0"/>
    <n v="0"/>
    <n v="0"/>
    <n v="0"/>
    <n v="5"/>
    <n v="1"/>
    <n v="70255"/>
    <n v="2195"/>
    <n v="0"/>
    <n v="0"/>
    <m/>
    <m/>
    <m/>
    <m/>
    <s v=""/>
  </r>
  <r>
    <s v="70255-2195-000-00"/>
    <d v="2021-09-30T00:00:00"/>
    <n v="2000"/>
    <n v="0"/>
    <s v="USD"/>
    <s v="JRNLWA00435105"/>
    <s v="P"/>
    <s v="From Voucher Posting."/>
    <s v="JeffS"/>
    <s v="0/JE IC"/>
    <s v="VUS000033499"/>
    <m/>
    <x v="0"/>
    <d v="2021-09-30T00:00:00"/>
    <s v="2021 CONSULTANT FEE"/>
    <s v="980749 09-21"/>
    <s v="PO-2111-21-00190"/>
    <m/>
    <m/>
    <s v="VO05947595"/>
    <s v="JRNL01031480"/>
    <n v="2111"/>
    <d v="2021-10-04T00:00:00"/>
    <d v="2021-10-04T00:00:00"/>
    <n v="16000"/>
    <d v="2021-10-10T00:00:00"/>
    <s v="wci_wa"/>
    <n v="0"/>
    <n v="0"/>
    <n v="0"/>
    <n v="0"/>
    <n v="0"/>
    <n v="1"/>
    <n v="70255"/>
    <n v="2195"/>
    <n v="0"/>
    <n v="0"/>
    <m/>
    <m/>
    <m/>
    <m/>
    <s v="VO05947595"/>
  </r>
  <r>
    <s v="70255-2195-000-00"/>
    <d v="2021-09-30T00:00:00"/>
    <n v="448"/>
    <n v="0"/>
    <s v="USD"/>
    <s v="JRNLWA00435625"/>
    <s v="P"/>
    <s v="OPTIMUM AUG 102112"/>
    <s v="HelenaK"/>
    <s v="0/JE IC"/>
    <m/>
    <m/>
    <x v="15"/>
    <m/>
    <m/>
    <m/>
    <m/>
    <m/>
    <m/>
    <s v="JRNL01032219"/>
    <s v="JRNL01032219"/>
    <m/>
    <d v="2021-10-05T00:00:00"/>
    <d v="2021-10-05T00:00:00"/>
    <m/>
    <m/>
    <s v="wci_wa"/>
    <n v="0"/>
    <n v="0"/>
    <n v="0"/>
    <n v="0"/>
    <n v="0"/>
    <n v="1"/>
    <n v="70255"/>
    <n v="2195"/>
    <n v="0"/>
    <n v="0"/>
    <m/>
    <m/>
    <m/>
    <m/>
    <s v=""/>
  </r>
  <r>
    <s v="70255-2195-000-00"/>
    <d v="2021-09-30T00:00:00"/>
    <n v="125"/>
    <n v="0"/>
    <s v="USD"/>
    <s v="JRNLWA00435661"/>
    <s v="P"/>
    <s v="OPEX7-PCARD Accrual"/>
    <s v="LaurenTi"/>
    <s v="0/JE IC"/>
    <m/>
    <m/>
    <x v="16"/>
    <m/>
    <m/>
    <m/>
    <m/>
    <m/>
    <m/>
    <s v="JRNL01032477"/>
    <s v="JRNL01032477"/>
    <m/>
    <d v="2021-10-06T00:00:00"/>
    <d v="2021-10-06T00:00:00"/>
    <m/>
    <m/>
    <s v="wci_wa"/>
    <n v="0"/>
    <n v="0"/>
    <n v="0"/>
    <n v="0"/>
    <n v="0"/>
    <n v="1"/>
    <n v="70255"/>
    <n v="2195"/>
    <n v="0"/>
    <n v="0"/>
    <m/>
    <m/>
    <m/>
    <m/>
    <s v=""/>
  </r>
  <r>
    <s v="70255-2195-000-00"/>
    <d v="2021-10-31T00:00:00"/>
    <n v="-125"/>
    <n v="0"/>
    <s v="USD"/>
    <s v="JRNLWA00435675"/>
    <s v="P"/>
    <s v="OPEX7-PCARD Accrual"/>
    <s v="HelenaK"/>
    <s v="0/JE IC"/>
    <m/>
    <m/>
    <x v="16"/>
    <m/>
    <m/>
    <m/>
    <m/>
    <m/>
    <m/>
    <s v="JRNL01032477"/>
    <s v="JRNL01032487"/>
    <m/>
    <d v="2021-10-06T00:00:00"/>
    <d v="2021-10-06T00:00:00"/>
    <m/>
    <m/>
    <s v="wci_wa"/>
    <n v="0"/>
    <n v="0"/>
    <n v="0"/>
    <n v="0"/>
    <n v="5"/>
    <n v="1"/>
    <n v="70255"/>
    <n v="2195"/>
    <n v="0"/>
    <n v="0"/>
    <m/>
    <m/>
    <m/>
    <m/>
    <s v=""/>
  </r>
  <r>
    <s v="70255-2195-000-00"/>
    <d v="2021-10-31T00:00:00"/>
    <n v="125"/>
    <n v="0"/>
    <s v="USD"/>
    <s v="JRNLWA00437069"/>
    <s v="P"/>
    <s v="2021-10 Pcard Activity"/>
    <s v="HeatherH"/>
    <s v="0/JE IC"/>
    <m/>
    <m/>
    <x v="16"/>
    <m/>
    <m/>
    <m/>
    <m/>
    <m/>
    <m/>
    <s v="JRNL01035582"/>
    <s v="JRNL01035582"/>
    <m/>
    <d v="2021-11-03T00:00:00"/>
    <d v="2021-11-03T00:00:00"/>
    <m/>
    <m/>
    <s v="wci_wa"/>
    <n v="0"/>
    <n v="0"/>
    <n v="0"/>
    <n v="0"/>
    <n v="0"/>
    <n v="1"/>
    <n v="70255"/>
    <n v="2195"/>
    <n v="0"/>
    <n v="0"/>
    <m/>
    <m/>
    <m/>
    <m/>
    <s v=""/>
  </r>
  <r>
    <s v="70255-2195-000-00"/>
    <d v="2021-10-31T00:00:00"/>
    <n v="467.8"/>
    <n v="0"/>
    <s v="USD"/>
    <s v="JRNLWA00437336"/>
    <s v="P"/>
    <s v="OPTIMUM OCT 102118"/>
    <s v="pabbott"/>
    <s v="0/JE IC"/>
    <m/>
    <m/>
    <x v="17"/>
    <m/>
    <m/>
    <m/>
    <m/>
    <m/>
    <m/>
    <s v="JRNL01036351"/>
    <s v="JRNL01036351"/>
    <m/>
    <d v="2021-11-04T00:00:00"/>
    <d v="2021-11-04T00:00:00"/>
    <m/>
    <m/>
    <s v="wci_wa"/>
    <n v="0"/>
    <n v="0"/>
    <n v="0"/>
    <n v="0"/>
    <n v="0"/>
    <n v="1"/>
    <n v="70255"/>
    <n v="2195"/>
    <n v="0"/>
    <n v="0"/>
    <m/>
    <m/>
    <m/>
    <m/>
    <s v=""/>
  </r>
  <r>
    <s v="70255-2195-000-00"/>
    <d v="2021-10-31T00:00:00"/>
    <n v="2000"/>
    <n v="0"/>
    <s v="USD"/>
    <s v="JRNLWA00437565"/>
    <s v="P"/>
    <s v="2021-10 TacH PO Log Accr"/>
    <s v="HeatherH"/>
    <s v="0/JE IC"/>
    <m/>
    <m/>
    <x v="2"/>
    <m/>
    <m/>
    <m/>
    <m/>
    <m/>
    <m/>
    <s v="JRNL01036717"/>
    <s v="JRNL01036717"/>
    <m/>
    <d v="2021-11-04T00:00:00"/>
    <d v="2021-11-04T00:00:00"/>
    <m/>
    <m/>
    <s v="wci_wa"/>
    <n v="0"/>
    <n v="0"/>
    <n v="0"/>
    <n v="0"/>
    <n v="0"/>
    <n v="1"/>
    <n v="70255"/>
    <n v="2195"/>
    <n v="0"/>
    <n v="0"/>
    <m/>
    <m/>
    <m/>
    <m/>
    <s v=""/>
  </r>
  <r>
    <s v="70255-2195-000-00"/>
    <d v="2021-11-17T00:00:00"/>
    <n v="2000"/>
    <n v="0"/>
    <s v="USD"/>
    <s v="JRNLWA00438168"/>
    <s v="P"/>
    <s v="From Voucher Posting."/>
    <s v="JudyA"/>
    <s v="0/JE IC"/>
    <s v="VUS000033499"/>
    <m/>
    <x v="0"/>
    <d v="2021-10-31T00:00:00"/>
    <s v="2021 CONSULTANT FEE"/>
    <n v="980753"/>
    <s v="PO-2111-21-00190"/>
    <m/>
    <m/>
    <s v="VO06003166"/>
    <s v="JRNL01038187"/>
    <n v="2111"/>
    <d v="2021-11-17T00:00:00"/>
    <d v="2021-11-17T00:00:00"/>
    <n v="16000"/>
    <d v="2021-11-10T00:00:00"/>
    <s v="wci_wa"/>
    <n v="0"/>
    <n v="0"/>
    <n v="0"/>
    <n v="0"/>
    <n v="0"/>
    <n v="1"/>
    <n v="70255"/>
    <n v="2195"/>
    <n v="0"/>
    <n v="0"/>
    <m/>
    <m/>
    <m/>
    <m/>
    <s v="VO06003166"/>
  </r>
  <r>
    <s v="70255-2195-000-00"/>
    <d v="2021-11-23T00:00:00"/>
    <n v="125"/>
    <n v="0"/>
    <s v="USD"/>
    <s v="JRNLWA00438251"/>
    <s v="P"/>
    <s v="From Voucher Posting."/>
    <s v="asnell"/>
    <s v="0/JE IC"/>
    <s v="VUS000015423"/>
    <m/>
    <x v="18"/>
    <d v="2021-10-26T00:00:00"/>
    <s v="Waste Water Testing"/>
    <n v="316242"/>
    <s v="PO-2195-21-02517"/>
    <m/>
    <m/>
    <s v="VO06010813"/>
    <s v="JRNL01038461"/>
    <n v="2195"/>
    <d v="2021-11-23T00:00:00"/>
    <d v="2021-11-29T00:00:00"/>
    <n v="125"/>
    <d v="2021-11-05T00:00:00"/>
    <s v="wci_wa"/>
    <n v="0"/>
    <n v="0"/>
    <n v="0"/>
    <n v="0"/>
    <n v="0"/>
    <n v="1"/>
    <n v="70255"/>
    <n v="2195"/>
    <n v="0"/>
    <n v="0"/>
    <m/>
    <m/>
    <m/>
    <m/>
    <s v="VO06010813"/>
  </r>
  <r>
    <s v="70255-2195-000-00"/>
    <d v="2021-11-30T00:00:00"/>
    <n v="-2000"/>
    <n v="0"/>
    <s v="USD"/>
    <s v="JRNLWA00437632"/>
    <s v="P"/>
    <s v="2021-10 TacH PO Log Accr"/>
    <s v="HeatherH"/>
    <s v="0/JE IC"/>
    <m/>
    <m/>
    <x v="2"/>
    <m/>
    <m/>
    <m/>
    <m/>
    <m/>
    <m/>
    <s v="JRNL01036717"/>
    <s v="JRNL01036725"/>
    <m/>
    <d v="2021-11-04T00:00:00"/>
    <d v="2021-11-05T00:00:00"/>
    <m/>
    <m/>
    <s v="wci_wa"/>
    <n v="0"/>
    <n v="0"/>
    <n v="0"/>
    <n v="0"/>
    <n v="5"/>
    <n v="1"/>
    <n v="70255"/>
    <n v="2195"/>
    <n v="0"/>
    <n v="0"/>
    <m/>
    <m/>
    <m/>
    <m/>
    <s v=""/>
  </r>
  <r>
    <s v="70255-2195-000-00"/>
    <d v="2021-11-30T00:00:00"/>
    <n v="472.3"/>
    <n v="0"/>
    <s v="USD"/>
    <s v="JRNLWA00438393"/>
    <s v="P"/>
    <s v="OPTIMUM NOV 102126"/>
    <s v="pabbott"/>
    <s v="0/JE IC"/>
    <m/>
    <m/>
    <x v="19"/>
    <m/>
    <m/>
    <m/>
    <m/>
    <m/>
    <m/>
    <s v="JRNL01039103"/>
    <s v="JRNL01039103"/>
    <m/>
    <d v="2021-12-02T00:00:00"/>
    <d v="2021-12-02T00:00:00"/>
    <m/>
    <m/>
    <s v="wci_wa"/>
    <n v="0"/>
    <n v="0"/>
    <n v="0"/>
    <n v="0"/>
    <n v="0"/>
    <n v="1"/>
    <n v="70255"/>
    <n v="2195"/>
    <n v="0"/>
    <n v="0"/>
    <m/>
    <m/>
    <m/>
    <m/>
    <s v=""/>
  </r>
  <r>
    <s v="70255-2195-000-00"/>
    <d v="2021-11-30T00:00:00"/>
    <n v="2000"/>
    <n v="0"/>
    <s v="USD"/>
    <s v="JRNLWA00439234"/>
    <s v="P"/>
    <s v="2021-11 TacH PO Log Accr"/>
    <s v="HeatherH"/>
    <s v="0/JE IC"/>
    <m/>
    <m/>
    <x v="6"/>
    <m/>
    <m/>
    <m/>
    <m/>
    <m/>
    <m/>
    <s v="JRNL01040562"/>
    <s v="JRNL01040562"/>
    <m/>
    <d v="2021-12-06T00:00:00"/>
    <d v="2021-12-07T00:00:00"/>
    <m/>
    <m/>
    <s v="wci_wa"/>
    <n v="0"/>
    <n v="0"/>
    <n v="0"/>
    <n v="0"/>
    <n v="0"/>
    <n v="1"/>
    <n v="70255"/>
    <n v="2195"/>
    <n v="0"/>
    <n v="0"/>
    <m/>
    <m/>
    <m/>
    <m/>
    <s v=""/>
  </r>
  <r>
    <s v="70255-2195-000-00"/>
    <d v="2021-12-21T00:00:00"/>
    <n v="2000"/>
    <n v="0"/>
    <s v="USD"/>
    <s v="JRNLWA00439819"/>
    <s v="P"/>
    <s v="From Voucher Posting."/>
    <s v="JeffS"/>
    <s v="0/JE IC"/>
    <s v="VUS000033499"/>
    <m/>
    <x v="0"/>
    <d v="2021-12-01T00:00:00"/>
    <s v="2021 CONSULTANT FEE"/>
    <n v="980756"/>
    <s v="PO-2111-21-00190"/>
    <m/>
    <m/>
    <s v="VO06042456"/>
    <s v="JRNL01042141"/>
    <n v="2111"/>
    <d v="2021-12-21T00:00:00"/>
    <d v="2021-12-27T00:00:00"/>
    <n v="16000"/>
    <d v="2021-12-11T00:00:00"/>
    <s v="wci_wa"/>
    <n v="0"/>
    <n v="0"/>
    <n v="0"/>
    <n v="0"/>
    <n v="0"/>
    <n v="1"/>
    <n v="70255"/>
    <n v="2195"/>
    <n v="0"/>
    <n v="0"/>
    <m/>
    <m/>
    <m/>
    <m/>
    <s v="VO06042456"/>
  </r>
  <r>
    <s v="70255-2195-000-00"/>
    <d v="2021-12-31T00:00:00"/>
    <n v="-2000"/>
    <n v="0"/>
    <s v="USD"/>
    <s v="JRNLWA00439350"/>
    <s v="P"/>
    <s v="2021-11 TacH PO Log Accr"/>
    <s v="HeatherH"/>
    <s v="0/JE IC"/>
    <m/>
    <m/>
    <x v="6"/>
    <m/>
    <m/>
    <m/>
    <m/>
    <m/>
    <m/>
    <s v="JRNL01040562"/>
    <s v="JRNL01040744"/>
    <m/>
    <d v="2021-12-07T00:00:00"/>
    <d v="2021-12-07T00:00:00"/>
    <m/>
    <m/>
    <s v="wci_wa"/>
    <n v="0"/>
    <n v="0"/>
    <n v="0"/>
    <n v="0"/>
    <n v="5"/>
    <n v="1"/>
    <n v="70255"/>
    <n v="2195"/>
    <n v="0"/>
    <n v="0"/>
    <m/>
    <m/>
    <m/>
    <m/>
    <s v=""/>
  </r>
  <r>
    <s v="70255-2195-000-00"/>
    <d v="2021-12-31T00:00:00"/>
    <n v="489.32"/>
    <n v="0"/>
    <s v="USD"/>
    <s v="JRNLWA00440414"/>
    <s v="P"/>
    <s v="OPTIMUM DEC 102133"/>
    <s v="HeatherH"/>
    <s v="0/JE IC"/>
    <m/>
    <m/>
    <x v="20"/>
    <m/>
    <m/>
    <m/>
    <m/>
    <m/>
    <m/>
    <s v="JRNL01043552"/>
    <s v="JRNL01043552"/>
    <m/>
    <d v="2022-01-05T00:00:00"/>
    <d v="2022-01-05T00:00:00"/>
    <m/>
    <m/>
    <s v="wci_wa"/>
    <n v="0"/>
    <n v="0"/>
    <n v="0"/>
    <n v="0"/>
    <n v="0"/>
    <n v="1"/>
    <n v="70255"/>
    <n v="2195"/>
    <n v="0"/>
    <n v="0"/>
    <m/>
    <m/>
    <m/>
    <m/>
    <s v=""/>
  </r>
  <r>
    <s v="70255-2195-000-00"/>
    <d v="2021-12-31T00:00:00"/>
    <n v="2000"/>
    <n v="0"/>
    <s v="USD"/>
    <s v="JRNLWA00440837"/>
    <s v="P"/>
    <s v="2021-12 TacH PO Log Accr"/>
    <s v="LaurenTi"/>
    <s v="0/JE IC"/>
    <m/>
    <m/>
    <x v="2"/>
    <m/>
    <m/>
    <m/>
    <m/>
    <m/>
    <m/>
    <s v="JRNL01044632"/>
    <s v="JRNL01044632"/>
    <m/>
    <d v="2022-01-06T00:00:00"/>
    <d v="2022-01-06T00:00:00"/>
    <m/>
    <m/>
    <s v="wci_wa"/>
    <n v="0"/>
    <n v="0"/>
    <n v="0"/>
    <n v="0"/>
    <n v="0"/>
    <n v="1"/>
    <n v="70255"/>
    <n v="2195"/>
    <n v="0"/>
    <n v="0"/>
    <m/>
    <m/>
    <m/>
    <m/>
    <s v=""/>
  </r>
  <r>
    <s v="70255-2195-000-00"/>
    <d v="2022-01-04T00:00:00"/>
    <n v="2000"/>
    <n v="0"/>
    <s v="USD"/>
    <s v="JRNLWA00440109"/>
    <s v="P"/>
    <s v="From Voucher Posting."/>
    <s v="asnell"/>
    <s v="0/JE IC"/>
    <s v="VUS000033499"/>
    <m/>
    <x v="0"/>
    <d v="2021-12-31T00:00:00"/>
    <s v="2021 CONSULTANT FEE"/>
    <n v="980759"/>
    <s v="PO-2111-21-00190"/>
    <m/>
    <m/>
    <s v="VO06060864"/>
    <s v="JRNL01043181"/>
    <n v="2111"/>
    <d v="2022-01-04T00:00:00"/>
    <d v="2022-01-04T00:00:00"/>
    <n v="16000"/>
    <d v="2022-01-10T00:00:00"/>
    <s v="wci_wa"/>
    <n v="0"/>
    <n v="0"/>
    <n v="0"/>
    <n v="0"/>
    <n v="0"/>
    <n v="1"/>
    <n v="70255"/>
    <n v="2195"/>
    <n v="0"/>
    <n v="0"/>
    <m/>
    <m/>
    <m/>
    <m/>
    <s v="VO06060864"/>
  </r>
  <r>
    <s v="70255-2195-000-00"/>
    <d v="2022-01-31T00:00:00"/>
    <n v="-2000"/>
    <n v="0"/>
    <s v="USD"/>
    <s v="JRNLWA00440938"/>
    <s v="P"/>
    <s v="2021-12 TacH PO Log Accr"/>
    <s v="LaurenTi"/>
    <s v="0/JE IC"/>
    <m/>
    <m/>
    <x v="2"/>
    <m/>
    <m/>
    <m/>
    <m/>
    <m/>
    <m/>
    <s v="JRNL01044632"/>
    <s v="JRNL01044685"/>
    <m/>
    <d v="2022-01-06T00:00:00"/>
    <d v="2022-01-06T00:00:00"/>
    <m/>
    <m/>
    <s v="wci_wa"/>
    <n v="0"/>
    <n v="0"/>
    <n v="0"/>
    <n v="0"/>
    <n v="5"/>
    <n v="1"/>
    <n v="70255"/>
    <n v="2195"/>
    <n v="0"/>
    <n v="0"/>
    <m/>
    <m/>
    <m/>
    <m/>
    <s v=""/>
  </r>
  <r>
    <s v="70255-2195-000-00"/>
    <d v="2022-01-31T00:00:00"/>
    <n v="474.75"/>
    <n v="0"/>
    <s v="USD"/>
    <s v="JRNLWA00441921"/>
    <s v="P"/>
    <s v="OPTIMUM JAN 102140"/>
    <s v="pabbott"/>
    <s v="0/JE IC"/>
    <m/>
    <m/>
    <x v="21"/>
    <m/>
    <m/>
    <m/>
    <m/>
    <m/>
    <m/>
    <s v="JRNL01047038"/>
    <s v="JRNL01047038"/>
    <m/>
    <d v="2022-02-01T00:00:00"/>
    <d v="2022-02-01T00:00:00"/>
    <m/>
    <m/>
    <s v="wci_wa"/>
    <n v="0"/>
    <n v="0"/>
    <n v="0"/>
    <n v="0"/>
    <n v="0"/>
    <n v="1"/>
    <n v="70255"/>
    <n v="2195"/>
    <n v="0"/>
    <n v="0"/>
    <m/>
    <m/>
    <m/>
    <m/>
    <s v=""/>
  </r>
  <r>
    <s v="70255-2195-000-00"/>
    <d v="2022-01-31T00:00:00"/>
    <n v="2000"/>
    <n v="0"/>
    <s v="USD"/>
    <s v="JRNLWA00442682"/>
    <s v="P"/>
    <s v="2022-01 TacH PO Log Accr"/>
    <s v="HeatherH"/>
    <s v="0/JE IC"/>
    <m/>
    <m/>
    <x v="22"/>
    <m/>
    <m/>
    <m/>
    <m/>
    <m/>
    <m/>
    <s v="JRNL01048667"/>
    <s v="JRNL01048667"/>
    <m/>
    <d v="2022-02-04T00:00:00"/>
    <d v="2022-02-05T00:00:00"/>
    <m/>
    <m/>
    <s v="wci_wa"/>
    <n v="0"/>
    <n v="0"/>
    <n v="0"/>
    <n v="0"/>
    <n v="0"/>
    <n v="1"/>
    <n v="70255"/>
    <n v="2195"/>
    <n v="0"/>
    <n v="0"/>
    <m/>
    <m/>
    <m/>
    <m/>
    <s v=""/>
  </r>
  <r>
    <s v="70255-2195-000-00"/>
    <d v="2022-01-31T00:00:00"/>
    <n v="665.67"/>
    <n v="0"/>
    <s v="USD"/>
    <s v="JRNLWA00442753"/>
    <s v="P"/>
    <s v="OPEX8 - AP ACCRUAL"/>
    <s v="HeatherH"/>
    <s v="0/JE IC"/>
    <m/>
    <m/>
    <x v="23"/>
    <m/>
    <m/>
    <m/>
    <m/>
    <m/>
    <m/>
    <s v="JRNL01048729"/>
    <s v="JRNL01048729"/>
    <m/>
    <d v="2022-02-04T00:00:00"/>
    <d v="2022-02-05T00:00:00"/>
    <m/>
    <m/>
    <s v="wci_wa"/>
    <n v="0"/>
    <n v="0"/>
    <n v="0"/>
    <n v="0"/>
    <n v="0"/>
    <n v="1"/>
    <n v="70255"/>
    <n v="2195"/>
    <n v="0"/>
    <n v="0"/>
    <m/>
    <m/>
    <m/>
    <m/>
    <s v=""/>
  </r>
  <r>
    <s v="70255-2195-000-00"/>
    <d v="2022-01-31T00:00:00"/>
    <n v="25"/>
    <n v="0"/>
    <s v="USD"/>
    <s v="JRNLWA00442753"/>
    <s v="P"/>
    <s v="OPEX8 - AP ACCRUAL"/>
    <s v="HeatherH"/>
    <s v="0/JE IC"/>
    <m/>
    <m/>
    <x v="24"/>
    <m/>
    <m/>
    <m/>
    <m/>
    <m/>
    <m/>
    <s v="JRNL01048729"/>
    <s v="JRNL01048729"/>
    <m/>
    <d v="2022-02-04T00:00:00"/>
    <d v="2022-02-05T00:00:00"/>
    <m/>
    <m/>
    <s v="wci_wa"/>
    <n v="0"/>
    <n v="0"/>
    <n v="0"/>
    <n v="0"/>
    <n v="0"/>
    <n v="1"/>
    <n v="70255"/>
    <n v="2195"/>
    <n v="0"/>
    <n v="0"/>
    <m/>
    <m/>
    <m/>
    <m/>
    <s v=""/>
  </r>
  <r>
    <s v="70255-2195-000-00"/>
    <d v="2022-02-16T00:00:00"/>
    <n v="2000"/>
    <n v="0"/>
    <s v="USD"/>
    <s v="JRNLWA00443387"/>
    <s v="P"/>
    <s v="From Voucher Posting."/>
    <s v="JeffS"/>
    <s v="0/JE IC"/>
    <s v="VUS000033499"/>
    <m/>
    <x v="0"/>
    <d v="2022-01-31T00:00:00"/>
    <s v="2022 CONSULTANT FEE"/>
    <n v="980762"/>
    <s v="PO-2111-22-00157"/>
    <m/>
    <m/>
    <s v="VO06110111"/>
    <s v="JRNL01050086"/>
    <n v="2111"/>
    <d v="2022-02-16T00:00:00"/>
    <d v="2022-02-18T00:00:00"/>
    <n v="16000"/>
    <d v="2022-02-10T00:00:00"/>
    <s v="wci_wa"/>
    <n v="0"/>
    <n v="0"/>
    <n v="0"/>
    <n v="0"/>
    <n v="0"/>
    <n v="1"/>
    <n v="70255"/>
    <n v="2195"/>
    <n v="0"/>
    <n v="0"/>
    <m/>
    <m/>
    <m/>
    <m/>
    <s v="VO06110111"/>
  </r>
  <r>
    <s v="70255-2195-000-00"/>
    <d v="2022-02-28T00:00:00"/>
    <n v="-2000"/>
    <n v="0"/>
    <s v="USD"/>
    <s v="JRNLWA00442780"/>
    <s v="P"/>
    <s v="2022-01 TacH PO Log Accr"/>
    <s v="HeatherH"/>
    <s v="0/JE IC"/>
    <m/>
    <m/>
    <x v="22"/>
    <m/>
    <m/>
    <m/>
    <m/>
    <m/>
    <m/>
    <s v="JRNL01048667"/>
    <s v="JRNL01048715"/>
    <m/>
    <d v="2022-02-04T00:00:00"/>
    <d v="2022-02-05T00:00:00"/>
    <m/>
    <m/>
    <s v="wci_wa"/>
    <n v="0"/>
    <n v="0"/>
    <n v="0"/>
    <n v="0"/>
    <n v="5"/>
    <n v="1"/>
    <n v="70255"/>
    <n v="2195"/>
    <n v="0"/>
    <n v="0"/>
    <m/>
    <m/>
    <m/>
    <m/>
    <s v=""/>
  </r>
  <r>
    <s v="70255-2195-000-00"/>
    <d v="2022-02-28T00:00:00"/>
    <n v="-665.67"/>
    <n v="0"/>
    <s v="USD"/>
    <s v="JRNLWA00442900"/>
    <s v="P"/>
    <s v="OPEX8 - AP ACCRUAL"/>
    <s v="HelenaK"/>
    <s v="0/JE IC"/>
    <m/>
    <m/>
    <x v="23"/>
    <m/>
    <m/>
    <m/>
    <m/>
    <m/>
    <m/>
    <s v="JRNL01048729"/>
    <s v="JRNL01048800"/>
    <m/>
    <d v="2022-02-05T00:00:00"/>
    <d v="2022-02-07T00:00:00"/>
    <m/>
    <m/>
    <s v="wci_wa"/>
    <n v="0"/>
    <n v="0"/>
    <n v="0"/>
    <n v="0"/>
    <n v="5"/>
    <n v="1"/>
    <n v="70255"/>
    <n v="2195"/>
    <n v="0"/>
    <n v="0"/>
    <m/>
    <m/>
    <m/>
    <m/>
    <s v=""/>
  </r>
  <r>
    <s v="70255-2195-000-00"/>
    <d v="2022-02-28T00:00:00"/>
    <n v="-25"/>
    <n v="0"/>
    <s v="USD"/>
    <s v="JRNLWA00442900"/>
    <s v="P"/>
    <s v="OPEX8 - AP ACCRUAL"/>
    <s v="HelenaK"/>
    <s v="0/JE IC"/>
    <m/>
    <m/>
    <x v="24"/>
    <m/>
    <m/>
    <m/>
    <m/>
    <m/>
    <m/>
    <s v="JRNL01048729"/>
    <s v="JRNL01048800"/>
    <m/>
    <d v="2022-02-05T00:00:00"/>
    <d v="2022-02-07T00:00:00"/>
    <m/>
    <m/>
    <s v="wci_wa"/>
    <n v="0"/>
    <n v="0"/>
    <n v="0"/>
    <n v="0"/>
    <n v="5"/>
    <n v="1"/>
    <n v="70255"/>
    <n v="2195"/>
    <n v="0"/>
    <n v="0"/>
    <m/>
    <m/>
    <m/>
    <m/>
    <s v=""/>
  </r>
  <r>
    <s v="70255-2195-000-00"/>
    <d v="2022-02-28T00:00:00"/>
    <n v="476.33"/>
    <n v="0"/>
    <s v="USD"/>
    <s v="JRNLWA00443588"/>
    <s v="P"/>
    <s v="OPTIMUM FEB 102144"/>
    <s v="DERDMAN"/>
    <s v="0/JE IC"/>
    <m/>
    <m/>
    <x v="25"/>
    <m/>
    <m/>
    <m/>
    <m/>
    <m/>
    <m/>
    <s v="JRNL01050690"/>
    <s v="JRNL01050690"/>
    <m/>
    <d v="2022-02-28T00:00:00"/>
    <d v="2022-02-28T00:00:00"/>
    <m/>
    <m/>
    <s v="wci_wa"/>
    <n v="0"/>
    <n v="0"/>
    <n v="0"/>
    <n v="0"/>
    <n v="0"/>
    <n v="1"/>
    <n v="70255"/>
    <n v="2195"/>
    <n v="0"/>
    <n v="0"/>
    <m/>
    <m/>
    <m/>
    <m/>
    <s v=""/>
  </r>
  <r>
    <s v="70255-2195-000-00"/>
    <d v="2022-02-28T00:00:00"/>
    <n v="665.67"/>
    <n v="0"/>
    <s v="USD"/>
    <s v="JRNLWA00444123"/>
    <s v="P"/>
    <s v="2022-02 Pcard Activity"/>
    <s v="HeatherH"/>
    <s v="0/JE IC"/>
    <m/>
    <m/>
    <x v="26"/>
    <m/>
    <m/>
    <m/>
    <m/>
    <m/>
    <m/>
    <s v="JRNL01051745"/>
    <s v="JRNL01051745"/>
    <m/>
    <d v="2022-03-03T00:00:00"/>
    <d v="2022-03-03T00:00:00"/>
    <m/>
    <m/>
    <s v="wci_wa"/>
    <n v="0"/>
    <n v="0"/>
    <n v="0"/>
    <n v="0"/>
    <n v="0"/>
    <n v="1"/>
    <n v="70255"/>
    <n v="2195"/>
    <n v="0"/>
    <n v="0"/>
    <m/>
    <m/>
    <m/>
    <m/>
    <s v=""/>
  </r>
  <r>
    <s v="70255-2195-000-00"/>
    <d v="2022-02-28T00:00:00"/>
    <n v="25"/>
    <n v="0"/>
    <s v="USD"/>
    <s v="JRNLWA00444123"/>
    <s v="P"/>
    <s v="2022-02 Pcard Activity"/>
    <s v="HeatherH"/>
    <s v="0/JE IC"/>
    <m/>
    <m/>
    <x v="27"/>
    <m/>
    <m/>
    <m/>
    <m/>
    <m/>
    <m/>
    <s v="JRNL01051745"/>
    <s v="JRNL01051745"/>
    <m/>
    <d v="2022-03-03T00:00:00"/>
    <d v="2022-03-03T00:00:00"/>
    <m/>
    <m/>
    <s v="wci_wa"/>
    <n v="0"/>
    <n v="0"/>
    <n v="0"/>
    <n v="0"/>
    <n v="0"/>
    <n v="1"/>
    <n v="70255"/>
    <n v="2195"/>
    <n v="0"/>
    <n v="0"/>
    <m/>
    <m/>
    <m/>
    <m/>
    <s v=""/>
  </r>
  <r>
    <s v="70255-2195-000-00"/>
    <d v="2022-02-28T00:00:00"/>
    <n v="2000"/>
    <n v="0"/>
    <s v="USD"/>
    <s v="JRNLWA00444773"/>
    <s v="P"/>
    <s v="2022-02 TacH PO Log Accr"/>
    <s v="DERDMAN"/>
    <s v="0/JE IC"/>
    <m/>
    <m/>
    <x v="28"/>
    <m/>
    <m/>
    <m/>
    <m/>
    <m/>
    <m/>
    <s v="JRNL01053064"/>
    <s v="JRNL01053064"/>
    <m/>
    <d v="2022-03-07T00:00:00"/>
    <d v="2022-03-07T00:00:00"/>
    <m/>
    <m/>
    <s v="wci_wa"/>
    <n v="0"/>
    <n v="0"/>
    <n v="0"/>
    <n v="0"/>
    <n v="0"/>
    <n v="1"/>
    <n v="70255"/>
    <n v="2195"/>
    <n v="0"/>
    <n v="0"/>
    <m/>
    <m/>
    <m/>
    <m/>
    <s v=""/>
  </r>
  <r>
    <s v="70255-2195-000-00"/>
    <d v="2022-03-03T00:00:00"/>
    <n v="2000"/>
    <n v="0"/>
    <s v="USD"/>
    <s v="JRNLWA00443800"/>
    <s v="P"/>
    <s v="From Voucher Posting."/>
    <s v="JeffS"/>
    <s v="0/JE IC"/>
    <s v="VUS000033499"/>
    <m/>
    <x v="0"/>
    <d v="2022-02-28T00:00:00"/>
    <s v="2022 CONSULTANT FEE"/>
    <n v="980765"/>
    <s v="PO-2111-22-00157"/>
    <m/>
    <m/>
    <s v="VO06130082"/>
    <s v="JRNL01051350"/>
    <n v="2111"/>
    <d v="2022-03-03T00:00:00"/>
    <d v="2022-03-03T00:00:00"/>
    <n v="16000"/>
    <d v="2022-03-10T00:00:00"/>
    <s v="wci_wa"/>
    <n v="0"/>
    <n v="0"/>
    <n v="0"/>
    <n v="0"/>
    <n v="0"/>
    <n v="1"/>
    <n v="70255"/>
    <n v="2195"/>
    <n v="0"/>
    <n v="0"/>
    <m/>
    <m/>
    <m/>
    <m/>
    <s v="VO06130082"/>
  </r>
  <r>
    <s v="70255-2195-000-00"/>
    <d v="2022-03-31T00:00:00"/>
    <n v="-2000"/>
    <n v="0"/>
    <s v="USD"/>
    <s v="JRNLWA00444798"/>
    <s v="P"/>
    <s v="2022-02 TacH PO Log Accr"/>
    <s v="HelenaK"/>
    <s v="0/JE IC"/>
    <m/>
    <m/>
    <x v="28"/>
    <m/>
    <m/>
    <m/>
    <m/>
    <m/>
    <m/>
    <s v="JRNL01053064"/>
    <s v="JRNL01053095"/>
    <m/>
    <d v="2022-03-07T00:00:00"/>
    <d v="2022-03-07T00:00:00"/>
    <m/>
    <m/>
    <s v="wci_wa"/>
    <n v="0"/>
    <n v="0"/>
    <n v="0"/>
    <n v="0"/>
    <n v="5"/>
    <n v="1"/>
    <n v="70255"/>
    <n v="2195"/>
    <n v="0"/>
    <n v="0"/>
    <m/>
    <m/>
    <m/>
    <m/>
    <s v=""/>
  </r>
  <r>
    <s v="70255-2195-000-00"/>
    <d v="2022-03-31T00:00:00"/>
    <n v="476.63"/>
    <n v="0"/>
    <s v="USD"/>
    <s v="JRNLWA00445433"/>
    <s v="P"/>
    <s v="OPTIMUM MAR 102151"/>
    <s v="pabbott"/>
    <s v="0/JE IC"/>
    <m/>
    <m/>
    <x v="29"/>
    <m/>
    <m/>
    <m/>
    <m/>
    <m/>
    <m/>
    <s v="JRNL01055117"/>
    <s v="JRNL01055117"/>
    <m/>
    <d v="2022-04-04T00:00:00"/>
    <d v="2022-04-04T00:00:00"/>
    <m/>
    <m/>
    <s v="wci_wa"/>
    <n v="0"/>
    <n v="0"/>
    <n v="0"/>
    <n v="0"/>
    <n v="0"/>
    <n v="1"/>
    <n v="70255"/>
    <n v="2195"/>
    <n v="0"/>
    <n v="0"/>
    <m/>
    <m/>
    <m/>
    <m/>
    <s v=""/>
  </r>
  <r>
    <s v="70255-2195-000-00"/>
    <d v="2022-03-31T00:00:00"/>
    <n v="2000"/>
    <n v="0"/>
    <s v="USD"/>
    <s v="JRNLWA00446583"/>
    <s v="P"/>
    <s v="2022-03 TacH PO Log Accr"/>
    <s v="HeatherH"/>
    <s v="0/JE IC"/>
    <m/>
    <m/>
    <x v="28"/>
    <m/>
    <m/>
    <m/>
    <m/>
    <m/>
    <m/>
    <s v="JRNL01057560"/>
    <s v="JRNL01057560"/>
    <m/>
    <d v="2022-04-07T00:00:00"/>
    <d v="2022-04-07T00:00:00"/>
    <m/>
    <m/>
    <s v="wci_wa"/>
    <n v="0"/>
    <n v="0"/>
    <n v="0"/>
    <n v="0"/>
    <n v="0"/>
    <n v="1"/>
    <n v="70255"/>
    <n v="2195"/>
    <n v="0"/>
    <n v="0"/>
    <m/>
    <m/>
    <m/>
    <m/>
    <s v=""/>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s v="70235-2195-000-00"/>
    <d v="2021-04-30T00:00:00"/>
    <n v="-20430.25"/>
    <n v="0"/>
    <s v="USD"/>
    <s v="JRNLWA00426508"/>
    <s v="P"/>
    <s v="Accrue Qtr End Serengeti - Q1"/>
    <s v="ahuynh"/>
    <s v="0/JE IC"/>
    <m/>
    <m/>
    <x v="0"/>
    <m/>
    <m/>
    <m/>
    <m/>
    <m/>
    <m/>
    <s v="JRNL01011434"/>
    <s v="JRNL01011476"/>
    <m/>
    <d v="2021-04-07T00:00:00"/>
    <d v="2021-04-07T00:00:00"/>
    <m/>
    <m/>
    <s v="wci_wa"/>
    <n v="0"/>
    <n v="0"/>
    <n v="0"/>
    <n v="0"/>
    <n v="5"/>
    <n v="1"/>
    <n v="70235"/>
    <n v="2195"/>
    <n v="0"/>
    <n v="0"/>
    <m/>
    <m/>
    <m/>
    <m/>
    <s v=""/>
  </r>
  <r>
    <s v="70235-2195-000-00"/>
    <d v="2021-04-30T00:00:00"/>
    <n v="3300"/>
    <n v="0"/>
    <s v="USD"/>
    <s v="JRNLWA00426594"/>
    <s v="P"/>
    <s v="Reclass WA Lobbying"/>
    <s v="HelenaK"/>
    <s v="0/JE IC"/>
    <m/>
    <m/>
    <x v="1"/>
    <m/>
    <m/>
    <m/>
    <m/>
    <m/>
    <m/>
    <s v="JRNL01011553"/>
    <s v="JRNL01011588"/>
    <m/>
    <d v="2021-04-07T00:00:00"/>
    <d v="2021-04-07T00:00:00"/>
    <m/>
    <m/>
    <s v="wci_wa"/>
    <n v="0"/>
    <n v="0"/>
    <n v="0"/>
    <n v="0"/>
    <n v="5"/>
    <n v="1"/>
    <n v="70235"/>
    <n v="2195"/>
    <n v="0"/>
    <n v="0"/>
    <m/>
    <m/>
    <m/>
    <m/>
    <s v=""/>
  </r>
  <r>
    <s v="70235-2195-000-00"/>
    <d v="2021-04-30T00:00:00"/>
    <n v="800"/>
    <n v="0"/>
    <s v="USD"/>
    <s v="JRNLWA00426993"/>
    <s v="P"/>
    <s v="From Voucher Posting."/>
    <s v="asnell"/>
    <s v="0/JE IC"/>
    <s v="VUS000012446"/>
    <m/>
    <x v="2"/>
    <d v="2021-02-21T00:00:00"/>
    <s v="SERENGETI - 04/27/2021"/>
    <s v="1216 - Feb"/>
    <s v="1216 - Feb"/>
    <m/>
    <m/>
    <s v="VO05765531"/>
    <s v="JRNL01012670"/>
    <n v="1010"/>
    <d v="2021-04-27T00:00:00"/>
    <d v="2021-04-28T00:00:00"/>
    <n v="4000"/>
    <d v="2021-03-13T00:00:00"/>
    <s v="wci_wa"/>
    <n v="0"/>
    <n v="0"/>
    <n v="0"/>
    <n v="0"/>
    <n v="0"/>
    <n v="1"/>
    <n v="70235"/>
    <n v="2195"/>
    <n v="0"/>
    <n v="0"/>
    <m/>
    <m/>
    <m/>
    <m/>
    <s v="VO05765531"/>
  </r>
  <r>
    <s v="70235-2195-000-00"/>
    <d v="2021-04-30T00:00:00"/>
    <n v="800"/>
    <n v="0"/>
    <s v="USD"/>
    <s v="JRNLWA00426993"/>
    <s v="P"/>
    <s v="From Voucher Posting."/>
    <s v="asnell"/>
    <s v="0/JE IC"/>
    <s v="VUS000012446"/>
    <m/>
    <x v="2"/>
    <d v="2021-02-21T00:00:00"/>
    <s v="SERENGETI - 04/27/2021"/>
    <s v="1218 - Feb"/>
    <s v="1218 - Feb"/>
    <m/>
    <m/>
    <s v="VO05765532"/>
    <s v="JRNL01012670"/>
    <n v="1010"/>
    <d v="2021-04-27T00:00:00"/>
    <d v="2021-04-28T00:00:00"/>
    <n v="4000"/>
    <d v="2021-03-13T00:00:00"/>
    <s v="wci_wa"/>
    <n v="0"/>
    <n v="0"/>
    <n v="0"/>
    <n v="0"/>
    <n v="0"/>
    <n v="1"/>
    <n v="70235"/>
    <n v="2195"/>
    <n v="0"/>
    <n v="0"/>
    <m/>
    <m/>
    <m/>
    <m/>
    <s v="VO05765532"/>
  </r>
  <r>
    <s v="70235-2195-000-00"/>
    <d v="2021-04-30T00:00:00"/>
    <n v="900"/>
    <n v="0"/>
    <s v="USD"/>
    <s v="JRNLWA00426993"/>
    <s v="P"/>
    <s v="From Voucher Posting."/>
    <s v="asnell"/>
    <s v="0/JE IC"/>
    <s v="VUS000012446"/>
    <m/>
    <x v="2"/>
    <d v="2021-03-20T00:00:00"/>
    <s v="SERENGETI - 04/27/2021"/>
    <s v="1220 - Mar"/>
    <s v="1220 - Mar"/>
    <m/>
    <m/>
    <s v="VO05765533"/>
    <s v="JRNL01012670"/>
    <n v="1010"/>
    <d v="2021-04-27T00:00:00"/>
    <d v="2021-04-28T00:00:00"/>
    <n v="4500"/>
    <d v="2021-04-09T00:00:00"/>
    <s v="wci_wa"/>
    <n v="0"/>
    <n v="0"/>
    <n v="0"/>
    <n v="0"/>
    <n v="0"/>
    <n v="1"/>
    <n v="70235"/>
    <n v="2195"/>
    <n v="0"/>
    <n v="0"/>
    <m/>
    <m/>
    <m/>
    <m/>
    <s v="VO05765533"/>
  </r>
  <r>
    <s v="70235-2195-000-00"/>
    <d v="2021-04-30T00:00:00"/>
    <n v="800"/>
    <n v="0"/>
    <s v="USD"/>
    <s v="JRNLWA00426993"/>
    <s v="P"/>
    <s v="From Voucher Posting."/>
    <s v="asnell"/>
    <s v="0/JE IC"/>
    <s v="VUS000012446"/>
    <m/>
    <x v="2"/>
    <d v="2021-03-20T00:00:00"/>
    <s v="SERENGETI - 04/27/2021"/>
    <s v="1222 * Mar"/>
    <s v="1222 * Mar"/>
    <m/>
    <m/>
    <s v="VO05765534"/>
    <s v="JRNL01012670"/>
    <n v="1010"/>
    <d v="2021-04-27T00:00:00"/>
    <d v="2021-04-28T00:00:00"/>
    <n v="4000"/>
    <d v="2021-04-09T00:00:00"/>
    <s v="wci_wa"/>
    <n v="0"/>
    <n v="0"/>
    <n v="0"/>
    <n v="0"/>
    <n v="0"/>
    <n v="1"/>
    <n v="70235"/>
    <n v="2195"/>
    <n v="0"/>
    <n v="0"/>
    <m/>
    <m/>
    <m/>
    <m/>
    <s v="VO05765534"/>
  </r>
  <r>
    <s v="70235-2195-000-00"/>
    <d v="2021-04-30T00:00:00"/>
    <n v="800"/>
    <n v="0"/>
    <s v="USD"/>
    <s v="JRNLWA00426993"/>
    <s v="P"/>
    <s v="From Voucher Posting."/>
    <s v="asnell"/>
    <s v="0/JE IC"/>
    <s v="VUS000012446"/>
    <m/>
    <x v="2"/>
    <d v="2021-04-19T00:00:00"/>
    <s v="SERENGETI - 04/27/2021"/>
    <n v="1266"/>
    <n v="1266"/>
    <m/>
    <m/>
    <s v="VO05765535"/>
    <s v="JRNL01012670"/>
    <n v="1010"/>
    <d v="2021-04-27T00:00:00"/>
    <d v="2021-04-28T00:00:00"/>
    <n v="4000"/>
    <d v="2021-05-09T00:00:00"/>
    <s v="wci_wa"/>
    <n v="0"/>
    <n v="0"/>
    <n v="0"/>
    <n v="0"/>
    <n v="0"/>
    <n v="1"/>
    <n v="70235"/>
    <n v="2195"/>
    <n v="0"/>
    <n v="0"/>
    <m/>
    <m/>
    <m/>
    <m/>
    <s v="VO05765535"/>
  </r>
  <r>
    <s v="70235-2195-000-00"/>
    <d v="2021-04-30T00:00:00"/>
    <n v="148"/>
    <n v="0"/>
    <s v="USD"/>
    <s v="JRNLWA00426993"/>
    <s v="P"/>
    <s v="From Voucher Posting."/>
    <s v="asnell"/>
    <s v="0/JE IC"/>
    <s v="VUS000013974"/>
    <m/>
    <x v="3"/>
    <d v="2021-03-16T00:00:00"/>
    <s v="SERENGETI - 04/27/2021"/>
    <n v="4253412"/>
    <n v="4253412"/>
    <m/>
    <m/>
    <s v="VO05765557"/>
    <s v="JRNL01012670"/>
    <n v="1010"/>
    <d v="2021-04-27T00:00:00"/>
    <d v="2021-04-28T00:00:00"/>
    <n v="148"/>
    <d v="2021-05-20T00:00:00"/>
    <s v="wci_wa"/>
    <n v="0"/>
    <n v="0"/>
    <n v="0"/>
    <n v="0"/>
    <n v="0"/>
    <n v="1"/>
    <n v="70235"/>
    <n v="2195"/>
    <n v="0"/>
    <n v="0"/>
    <m/>
    <m/>
    <m/>
    <m/>
    <s v="VO05765557"/>
  </r>
  <r>
    <s v="70235-2195-000-00"/>
    <d v="2021-04-30T00:00:00"/>
    <n v="16532.25"/>
    <n v="0"/>
    <s v="USD"/>
    <s v="JRNLWA00427163"/>
    <s v="P"/>
    <s v="From Voucher Posting."/>
    <s v="JudyA"/>
    <s v="0/JE IC"/>
    <s v="VUS000011115"/>
    <m/>
    <x v="4"/>
    <d v="2021-03-31T00:00:00"/>
    <s v="SERENGETI - 05/04/2021"/>
    <n v="50558"/>
    <n v="50558"/>
    <m/>
    <m/>
    <s v="VO05773982"/>
    <s v="JRNL01013227"/>
    <n v="1010"/>
    <d v="2021-05-04T00:00:00"/>
    <d v="2021-05-04T00:00:00"/>
    <n v="16532.3"/>
    <d v="2021-06-04T00:00:00"/>
    <s v="wci_wa"/>
    <n v="0"/>
    <n v="0"/>
    <n v="0"/>
    <n v="0"/>
    <n v="0"/>
    <n v="1"/>
    <n v="70235"/>
    <n v="2195"/>
    <n v="0"/>
    <n v="0"/>
    <m/>
    <m/>
    <m/>
    <m/>
    <s v="VO05773982"/>
  </r>
  <r>
    <s v="70235-2195-000-00"/>
    <d v="2021-04-30T00:00:00"/>
    <n v="-4100"/>
    <n v="0"/>
    <s v="USD"/>
    <s v="JRNLWA00428053"/>
    <s v="P"/>
    <s v="MISC2-BS Recons and PL Reclass"/>
    <s v="HelenaK"/>
    <s v="0/JE IC"/>
    <m/>
    <m/>
    <x v="5"/>
    <m/>
    <m/>
    <m/>
    <m/>
    <m/>
    <m/>
    <s v="JRNL01014934"/>
    <s v="JRNL01014934"/>
    <m/>
    <d v="2021-05-06T00:00:00"/>
    <d v="2021-05-06T00:00:00"/>
    <m/>
    <m/>
    <s v="wci_wa"/>
    <n v="0"/>
    <n v="0"/>
    <n v="0"/>
    <n v="0"/>
    <n v="0"/>
    <n v="1"/>
    <n v="70235"/>
    <n v="2195"/>
    <n v="0"/>
    <n v="0"/>
    <m/>
    <m/>
    <m/>
    <m/>
    <s v=""/>
  </r>
  <r>
    <s v="70235-2195-000-00"/>
    <d v="2021-05-31T00:00:00"/>
    <n v="1794.5"/>
    <n v="0"/>
    <s v="USD"/>
    <s v="JRNLWA00428345"/>
    <s v="P"/>
    <s v="From Voucher Posting."/>
    <s v="asnell"/>
    <s v="0/JE IC"/>
    <s v="VUS000013867"/>
    <m/>
    <x v="6"/>
    <d v="2021-04-30T00:00:00"/>
    <s v="SERENGETI - 05/11/2021"/>
    <s v="1 Astria"/>
    <s v="1 Astria"/>
    <m/>
    <m/>
    <s v="VO05779089"/>
    <s v="JRNL01015619"/>
    <n v="1010"/>
    <d v="2021-05-11T00:00:00"/>
    <d v="2021-05-14T00:00:00"/>
    <n v="1794.5"/>
    <d v="2021-07-04T00:00:00"/>
    <s v="wci_wa"/>
    <n v="0"/>
    <n v="0"/>
    <n v="0"/>
    <n v="0"/>
    <n v="0"/>
    <n v="1"/>
    <n v="70235"/>
    <n v="2195"/>
    <n v="0"/>
    <n v="0"/>
    <m/>
    <m/>
    <m/>
    <m/>
    <s v="VO05779089"/>
  </r>
  <r>
    <s v="70235-2195-100-00"/>
    <d v="2021-05-31T00:00:00"/>
    <n v="409"/>
    <n v="0"/>
    <s v="USD"/>
    <s v="JRNLWA00428345"/>
    <s v="P"/>
    <s v="From Voucher Posting."/>
    <s v="asnell"/>
    <s v="0/JE IC"/>
    <s v="VUS000014064"/>
    <m/>
    <x v="7"/>
    <d v="2021-04-13T00:00:00"/>
    <s v="SERENGETI - 05/11/2021"/>
    <n v="618943"/>
    <n v="618943"/>
    <m/>
    <m/>
    <s v="VO05779144"/>
    <s v="JRNL01015619"/>
    <n v="1010"/>
    <d v="2021-05-11T00:00:00"/>
    <d v="2021-05-14T00:00:00"/>
    <n v="409"/>
    <d v="2021-06-17T00:00:00"/>
    <s v="wci_wa"/>
    <n v="0"/>
    <n v="0"/>
    <n v="0"/>
    <n v="0"/>
    <n v="0"/>
    <n v="1"/>
    <n v="70235"/>
    <n v="2195"/>
    <n v="100"/>
    <n v="0"/>
    <m/>
    <m/>
    <m/>
    <m/>
    <s v="VO05779144"/>
  </r>
  <r>
    <s v="70235-2195-000-00"/>
    <d v="2021-05-31T00:00:00"/>
    <n v="800"/>
    <n v="0"/>
    <s v="USD"/>
    <s v="JRNLWA00428548"/>
    <s v="P"/>
    <s v="From Voucher Posting."/>
    <s v="asnell"/>
    <s v="0/JE IC"/>
    <s v="VUS000012446"/>
    <m/>
    <x v="2"/>
    <d v="2021-05-17T00:00:00"/>
    <s v="SERENGETI - 05/25/2021"/>
    <s v="1230 - May"/>
    <s v="1230 - May"/>
    <m/>
    <m/>
    <s v="VO05796169"/>
    <s v="JRNL01016210"/>
    <n v="1010"/>
    <d v="2021-05-25T00:00:00"/>
    <d v="2021-05-28T00:00:00"/>
    <n v="4000"/>
    <d v="2021-06-06T00:00:00"/>
    <s v="wci_wa"/>
    <n v="0"/>
    <n v="0"/>
    <n v="0"/>
    <n v="0"/>
    <n v="0"/>
    <n v="1"/>
    <n v="70235"/>
    <n v="2195"/>
    <n v="0"/>
    <n v="0"/>
    <m/>
    <m/>
    <m/>
    <m/>
    <s v="VO05796169"/>
  </r>
  <r>
    <s v="70235-2195-000-00"/>
    <d v="2021-05-31T00:00:00"/>
    <n v="24217.7"/>
    <n v="0"/>
    <s v="USD"/>
    <s v="JRNLWA00429587"/>
    <s v="P"/>
    <s v="Misc6 - General Accrual"/>
    <s v="ahuynh"/>
    <s v="0/JE IC"/>
    <m/>
    <m/>
    <x v="8"/>
    <m/>
    <m/>
    <m/>
    <m/>
    <m/>
    <m/>
    <s v="JRNL01018292"/>
    <s v="JRNL01018292"/>
    <m/>
    <d v="2021-06-04T00:00:00"/>
    <d v="2021-06-07T00:00:00"/>
    <m/>
    <m/>
    <s v="wci_wa"/>
    <n v="0"/>
    <n v="0"/>
    <n v="0"/>
    <n v="0"/>
    <n v="0"/>
    <n v="1"/>
    <n v="70235"/>
    <n v="2195"/>
    <n v="0"/>
    <n v="0"/>
    <m/>
    <m/>
    <m/>
    <m/>
    <s v=""/>
  </r>
  <r>
    <s v="70235-2195-000-00"/>
    <d v="2021-06-30T00:00:00"/>
    <n v="-24217.7"/>
    <n v="0"/>
    <s v="USD"/>
    <s v="JRNLWA00429672"/>
    <s v="P"/>
    <s v="Misc6 - General Accrual"/>
    <s v="HelenaK"/>
    <s v="0/JE IC"/>
    <m/>
    <m/>
    <x v="8"/>
    <m/>
    <m/>
    <m/>
    <m/>
    <m/>
    <m/>
    <s v="JRNL01018292"/>
    <s v="JRNL01018361"/>
    <m/>
    <d v="2021-06-05T00:00:00"/>
    <d v="2021-06-07T00:00:00"/>
    <m/>
    <m/>
    <s v="wci_wa"/>
    <n v="0"/>
    <n v="0"/>
    <n v="0"/>
    <n v="0"/>
    <n v="5"/>
    <n v="1"/>
    <n v="70235"/>
    <n v="2195"/>
    <n v="0"/>
    <n v="0"/>
    <m/>
    <m/>
    <m/>
    <m/>
    <s v=""/>
  </r>
  <r>
    <s v="70235-2195-000-00"/>
    <d v="2021-06-30T00:00:00"/>
    <n v="813"/>
    <n v="0"/>
    <s v="USD"/>
    <s v="JRNLWA00430173"/>
    <s v="P"/>
    <s v="From Voucher Posting."/>
    <s v="asnell"/>
    <s v="0/JE IC"/>
    <s v="VUS000012446"/>
    <m/>
    <x v="2"/>
    <d v="2021-04-19T00:00:00"/>
    <s v="SERENGETI - 06/29/2021"/>
    <s v="1224 - Apr"/>
    <s v="1224 - Apr"/>
    <m/>
    <m/>
    <s v="VO05833328"/>
    <s v="JRNL01020080"/>
    <n v="1010"/>
    <d v="2021-06-29T00:00:00"/>
    <d v="2021-06-30T00:00:00"/>
    <n v="4065"/>
    <d v="2021-05-09T00:00:00"/>
    <s v="wci_wa"/>
    <n v="0"/>
    <n v="0"/>
    <n v="0"/>
    <n v="0"/>
    <n v="0"/>
    <n v="1"/>
    <n v="70235"/>
    <n v="2195"/>
    <n v="0"/>
    <n v="0"/>
    <m/>
    <m/>
    <m/>
    <m/>
    <s v="VO05833328"/>
  </r>
  <r>
    <s v="70235-2195-000-00"/>
    <d v="2021-06-30T00:00:00"/>
    <n v="851.6"/>
    <n v="0"/>
    <s v="USD"/>
    <s v="JRNLWA00430173"/>
    <s v="P"/>
    <s v="From Voucher Posting."/>
    <s v="asnell"/>
    <s v="0/JE IC"/>
    <s v="VUS000012446"/>
    <m/>
    <x v="2"/>
    <d v="2021-05-17T00:00:00"/>
    <s v="SERENGETI - 06/29/2021"/>
    <s v="1228 - May"/>
    <s v="1228 - May"/>
    <m/>
    <m/>
    <s v="VO05833329"/>
    <s v="JRNL01020080"/>
    <n v="1010"/>
    <d v="2021-06-29T00:00:00"/>
    <d v="2021-06-30T00:00:00"/>
    <n v="4258"/>
    <d v="2021-06-06T00:00:00"/>
    <s v="wci_wa"/>
    <n v="0"/>
    <n v="0"/>
    <n v="0"/>
    <n v="0"/>
    <n v="0"/>
    <n v="1"/>
    <n v="70235"/>
    <n v="2195"/>
    <n v="0"/>
    <n v="0"/>
    <m/>
    <m/>
    <m/>
    <m/>
    <s v="VO05833329"/>
  </r>
  <r>
    <s v="70235-2195-000-00"/>
    <d v="2021-06-30T00:00:00"/>
    <n v="1600"/>
    <n v="0"/>
    <s v="USD"/>
    <s v="JRNLWA00430173"/>
    <s v="P"/>
    <s v="From Voucher Posting."/>
    <s v="asnell"/>
    <s v="0/JE IC"/>
    <s v="VUS000012446"/>
    <m/>
    <x v="2"/>
    <d v="2021-06-17T00:00:00"/>
    <s v="SERENGETI - 06/29/2021"/>
    <s v="1235 - June"/>
    <s v="1235 - June"/>
    <m/>
    <m/>
    <s v="VO05833330"/>
    <s v="JRNL01020080"/>
    <n v="1010"/>
    <d v="2021-06-29T00:00:00"/>
    <d v="2021-06-30T00:00:00"/>
    <n v="8000"/>
    <d v="2021-07-07T00:00:00"/>
    <s v="wci_wa"/>
    <n v="0"/>
    <n v="0"/>
    <n v="0"/>
    <n v="0"/>
    <n v="0"/>
    <n v="1"/>
    <n v="70235"/>
    <n v="2195"/>
    <n v="0"/>
    <n v="0"/>
    <m/>
    <m/>
    <m/>
    <m/>
    <s v="VO05833330"/>
  </r>
  <r>
    <s v="70235-2195-000-00"/>
    <d v="2021-06-30T00:00:00"/>
    <n v="194"/>
    <n v="0"/>
    <s v="USD"/>
    <s v="JRNLWA00430173"/>
    <s v="P"/>
    <s v="From Voucher Posting."/>
    <s v="asnell"/>
    <s v="0/JE IC"/>
    <s v="VUS000013867"/>
    <m/>
    <x v="6"/>
    <d v="2021-05-31T00:00:00"/>
    <s v="SERENGETI - 06/29/2021"/>
    <s v="2 Astria"/>
    <s v="2 Astria"/>
    <m/>
    <m/>
    <s v="VO05833339"/>
    <s v="JRNL01020080"/>
    <n v="1010"/>
    <d v="2021-06-29T00:00:00"/>
    <d v="2021-06-30T00:00:00"/>
    <n v="194"/>
    <d v="2021-08-04T00:00:00"/>
    <s v="wci_wa"/>
    <n v="0"/>
    <n v="0"/>
    <n v="0"/>
    <n v="0"/>
    <n v="0"/>
    <n v="1"/>
    <n v="70235"/>
    <n v="2195"/>
    <n v="0"/>
    <n v="0"/>
    <m/>
    <m/>
    <m/>
    <m/>
    <s v="VO05833339"/>
  </r>
  <r>
    <s v="70235-2195-000-00"/>
    <d v="2021-06-30T00:00:00"/>
    <n v="24217.7"/>
    <n v="0"/>
    <s v="USD"/>
    <s v="JRNLWA00430173"/>
    <s v="P"/>
    <s v="From Voucher Posting."/>
    <s v="asnell"/>
    <s v="0/JE IC"/>
    <s v="VUS000011115"/>
    <m/>
    <x v="4"/>
    <d v="2021-04-30T00:00:00"/>
    <s v="SERENGETI - 06/29/2021"/>
    <s v="50700v2"/>
    <s v="50700v2"/>
    <m/>
    <m/>
    <s v="VO05833398"/>
    <s v="JRNL01020080"/>
    <n v="1010"/>
    <d v="2021-06-29T00:00:00"/>
    <d v="2021-06-30T00:00:00"/>
    <n v="24217.7"/>
    <d v="2021-07-04T00:00:00"/>
    <s v="wci_wa"/>
    <n v="0"/>
    <n v="0"/>
    <n v="0"/>
    <n v="0"/>
    <n v="0"/>
    <n v="1"/>
    <n v="70235"/>
    <n v="2195"/>
    <n v="0"/>
    <n v="0"/>
    <m/>
    <m/>
    <m/>
    <m/>
    <s v="VO05833398"/>
  </r>
  <r>
    <s v="70235-2195-000-00"/>
    <d v="2021-06-30T00:00:00"/>
    <n v="1340"/>
    <n v="0"/>
    <s v="USD"/>
    <s v="JRNLWA00431433"/>
    <s v="P"/>
    <s v="Accrue Qtr End Serengeti - Q2"/>
    <s v="JacobMas"/>
    <s v="0/JE IC"/>
    <m/>
    <m/>
    <x v="0"/>
    <m/>
    <m/>
    <m/>
    <m/>
    <m/>
    <m/>
    <s v="JRNL01022758"/>
    <s v="JRNL01022758"/>
    <m/>
    <d v="2021-07-08T00:00:00"/>
    <d v="2021-07-08T00:00:00"/>
    <m/>
    <m/>
    <s v="wci_wa"/>
    <n v="0"/>
    <n v="0"/>
    <n v="0"/>
    <n v="0"/>
    <n v="0"/>
    <n v="1"/>
    <n v="70235"/>
    <n v="2195"/>
    <n v="0"/>
    <n v="0"/>
    <m/>
    <m/>
    <m/>
    <m/>
    <s v=""/>
  </r>
  <r>
    <s v="70235-2195-000-00"/>
    <d v="2021-06-30T00:00:00"/>
    <n v="-3264.6"/>
    <n v="0"/>
    <s v="USD"/>
    <s v="JRNLWA00431448"/>
    <s v="P"/>
    <s v="MISC2-BS Recons and PL Reclass"/>
    <s v="LaurenTi"/>
    <s v="0/JE IC"/>
    <m/>
    <m/>
    <x v="9"/>
    <m/>
    <m/>
    <m/>
    <m/>
    <m/>
    <m/>
    <s v="JRNL01022789"/>
    <s v="JRNL01022789"/>
    <m/>
    <d v="2021-07-08T00:00:00"/>
    <d v="2021-07-08T00:00:00"/>
    <m/>
    <m/>
    <s v="wci_wa"/>
    <n v="0"/>
    <n v="0"/>
    <n v="0"/>
    <n v="0"/>
    <n v="0"/>
    <n v="1"/>
    <n v="70235"/>
    <n v="2195"/>
    <n v="0"/>
    <n v="0"/>
    <m/>
    <m/>
    <m/>
    <m/>
    <s v=""/>
  </r>
  <r>
    <s v="70235-2195-000-00"/>
    <d v="2021-07-31T00:00:00"/>
    <n v="-1340"/>
    <n v="0"/>
    <s v="USD"/>
    <s v="JRNLWA00431450"/>
    <s v="P"/>
    <s v="Accrue Qtr End Serengeti - Q2"/>
    <s v="LaurenTi"/>
    <s v="0/JE IC"/>
    <m/>
    <m/>
    <x v="0"/>
    <m/>
    <m/>
    <m/>
    <m/>
    <m/>
    <m/>
    <s v="JRNL01022758"/>
    <s v="JRNL01022778"/>
    <m/>
    <d v="2021-07-08T00:00:00"/>
    <d v="2021-07-08T00:00:00"/>
    <m/>
    <m/>
    <s v="wci_wa"/>
    <n v="0"/>
    <n v="0"/>
    <n v="0"/>
    <n v="0"/>
    <n v="5"/>
    <n v="1"/>
    <n v="70235"/>
    <n v="2195"/>
    <n v="0"/>
    <n v="0"/>
    <m/>
    <m/>
    <m/>
    <m/>
    <s v=""/>
  </r>
  <r>
    <s v="70235-2195-000-00"/>
    <d v="2021-07-31T00:00:00"/>
    <n v="855.6"/>
    <n v="0"/>
    <s v="USD"/>
    <s v="JRNLWA00431649"/>
    <s v="P"/>
    <s v="From Voucher Posting."/>
    <s v="JudyA"/>
    <s v="0/JE IC"/>
    <s v="VUS000012446"/>
    <m/>
    <x v="2"/>
    <d v="2021-06-17T00:00:00"/>
    <s v="SERENGETI - 07/20/2021"/>
    <s v="1233 - June"/>
    <s v="1233 - June"/>
    <m/>
    <m/>
    <s v="VO05855928"/>
    <s v="JRNL01023313"/>
    <n v="1010"/>
    <d v="2021-07-20T00:00:00"/>
    <d v="2021-07-20T00:00:00"/>
    <n v="4278"/>
    <d v="2021-07-07T00:00:00"/>
    <s v="wci_wa"/>
    <n v="0"/>
    <n v="0"/>
    <n v="0"/>
    <n v="0"/>
    <n v="0"/>
    <n v="1"/>
    <n v="70235"/>
    <n v="2195"/>
    <n v="0"/>
    <n v="0"/>
    <m/>
    <m/>
    <m/>
    <m/>
    <s v="VO05855928"/>
  </r>
  <r>
    <s v="70235-2195-000-00"/>
    <d v="2021-07-31T00:00:00"/>
    <n v="339.5"/>
    <n v="0"/>
    <s v="USD"/>
    <s v="JRNLWA00431649"/>
    <s v="P"/>
    <s v="From Voucher Posting."/>
    <s v="JudyA"/>
    <s v="0/JE IC"/>
    <s v="VUS000013867"/>
    <m/>
    <x v="6"/>
    <d v="2021-06-30T00:00:00"/>
    <s v="SERENGETI - 07/20/2021"/>
    <s v="3 Astria"/>
    <s v="3 Astria"/>
    <m/>
    <m/>
    <s v="VO05855942"/>
    <s v="JRNL01023313"/>
    <n v="1010"/>
    <d v="2021-07-20T00:00:00"/>
    <d v="2021-07-20T00:00:00"/>
    <n v="339.5"/>
    <d v="2021-09-03T00:00:00"/>
    <s v="wci_wa"/>
    <n v="0"/>
    <n v="0"/>
    <n v="0"/>
    <n v="0"/>
    <n v="0"/>
    <n v="1"/>
    <n v="70235"/>
    <n v="2195"/>
    <n v="0"/>
    <n v="0"/>
    <m/>
    <m/>
    <m/>
    <m/>
    <s v="VO05855942"/>
  </r>
  <r>
    <s v="70235-2195-000-00"/>
    <d v="2021-07-31T00:00:00"/>
    <n v="55.6"/>
    <n v="0"/>
    <s v="USD"/>
    <s v="JRNLWA00431872"/>
    <s v="P"/>
    <s v="From Voucher Posting."/>
    <s v="JeffS"/>
    <s v="0/JE IC"/>
    <s v="VUS000012446"/>
    <m/>
    <x v="2"/>
    <d v="2021-06-17T00:00:00"/>
    <s v="SERENGETI - 08/03/2021"/>
    <s v="1236 - June"/>
    <s v="1236 - June"/>
    <m/>
    <m/>
    <s v="VO05873499"/>
    <s v="JRNL01023995"/>
    <n v="1010"/>
    <d v="2021-08-03T00:00:00"/>
    <d v="2021-08-03T00:00:00"/>
    <n v="278"/>
    <d v="2021-06-18T00:00:00"/>
    <s v="wci_wa"/>
    <n v="0"/>
    <n v="0"/>
    <n v="0"/>
    <n v="0"/>
    <n v="0"/>
    <n v="1"/>
    <n v="70235"/>
    <n v="2195"/>
    <n v="0"/>
    <n v="0"/>
    <m/>
    <m/>
    <m/>
    <m/>
    <s v="VO05873499"/>
  </r>
  <r>
    <s v="70235-2195-000-00"/>
    <d v="2021-07-31T00:00:00"/>
    <n v="444"/>
    <n v="0"/>
    <s v="USD"/>
    <s v="JRNLWA00431872"/>
    <s v="P"/>
    <s v="From Voucher Posting."/>
    <s v="JeffS"/>
    <s v="0/JE IC"/>
    <s v="VUS000013974"/>
    <m/>
    <x v="3"/>
    <d v="2021-07-20T00:00:00"/>
    <s v="SERENGETI - 08/03/2021"/>
    <n v="4276754"/>
    <n v="4276754"/>
    <m/>
    <m/>
    <s v="VO05873510"/>
    <s v="JRNL01023995"/>
    <n v="1010"/>
    <d v="2021-08-03T00:00:00"/>
    <d v="2021-08-03T00:00:00"/>
    <n v="444"/>
    <d v="2021-09-23T00:00:00"/>
    <s v="wci_wa"/>
    <n v="0"/>
    <n v="0"/>
    <n v="0"/>
    <n v="0"/>
    <n v="0"/>
    <n v="1"/>
    <n v="70235"/>
    <n v="2195"/>
    <n v="0"/>
    <n v="0"/>
    <m/>
    <m/>
    <m/>
    <m/>
    <s v="VO05873510"/>
  </r>
  <r>
    <s v="70235-2195-000-00"/>
    <d v="2021-08-31T00:00:00"/>
    <n v="824.5"/>
    <n v="0"/>
    <s v="USD"/>
    <s v="JRNLWA00433347"/>
    <s v="P"/>
    <s v="From Voucher Posting."/>
    <s v="JeffS"/>
    <s v="0/JE IC"/>
    <s v="VUS000013867"/>
    <m/>
    <x v="6"/>
    <d v="2021-07-31T00:00:00"/>
    <s v="SERENGETI - 08/31/2021"/>
    <s v="4 Astria"/>
    <s v="4 Astria"/>
    <m/>
    <m/>
    <s v="VO05905863"/>
    <s v="JRNL01027318"/>
    <n v="1010"/>
    <d v="2021-08-31T00:00:00"/>
    <d v="2021-08-31T00:00:00"/>
    <n v="824.5"/>
    <d v="2021-10-04T00:00:00"/>
    <s v="wci_wa"/>
    <n v="0"/>
    <n v="0"/>
    <n v="0"/>
    <n v="0"/>
    <n v="0"/>
    <n v="1"/>
    <n v="70235"/>
    <n v="2195"/>
    <n v="0"/>
    <n v="0"/>
    <m/>
    <m/>
    <m/>
    <m/>
    <s v="VO05905863"/>
  </r>
  <r>
    <s v="70235-2195-000-00"/>
    <d v="2021-08-31T00:00:00"/>
    <n v="259"/>
    <n v="0"/>
    <s v="USD"/>
    <s v="JRNLWA00433347"/>
    <s v="P"/>
    <s v="From Voucher Posting."/>
    <s v="JeffS"/>
    <s v="0/JE IC"/>
    <s v="VUS000013974"/>
    <m/>
    <x v="3"/>
    <d v="2021-08-18T00:00:00"/>
    <s v="SERENGETI - 08/31/2021"/>
    <n v="4282304"/>
    <n v="4282304"/>
    <m/>
    <m/>
    <s v="VO05905864"/>
    <s v="JRNL01027318"/>
    <n v="1010"/>
    <d v="2021-08-31T00:00:00"/>
    <d v="2021-08-31T00:00:00"/>
    <n v="259"/>
    <d v="2021-10-22T00:00:00"/>
    <s v="wci_wa"/>
    <n v="0"/>
    <n v="0"/>
    <n v="0"/>
    <n v="0"/>
    <n v="0"/>
    <n v="1"/>
    <n v="70235"/>
    <n v="2195"/>
    <n v="0"/>
    <n v="0"/>
    <m/>
    <m/>
    <m/>
    <m/>
    <s v="VO05905864"/>
  </r>
  <r>
    <s v="70235-2195-000-00"/>
    <d v="2021-09-30T00:00:00"/>
    <n v="1104.5999999999999"/>
    <n v="0"/>
    <s v="USD"/>
    <s v="JRNLWA00434016"/>
    <s v="P"/>
    <s v="From Voucher Posting."/>
    <s v="MariaJ"/>
    <s v="0/JE IC"/>
    <s v="VUS000012446"/>
    <m/>
    <x v="2"/>
    <d v="2021-07-26T00:00:00"/>
    <s v="SERENGETI - 09/07/2021"/>
    <s v="1239 - July"/>
    <s v="1239 - July"/>
    <m/>
    <m/>
    <s v="VO05911050"/>
    <s v="JRNL01028664"/>
    <n v="1010"/>
    <d v="2021-09-07T00:00:00"/>
    <d v="2021-09-07T00:00:00"/>
    <n v="5523"/>
    <d v="2021-07-27T00:00:00"/>
    <s v="wci_wa"/>
    <n v="0"/>
    <n v="0"/>
    <n v="0"/>
    <n v="0"/>
    <n v="0"/>
    <n v="1"/>
    <n v="70235"/>
    <n v="2195"/>
    <n v="0"/>
    <n v="0"/>
    <m/>
    <m/>
    <m/>
    <m/>
    <s v="VO05911050"/>
  </r>
  <r>
    <s v="70235-2195-000-00"/>
    <d v="2021-09-30T00:00:00"/>
    <n v="1786.87"/>
    <n v="0"/>
    <s v="USD"/>
    <s v="JRNLWA00434762"/>
    <s v="P"/>
    <s v="From Voucher Posting."/>
    <s v="JeffS"/>
    <s v="0/JE IC"/>
    <s v="VUS000012446"/>
    <m/>
    <x v="2"/>
    <d v="2021-08-18T00:00:00"/>
    <s v="SERENGETI - 09/14/2021"/>
    <s v="1244 - Aug"/>
    <s v="1244 - Aug"/>
    <m/>
    <m/>
    <s v="VO05920017"/>
    <s v="JRNL01030165"/>
    <n v="1010"/>
    <d v="2021-09-14T00:00:00"/>
    <d v="2021-09-15T00:00:00"/>
    <n v="8934.31"/>
    <d v="2021-08-19T00:00:00"/>
    <s v="wci_wa"/>
    <n v="0"/>
    <n v="0"/>
    <n v="0"/>
    <n v="0"/>
    <n v="0"/>
    <n v="1"/>
    <n v="70235"/>
    <n v="2195"/>
    <n v="0"/>
    <n v="0"/>
    <m/>
    <m/>
    <m/>
    <m/>
    <s v="VO05920017"/>
  </r>
  <r>
    <s v="70235-2195-000-00"/>
    <d v="2021-09-30T00:00:00"/>
    <n v="919.46"/>
    <n v="0"/>
    <s v="USD"/>
    <s v="JRNLWA00434762"/>
    <s v="P"/>
    <s v="From Voucher Posting."/>
    <s v="JeffS"/>
    <s v="0/JE IC"/>
    <s v="VUS000014064"/>
    <m/>
    <x v="7"/>
    <d v="2021-08-13T00:00:00"/>
    <s v="SERENGETI - 09/14/2021"/>
    <n v="624742"/>
    <n v="624742"/>
    <m/>
    <m/>
    <s v="VO05920052"/>
    <s v="JRNL01030165"/>
    <n v="1010"/>
    <d v="2021-09-14T00:00:00"/>
    <d v="2021-09-15T00:00:00"/>
    <n v="919.46"/>
    <d v="2021-10-17T00:00:00"/>
    <s v="wci_wa"/>
    <n v="0"/>
    <n v="0"/>
    <n v="0"/>
    <n v="0"/>
    <n v="0"/>
    <n v="1"/>
    <n v="70235"/>
    <n v="2195"/>
    <n v="0"/>
    <n v="0"/>
    <m/>
    <m/>
    <m/>
    <m/>
    <s v="VO05920052"/>
  </r>
  <r>
    <s v="70235-2195-000-00"/>
    <d v="2021-09-30T00:00:00"/>
    <n v="259"/>
    <n v="0"/>
    <s v="USD"/>
    <s v="JRNLWA00435015"/>
    <s v="P"/>
    <s v="From Voucher Posting."/>
    <s v="JeffS"/>
    <s v="0/JE IC"/>
    <s v="VUS000013974"/>
    <m/>
    <x v="3"/>
    <d v="2021-09-20T00:00:00"/>
    <s v="SERENGETI - 10/01/2021"/>
    <n v="4288313"/>
    <n v="4288313"/>
    <m/>
    <m/>
    <s v="VO05945267"/>
    <s v="JRNL01031057"/>
    <n v="1010"/>
    <d v="2021-10-01T00:00:00"/>
    <d v="2021-10-01T00:00:00"/>
    <n v="259"/>
    <d v="2021-11-24T00:00:00"/>
    <s v="wci_wa"/>
    <n v="0"/>
    <n v="0"/>
    <n v="0"/>
    <n v="0"/>
    <n v="0"/>
    <n v="1"/>
    <n v="70235"/>
    <n v="2195"/>
    <n v="0"/>
    <n v="0"/>
    <m/>
    <m/>
    <m/>
    <m/>
    <s v="VO05945267"/>
  </r>
  <r>
    <s v="70235-2195-000-00"/>
    <d v="2021-09-30T00:00:00"/>
    <n v="1697"/>
    <n v="0"/>
    <s v="USD"/>
    <s v="JRNLWA00436336"/>
    <s v="P"/>
    <s v="Accrue Qtr End Serengeti - Q3"/>
    <s v="HeatherH"/>
    <s v="0/JE IC"/>
    <m/>
    <m/>
    <x v="0"/>
    <m/>
    <m/>
    <m/>
    <m/>
    <m/>
    <m/>
    <s v="JRNL01033761"/>
    <s v="JRNL01033761"/>
    <m/>
    <d v="2021-10-07T00:00:00"/>
    <d v="2021-10-07T00:00:00"/>
    <m/>
    <m/>
    <s v="wci_wa"/>
    <n v="0"/>
    <n v="0"/>
    <n v="0"/>
    <n v="0"/>
    <n v="0"/>
    <n v="1"/>
    <n v="70235"/>
    <n v="2195"/>
    <n v="0"/>
    <n v="0"/>
    <m/>
    <m/>
    <m/>
    <m/>
    <s v=""/>
  </r>
  <r>
    <s v="70235-2195-000-00"/>
    <d v="2021-10-31T00:00:00"/>
    <n v="142.5"/>
    <n v="0"/>
    <s v="USD"/>
    <s v="JRNLWA00435173"/>
    <s v="P"/>
    <s v="From Voucher Posting."/>
    <s v="JeffS"/>
    <s v="0/JE IC"/>
    <s v="VUS000014064"/>
    <m/>
    <x v="7"/>
    <d v="2021-09-15T00:00:00"/>
    <s v="SERENGETI - 10/05/2021"/>
    <n v="625934"/>
    <n v="625934"/>
    <m/>
    <m/>
    <s v="VO05947901"/>
    <s v="JRNL01031619"/>
    <n v="1010"/>
    <d v="2021-10-05T00:00:00"/>
    <d v="2021-10-05T00:00:00"/>
    <n v="142.5"/>
    <d v="2021-11-19T00:00:00"/>
    <s v="wci_wa"/>
    <n v="0"/>
    <n v="0"/>
    <n v="0"/>
    <n v="0"/>
    <n v="0"/>
    <n v="1"/>
    <n v="70235"/>
    <n v="2195"/>
    <n v="0"/>
    <n v="0"/>
    <m/>
    <m/>
    <m/>
    <m/>
    <s v="VO05947901"/>
  </r>
  <r>
    <s v="70235-2195-000-00"/>
    <d v="2021-10-31T00:00:00"/>
    <n v="-1697"/>
    <n v="0"/>
    <s v="USD"/>
    <s v="JRNLWA00436348"/>
    <s v="P"/>
    <s v="Accrue Qtr End Serengeti - Q3"/>
    <s v="SKACKO"/>
    <s v="0/JE IC"/>
    <m/>
    <m/>
    <x v="0"/>
    <m/>
    <m/>
    <m/>
    <m/>
    <m/>
    <m/>
    <s v="JRNL01033761"/>
    <s v="JRNL01033782"/>
    <m/>
    <d v="2021-10-07T00:00:00"/>
    <d v="2021-10-07T00:00:00"/>
    <m/>
    <m/>
    <s v="wci_wa"/>
    <n v="0"/>
    <n v="0"/>
    <n v="0"/>
    <n v="0"/>
    <n v="5"/>
    <n v="1"/>
    <n v="70235"/>
    <n v="2195"/>
    <n v="0"/>
    <n v="0"/>
    <m/>
    <m/>
    <m/>
    <m/>
    <s v=""/>
  </r>
  <r>
    <s v="70235-2195-000-00"/>
    <d v="2021-10-31T00:00:00"/>
    <n v="1697"/>
    <n v="0"/>
    <s v="USD"/>
    <s v="JRNLWA00436487"/>
    <s v="P"/>
    <s v="From Voucher Posting."/>
    <s v="JudyA"/>
    <s v="0/JE IC"/>
    <s v="VUS000012446"/>
    <m/>
    <x v="2"/>
    <d v="2021-09-18T00:00:00"/>
    <s v="SERENGETI - 10/19/2021"/>
    <s v="1248 - Sept"/>
    <s v="1248 - Sept"/>
    <m/>
    <m/>
    <s v="VO05963742"/>
    <s v="JRNL01034232"/>
    <n v="1010"/>
    <d v="2021-10-19T00:00:00"/>
    <d v="2021-10-19T00:00:00"/>
    <n v="8485"/>
    <d v="2021-09-19T00:00:00"/>
    <s v="wci_wa"/>
    <n v="0"/>
    <n v="0"/>
    <n v="0"/>
    <n v="0"/>
    <n v="0"/>
    <n v="1"/>
    <n v="70235"/>
    <n v="2195"/>
    <n v="0"/>
    <n v="0"/>
    <m/>
    <m/>
    <m/>
    <m/>
    <s v="VO05963742"/>
  </r>
  <r>
    <s v="70235-2195-000-00"/>
    <d v="2021-12-31T00:00:00"/>
    <n v="1636.6"/>
    <n v="0"/>
    <s v="USD"/>
    <s v="JRNLWA00439821"/>
    <s v="P"/>
    <s v="From Voucher Posting."/>
    <s v="JeffS"/>
    <s v="0/JE IC"/>
    <s v="VUS000012446"/>
    <m/>
    <x v="2"/>
    <d v="2021-10-18T00:00:00"/>
    <s v="SERENGETI - 12/21/2021"/>
    <s v="1252 - Oct"/>
    <s v="1252 - Oct"/>
    <m/>
    <m/>
    <s v="VO06042389"/>
    <s v="JRNL01042143"/>
    <n v="1010"/>
    <d v="2021-12-21T00:00:00"/>
    <d v="2021-12-27T00:00:00"/>
    <n v="8183"/>
    <d v="2021-10-19T00:00:00"/>
    <s v="wci_wa"/>
    <n v="0"/>
    <n v="0"/>
    <n v="0"/>
    <n v="0"/>
    <n v="0"/>
    <n v="1"/>
    <n v="70235"/>
    <n v="2195"/>
    <n v="0"/>
    <n v="0"/>
    <m/>
    <m/>
    <m/>
    <m/>
    <s v="VO06042389"/>
  </r>
  <r>
    <s v="70235-2195-000-00"/>
    <d v="2021-12-31T00:00:00"/>
    <n v="1734.2"/>
    <n v="0"/>
    <s v="USD"/>
    <s v="JRNLWA00439899"/>
    <s v="P"/>
    <s v="From Voucher Posting."/>
    <s v="JudyA"/>
    <s v="0/JE IC"/>
    <s v="VUS000012446"/>
    <m/>
    <x v="2"/>
    <d v="2021-11-15T00:00:00"/>
    <s v="SERENGETI - 12/28/2021"/>
    <s v="1257 - Nov"/>
    <s v="1257 - Nov"/>
    <m/>
    <m/>
    <s v="VO06050210"/>
    <s v="JRNL01042372"/>
    <n v="1010"/>
    <d v="2021-12-28T00:00:00"/>
    <d v="2022-01-01T00:00:00"/>
    <n v="8671"/>
    <d v="2021-11-16T00:00:00"/>
    <s v="wci_wa"/>
    <n v="0"/>
    <n v="0"/>
    <n v="0"/>
    <n v="0"/>
    <n v="0"/>
    <n v="1"/>
    <n v="70235"/>
    <n v="2195"/>
    <n v="0"/>
    <n v="0"/>
    <m/>
    <m/>
    <m/>
    <m/>
    <s v="VO06050210"/>
  </r>
  <r>
    <s v="70235-2195-000-00"/>
    <d v="2021-12-31T00:00:00"/>
    <n v="379.05"/>
    <n v="0"/>
    <s v="USD"/>
    <s v="JRNLWA00441368"/>
    <s v="P"/>
    <s v="Accrue Qtr End Serengeti - Q4"/>
    <s v="HeatherH"/>
    <s v="0/JE IC"/>
    <m/>
    <m/>
    <x v="0"/>
    <m/>
    <m/>
    <m/>
    <m/>
    <m/>
    <m/>
    <s v="JRNL01045601"/>
    <s v="JRNL01045601"/>
    <m/>
    <d v="2022-01-07T00:00:00"/>
    <d v="2022-01-07T00:00:00"/>
    <m/>
    <m/>
    <s v="wci_wa"/>
    <n v="0"/>
    <n v="0"/>
    <n v="0"/>
    <n v="0"/>
    <n v="0"/>
    <n v="1"/>
    <n v="70235"/>
    <n v="2195"/>
    <n v="0"/>
    <n v="0"/>
    <m/>
    <m/>
    <m/>
    <m/>
    <s v=""/>
  </r>
  <r>
    <s v="70235-2195-000-00"/>
    <d v="2022-01-31T00:00:00"/>
    <n v="-379.05"/>
    <n v="0"/>
    <s v="USD"/>
    <s v="JRNLWA00441407"/>
    <s v="P"/>
    <s v="Accrue Qtr End Serengeti - Q4"/>
    <s v="HeatherH"/>
    <s v="0/JE IC"/>
    <m/>
    <m/>
    <x v="0"/>
    <m/>
    <m/>
    <m/>
    <m/>
    <m/>
    <m/>
    <s v="JRNL01045601"/>
    <s v="JRNL01045639"/>
    <m/>
    <d v="2022-01-07T00:00:00"/>
    <d v="2022-01-07T00:00:00"/>
    <m/>
    <m/>
    <s v="wci_wa"/>
    <n v="0"/>
    <n v="0"/>
    <n v="0"/>
    <n v="0"/>
    <n v="5"/>
    <n v="1"/>
    <n v="70235"/>
    <n v="2195"/>
    <n v="0"/>
    <n v="0"/>
    <m/>
    <m/>
    <m/>
    <m/>
    <s v=""/>
  </r>
  <r>
    <s v="70235-2195-000-00"/>
    <d v="2022-01-31T00:00:00"/>
    <n v="1730"/>
    <n v="0"/>
    <s v="USD"/>
    <s v="JRNLWA00441524"/>
    <s v="P"/>
    <s v="From Voucher Posting."/>
    <s v="JeffS"/>
    <s v="0/JE IC"/>
    <s v="VUS000012446"/>
    <m/>
    <x v="2"/>
    <d v="2021-12-17T00:00:00"/>
    <s v="SERENGETI - 01/11/2022"/>
    <s v="1262 - Dec"/>
    <s v="1262 - Dec"/>
    <m/>
    <m/>
    <s v="VO06065677"/>
    <s v="JRNL01045845"/>
    <n v="1010"/>
    <d v="2022-01-11T00:00:00"/>
    <d v="2022-01-13T00:00:00"/>
    <n v="8650"/>
    <d v="2021-12-18T00:00:00"/>
    <s v="wci_wa"/>
    <n v="0"/>
    <n v="0"/>
    <n v="0"/>
    <n v="0"/>
    <n v="0"/>
    <n v="1"/>
    <n v="70235"/>
    <n v="2195"/>
    <n v="0"/>
    <n v="0"/>
    <m/>
    <m/>
    <m/>
    <m/>
    <s v="VO06065677"/>
  </r>
  <r>
    <s v="70235-2195-000-00"/>
    <d v="2022-01-31T00:00:00"/>
    <n v="379.05"/>
    <n v="0"/>
    <s v="USD"/>
    <s v="JRNLWA00441524"/>
    <s v="P"/>
    <s v="From Voucher Posting."/>
    <s v="JeffS"/>
    <s v="0/JE IC"/>
    <s v="VUS000013974"/>
    <m/>
    <x v="3"/>
    <d v="2021-12-08T00:00:00"/>
    <s v="SERENGETI - 01/11/2022"/>
    <n v="4304163"/>
    <n v="4304163"/>
    <m/>
    <m/>
    <s v="VO06065728"/>
    <s v="JRNL01045845"/>
    <n v="1010"/>
    <d v="2022-01-11T00:00:00"/>
    <d v="2022-01-13T00:00:00"/>
    <n v="379.05"/>
    <d v="2022-02-11T00:00:00"/>
    <s v="wci_wa"/>
    <n v="0"/>
    <n v="0"/>
    <n v="0"/>
    <n v="0"/>
    <n v="0"/>
    <n v="1"/>
    <n v="70235"/>
    <n v="2195"/>
    <n v="0"/>
    <n v="0"/>
    <m/>
    <m/>
    <m/>
    <m/>
    <s v="VO06065728"/>
  </r>
  <r>
    <s v="70235-2195-000-00"/>
    <d v="2022-01-31T00:00:00"/>
    <n v="1610.6"/>
    <n v="0"/>
    <s v="USD"/>
    <s v="JRNLWA00441746"/>
    <s v="P"/>
    <s v="From Voucher Posting."/>
    <s v="HROJAS"/>
    <s v="0/JE IC"/>
    <s v="VUS000012446"/>
    <m/>
    <x v="2"/>
    <d v="2022-01-17T00:00:00"/>
    <s v="SERENGETI - 01/25/2022"/>
    <s v="1267 - Jan"/>
    <s v="1267 - Jan"/>
    <m/>
    <m/>
    <s v="VO06082683"/>
    <s v="JRNL01046432"/>
    <n v="1010"/>
    <d v="2022-01-25T00:00:00"/>
    <d v="2022-01-27T00:00:00"/>
    <n v="8053"/>
    <d v="2022-01-18T00:00:00"/>
    <s v="wci_wa"/>
    <n v="0"/>
    <n v="0"/>
    <n v="0"/>
    <n v="0"/>
    <n v="0"/>
    <n v="1"/>
    <n v="70235"/>
    <n v="2195"/>
    <n v="0"/>
    <n v="0"/>
    <m/>
    <m/>
    <m/>
    <m/>
    <s v="VO06082683"/>
  </r>
  <r>
    <s v="70235-2195-000-00"/>
    <d v="2022-03-31T00:00:00"/>
    <n v="3649.68"/>
    <n v="0"/>
    <s v="USD"/>
    <s v="JRNLWA00446496"/>
    <s v="P"/>
    <s v="Accrue Qtr End Serengeti - Q1"/>
    <s v="SKACKO"/>
    <s v="0/JE IC"/>
    <m/>
    <m/>
    <x v="0"/>
    <m/>
    <m/>
    <m/>
    <m/>
    <m/>
    <m/>
    <s v="JRNL01057389"/>
    <s v="JRNL01057389"/>
    <m/>
    <d v="2022-04-07T00:00:00"/>
    <d v="2022-04-07T00:00:00"/>
    <m/>
    <m/>
    <s v="wci_wa"/>
    <n v="0"/>
    <n v="0"/>
    <n v="0"/>
    <n v="0"/>
    <n v="0"/>
    <n v="1"/>
    <n v="70235"/>
    <n v="2195"/>
    <n v="0"/>
    <n v="0"/>
    <m/>
    <m/>
    <m/>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B7" firstHeaderRow="1" firstDataRow="1" firstDataCol="1"/>
  <pivotFields count="7">
    <pivotField showAll="0"/>
    <pivotField showAll="0"/>
    <pivotField showAll="0"/>
    <pivotField showAll="0"/>
    <pivotField axis="axisRow" showAll="0">
      <items count="6">
        <item x="0"/>
        <item n="Other (non-regulated)- BDI Tons" x="3"/>
        <item x="1"/>
        <item x="2"/>
        <item x="4"/>
        <item t="default"/>
      </items>
    </pivotField>
    <pivotField showAll="0"/>
    <pivotField dataField="1" showAll="0"/>
  </pivotFields>
  <rowFields count="1">
    <field x="4"/>
  </rowFields>
  <rowItems count="6">
    <i>
      <x/>
    </i>
    <i>
      <x v="1"/>
    </i>
    <i>
      <x v="2"/>
    </i>
    <i>
      <x v="3"/>
    </i>
    <i>
      <x v="4"/>
    </i>
    <i t="grand">
      <x/>
    </i>
  </rowItems>
  <colItems count="1">
    <i/>
  </colItems>
  <dataFields count="1">
    <dataField name="Sum of Tons" fld="6" baseField="4" baseItem="0" numFmtId="43"/>
  </dataFields>
  <formats count="1">
    <format dxfId="1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2" cacheId="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23:I232" firstHeaderRow="1" firstDataRow="4" firstDataCol="1"/>
  <pivotFields count="44">
    <pivotField axis="axisRow" showAll="0">
      <items count="6">
        <item x="0"/>
        <item x="4"/>
        <item x="2"/>
        <item x="3"/>
        <item x="1"/>
        <item t="default"/>
      </items>
    </pivotField>
    <pivotField axis="axisCol" numFmtId="14" showAll="0">
      <items count="15">
        <item x="0"/>
        <item x="1"/>
        <item x="2"/>
        <item x="3"/>
        <item x="4"/>
        <item x="5"/>
        <item x="6"/>
        <item x="7"/>
        <item x="8"/>
        <item x="9"/>
        <item x="10"/>
        <item x="11"/>
        <item x="12"/>
        <item x="13"/>
        <item t="default"/>
      </items>
    </pivotField>
    <pivotField dataField="1" numFmtId="40" showAll="0"/>
    <pivotField numFmtId="4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sd="0" x="0"/>
        <item sd="0" x="1"/>
        <item sd="0" x="2"/>
        <item sd="0" x="3"/>
        <item sd="0" x="4"/>
        <item sd="0" x="5"/>
        <item t="default"/>
      </items>
    </pivotField>
    <pivotField axis="axisCol" showAll="0">
      <items count="9">
        <item sd="0" x="0"/>
        <item sd="0" x="1"/>
        <item sd="0" x="2"/>
        <item sd="0" x="3"/>
        <item sd="0" x="4"/>
        <item sd="0" x="5"/>
        <item sd="0" x="6"/>
        <item sd="0" x="7"/>
        <item t="default"/>
      </items>
    </pivotField>
  </pivotFields>
  <rowFields count="1">
    <field x="0"/>
  </rowFields>
  <rowItems count="6">
    <i>
      <x/>
    </i>
    <i>
      <x v="1"/>
    </i>
    <i>
      <x v="2"/>
    </i>
    <i>
      <x v="3"/>
    </i>
    <i>
      <x v="4"/>
    </i>
    <i t="grand">
      <x/>
    </i>
  </rowItems>
  <colFields count="3">
    <field x="43"/>
    <field x="42"/>
    <field x="1"/>
  </colFields>
  <colItems count="7">
    <i>
      <x v="1"/>
    </i>
    <i>
      <x v="2"/>
    </i>
    <i>
      <x v="3"/>
    </i>
    <i>
      <x v="4"/>
    </i>
    <i>
      <x v="5"/>
    </i>
    <i>
      <x v="6"/>
    </i>
    <i t="grand">
      <x/>
    </i>
  </colItems>
  <dataFields count="1">
    <dataField name="Sum of Amount USD" fld="2" baseField="0" baseItem="0"/>
  </dataFields>
  <formats count="24">
    <format dxfId="114">
      <pivotArea type="all" dataOnly="0" outline="0" fieldPosition="0"/>
    </format>
    <format dxfId="113">
      <pivotArea outline="0" collapsedLevelsAreSubtotals="1" fieldPosition="0"/>
    </format>
    <format dxfId="112">
      <pivotArea type="origin" dataOnly="0" labelOnly="1" outline="0" fieldPosition="0"/>
    </format>
    <format dxfId="111">
      <pivotArea field="43" type="button" dataOnly="0" labelOnly="1" outline="0" axis="axisCol" fieldPosition="0"/>
    </format>
    <format dxfId="110">
      <pivotArea field="42" type="button" dataOnly="0" labelOnly="1" outline="0" axis="axisCol" fieldPosition="1"/>
    </format>
    <format dxfId="109">
      <pivotArea field="1" type="button" dataOnly="0" labelOnly="1" outline="0" axis="axisCol" fieldPosition="2"/>
    </format>
    <format dxfId="108">
      <pivotArea type="topRight" dataOnly="0" labelOnly="1" outline="0" fieldPosition="0"/>
    </format>
    <format dxfId="107">
      <pivotArea field="0" type="button" dataOnly="0" labelOnly="1" outline="0" axis="axisRow"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fieldPosition="0">
        <references count="1">
          <reference field="43" count="6">
            <x v="1"/>
            <x v="2"/>
            <x v="3"/>
            <x v="4"/>
            <x v="5"/>
            <x v="6"/>
          </reference>
        </references>
      </pivotArea>
    </format>
    <format dxfId="103">
      <pivotArea dataOnly="0" labelOnly="1" grandCol="1" outline="0" fieldPosition="0"/>
    </format>
    <format dxfId="60">
      <pivotArea type="all" dataOnly="0" outline="0" fieldPosition="0"/>
    </format>
    <format dxfId="59">
      <pivotArea outline="0" collapsedLevelsAreSubtotals="1" fieldPosition="0"/>
    </format>
    <format dxfId="58">
      <pivotArea type="origin" dataOnly="0" labelOnly="1" outline="0" fieldPosition="0"/>
    </format>
    <format dxfId="57">
      <pivotArea field="43" type="button" dataOnly="0" labelOnly="1" outline="0" axis="axisCol" fieldPosition="0"/>
    </format>
    <format dxfId="56">
      <pivotArea field="42" type="button" dataOnly="0" labelOnly="1" outline="0" axis="axisCol" fieldPosition="1"/>
    </format>
    <format dxfId="55">
      <pivotArea field="1" type="button" dataOnly="0" labelOnly="1" outline="0" axis="axisCol" fieldPosition="2"/>
    </format>
    <format dxfId="54">
      <pivotArea type="topRight" dataOnly="0" labelOnly="1" outline="0" fieldPosition="0"/>
    </format>
    <format dxfId="53">
      <pivotArea field="0" type="button" dataOnly="0" labelOnly="1" outline="0" axis="axisRow" fieldPosition="0"/>
    </format>
    <format dxfId="52">
      <pivotArea dataOnly="0" labelOnly="1" fieldPosition="0">
        <references count="1">
          <reference field="0" count="0"/>
        </references>
      </pivotArea>
    </format>
    <format dxfId="51">
      <pivotArea dataOnly="0" labelOnly="1" grandRow="1" outline="0" fieldPosition="0"/>
    </format>
    <format dxfId="50">
      <pivotArea dataOnly="0" labelOnly="1" fieldPosition="0">
        <references count="1">
          <reference field="43" count="6">
            <x v="1"/>
            <x v="2"/>
            <x v="3"/>
            <x v="4"/>
            <x v="5"/>
            <x v="6"/>
          </reference>
        </references>
      </pivotArea>
    </format>
    <format dxfId="4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74:C89"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5">
        <item x="6"/>
        <item x="3"/>
        <item x="9"/>
        <item x="7"/>
        <item x="8"/>
        <item x="5"/>
        <item x="0"/>
        <item x="1"/>
        <item x="2"/>
        <item x="4"/>
        <item x="10"/>
        <item x="11"/>
        <item x="12"/>
        <item x="13"/>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5">
    <i>
      <x/>
    </i>
    <i>
      <x v="1"/>
    </i>
    <i>
      <x v="2"/>
    </i>
    <i>
      <x v="3"/>
    </i>
    <i>
      <x v="4"/>
    </i>
    <i>
      <x v="5"/>
    </i>
    <i>
      <x v="6"/>
    </i>
    <i>
      <x v="7"/>
    </i>
    <i>
      <x v="8"/>
    </i>
    <i>
      <x v="9"/>
    </i>
    <i>
      <x v="10"/>
    </i>
    <i>
      <x v="11"/>
    </i>
    <i>
      <x v="12"/>
    </i>
    <i>
      <x v="13"/>
    </i>
    <i t="grand">
      <x/>
    </i>
  </rowItems>
  <colItems count="1">
    <i/>
  </colItems>
  <dataFields count="1">
    <dataField name="Sum of Amount USD" fld="2" baseField="0" baseItem="0" numFmtId="43"/>
  </dataFields>
  <formats count="8">
    <format dxfId="102">
      <pivotArea outline="0" collapsedLevelsAreSubtotals="1" fieldPosition="0"/>
    </format>
    <format dxfId="101">
      <pivotArea dataOnly="0" labelOnly="1" outline="0" axis="axisValues" fieldPosition="0"/>
    </format>
    <format dxfId="100">
      <pivotArea type="all" dataOnly="0" outline="0" fieldPosition="0"/>
    </format>
    <format dxfId="99">
      <pivotArea outline="0" collapsedLevelsAreSubtotals="1" fieldPosition="0"/>
    </format>
    <format dxfId="98">
      <pivotArea field="12" type="button" dataOnly="0" labelOnly="1" outline="0" axis="axisRow" fieldPosition="0"/>
    </format>
    <format dxfId="97">
      <pivotArea dataOnly="0" labelOnly="1" fieldPosition="0">
        <references count="1">
          <reference field="12" count="0"/>
        </references>
      </pivotArea>
    </format>
    <format dxfId="96">
      <pivotArea dataOnly="0" labelOnly="1" grandRow="1" outline="0" fieldPosition="0"/>
    </format>
    <format dxfId="9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96:C12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29">
        <item x="0"/>
        <item x="8"/>
        <item x="11"/>
        <item x="12"/>
        <item x="13"/>
        <item x="14"/>
        <item x="17"/>
        <item x="20"/>
        <item x="23"/>
        <item x="24"/>
        <item x="26"/>
        <item x="18"/>
        <item x="2"/>
        <item x="6"/>
        <item x="3"/>
        <item x="25"/>
        <item x="27"/>
        <item x="10"/>
        <item x="4"/>
        <item x="15"/>
        <item x="5"/>
        <item x="9"/>
        <item x="21"/>
        <item x="19"/>
        <item x="22"/>
        <item x="16"/>
        <item x="7"/>
        <item x="1"/>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Sum of Amount USD" fld="2" baseField="0" baseItem="0" numFmtId="43"/>
  </dataFields>
  <formats count="2">
    <format dxfId="94">
      <pivotArea outline="0" collapsedLevelsAreSubtotals="1" fieldPosition="0"/>
    </format>
    <format dxfId="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9:C76"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7">
    <i>
      <x/>
    </i>
    <i>
      <x v="1"/>
    </i>
    <i>
      <x v="2"/>
    </i>
    <i>
      <x v="3"/>
    </i>
    <i>
      <x v="4"/>
    </i>
    <i>
      <x v="5"/>
    </i>
    <i>
      <x v="6"/>
    </i>
    <i>
      <x v="7"/>
    </i>
    <i>
      <x v="8"/>
    </i>
    <i>
      <x v="9"/>
    </i>
    <i>
      <x v="10"/>
    </i>
    <i>
      <x v="11"/>
    </i>
    <i>
      <x v="12"/>
    </i>
    <i>
      <x v="13"/>
    </i>
    <i>
      <x v="14"/>
    </i>
    <i>
      <x v="15"/>
    </i>
    <i t="grand">
      <x/>
    </i>
  </rowItems>
  <colItems count="1">
    <i/>
  </colItems>
  <dataFields count="1">
    <dataField name="Sum of Amount USD" fld="2" baseField="0" baseItem="0" numFmtId="43"/>
  </dataFields>
  <formats count="14">
    <format dxfId="92">
      <pivotArea outline="0" collapsedLevelsAreSubtotals="1" fieldPosition="0"/>
    </format>
    <format dxfId="91">
      <pivotArea dataOnly="0" labelOnly="1" outline="0" axis="axisValues" fieldPosition="0"/>
    </format>
    <format dxfId="90">
      <pivotArea type="all" dataOnly="0" outline="0" fieldPosition="0"/>
    </format>
    <format dxfId="89">
      <pivotArea outline="0" collapsedLevelsAreSubtotals="1" fieldPosition="0"/>
    </format>
    <format dxfId="88">
      <pivotArea field="12" type="button" dataOnly="0" labelOnly="1" outline="0" axis="axisRow" fieldPosition="0"/>
    </format>
    <format dxfId="87">
      <pivotArea dataOnly="0" labelOnly="1" fieldPosition="0">
        <references count="1">
          <reference field="12" count="0"/>
        </references>
      </pivotArea>
    </format>
    <format dxfId="86">
      <pivotArea dataOnly="0" labelOnly="1" grandRow="1" outline="0" fieldPosition="0"/>
    </format>
    <format dxfId="85">
      <pivotArea dataOnly="0" labelOnly="1" outline="0" axis="axisValues" fieldPosition="0"/>
    </format>
    <format dxfId="48">
      <pivotArea type="all" dataOnly="0" outline="0" fieldPosition="0"/>
    </format>
    <format dxfId="47">
      <pivotArea outline="0" collapsedLevelsAreSubtotals="1" fieldPosition="0"/>
    </format>
    <format dxfId="46">
      <pivotArea field="12" type="button" dataOnly="0" labelOnly="1" outline="0" axis="axisRow" fieldPosition="0"/>
    </format>
    <format dxfId="45">
      <pivotArea dataOnly="0" labelOnly="1" fieldPosition="0">
        <references count="1">
          <reference field="12" count="0"/>
        </references>
      </pivotArea>
    </format>
    <format dxfId="44">
      <pivotArea dataOnly="0" labelOnly="1" grandRow="1" outline="0" fieldPosition="0"/>
    </format>
    <format dxfId="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 cacheId="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94:C12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Amount USD" fld="2" baseField="0" baseItem="0"/>
  </dataFields>
  <formats count="26">
    <format dxfId="84">
      <pivotArea outline="0" collapsedLevelsAreSubtotals="1" fieldPosition="0"/>
    </format>
    <format dxfId="83">
      <pivotArea dataOnly="0" labelOnly="1" outline="0" axis="axisValues" fieldPosition="0"/>
    </format>
    <format dxfId="82">
      <pivotArea type="all" dataOnly="0" outline="0" fieldPosition="0"/>
    </format>
    <format dxfId="81">
      <pivotArea outline="0" collapsedLevelsAreSubtotals="1" fieldPosition="0"/>
    </format>
    <format dxfId="80">
      <pivotArea field="12" type="button" dataOnly="0" labelOnly="1" outline="0" axis="axisRow" fieldPosition="0"/>
    </format>
    <format dxfId="79">
      <pivotArea dataOnly="0" labelOnly="1" fieldPosition="0">
        <references count="1">
          <reference field="12" count="0"/>
        </references>
      </pivotArea>
    </format>
    <format dxfId="78">
      <pivotArea dataOnly="0" labelOnly="1" grandRow="1" outline="0" fieldPosition="0"/>
    </format>
    <format dxfId="77">
      <pivotArea dataOnly="0" labelOnly="1" outline="0" axis="axisValues" fieldPosition="0"/>
    </format>
    <format dxfId="76">
      <pivotArea type="all" dataOnly="0" outline="0" fieldPosition="0"/>
    </format>
    <format dxfId="75">
      <pivotArea outline="0" collapsedLevelsAreSubtotals="1" fieldPosition="0"/>
    </format>
    <format dxfId="74">
      <pivotArea field="12" type="button" dataOnly="0" labelOnly="1" outline="0" axis="axisRow" fieldPosition="0"/>
    </format>
    <format dxfId="73">
      <pivotArea dataOnly="0" labelOnly="1" fieldPosition="0">
        <references count="1">
          <reference field="12" count="0"/>
        </references>
      </pivotArea>
    </format>
    <format dxfId="72">
      <pivotArea dataOnly="0" labelOnly="1" grandRow="1" outline="0" fieldPosition="0"/>
    </format>
    <format dxfId="71">
      <pivotArea dataOnly="0" labelOnly="1" outline="0" axis="axisValues" fieldPosition="0"/>
    </format>
    <format dxfId="41">
      <pivotArea type="all" dataOnly="0" outline="0" fieldPosition="0"/>
    </format>
    <format dxfId="40">
      <pivotArea outline="0" collapsedLevelsAreSubtotals="1" fieldPosition="0"/>
    </format>
    <format dxfId="39">
      <pivotArea field="12" type="button" dataOnly="0" labelOnly="1" outline="0" axis="axisRow" fieldPosition="0"/>
    </format>
    <format dxfId="38">
      <pivotArea dataOnly="0" labelOnly="1" fieldPosition="0">
        <references count="1">
          <reference field="12" count="0"/>
        </references>
      </pivotArea>
    </format>
    <format dxfId="37">
      <pivotArea dataOnly="0" labelOnly="1" grandRow="1" outline="0" fieldPosition="0"/>
    </format>
    <format dxfId="36">
      <pivotArea dataOnly="0" labelOnly="1" outline="0" axis="axisValues" fieldPosition="0"/>
    </format>
    <format dxfId="34">
      <pivotArea type="all" dataOnly="0" outline="0" fieldPosition="0"/>
    </format>
    <format dxfId="12">
      <pivotArea outline="0" collapsedLevelsAreSubtotals="1" fieldPosition="0"/>
    </format>
    <format dxfId="11">
      <pivotArea field="12" type="button" dataOnly="0" labelOnly="1" outline="0" axis="axisRow" fieldPosition="0"/>
    </format>
    <format dxfId="10">
      <pivotArea dataOnly="0" labelOnly="1" fieldPosition="0">
        <references count="1">
          <reference field="12" count="0"/>
        </references>
      </pivotArea>
    </format>
    <format dxfId="9">
      <pivotArea dataOnly="0" labelOnly="1" grandRow="1" outline="0" fieldPosition="0"/>
    </format>
    <format dxfId="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1"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69:C80"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i>
    <i>
      <x v="1"/>
    </i>
    <i>
      <x v="2"/>
    </i>
    <i>
      <x v="3"/>
    </i>
    <i>
      <x v="4"/>
    </i>
    <i>
      <x v="5"/>
    </i>
    <i>
      <x v="6"/>
    </i>
    <i>
      <x v="7"/>
    </i>
    <i>
      <x v="8"/>
    </i>
    <i>
      <x v="9"/>
    </i>
    <i t="grand">
      <x/>
    </i>
  </rowItems>
  <colItems count="1">
    <i/>
  </colItems>
  <dataFields count="1">
    <dataField name="Sum of Amount USD" fld="2" baseField="0" baseItem="0" numFmtId="43"/>
  </dataFields>
  <formats count="14">
    <format dxfId="70">
      <pivotArea outline="0" collapsedLevelsAreSubtotals="1" fieldPosition="0"/>
    </format>
    <format dxfId="69">
      <pivotArea dataOnly="0" labelOnly="1" outline="0" axis="axisValues" fieldPosition="0"/>
    </format>
    <format dxfId="68">
      <pivotArea type="all" dataOnly="0" outline="0" fieldPosition="0"/>
    </format>
    <format dxfId="67">
      <pivotArea outline="0" collapsedLevelsAreSubtotals="1" fieldPosition="0"/>
    </format>
    <format dxfId="66">
      <pivotArea field="12" type="button" dataOnly="0" labelOnly="1" outline="0" axis="axisRow" fieldPosition="0"/>
    </format>
    <format dxfId="65">
      <pivotArea dataOnly="0" labelOnly="1" fieldPosition="0">
        <references count="1">
          <reference field="12" count="0"/>
        </references>
      </pivotArea>
    </format>
    <format dxfId="64">
      <pivotArea dataOnly="0" labelOnly="1" grandRow="1" outline="0" fieldPosition="0"/>
    </format>
    <format dxfId="63">
      <pivotArea dataOnly="0" labelOnly="1" outline="0" axis="axisValues" fieldPosition="0"/>
    </format>
    <format dxfId="6">
      <pivotArea type="all" dataOnly="0" outline="0" fieldPosition="0"/>
    </format>
    <format dxfId="5">
      <pivotArea outline="0" collapsedLevelsAreSubtotals="1" fieldPosition="0"/>
    </format>
    <format dxfId="4">
      <pivotArea field="12" type="button" dataOnly="0" labelOnly="1" outline="0" axis="axisRow" fieldPosition="0"/>
    </format>
    <format dxfId="3">
      <pivotArea dataOnly="0" labelOnly="1" fieldPosition="0">
        <references count="1">
          <reference field="12" count="0"/>
        </references>
      </pivotArea>
    </format>
    <format dxfId="2">
      <pivotArea dataOnly="0" labelOnly="1" grandRow="1" outline="0" fieldPosition="0"/>
    </format>
    <format dxfId="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7:C52" firstHeaderRow="1" firstDataRow="1" firstDataCol="1"/>
  <pivotFields count="42">
    <pivotField showAll="0"/>
    <pivotField numFmtId="14" showAll="0">
      <items count="7">
        <item x="0"/>
        <item x="1"/>
        <item x="2"/>
        <item x="3"/>
        <item x="4"/>
        <item x="5"/>
        <item t="default"/>
      </items>
    </pivotField>
    <pivotField dataField="1" numFmtId="40" showAll="0"/>
    <pivotField numFmtId="40"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1"/>
        <item x="3"/>
        <item x="2"/>
        <item t="default"/>
      </items>
    </pivotField>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pivotField showAll="0"/>
    <pivotField showAll="0"/>
    <pivotField showAll="0"/>
    <pivotField showAll="0"/>
    <pivotField showAll="0"/>
    <pivotField showAll="0"/>
    <pivotField showAll="0"/>
  </pivotFields>
  <rowFields count="1">
    <field x="15"/>
  </rowFields>
  <rowItems count="5">
    <i>
      <x/>
    </i>
    <i>
      <x v="1"/>
    </i>
    <i>
      <x v="2"/>
    </i>
    <i>
      <x v="3"/>
    </i>
    <i t="grand">
      <x/>
    </i>
  </rowItems>
  <colItems count="1">
    <i/>
  </colItems>
  <dataFields count="1">
    <dataField name="Sum of Amount USD" fld="2" baseField="0" baseItem="0" numFmtId="43"/>
  </dataFields>
  <formats count="2">
    <format dxfId="62">
      <pivotArea outline="0" collapsedLevelsAreSubtotals="1" fieldPosition="0"/>
    </format>
    <format dxfId="6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4.bin"/><Relationship Id="rId5" Type="http://schemas.openxmlformats.org/officeDocument/2006/relationships/image" Target="../media/image1.emf"/><Relationship Id="rId4" Type="http://schemas.openxmlformats.org/officeDocument/2006/relationships/control" Target="../activeX/activeX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5.bin"/><Relationship Id="rId5" Type="http://schemas.openxmlformats.org/officeDocument/2006/relationships/image" Target="../media/image1.emf"/><Relationship Id="rId4" Type="http://schemas.openxmlformats.org/officeDocument/2006/relationships/control" Target="../activeX/activeX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6.bin"/><Relationship Id="rId5" Type="http://schemas.openxmlformats.org/officeDocument/2006/relationships/image" Target="../media/image1.emf"/><Relationship Id="rId4"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7.bin"/><Relationship Id="rId5" Type="http://schemas.openxmlformats.org/officeDocument/2006/relationships/image" Target="../media/image1.emf"/><Relationship Id="rId4" Type="http://schemas.openxmlformats.org/officeDocument/2006/relationships/control" Target="../activeX/activeX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8.bin"/><Relationship Id="rId1" Type="http://schemas.openxmlformats.org/officeDocument/2006/relationships/pivotTable" Target="../pivotTables/pivotTable2.xml"/><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9.bin"/><Relationship Id="rId1" Type="http://schemas.openxmlformats.org/officeDocument/2006/relationships/pivotTable" Target="../pivotTables/pivotTable3.xml"/><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0.bin"/><Relationship Id="rId1" Type="http://schemas.openxmlformats.org/officeDocument/2006/relationships/pivotTable" Target="../pivotTables/pivotTable4.xml"/><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1.bin"/><Relationship Id="rId1" Type="http://schemas.openxmlformats.org/officeDocument/2006/relationships/pivotTable" Target="../pivotTables/pivotTable5.xml"/><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2.bin"/><Relationship Id="rId1" Type="http://schemas.openxmlformats.org/officeDocument/2006/relationships/pivotTable" Target="../pivotTables/pivotTable6.xml"/><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3.bin"/><Relationship Id="rId1" Type="http://schemas.openxmlformats.org/officeDocument/2006/relationships/pivotTable" Target="../pivotTables/pivotTable7.xml"/><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4.bin"/><Relationship Id="rId1" Type="http://schemas.openxmlformats.org/officeDocument/2006/relationships/pivotTable" Target="../pivotTables/pivotTable8.xml"/><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AL557"/>
  <sheetViews>
    <sheetView showGridLines="0" view="pageBreakPreview" topLeftCell="D2" zoomScaleNormal="85" zoomScaleSheetLayoutView="100" workbookViewId="0">
      <selection activeCell="J15" sqref="J15:AH323"/>
    </sheetView>
  </sheetViews>
  <sheetFormatPr defaultColWidth="13.85546875" defaultRowHeight="12.75" outlineLevelRow="1" outlineLevelCol="1"/>
  <cols>
    <col min="1" max="3" width="0" style="1" hidden="1" customWidth="1"/>
    <col min="4" max="4" width="7.85546875" style="1" customWidth="1"/>
    <col min="5" max="6" width="2.28515625" style="1" customWidth="1"/>
    <col min="7" max="7" width="23.28515625" style="1" customWidth="1"/>
    <col min="8" max="8" width="2.28515625" style="1" customWidth="1"/>
    <col min="9" max="9" width="2.140625" style="1" customWidth="1" outlineLevel="1"/>
    <col min="10" max="10" width="10.28515625" style="48" bestFit="1" customWidth="1" outlineLevel="1"/>
    <col min="11" max="11" width="0.7109375" style="1" customWidth="1" outlineLevel="1"/>
    <col min="12" max="12" width="10.28515625" style="48" customWidth="1" outlineLevel="1"/>
    <col min="13" max="13" width="1.140625" style="1" customWidth="1" outlineLevel="1"/>
    <col min="14" max="14" width="10.28515625" style="48" bestFit="1" customWidth="1" outlineLevel="1"/>
    <col min="15" max="15" width="1.5703125" style="1" customWidth="1" outlineLevel="1"/>
    <col min="16" max="16" width="10.28515625" style="48" bestFit="1" customWidth="1" outlineLevel="1"/>
    <col min="17" max="17" width="1.42578125" style="1" customWidth="1" outlineLevel="1"/>
    <col min="18" max="18" width="10.28515625" style="48" bestFit="1" customWidth="1" outlineLevel="1"/>
    <col min="19" max="19" width="0.7109375" style="1" customWidth="1" outlineLevel="1"/>
    <col min="20" max="20" width="10.28515625" style="48" bestFit="1" customWidth="1" outlineLevel="1"/>
    <col min="21" max="21" width="1.140625" style="1" customWidth="1" outlineLevel="1"/>
    <col min="22" max="22" width="10.28515625" style="48" bestFit="1" customWidth="1" outlineLevel="1"/>
    <col min="23" max="23" width="0.7109375" style="1" customWidth="1" outlineLevel="1"/>
    <col min="24" max="24" width="10.28515625" style="48" bestFit="1" customWidth="1" outlineLevel="1"/>
    <col min="25" max="25" width="0.7109375" style="1" customWidth="1" outlineLevel="1"/>
    <col min="26" max="26" width="10.28515625" style="48" bestFit="1" customWidth="1" outlineLevel="1"/>
    <col min="27" max="27" width="0.7109375" style="1" customWidth="1" outlineLevel="1"/>
    <col min="28" max="28" width="10.28515625" style="48" bestFit="1" customWidth="1" outlineLevel="1"/>
    <col min="29" max="29" width="0.7109375" style="1" customWidth="1" outlineLevel="1"/>
    <col min="30" max="30" width="10.28515625" style="48" bestFit="1" customWidth="1" outlineLevel="1"/>
    <col min="31" max="31" width="0.7109375" style="1" customWidth="1" outlineLevel="1"/>
    <col min="32" max="32" width="10.28515625" style="48" bestFit="1" customWidth="1" outlineLevel="1"/>
    <col min="33" max="33" width="1.140625" style="1" customWidth="1"/>
    <col min="34" max="34" width="11.28515625" style="48" bestFit="1" customWidth="1"/>
    <col min="35" max="35" width="5.28515625" style="1" customWidth="1"/>
    <col min="36" max="36" width="1.42578125" style="1" customWidth="1"/>
    <col min="37" max="16384" width="13.85546875" style="1"/>
  </cols>
  <sheetData>
    <row r="1" spans="1:36" hidden="1">
      <c r="D1" s="1" t="s">
        <v>0</v>
      </c>
      <c r="E1" s="1" t="s">
        <v>1</v>
      </c>
      <c r="F1" s="2"/>
      <c r="G1" s="3"/>
      <c r="J1" s="1" t="s">
        <v>2</v>
      </c>
      <c r="L1" s="1" t="s">
        <v>3</v>
      </c>
      <c r="N1" s="1" t="s">
        <v>4</v>
      </c>
      <c r="P1" s="1" t="s">
        <v>5</v>
      </c>
      <c r="R1" s="1" t="s">
        <v>6</v>
      </c>
      <c r="T1" s="1" t="s">
        <v>7</v>
      </c>
      <c r="V1" s="1" t="s">
        <v>8</v>
      </c>
      <c r="X1" s="1" t="s">
        <v>9</v>
      </c>
      <c r="Z1" s="1" t="s">
        <v>10</v>
      </c>
      <c r="AB1" s="1" t="s">
        <v>11</v>
      </c>
      <c r="AD1" s="1" t="s">
        <v>12</v>
      </c>
      <c r="AF1" s="1" t="s">
        <v>13</v>
      </c>
      <c r="AH1" s="4"/>
    </row>
    <row r="2" spans="1:36" outlineLevel="1">
      <c r="B2" s="5"/>
      <c r="D2" s="234"/>
      <c r="E2" s="234"/>
      <c r="F2" s="235"/>
      <c r="G2" s="3"/>
      <c r="H2" s="236"/>
      <c r="I2" s="6"/>
      <c r="J2" s="7">
        <v>0</v>
      </c>
      <c r="K2" s="6"/>
      <c r="L2" s="7">
        <v>0</v>
      </c>
      <c r="M2" s="6"/>
      <c r="N2" s="7">
        <v>0</v>
      </c>
      <c r="O2" s="6"/>
      <c r="P2" s="7">
        <v>0</v>
      </c>
      <c r="Q2" s="6"/>
      <c r="R2" s="7">
        <v>0</v>
      </c>
      <c r="S2" s="6"/>
      <c r="T2" s="7">
        <v>0</v>
      </c>
      <c r="U2" s="6"/>
      <c r="V2" s="7">
        <v>0</v>
      </c>
      <c r="W2" s="6"/>
      <c r="X2" s="7">
        <v>0</v>
      </c>
      <c r="Y2" s="6"/>
      <c r="Z2" s="7">
        <v>0</v>
      </c>
      <c r="AA2" s="6"/>
      <c r="AB2" s="7">
        <v>0</v>
      </c>
      <c r="AC2" s="6"/>
      <c r="AD2" s="7">
        <v>0</v>
      </c>
      <c r="AE2" s="6"/>
      <c r="AF2" s="7">
        <v>0</v>
      </c>
      <c r="AG2" s="6"/>
      <c r="AH2" s="7">
        <f>AF2+AD2+AB2+Z2+X2+V2+T2+R2+P2+N2+L2+J2</f>
        <v>0</v>
      </c>
      <c r="AI2" s="8">
        <f>IF(AH$58=0,0,AH2/AH$58)</f>
        <v>0</v>
      </c>
      <c r="AJ2" s="9"/>
    </row>
    <row r="3" spans="1:36" hidden="1">
      <c r="D3" s="10"/>
      <c r="E3" s="10"/>
      <c r="F3" s="10"/>
      <c r="G3" s="10"/>
      <c r="H3" s="10"/>
      <c r="I3" s="10"/>
      <c r="J3" s="1" t="str">
        <f>TEXT(EDATE(DATEVALUE(RIGHT($D$8,2)&amp;"/1/"&amp;LEFT($D$8,4)),-11),"yyyy-mm")</f>
        <v>2021-04</v>
      </c>
      <c r="L3" s="1" t="str">
        <f>TEXT(EDATE(DATEVALUE(RIGHT($D$8,2)&amp;"/1/"&amp;LEFT($D$8,4)),-10),"yyyy-mm")</f>
        <v>2021-05</v>
      </c>
      <c r="N3" s="1" t="str">
        <f>TEXT(EDATE(DATEVALUE(RIGHT($D$8,2)&amp;"/1/"&amp;LEFT($D$8,4)),-9),"yyyy-mm")</f>
        <v>2021-06</v>
      </c>
      <c r="P3" s="1" t="str">
        <f>TEXT(EDATE(DATEVALUE(RIGHT($D$8,2)&amp;"/1/"&amp;LEFT($D$8,4)),-8),"yyyy-mm")</f>
        <v>2021-07</v>
      </c>
      <c r="R3" s="1" t="str">
        <f>TEXT(EDATE(DATEVALUE(RIGHT($D$8,2)&amp;"/1/"&amp;LEFT($D$8,4)),-7),"yyyy-mm")</f>
        <v>2021-08</v>
      </c>
      <c r="T3" s="1" t="str">
        <f>TEXT(EDATE(DATEVALUE(RIGHT($D$8,2)&amp;"/1/"&amp;LEFT($D$8,4)),-6),"yyyy-mm")</f>
        <v>2021-09</v>
      </c>
      <c r="V3" s="1" t="str">
        <f>TEXT(EDATE(DATEVALUE(RIGHT($D$8,2)&amp;"/1/"&amp;LEFT($D$8,4)),-5),"yyyy-mm")</f>
        <v>2021-10</v>
      </c>
      <c r="X3" s="1" t="str">
        <f>TEXT(EDATE(DATEVALUE(RIGHT($D$8,2)&amp;"/1/"&amp;LEFT($D$8,4)),-4),"yyyy-mm")</f>
        <v>2021-11</v>
      </c>
      <c r="Z3" s="1" t="str">
        <f>TEXT(EDATE(DATEVALUE(RIGHT($D$8,2)&amp;"/1/"&amp;LEFT($D$8,4)),-3),"yyyy-mm")</f>
        <v>2021-12</v>
      </c>
      <c r="AB3" s="1" t="str">
        <f>TEXT(EDATE(DATEVALUE(RIGHT($D$8,2)&amp;"/1/"&amp;LEFT($D$8,4)),-2),"yyyy-mm")</f>
        <v>2022-01</v>
      </c>
      <c r="AD3" s="1" t="str">
        <f>TEXT(EDATE(DATEVALUE(RIGHT($D$8,2)&amp;"/1/"&amp;LEFT($D$8,4)),-1),"yyyy-mm")</f>
        <v>2022-02</v>
      </c>
      <c r="AF3" s="1" t="str">
        <f>YearMonth</f>
        <v>2022-03</v>
      </c>
      <c r="AH3" s="1"/>
    </row>
    <row r="4" spans="1:36" ht="15" hidden="1">
      <c r="B4" s="11" t="str">
        <f ca="1">_xll.ReportVariable("WCN1",B13:B429,1:1,2:2,_xll.Param(D8,N6,"PL,98501",R7,"PL",R6,"AcctGrp1","ConsolSum","",""))</f>
        <v>OK!: ReportVariable Formula OK [jAction{}]</v>
      </c>
      <c r="G4" s="12"/>
      <c r="J4" s="1"/>
      <c r="L4" s="1"/>
      <c r="N4" s="1"/>
      <c r="P4" s="1"/>
      <c r="R4" s="1"/>
      <c r="T4" s="1"/>
      <c r="V4" s="1"/>
      <c r="X4" s="1"/>
      <c r="Z4" s="1"/>
      <c r="AB4" s="1"/>
      <c r="AD4" s="1"/>
      <c r="AF4" s="1"/>
      <c r="AH4" s="1"/>
    </row>
    <row r="5" spans="1:36" hidden="1">
      <c r="B5" s="11" t="e">
        <f ca="1">_xll.ReportDrill(,"JEQuery",D12:D327,J3:AJ3,"K7","G6",,,_xll.Param("","",N6))</f>
        <v>#VALUE!</v>
      </c>
      <c r="J5" s="1"/>
      <c r="L5" s="1"/>
      <c r="N5" s="1"/>
      <c r="P5" s="1"/>
      <c r="R5" s="1"/>
      <c r="T5" s="1"/>
      <c r="V5" s="1"/>
      <c r="X5" s="1"/>
      <c r="Z5" s="1"/>
      <c r="AB5" s="1"/>
      <c r="AD5" s="1"/>
      <c r="AF5" s="1"/>
      <c r="AH5" s="1"/>
    </row>
    <row r="6" spans="1:36" s="14" customFormat="1" ht="15.75">
      <c r="A6" s="1"/>
      <c r="B6" s="1"/>
      <c r="C6" s="1"/>
      <c r="D6" s="13" t="s">
        <v>1121</v>
      </c>
      <c r="M6" s="15" t="s">
        <v>15</v>
      </c>
      <c r="N6" s="18" t="s">
        <v>1112</v>
      </c>
      <c r="Q6" s="15" t="s">
        <v>16</v>
      </c>
      <c r="R6" s="17"/>
      <c r="S6" s="15"/>
      <c r="T6" s="18"/>
      <c r="Y6" s="15"/>
      <c r="Z6" s="18"/>
      <c r="AE6" s="15"/>
      <c r="AF6" s="18"/>
      <c r="AH6" s="19"/>
    </row>
    <row r="7" spans="1:36" s="14" customFormat="1" ht="15.75">
      <c r="A7" s="1"/>
      <c r="D7" s="13" t="s">
        <v>434</v>
      </c>
      <c r="N7" s="16" t="s">
        <v>17</v>
      </c>
      <c r="Q7" s="15" t="s">
        <v>18</v>
      </c>
      <c r="R7" s="16" t="s">
        <v>17</v>
      </c>
      <c r="T7" s="16" t="s">
        <v>17</v>
      </c>
      <c r="Z7" s="16" t="s">
        <v>17</v>
      </c>
      <c r="AF7" s="16" t="s">
        <v>17</v>
      </c>
    </row>
    <row r="8" spans="1:36" s="14" customFormat="1" ht="15.75">
      <c r="A8" s="1"/>
      <c r="D8" s="20" t="s">
        <v>2009</v>
      </c>
    </row>
    <row r="9" spans="1:36" s="14" customFormat="1" ht="15.75">
      <c r="A9" s="1"/>
      <c r="D9" s="21"/>
    </row>
    <row r="10" spans="1:36" s="14" customFormat="1" ht="15">
      <c r="A10" s="1"/>
      <c r="D10" s="387"/>
      <c r="F10" s="387"/>
      <c r="H10" s="387"/>
      <c r="J10" s="387"/>
      <c r="L10" s="387"/>
      <c r="N10" s="387"/>
      <c r="P10" s="387"/>
      <c r="R10" s="387"/>
      <c r="T10" s="387"/>
      <c r="V10" s="387"/>
      <c r="X10" s="387"/>
      <c r="Z10" s="387"/>
      <c r="AB10" s="387"/>
      <c r="AD10" s="387"/>
      <c r="AF10" s="387"/>
      <c r="AH10" s="387"/>
    </row>
    <row r="11" spans="1:36" s="14" customFormat="1" ht="15">
      <c r="A11" s="1"/>
      <c r="D11" s="23"/>
      <c r="E11" s="23"/>
      <c r="F11" s="23"/>
      <c r="G11" s="23"/>
      <c r="H11" s="23"/>
      <c r="I11" s="23"/>
      <c r="J11" s="24"/>
      <c r="K11" s="25"/>
      <c r="L11" s="24"/>
      <c r="M11" s="25"/>
      <c r="N11" s="26"/>
      <c r="O11" s="25"/>
      <c r="P11" s="24"/>
      <c r="Q11" s="25"/>
      <c r="R11" s="24"/>
      <c r="S11" s="25"/>
      <c r="T11" s="26"/>
      <c r="U11" s="25"/>
      <c r="V11" s="24"/>
      <c r="W11" s="25"/>
      <c r="X11" s="24"/>
      <c r="Y11" s="25"/>
      <c r="Z11" s="26"/>
      <c r="AA11" s="25"/>
      <c r="AB11" s="24"/>
      <c r="AC11" s="25"/>
      <c r="AD11" s="24"/>
      <c r="AE11" s="25"/>
      <c r="AF11" s="26"/>
      <c r="AG11" s="25"/>
      <c r="AH11" s="24"/>
      <c r="AI11" s="24"/>
    </row>
    <row r="12" spans="1:36" s="14" customFormat="1" ht="15.75" thickBot="1">
      <c r="A12" s="1"/>
      <c r="B12" s="27" t="s">
        <v>19</v>
      </c>
      <c r="D12" s="23"/>
      <c r="E12" s="23"/>
      <c r="F12" s="23"/>
      <c r="G12" s="23"/>
      <c r="H12" s="23"/>
      <c r="I12" s="23"/>
      <c r="J12" s="286">
        <f>DATE(MID(J3,1,4), MID(J3,6,2), MID(J3,6,2))</f>
        <v>44290</v>
      </c>
      <c r="K12" s="28"/>
      <c r="L12" s="286">
        <f>DATE(MID(L3,1,4), MID(L3,6,2), MID(L3,6,2))</f>
        <v>44321</v>
      </c>
      <c r="M12" s="28"/>
      <c r="N12" s="286">
        <f>DATE(MID(N3,1,4), MID(N3,6,2), MID(N3,6,2))</f>
        <v>44353</v>
      </c>
      <c r="O12" s="29"/>
      <c r="P12" s="286">
        <f>DATE(MID(P3,1,4), MID(P3,6,2), MID(P3,6,2))</f>
        <v>44384</v>
      </c>
      <c r="Q12" s="28"/>
      <c r="R12" s="286">
        <f>DATE(MID(R3,1,4), MID(R3,6,2), MID(R3,6,2))</f>
        <v>44416</v>
      </c>
      <c r="S12" s="28"/>
      <c r="T12" s="286">
        <f>DATE(MID(T3,1,4), MID(T3,6,2), MID(T3,6,2))</f>
        <v>44448</v>
      </c>
      <c r="U12" s="29"/>
      <c r="V12" s="286">
        <f>DATE(MID(V3,1,4), MID(V3,6,2), MID(V3,6,2))</f>
        <v>44479</v>
      </c>
      <c r="W12" s="28"/>
      <c r="X12" s="286">
        <f>DATE(MID(X3,1,4), MID(X3,6,2), MID(X3,6,2))</f>
        <v>44511</v>
      </c>
      <c r="Y12" s="28"/>
      <c r="Z12" s="286">
        <f>DATE(MID(Z3,1,4), MID(Z3,6,2), MID(Z3,6,2))</f>
        <v>44542</v>
      </c>
      <c r="AA12" s="29"/>
      <c r="AB12" s="286">
        <f>DATE(MID(AB3,1,4), MID(AB3,6,2), MID(AB3,6,2))</f>
        <v>44562</v>
      </c>
      <c r="AC12" s="28"/>
      <c r="AD12" s="286">
        <f>DATE(MID(AD3,1,4), MID(AD3,6,2), MID(AD3,6,2))</f>
        <v>44594</v>
      </c>
      <c r="AE12" s="28"/>
      <c r="AF12" s="286">
        <f>DATE(MID(AF3,1,4), MID(AF3,6,2), MID(AF3,6,2))</f>
        <v>44623</v>
      </c>
      <c r="AG12" s="29"/>
      <c r="AH12" s="287" t="s">
        <v>20</v>
      </c>
      <c r="AI12" s="288"/>
    </row>
    <row r="13" spans="1:36" outlineLevel="1">
      <c r="B13" s="5" t="s">
        <v>21</v>
      </c>
      <c r="D13" s="234">
        <v>98501</v>
      </c>
      <c r="E13" s="234" t="s">
        <v>296</v>
      </c>
      <c r="F13" s="235"/>
      <c r="G13" s="3"/>
      <c r="H13" s="236"/>
      <c r="I13" s="6"/>
      <c r="J13" s="7">
        <v>22</v>
      </c>
      <c r="K13" s="6"/>
      <c r="L13" s="7">
        <v>21</v>
      </c>
      <c r="M13" s="6"/>
      <c r="N13" s="7">
        <v>22</v>
      </c>
      <c r="O13" s="6"/>
      <c r="P13" s="7">
        <v>22</v>
      </c>
      <c r="Q13" s="6"/>
      <c r="R13" s="7">
        <v>22</v>
      </c>
      <c r="S13" s="6"/>
      <c r="T13" s="7">
        <v>22</v>
      </c>
      <c r="U13" s="6"/>
      <c r="V13" s="7">
        <v>21</v>
      </c>
      <c r="W13" s="6"/>
      <c r="X13" s="7">
        <v>22</v>
      </c>
      <c r="Y13" s="6"/>
      <c r="Z13" s="7">
        <v>23</v>
      </c>
      <c r="AA13" s="6"/>
      <c r="AB13" s="7">
        <v>21</v>
      </c>
      <c r="AC13" s="6"/>
      <c r="AD13" s="7">
        <v>20</v>
      </c>
      <c r="AE13" s="6"/>
      <c r="AF13" s="7">
        <v>23</v>
      </c>
      <c r="AG13" s="6"/>
      <c r="AH13" s="7">
        <f>AF13+AD13+AB13+Z13+X13+V13+T13+R13+P13+N13+L13+J13</f>
        <v>261</v>
      </c>
      <c r="AI13" s="8">
        <f>IF(AH$58=0,0,AH13/AH$58)</f>
        <v>1.2891102937409882E-5</v>
      </c>
      <c r="AJ13" s="9"/>
    </row>
    <row r="14" spans="1:36" s="236" customFormat="1" ht="4.5" customHeight="1" thickBot="1">
      <c r="J14" s="6"/>
      <c r="K14" s="14"/>
      <c r="L14" s="6"/>
      <c r="M14" s="14"/>
      <c r="N14" s="6"/>
      <c r="O14" s="14"/>
      <c r="P14" s="6"/>
      <c r="Q14" s="14"/>
      <c r="R14" s="6"/>
      <c r="S14" s="14"/>
      <c r="T14" s="6"/>
      <c r="U14" s="14"/>
      <c r="V14" s="6"/>
      <c r="W14" s="14"/>
      <c r="X14" s="6"/>
      <c r="Y14" s="14"/>
      <c r="Z14" s="6"/>
      <c r="AA14" s="14"/>
      <c r="AB14" s="6"/>
      <c r="AC14" s="14"/>
      <c r="AD14" s="6"/>
      <c r="AE14" s="14"/>
      <c r="AF14" s="6"/>
      <c r="AG14" s="14"/>
      <c r="AH14" s="6"/>
      <c r="AI14" s="30"/>
      <c r="AJ14" s="14"/>
    </row>
    <row r="15" spans="1:36" s="236" customFormat="1" ht="15.75" outlineLevel="1" thickTop="1">
      <c r="J15" s="1097"/>
      <c r="K15" s="1098"/>
      <c r="L15" s="1099"/>
      <c r="M15" s="1098"/>
      <c r="N15" s="1099"/>
      <c r="O15" s="1098"/>
      <c r="P15" s="1099"/>
      <c r="Q15" s="1098"/>
      <c r="R15" s="1099"/>
      <c r="S15" s="1098"/>
      <c r="T15" s="1099"/>
      <c r="U15" s="1098"/>
      <c r="V15" s="1099"/>
      <c r="W15" s="1098"/>
      <c r="X15" s="1099"/>
      <c r="Y15" s="1098"/>
      <c r="Z15" s="1099"/>
      <c r="AA15" s="1098"/>
      <c r="AB15" s="1099"/>
      <c r="AC15" s="1098"/>
      <c r="AD15" s="1099"/>
      <c r="AE15" s="1098"/>
      <c r="AF15" s="1099"/>
      <c r="AG15" s="1098"/>
      <c r="AH15" s="1100"/>
      <c r="AI15" s="31"/>
      <c r="AJ15" s="14"/>
    </row>
    <row r="16" spans="1:36" outlineLevel="1">
      <c r="B16" s="5" t="s">
        <v>22</v>
      </c>
      <c r="D16" s="234">
        <v>31000</v>
      </c>
      <c r="E16" s="234" t="s">
        <v>23</v>
      </c>
      <c r="F16" s="235"/>
      <c r="G16" s="3"/>
      <c r="H16" s="236"/>
      <c r="I16" s="6"/>
      <c r="J16" s="1078">
        <v>208291.26</v>
      </c>
      <c r="K16" s="1080"/>
      <c r="L16" s="1080">
        <v>206664.97</v>
      </c>
      <c r="M16" s="1080"/>
      <c r="N16" s="1080">
        <v>231327.04</v>
      </c>
      <c r="O16" s="1080"/>
      <c r="P16" s="1080">
        <v>220193.84</v>
      </c>
      <c r="Q16" s="1080"/>
      <c r="R16" s="1080">
        <v>226004.34</v>
      </c>
      <c r="S16" s="1080"/>
      <c r="T16" s="1080">
        <v>225138.14</v>
      </c>
      <c r="U16" s="1080"/>
      <c r="V16" s="1080">
        <v>225026.54</v>
      </c>
      <c r="W16" s="1080"/>
      <c r="X16" s="1080">
        <v>215362.94</v>
      </c>
      <c r="Y16" s="1080"/>
      <c r="Z16" s="1080">
        <v>178595.87</v>
      </c>
      <c r="AA16" s="1080"/>
      <c r="AB16" s="1080">
        <v>170753.89</v>
      </c>
      <c r="AC16" s="1080"/>
      <c r="AD16" s="1080">
        <v>199451.67</v>
      </c>
      <c r="AE16" s="1080"/>
      <c r="AF16" s="1080">
        <v>227880.24</v>
      </c>
      <c r="AG16" s="1080"/>
      <c r="AH16" s="1081">
        <f t="shared" ref="AH16:AH27" si="0">AF16+AD16+AB16+Z16+X16+V16+T16+R16+P16+N16+L16+J16</f>
        <v>2534690.7400000002</v>
      </c>
      <c r="AI16" s="8">
        <f t="shared" ref="AI16:AI27" si="1">IF(AH$58=0,0,AH16/AH$58)</f>
        <v>0.1251914147273549</v>
      </c>
      <c r="AJ16" s="9"/>
    </row>
    <row r="17" spans="2:36" outlineLevel="1">
      <c r="B17" s="5" t="s">
        <v>24</v>
      </c>
      <c r="D17" s="234">
        <v>31002</v>
      </c>
      <c r="E17" s="234" t="s">
        <v>25</v>
      </c>
      <c r="F17" s="235"/>
      <c r="G17" s="3"/>
      <c r="H17" s="236"/>
      <c r="I17" s="6"/>
      <c r="J17" s="1078">
        <v>63929.96</v>
      </c>
      <c r="K17" s="1080"/>
      <c r="L17" s="1080">
        <v>67867.97</v>
      </c>
      <c r="M17" s="1080"/>
      <c r="N17" s="1080">
        <v>69543.990000000005</v>
      </c>
      <c r="O17" s="1080"/>
      <c r="P17" s="1080">
        <v>62458.1</v>
      </c>
      <c r="Q17" s="1080"/>
      <c r="R17" s="1080">
        <v>66949.66</v>
      </c>
      <c r="S17" s="1080"/>
      <c r="T17" s="1080">
        <v>68568.960000000006</v>
      </c>
      <c r="U17" s="1080"/>
      <c r="V17" s="1080">
        <v>70205.899999999994</v>
      </c>
      <c r="W17" s="1080"/>
      <c r="X17" s="1080">
        <v>66317.990000000005</v>
      </c>
      <c r="Y17" s="1080"/>
      <c r="Z17" s="1080">
        <v>62983.18</v>
      </c>
      <c r="AA17" s="1080"/>
      <c r="AB17" s="1080">
        <v>58633.66</v>
      </c>
      <c r="AC17" s="1080"/>
      <c r="AD17" s="1080">
        <v>59717.3</v>
      </c>
      <c r="AE17" s="1080"/>
      <c r="AF17" s="1080">
        <v>64405.27</v>
      </c>
      <c r="AG17" s="1080"/>
      <c r="AH17" s="1081">
        <f t="shared" si="0"/>
        <v>781581.94</v>
      </c>
      <c r="AI17" s="8">
        <f t="shared" si="1"/>
        <v>3.860326912858434E-2</v>
      </c>
      <c r="AJ17" s="9"/>
    </row>
    <row r="18" spans="2:36" outlineLevel="1">
      <c r="B18" s="5" t="s">
        <v>24</v>
      </c>
      <c r="D18" s="234">
        <v>31005</v>
      </c>
      <c r="E18" s="234" t="s">
        <v>427</v>
      </c>
      <c r="F18" s="235"/>
      <c r="G18" s="3"/>
      <c r="H18" s="236"/>
      <c r="I18" s="6"/>
      <c r="J18" s="1078">
        <v>178202.96</v>
      </c>
      <c r="K18" s="1080"/>
      <c r="L18" s="1080">
        <v>173894.01</v>
      </c>
      <c r="M18" s="1080"/>
      <c r="N18" s="1080">
        <v>199565</v>
      </c>
      <c r="O18" s="1080"/>
      <c r="P18" s="1080">
        <v>195216.39</v>
      </c>
      <c r="Q18" s="1080"/>
      <c r="R18" s="1080">
        <v>190258.43</v>
      </c>
      <c r="S18" s="1080"/>
      <c r="T18" s="1080">
        <v>183583.85</v>
      </c>
      <c r="U18" s="1080"/>
      <c r="V18" s="1080">
        <v>192108.25</v>
      </c>
      <c r="W18" s="1080"/>
      <c r="X18" s="1080">
        <v>200388.49</v>
      </c>
      <c r="Y18" s="1080"/>
      <c r="Z18" s="1080">
        <v>147951.09</v>
      </c>
      <c r="AA18" s="1080"/>
      <c r="AB18" s="1080">
        <v>127617.75</v>
      </c>
      <c r="AC18" s="1080"/>
      <c r="AD18" s="1080">
        <v>162225.12</v>
      </c>
      <c r="AE18" s="1080"/>
      <c r="AF18" s="1080">
        <v>185827.66</v>
      </c>
      <c r="AG18" s="1080"/>
      <c r="AH18" s="1081">
        <f t="shared" si="0"/>
        <v>2136839</v>
      </c>
      <c r="AI18" s="8">
        <f t="shared" si="1"/>
        <v>0.10554104026694251</v>
      </c>
      <c r="AJ18" s="9"/>
    </row>
    <row r="19" spans="2:36" outlineLevel="1">
      <c r="B19" s="5" t="s">
        <v>24</v>
      </c>
      <c r="D19" s="234">
        <v>31010</v>
      </c>
      <c r="E19" s="234" t="s">
        <v>26</v>
      </c>
      <c r="F19" s="235"/>
      <c r="G19" s="3"/>
      <c r="H19" s="236"/>
      <c r="I19" s="6"/>
      <c r="J19" s="1078">
        <v>26434.36</v>
      </c>
      <c r="K19" s="1080"/>
      <c r="L19" s="1080">
        <v>25542.74</v>
      </c>
      <c r="M19" s="1080"/>
      <c r="N19" s="1080">
        <v>28218.36</v>
      </c>
      <c r="O19" s="1080"/>
      <c r="P19" s="1080">
        <v>27183.83</v>
      </c>
      <c r="Q19" s="1080"/>
      <c r="R19" s="1080">
        <v>29387.21</v>
      </c>
      <c r="S19" s="1080"/>
      <c r="T19" s="1080">
        <v>30436.87</v>
      </c>
      <c r="U19" s="1080"/>
      <c r="V19" s="1080">
        <v>30174.14</v>
      </c>
      <c r="W19" s="1080"/>
      <c r="X19" s="1080">
        <v>27581.09</v>
      </c>
      <c r="Y19" s="1080"/>
      <c r="Z19" s="1080">
        <v>20894.11</v>
      </c>
      <c r="AA19" s="1080"/>
      <c r="AB19" s="1080">
        <v>18895.82</v>
      </c>
      <c r="AC19" s="1080"/>
      <c r="AD19" s="1080">
        <v>23318.720000000001</v>
      </c>
      <c r="AE19" s="1080"/>
      <c r="AF19" s="1080">
        <v>29618.34</v>
      </c>
      <c r="AG19" s="1080"/>
      <c r="AH19" s="1081">
        <f t="shared" si="0"/>
        <v>317685.58999999997</v>
      </c>
      <c r="AI19" s="8">
        <f t="shared" si="1"/>
        <v>1.5690872193186937E-2</v>
      </c>
      <c r="AJ19" s="9"/>
    </row>
    <row r="20" spans="2:36" outlineLevel="1">
      <c r="B20" s="5" t="s">
        <v>24</v>
      </c>
      <c r="D20" s="234">
        <v>32000</v>
      </c>
      <c r="E20" s="234" t="s">
        <v>27</v>
      </c>
      <c r="F20" s="235"/>
      <c r="G20" s="3"/>
      <c r="H20" s="236"/>
      <c r="I20" s="6"/>
      <c r="J20" s="1078">
        <v>287539.59999999998</v>
      </c>
      <c r="K20" s="1080"/>
      <c r="L20" s="1080">
        <v>299354.19</v>
      </c>
      <c r="M20" s="1080"/>
      <c r="N20" s="1080">
        <v>300522.59999999998</v>
      </c>
      <c r="O20" s="1080"/>
      <c r="P20" s="1080">
        <v>302372.03999999998</v>
      </c>
      <c r="Q20" s="1080"/>
      <c r="R20" s="1080">
        <v>305235.18</v>
      </c>
      <c r="S20" s="1080"/>
      <c r="T20" s="1080">
        <v>307396.93</v>
      </c>
      <c r="U20" s="1080"/>
      <c r="V20" s="1080">
        <v>307851.52000000002</v>
      </c>
      <c r="W20" s="1080"/>
      <c r="X20" s="1080">
        <v>308509.73</v>
      </c>
      <c r="Y20" s="1080"/>
      <c r="Z20" s="1080">
        <v>330157.78000000003</v>
      </c>
      <c r="AA20" s="1080"/>
      <c r="AB20" s="1080">
        <v>309350.45</v>
      </c>
      <c r="AC20" s="1080"/>
      <c r="AD20" s="1080">
        <v>329936.51</v>
      </c>
      <c r="AE20" s="1080"/>
      <c r="AF20" s="1080">
        <v>317078.18</v>
      </c>
      <c r="AG20" s="1080"/>
      <c r="AH20" s="1081">
        <f t="shared" si="0"/>
        <v>3705304.7100000004</v>
      </c>
      <c r="AI20" s="8">
        <f t="shared" si="1"/>
        <v>0.18300944226467308</v>
      </c>
      <c r="AJ20" s="9"/>
    </row>
    <row r="21" spans="2:36" outlineLevel="1">
      <c r="B21" s="5" t="s">
        <v>24</v>
      </c>
      <c r="D21" s="234">
        <v>32001</v>
      </c>
      <c r="E21" s="234" t="s">
        <v>28</v>
      </c>
      <c r="F21" s="235"/>
      <c r="G21" s="3"/>
      <c r="H21" s="236"/>
      <c r="I21" s="6"/>
      <c r="J21" s="1078">
        <v>28444.34</v>
      </c>
      <c r="K21" s="1080"/>
      <c r="L21" s="1080">
        <v>26216.29</v>
      </c>
      <c r="M21" s="1080"/>
      <c r="N21" s="1080">
        <v>30016.55</v>
      </c>
      <c r="O21" s="1080"/>
      <c r="P21" s="1080">
        <v>27970.18</v>
      </c>
      <c r="Q21" s="1080"/>
      <c r="R21" s="1080">
        <v>26425.47</v>
      </c>
      <c r="S21" s="1080"/>
      <c r="T21" s="1080">
        <v>24859.65</v>
      </c>
      <c r="U21" s="1080"/>
      <c r="V21" s="1080">
        <v>23031.14</v>
      </c>
      <c r="W21" s="1080"/>
      <c r="X21" s="1080">
        <v>26203.37</v>
      </c>
      <c r="Y21" s="1080"/>
      <c r="Z21" s="1080">
        <v>17538.080000000002</v>
      </c>
      <c r="AA21" s="1080"/>
      <c r="AB21" s="1080">
        <v>30679.52</v>
      </c>
      <c r="AC21" s="1080"/>
      <c r="AD21" s="1080">
        <v>20155.03</v>
      </c>
      <c r="AE21" s="1080"/>
      <c r="AF21" s="1080">
        <v>22317.37</v>
      </c>
      <c r="AG21" s="1080"/>
      <c r="AH21" s="1081">
        <f t="shared" si="0"/>
        <v>303856.99</v>
      </c>
      <c r="AI21" s="8">
        <f t="shared" si="1"/>
        <v>1.5007861058779789E-2</v>
      </c>
      <c r="AJ21" s="9"/>
    </row>
    <row r="22" spans="2:36" outlineLevel="1">
      <c r="B22" s="5" t="s">
        <v>24</v>
      </c>
      <c r="D22" s="234">
        <v>32100</v>
      </c>
      <c r="E22" s="234" t="s">
        <v>29</v>
      </c>
      <c r="F22" s="235"/>
      <c r="G22" s="3"/>
      <c r="H22" s="236"/>
      <c r="I22" s="6"/>
      <c r="J22" s="1078">
        <v>28150.26</v>
      </c>
      <c r="K22" s="1080"/>
      <c r="L22" s="1080">
        <v>29732.5</v>
      </c>
      <c r="M22" s="1080"/>
      <c r="N22" s="1080">
        <v>30081.61</v>
      </c>
      <c r="O22" s="1080"/>
      <c r="P22" s="1080">
        <v>30219.13</v>
      </c>
      <c r="Q22" s="1080"/>
      <c r="R22" s="1080">
        <v>30258.57</v>
      </c>
      <c r="S22" s="1080"/>
      <c r="T22" s="1080">
        <v>30558.71</v>
      </c>
      <c r="U22" s="1080"/>
      <c r="V22" s="1080">
        <v>30858.57</v>
      </c>
      <c r="W22" s="1080"/>
      <c r="X22" s="1080">
        <v>31115.42</v>
      </c>
      <c r="Y22" s="1080"/>
      <c r="Z22" s="1080">
        <v>14935.74</v>
      </c>
      <c r="AA22" s="1080"/>
      <c r="AB22" s="1080">
        <v>29910.75</v>
      </c>
      <c r="AC22" s="1080"/>
      <c r="AD22" s="1080">
        <v>16509.419999999998</v>
      </c>
      <c r="AE22" s="1080"/>
      <c r="AF22" s="1080">
        <v>31397.759999999998</v>
      </c>
      <c r="AG22" s="1080"/>
      <c r="AH22" s="1081">
        <f t="shared" si="0"/>
        <v>333728.44</v>
      </c>
      <c r="AI22" s="8">
        <f t="shared" si="1"/>
        <v>1.6483247789966352E-2</v>
      </c>
      <c r="AJ22" s="9"/>
    </row>
    <row r="23" spans="2:36" outlineLevel="1">
      <c r="B23" s="5" t="s">
        <v>24</v>
      </c>
      <c r="D23" s="234">
        <v>32110</v>
      </c>
      <c r="E23" s="234" t="s">
        <v>30</v>
      </c>
      <c r="F23" s="235"/>
      <c r="G23" s="3"/>
      <c r="H23" s="236"/>
      <c r="I23" s="6"/>
      <c r="J23" s="1078">
        <v>10104.450000000001</v>
      </c>
      <c r="K23" s="1080"/>
      <c r="L23" s="1080">
        <v>10550.71</v>
      </c>
      <c r="M23" s="1080"/>
      <c r="N23" s="1080">
        <v>11383.28</v>
      </c>
      <c r="O23" s="1080"/>
      <c r="P23" s="1080">
        <v>11502.85</v>
      </c>
      <c r="Q23" s="1080"/>
      <c r="R23" s="1080">
        <v>11670.45</v>
      </c>
      <c r="S23" s="1080"/>
      <c r="T23" s="1080">
        <v>11728.67</v>
      </c>
      <c r="U23" s="1080"/>
      <c r="V23" s="1080">
        <v>11593.67</v>
      </c>
      <c r="W23" s="1080"/>
      <c r="X23" s="1080">
        <v>11005.14</v>
      </c>
      <c r="Y23" s="1080"/>
      <c r="Z23" s="1080">
        <v>9820.2000000000007</v>
      </c>
      <c r="AA23" s="1080"/>
      <c r="AB23" s="1080">
        <v>9424.01</v>
      </c>
      <c r="AC23" s="1080"/>
      <c r="AD23" s="1080">
        <v>9254.2999999999993</v>
      </c>
      <c r="AE23" s="1080"/>
      <c r="AF23" s="1080">
        <v>9773.9699999999993</v>
      </c>
      <c r="AG23" s="1080"/>
      <c r="AH23" s="1081">
        <f t="shared" si="0"/>
        <v>127811.7</v>
      </c>
      <c r="AI23" s="8">
        <f t="shared" si="1"/>
        <v>6.3127731084496189E-3</v>
      </c>
      <c r="AJ23" s="9"/>
    </row>
    <row r="24" spans="2:36" outlineLevel="1">
      <c r="B24" s="5" t="s">
        <v>24</v>
      </c>
      <c r="D24" s="234">
        <v>33000</v>
      </c>
      <c r="E24" s="234" t="s">
        <v>31</v>
      </c>
      <c r="F24" s="235"/>
      <c r="G24" s="3"/>
      <c r="H24" s="236"/>
      <c r="I24" s="6"/>
      <c r="J24" s="1078">
        <v>634217.76</v>
      </c>
      <c r="K24" s="1080"/>
      <c r="L24" s="1080">
        <v>690080</v>
      </c>
      <c r="M24" s="1080"/>
      <c r="N24" s="1080">
        <v>701286.39</v>
      </c>
      <c r="O24" s="1080"/>
      <c r="P24" s="1080">
        <v>701229.85</v>
      </c>
      <c r="Q24" s="1080"/>
      <c r="R24" s="1080">
        <v>702831.69</v>
      </c>
      <c r="S24" s="1080"/>
      <c r="T24" s="1080">
        <v>704398.99</v>
      </c>
      <c r="U24" s="1080"/>
      <c r="V24" s="1080">
        <v>700818.78</v>
      </c>
      <c r="W24" s="1080"/>
      <c r="X24" s="1080">
        <v>695949.72</v>
      </c>
      <c r="Y24" s="1080"/>
      <c r="Z24" s="1080">
        <v>694688.65</v>
      </c>
      <c r="AA24" s="1080"/>
      <c r="AB24" s="1080">
        <v>689181.43</v>
      </c>
      <c r="AC24" s="1080"/>
      <c r="AD24" s="1080">
        <v>703737.94</v>
      </c>
      <c r="AE24" s="1080"/>
      <c r="AF24" s="1080">
        <v>697365.21</v>
      </c>
      <c r="AG24" s="1080"/>
      <c r="AH24" s="1081">
        <f t="shared" si="0"/>
        <v>8315786.4099999992</v>
      </c>
      <c r="AI24" s="8">
        <f t="shared" si="1"/>
        <v>0.41072666136714242</v>
      </c>
      <c r="AJ24" s="9"/>
    </row>
    <row r="25" spans="2:36" outlineLevel="1">
      <c r="B25" s="5" t="s">
        <v>24</v>
      </c>
      <c r="D25" s="234">
        <v>33001</v>
      </c>
      <c r="E25" s="234" t="s">
        <v>1118</v>
      </c>
      <c r="F25" s="235"/>
      <c r="G25" s="3"/>
      <c r="H25" s="236"/>
      <c r="I25" s="6"/>
      <c r="J25" s="1078">
        <v>757.1</v>
      </c>
      <c r="K25" s="1080"/>
      <c r="L25" s="1080">
        <v>416</v>
      </c>
      <c r="M25" s="1080"/>
      <c r="N25" s="1080">
        <v>572.58000000000004</v>
      </c>
      <c r="O25" s="1080"/>
      <c r="P25" s="1080">
        <v>515.54</v>
      </c>
      <c r="Q25" s="1080"/>
      <c r="R25" s="1080">
        <v>323.45999999999998</v>
      </c>
      <c r="S25" s="1080"/>
      <c r="T25" s="1080">
        <v>304.92</v>
      </c>
      <c r="U25" s="1080"/>
      <c r="V25" s="1080">
        <v>325.41000000000003</v>
      </c>
      <c r="W25" s="1080"/>
      <c r="X25" s="1080">
        <v>474.71</v>
      </c>
      <c r="Y25" s="1080"/>
      <c r="Z25" s="1080">
        <v>236.8</v>
      </c>
      <c r="AA25" s="1080"/>
      <c r="AB25" s="1080">
        <v>334.56</v>
      </c>
      <c r="AC25" s="1080"/>
      <c r="AD25" s="1080">
        <v>382.92</v>
      </c>
      <c r="AE25" s="1080"/>
      <c r="AF25" s="1080">
        <v>334.27</v>
      </c>
      <c r="AG25" s="1080"/>
      <c r="AH25" s="1081">
        <f t="shared" si="0"/>
        <v>4978.2700000000004</v>
      </c>
      <c r="AI25" s="8">
        <f t="shared" si="1"/>
        <v>2.4588272421540038E-4</v>
      </c>
      <c r="AJ25" s="9"/>
    </row>
    <row r="26" spans="2:36" outlineLevel="1">
      <c r="B26" s="5" t="s">
        <v>24</v>
      </c>
      <c r="D26" s="234">
        <v>33011</v>
      </c>
      <c r="E26" s="234" t="s">
        <v>934</v>
      </c>
      <c r="F26" s="235"/>
      <c r="G26" s="3"/>
      <c r="H26" s="236"/>
      <c r="I26" s="6"/>
      <c r="J26" s="1078">
        <v>43039.33</v>
      </c>
      <c r="K26" s="1080"/>
      <c r="L26" s="1080">
        <v>44410.48</v>
      </c>
      <c r="M26" s="1080"/>
      <c r="N26" s="1080">
        <v>44704.13</v>
      </c>
      <c r="O26" s="1080"/>
      <c r="P26" s="1080">
        <v>43990.77</v>
      </c>
      <c r="Q26" s="1080"/>
      <c r="R26" s="1080">
        <v>42429.94</v>
      </c>
      <c r="S26" s="1080"/>
      <c r="T26" s="1080">
        <v>38442.199999999997</v>
      </c>
      <c r="U26" s="1080"/>
      <c r="V26" s="1080">
        <v>40431.31</v>
      </c>
      <c r="W26" s="1080"/>
      <c r="X26" s="1080">
        <v>36554.67</v>
      </c>
      <c r="Y26" s="1080"/>
      <c r="Z26" s="1080">
        <v>35391.78</v>
      </c>
      <c r="AA26" s="1080"/>
      <c r="AB26" s="1080">
        <v>39239.25</v>
      </c>
      <c r="AC26" s="1080"/>
      <c r="AD26" s="1080">
        <v>38554.25</v>
      </c>
      <c r="AE26" s="1080"/>
      <c r="AF26" s="1080">
        <v>42641.05</v>
      </c>
      <c r="AG26" s="1080"/>
      <c r="AH26" s="1081">
        <f t="shared" si="0"/>
        <v>489829.16000000003</v>
      </c>
      <c r="AI26" s="8">
        <f t="shared" si="1"/>
        <v>2.4193249514578602E-2</v>
      </c>
      <c r="AJ26" s="9"/>
    </row>
    <row r="27" spans="2:36" outlineLevel="1">
      <c r="B27" s="5" t="s">
        <v>24</v>
      </c>
      <c r="D27" s="234">
        <v>33020</v>
      </c>
      <c r="E27" s="234" t="s">
        <v>1119</v>
      </c>
      <c r="F27" s="235"/>
      <c r="G27" s="3"/>
      <c r="H27" s="236"/>
      <c r="I27" s="6"/>
      <c r="J27" s="1078">
        <v>79721.16</v>
      </c>
      <c r="K27" s="1080"/>
      <c r="L27" s="1080">
        <v>80453.22</v>
      </c>
      <c r="M27" s="1080"/>
      <c r="N27" s="1080">
        <v>81617.570000000007</v>
      </c>
      <c r="O27" s="1080"/>
      <c r="P27" s="1080">
        <v>80553.84</v>
      </c>
      <c r="Q27" s="1080"/>
      <c r="R27" s="1080">
        <v>81671.87</v>
      </c>
      <c r="S27" s="1080"/>
      <c r="T27" s="1080">
        <v>82519.94</v>
      </c>
      <c r="U27" s="1080"/>
      <c r="V27" s="1080">
        <v>81664.89</v>
      </c>
      <c r="W27" s="1080"/>
      <c r="X27" s="1080">
        <v>81983.95</v>
      </c>
      <c r="Y27" s="1080"/>
      <c r="Z27" s="1080">
        <v>74046.33</v>
      </c>
      <c r="AA27" s="1080"/>
      <c r="AB27" s="1080">
        <v>86796.46</v>
      </c>
      <c r="AC27" s="1080"/>
      <c r="AD27" s="1080">
        <v>84045.43</v>
      </c>
      <c r="AE27" s="1080"/>
      <c r="AF27" s="1080">
        <v>83796.44</v>
      </c>
      <c r="AG27" s="1080"/>
      <c r="AH27" s="1081">
        <f t="shared" si="0"/>
        <v>978871.1</v>
      </c>
      <c r="AI27" s="8">
        <f t="shared" si="1"/>
        <v>4.8347617289485216E-2</v>
      </c>
      <c r="AJ27" s="9"/>
    </row>
    <row r="28" spans="2:36" s="236" customFormat="1" ht="4.5" customHeight="1" outlineLevel="1">
      <c r="B28" s="32" t="s">
        <v>17</v>
      </c>
      <c r="J28" s="1101"/>
      <c r="K28" s="1102"/>
      <c r="L28" s="1103"/>
      <c r="M28" s="1102"/>
      <c r="N28" s="1103"/>
      <c r="O28" s="1102"/>
      <c r="P28" s="1103"/>
      <c r="Q28" s="1102"/>
      <c r="R28" s="1103"/>
      <c r="S28" s="1102"/>
      <c r="T28" s="1103"/>
      <c r="U28" s="1102"/>
      <c r="V28" s="1103"/>
      <c r="W28" s="1102"/>
      <c r="X28" s="1103"/>
      <c r="Y28" s="1102"/>
      <c r="Z28" s="1103"/>
      <c r="AA28" s="1102"/>
      <c r="AB28" s="1103"/>
      <c r="AC28" s="1102"/>
      <c r="AD28" s="1103"/>
      <c r="AE28" s="1102"/>
      <c r="AF28" s="1103"/>
      <c r="AG28" s="1102"/>
      <c r="AH28" s="1104"/>
      <c r="AI28" s="31"/>
      <c r="AJ28" s="14"/>
    </row>
    <row r="29" spans="2:36" s="236" customFormat="1" ht="15">
      <c r="B29" s="1" t="s">
        <v>17</v>
      </c>
      <c r="F29" s="236" t="s">
        <v>32</v>
      </c>
      <c r="J29" s="1085">
        <f>SUM(J15:J28)</f>
        <v>1588832.54</v>
      </c>
      <c r="K29" s="1105"/>
      <c r="L29" s="1086">
        <f>SUM(L15:L28)</f>
        <v>1655183.0799999998</v>
      </c>
      <c r="M29" s="1105"/>
      <c r="N29" s="1086">
        <f>SUM(N15:N28)</f>
        <v>1728839.1</v>
      </c>
      <c r="O29" s="1105"/>
      <c r="P29" s="1086">
        <f>SUM(P15:P28)</f>
        <v>1703406.36</v>
      </c>
      <c r="Q29" s="1105"/>
      <c r="R29" s="1086">
        <f>SUM(R15:R28)</f>
        <v>1713446.27</v>
      </c>
      <c r="S29" s="1105"/>
      <c r="T29" s="1086">
        <f>SUM(T15:T28)</f>
        <v>1707937.8299999998</v>
      </c>
      <c r="U29" s="1105"/>
      <c r="V29" s="1086">
        <f>SUM(V15:V28)</f>
        <v>1714090.12</v>
      </c>
      <c r="W29" s="1105"/>
      <c r="X29" s="1086">
        <f>SUM(X15:X28)</f>
        <v>1701447.22</v>
      </c>
      <c r="Y29" s="1105"/>
      <c r="Z29" s="1086">
        <f>SUM(Z15:Z28)</f>
        <v>1587239.61</v>
      </c>
      <c r="AA29" s="1105"/>
      <c r="AB29" s="1086">
        <f>SUM(AB15:AB28)</f>
        <v>1570817.5500000003</v>
      </c>
      <c r="AC29" s="1105"/>
      <c r="AD29" s="1086">
        <f>SUM(AD15:AD28)</f>
        <v>1647288.61</v>
      </c>
      <c r="AE29" s="1105"/>
      <c r="AF29" s="1086">
        <f>SUM(AF15:AF28)</f>
        <v>1712435.76</v>
      </c>
      <c r="AG29" s="1105"/>
      <c r="AH29" s="1087">
        <f>SUM(AH15:AH28)</f>
        <v>20030964.050000001</v>
      </c>
      <c r="AI29" s="8">
        <f>IF(AH$58=0,0,AH29/AH$58)</f>
        <v>0.98935333143335924</v>
      </c>
      <c r="AJ29" s="14"/>
    </row>
    <row r="30" spans="2:36" s="236" customFormat="1" ht="15" outlineLevel="1">
      <c r="B30" s="32" t="s">
        <v>17</v>
      </c>
      <c r="J30" s="1085"/>
      <c r="K30" s="1105"/>
      <c r="L30" s="1086"/>
      <c r="M30" s="1105"/>
      <c r="N30" s="1086"/>
      <c r="O30" s="1105"/>
      <c r="P30" s="1086"/>
      <c r="Q30" s="1105"/>
      <c r="R30" s="1086"/>
      <c r="S30" s="1105"/>
      <c r="T30" s="1086"/>
      <c r="U30" s="1105"/>
      <c r="V30" s="1086"/>
      <c r="W30" s="1105"/>
      <c r="X30" s="1086"/>
      <c r="Y30" s="1105"/>
      <c r="Z30" s="1086"/>
      <c r="AA30" s="1105"/>
      <c r="AB30" s="1086"/>
      <c r="AC30" s="1105"/>
      <c r="AD30" s="1086"/>
      <c r="AE30" s="1105"/>
      <c r="AF30" s="1086"/>
      <c r="AG30" s="1105"/>
      <c r="AH30" s="1087"/>
      <c r="AI30" s="31"/>
      <c r="AJ30" s="14"/>
    </row>
    <row r="31" spans="2:36" outlineLevel="1">
      <c r="B31" s="5" t="s">
        <v>33</v>
      </c>
      <c r="D31" s="234">
        <v>35000</v>
      </c>
      <c r="E31" s="234" t="s">
        <v>2017</v>
      </c>
      <c r="F31" s="235"/>
      <c r="G31" s="3"/>
      <c r="H31" s="236"/>
      <c r="I31" s="6"/>
      <c r="J31" s="1078">
        <v>0</v>
      </c>
      <c r="K31" s="1080"/>
      <c r="L31" s="1080">
        <v>0</v>
      </c>
      <c r="M31" s="1080"/>
      <c r="N31" s="1080">
        <v>0</v>
      </c>
      <c r="O31" s="1080"/>
      <c r="P31" s="1080">
        <v>0</v>
      </c>
      <c r="Q31" s="1080"/>
      <c r="R31" s="1080">
        <v>0</v>
      </c>
      <c r="S31" s="1080"/>
      <c r="T31" s="1080">
        <v>0</v>
      </c>
      <c r="U31" s="1080"/>
      <c r="V31" s="1080">
        <v>0</v>
      </c>
      <c r="W31" s="1080"/>
      <c r="X31" s="1080">
        <v>0</v>
      </c>
      <c r="Y31" s="1080"/>
      <c r="Z31" s="1080">
        <v>0</v>
      </c>
      <c r="AA31" s="1080"/>
      <c r="AB31" s="1080">
        <v>0</v>
      </c>
      <c r="AC31" s="1080"/>
      <c r="AD31" s="1080">
        <v>0</v>
      </c>
      <c r="AE31" s="1080"/>
      <c r="AF31" s="1080">
        <v>0</v>
      </c>
      <c r="AG31" s="1080"/>
      <c r="AH31" s="1081">
        <f>AF31+AD31+AB31+Z31+X31+V31+T31+R31+P31+N31+L31+J31</f>
        <v>0</v>
      </c>
      <c r="AI31" s="8">
        <f>IF(AH$58=0,0,AH31/AH$58)</f>
        <v>0</v>
      </c>
      <c r="AJ31" s="9"/>
    </row>
    <row r="32" spans="2:36" s="236" customFormat="1" ht="5.0999999999999996" customHeight="1" outlineLevel="1">
      <c r="B32" s="32" t="s">
        <v>17</v>
      </c>
      <c r="D32" s="235"/>
      <c r="E32" s="235"/>
      <c r="F32" s="235"/>
      <c r="G32" s="235"/>
      <c r="J32" s="1106"/>
      <c r="K32" s="1105"/>
      <c r="L32" s="1107"/>
      <c r="M32" s="1105"/>
      <c r="N32" s="1107"/>
      <c r="O32" s="1105"/>
      <c r="P32" s="1107"/>
      <c r="Q32" s="1105"/>
      <c r="R32" s="1107"/>
      <c r="S32" s="1105"/>
      <c r="T32" s="1107"/>
      <c r="U32" s="1105"/>
      <c r="V32" s="1107"/>
      <c r="W32" s="1105"/>
      <c r="X32" s="1107"/>
      <c r="Y32" s="1105"/>
      <c r="Z32" s="1107"/>
      <c r="AA32" s="1105"/>
      <c r="AB32" s="1107"/>
      <c r="AC32" s="1105"/>
      <c r="AD32" s="1107"/>
      <c r="AE32" s="1105"/>
      <c r="AF32" s="1107"/>
      <c r="AG32" s="1105"/>
      <c r="AH32" s="1108"/>
      <c r="AI32" s="31"/>
      <c r="AJ32" s="14"/>
    </row>
    <row r="33" spans="2:36" s="236" customFormat="1" ht="15">
      <c r="B33" s="1" t="s">
        <v>17</v>
      </c>
      <c r="F33" s="235" t="s">
        <v>34</v>
      </c>
      <c r="J33" s="1085">
        <f>SUM(J31:J32)</f>
        <v>0</v>
      </c>
      <c r="K33" s="1105"/>
      <c r="L33" s="1086">
        <f>SUM(L31:L32)</f>
        <v>0</v>
      </c>
      <c r="M33" s="1105"/>
      <c r="N33" s="1086">
        <f>SUM(N31:N32)</f>
        <v>0</v>
      </c>
      <c r="O33" s="1105"/>
      <c r="P33" s="1086">
        <f>SUM(P31:P32)</f>
        <v>0</v>
      </c>
      <c r="Q33" s="1105"/>
      <c r="R33" s="1086">
        <f>SUM(R31:R32)</f>
        <v>0</v>
      </c>
      <c r="S33" s="1105"/>
      <c r="T33" s="1086">
        <f>SUM(T31:T32)</f>
        <v>0</v>
      </c>
      <c r="U33" s="1105"/>
      <c r="V33" s="1086">
        <f>SUM(V31:V32)</f>
        <v>0</v>
      </c>
      <c r="W33" s="1105"/>
      <c r="X33" s="1086">
        <f>SUM(X31:X32)</f>
        <v>0</v>
      </c>
      <c r="Y33" s="1105"/>
      <c r="Z33" s="1086">
        <f>SUM(Z31:Z32)</f>
        <v>0</v>
      </c>
      <c r="AA33" s="1105"/>
      <c r="AB33" s="1086">
        <f>SUM(AB31:AB32)</f>
        <v>0</v>
      </c>
      <c r="AC33" s="1105"/>
      <c r="AD33" s="1086">
        <f>SUM(AD31:AD32)</f>
        <v>0</v>
      </c>
      <c r="AE33" s="1105"/>
      <c r="AF33" s="1086">
        <f>SUM(AF31:AF32)</f>
        <v>0</v>
      </c>
      <c r="AG33" s="1105"/>
      <c r="AH33" s="1087">
        <f>SUM(AH31:AH32)</f>
        <v>0</v>
      </c>
      <c r="AI33" s="8">
        <f>IF(AH$58=0,0,AH33/AH$58)</f>
        <v>0</v>
      </c>
      <c r="AJ33" s="14"/>
    </row>
    <row r="34" spans="2:36" s="236" customFormat="1" ht="15" outlineLevel="1">
      <c r="B34" s="1"/>
      <c r="J34" s="1085"/>
      <c r="K34" s="1105"/>
      <c r="L34" s="1086"/>
      <c r="M34" s="1105"/>
      <c r="N34" s="1086"/>
      <c r="O34" s="1105"/>
      <c r="P34" s="1086"/>
      <c r="Q34" s="1105"/>
      <c r="R34" s="1086"/>
      <c r="S34" s="1105"/>
      <c r="T34" s="1086"/>
      <c r="U34" s="1105"/>
      <c r="V34" s="1086"/>
      <c r="W34" s="1105"/>
      <c r="X34" s="1086"/>
      <c r="Y34" s="1105"/>
      <c r="Z34" s="1086"/>
      <c r="AA34" s="1105"/>
      <c r="AB34" s="1086"/>
      <c r="AC34" s="1105"/>
      <c r="AD34" s="1086"/>
      <c r="AE34" s="1105"/>
      <c r="AF34" s="1086"/>
      <c r="AG34" s="1105"/>
      <c r="AH34" s="1087"/>
      <c r="AI34" s="31"/>
      <c r="AJ34" s="14"/>
    </row>
    <row r="35" spans="2:36" s="236" customFormat="1" ht="15" outlineLevel="1">
      <c r="B35" s="1" t="s">
        <v>17</v>
      </c>
      <c r="J35" s="1085"/>
      <c r="K35" s="1105"/>
      <c r="L35" s="1086"/>
      <c r="M35" s="1105"/>
      <c r="N35" s="1086"/>
      <c r="O35" s="1105"/>
      <c r="P35" s="1086"/>
      <c r="Q35" s="1105"/>
      <c r="R35" s="1086"/>
      <c r="S35" s="1105"/>
      <c r="T35" s="1086"/>
      <c r="U35" s="1105"/>
      <c r="V35" s="1086"/>
      <c r="W35" s="1105"/>
      <c r="X35" s="1086"/>
      <c r="Y35" s="1105"/>
      <c r="Z35" s="1086"/>
      <c r="AA35" s="1105"/>
      <c r="AB35" s="1086"/>
      <c r="AC35" s="1105"/>
      <c r="AD35" s="1086"/>
      <c r="AE35" s="1105"/>
      <c r="AF35" s="1086"/>
      <c r="AG35" s="1105"/>
      <c r="AH35" s="1087"/>
      <c r="AI35" s="31"/>
      <c r="AJ35" s="14"/>
    </row>
    <row r="36" spans="2:36" outlineLevel="1">
      <c r="B36" s="5" t="s">
        <v>35</v>
      </c>
      <c r="D36" s="234">
        <v>35517</v>
      </c>
      <c r="E36" s="234" t="s">
        <v>602</v>
      </c>
      <c r="F36" s="235"/>
      <c r="G36" s="3"/>
      <c r="H36" s="236"/>
      <c r="I36" s="6"/>
      <c r="J36" s="1078">
        <v>470.68</v>
      </c>
      <c r="K36" s="1080"/>
      <c r="L36" s="1080">
        <v>449.47</v>
      </c>
      <c r="M36" s="1080"/>
      <c r="N36" s="1080">
        <v>0</v>
      </c>
      <c r="O36" s="1080"/>
      <c r="P36" s="1080">
        <v>342.58</v>
      </c>
      <c r="Q36" s="1080"/>
      <c r="R36" s="1080">
        <v>0</v>
      </c>
      <c r="S36" s="1080"/>
      <c r="T36" s="1080">
        <v>1248.03</v>
      </c>
      <c r="U36" s="1080"/>
      <c r="V36" s="1080">
        <v>465.85</v>
      </c>
      <c r="W36" s="1080"/>
      <c r="X36" s="1080">
        <v>0</v>
      </c>
      <c r="Y36" s="1080"/>
      <c r="Z36" s="1080">
        <v>384.09</v>
      </c>
      <c r="AA36" s="1080"/>
      <c r="AB36" s="1080">
        <v>0</v>
      </c>
      <c r="AC36" s="1080"/>
      <c r="AD36" s="1080">
        <v>374.99</v>
      </c>
      <c r="AE36" s="1080"/>
      <c r="AF36" s="1080">
        <v>1399.86</v>
      </c>
      <c r="AG36" s="1080"/>
      <c r="AH36" s="1081">
        <f t="shared" ref="AH36:AH39" si="2">AF36+AD36+AB36+Z36+X36+V36+T36+R36+P36+N36+L36+J36</f>
        <v>5135.55</v>
      </c>
      <c r="AI36" s="8">
        <f t="shared" ref="AI36:AI39" si="3">IF(AH$58=0,0,AH36/AH$58)</f>
        <v>2.5365097199316213E-4</v>
      </c>
      <c r="AJ36" s="9"/>
    </row>
    <row r="37" spans="2:36" outlineLevel="1">
      <c r="B37" s="5" t="s">
        <v>24</v>
      </c>
      <c r="D37" s="234">
        <v>35518</v>
      </c>
      <c r="E37" s="234" t="s">
        <v>1116</v>
      </c>
      <c r="F37" s="235"/>
      <c r="G37" s="3"/>
      <c r="H37" s="236"/>
      <c r="I37" s="6"/>
      <c r="J37" s="1078">
        <v>812.52</v>
      </c>
      <c r="K37" s="1080"/>
      <c r="L37" s="1080">
        <v>-60</v>
      </c>
      <c r="M37" s="1080"/>
      <c r="N37" s="1080">
        <v>0</v>
      </c>
      <c r="O37" s="1080"/>
      <c r="P37" s="1080">
        <v>0</v>
      </c>
      <c r="Q37" s="1080"/>
      <c r="R37" s="1080">
        <v>0</v>
      </c>
      <c r="S37" s="1080"/>
      <c r="T37" s="1080">
        <v>0</v>
      </c>
      <c r="U37" s="1080"/>
      <c r="V37" s="1080">
        <v>0</v>
      </c>
      <c r="W37" s="1080"/>
      <c r="X37" s="1080">
        <v>0</v>
      </c>
      <c r="Y37" s="1080"/>
      <c r="Z37" s="1080">
        <v>0</v>
      </c>
      <c r="AA37" s="1080"/>
      <c r="AB37" s="1080">
        <v>0</v>
      </c>
      <c r="AC37" s="1080"/>
      <c r="AD37" s="1080">
        <v>0</v>
      </c>
      <c r="AE37" s="1080"/>
      <c r="AF37" s="1080">
        <v>0</v>
      </c>
      <c r="AG37" s="1080"/>
      <c r="AH37" s="1081">
        <f t="shared" si="2"/>
        <v>752.52</v>
      </c>
      <c r="AI37" s="8">
        <f t="shared" si="3"/>
        <v>3.716786506689534E-5</v>
      </c>
      <c r="AJ37" s="9"/>
    </row>
    <row r="38" spans="2:36" outlineLevel="1">
      <c r="B38" s="5" t="s">
        <v>24</v>
      </c>
      <c r="D38" s="234">
        <v>35519</v>
      </c>
      <c r="E38" s="234" t="s">
        <v>2016</v>
      </c>
      <c r="F38" s="235"/>
      <c r="G38" s="3"/>
      <c r="H38" s="236"/>
      <c r="I38" s="6"/>
      <c r="J38" s="1078">
        <v>3541.8</v>
      </c>
      <c r="K38" s="1080"/>
      <c r="L38" s="1080">
        <v>7462.25</v>
      </c>
      <c r="M38" s="1080"/>
      <c r="N38" s="1080">
        <v>12977.55</v>
      </c>
      <c r="O38" s="1080"/>
      <c r="P38" s="1080">
        <v>15744.18</v>
      </c>
      <c r="Q38" s="1080"/>
      <c r="R38" s="1080">
        <v>18000.12</v>
      </c>
      <c r="S38" s="1080"/>
      <c r="T38" s="1080">
        <v>18658.8</v>
      </c>
      <c r="U38" s="1080"/>
      <c r="V38" s="1080">
        <v>19239.68</v>
      </c>
      <c r="W38" s="1080"/>
      <c r="X38" s="1080">
        <v>15971</v>
      </c>
      <c r="Y38" s="1080"/>
      <c r="Z38" s="1080">
        <v>7434</v>
      </c>
      <c r="AA38" s="1080"/>
      <c r="AB38" s="1080">
        <v>8283.99</v>
      </c>
      <c r="AC38" s="1080"/>
      <c r="AD38" s="1080">
        <v>8010.9</v>
      </c>
      <c r="AE38" s="1080"/>
      <c r="AF38" s="1080">
        <v>9481.86</v>
      </c>
      <c r="AG38" s="1080"/>
      <c r="AH38" s="1081">
        <f t="shared" si="2"/>
        <v>144806.12999999998</v>
      </c>
      <c r="AI38" s="8">
        <f t="shared" si="3"/>
        <v>7.1521483823676511E-3</v>
      </c>
      <c r="AJ38" s="9"/>
    </row>
    <row r="39" spans="2:36" outlineLevel="1">
      <c r="B39" s="5" t="s">
        <v>24</v>
      </c>
      <c r="D39" s="234">
        <v>35571</v>
      </c>
      <c r="E39" s="234" t="s">
        <v>1117</v>
      </c>
      <c r="F39" s="235"/>
      <c r="G39" s="3"/>
      <c r="H39" s="236"/>
      <c r="I39" s="6"/>
      <c r="J39" s="1078">
        <v>161.6</v>
      </c>
      <c r="K39" s="1080"/>
      <c r="L39" s="1080">
        <v>366.3</v>
      </c>
      <c r="M39" s="1080"/>
      <c r="N39" s="1080">
        <v>0</v>
      </c>
      <c r="O39" s="1080"/>
      <c r="P39" s="1080">
        <v>0</v>
      </c>
      <c r="Q39" s="1080"/>
      <c r="R39" s="1080">
        <v>470.46</v>
      </c>
      <c r="S39" s="1080"/>
      <c r="T39" s="1080">
        <v>0</v>
      </c>
      <c r="U39" s="1080"/>
      <c r="V39" s="1080">
        <v>0</v>
      </c>
      <c r="W39" s="1080"/>
      <c r="X39" s="1080">
        <v>366.3</v>
      </c>
      <c r="Y39" s="1080"/>
      <c r="Z39" s="1080">
        <v>566.88</v>
      </c>
      <c r="AA39" s="1080"/>
      <c r="AB39" s="1080">
        <v>862.05</v>
      </c>
      <c r="AC39" s="1080"/>
      <c r="AD39" s="1080">
        <v>0</v>
      </c>
      <c r="AE39" s="1080"/>
      <c r="AF39" s="1080">
        <v>0</v>
      </c>
      <c r="AG39" s="1080"/>
      <c r="AH39" s="1081">
        <f t="shared" si="2"/>
        <v>2793.5899999999997</v>
      </c>
      <c r="AI39" s="8">
        <f t="shared" si="3"/>
        <v>1.379787595973903E-4</v>
      </c>
      <c r="AJ39" s="9"/>
    </row>
    <row r="40" spans="2:36" s="236" customFormat="1" ht="5.0999999999999996" customHeight="1" outlineLevel="1">
      <c r="B40" s="32" t="s">
        <v>17</v>
      </c>
      <c r="D40" s="235"/>
      <c r="E40" s="235"/>
      <c r="F40" s="235"/>
      <c r="G40" s="235"/>
      <c r="J40" s="1106"/>
      <c r="K40" s="1105"/>
      <c r="L40" s="1107"/>
      <c r="M40" s="1105"/>
      <c r="N40" s="1107"/>
      <c r="O40" s="1105"/>
      <c r="P40" s="1107"/>
      <c r="Q40" s="1105"/>
      <c r="R40" s="1107"/>
      <c r="S40" s="1105"/>
      <c r="T40" s="1107"/>
      <c r="U40" s="1105"/>
      <c r="V40" s="1107"/>
      <c r="W40" s="1105"/>
      <c r="X40" s="1107"/>
      <c r="Y40" s="1105"/>
      <c r="Z40" s="1107"/>
      <c r="AA40" s="1105"/>
      <c r="AB40" s="1107"/>
      <c r="AC40" s="1105"/>
      <c r="AD40" s="1107"/>
      <c r="AE40" s="1105"/>
      <c r="AF40" s="1107"/>
      <c r="AG40" s="1105"/>
      <c r="AH40" s="1108"/>
      <c r="AI40" s="31"/>
      <c r="AJ40" s="14"/>
    </row>
    <row r="41" spans="2:36" s="236" customFormat="1" ht="15">
      <c r="B41" s="1" t="s">
        <v>17</v>
      </c>
      <c r="F41" s="235" t="s">
        <v>37</v>
      </c>
      <c r="J41" s="1085">
        <f>SUM(J35:J40)</f>
        <v>4986.6000000000004</v>
      </c>
      <c r="K41" s="1105"/>
      <c r="L41" s="1086">
        <f>SUM(L35:L40)</f>
        <v>8218.02</v>
      </c>
      <c r="M41" s="1105"/>
      <c r="N41" s="1086">
        <f>SUM(N35:N40)</f>
        <v>12977.55</v>
      </c>
      <c r="O41" s="1105"/>
      <c r="P41" s="1086">
        <f>SUM(P35:P40)</f>
        <v>16086.76</v>
      </c>
      <c r="Q41" s="1105"/>
      <c r="R41" s="1086">
        <f>SUM(R35:R40)</f>
        <v>18470.579999999998</v>
      </c>
      <c r="S41" s="1105"/>
      <c r="T41" s="1086">
        <f>SUM(T35:T40)</f>
        <v>19906.829999999998</v>
      </c>
      <c r="U41" s="1105"/>
      <c r="V41" s="1086">
        <f>SUM(V35:V40)</f>
        <v>19705.53</v>
      </c>
      <c r="W41" s="1105"/>
      <c r="X41" s="1086">
        <f>SUM(X35:X40)</f>
        <v>16337.3</v>
      </c>
      <c r="Y41" s="1105"/>
      <c r="Z41" s="1086">
        <f>SUM(Z35:Z40)</f>
        <v>8384.9699999999993</v>
      </c>
      <c r="AA41" s="1105"/>
      <c r="AB41" s="1086">
        <f>SUM(AB35:AB40)</f>
        <v>9146.0399999999991</v>
      </c>
      <c r="AC41" s="1105"/>
      <c r="AD41" s="1086">
        <f>SUM(AD35:AD40)</f>
        <v>8385.89</v>
      </c>
      <c r="AE41" s="1105"/>
      <c r="AF41" s="1086">
        <f>SUM(AF35:AF40)</f>
        <v>10881.720000000001</v>
      </c>
      <c r="AG41" s="1105"/>
      <c r="AH41" s="1087">
        <f>SUM(AH35:AH40)</f>
        <v>153487.78999999998</v>
      </c>
      <c r="AI41" s="8">
        <f>IF(AH$58=0,0,AH41/AH$58)</f>
        <v>7.5809459790250992E-3</v>
      </c>
      <c r="AJ41" s="14"/>
    </row>
    <row r="42" spans="2:36" s="236" customFormat="1" ht="15" outlineLevel="1">
      <c r="B42" s="1"/>
      <c r="D42" s="235"/>
      <c r="E42" s="235"/>
      <c r="F42" s="235"/>
      <c r="G42" s="235"/>
      <c r="J42" s="1085"/>
      <c r="K42" s="1105"/>
      <c r="L42" s="1086"/>
      <c r="M42" s="1105"/>
      <c r="N42" s="1086"/>
      <c r="O42" s="1105"/>
      <c r="P42" s="1086"/>
      <c r="Q42" s="1105"/>
      <c r="R42" s="1086"/>
      <c r="S42" s="1105"/>
      <c r="T42" s="1086"/>
      <c r="U42" s="1105"/>
      <c r="V42" s="1086"/>
      <c r="W42" s="1105"/>
      <c r="X42" s="1086"/>
      <c r="Y42" s="1105"/>
      <c r="Z42" s="1086"/>
      <c r="AA42" s="1105"/>
      <c r="AB42" s="1086"/>
      <c r="AC42" s="1105"/>
      <c r="AD42" s="1086"/>
      <c r="AE42" s="1105"/>
      <c r="AF42" s="1086"/>
      <c r="AG42" s="1105"/>
      <c r="AH42" s="1087"/>
      <c r="AI42" s="31"/>
      <c r="AJ42" s="14"/>
    </row>
    <row r="43" spans="2:36" s="236" customFormat="1" ht="15" outlineLevel="1">
      <c r="B43" s="1" t="s">
        <v>17</v>
      </c>
      <c r="J43" s="1085"/>
      <c r="K43" s="1105"/>
      <c r="L43" s="1086"/>
      <c r="M43" s="1105"/>
      <c r="N43" s="1086"/>
      <c r="O43" s="1105"/>
      <c r="P43" s="1086"/>
      <c r="Q43" s="1105"/>
      <c r="R43" s="1086"/>
      <c r="S43" s="1105"/>
      <c r="T43" s="1086"/>
      <c r="U43" s="1105"/>
      <c r="V43" s="1086"/>
      <c r="W43" s="1105"/>
      <c r="X43" s="1086"/>
      <c r="Y43" s="1105"/>
      <c r="Z43" s="1086"/>
      <c r="AA43" s="1105"/>
      <c r="AB43" s="1086"/>
      <c r="AC43" s="1105"/>
      <c r="AD43" s="1086"/>
      <c r="AE43" s="1105"/>
      <c r="AF43" s="1086"/>
      <c r="AG43" s="1105"/>
      <c r="AH43" s="1087"/>
      <c r="AI43" s="31"/>
      <c r="AJ43" s="14"/>
    </row>
    <row r="44" spans="2:36" outlineLevel="1">
      <c r="B44" s="5" t="s">
        <v>38</v>
      </c>
      <c r="D44" s="234"/>
      <c r="E44" s="234"/>
      <c r="F44" s="235"/>
      <c r="G44" s="3"/>
      <c r="H44" s="236"/>
      <c r="I44" s="6"/>
      <c r="J44" s="1078"/>
      <c r="K44" s="1080"/>
      <c r="L44" s="1080"/>
      <c r="M44" s="1080"/>
      <c r="N44" s="1080"/>
      <c r="O44" s="1080"/>
      <c r="P44" s="1080"/>
      <c r="Q44" s="1080"/>
      <c r="R44" s="1080"/>
      <c r="S44" s="1080"/>
      <c r="T44" s="1080"/>
      <c r="U44" s="1080"/>
      <c r="V44" s="1080"/>
      <c r="W44" s="1080"/>
      <c r="X44" s="1080"/>
      <c r="Y44" s="1080"/>
      <c r="Z44" s="1080"/>
      <c r="AA44" s="1080"/>
      <c r="AB44" s="1080"/>
      <c r="AC44" s="1080"/>
      <c r="AD44" s="1080"/>
      <c r="AE44" s="1080"/>
      <c r="AF44" s="1080"/>
      <c r="AG44" s="1080"/>
      <c r="AH44" s="1081">
        <f>AF44+AD44+AB44+Z44+X44+V44+T44+R44+P44+N44+L44+J44</f>
        <v>0</v>
      </c>
      <c r="AI44" s="8">
        <f>IF(AH$58=0,0,AH44/AH$58)</f>
        <v>0</v>
      </c>
      <c r="AJ44" s="9"/>
    </row>
    <row r="45" spans="2:36" s="236" customFormat="1" ht="3.75" customHeight="1" outlineLevel="1">
      <c r="B45" s="32" t="s">
        <v>17</v>
      </c>
      <c r="D45" s="235"/>
      <c r="E45" s="235"/>
      <c r="F45" s="235"/>
      <c r="G45" s="235"/>
      <c r="J45" s="1106"/>
      <c r="K45" s="1105"/>
      <c r="L45" s="1107"/>
      <c r="M45" s="1105"/>
      <c r="N45" s="1107"/>
      <c r="O45" s="1105"/>
      <c r="P45" s="1107"/>
      <c r="Q45" s="1105"/>
      <c r="R45" s="1107"/>
      <c r="S45" s="1105"/>
      <c r="T45" s="1107"/>
      <c r="U45" s="1105"/>
      <c r="V45" s="1107"/>
      <c r="W45" s="1105"/>
      <c r="X45" s="1107"/>
      <c r="Y45" s="1105"/>
      <c r="Z45" s="1107"/>
      <c r="AA45" s="1105"/>
      <c r="AB45" s="1107"/>
      <c r="AC45" s="1105"/>
      <c r="AD45" s="1107"/>
      <c r="AE45" s="1105"/>
      <c r="AF45" s="1107"/>
      <c r="AG45" s="1105"/>
      <c r="AH45" s="1108"/>
      <c r="AI45" s="31"/>
      <c r="AJ45" s="14"/>
    </row>
    <row r="46" spans="2:36" s="236" customFormat="1" ht="15">
      <c r="B46" s="1" t="s">
        <v>17</v>
      </c>
      <c r="F46" s="235" t="s">
        <v>39</v>
      </c>
      <c r="J46" s="1085">
        <f>SUM(J43:J45)</f>
        <v>0</v>
      </c>
      <c r="K46" s="1105"/>
      <c r="L46" s="1086">
        <f>SUM(L43:L45)</f>
        <v>0</v>
      </c>
      <c r="M46" s="1105"/>
      <c r="N46" s="1086">
        <f>SUM(N43:N45)</f>
        <v>0</v>
      </c>
      <c r="O46" s="1105"/>
      <c r="P46" s="1086">
        <f>SUM(P43:P45)</f>
        <v>0</v>
      </c>
      <c r="Q46" s="1105"/>
      <c r="R46" s="1086">
        <f>SUM(R43:R45)</f>
        <v>0</v>
      </c>
      <c r="S46" s="1105"/>
      <c r="T46" s="1086">
        <f>SUM(T43:T45)</f>
        <v>0</v>
      </c>
      <c r="U46" s="1105"/>
      <c r="V46" s="1086">
        <f>SUM(V43:V45)</f>
        <v>0</v>
      </c>
      <c r="W46" s="1105"/>
      <c r="X46" s="1086">
        <f>SUM(X43:X45)</f>
        <v>0</v>
      </c>
      <c r="Y46" s="1105"/>
      <c r="Z46" s="1086">
        <f>SUM(Z43:Z45)</f>
        <v>0</v>
      </c>
      <c r="AA46" s="1105"/>
      <c r="AB46" s="1086">
        <f>SUM(AB43:AB45)</f>
        <v>0</v>
      </c>
      <c r="AC46" s="1105"/>
      <c r="AD46" s="1086">
        <f>SUM(AD43:AD45)</f>
        <v>0</v>
      </c>
      <c r="AE46" s="1105"/>
      <c r="AF46" s="1086">
        <f>SUM(AF43:AF45)</f>
        <v>0</v>
      </c>
      <c r="AG46" s="1105"/>
      <c r="AH46" s="1087">
        <f>SUM(AH43:AH45)</f>
        <v>0</v>
      </c>
      <c r="AI46" s="8">
        <f>IF(AH$58=0,0,AH46/AH$58)</f>
        <v>0</v>
      </c>
      <c r="AJ46" s="14"/>
    </row>
    <row r="47" spans="2:36" s="236" customFormat="1" ht="15" outlineLevel="1">
      <c r="B47" s="32" t="s">
        <v>17</v>
      </c>
      <c r="J47" s="1085"/>
      <c r="K47" s="1105"/>
      <c r="L47" s="1086"/>
      <c r="M47" s="1105"/>
      <c r="N47" s="1086"/>
      <c r="O47" s="1105"/>
      <c r="P47" s="1086"/>
      <c r="Q47" s="1105"/>
      <c r="R47" s="1086"/>
      <c r="S47" s="1105"/>
      <c r="T47" s="1086"/>
      <c r="U47" s="1105"/>
      <c r="V47" s="1086"/>
      <c r="W47" s="1105"/>
      <c r="X47" s="1086"/>
      <c r="Y47" s="1105"/>
      <c r="Z47" s="1086"/>
      <c r="AA47" s="1105"/>
      <c r="AB47" s="1086"/>
      <c r="AC47" s="1105"/>
      <c r="AD47" s="1086"/>
      <c r="AE47" s="1105"/>
      <c r="AF47" s="1086"/>
      <c r="AG47" s="1105"/>
      <c r="AH47" s="1087"/>
      <c r="AI47" s="31"/>
      <c r="AJ47" s="14"/>
    </row>
    <row r="48" spans="2:36" outlineLevel="1">
      <c r="B48" s="5" t="s">
        <v>40</v>
      </c>
      <c r="D48" s="234"/>
      <c r="E48" s="234"/>
      <c r="F48" s="235"/>
      <c r="G48" s="3"/>
      <c r="H48" s="236"/>
      <c r="I48" s="6"/>
      <c r="J48" s="1078"/>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1">
        <f>AF48+AD48+AB48+Z48+X48+V48+T48+R48+P48+N48+L48+J48</f>
        <v>0</v>
      </c>
      <c r="AI48" s="8">
        <f>IF(AH$58=0,0,AH48/AH$58)</f>
        <v>0</v>
      </c>
      <c r="AJ48" s="9"/>
    </row>
    <row r="49" spans="2:36" s="236" customFormat="1" ht="3.75" customHeight="1" outlineLevel="1">
      <c r="B49" s="32" t="s">
        <v>17</v>
      </c>
      <c r="D49" s="235"/>
      <c r="E49" s="235"/>
      <c r="F49" s="235"/>
      <c r="G49" s="235"/>
      <c r="J49" s="1106"/>
      <c r="K49" s="1105"/>
      <c r="L49" s="1107"/>
      <c r="M49" s="1105"/>
      <c r="N49" s="1107"/>
      <c r="O49" s="1105"/>
      <c r="P49" s="1107"/>
      <c r="Q49" s="1105"/>
      <c r="R49" s="1107"/>
      <c r="S49" s="1105"/>
      <c r="T49" s="1107"/>
      <c r="U49" s="1105"/>
      <c r="V49" s="1107"/>
      <c r="W49" s="1105"/>
      <c r="X49" s="1107"/>
      <c r="Y49" s="1105"/>
      <c r="Z49" s="1107"/>
      <c r="AA49" s="1105"/>
      <c r="AB49" s="1107"/>
      <c r="AC49" s="1105"/>
      <c r="AD49" s="1107"/>
      <c r="AE49" s="1105"/>
      <c r="AF49" s="1107"/>
      <c r="AG49" s="1105"/>
      <c r="AH49" s="1108"/>
      <c r="AI49" s="31"/>
      <c r="AJ49" s="14"/>
    </row>
    <row r="50" spans="2:36" s="236" customFormat="1" ht="15">
      <c r="B50" s="32"/>
      <c r="F50" s="235" t="s">
        <v>41</v>
      </c>
      <c r="J50" s="1085">
        <f>SUM(J48:J49)</f>
        <v>0</v>
      </c>
      <c r="K50" s="1105"/>
      <c r="L50" s="1086">
        <f>SUM(L48:L49)</f>
        <v>0</v>
      </c>
      <c r="M50" s="1105"/>
      <c r="N50" s="1086">
        <f>SUM(N48:N49)</f>
        <v>0</v>
      </c>
      <c r="O50" s="1105"/>
      <c r="P50" s="1086">
        <f>SUM(P48:P49)</f>
        <v>0</v>
      </c>
      <c r="Q50" s="1105"/>
      <c r="R50" s="1086">
        <f>SUM(R48:R49)</f>
        <v>0</v>
      </c>
      <c r="S50" s="1105"/>
      <c r="T50" s="1086">
        <f>SUM(T48:T49)</f>
        <v>0</v>
      </c>
      <c r="U50" s="1105"/>
      <c r="V50" s="1086">
        <f>SUM(V48:V49)</f>
        <v>0</v>
      </c>
      <c r="W50" s="1105"/>
      <c r="X50" s="1086">
        <f>SUM(X48:X49)</f>
        <v>0</v>
      </c>
      <c r="Y50" s="1105"/>
      <c r="Z50" s="1086">
        <f>SUM(Z48:Z49)</f>
        <v>0</v>
      </c>
      <c r="AA50" s="1105"/>
      <c r="AB50" s="1086">
        <f>SUM(AB48:AB49)</f>
        <v>0</v>
      </c>
      <c r="AC50" s="1105"/>
      <c r="AD50" s="1086">
        <f>SUM(AD48:AD49)</f>
        <v>0</v>
      </c>
      <c r="AE50" s="1105"/>
      <c r="AF50" s="1086">
        <f>SUM(AF48:AF49)</f>
        <v>0</v>
      </c>
      <c r="AG50" s="1105"/>
      <c r="AH50" s="1087">
        <f>SUM(AH48:AH49)</f>
        <v>0</v>
      </c>
      <c r="AI50" s="8">
        <f>IF(AH$58=0,0,AH50/AH$58)</f>
        <v>0</v>
      </c>
      <c r="AJ50" s="14"/>
    </row>
    <row r="51" spans="2:36" s="236" customFormat="1" ht="15" outlineLevel="1">
      <c r="B51" s="32"/>
      <c r="J51" s="1085"/>
      <c r="K51" s="1105"/>
      <c r="L51" s="1086"/>
      <c r="M51" s="1105"/>
      <c r="N51" s="1086"/>
      <c r="O51" s="1105"/>
      <c r="P51" s="1086"/>
      <c r="Q51" s="1105"/>
      <c r="R51" s="1086"/>
      <c r="S51" s="1105"/>
      <c r="T51" s="1086"/>
      <c r="U51" s="1105"/>
      <c r="V51" s="1086"/>
      <c r="W51" s="1105"/>
      <c r="X51" s="1086"/>
      <c r="Y51" s="1105"/>
      <c r="Z51" s="1086"/>
      <c r="AA51" s="1105"/>
      <c r="AB51" s="1086"/>
      <c r="AC51" s="1105"/>
      <c r="AD51" s="1086"/>
      <c r="AE51" s="1105"/>
      <c r="AF51" s="1086"/>
      <c r="AG51" s="1105"/>
      <c r="AH51" s="1087"/>
      <c r="AI51" s="31"/>
      <c r="AJ51" s="14"/>
    </row>
    <row r="52" spans="2:36" s="236" customFormat="1" ht="15" outlineLevel="1">
      <c r="B52" s="32" t="s">
        <v>17</v>
      </c>
      <c r="J52" s="1085"/>
      <c r="K52" s="1105"/>
      <c r="L52" s="1086"/>
      <c r="M52" s="1105"/>
      <c r="N52" s="1086"/>
      <c r="O52" s="1105"/>
      <c r="P52" s="1086"/>
      <c r="Q52" s="1105"/>
      <c r="R52" s="1086"/>
      <c r="S52" s="1105"/>
      <c r="T52" s="1086"/>
      <c r="U52" s="1105"/>
      <c r="V52" s="1086"/>
      <c r="W52" s="1105"/>
      <c r="X52" s="1086"/>
      <c r="Y52" s="1105"/>
      <c r="Z52" s="1086"/>
      <c r="AA52" s="1105"/>
      <c r="AB52" s="1086"/>
      <c r="AC52" s="1105"/>
      <c r="AD52" s="1086"/>
      <c r="AE52" s="1105"/>
      <c r="AF52" s="1086"/>
      <c r="AG52" s="1105"/>
      <c r="AH52" s="1087"/>
      <c r="AI52" s="31"/>
      <c r="AJ52" s="14"/>
    </row>
    <row r="53" spans="2:36" outlineLevel="1">
      <c r="B53" s="5" t="s">
        <v>42</v>
      </c>
      <c r="D53" s="234">
        <v>38000</v>
      </c>
      <c r="E53" s="234" t="s">
        <v>43</v>
      </c>
      <c r="F53" s="235"/>
      <c r="G53" s="3"/>
      <c r="H53" s="236"/>
      <c r="I53" s="6"/>
      <c r="J53" s="1078">
        <v>2782.39</v>
      </c>
      <c r="K53" s="1080"/>
      <c r="L53" s="1080">
        <v>2330.64</v>
      </c>
      <c r="M53" s="1080"/>
      <c r="N53" s="1080">
        <v>3268.75</v>
      </c>
      <c r="O53" s="1080"/>
      <c r="P53" s="1080">
        <v>3183.67</v>
      </c>
      <c r="Q53" s="1080"/>
      <c r="R53" s="1080">
        <v>3477.77</v>
      </c>
      <c r="S53" s="1080"/>
      <c r="T53" s="1080">
        <v>3116.02</v>
      </c>
      <c r="U53" s="1080"/>
      <c r="V53" s="1080">
        <v>3419.26</v>
      </c>
      <c r="W53" s="1080"/>
      <c r="X53" s="1080">
        <v>4356.87</v>
      </c>
      <c r="Y53" s="1080"/>
      <c r="Z53" s="1080">
        <v>4457.47</v>
      </c>
      <c r="AA53" s="1080"/>
      <c r="AB53" s="1080">
        <v>3833.34</v>
      </c>
      <c r="AC53" s="1080"/>
      <c r="AD53" s="1080">
        <v>2155.81</v>
      </c>
      <c r="AE53" s="1080"/>
      <c r="AF53" s="1080">
        <v>7593.05</v>
      </c>
      <c r="AG53" s="1080"/>
      <c r="AH53" s="1081">
        <f t="shared" ref="AH53:AH54" si="4">AF53+AD53+AB53+Z53+X53+V53+T53+R53+P53+N53+L53+J53</f>
        <v>43975.040000000001</v>
      </c>
      <c r="AI53" s="8">
        <f t="shared" ref="AI53:AI54" si="5">IF(AH$58=0,0,AH53/AH$58)</f>
        <v>2.171979951405046E-3</v>
      </c>
      <c r="AJ53" s="9"/>
    </row>
    <row r="54" spans="2:36" outlineLevel="1">
      <c r="B54" s="5" t="s">
        <v>24</v>
      </c>
      <c r="D54" s="234">
        <v>38001</v>
      </c>
      <c r="E54" s="234" t="s">
        <v>44</v>
      </c>
      <c r="F54" s="235"/>
      <c r="G54" s="3"/>
      <c r="H54" s="236"/>
      <c r="I54" s="6"/>
      <c r="J54" s="1078">
        <v>1142.92</v>
      </c>
      <c r="K54" s="1080"/>
      <c r="L54" s="1080">
        <v>1703.54</v>
      </c>
      <c r="M54" s="1080"/>
      <c r="N54" s="1080">
        <v>1790.51</v>
      </c>
      <c r="O54" s="1080"/>
      <c r="P54" s="1080">
        <v>919.85</v>
      </c>
      <c r="Q54" s="1080"/>
      <c r="R54" s="1080">
        <v>1668.3</v>
      </c>
      <c r="S54" s="1080"/>
      <c r="T54" s="1080">
        <v>1335.57</v>
      </c>
      <c r="U54" s="1080"/>
      <c r="V54" s="1080">
        <v>1557.61</v>
      </c>
      <c r="W54" s="1080"/>
      <c r="X54" s="1080">
        <v>1423.44</v>
      </c>
      <c r="Y54" s="1080"/>
      <c r="Z54" s="1080">
        <v>1983.38</v>
      </c>
      <c r="AA54" s="1080"/>
      <c r="AB54" s="1080">
        <v>1739.77</v>
      </c>
      <c r="AC54" s="1080"/>
      <c r="AD54" s="1080">
        <v>1415.3</v>
      </c>
      <c r="AE54" s="1080"/>
      <c r="AF54" s="1080">
        <v>1414.99</v>
      </c>
      <c r="AG54" s="1080"/>
      <c r="AH54" s="1081">
        <f t="shared" si="4"/>
        <v>18095.18</v>
      </c>
      <c r="AI54" s="8">
        <f t="shared" si="5"/>
        <v>8.9374263621057684E-4</v>
      </c>
      <c r="AJ54" s="9"/>
    </row>
    <row r="55" spans="2:36" s="236" customFormat="1" ht="4.5" customHeight="1" outlineLevel="1">
      <c r="B55" s="32" t="s">
        <v>17</v>
      </c>
      <c r="D55" s="35"/>
      <c r="J55" s="1106"/>
      <c r="K55" s="1105"/>
      <c r="L55" s="1107"/>
      <c r="M55" s="1105"/>
      <c r="N55" s="1107"/>
      <c r="O55" s="1105"/>
      <c r="P55" s="1107"/>
      <c r="Q55" s="1105"/>
      <c r="R55" s="1107"/>
      <c r="S55" s="1105"/>
      <c r="T55" s="1107"/>
      <c r="U55" s="1105"/>
      <c r="V55" s="1107"/>
      <c r="W55" s="1105"/>
      <c r="X55" s="1107"/>
      <c r="Y55" s="1105"/>
      <c r="Z55" s="1107"/>
      <c r="AA55" s="1105"/>
      <c r="AB55" s="1107"/>
      <c r="AC55" s="1105"/>
      <c r="AD55" s="1107"/>
      <c r="AE55" s="1105"/>
      <c r="AF55" s="1107"/>
      <c r="AG55" s="1105"/>
      <c r="AH55" s="1108"/>
      <c r="AI55" s="31"/>
      <c r="AJ55" s="14"/>
    </row>
    <row r="56" spans="2:36" s="236" customFormat="1" ht="15">
      <c r="B56" s="32" t="s">
        <v>17</v>
      </c>
      <c r="F56" s="236" t="s">
        <v>43</v>
      </c>
      <c r="J56" s="1085">
        <f>SUM(J52:J55)</f>
        <v>3925.31</v>
      </c>
      <c r="K56" s="1105"/>
      <c r="L56" s="1086">
        <f>SUM(L52:L55)</f>
        <v>4034.18</v>
      </c>
      <c r="M56" s="1105"/>
      <c r="N56" s="1086">
        <f>SUM(N52:N55)</f>
        <v>5059.26</v>
      </c>
      <c r="O56" s="1105"/>
      <c r="P56" s="1086">
        <f>SUM(P52:P55)</f>
        <v>4103.5200000000004</v>
      </c>
      <c r="Q56" s="1105"/>
      <c r="R56" s="1086">
        <f>SUM(R52:R55)</f>
        <v>5146.07</v>
      </c>
      <c r="S56" s="1105"/>
      <c r="T56" s="1086">
        <f>SUM(T52:T55)</f>
        <v>4451.59</v>
      </c>
      <c r="U56" s="1105"/>
      <c r="V56" s="1086">
        <f>SUM(V52:V55)</f>
        <v>4976.87</v>
      </c>
      <c r="W56" s="1105"/>
      <c r="X56" s="1086">
        <f>SUM(X52:X55)</f>
        <v>5780.3099999999995</v>
      </c>
      <c r="Y56" s="1105"/>
      <c r="Z56" s="1086">
        <f>SUM(Z52:Z55)</f>
        <v>6440.85</v>
      </c>
      <c r="AA56" s="1105"/>
      <c r="AB56" s="1086">
        <f>SUM(AB52:AB55)</f>
        <v>5573.1100000000006</v>
      </c>
      <c r="AC56" s="1105"/>
      <c r="AD56" s="1086">
        <f>SUM(AD52:AD55)</f>
        <v>3571.1099999999997</v>
      </c>
      <c r="AE56" s="1105"/>
      <c r="AF56" s="1086">
        <f>SUM(AF52:AF55)</f>
        <v>9008.0400000000009</v>
      </c>
      <c r="AG56" s="1105"/>
      <c r="AH56" s="1087">
        <f>SUM(AH52:AH55)</f>
        <v>62070.22</v>
      </c>
      <c r="AI56" s="8">
        <f>IF(AH$58=0,0,AH56/AH$58)</f>
        <v>3.0657225876156232E-3</v>
      </c>
      <c r="AJ56" s="14"/>
    </row>
    <row r="57" spans="2:36" s="236" customFormat="1" ht="7.5" customHeight="1">
      <c r="B57" s="32" t="s">
        <v>17</v>
      </c>
      <c r="J57" s="1085"/>
      <c r="K57" s="1105"/>
      <c r="L57" s="1086"/>
      <c r="M57" s="1105"/>
      <c r="N57" s="1086"/>
      <c r="O57" s="1105"/>
      <c r="P57" s="1086"/>
      <c r="Q57" s="1105"/>
      <c r="R57" s="1086"/>
      <c r="S57" s="1105"/>
      <c r="T57" s="1086"/>
      <c r="U57" s="1105"/>
      <c r="V57" s="1086"/>
      <c r="W57" s="1105"/>
      <c r="X57" s="1086"/>
      <c r="Y57" s="1105"/>
      <c r="Z57" s="1086"/>
      <c r="AA57" s="1105"/>
      <c r="AB57" s="1086"/>
      <c r="AC57" s="1105"/>
      <c r="AD57" s="1086"/>
      <c r="AE57" s="1105"/>
      <c r="AF57" s="1086"/>
      <c r="AG57" s="1105"/>
      <c r="AH57" s="1087"/>
      <c r="AI57" s="31"/>
      <c r="AJ57" s="14"/>
    </row>
    <row r="58" spans="2:36" s="236" customFormat="1" ht="15">
      <c r="B58" s="32" t="s">
        <v>17</v>
      </c>
      <c r="E58" s="36" t="s">
        <v>45</v>
      </c>
      <c r="J58" s="1109">
        <f>+J33+J41+J46+J56+J29+J50</f>
        <v>1597744.45</v>
      </c>
      <c r="K58" s="1105"/>
      <c r="L58" s="1110">
        <f>+L33+L41+L46+L56+L29+L50</f>
        <v>1667435.2799999998</v>
      </c>
      <c r="M58" s="1105"/>
      <c r="N58" s="1110">
        <f>+N33+N41+N46+N56+N29+N50</f>
        <v>1746875.9100000001</v>
      </c>
      <c r="O58" s="1105"/>
      <c r="P58" s="1110">
        <f>+P33+P41+P46+P56+P29+P50</f>
        <v>1723596.6400000001</v>
      </c>
      <c r="Q58" s="1105"/>
      <c r="R58" s="1110">
        <f>+R33+R41+R46+R56+R29+R50</f>
        <v>1737062.92</v>
      </c>
      <c r="S58" s="1105"/>
      <c r="T58" s="1110">
        <f>+T33+T41+T46+T56+T29+T50</f>
        <v>1732296.2499999998</v>
      </c>
      <c r="U58" s="1105"/>
      <c r="V58" s="1110">
        <f>+V33+V41+V46+V56+V29+V50</f>
        <v>1738772.52</v>
      </c>
      <c r="W58" s="1105"/>
      <c r="X58" s="1110">
        <f>+X33+X41+X46+X56+X29+X50</f>
        <v>1723564.83</v>
      </c>
      <c r="Y58" s="1105"/>
      <c r="Z58" s="1110">
        <f>+Z33+Z41+Z46+Z56+Z29+Z50</f>
        <v>1602065.4300000002</v>
      </c>
      <c r="AA58" s="1105"/>
      <c r="AB58" s="1110">
        <f>+AB33+AB41+AB46+AB56+AB29+AB50</f>
        <v>1585536.7000000002</v>
      </c>
      <c r="AC58" s="1105"/>
      <c r="AD58" s="1110">
        <f>+AD33+AD41+AD46+AD56+AD29+AD50</f>
        <v>1659245.61</v>
      </c>
      <c r="AE58" s="1105"/>
      <c r="AF58" s="1110">
        <f>+AF33+AF41+AF46+AF56+AF29+AF50</f>
        <v>1732325.52</v>
      </c>
      <c r="AG58" s="1105"/>
      <c r="AH58" s="1111">
        <f>+AH33+AH41+AH46+AH56+AH29+AH50</f>
        <v>20246522.060000002</v>
      </c>
      <c r="AI58" s="8">
        <f>IF(AH$58=0,0,AH58/AH$58)</f>
        <v>1</v>
      </c>
      <c r="AJ58" s="14"/>
    </row>
    <row r="59" spans="2:36" s="236" customFormat="1" ht="7.5" customHeight="1">
      <c r="B59" s="32" t="s">
        <v>17</v>
      </c>
      <c r="J59" s="1085"/>
      <c r="K59" s="1105"/>
      <c r="L59" s="1086"/>
      <c r="M59" s="1105"/>
      <c r="N59" s="1086"/>
      <c r="O59" s="1105"/>
      <c r="P59" s="1086"/>
      <c r="Q59" s="1105"/>
      <c r="R59" s="1086"/>
      <c r="S59" s="1105"/>
      <c r="T59" s="1086"/>
      <c r="U59" s="1105"/>
      <c r="V59" s="1086"/>
      <c r="W59" s="1105"/>
      <c r="X59" s="1086"/>
      <c r="Y59" s="1105"/>
      <c r="Z59" s="1086"/>
      <c r="AA59" s="1105"/>
      <c r="AB59" s="1086"/>
      <c r="AC59" s="1105"/>
      <c r="AD59" s="1086"/>
      <c r="AE59" s="1105"/>
      <c r="AF59" s="1086"/>
      <c r="AG59" s="1105"/>
      <c r="AH59" s="1087"/>
      <c r="AI59" s="31"/>
      <c r="AJ59" s="14"/>
    </row>
    <row r="60" spans="2:36" s="236" customFormat="1" ht="15" outlineLevel="1">
      <c r="B60" s="32"/>
      <c r="J60" s="1085"/>
      <c r="K60" s="1105"/>
      <c r="L60" s="1086"/>
      <c r="M60" s="1105"/>
      <c r="N60" s="1086"/>
      <c r="O60" s="1105"/>
      <c r="P60" s="1086"/>
      <c r="Q60" s="1105"/>
      <c r="R60" s="1086"/>
      <c r="S60" s="1105"/>
      <c r="T60" s="1086"/>
      <c r="U60" s="1105"/>
      <c r="V60" s="1086"/>
      <c r="W60" s="1105"/>
      <c r="X60" s="1086"/>
      <c r="Y60" s="1105"/>
      <c r="Z60" s="1086"/>
      <c r="AA60" s="1105"/>
      <c r="AB60" s="1086"/>
      <c r="AC60" s="1105"/>
      <c r="AD60" s="1086"/>
      <c r="AE60" s="1105"/>
      <c r="AF60" s="1086"/>
      <c r="AG60" s="1105"/>
      <c r="AH60" s="1087"/>
      <c r="AI60" s="31"/>
      <c r="AJ60" s="14"/>
    </row>
    <row r="61" spans="2:36" outlineLevel="1">
      <c r="B61" s="5" t="s">
        <v>46</v>
      </c>
      <c r="D61" s="234">
        <v>40101</v>
      </c>
      <c r="E61" s="234" t="s">
        <v>47</v>
      </c>
      <c r="F61" s="235"/>
      <c r="G61" s="3"/>
      <c r="H61" s="236"/>
      <c r="I61" s="6"/>
      <c r="J61" s="1078">
        <v>410832.44</v>
      </c>
      <c r="K61" s="1080"/>
      <c r="L61" s="1080">
        <v>398709.98</v>
      </c>
      <c r="M61" s="1080"/>
      <c r="N61" s="1080">
        <v>452251.19</v>
      </c>
      <c r="O61" s="1080"/>
      <c r="P61" s="1080">
        <v>434030.03</v>
      </c>
      <c r="Q61" s="1080"/>
      <c r="R61" s="1080">
        <v>441637.31</v>
      </c>
      <c r="S61" s="1080"/>
      <c r="T61" s="1080">
        <v>430630.88</v>
      </c>
      <c r="U61" s="1080"/>
      <c r="V61" s="1080">
        <v>423298.66</v>
      </c>
      <c r="W61" s="1080"/>
      <c r="X61" s="1080">
        <v>444473.46</v>
      </c>
      <c r="Y61" s="1080"/>
      <c r="Z61" s="1080">
        <v>375570.53</v>
      </c>
      <c r="AA61" s="1080"/>
      <c r="AB61" s="1080">
        <v>314008.88</v>
      </c>
      <c r="AC61" s="1080"/>
      <c r="AD61" s="1080">
        <v>343860.01</v>
      </c>
      <c r="AE61" s="1080"/>
      <c r="AF61" s="1080">
        <v>419420.89</v>
      </c>
      <c r="AG61" s="1080"/>
      <c r="AH61" s="1081">
        <f t="shared" ref="AH61:AH62" si="6">AF61+AD61+AB61+Z61+X61+V61+T61+R61+P61+N61+L61+J61</f>
        <v>4888724.2600000007</v>
      </c>
      <c r="AI61" s="8">
        <f t="shared" ref="AI61:AI62" si="7">IF(AH$58=0,0,AH61/AH$58)</f>
        <v>0.24145995275200369</v>
      </c>
      <c r="AJ61" s="9"/>
    </row>
    <row r="62" spans="2:36" outlineLevel="1">
      <c r="B62" s="5" t="s">
        <v>24</v>
      </c>
      <c r="D62" s="234">
        <v>40139</v>
      </c>
      <c r="E62" s="234" t="s">
        <v>2015</v>
      </c>
      <c r="F62" s="235"/>
      <c r="G62" s="3"/>
      <c r="H62" s="236"/>
      <c r="I62" s="6"/>
      <c r="J62" s="1078">
        <v>0.6</v>
      </c>
      <c r="K62" s="1080"/>
      <c r="L62" s="1080">
        <v>-0.6</v>
      </c>
      <c r="M62" s="1080"/>
      <c r="N62" s="1080">
        <v>0</v>
      </c>
      <c r="O62" s="1080"/>
      <c r="P62" s="1080">
        <v>0</v>
      </c>
      <c r="Q62" s="1080"/>
      <c r="R62" s="1080">
        <v>0</v>
      </c>
      <c r="S62" s="1080"/>
      <c r="T62" s="1080">
        <v>0</v>
      </c>
      <c r="U62" s="1080"/>
      <c r="V62" s="1080">
        <v>0</v>
      </c>
      <c r="W62" s="1080"/>
      <c r="X62" s="1080">
        <v>0</v>
      </c>
      <c r="Y62" s="1080"/>
      <c r="Z62" s="1080">
        <v>0</v>
      </c>
      <c r="AA62" s="1080"/>
      <c r="AB62" s="1080">
        <v>0</v>
      </c>
      <c r="AC62" s="1080"/>
      <c r="AD62" s="1080">
        <v>0</v>
      </c>
      <c r="AE62" s="1080"/>
      <c r="AF62" s="1080">
        <v>0</v>
      </c>
      <c r="AG62" s="1080"/>
      <c r="AH62" s="1081">
        <f t="shared" si="6"/>
        <v>0</v>
      </c>
      <c r="AI62" s="8">
        <f t="shared" si="7"/>
        <v>0</v>
      </c>
      <c r="AJ62" s="9"/>
    </row>
    <row r="63" spans="2:36" s="236" customFormat="1" ht="5.0999999999999996" customHeight="1" outlineLevel="1">
      <c r="B63" s="32" t="s">
        <v>17</v>
      </c>
      <c r="D63" s="235"/>
      <c r="E63" s="235"/>
      <c r="F63" s="235"/>
      <c r="G63" s="235"/>
      <c r="J63" s="1106"/>
      <c r="K63" s="1105"/>
      <c r="L63" s="1107"/>
      <c r="M63" s="1105"/>
      <c r="N63" s="1107"/>
      <c r="O63" s="1105"/>
      <c r="P63" s="1107"/>
      <c r="Q63" s="1105"/>
      <c r="R63" s="1107"/>
      <c r="S63" s="1105"/>
      <c r="T63" s="1107"/>
      <c r="U63" s="1105"/>
      <c r="V63" s="1107"/>
      <c r="W63" s="1105"/>
      <c r="X63" s="1107"/>
      <c r="Y63" s="1105"/>
      <c r="Z63" s="1107"/>
      <c r="AA63" s="1105"/>
      <c r="AB63" s="1107"/>
      <c r="AC63" s="1105"/>
      <c r="AD63" s="1107"/>
      <c r="AE63" s="1105"/>
      <c r="AF63" s="1107"/>
      <c r="AG63" s="1105"/>
      <c r="AH63" s="1108"/>
      <c r="AI63" s="31"/>
      <c r="AJ63" s="14"/>
    </row>
    <row r="64" spans="2:36" s="236" customFormat="1" ht="15">
      <c r="B64" s="32" t="s">
        <v>17</v>
      </c>
      <c r="F64" s="235" t="s">
        <v>48</v>
      </c>
      <c r="J64" s="1085">
        <f>SUM(J60:J63)</f>
        <v>410833.04</v>
      </c>
      <c r="K64" s="1105"/>
      <c r="L64" s="1086">
        <f>SUM(L60:L63)</f>
        <v>398709.38</v>
      </c>
      <c r="M64" s="1105"/>
      <c r="N64" s="1086">
        <f>SUM(N60:N63)</f>
        <v>452251.19</v>
      </c>
      <c r="O64" s="1105"/>
      <c r="P64" s="1086">
        <f>SUM(P60:P63)</f>
        <v>434030.03</v>
      </c>
      <c r="Q64" s="1105"/>
      <c r="R64" s="1086">
        <f>SUM(R60:R63)</f>
        <v>441637.31</v>
      </c>
      <c r="S64" s="1105"/>
      <c r="T64" s="1086">
        <f>SUM(T60:T63)</f>
        <v>430630.88</v>
      </c>
      <c r="U64" s="1105"/>
      <c r="V64" s="1086">
        <f>SUM(V60:V63)</f>
        <v>423298.66</v>
      </c>
      <c r="W64" s="1105"/>
      <c r="X64" s="1086">
        <f>SUM(X60:X63)</f>
        <v>444473.46</v>
      </c>
      <c r="Y64" s="1105"/>
      <c r="Z64" s="1086">
        <f>SUM(Z60:Z63)</f>
        <v>375570.53</v>
      </c>
      <c r="AA64" s="1105"/>
      <c r="AB64" s="1086">
        <f>SUM(AB60:AB63)</f>
        <v>314008.88</v>
      </c>
      <c r="AC64" s="1105"/>
      <c r="AD64" s="1086">
        <f>SUM(AD60:AD63)</f>
        <v>343860.01</v>
      </c>
      <c r="AE64" s="1105"/>
      <c r="AF64" s="1086">
        <f>SUM(AF60:AF63)</f>
        <v>419420.89</v>
      </c>
      <c r="AG64" s="1105"/>
      <c r="AH64" s="1087">
        <f>SUM(AH60:AH63)</f>
        <v>4888724.2600000007</v>
      </c>
      <c r="AI64" s="8">
        <f>IF(AH$58=0,0,AH64/AH$58)</f>
        <v>0.24145995275200369</v>
      </c>
      <c r="AJ64" s="14"/>
    </row>
    <row r="65" spans="2:36" s="236" customFormat="1" ht="15" outlineLevel="1">
      <c r="B65" s="32"/>
      <c r="J65" s="1085"/>
      <c r="K65" s="1105"/>
      <c r="L65" s="1086"/>
      <c r="M65" s="1105"/>
      <c r="N65" s="1086"/>
      <c r="O65" s="1105"/>
      <c r="P65" s="1086"/>
      <c r="Q65" s="1105"/>
      <c r="R65" s="1086"/>
      <c r="S65" s="1105"/>
      <c r="T65" s="1086"/>
      <c r="U65" s="1105"/>
      <c r="V65" s="1086"/>
      <c r="W65" s="1105"/>
      <c r="X65" s="1086"/>
      <c r="Y65" s="1105"/>
      <c r="Z65" s="1086"/>
      <c r="AA65" s="1105"/>
      <c r="AB65" s="1086"/>
      <c r="AC65" s="1105"/>
      <c r="AD65" s="1086"/>
      <c r="AE65" s="1105"/>
      <c r="AF65" s="1086"/>
      <c r="AG65" s="1105"/>
      <c r="AH65" s="1087"/>
      <c r="AI65" s="31"/>
      <c r="AJ65" s="14"/>
    </row>
    <row r="66" spans="2:36" outlineLevel="1">
      <c r="B66" s="5" t="s">
        <v>49</v>
      </c>
      <c r="D66" s="234">
        <v>40861</v>
      </c>
      <c r="E66" s="234" t="s">
        <v>607</v>
      </c>
      <c r="F66" s="235"/>
      <c r="G66" s="3"/>
      <c r="H66" s="236"/>
      <c r="I66" s="6"/>
      <c r="J66" s="1078">
        <v>0</v>
      </c>
      <c r="K66" s="1080"/>
      <c r="L66" s="1080">
        <v>0</v>
      </c>
      <c r="M66" s="1080"/>
      <c r="N66" s="1080">
        <v>0</v>
      </c>
      <c r="O66" s="1080"/>
      <c r="P66" s="1080">
        <v>0</v>
      </c>
      <c r="Q66" s="1080"/>
      <c r="R66" s="1080">
        <v>0</v>
      </c>
      <c r="S66" s="1080"/>
      <c r="T66" s="1080">
        <v>0</v>
      </c>
      <c r="U66" s="1080"/>
      <c r="V66" s="1080">
        <v>0</v>
      </c>
      <c r="W66" s="1080"/>
      <c r="X66" s="1080">
        <v>0</v>
      </c>
      <c r="Y66" s="1080"/>
      <c r="Z66" s="1080">
        <v>0</v>
      </c>
      <c r="AA66" s="1080"/>
      <c r="AB66" s="1080">
        <v>0</v>
      </c>
      <c r="AC66" s="1080"/>
      <c r="AD66" s="1080">
        <v>0</v>
      </c>
      <c r="AE66" s="1080"/>
      <c r="AF66" s="1080">
        <v>0</v>
      </c>
      <c r="AG66" s="1080"/>
      <c r="AH66" s="1081">
        <f>AF66+AD66+AB66+Z66+X66+V66+T66+R66+P66+N66+L66+J66</f>
        <v>0</v>
      </c>
      <c r="AI66" s="8">
        <f>IF(AH$58=0,0,AH66/AH$58)</f>
        <v>0</v>
      </c>
      <c r="AJ66" s="9"/>
    </row>
    <row r="67" spans="2:36" s="236" customFormat="1" ht="4.5" customHeight="1" outlineLevel="1">
      <c r="B67" s="236" t="s">
        <v>17</v>
      </c>
      <c r="D67" s="35"/>
      <c r="J67" s="1106"/>
      <c r="K67" s="1105"/>
      <c r="L67" s="1107"/>
      <c r="M67" s="1105"/>
      <c r="N67" s="1107"/>
      <c r="O67" s="1105"/>
      <c r="P67" s="1107"/>
      <c r="Q67" s="1105"/>
      <c r="R67" s="1107"/>
      <c r="S67" s="1105"/>
      <c r="T67" s="1107"/>
      <c r="U67" s="1105"/>
      <c r="V67" s="1107"/>
      <c r="W67" s="1105"/>
      <c r="X67" s="1107"/>
      <c r="Y67" s="1105"/>
      <c r="Z67" s="1107"/>
      <c r="AA67" s="1105"/>
      <c r="AB67" s="1107"/>
      <c r="AC67" s="1105"/>
      <c r="AD67" s="1107"/>
      <c r="AE67" s="1105"/>
      <c r="AF67" s="1107"/>
      <c r="AG67" s="1105"/>
      <c r="AH67" s="1108"/>
      <c r="AI67" s="31"/>
      <c r="AJ67" s="14"/>
    </row>
    <row r="68" spans="2:36" s="236" customFormat="1" ht="15">
      <c r="B68" s="32" t="s">
        <v>17</v>
      </c>
      <c r="F68" s="236" t="s">
        <v>50</v>
      </c>
      <c r="J68" s="1085">
        <f>SUM(J66:J67)</f>
        <v>0</v>
      </c>
      <c r="K68" s="1105"/>
      <c r="L68" s="1086">
        <f>SUM(L66:L67)</f>
        <v>0</v>
      </c>
      <c r="M68" s="1105"/>
      <c r="N68" s="1086">
        <f>SUM(N66:N67)</f>
        <v>0</v>
      </c>
      <c r="O68" s="1105"/>
      <c r="P68" s="1086">
        <f>SUM(P66:P67)</f>
        <v>0</v>
      </c>
      <c r="Q68" s="1105"/>
      <c r="R68" s="1086">
        <f>SUM(R66:R67)</f>
        <v>0</v>
      </c>
      <c r="S68" s="1105"/>
      <c r="T68" s="1086">
        <f>SUM(T66:T67)</f>
        <v>0</v>
      </c>
      <c r="U68" s="1105"/>
      <c r="V68" s="1086">
        <f>SUM(V66:V67)</f>
        <v>0</v>
      </c>
      <c r="W68" s="1105"/>
      <c r="X68" s="1086">
        <f>SUM(X66:X67)</f>
        <v>0</v>
      </c>
      <c r="Y68" s="1105"/>
      <c r="Z68" s="1086">
        <f>SUM(Z66:Z67)</f>
        <v>0</v>
      </c>
      <c r="AA68" s="1105"/>
      <c r="AB68" s="1086">
        <f>SUM(AB66:AB67)</f>
        <v>0</v>
      </c>
      <c r="AC68" s="1105"/>
      <c r="AD68" s="1086">
        <f>SUM(AD66:AD67)</f>
        <v>0</v>
      </c>
      <c r="AE68" s="1105"/>
      <c r="AF68" s="1086">
        <f>SUM(AF66:AF67)</f>
        <v>0</v>
      </c>
      <c r="AG68" s="1105"/>
      <c r="AH68" s="1087">
        <f>SUM(AH66:AH67)</f>
        <v>0</v>
      </c>
      <c r="AI68" s="8">
        <f>IF(AH$58=0,0,AH68/AH$58)</f>
        <v>0</v>
      </c>
      <c r="AJ68" s="14"/>
    </row>
    <row r="69" spans="2:36" s="236" customFormat="1" ht="15" outlineLevel="1">
      <c r="B69" s="32"/>
      <c r="J69" s="1085"/>
      <c r="K69" s="1105"/>
      <c r="L69" s="1086"/>
      <c r="M69" s="1105"/>
      <c r="N69" s="1086"/>
      <c r="O69" s="1105"/>
      <c r="P69" s="1086"/>
      <c r="Q69" s="1105"/>
      <c r="R69" s="1086"/>
      <c r="S69" s="1105"/>
      <c r="T69" s="1086"/>
      <c r="U69" s="1105"/>
      <c r="V69" s="1086"/>
      <c r="W69" s="1105"/>
      <c r="X69" s="1086"/>
      <c r="Y69" s="1105"/>
      <c r="Z69" s="1086"/>
      <c r="AA69" s="1105"/>
      <c r="AB69" s="1086"/>
      <c r="AC69" s="1105"/>
      <c r="AD69" s="1086"/>
      <c r="AE69" s="1105"/>
      <c r="AF69" s="1086"/>
      <c r="AG69" s="1105"/>
      <c r="AH69" s="1087"/>
      <c r="AI69" s="31"/>
      <c r="AJ69" s="14"/>
    </row>
    <row r="70" spans="2:36" s="236" customFormat="1" ht="15" outlineLevel="1">
      <c r="B70" s="32" t="s">
        <v>17</v>
      </c>
      <c r="J70" s="1085"/>
      <c r="K70" s="1105"/>
      <c r="L70" s="1086"/>
      <c r="M70" s="1105"/>
      <c r="N70" s="1086"/>
      <c r="O70" s="1105"/>
      <c r="P70" s="1086"/>
      <c r="Q70" s="1105"/>
      <c r="R70" s="1086"/>
      <c r="S70" s="1105"/>
      <c r="T70" s="1086"/>
      <c r="U70" s="1105"/>
      <c r="V70" s="1086"/>
      <c r="W70" s="1105"/>
      <c r="X70" s="1086"/>
      <c r="Y70" s="1105"/>
      <c r="Z70" s="1086"/>
      <c r="AA70" s="1105"/>
      <c r="AB70" s="1086"/>
      <c r="AC70" s="1105"/>
      <c r="AD70" s="1086"/>
      <c r="AE70" s="1105"/>
      <c r="AF70" s="1086"/>
      <c r="AG70" s="1105"/>
      <c r="AH70" s="1087"/>
      <c r="AI70" s="31"/>
      <c r="AJ70" s="14"/>
    </row>
    <row r="71" spans="2:36" outlineLevel="1">
      <c r="B71" s="5" t="s">
        <v>51</v>
      </c>
      <c r="D71" s="234">
        <v>41121</v>
      </c>
      <c r="E71" s="234" t="s">
        <v>52</v>
      </c>
      <c r="F71" s="235"/>
      <c r="G71" s="3"/>
      <c r="H71" s="236"/>
      <c r="I71" s="6"/>
      <c r="J71" s="1078">
        <v>22150</v>
      </c>
      <c r="K71" s="1080"/>
      <c r="L71" s="1080">
        <v>20400</v>
      </c>
      <c r="M71" s="1080"/>
      <c r="N71" s="1080">
        <v>21250</v>
      </c>
      <c r="O71" s="1080"/>
      <c r="P71" s="1080">
        <v>20400</v>
      </c>
      <c r="Q71" s="1080"/>
      <c r="R71" s="1080">
        <v>20400</v>
      </c>
      <c r="S71" s="1080"/>
      <c r="T71" s="1080">
        <v>22100</v>
      </c>
      <c r="U71" s="1080"/>
      <c r="V71" s="1080">
        <v>18776.02</v>
      </c>
      <c r="W71" s="1080"/>
      <c r="X71" s="1080">
        <v>16150</v>
      </c>
      <c r="Y71" s="1080"/>
      <c r="Z71" s="1080">
        <v>20400</v>
      </c>
      <c r="AA71" s="1080"/>
      <c r="AB71" s="1080">
        <v>15300</v>
      </c>
      <c r="AC71" s="1080"/>
      <c r="AD71" s="1080">
        <v>16150</v>
      </c>
      <c r="AE71" s="1080"/>
      <c r="AF71" s="1080">
        <v>23100</v>
      </c>
      <c r="AG71" s="1080"/>
      <c r="AH71" s="1081">
        <f t="shared" ref="AH71:AH74" si="8">AF71+AD71+AB71+Z71+X71+V71+T71+R71+P71+N71+L71+J71</f>
        <v>236576.02000000002</v>
      </c>
      <c r="AI71" s="8">
        <f t="shared" ref="AI71:AI74" si="9">IF(AH$58=0,0,AH71/AH$58)</f>
        <v>1.1684773281006663E-2</v>
      </c>
      <c r="AJ71" s="9"/>
    </row>
    <row r="72" spans="2:36" outlineLevel="1">
      <c r="B72" s="5" t="s">
        <v>24</v>
      </c>
      <c r="D72" s="234">
        <v>41201</v>
      </c>
      <c r="E72" s="234" t="s">
        <v>2013</v>
      </c>
      <c r="F72" s="235"/>
      <c r="G72" s="3"/>
      <c r="H72" s="236"/>
      <c r="I72" s="6"/>
      <c r="J72" s="1078">
        <v>29185.82</v>
      </c>
      <c r="K72" s="1080"/>
      <c r="L72" s="1080">
        <v>27688.400000000001</v>
      </c>
      <c r="M72" s="1080"/>
      <c r="N72" s="1080">
        <v>29799.759999999998</v>
      </c>
      <c r="O72" s="1080"/>
      <c r="P72" s="1080">
        <v>28733.49</v>
      </c>
      <c r="Q72" s="1080"/>
      <c r="R72" s="1080">
        <v>28412</v>
      </c>
      <c r="S72" s="1080"/>
      <c r="T72" s="1080">
        <v>25465.22</v>
      </c>
      <c r="U72" s="1080"/>
      <c r="V72" s="1080">
        <v>30697.13</v>
      </c>
      <c r="W72" s="1080"/>
      <c r="X72" s="1080">
        <v>28865.14</v>
      </c>
      <c r="Y72" s="1080"/>
      <c r="Z72" s="1080">
        <v>25450.26</v>
      </c>
      <c r="AA72" s="1080"/>
      <c r="AB72" s="1080">
        <v>54945.65</v>
      </c>
      <c r="AC72" s="1080"/>
      <c r="AD72" s="1080">
        <v>54512.02</v>
      </c>
      <c r="AE72" s="1080"/>
      <c r="AF72" s="1080">
        <v>54116.88</v>
      </c>
      <c r="AG72" s="1080"/>
      <c r="AH72" s="1081">
        <f t="shared" si="8"/>
        <v>417871.77000000008</v>
      </c>
      <c r="AI72" s="8">
        <f t="shared" si="9"/>
        <v>2.0639187746006388E-2</v>
      </c>
      <c r="AJ72" s="9"/>
    </row>
    <row r="73" spans="2:36" outlineLevel="1">
      <c r="B73" s="5" t="s">
        <v>24</v>
      </c>
      <c r="D73" s="234">
        <v>43001</v>
      </c>
      <c r="E73" s="234" t="s">
        <v>2014</v>
      </c>
      <c r="F73" s="235"/>
      <c r="G73" s="3"/>
      <c r="H73" s="236"/>
      <c r="I73" s="6"/>
      <c r="J73" s="1078">
        <v>26985.75</v>
      </c>
      <c r="K73" s="1080"/>
      <c r="L73" s="1080">
        <v>28503.11</v>
      </c>
      <c r="M73" s="1080"/>
      <c r="N73" s="1080">
        <v>28669.99</v>
      </c>
      <c r="O73" s="1080"/>
      <c r="P73" s="1080">
        <v>28095.4</v>
      </c>
      <c r="Q73" s="1080"/>
      <c r="R73" s="1080">
        <v>27951.52</v>
      </c>
      <c r="S73" s="1080"/>
      <c r="T73" s="1080">
        <v>28959.63</v>
      </c>
      <c r="U73" s="1080"/>
      <c r="V73" s="1080">
        <v>28562.63</v>
      </c>
      <c r="W73" s="1080"/>
      <c r="X73" s="1080">
        <v>29236.21</v>
      </c>
      <c r="Y73" s="1080"/>
      <c r="Z73" s="1080">
        <v>26357.41</v>
      </c>
      <c r="AA73" s="1080"/>
      <c r="AB73" s="1080">
        <v>0</v>
      </c>
      <c r="AC73" s="1080"/>
      <c r="AD73" s="1080">
        <v>0</v>
      </c>
      <c r="AE73" s="1080"/>
      <c r="AF73" s="1080">
        <v>0</v>
      </c>
      <c r="AG73" s="1080"/>
      <c r="AH73" s="1081">
        <f t="shared" si="8"/>
        <v>253321.64999999997</v>
      </c>
      <c r="AI73" s="8">
        <f t="shared" si="9"/>
        <v>1.2511860024615009E-2</v>
      </c>
      <c r="AJ73" s="9"/>
    </row>
    <row r="74" spans="2:36" outlineLevel="1">
      <c r="B74" s="5" t="s">
        <v>24</v>
      </c>
      <c r="D74" s="234">
        <v>43002</v>
      </c>
      <c r="E74" s="234" t="s">
        <v>53</v>
      </c>
      <c r="F74" s="235"/>
      <c r="G74" s="3"/>
      <c r="H74" s="236"/>
      <c r="I74" s="6"/>
      <c r="J74" s="1078">
        <v>5492</v>
      </c>
      <c r="K74" s="1080"/>
      <c r="L74" s="1080">
        <v>5730</v>
      </c>
      <c r="M74" s="1080"/>
      <c r="N74" s="1080">
        <v>6037.01</v>
      </c>
      <c r="O74" s="1080"/>
      <c r="P74" s="1080">
        <v>5972</v>
      </c>
      <c r="Q74" s="1080"/>
      <c r="R74" s="1080">
        <v>5977</v>
      </c>
      <c r="S74" s="1080"/>
      <c r="T74" s="1080">
        <v>5434</v>
      </c>
      <c r="U74" s="1080"/>
      <c r="V74" s="1080">
        <v>6036</v>
      </c>
      <c r="W74" s="1080"/>
      <c r="X74" s="1080">
        <v>5870</v>
      </c>
      <c r="Y74" s="1080"/>
      <c r="Z74" s="1080">
        <v>5613</v>
      </c>
      <c r="AA74" s="1080"/>
      <c r="AB74" s="1080">
        <v>5334</v>
      </c>
      <c r="AC74" s="1080"/>
      <c r="AD74" s="1080">
        <v>5538</v>
      </c>
      <c r="AE74" s="1080"/>
      <c r="AF74" s="1080">
        <v>5914</v>
      </c>
      <c r="AG74" s="1080"/>
      <c r="AH74" s="1081">
        <f t="shared" si="8"/>
        <v>68947.010000000009</v>
      </c>
      <c r="AI74" s="8">
        <f t="shared" si="9"/>
        <v>3.405375490944937E-3</v>
      </c>
      <c r="AJ74" s="9"/>
    </row>
    <row r="75" spans="2:36" s="236" customFormat="1" ht="5.0999999999999996" customHeight="1" outlineLevel="1">
      <c r="B75" s="1" t="s">
        <v>17</v>
      </c>
      <c r="D75" s="235"/>
      <c r="E75" s="235"/>
      <c r="F75" s="235"/>
      <c r="G75" s="235"/>
      <c r="J75" s="1106"/>
      <c r="K75" s="1105"/>
      <c r="L75" s="1107"/>
      <c r="M75" s="1105"/>
      <c r="N75" s="1107"/>
      <c r="O75" s="1105"/>
      <c r="P75" s="1107"/>
      <c r="Q75" s="1105"/>
      <c r="R75" s="1107"/>
      <c r="S75" s="1105"/>
      <c r="T75" s="1107"/>
      <c r="U75" s="1105"/>
      <c r="V75" s="1107"/>
      <c r="W75" s="1105"/>
      <c r="X75" s="1107"/>
      <c r="Y75" s="1105"/>
      <c r="Z75" s="1107"/>
      <c r="AA75" s="1105"/>
      <c r="AB75" s="1107"/>
      <c r="AC75" s="1105"/>
      <c r="AD75" s="1107"/>
      <c r="AE75" s="1105"/>
      <c r="AF75" s="1107"/>
      <c r="AG75" s="1105"/>
      <c r="AH75" s="1108"/>
      <c r="AI75" s="31"/>
      <c r="AJ75" s="14"/>
    </row>
    <row r="76" spans="2:36" s="236" customFormat="1" ht="15">
      <c r="B76" s="32" t="s">
        <v>17</v>
      </c>
      <c r="F76" s="235" t="s">
        <v>54</v>
      </c>
      <c r="G76" s="37"/>
      <c r="H76" s="37"/>
      <c r="I76" s="37"/>
      <c r="J76" s="1085">
        <f>SUM(J70:J75)</f>
        <v>83813.570000000007</v>
      </c>
      <c r="K76" s="1105"/>
      <c r="L76" s="1086">
        <f>SUM(L70:L75)</f>
        <v>82321.510000000009</v>
      </c>
      <c r="M76" s="1105"/>
      <c r="N76" s="1086">
        <f>SUM(N70:N75)</f>
        <v>85756.76</v>
      </c>
      <c r="O76" s="1105"/>
      <c r="P76" s="1086">
        <f>SUM(P70:P75)</f>
        <v>83200.890000000014</v>
      </c>
      <c r="Q76" s="1105"/>
      <c r="R76" s="1086">
        <f>SUM(R70:R75)</f>
        <v>82740.52</v>
      </c>
      <c r="S76" s="1105"/>
      <c r="T76" s="1086">
        <f>SUM(T70:T75)</f>
        <v>81958.850000000006</v>
      </c>
      <c r="U76" s="1105"/>
      <c r="V76" s="1086">
        <f>SUM(V70:V75)</f>
        <v>84071.78</v>
      </c>
      <c r="W76" s="1105"/>
      <c r="X76" s="1086">
        <f>SUM(X70:X75)</f>
        <v>80121.350000000006</v>
      </c>
      <c r="Y76" s="1105"/>
      <c r="Z76" s="1086">
        <f>SUM(Z70:Z75)</f>
        <v>77820.67</v>
      </c>
      <c r="AA76" s="1105"/>
      <c r="AB76" s="1086">
        <f>SUM(AB70:AB75)</f>
        <v>75579.649999999994</v>
      </c>
      <c r="AC76" s="1105"/>
      <c r="AD76" s="1086">
        <f>SUM(AD70:AD75)</f>
        <v>76200.01999999999</v>
      </c>
      <c r="AE76" s="1105"/>
      <c r="AF76" s="1086">
        <f>SUM(AF70:AF75)</f>
        <v>83130.880000000005</v>
      </c>
      <c r="AG76" s="1105"/>
      <c r="AH76" s="1087">
        <f>SUM(AH70:AH75)</f>
        <v>976716.45</v>
      </c>
      <c r="AI76" s="8">
        <f>IF(AH$58=0,0,AH76/AH$58)</f>
        <v>4.8241196542572994E-2</v>
      </c>
      <c r="AJ76" s="14"/>
    </row>
    <row r="77" spans="2:36" s="236" customFormat="1" ht="15" outlineLevel="1">
      <c r="B77" s="32"/>
      <c r="J77" s="1085"/>
      <c r="K77" s="1105"/>
      <c r="L77" s="1086"/>
      <c r="M77" s="1105"/>
      <c r="N77" s="1086"/>
      <c r="O77" s="1105"/>
      <c r="P77" s="1086"/>
      <c r="Q77" s="1105"/>
      <c r="R77" s="1086"/>
      <c r="S77" s="1105"/>
      <c r="T77" s="1086"/>
      <c r="U77" s="1105"/>
      <c r="V77" s="1086"/>
      <c r="W77" s="1105"/>
      <c r="X77" s="1086"/>
      <c r="Y77" s="1105"/>
      <c r="Z77" s="1086"/>
      <c r="AA77" s="1105"/>
      <c r="AB77" s="1086"/>
      <c r="AC77" s="1105"/>
      <c r="AD77" s="1086"/>
      <c r="AE77" s="1105"/>
      <c r="AF77" s="1086"/>
      <c r="AG77" s="1105"/>
      <c r="AH77" s="1087"/>
      <c r="AI77" s="31"/>
      <c r="AJ77" s="14"/>
    </row>
    <row r="78" spans="2:36" s="236" customFormat="1" ht="15" outlineLevel="1">
      <c r="B78" s="32" t="s">
        <v>17</v>
      </c>
      <c r="J78" s="1085"/>
      <c r="K78" s="1105"/>
      <c r="L78" s="1086"/>
      <c r="M78" s="1105"/>
      <c r="N78" s="1086"/>
      <c r="O78" s="1105"/>
      <c r="P78" s="1086"/>
      <c r="Q78" s="1105"/>
      <c r="R78" s="1086"/>
      <c r="S78" s="1105"/>
      <c r="T78" s="1086"/>
      <c r="U78" s="1105"/>
      <c r="V78" s="1086"/>
      <c r="W78" s="1105"/>
      <c r="X78" s="1086"/>
      <c r="Y78" s="1105"/>
      <c r="Z78" s="1086"/>
      <c r="AA78" s="1105"/>
      <c r="AB78" s="1086"/>
      <c r="AC78" s="1105"/>
      <c r="AD78" s="1086"/>
      <c r="AE78" s="1105"/>
      <c r="AF78" s="1086"/>
      <c r="AG78" s="1105"/>
      <c r="AH78" s="1087"/>
      <c r="AI78" s="31"/>
      <c r="AJ78" s="14"/>
    </row>
    <row r="79" spans="2:36" outlineLevel="1">
      <c r="B79" s="5" t="s">
        <v>55</v>
      </c>
      <c r="D79" s="234"/>
      <c r="E79" s="234"/>
      <c r="F79" s="235"/>
      <c r="G79" s="3"/>
      <c r="H79" s="236"/>
      <c r="I79" s="6"/>
      <c r="J79" s="1078"/>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1">
        <f>AF79+AD79+AB79+Z79+X79+V79+T79+R79+P79+N79+L79+J79</f>
        <v>0</v>
      </c>
      <c r="AI79" s="8">
        <f>IF(AH$58=0,0,AH79/AH$58)</f>
        <v>0</v>
      </c>
      <c r="AJ79" s="9"/>
    </row>
    <row r="80" spans="2:36" s="236" customFormat="1" ht="5.0999999999999996" customHeight="1" outlineLevel="1">
      <c r="B80" s="1" t="s">
        <v>17</v>
      </c>
      <c r="D80" s="235"/>
      <c r="E80" s="235"/>
      <c r="F80" s="235"/>
      <c r="G80" s="235"/>
      <c r="J80" s="1106"/>
      <c r="K80" s="1105"/>
      <c r="L80" s="1107"/>
      <c r="M80" s="1105"/>
      <c r="N80" s="1107"/>
      <c r="O80" s="1105"/>
      <c r="P80" s="1107"/>
      <c r="Q80" s="1105"/>
      <c r="R80" s="1107"/>
      <c r="S80" s="1105"/>
      <c r="T80" s="1107"/>
      <c r="U80" s="1105"/>
      <c r="V80" s="1107"/>
      <c r="W80" s="1105"/>
      <c r="X80" s="1107"/>
      <c r="Y80" s="1105"/>
      <c r="Z80" s="1107"/>
      <c r="AA80" s="1105"/>
      <c r="AB80" s="1107"/>
      <c r="AC80" s="1105"/>
      <c r="AD80" s="1107"/>
      <c r="AE80" s="1105"/>
      <c r="AF80" s="1107"/>
      <c r="AG80" s="1105"/>
      <c r="AH80" s="1108"/>
      <c r="AI80" s="31"/>
      <c r="AJ80" s="14"/>
    </row>
    <row r="81" spans="2:36" s="236" customFormat="1" ht="15">
      <c r="B81" s="1" t="s">
        <v>17</v>
      </c>
      <c r="F81" s="235" t="s">
        <v>56</v>
      </c>
      <c r="G81" s="37"/>
      <c r="H81" s="37"/>
      <c r="I81" s="37"/>
      <c r="J81" s="1085">
        <f>SUM(J78:J80)</f>
        <v>0</v>
      </c>
      <c r="K81" s="1105"/>
      <c r="L81" s="1086">
        <f>SUM(L78:L80)</f>
        <v>0</v>
      </c>
      <c r="M81" s="1105"/>
      <c r="N81" s="1086">
        <f>SUM(N78:N80)</f>
        <v>0</v>
      </c>
      <c r="O81" s="1105"/>
      <c r="P81" s="1086">
        <f>SUM(P78:P80)</f>
        <v>0</v>
      </c>
      <c r="Q81" s="1105"/>
      <c r="R81" s="1086">
        <f>SUM(R78:R80)</f>
        <v>0</v>
      </c>
      <c r="S81" s="1105"/>
      <c r="T81" s="1086">
        <f>SUM(T78:T80)</f>
        <v>0</v>
      </c>
      <c r="U81" s="1105"/>
      <c r="V81" s="1086">
        <f>SUM(V78:V80)</f>
        <v>0</v>
      </c>
      <c r="W81" s="1105"/>
      <c r="X81" s="1086">
        <f>SUM(X78:X80)</f>
        <v>0</v>
      </c>
      <c r="Y81" s="1105"/>
      <c r="Z81" s="1086">
        <f>SUM(Z78:Z80)</f>
        <v>0</v>
      </c>
      <c r="AA81" s="1105"/>
      <c r="AB81" s="1086">
        <f>SUM(AB78:AB80)</f>
        <v>0</v>
      </c>
      <c r="AC81" s="1105"/>
      <c r="AD81" s="1086">
        <f>SUM(AD78:AD80)</f>
        <v>0</v>
      </c>
      <c r="AE81" s="1105"/>
      <c r="AF81" s="1086">
        <f>SUM(AF78:AF80)</f>
        <v>0</v>
      </c>
      <c r="AG81" s="1105"/>
      <c r="AH81" s="1087">
        <f>SUM(AH78:AH80)</f>
        <v>0</v>
      </c>
      <c r="AI81" s="8">
        <f>IF(AH$58=0,0,AH81/AH$58)</f>
        <v>0</v>
      </c>
      <c r="AJ81" s="14"/>
    </row>
    <row r="82" spans="2:36" s="236" customFormat="1" ht="15" outlineLevel="1">
      <c r="B82" s="32" t="s">
        <v>17</v>
      </c>
      <c r="J82" s="1085"/>
      <c r="K82" s="1105"/>
      <c r="L82" s="1086"/>
      <c r="M82" s="1105"/>
      <c r="N82" s="1086"/>
      <c r="O82" s="1105"/>
      <c r="P82" s="1086"/>
      <c r="Q82" s="1105"/>
      <c r="R82" s="1086"/>
      <c r="S82" s="1105"/>
      <c r="T82" s="1086"/>
      <c r="U82" s="1105"/>
      <c r="V82" s="1086"/>
      <c r="W82" s="1105"/>
      <c r="X82" s="1086"/>
      <c r="Y82" s="1105"/>
      <c r="Z82" s="1086"/>
      <c r="AA82" s="1105"/>
      <c r="AB82" s="1086"/>
      <c r="AC82" s="1105"/>
      <c r="AD82" s="1086"/>
      <c r="AE82" s="1105"/>
      <c r="AF82" s="1086"/>
      <c r="AG82" s="1105"/>
      <c r="AH82" s="1087"/>
      <c r="AI82" s="31"/>
      <c r="AJ82" s="14"/>
    </row>
    <row r="83" spans="2:36" outlineLevel="1">
      <c r="B83" s="5" t="s">
        <v>57</v>
      </c>
      <c r="D83" s="234"/>
      <c r="E83" s="234"/>
      <c r="F83" s="235"/>
      <c r="G83" s="3"/>
      <c r="H83" s="236"/>
      <c r="I83" s="6"/>
      <c r="J83" s="1078"/>
      <c r="K83" s="1080"/>
      <c r="L83" s="1080"/>
      <c r="M83" s="1080"/>
      <c r="N83" s="1080"/>
      <c r="O83" s="1080"/>
      <c r="P83" s="1080"/>
      <c r="Q83" s="1080"/>
      <c r="R83" s="1080"/>
      <c r="S83" s="1080"/>
      <c r="T83" s="1080"/>
      <c r="U83" s="1080"/>
      <c r="V83" s="1080"/>
      <c r="W83" s="1080"/>
      <c r="X83" s="1080"/>
      <c r="Y83" s="1080"/>
      <c r="Z83" s="1080"/>
      <c r="AA83" s="1080"/>
      <c r="AB83" s="1080"/>
      <c r="AC83" s="1080"/>
      <c r="AD83" s="1080"/>
      <c r="AE83" s="1080"/>
      <c r="AF83" s="1080"/>
      <c r="AG83" s="1080"/>
      <c r="AH83" s="1081">
        <f>AF83+AD83+AB83+Z83+X83+V83+T83+R83+P83+N83+L83+J83</f>
        <v>0</v>
      </c>
      <c r="AI83" s="8">
        <f>IF(AH$58=0,0,AH83/AH$58)</f>
        <v>0</v>
      </c>
      <c r="AJ83" s="9"/>
    </row>
    <row r="84" spans="2:36" s="236" customFormat="1" ht="4.5" customHeight="1" outlineLevel="1">
      <c r="B84" s="236" t="s">
        <v>17</v>
      </c>
      <c r="D84" s="35"/>
      <c r="J84" s="1106"/>
      <c r="K84" s="1105"/>
      <c r="L84" s="1107"/>
      <c r="M84" s="1105"/>
      <c r="N84" s="1107"/>
      <c r="O84" s="1105"/>
      <c r="P84" s="1107"/>
      <c r="Q84" s="1105"/>
      <c r="R84" s="1107"/>
      <c r="S84" s="1105"/>
      <c r="T84" s="1107"/>
      <c r="U84" s="1105"/>
      <c r="V84" s="1107"/>
      <c r="W84" s="1105"/>
      <c r="X84" s="1107"/>
      <c r="Y84" s="1105"/>
      <c r="Z84" s="1107"/>
      <c r="AA84" s="1105"/>
      <c r="AB84" s="1107"/>
      <c r="AC84" s="1105"/>
      <c r="AD84" s="1107"/>
      <c r="AE84" s="1105"/>
      <c r="AF84" s="1107"/>
      <c r="AG84" s="1105"/>
      <c r="AH84" s="1108"/>
      <c r="AI84" s="31"/>
      <c r="AJ84" s="14"/>
    </row>
    <row r="85" spans="2:36" s="236" customFormat="1" ht="15">
      <c r="B85" s="32" t="s">
        <v>17</v>
      </c>
      <c r="F85" s="236" t="s">
        <v>58</v>
      </c>
      <c r="J85" s="1085">
        <f>SUM(J83:J84)</f>
        <v>0</v>
      </c>
      <c r="K85" s="1105"/>
      <c r="L85" s="1086">
        <f>SUM(L83:L84)</f>
        <v>0</v>
      </c>
      <c r="M85" s="1105"/>
      <c r="N85" s="1086">
        <f>SUM(N83:N84)</f>
        <v>0</v>
      </c>
      <c r="O85" s="1105"/>
      <c r="P85" s="1086">
        <f>SUM(P83:P84)</f>
        <v>0</v>
      </c>
      <c r="Q85" s="1105"/>
      <c r="R85" s="1086">
        <f>SUM(R83:R84)</f>
        <v>0</v>
      </c>
      <c r="S85" s="1105"/>
      <c r="T85" s="1086">
        <f>SUM(T83:T84)</f>
        <v>0</v>
      </c>
      <c r="U85" s="1105"/>
      <c r="V85" s="1086">
        <f>SUM(V83:V84)</f>
        <v>0</v>
      </c>
      <c r="W85" s="1105"/>
      <c r="X85" s="1086">
        <f>SUM(X83:X84)</f>
        <v>0</v>
      </c>
      <c r="Y85" s="1105"/>
      <c r="Z85" s="1086">
        <f>SUM(Z83:Z84)</f>
        <v>0</v>
      </c>
      <c r="AA85" s="1105"/>
      <c r="AB85" s="1086">
        <f>SUM(AB83:AB84)</f>
        <v>0</v>
      </c>
      <c r="AC85" s="1105"/>
      <c r="AD85" s="1086">
        <f>SUM(AD83:AD84)</f>
        <v>0</v>
      </c>
      <c r="AE85" s="1105"/>
      <c r="AF85" s="1086">
        <f>SUM(AF83:AF84)</f>
        <v>0</v>
      </c>
      <c r="AG85" s="1105"/>
      <c r="AH85" s="1087">
        <f>SUM(AH83:AH84)</f>
        <v>0</v>
      </c>
      <c r="AI85" s="8">
        <f>IF(AH$58=0,0,AH85/AH$58)</f>
        <v>0</v>
      </c>
      <c r="AJ85" s="14"/>
    </row>
    <row r="86" spans="2:36" s="236" customFormat="1" ht="7.5" customHeight="1">
      <c r="B86" s="1" t="s">
        <v>17</v>
      </c>
      <c r="J86" s="1085"/>
      <c r="K86" s="1105"/>
      <c r="L86" s="1086"/>
      <c r="M86" s="1105"/>
      <c r="N86" s="1086"/>
      <c r="O86" s="1105"/>
      <c r="P86" s="1086"/>
      <c r="Q86" s="1105"/>
      <c r="R86" s="1086"/>
      <c r="S86" s="1105"/>
      <c r="T86" s="1086"/>
      <c r="U86" s="1105"/>
      <c r="V86" s="1086"/>
      <c r="W86" s="1105"/>
      <c r="X86" s="1086"/>
      <c r="Y86" s="1105"/>
      <c r="Z86" s="1086"/>
      <c r="AA86" s="1105"/>
      <c r="AB86" s="1086"/>
      <c r="AC86" s="1105"/>
      <c r="AD86" s="1086"/>
      <c r="AE86" s="1105"/>
      <c r="AF86" s="1086"/>
      <c r="AG86" s="1105"/>
      <c r="AH86" s="1087"/>
      <c r="AI86" s="31"/>
      <c r="AJ86" s="14"/>
    </row>
    <row r="87" spans="2:36" s="236" customFormat="1" ht="15">
      <c r="B87" s="1" t="s">
        <v>17</v>
      </c>
      <c r="E87" s="36" t="s">
        <v>59</v>
      </c>
      <c r="J87" s="1109">
        <f>+J64+J76+J81+J68+J85</f>
        <v>494646.61</v>
      </c>
      <c r="K87" s="1105"/>
      <c r="L87" s="1110">
        <f>+L64+L76+L81+L68+L85</f>
        <v>481030.89</v>
      </c>
      <c r="M87" s="1105"/>
      <c r="N87" s="1110">
        <f>+N64+N76+N81+N68+N85</f>
        <v>538007.94999999995</v>
      </c>
      <c r="O87" s="1105"/>
      <c r="P87" s="1110">
        <f>+P64+P76+P81+P68+P85</f>
        <v>517230.92000000004</v>
      </c>
      <c r="Q87" s="1105"/>
      <c r="R87" s="1110">
        <f>+R64+R76+R81+R68+R85</f>
        <v>524377.82999999996</v>
      </c>
      <c r="S87" s="1105"/>
      <c r="T87" s="1110">
        <f>+T64+T76+T81+T68+T85</f>
        <v>512589.73</v>
      </c>
      <c r="U87" s="1105"/>
      <c r="V87" s="1110">
        <f>+V64+V76+V81+V68+V85</f>
        <v>507370.43999999994</v>
      </c>
      <c r="W87" s="1105"/>
      <c r="X87" s="1110">
        <f>+X64+X76+X81+X68+X85</f>
        <v>524594.81000000006</v>
      </c>
      <c r="Y87" s="1105"/>
      <c r="Z87" s="1110">
        <f>+Z64+Z76+Z81+Z68+Z85</f>
        <v>453391.2</v>
      </c>
      <c r="AA87" s="1105"/>
      <c r="AB87" s="1110">
        <f>+AB64+AB76+AB81+AB68+AB85</f>
        <v>389588.53</v>
      </c>
      <c r="AC87" s="1105"/>
      <c r="AD87" s="1110">
        <f>+AD64+AD76+AD81+AD68+AD85</f>
        <v>420060.03</v>
      </c>
      <c r="AE87" s="1105"/>
      <c r="AF87" s="1110">
        <f>+AF64+AF76+AF81+AF68+AF85</f>
        <v>502551.77</v>
      </c>
      <c r="AG87" s="1105"/>
      <c r="AH87" s="1111">
        <f>+AH64+AH76+AH81+AH68+AH85</f>
        <v>5865440.7100000009</v>
      </c>
      <c r="AI87" s="8">
        <f>IF(AH$58=0,0,AH87/AH$58)</f>
        <v>0.28970114929457669</v>
      </c>
      <c r="AJ87" s="14"/>
    </row>
    <row r="88" spans="2:36" s="236" customFormat="1" ht="7.5" customHeight="1">
      <c r="B88" s="1" t="s">
        <v>17</v>
      </c>
      <c r="J88" s="1085"/>
      <c r="K88" s="1105"/>
      <c r="L88" s="1086"/>
      <c r="M88" s="1105"/>
      <c r="N88" s="1086"/>
      <c r="O88" s="1105"/>
      <c r="P88" s="1086"/>
      <c r="Q88" s="1105"/>
      <c r="R88" s="1086"/>
      <c r="S88" s="1105"/>
      <c r="T88" s="1086"/>
      <c r="U88" s="1105"/>
      <c r="V88" s="1086"/>
      <c r="W88" s="1105"/>
      <c r="X88" s="1086"/>
      <c r="Y88" s="1105"/>
      <c r="Z88" s="1086"/>
      <c r="AA88" s="1105"/>
      <c r="AB88" s="1086"/>
      <c r="AC88" s="1105"/>
      <c r="AD88" s="1086"/>
      <c r="AE88" s="1105"/>
      <c r="AF88" s="1086"/>
      <c r="AG88" s="1105"/>
      <c r="AH88" s="1087"/>
      <c r="AI88" s="31"/>
      <c r="AJ88" s="14"/>
    </row>
    <row r="89" spans="2:36" s="236" customFormat="1" ht="15">
      <c r="B89" s="1" t="s">
        <v>17</v>
      </c>
      <c r="E89" s="38" t="s">
        <v>60</v>
      </c>
      <c r="J89" s="1109">
        <f>J58-J87</f>
        <v>1103097.8399999999</v>
      </c>
      <c r="K89" s="1105"/>
      <c r="L89" s="1110">
        <f>L58-L87</f>
        <v>1186404.3899999997</v>
      </c>
      <c r="M89" s="1105"/>
      <c r="N89" s="1110">
        <f>N58-N87</f>
        <v>1208867.9600000002</v>
      </c>
      <c r="O89" s="1105"/>
      <c r="P89" s="1110">
        <f>P58-P87</f>
        <v>1206365.7200000002</v>
      </c>
      <c r="Q89" s="1105"/>
      <c r="R89" s="1110">
        <f>R58-R87</f>
        <v>1212685.0899999999</v>
      </c>
      <c r="S89" s="1105"/>
      <c r="T89" s="1110">
        <f>T58-T87</f>
        <v>1219706.5199999998</v>
      </c>
      <c r="U89" s="1105"/>
      <c r="V89" s="1110">
        <f>V58-V87</f>
        <v>1231402.08</v>
      </c>
      <c r="W89" s="1105"/>
      <c r="X89" s="1110">
        <f>X58-X87</f>
        <v>1198970.02</v>
      </c>
      <c r="Y89" s="1105"/>
      <c r="Z89" s="1110">
        <f>Z58-Z87</f>
        <v>1148674.2300000002</v>
      </c>
      <c r="AA89" s="1105"/>
      <c r="AB89" s="1110">
        <f>AB58-AB87</f>
        <v>1195948.1700000002</v>
      </c>
      <c r="AC89" s="1105"/>
      <c r="AD89" s="1110">
        <f>AD58-AD87</f>
        <v>1239185.58</v>
      </c>
      <c r="AE89" s="1105"/>
      <c r="AF89" s="1110">
        <f>AF58-AF87</f>
        <v>1229773.75</v>
      </c>
      <c r="AG89" s="1105"/>
      <c r="AH89" s="1111">
        <f>AH58-AH87</f>
        <v>14381081.350000001</v>
      </c>
      <c r="AI89" s="8">
        <f>IF(AH$58=0,0,AH89/AH$58)</f>
        <v>0.71029885070542331</v>
      </c>
      <c r="AJ89" s="14"/>
    </row>
    <row r="90" spans="2:36" s="236" customFormat="1" ht="7.5" customHeight="1">
      <c r="B90" s="1" t="s">
        <v>17</v>
      </c>
      <c r="J90" s="1085"/>
      <c r="K90" s="1105"/>
      <c r="L90" s="1086"/>
      <c r="M90" s="1105"/>
      <c r="N90" s="1086"/>
      <c r="O90" s="1105"/>
      <c r="P90" s="1086"/>
      <c r="Q90" s="1105"/>
      <c r="R90" s="1086"/>
      <c r="S90" s="1105"/>
      <c r="T90" s="1086"/>
      <c r="U90" s="1105"/>
      <c r="V90" s="1086"/>
      <c r="W90" s="1105"/>
      <c r="X90" s="1086"/>
      <c r="Y90" s="1105"/>
      <c r="Z90" s="1086"/>
      <c r="AA90" s="1105"/>
      <c r="AB90" s="1086"/>
      <c r="AC90" s="1105"/>
      <c r="AD90" s="1086"/>
      <c r="AE90" s="1105"/>
      <c r="AF90" s="1086"/>
      <c r="AG90" s="1105"/>
      <c r="AH90" s="1087"/>
      <c r="AI90" s="31"/>
      <c r="AJ90" s="14"/>
    </row>
    <row r="91" spans="2:36" s="236" customFormat="1" ht="15" outlineLevel="1">
      <c r="B91" s="1"/>
      <c r="J91" s="1085"/>
      <c r="K91" s="1105"/>
      <c r="L91" s="1086"/>
      <c r="M91" s="1105"/>
      <c r="N91" s="1086"/>
      <c r="O91" s="1105"/>
      <c r="P91" s="1086"/>
      <c r="Q91" s="1105"/>
      <c r="R91" s="1086"/>
      <c r="S91" s="1105"/>
      <c r="T91" s="1086"/>
      <c r="U91" s="1105"/>
      <c r="V91" s="1086"/>
      <c r="W91" s="1105"/>
      <c r="X91" s="1086"/>
      <c r="Y91" s="1105"/>
      <c r="Z91" s="1086"/>
      <c r="AA91" s="1105"/>
      <c r="AB91" s="1086"/>
      <c r="AC91" s="1105"/>
      <c r="AD91" s="1086"/>
      <c r="AE91" s="1105"/>
      <c r="AF91" s="1086"/>
      <c r="AG91" s="1105"/>
      <c r="AH91" s="1087"/>
      <c r="AI91" s="31"/>
      <c r="AJ91" s="14"/>
    </row>
    <row r="92" spans="2:36" outlineLevel="1">
      <c r="B92" s="5" t="s">
        <v>61</v>
      </c>
      <c r="D92" s="234">
        <v>50020</v>
      </c>
      <c r="E92" s="234" t="s">
        <v>63</v>
      </c>
      <c r="F92" s="235"/>
      <c r="G92" s="3"/>
      <c r="H92" s="236"/>
      <c r="I92" s="6"/>
      <c r="J92" s="1078">
        <v>189208.22</v>
      </c>
      <c r="K92" s="1080"/>
      <c r="L92" s="1080">
        <v>203972.41</v>
      </c>
      <c r="M92" s="1080"/>
      <c r="N92" s="1080">
        <v>227909.23</v>
      </c>
      <c r="O92" s="1080"/>
      <c r="P92" s="1080">
        <v>216878.86</v>
      </c>
      <c r="Q92" s="1080"/>
      <c r="R92" s="1080">
        <v>218967.2</v>
      </c>
      <c r="S92" s="1080"/>
      <c r="T92" s="1080">
        <v>228125.47</v>
      </c>
      <c r="U92" s="1080"/>
      <c r="V92" s="1080">
        <v>196198.13</v>
      </c>
      <c r="W92" s="1080"/>
      <c r="X92" s="1080">
        <v>219105.25</v>
      </c>
      <c r="Y92" s="1080"/>
      <c r="Z92" s="1080">
        <v>232860.33</v>
      </c>
      <c r="AA92" s="1080"/>
      <c r="AB92" s="1080">
        <v>197776.39</v>
      </c>
      <c r="AC92" s="1080"/>
      <c r="AD92" s="1080">
        <v>205242.33</v>
      </c>
      <c r="AE92" s="1080"/>
      <c r="AF92" s="1080">
        <v>219482.8</v>
      </c>
      <c r="AG92" s="1080"/>
      <c r="AH92" s="1081">
        <f t="shared" ref="AH92:AH102" si="10">AF92+AD92+AB92+Z92+X92+V92+T92+R92+P92+N92+L92+J92</f>
        <v>2555726.62</v>
      </c>
      <c r="AI92" s="8">
        <f t="shared" ref="AI92:AI102" si="11">IF(AH$58=0,0,AH92/AH$58)</f>
        <v>0.12623040206244684</v>
      </c>
      <c r="AJ92" s="9"/>
    </row>
    <row r="93" spans="2:36" outlineLevel="1">
      <c r="B93" s="5" t="s">
        <v>24</v>
      </c>
      <c r="D93" s="234">
        <v>50025</v>
      </c>
      <c r="E93" s="234" t="s">
        <v>64</v>
      </c>
      <c r="F93" s="235"/>
      <c r="G93" s="3"/>
      <c r="H93" s="236"/>
      <c r="I93" s="6"/>
      <c r="J93" s="1078">
        <v>65485.51</v>
      </c>
      <c r="K93" s="1080"/>
      <c r="L93" s="1080">
        <v>57358.49</v>
      </c>
      <c r="M93" s="1080"/>
      <c r="N93" s="1080">
        <v>45293.63</v>
      </c>
      <c r="O93" s="1080"/>
      <c r="P93" s="1080">
        <v>64724.28</v>
      </c>
      <c r="Q93" s="1080"/>
      <c r="R93" s="1080">
        <v>55823.86</v>
      </c>
      <c r="S93" s="1080"/>
      <c r="T93" s="1080">
        <v>56546.81</v>
      </c>
      <c r="U93" s="1080"/>
      <c r="V93" s="1080">
        <v>69136.479999999996</v>
      </c>
      <c r="W93" s="1080"/>
      <c r="X93" s="1080">
        <v>55956.25</v>
      </c>
      <c r="Y93" s="1080"/>
      <c r="Z93" s="1080">
        <v>60312.54</v>
      </c>
      <c r="AA93" s="1080"/>
      <c r="AB93" s="1080">
        <v>41376</v>
      </c>
      <c r="AC93" s="1080"/>
      <c r="AD93" s="1080">
        <v>54776.44</v>
      </c>
      <c r="AE93" s="1080"/>
      <c r="AF93" s="1080">
        <v>50202.3</v>
      </c>
      <c r="AG93" s="1080"/>
      <c r="AH93" s="1081">
        <f t="shared" si="10"/>
        <v>676992.59</v>
      </c>
      <c r="AI93" s="8">
        <f t="shared" si="11"/>
        <v>3.3437475730090892E-2</v>
      </c>
      <c r="AJ93" s="9"/>
    </row>
    <row r="94" spans="2:36" outlineLevel="1">
      <c r="B94" s="5" t="s">
        <v>24</v>
      </c>
      <c r="D94" s="234">
        <v>50035</v>
      </c>
      <c r="E94" s="234" t="s">
        <v>65</v>
      </c>
      <c r="F94" s="235"/>
      <c r="G94" s="3"/>
      <c r="H94" s="236"/>
      <c r="I94" s="6"/>
      <c r="J94" s="1078">
        <v>4968.57</v>
      </c>
      <c r="K94" s="1080"/>
      <c r="L94" s="1080">
        <v>5228.03</v>
      </c>
      <c r="M94" s="1080"/>
      <c r="N94" s="1080">
        <v>5089.8100000000004</v>
      </c>
      <c r="O94" s="1080"/>
      <c r="P94" s="1080">
        <v>4805.8</v>
      </c>
      <c r="Q94" s="1080"/>
      <c r="R94" s="1080">
        <v>-607.74</v>
      </c>
      <c r="S94" s="1080"/>
      <c r="T94" s="1080">
        <v>7834.96</v>
      </c>
      <c r="U94" s="1080"/>
      <c r="V94" s="1080">
        <v>3396.38</v>
      </c>
      <c r="W94" s="1080"/>
      <c r="X94" s="1080">
        <v>1105.92</v>
      </c>
      <c r="Y94" s="1080"/>
      <c r="Z94" s="1080">
        <v>6578.46</v>
      </c>
      <c r="AA94" s="1080"/>
      <c r="AB94" s="1080">
        <v>5852.71</v>
      </c>
      <c r="AC94" s="1080"/>
      <c r="AD94" s="1080">
        <v>6028.81</v>
      </c>
      <c r="AE94" s="1080"/>
      <c r="AF94" s="1080">
        <v>5847.41</v>
      </c>
      <c r="AG94" s="1080"/>
      <c r="AH94" s="1081">
        <f t="shared" si="10"/>
        <v>56129.120000000003</v>
      </c>
      <c r="AI94" s="8">
        <f t="shared" si="11"/>
        <v>2.7722845352729187E-3</v>
      </c>
      <c r="AJ94" s="9"/>
    </row>
    <row r="95" spans="2:36" outlineLevel="1">
      <c r="B95" s="5" t="s">
        <v>24</v>
      </c>
      <c r="D95" s="234">
        <v>50036</v>
      </c>
      <c r="E95" s="234" t="s">
        <v>66</v>
      </c>
      <c r="F95" s="235"/>
      <c r="G95" s="3"/>
      <c r="H95" s="236"/>
      <c r="I95" s="6"/>
      <c r="J95" s="1078">
        <v>1000</v>
      </c>
      <c r="K95" s="1080"/>
      <c r="L95" s="1080">
        <v>1000</v>
      </c>
      <c r="M95" s="1080"/>
      <c r="N95" s="1080">
        <v>0</v>
      </c>
      <c r="O95" s="1080"/>
      <c r="P95" s="1080">
        <v>0</v>
      </c>
      <c r="Q95" s="1080"/>
      <c r="R95" s="1080">
        <v>0</v>
      </c>
      <c r="S95" s="1080"/>
      <c r="T95" s="1080">
        <v>400</v>
      </c>
      <c r="U95" s="1080"/>
      <c r="V95" s="1080">
        <v>900</v>
      </c>
      <c r="W95" s="1080"/>
      <c r="X95" s="1080">
        <v>1000</v>
      </c>
      <c r="Y95" s="1080"/>
      <c r="Z95" s="1080">
        <v>0</v>
      </c>
      <c r="AA95" s="1080"/>
      <c r="AB95" s="1080">
        <v>17528.12</v>
      </c>
      <c r="AC95" s="1080"/>
      <c r="AD95" s="1080">
        <v>323.36</v>
      </c>
      <c r="AE95" s="1080"/>
      <c r="AF95" s="1080">
        <v>500</v>
      </c>
      <c r="AG95" s="1080"/>
      <c r="AH95" s="1081">
        <f t="shared" si="10"/>
        <v>22651.48</v>
      </c>
      <c r="AI95" s="8">
        <f t="shared" si="11"/>
        <v>1.1187837561865178E-3</v>
      </c>
      <c r="AJ95" s="9"/>
    </row>
    <row r="96" spans="2:36" outlineLevel="1">
      <c r="B96" s="5" t="s">
        <v>24</v>
      </c>
      <c r="D96" s="234">
        <v>50050</v>
      </c>
      <c r="E96" s="234" t="s">
        <v>68</v>
      </c>
      <c r="F96" s="235"/>
      <c r="G96" s="3"/>
      <c r="H96" s="236"/>
      <c r="I96" s="6"/>
      <c r="J96" s="1078">
        <v>22817.38</v>
      </c>
      <c r="K96" s="1080"/>
      <c r="L96" s="1080">
        <v>23257.01</v>
      </c>
      <c r="M96" s="1080"/>
      <c r="N96" s="1080">
        <v>24456.53</v>
      </c>
      <c r="O96" s="1080"/>
      <c r="P96" s="1080">
        <v>25112.91</v>
      </c>
      <c r="Q96" s="1080"/>
      <c r="R96" s="1080">
        <v>24609.09</v>
      </c>
      <c r="S96" s="1080"/>
      <c r="T96" s="1080">
        <v>25505.119999999999</v>
      </c>
      <c r="U96" s="1080"/>
      <c r="V96" s="1080">
        <v>21843.3</v>
      </c>
      <c r="W96" s="1080"/>
      <c r="X96" s="1080">
        <v>26501.34</v>
      </c>
      <c r="Y96" s="1080"/>
      <c r="Z96" s="1080">
        <v>21809.9</v>
      </c>
      <c r="AA96" s="1080"/>
      <c r="AB96" s="1080">
        <v>34333.019999999997</v>
      </c>
      <c r="AC96" s="1080"/>
      <c r="AD96" s="1080">
        <v>21717.72</v>
      </c>
      <c r="AE96" s="1080"/>
      <c r="AF96" s="1080">
        <v>24162.07</v>
      </c>
      <c r="AG96" s="1080"/>
      <c r="AH96" s="1081">
        <f t="shared" si="10"/>
        <v>296125.38999999996</v>
      </c>
      <c r="AI96" s="8">
        <f t="shared" si="11"/>
        <v>1.4625988064638492E-2</v>
      </c>
      <c r="AJ96" s="9"/>
    </row>
    <row r="97" spans="2:38" outlineLevel="1">
      <c r="B97" s="5" t="s">
        <v>24</v>
      </c>
      <c r="D97" s="234">
        <v>50060</v>
      </c>
      <c r="E97" s="234" t="s">
        <v>69</v>
      </c>
      <c r="F97" s="235"/>
      <c r="G97" s="3"/>
      <c r="H97" s="236"/>
      <c r="I97" s="6"/>
      <c r="J97" s="1078">
        <v>50705.03</v>
      </c>
      <c r="K97" s="1080"/>
      <c r="L97" s="1080">
        <v>56154.14</v>
      </c>
      <c r="M97" s="1080"/>
      <c r="N97" s="1080">
        <v>59625.47</v>
      </c>
      <c r="O97" s="1080"/>
      <c r="P97" s="1080">
        <v>58462.35</v>
      </c>
      <c r="Q97" s="1080"/>
      <c r="R97" s="1080">
        <v>58161.5</v>
      </c>
      <c r="S97" s="1080"/>
      <c r="T97" s="1080">
        <v>56532.04</v>
      </c>
      <c r="U97" s="1080"/>
      <c r="V97" s="1080">
        <v>52557.07</v>
      </c>
      <c r="W97" s="1080"/>
      <c r="X97" s="1080">
        <v>55734.92</v>
      </c>
      <c r="Y97" s="1080"/>
      <c r="Z97" s="1080">
        <v>56050.75</v>
      </c>
      <c r="AA97" s="1080"/>
      <c r="AB97" s="1080">
        <v>60348.02</v>
      </c>
      <c r="AC97" s="1080"/>
      <c r="AD97" s="1080">
        <v>62622.49</v>
      </c>
      <c r="AE97" s="1080"/>
      <c r="AF97" s="1080">
        <v>60297.55</v>
      </c>
      <c r="AG97" s="1080"/>
      <c r="AH97" s="1081">
        <f t="shared" si="10"/>
        <v>687251.33</v>
      </c>
      <c r="AI97" s="8">
        <f t="shared" si="11"/>
        <v>3.394416719885765E-2</v>
      </c>
      <c r="AJ97" s="9"/>
    </row>
    <row r="98" spans="2:38" outlineLevel="1">
      <c r="B98" s="5" t="s">
        <v>24</v>
      </c>
      <c r="D98" s="234">
        <v>50065</v>
      </c>
      <c r="E98" s="234" t="s">
        <v>70</v>
      </c>
      <c r="F98" s="235"/>
      <c r="G98" s="3"/>
      <c r="H98" s="236"/>
      <c r="I98" s="6"/>
      <c r="J98" s="1078">
        <v>14060.76</v>
      </c>
      <c r="K98" s="1080"/>
      <c r="L98" s="1080">
        <v>13944.11</v>
      </c>
      <c r="M98" s="1080"/>
      <c r="N98" s="1080">
        <v>9272.49</v>
      </c>
      <c r="O98" s="1080"/>
      <c r="P98" s="1080">
        <v>14966.36</v>
      </c>
      <c r="Q98" s="1080"/>
      <c r="R98" s="1080">
        <v>14444.79</v>
      </c>
      <c r="S98" s="1080"/>
      <c r="T98" s="1080">
        <v>9909.85</v>
      </c>
      <c r="U98" s="1080"/>
      <c r="V98" s="1080">
        <v>19643</v>
      </c>
      <c r="W98" s="1080"/>
      <c r="X98" s="1080">
        <v>11601.67</v>
      </c>
      <c r="Y98" s="1080"/>
      <c r="Z98" s="1080">
        <v>14005.81</v>
      </c>
      <c r="AA98" s="1080"/>
      <c r="AB98" s="1080">
        <v>9089.82</v>
      </c>
      <c r="AC98" s="1080"/>
      <c r="AD98" s="1080">
        <v>13245.53</v>
      </c>
      <c r="AE98" s="1080"/>
      <c r="AF98" s="1080">
        <v>17820.400000000001</v>
      </c>
      <c r="AG98" s="1080"/>
      <c r="AH98" s="1081">
        <f t="shared" si="10"/>
        <v>162004.59000000003</v>
      </c>
      <c r="AI98" s="8">
        <f t="shared" si="11"/>
        <v>8.0016009426164131E-3</v>
      </c>
      <c r="AJ98" s="9"/>
    </row>
    <row r="99" spans="2:38" outlineLevel="1">
      <c r="B99" s="5" t="s">
        <v>24</v>
      </c>
      <c r="D99" s="234">
        <v>50070</v>
      </c>
      <c r="E99" s="234" t="s">
        <v>71</v>
      </c>
      <c r="F99" s="235"/>
      <c r="G99" s="3"/>
      <c r="H99" s="236"/>
      <c r="I99" s="6"/>
      <c r="J99" s="1078">
        <v>113849.38</v>
      </c>
      <c r="K99" s="1080"/>
      <c r="L99" s="1080">
        <v>14224.5</v>
      </c>
      <c r="M99" s="1080"/>
      <c r="N99" s="1080">
        <v>4635.63</v>
      </c>
      <c r="O99" s="1080"/>
      <c r="P99" s="1080">
        <v>11701.25</v>
      </c>
      <c r="Q99" s="1080"/>
      <c r="R99" s="1080">
        <v>6450.22</v>
      </c>
      <c r="S99" s="1080"/>
      <c r="T99" s="1080">
        <v>5361.34</v>
      </c>
      <c r="U99" s="1080"/>
      <c r="V99" s="1080">
        <v>8324.4699999999993</v>
      </c>
      <c r="W99" s="1080"/>
      <c r="X99" s="1080">
        <v>-1391.03</v>
      </c>
      <c r="Y99" s="1080"/>
      <c r="Z99" s="1080">
        <v>1082.46</v>
      </c>
      <c r="AA99" s="1080"/>
      <c r="AB99" s="1080">
        <v>-67.92</v>
      </c>
      <c r="AC99" s="1080"/>
      <c r="AD99" s="1080">
        <v>3872.11</v>
      </c>
      <c r="AE99" s="1080"/>
      <c r="AF99" s="1080">
        <v>5007.3</v>
      </c>
      <c r="AG99" s="1080"/>
      <c r="AH99" s="1081">
        <f t="shared" si="10"/>
        <v>173049.71</v>
      </c>
      <c r="AI99" s="8">
        <f t="shared" si="11"/>
        <v>8.5471326624479999E-3</v>
      </c>
      <c r="AJ99" s="9"/>
    </row>
    <row r="100" spans="2:38" outlineLevel="1">
      <c r="B100" s="5" t="s">
        <v>24</v>
      </c>
      <c r="D100" s="234">
        <v>50086</v>
      </c>
      <c r="E100" s="234" t="s">
        <v>72</v>
      </c>
      <c r="F100" s="235"/>
      <c r="G100" s="3"/>
      <c r="H100" s="236"/>
      <c r="I100" s="6"/>
      <c r="J100" s="1078">
        <v>4489.0600000000004</v>
      </c>
      <c r="K100" s="1080"/>
      <c r="L100" s="1080">
        <v>2341.34</v>
      </c>
      <c r="M100" s="1080"/>
      <c r="N100" s="1080">
        <v>1556.53</v>
      </c>
      <c r="O100" s="1080"/>
      <c r="P100" s="1080">
        <v>2344.9299999999998</v>
      </c>
      <c r="Q100" s="1080"/>
      <c r="R100" s="1080">
        <v>4312.26</v>
      </c>
      <c r="S100" s="1080"/>
      <c r="T100" s="1080">
        <v>1134.1400000000001</v>
      </c>
      <c r="U100" s="1080"/>
      <c r="V100" s="1080">
        <v>934.92</v>
      </c>
      <c r="W100" s="1080"/>
      <c r="X100" s="1080">
        <v>2966.47</v>
      </c>
      <c r="Y100" s="1080"/>
      <c r="Z100" s="1080">
        <v>3324.79</v>
      </c>
      <c r="AA100" s="1080"/>
      <c r="AB100" s="1080">
        <v>2849.06</v>
      </c>
      <c r="AC100" s="1080"/>
      <c r="AD100" s="1080">
        <v>2151.25</v>
      </c>
      <c r="AE100" s="1080"/>
      <c r="AF100" s="1080">
        <v>1334.74</v>
      </c>
      <c r="AG100" s="1080"/>
      <c r="AH100" s="1081">
        <f t="shared" si="10"/>
        <v>29739.489999999998</v>
      </c>
      <c r="AI100" s="8">
        <f t="shared" si="11"/>
        <v>1.4688690685673248E-3</v>
      </c>
      <c r="AJ100" s="9"/>
    </row>
    <row r="101" spans="2:38" outlineLevel="1">
      <c r="B101" s="5" t="s">
        <v>24</v>
      </c>
      <c r="D101" s="234">
        <v>50090</v>
      </c>
      <c r="E101" s="234" t="s">
        <v>73</v>
      </c>
      <c r="F101" s="235"/>
      <c r="G101" s="3"/>
      <c r="H101" s="236"/>
      <c r="I101" s="6"/>
      <c r="J101" s="1078">
        <v>7335.52</v>
      </c>
      <c r="K101" s="1080"/>
      <c r="L101" s="1080">
        <v>4580.59</v>
      </c>
      <c r="M101" s="1080"/>
      <c r="N101" s="1080">
        <v>5728.73</v>
      </c>
      <c r="O101" s="1080"/>
      <c r="P101" s="1080">
        <v>3329.8</v>
      </c>
      <c r="Q101" s="1080"/>
      <c r="R101" s="1080">
        <v>3624.99</v>
      </c>
      <c r="S101" s="1080"/>
      <c r="T101" s="1080">
        <v>5589.13</v>
      </c>
      <c r="U101" s="1080"/>
      <c r="V101" s="1080">
        <v>4631.54</v>
      </c>
      <c r="W101" s="1080"/>
      <c r="X101" s="1080">
        <v>9869.36</v>
      </c>
      <c r="Y101" s="1080"/>
      <c r="Z101" s="1080">
        <v>3725.28</v>
      </c>
      <c r="AA101" s="1080"/>
      <c r="AB101" s="1080">
        <v>4731.93</v>
      </c>
      <c r="AC101" s="1080"/>
      <c r="AD101" s="1080">
        <v>4686.3999999999996</v>
      </c>
      <c r="AE101" s="1080"/>
      <c r="AF101" s="1080">
        <v>5828.47</v>
      </c>
      <c r="AG101" s="1080"/>
      <c r="AH101" s="1081">
        <f t="shared" si="10"/>
        <v>63661.739999999991</v>
      </c>
      <c r="AI101" s="8">
        <f t="shared" si="11"/>
        <v>3.1443296686384063E-3</v>
      </c>
      <c r="AJ101" s="9"/>
    </row>
    <row r="102" spans="2:38" outlineLevel="1">
      <c r="B102" s="5" t="s">
        <v>24</v>
      </c>
      <c r="D102" s="234">
        <v>50115</v>
      </c>
      <c r="E102" s="234" t="s">
        <v>74</v>
      </c>
      <c r="F102" s="235"/>
      <c r="G102" s="3"/>
      <c r="H102" s="236"/>
      <c r="I102" s="6"/>
      <c r="J102" s="1078">
        <v>8204.0400000000009</v>
      </c>
      <c r="K102" s="1080"/>
      <c r="L102" s="1080">
        <v>8435.57</v>
      </c>
      <c r="M102" s="1080"/>
      <c r="N102" s="1080">
        <v>8659.1</v>
      </c>
      <c r="O102" s="1080"/>
      <c r="P102" s="1080">
        <v>8815.51</v>
      </c>
      <c r="Q102" s="1080"/>
      <c r="R102" s="1080">
        <v>8699.06</v>
      </c>
      <c r="S102" s="1080"/>
      <c r="T102" s="1080">
        <v>9123.74</v>
      </c>
      <c r="U102" s="1080"/>
      <c r="V102" s="1080">
        <v>8593.11</v>
      </c>
      <c r="W102" s="1080"/>
      <c r="X102" s="1080">
        <v>11777.19</v>
      </c>
      <c r="Y102" s="1080"/>
      <c r="Z102" s="1080">
        <v>9340.67</v>
      </c>
      <c r="AA102" s="1080"/>
      <c r="AB102" s="1080">
        <v>13367.79</v>
      </c>
      <c r="AC102" s="1080"/>
      <c r="AD102" s="1080">
        <v>8160.84</v>
      </c>
      <c r="AE102" s="1080"/>
      <c r="AF102" s="1080">
        <v>9997.6200000000008</v>
      </c>
      <c r="AG102" s="1080"/>
      <c r="AH102" s="1081">
        <f t="shared" si="10"/>
        <v>113174.24000000002</v>
      </c>
      <c r="AI102" s="8">
        <f t="shared" si="11"/>
        <v>5.5898114088242575E-3</v>
      </c>
      <c r="AJ102" s="9"/>
    </row>
    <row r="103" spans="2:38" s="236" customFormat="1" ht="5.0999999999999996" customHeight="1" outlineLevel="1">
      <c r="B103" s="32" t="s">
        <v>17</v>
      </c>
      <c r="D103" s="235"/>
      <c r="E103" s="235"/>
      <c r="F103" s="235"/>
      <c r="G103" s="235"/>
      <c r="J103" s="1106"/>
      <c r="K103" s="1105"/>
      <c r="L103" s="1107"/>
      <c r="M103" s="1105"/>
      <c r="N103" s="1107"/>
      <c r="O103" s="1105"/>
      <c r="P103" s="1107"/>
      <c r="Q103" s="1105"/>
      <c r="R103" s="1107"/>
      <c r="S103" s="1105"/>
      <c r="T103" s="1107"/>
      <c r="U103" s="1105"/>
      <c r="V103" s="1107"/>
      <c r="W103" s="1105"/>
      <c r="X103" s="1107"/>
      <c r="Y103" s="1105"/>
      <c r="Z103" s="1107"/>
      <c r="AA103" s="1105"/>
      <c r="AB103" s="1107"/>
      <c r="AC103" s="1105"/>
      <c r="AD103" s="1107"/>
      <c r="AE103" s="1105"/>
      <c r="AF103" s="1107"/>
      <c r="AG103" s="1105"/>
      <c r="AH103" s="1108"/>
      <c r="AI103" s="31"/>
      <c r="AJ103" s="14"/>
      <c r="AK103" s="1"/>
      <c r="AL103" s="1"/>
    </row>
    <row r="104" spans="2:38" s="236" customFormat="1" ht="15">
      <c r="B104" s="32" t="s">
        <v>17</v>
      </c>
      <c r="F104" s="235" t="s">
        <v>75</v>
      </c>
      <c r="J104" s="1085">
        <f>SUM(J91:J103)</f>
        <v>482123.47</v>
      </c>
      <c r="K104" s="1105"/>
      <c r="L104" s="1086">
        <f>SUM(L91:L103)</f>
        <v>390496.19000000006</v>
      </c>
      <c r="M104" s="1105"/>
      <c r="N104" s="1086">
        <f>SUM(N91:N103)</f>
        <v>392227.14999999991</v>
      </c>
      <c r="O104" s="1105"/>
      <c r="P104" s="1086">
        <f>SUM(P91:P103)</f>
        <v>411142.04999999993</v>
      </c>
      <c r="Q104" s="1105"/>
      <c r="R104" s="1086">
        <f>SUM(R91:R103)</f>
        <v>394485.23</v>
      </c>
      <c r="S104" s="1105"/>
      <c r="T104" s="1086">
        <f>SUM(T91:T103)</f>
        <v>406062.60000000003</v>
      </c>
      <c r="U104" s="1105"/>
      <c r="V104" s="1086">
        <f>SUM(V91:V103)</f>
        <v>386158.39999999991</v>
      </c>
      <c r="W104" s="1105"/>
      <c r="X104" s="1086">
        <f>SUM(X91:X103)</f>
        <v>394227.33999999991</v>
      </c>
      <c r="Y104" s="1105"/>
      <c r="Z104" s="1086">
        <f>SUM(Z91:Z103)</f>
        <v>409090.99000000005</v>
      </c>
      <c r="AA104" s="1105"/>
      <c r="AB104" s="1086">
        <f>SUM(AB91:AB103)</f>
        <v>387184.94000000006</v>
      </c>
      <c r="AC104" s="1105"/>
      <c r="AD104" s="1086">
        <f>SUM(AD91:AD103)</f>
        <v>382827.28000000009</v>
      </c>
      <c r="AE104" s="1105"/>
      <c r="AF104" s="1086">
        <f>SUM(AF91:AF103)</f>
        <v>400480.65999999992</v>
      </c>
      <c r="AG104" s="1105"/>
      <c r="AH104" s="1087">
        <f>SUM(AH91:AH103)</f>
        <v>4836506.3000000007</v>
      </c>
      <c r="AI104" s="8">
        <f>IF(AH$58=0,0,AH104/AH$58)</f>
        <v>0.23888084509858776</v>
      </c>
      <c r="AJ104" s="14"/>
    </row>
    <row r="105" spans="2:38" s="236" customFormat="1" ht="15" outlineLevel="1">
      <c r="J105" s="1085"/>
      <c r="K105" s="1105"/>
      <c r="L105" s="1086"/>
      <c r="M105" s="1105"/>
      <c r="N105" s="1086"/>
      <c r="O105" s="1105"/>
      <c r="P105" s="1086"/>
      <c r="Q105" s="1105"/>
      <c r="R105" s="1086"/>
      <c r="S105" s="1105"/>
      <c r="T105" s="1086"/>
      <c r="U105" s="1105"/>
      <c r="V105" s="1086"/>
      <c r="W105" s="1105"/>
      <c r="X105" s="1086"/>
      <c r="Y105" s="1105"/>
      <c r="Z105" s="1086"/>
      <c r="AA105" s="1105"/>
      <c r="AB105" s="1086"/>
      <c r="AC105" s="1105"/>
      <c r="AD105" s="1086"/>
      <c r="AE105" s="1105"/>
      <c r="AF105" s="1086"/>
      <c r="AG105" s="1105"/>
      <c r="AH105" s="1087"/>
      <c r="AI105" s="31"/>
      <c r="AJ105" s="14"/>
    </row>
    <row r="106" spans="2:38" outlineLevel="1">
      <c r="B106" s="5" t="s">
        <v>76</v>
      </c>
      <c r="D106" s="234">
        <v>51295</v>
      </c>
      <c r="E106" s="234" t="s">
        <v>77</v>
      </c>
      <c r="F106" s="235"/>
      <c r="G106" s="3"/>
      <c r="H106" s="236"/>
      <c r="I106" s="6"/>
      <c r="J106" s="1078">
        <v>4009.73</v>
      </c>
      <c r="K106" s="1080"/>
      <c r="L106" s="1080">
        <v>4048.48</v>
      </c>
      <c r="M106" s="1080"/>
      <c r="N106" s="1080">
        <v>4009.73</v>
      </c>
      <c r="O106" s="1080"/>
      <c r="P106" s="1080">
        <v>4057.84</v>
      </c>
      <c r="Q106" s="1080"/>
      <c r="R106" s="1080">
        <v>4096.59</v>
      </c>
      <c r="S106" s="1080"/>
      <c r="T106" s="1080">
        <v>4021.39</v>
      </c>
      <c r="U106" s="1080"/>
      <c r="V106" s="1080">
        <v>4226.3900000000003</v>
      </c>
      <c r="W106" s="1080"/>
      <c r="X106" s="1080">
        <v>4021.39</v>
      </c>
      <c r="Y106" s="1080"/>
      <c r="Z106" s="1080">
        <v>4404.8999999999996</v>
      </c>
      <c r="AA106" s="1080"/>
      <c r="AB106" s="1080">
        <v>4444.1000000000004</v>
      </c>
      <c r="AC106" s="1080"/>
      <c r="AD106" s="1080">
        <v>4366.6000000000004</v>
      </c>
      <c r="AE106" s="1080"/>
      <c r="AF106" s="1080">
        <v>4366.6000000000004</v>
      </c>
      <c r="AG106" s="1080"/>
      <c r="AH106" s="1081">
        <f>AF106+AD106+AB106+Z106+X106+V106+T106+R106+P106+N106+L106+J106</f>
        <v>50073.740000000013</v>
      </c>
      <c r="AI106" s="8">
        <f>IF(AH$58=0,0,AH106/AH$58)</f>
        <v>2.473202056709191E-3</v>
      </c>
      <c r="AJ106" s="9"/>
    </row>
    <row r="107" spans="2:38" s="236" customFormat="1" ht="5.0999999999999996" customHeight="1" outlineLevel="1">
      <c r="B107" s="1" t="s">
        <v>17</v>
      </c>
      <c r="D107" s="235"/>
      <c r="E107" s="235"/>
      <c r="F107" s="235"/>
      <c r="G107" s="235"/>
      <c r="J107" s="1106"/>
      <c r="K107" s="1105"/>
      <c r="L107" s="1107"/>
      <c r="M107" s="1105"/>
      <c r="N107" s="1107"/>
      <c r="O107" s="1105"/>
      <c r="P107" s="1107"/>
      <c r="Q107" s="1105"/>
      <c r="R107" s="1107"/>
      <c r="S107" s="1105"/>
      <c r="T107" s="1107"/>
      <c r="U107" s="1105"/>
      <c r="V107" s="1107"/>
      <c r="W107" s="1105"/>
      <c r="X107" s="1107"/>
      <c r="Y107" s="1105"/>
      <c r="Z107" s="1107"/>
      <c r="AA107" s="1105"/>
      <c r="AB107" s="1107"/>
      <c r="AC107" s="1105"/>
      <c r="AD107" s="1107"/>
      <c r="AE107" s="1105"/>
      <c r="AF107" s="1107"/>
      <c r="AG107" s="1105"/>
      <c r="AH107" s="1108"/>
      <c r="AI107" s="31"/>
      <c r="AJ107" s="14"/>
    </row>
    <row r="108" spans="2:38" s="236" customFormat="1" ht="15">
      <c r="B108" s="1"/>
      <c r="F108" s="235" t="s">
        <v>78</v>
      </c>
      <c r="J108" s="1085">
        <f>SUM(J106:J107)</f>
        <v>4009.73</v>
      </c>
      <c r="K108" s="1105"/>
      <c r="L108" s="1086">
        <f>SUM(L106:L107)</f>
        <v>4048.48</v>
      </c>
      <c r="M108" s="1105"/>
      <c r="N108" s="1086">
        <f>SUM(N106:N107)</f>
        <v>4009.73</v>
      </c>
      <c r="O108" s="1105"/>
      <c r="P108" s="1086">
        <f>SUM(P106:P107)</f>
        <v>4057.84</v>
      </c>
      <c r="Q108" s="1105"/>
      <c r="R108" s="1086">
        <f>SUM(R106:R107)</f>
        <v>4096.59</v>
      </c>
      <c r="S108" s="1105"/>
      <c r="T108" s="1086">
        <f>SUM(T106:T107)</f>
        <v>4021.39</v>
      </c>
      <c r="U108" s="1105"/>
      <c r="V108" s="1086">
        <f>SUM(V106:V107)</f>
        <v>4226.3900000000003</v>
      </c>
      <c r="W108" s="1105"/>
      <c r="X108" s="1086">
        <f>SUM(X106:X107)</f>
        <v>4021.39</v>
      </c>
      <c r="Y108" s="1105"/>
      <c r="Z108" s="1086">
        <f>SUM(Z106:Z107)</f>
        <v>4404.8999999999996</v>
      </c>
      <c r="AA108" s="1105"/>
      <c r="AB108" s="1086">
        <f>SUM(AB106:AB107)</f>
        <v>4444.1000000000004</v>
      </c>
      <c r="AC108" s="1105"/>
      <c r="AD108" s="1086">
        <f>SUM(AD106:AD107)</f>
        <v>4366.6000000000004</v>
      </c>
      <c r="AE108" s="1105"/>
      <c r="AF108" s="1086">
        <f>SUM(AF106:AF107)</f>
        <v>4366.6000000000004</v>
      </c>
      <c r="AG108" s="1105"/>
      <c r="AH108" s="1087">
        <f>SUM(AH106:AH107)</f>
        <v>50073.740000000013</v>
      </c>
      <c r="AI108" s="8">
        <f>IF(AH$58=0,0,AH108/AH$58)</f>
        <v>2.473202056709191E-3</v>
      </c>
      <c r="AJ108" s="14"/>
    </row>
    <row r="109" spans="2:38" s="236" customFormat="1" ht="15" outlineLevel="1">
      <c r="B109" s="1"/>
      <c r="J109" s="1085"/>
      <c r="K109" s="1105"/>
      <c r="L109" s="1086"/>
      <c r="M109" s="1105"/>
      <c r="N109" s="1086"/>
      <c r="O109" s="1105"/>
      <c r="P109" s="1086"/>
      <c r="Q109" s="1105"/>
      <c r="R109" s="1086"/>
      <c r="S109" s="1105"/>
      <c r="T109" s="1086"/>
      <c r="U109" s="1105"/>
      <c r="V109" s="1086"/>
      <c r="W109" s="1105"/>
      <c r="X109" s="1086"/>
      <c r="Y109" s="1105"/>
      <c r="Z109" s="1086"/>
      <c r="AA109" s="1105"/>
      <c r="AB109" s="1086"/>
      <c r="AC109" s="1105"/>
      <c r="AD109" s="1086"/>
      <c r="AE109" s="1105"/>
      <c r="AF109" s="1086"/>
      <c r="AG109" s="1105"/>
      <c r="AH109" s="1087"/>
      <c r="AI109" s="31"/>
      <c r="AJ109" s="14"/>
    </row>
    <row r="110" spans="2:38" s="236" customFormat="1" ht="15" outlineLevel="1">
      <c r="B110" s="1"/>
      <c r="J110" s="1085"/>
      <c r="K110" s="1105"/>
      <c r="L110" s="1086"/>
      <c r="M110" s="1105"/>
      <c r="N110" s="1086"/>
      <c r="O110" s="1105"/>
      <c r="P110" s="1086"/>
      <c r="Q110" s="1105"/>
      <c r="R110" s="1086"/>
      <c r="S110" s="1105"/>
      <c r="T110" s="1086"/>
      <c r="U110" s="1105"/>
      <c r="V110" s="1086"/>
      <c r="W110" s="1105"/>
      <c r="X110" s="1086"/>
      <c r="Y110" s="1105"/>
      <c r="Z110" s="1086"/>
      <c r="AA110" s="1105"/>
      <c r="AB110" s="1086"/>
      <c r="AC110" s="1105"/>
      <c r="AD110" s="1086"/>
      <c r="AE110" s="1105"/>
      <c r="AF110" s="1086"/>
      <c r="AG110" s="1105"/>
      <c r="AH110" s="1087"/>
      <c r="AI110" s="31"/>
      <c r="AJ110" s="14"/>
    </row>
    <row r="111" spans="2:38" outlineLevel="1">
      <c r="B111" s="5" t="s">
        <v>79</v>
      </c>
      <c r="D111" s="234">
        <v>52010</v>
      </c>
      <c r="E111" s="234" t="s">
        <v>62</v>
      </c>
      <c r="F111" s="235"/>
      <c r="G111" s="3"/>
      <c r="H111" s="236"/>
      <c r="I111" s="6"/>
      <c r="J111" s="1078">
        <v>9015.68</v>
      </c>
      <c r="K111" s="1080"/>
      <c r="L111" s="1080">
        <v>8692.41</v>
      </c>
      <c r="M111" s="1080"/>
      <c r="N111" s="1080">
        <v>9015.68</v>
      </c>
      <c r="O111" s="1080"/>
      <c r="P111" s="1080">
        <v>9448.02</v>
      </c>
      <c r="Q111" s="1080"/>
      <c r="R111" s="1080">
        <v>9092.4500000000007</v>
      </c>
      <c r="S111" s="1080"/>
      <c r="T111" s="1080">
        <v>8895.24</v>
      </c>
      <c r="U111" s="1080"/>
      <c r="V111" s="1080">
        <v>9226.6</v>
      </c>
      <c r="W111" s="1080"/>
      <c r="X111" s="1080">
        <v>9338.58</v>
      </c>
      <c r="Y111" s="1080"/>
      <c r="Z111" s="1080">
        <v>9677.91</v>
      </c>
      <c r="AA111" s="1080"/>
      <c r="AB111" s="1080">
        <v>7097.54</v>
      </c>
      <c r="AC111" s="1080"/>
      <c r="AD111" s="1080">
        <v>6759.56</v>
      </c>
      <c r="AE111" s="1080"/>
      <c r="AF111" s="1080">
        <v>7773.49</v>
      </c>
      <c r="AG111" s="1080"/>
      <c r="AH111" s="1081">
        <f t="shared" ref="AH111:AH136" si="12">AF111+AD111+AB111+Z111+X111+V111+T111+R111+P111+N111+L111+J111</f>
        <v>104033.16</v>
      </c>
      <c r="AI111" s="8">
        <f t="shared" ref="AI111:AI136" si="13">IF(AH$58=0,0,AH111/AH$58)</f>
        <v>5.1383225075250279E-3</v>
      </c>
      <c r="AJ111" s="9"/>
    </row>
    <row r="112" spans="2:38" outlineLevel="1">
      <c r="B112" s="5" t="s">
        <v>24</v>
      </c>
      <c r="D112" s="234">
        <v>52020</v>
      </c>
      <c r="E112" s="234" t="s">
        <v>63</v>
      </c>
      <c r="F112" s="235"/>
      <c r="G112" s="3"/>
      <c r="H112" s="236"/>
      <c r="I112" s="6"/>
      <c r="J112" s="1078">
        <v>36013.29</v>
      </c>
      <c r="K112" s="1080"/>
      <c r="L112" s="1080">
        <v>38799.4</v>
      </c>
      <c r="M112" s="1080"/>
      <c r="N112" s="1080">
        <v>41144.54</v>
      </c>
      <c r="O112" s="1080"/>
      <c r="P112" s="1080">
        <v>40195.86</v>
      </c>
      <c r="Q112" s="1080"/>
      <c r="R112" s="1080">
        <v>40664.239999999998</v>
      </c>
      <c r="S112" s="1080"/>
      <c r="T112" s="1080">
        <v>41951.97</v>
      </c>
      <c r="U112" s="1080"/>
      <c r="V112" s="1080">
        <v>37003.89</v>
      </c>
      <c r="W112" s="1080"/>
      <c r="X112" s="1080">
        <v>40188.83</v>
      </c>
      <c r="Y112" s="1080"/>
      <c r="Z112" s="1080">
        <v>43152.58</v>
      </c>
      <c r="AA112" s="1080"/>
      <c r="AB112" s="1080">
        <v>36239.69</v>
      </c>
      <c r="AC112" s="1080"/>
      <c r="AD112" s="1080">
        <v>31190.18</v>
      </c>
      <c r="AE112" s="1080"/>
      <c r="AF112" s="1080">
        <v>41715.51</v>
      </c>
      <c r="AG112" s="1080"/>
      <c r="AH112" s="1081">
        <f t="shared" si="12"/>
        <v>468259.98</v>
      </c>
      <c r="AI112" s="8">
        <f t="shared" si="13"/>
        <v>2.3127921853063189E-2</v>
      </c>
      <c r="AJ112" s="9"/>
    </row>
    <row r="113" spans="2:36" outlineLevel="1">
      <c r="B113" s="5" t="s">
        <v>24</v>
      </c>
      <c r="D113" s="234">
        <v>52025</v>
      </c>
      <c r="E113" s="234" t="s">
        <v>64</v>
      </c>
      <c r="F113" s="235"/>
      <c r="G113" s="3"/>
      <c r="H113" s="236"/>
      <c r="I113" s="6"/>
      <c r="J113" s="1078">
        <v>6101.88</v>
      </c>
      <c r="K113" s="1080"/>
      <c r="L113" s="1080">
        <v>5893.34</v>
      </c>
      <c r="M113" s="1080"/>
      <c r="N113" s="1080">
        <v>2993.68</v>
      </c>
      <c r="O113" s="1080"/>
      <c r="P113" s="1080">
        <v>3896.87</v>
      </c>
      <c r="Q113" s="1080"/>
      <c r="R113" s="1080">
        <v>2716.53</v>
      </c>
      <c r="S113" s="1080"/>
      <c r="T113" s="1080">
        <v>3842.19</v>
      </c>
      <c r="U113" s="1080"/>
      <c r="V113" s="1080">
        <v>4220.3900000000003</v>
      </c>
      <c r="W113" s="1080"/>
      <c r="X113" s="1080">
        <v>4165.71</v>
      </c>
      <c r="Y113" s="1080"/>
      <c r="Z113" s="1080">
        <v>3945.17</v>
      </c>
      <c r="AA113" s="1080"/>
      <c r="AB113" s="1080">
        <v>5456.69</v>
      </c>
      <c r="AC113" s="1080"/>
      <c r="AD113" s="1080">
        <v>3408.31</v>
      </c>
      <c r="AE113" s="1080"/>
      <c r="AF113" s="1080">
        <v>3450.12</v>
      </c>
      <c r="AG113" s="1080"/>
      <c r="AH113" s="1081">
        <f t="shared" si="12"/>
        <v>50090.879999999997</v>
      </c>
      <c r="AI113" s="8">
        <f t="shared" si="13"/>
        <v>2.4740486218599459E-3</v>
      </c>
      <c r="AJ113" s="9"/>
    </row>
    <row r="114" spans="2:36" outlineLevel="1">
      <c r="B114" s="5" t="s">
        <v>24</v>
      </c>
      <c r="D114" s="234">
        <v>52035</v>
      </c>
      <c r="E114" s="234" t="s">
        <v>65</v>
      </c>
      <c r="F114" s="235"/>
      <c r="G114" s="3"/>
      <c r="H114" s="236"/>
      <c r="I114" s="6"/>
      <c r="J114" s="1078">
        <v>1250.47</v>
      </c>
      <c r="K114" s="1080"/>
      <c r="L114" s="1080">
        <v>1225.3399999999999</v>
      </c>
      <c r="M114" s="1080"/>
      <c r="N114" s="1080">
        <v>1251.6099999999999</v>
      </c>
      <c r="O114" s="1080"/>
      <c r="P114" s="1080">
        <v>1252.3699999999999</v>
      </c>
      <c r="Q114" s="1080"/>
      <c r="R114" s="1080">
        <v>43.36</v>
      </c>
      <c r="S114" s="1080"/>
      <c r="T114" s="1080">
        <v>2253.04</v>
      </c>
      <c r="U114" s="1080"/>
      <c r="V114" s="1080">
        <v>1362.14</v>
      </c>
      <c r="W114" s="1080"/>
      <c r="X114" s="1080">
        <v>-1805.39</v>
      </c>
      <c r="Y114" s="1080"/>
      <c r="Z114" s="1080">
        <v>1424.68</v>
      </c>
      <c r="AA114" s="1080"/>
      <c r="AB114" s="1080">
        <v>1290.7</v>
      </c>
      <c r="AC114" s="1080"/>
      <c r="AD114" s="1080">
        <v>1367.86</v>
      </c>
      <c r="AE114" s="1080"/>
      <c r="AF114" s="1080">
        <v>1422.23</v>
      </c>
      <c r="AG114" s="1080"/>
      <c r="AH114" s="1081">
        <f t="shared" si="12"/>
        <v>12338.41</v>
      </c>
      <c r="AI114" s="8">
        <f t="shared" si="13"/>
        <v>6.0940886357841936E-4</v>
      </c>
      <c r="AJ114" s="9"/>
    </row>
    <row r="115" spans="2:36" outlineLevel="1">
      <c r="B115" s="5" t="s">
        <v>24</v>
      </c>
      <c r="D115" s="234">
        <v>52036</v>
      </c>
      <c r="E115" s="234" t="s">
        <v>66</v>
      </c>
      <c r="F115" s="235"/>
      <c r="G115" s="3"/>
      <c r="H115" s="236"/>
      <c r="I115" s="6"/>
      <c r="J115" s="1078">
        <v>150</v>
      </c>
      <c r="K115" s="1080"/>
      <c r="L115" s="1080">
        <v>1250</v>
      </c>
      <c r="M115" s="1080"/>
      <c r="N115" s="1080">
        <v>0</v>
      </c>
      <c r="O115" s="1080"/>
      <c r="P115" s="1080">
        <v>0</v>
      </c>
      <c r="Q115" s="1080"/>
      <c r="R115" s="1080">
        <v>0</v>
      </c>
      <c r="S115" s="1080"/>
      <c r="T115" s="1080">
        <v>7213.3</v>
      </c>
      <c r="U115" s="1080"/>
      <c r="V115" s="1080">
        <v>0</v>
      </c>
      <c r="W115" s="1080"/>
      <c r="X115" s="1080">
        <v>0</v>
      </c>
      <c r="Y115" s="1080"/>
      <c r="Z115" s="1080">
        <v>0</v>
      </c>
      <c r="AA115" s="1080"/>
      <c r="AB115" s="1080">
        <v>3181.18</v>
      </c>
      <c r="AC115" s="1080"/>
      <c r="AD115" s="1080">
        <v>433.54</v>
      </c>
      <c r="AE115" s="1080"/>
      <c r="AF115" s="1080">
        <v>0</v>
      </c>
      <c r="AG115" s="1080"/>
      <c r="AH115" s="1081">
        <f t="shared" si="12"/>
        <v>12228.02</v>
      </c>
      <c r="AI115" s="8">
        <f t="shared" si="13"/>
        <v>6.0395656912148193E-4</v>
      </c>
      <c r="AJ115" s="9"/>
    </row>
    <row r="116" spans="2:36" outlineLevel="1">
      <c r="B116" s="5" t="s">
        <v>24</v>
      </c>
      <c r="D116" s="234">
        <v>52050</v>
      </c>
      <c r="E116" s="234" t="s">
        <v>68</v>
      </c>
      <c r="F116" s="235"/>
      <c r="G116" s="3"/>
      <c r="H116" s="236"/>
      <c r="I116" s="6"/>
      <c r="J116" s="1078">
        <v>4169.04</v>
      </c>
      <c r="K116" s="1080"/>
      <c r="L116" s="1080">
        <v>4483.6400000000003</v>
      </c>
      <c r="M116" s="1080"/>
      <c r="N116" s="1080">
        <v>4422.47</v>
      </c>
      <c r="O116" s="1080"/>
      <c r="P116" s="1080">
        <v>4366.66</v>
      </c>
      <c r="Q116" s="1080"/>
      <c r="R116" s="1080">
        <v>4372.3599999999997</v>
      </c>
      <c r="S116" s="1080"/>
      <c r="T116" s="1080">
        <v>5073.67</v>
      </c>
      <c r="U116" s="1080"/>
      <c r="V116" s="1080">
        <v>3912.18</v>
      </c>
      <c r="W116" s="1080"/>
      <c r="X116" s="1080">
        <v>4998.71</v>
      </c>
      <c r="Y116" s="1080"/>
      <c r="Z116" s="1080">
        <v>4055.55</v>
      </c>
      <c r="AA116" s="1080"/>
      <c r="AB116" s="1080">
        <v>5991.28</v>
      </c>
      <c r="AC116" s="1080"/>
      <c r="AD116" s="1080">
        <v>3460.63</v>
      </c>
      <c r="AE116" s="1080"/>
      <c r="AF116" s="1080">
        <v>4393.03</v>
      </c>
      <c r="AG116" s="1080"/>
      <c r="AH116" s="1081">
        <f t="shared" si="12"/>
        <v>53699.219999999994</v>
      </c>
      <c r="AI116" s="8">
        <f t="shared" si="13"/>
        <v>2.6522688608376223E-3</v>
      </c>
      <c r="AJ116" s="9"/>
    </row>
    <row r="117" spans="2:36" outlineLevel="1">
      <c r="B117" s="5" t="s">
        <v>24</v>
      </c>
      <c r="D117" s="234">
        <v>52060</v>
      </c>
      <c r="E117" s="234" t="s">
        <v>69</v>
      </c>
      <c r="F117" s="235"/>
      <c r="G117" s="3"/>
      <c r="H117" s="236"/>
      <c r="I117" s="6"/>
      <c r="J117" s="1078">
        <v>12544.86</v>
      </c>
      <c r="K117" s="1080"/>
      <c r="L117" s="1080">
        <v>12647.83</v>
      </c>
      <c r="M117" s="1080"/>
      <c r="N117" s="1080">
        <v>12287.61</v>
      </c>
      <c r="O117" s="1080"/>
      <c r="P117" s="1080">
        <v>12286.59</v>
      </c>
      <c r="Q117" s="1080"/>
      <c r="R117" s="1080">
        <v>12286.57</v>
      </c>
      <c r="S117" s="1080"/>
      <c r="T117" s="1080">
        <v>12217.56</v>
      </c>
      <c r="U117" s="1080"/>
      <c r="V117" s="1080">
        <v>11250.98</v>
      </c>
      <c r="W117" s="1080"/>
      <c r="X117" s="1080">
        <v>12283.47</v>
      </c>
      <c r="Y117" s="1080"/>
      <c r="Z117" s="1080">
        <v>12269.28</v>
      </c>
      <c r="AA117" s="1080"/>
      <c r="AB117" s="1080">
        <v>12844.68</v>
      </c>
      <c r="AC117" s="1080"/>
      <c r="AD117" s="1080">
        <v>12812.3</v>
      </c>
      <c r="AE117" s="1080"/>
      <c r="AF117" s="1080">
        <v>12822.83</v>
      </c>
      <c r="AG117" s="1080"/>
      <c r="AH117" s="1081">
        <f t="shared" si="12"/>
        <v>148554.56</v>
      </c>
      <c r="AI117" s="8">
        <f t="shared" si="13"/>
        <v>7.3372878344123852E-3</v>
      </c>
      <c r="AJ117" s="9"/>
    </row>
    <row r="118" spans="2:36" outlineLevel="1">
      <c r="B118" s="5" t="s">
        <v>24</v>
      </c>
      <c r="D118" s="234">
        <v>52065</v>
      </c>
      <c r="E118" s="234" t="s">
        <v>70</v>
      </c>
      <c r="F118" s="235"/>
      <c r="G118" s="3"/>
      <c r="H118" s="236"/>
      <c r="I118" s="6"/>
      <c r="J118" s="1078">
        <v>1457.4</v>
      </c>
      <c r="K118" s="1080"/>
      <c r="L118" s="1080">
        <v>1856.64</v>
      </c>
      <c r="M118" s="1080"/>
      <c r="N118" s="1080">
        <v>1091.3699999999999</v>
      </c>
      <c r="O118" s="1080"/>
      <c r="P118" s="1080">
        <v>2745.07</v>
      </c>
      <c r="Q118" s="1080"/>
      <c r="R118" s="1080">
        <v>1193.76</v>
      </c>
      <c r="S118" s="1080"/>
      <c r="T118" s="1080">
        <v>1612.16</v>
      </c>
      <c r="U118" s="1080"/>
      <c r="V118" s="1080">
        <v>2180.73</v>
      </c>
      <c r="W118" s="1080"/>
      <c r="X118" s="1080">
        <v>1639.82</v>
      </c>
      <c r="Y118" s="1080"/>
      <c r="Z118" s="1080">
        <v>1300.74</v>
      </c>
      <c r="AA118" s="1080"/>
      <c r="AB118" s="1080">
        <v>2548.1</v>
      </c>
      <c r="AC118" s="1080"/>
      <c r="AD118" s="1080">
        <v>708.79</v>
      </c>
      <c r="AE118" s="1080"/>
      <c r="AF118" s="1080">
        <v>1088.4000000000001</v>
      </c>
      <c r="AG118" s="1080"/>
      <c r="AH118" s="1081">
        <f t="shared" si="12"/>
        <v>19422.98</v>
      </c>
      <c r="AI118" s="8">
        <f t="shared" si="13"/>
        <v>9.5932427023468728E-4</v>
      </c>
      <c r="AJ118" s="9"/>
    </row>
    <row r="119" spans="2:36" outlineLevel="1">
      <c r="B119" s="5" t="s">
        <v>24</v>
      </c>
      <c r="D119" s="234">
        <v>52070</v>
      </c>
      <c r="E119" s="234" t="s">
        <v>71</v>
      </c>
      <c r="F119" s="235"/>
      <c r="G119" s="3"/>
      <c r="H119" s="236"/>
      <c r="I119" s="6"/>
      <c r="J119" s="1078">
        <v>11466.09</v>
      </c>
      <c r="K119" s="1080"/>
      <c r="L119" s="1080">
        <v>1443.37</v>
      </c>
      <c r="M119" s="1080"/>
      <c r="N119" s="1080">
        <v>1219.78</v>
      </c>
      <c r="O119" s="1080"/>
      <c r="P119" s="1080">
        <v>1453.39</v>
      </c>
      <c r="Q119" s="1080"/>
      <c r="R119" s="1080">
        <v>712.45</v>
      </c>
      <c r="S119" s="1080"/>
      <c r="T119" s="1080">
        <v>996.95</v>
      </c>
      <c r="U119" s="1080"/>
      <c r="V119" s="1080">
        <v>1357.17</v>
      </c>
      <c r="W119" s="1080"/>
      <c r="X119" s="1080">
        <v>812.29</v>
      </c>
      <c r="Y119" s="1080"/>
      <c r="Z119" s="1080">
        <v>361.03</v>
      </c>
      <c r="AA119" s="1080"/>
      <c r="AB119" s="1080">
        <v>1870.15</v>
      </c>
      <c r="AC119" s="1080"/>
      <c r="AD119" s="1080">
        <v>842.55</v>
      </c>
      <c r="AE119" s="1080"/>
      <c r="AF119" s="1080">
        <v>1185.58</v>
      </c>
      <c r="AG119" s="1080"/>
      <c r="AH119" s="1081">
        <f t="shared" si="12"/>
        <v>23720.799999999999</v>
      </c>
      <c r="AI119" s="8">
        <f t="shared" si="13"/>
        <v>1.1715987530946832E-3</v>
      </c>
      <c r="AJ119" s="9"/>
    </row>
    <row r="120" spans="2:36" outlineLevel="1">
      <c r="B120" s="5" t="s">
        <v>24</v>
      </c>
      <c r="D120" s="234">
        <v>52086</v>
      </c>
      <c r="E120" s="234" t="s">
        <v>72</v>
      </c>
      <c r="F120" s="235"/>
      <c r="G120" s="3"/>
      <c r="H120" s="236"/>
      <c r="I120" s="6"/>
      <c r="J120" s="1078">
        <v>295.39999999999998</v>
      </c>
      <c r="K120" s="1080"/>
      <c r="L120" s="1080">
        <v>584.1</v>
      </c>
      <c r="M120" s="1080"/>
      <c r="N120" s="1080">
        <v>1538.78</v>
      </c>
      <c r="O120" s="1080"/>
      <c r="P120" s="1080">
        <v>472.26</v>
      </c>
      <c r="Q120" s="1080"/>
      <c r="R120" s="1080">
        <v>1770.66</v>
      </c>
      <c r="S120" s="1080"/>
      <c r="T120" s="1080">
        <v>1056.02</v>
      </c>
      <c r="U120" s="1080"/>
      <c r="V120" s="1080">
        <v>2579.96</v>
      </c>
      <c r="W120" s="1080"/>
      <c r="X120" s="1080">
        <v>372.88</v>
      </c>
      <c r="Y120" s="1080"/>
      <c r="Z120" s="1080">
        <v>1324.83</v>
      </c>
      <c r="AA120" s="1080"/>
      <c r="AB120" s="1080">
        <v>343.8</v>
      </c>
      <c r="AC120" s="1080"/>
      <c r="AD120" s="1080">
        <v>2474.6999999999998</v>
      </c>
      <c r="AE120" s="1080"/>
      <c r="AF120" s="1080">
        <v>2340.98</v>
      </c>
      <c r="AG120" s="1080"/>
      <c r="AH120" s="1081">
        <f t="shared" si="12"/>
        <v>15154.370000000003</v>
      </c>
      <c r="AI120" s="8">
        <f t="shared" si="13"/>
        <v>7.4849250429730358E-4</v>
      </c>
      <c r="AJ120" s="9"/>
    </row>
    <row r="121" spans="2:36" outlineLevel="1">
      <c r="B121" s="5" t="s">
        <v>24</v>
      </c>
      <c r="D121" s="234">
        <v>52090</v>
      </c>
      <c r="E121" s="234" t="s">
        <v>73</v>
      </c>
      <c r="F121" s="235"/>
      <c r="G121" s="3"/>
      <c r="H121" s="236"/>
      <c r="I121" s="6"/>
      <c r="J121" s="1078">
        <v>0</v>
      </c>
      <c r="K121" s="1080"/>
      <c r="L121" s="1080">
        <v>1037.53</v>
      </c>
      <c r="M121" s="1080"/>
      <c r="N121" s="1080">
        <v>148.16</v>
      </c>
      <c r="O121" s="1080"/>
      <c r="P121" s="1080">
        <v>486.59</v>
      </c>
      <c r="Q121" s="1080"/>
      <c r="R121" s="1080">
        <v>285.89</v>
      </c>
      <c r="S121" s="1080"/>
      <c r="T121" s="1080">
        <v>292.95</v>
      </c>
      <c r="U121" s="1080"/>
      <c r="V121" s="1080">
        <v>1770.87</v>
      </c>
      <c r="W121" s="1080"/>
      <c r="X121" s="1080">
        <v>129.94999999999999</v>
      </c>
      <c r="Y121" s="1080"/>
      <c r="Z121" s="1080">
        <v>1204.73</v>
      </c>
      <c r="AA121" s="1080"/>
      <c r="AB121" s="1080">
        <v>301.87</v>
      </c>
      <c r="AC121" s="1080"/>
      <c r="AD121" s="1080">
        <v>0</v>
      </c>
      <c r="AE121" s="1080"/>
      <c r="AF121" s="1080">
        <v>435.9</v>
      </c>
      <c r="AG121" s="1080"/>
      <c r="AH121" s="1081">
        <f t="shared" si="12"/>
        <v>6094.44</v>
      </c>
      <c r="AI121" s="8">
        <f t="shared" si="13"/>
        <v>3.0101169879643018E-4</v>
      </c>
      <c r="AJ121" s="9"/>
    </row>
    <row r="122" spans="2:36" outlineLevel="1">
      <c r="B122" s="5" t="s">
        <v>24</v>
      </c>
      <c r="D122" s="234">
        <v>52115</v>
      </c>
      <c r="E122" s="234" t="s">
        <v>74</v>
      </c>
      <c r="F122" s="235"/>
      <c r="G122" s="3"/>
      <c r="H122" s="236"/>
      <c r="I122" s="6"/>
      <c r="J122" s="1078">
        <v>1373.36</v>
      </c>
      <c r="K122" s="1080"/>
      <c r="L122" s="1080">
        <v>1530.49</v>
      </c>
      <c r="M122" s="1080"/>
      <c r="N122" s="1080">
        <v>1471.05</v>
      </c>
      <c r="O122" s="1080"/>
      <c r="P122" s="1080">
        <v>1349.24</v>
      </c>
      <c r="Q122" s="1080"/>
      <c r="R122" s="1080">
        <v>1264.8499999999999</v>
      </c>
      <c r="S122" s="1080"/>
      <c r="T122" s="1080">
        <v>1397.87</v>
      </c>
      <c r="U122" s="1080"/>
      <c r="V122" s="1080">
        <v>1147.17</v>
      </c>
      <c r="W122" s="1080"/>
      <c r="X122" s="1080">
        <v>1548.93</v>
      </c>
      <c r="Y122" s="1080"/>
      <c r="Z122" s="1080">
        <v>1265.07</v>
      </c>
      <c r="AA122" s="1080"/>
      <c r="AB122" s="1080">
        <v>1674.04</v>
      </c>
      <c r="AC122" s="1080"/>
      <c r="AD122" s="1080">
        <v>1165.9100000000001</v>
      </c>
      <c r="AE122" s="1080"/>
      <c r="AF122" s="1080">
        <v>1098.46</v>
      </c>
      <c r="AG122" s="1080"/>
      <c r="AH122" s="1081">
        <f t="shared" si="12"/>
        <v>16286.44</v>
      </c>
      <c r="AI122" s="8">
        <f t="shared" si="13"/>
        <v>8.0440679894233636E-4</v>
      </c>
      <c r="AJ122" s="9"/>
    </row>
    <row r="123" spans="2:36" outlineLevel="1">
      <c r="B123" s="5" t="s">
        <v>24</v>
      </c>
      <c r="D123" s="234">
        <v>52120</v>
      </c>
      <c r="E123" s="234" t="s">
        <v>80</v>
      </c>
      <c r="F123" s="235"/>
      <c r="G123" s="3"/>
      <c r="H123" s="236"/>
      <c r="I123" s="6"/>
      <c r="J123" s="1078">
        <v>48757.62</v>
      </c>
      <c r="K123" s="1080"/>
      <c r="L123" s="1080">
        <v>53826</v>
      </c>
      <c r="M123" s="1080"/>
      <c r="N123" s="1080">
        <v>49789.59</v>
      </c>
      <c r="O123" s="1080"/>
      <c r="P123" s="1080">
        <v>47926.15</v>
      </c>
      <c r="Q123" s="1080"/>
      <c r="R123" s="1080">
        <v>57270.98</v>
      </c>
      <c r="S123" s="1080"/>
      <c r="T123" s="1080">
        <v>37461.4</v>
      </c>
      <c r="U123" s="1080"/>
      <c r="V123" s="1080">
        <v>54691.4</v>
      </c>
      <c r="W123" s="1080"/>
      <c r="X123" s="1080">
        <v>37700.43</v>
      </c>
      <c r="Y123" s="1080"/>
      <c r="Z123" s="1080">
        <v>50682.71</v>
      </c>
      <c r="AA123" s="1080"/>
      <c r="AB123" s="1080">
        <v>52751.72</v>
      </c>
      <c r="AC123" s="1080"/>
      <c r="AD123" s="1080">
        <v>61307.83</v>
      </c>
      <c r="AE123" s="1080"/>
      <c r="AF123" s="1080">
        <v>52348.67</v>
      </c>
      <c r="AG123" s="1080"/>
      <c r="AH123" s="1081">
        <f t="shared" si="12"/>
        <v>604514.5</v>
      </c>
      <c r="AI123" s="8">
        <f t="shared" si="13"/>
        <v>2.9857695964202551E-2</v>
      </c>
      <c r="AJ123" s="9"/>
    </row>
    <row r="124" spans="2:36" outlineLevel="1">
      <c r="B124" s="5" t="s">
        <v>24</v>
      </c>
      <c r="D124" s="234">
        <v>52125</v>
      </c>
      <c r="E124" s="234" t="s">
        <v>81</v>
      </c>
      <c r="F124" s="235"/>
      <c r="G124" s="3"/>
      <c r="H124" s="236"/>
      <c r="I124" s="6"/>
      <c r="J124" s="1078">
        <v>3297.22</v>
      </c>
      <c r="K124" s="1080"/>
      <c r="L124" s="1080">
        <v>1696.82</v>
      </c>
      <c r="M124" s="1080"/>
      <c r="N124" s="1080">
        <v>2665.92</v>
      </c>
      <c r="O124" s="1080"/>
      <c r="P124" s="1080">
        <v>3510.83</v>
      </c>
      <c r="Q124" s="1080"/>
      <c r="R124" s="1080">
        <v>5815.52</v>
      </c>
      <c r="S124" s="1080"/>
      <c r="T124" s="1080">
        <v>2936.14</v>
      </c>
      <c r="U124" s="1080"/>
      <c r="V124" s="1080">
        <v>3525.68</v>
      </c>
      <c r="W124" s="1080"/>
      <c r="X124" s="1080">
        <v>3386.71</v>
      </c>
      <c r="Y124" s="1080"/>
      <c r="Z124" s="1080">
        <v>4727.87</v>
      </c>
      <c r="AA124" s="1080"/>
      <c r="AB124" s="1080">
        <v>4795.42</v>
      </c>
      <c r="AC124" s="1080"/>
      <c r="AD124" s="1080">
        <v>2557.9899999999998</v>
      </c>
      <c r="AE124" s="1080"/>
      <c r="AF124" s="1080">
        <v>5421.94</v>
      </c>
      <c r="AG124" s="1080"/>
      <c r="AH124" s="1081">
        <f t="shared" si="12"/>
        <v>44338.06</v>
      </c>
      <c r="AI124" s="8">
        <f t="shared" si="13"/>
        <v>2.1899099444638143E-3</v>
      </c>
      <c r="AJ124" s="9"/>
    </row>
    <row r="125" spans="2:36" outlineLevel="1">
      <c r="B125" s="5" t="s">
        <v>24</v>
      </c>
      <c r="D125" s="234">
        <v>52135</v>
      </c>
      <c r="E125" s="234" t="s">
        <v>1115</v>
      </c>
      <c r="F125" s="235"/>
      <c r="G125" s="3"/>
      <c r="H125" s="236"/>
      <c r="I125" s="6"/>
      <c r="J125" s="1078">
        <v>1720.05</v>
      </c>
      <c r="K125" s="1080"/>
      <c r="L125" s="1080">
        <v>4129.6099999999997</v>
      </c>
      <c r="M125" s="1080"/>
      <c r="N125" s="1080">
        <v>3534.47</v>
      </c>
      <c r="O125" s="1080"/>
      <c r="P125" s="1080">
        <v>3228.69</v>
      </c>
      <c r="Q125" s="1080"/>
      <c r="R125" s="1080">
        <v>171.85</v>
      </c>
      <c r="S125" s="1080"/>
      <c r="T125" s="1080">
        <v>12993.01</v>
      </c>
      <c r="U125" s="1080"/>
      <c r="V125" s="1080">
        <v>6826.69</v>
      </c>
      <c r="W125" s="1080"/>
      <c r="X125" s="1080">
        <v>4092.09</v>
      </c>
      <c r="Y125" s="1080"/>
      <c r="Z125" s="1080">
        <v>2319.0300000000002</v>
      </c>
      <c r="AA125" s="1080"/>
      <c r="AB125" s="1080">
        <v>1560.4</v>
      </c>
      <c r="AC125" s="1080"/>
      <c r="AD125" s="1080">
        <v>2922.65</v>
      </c>
      <c r="AE125" s="1080"/>
      <c r="AF125" s="1080">
        <v>5849.28</v>
      </c>
      <c r="AG125" s="1080"/>
      <c r="AH125" s="1081">
        <f t="shared" si="12"/>
        <v>49347.820000000007</v>
      </c>
      <c r="AI125" s="8">
        <f t="shared" si="13"/>
        <v>2.4373479975355332E-3</v>
      </c>
      <c r="AJ125" s="9"/>
    </row>
    <row r="126" spans="2:36" outlineLevel="1">
      <c r="B126" s="5" t="s">
        <v>24</v>
      </c>
      <c r="D126" s="234">
        <v>52140</v>
      </c>
      <c r="E126" s="234" t="s">
        <v>82</v>
      </c>
      <c r="F126" s="235"/>
      <c r="G126" s="3"/>
      <c r="H126" s="236"/>
      <c r="I126" s="6"/>
      <c r="J126" s="1078">
        <v>11005.32</v>
      </c>
      <c r="K126" s="1080"/>
      <c r="L126" s="1080">
        <v>28896.240000000002</v>
      </c>
      <c r="M126" s="1080"/>
      <c r="N126" s="1080">
        <v>22397.97</v>
      </c>
      <c r="O126" s="1080"/>
      <c r="P126" s="1080">
        <v>19361.189999999999</v>
      </c>
      <c r="Q126" s="1080"/>
      <c r="R126" s="1080">
        <v>32170.560000000001</v>
      </c>
      <c r="S126" s="1080"/>
      <c r="T126" s="1080">
        <v>48256.02</v>
      </c>
      <c r="U126" s="1080"/>
      <c r="V126" s="1080">
        <v>28233.19</v>
      </c>
      <c r="W126" s="1080"/>
      <c r="X126" s="1080">
        <v>36232.51</v>
      </c>
      <c r="Y126" s="1080"/>
      <c r="Z126" s="1080">
        <v>32440.14</v>
      </c>
      <c r="AA126" s="1080"/>
      <c r="AB126" s="1080">
        <v>37016.550000000003</v>
      </c>
      <c r="AC126" s="1080"/>
      <c r="AD126" s="1080">
        <v>10594.2</v>
      </c>
      <c r="AE126" s="1080"/>
      <c r="AF126" s="1080">
        <v>39275.01</v>
      </c>
      <c r="AG126" s="1080"/>
      <c r="AH126" s="1081">
        <f t="shared" si="12"/>
        <v>345878.89999999997</v>
      </c>
      <c r="AI126" s="8">
        <f t="shared" si="13"/>
        <v>1.7083373577693864E-2</v>
      </c>
      <c r="AJ126" s="9"/>
    </row>
    <row r="127" spans="2:36" outlineLevel="1">
      <c r="B127" s="5" t="s">
        <v>24</v>
      </c>
      <c r="D127" s="234">
        <v>52142</v>
      </c>
      <c r="E127" s="234" t="s">
        <v>83</v>
      </c>
      <c r="F127" s="235"/>
      <c r="G127" s="3"/>
      <c r="H127" s="236"/>
      <c r="I127" s="6"/>
      <c r="J127" s="1078">
        <v>86643.48</v>
      </c>
      <c r="K127" s="1080"/>
      <c r="L127" s="1080">
        <v>82008.42</v>
      </c>
      <c r="M127" s="1080"/>
      <c r="N127" s="1080">
        <v>92486.34</v>
      </c>
      <c r="O127" s="1080"/>
      <c r="P127" s="1080">
        <v>84589.08</v>
      </c>
      <c r="Q127" s="1080"/>
      <c r="R127" s="1080">
        <v>99090.16</v>
      </c>
      <c r="S127" s="1080"/>
      <c r="T127" s="1080">
        <v>93117.33</v>
      </c>
      <c r="U127" s="1080"/>
      <c r="V127" s="1080">
        <v>59972.82</v>
      </c>
      <c r="W127" s="1080"/>
      <c r="X127" s="1080">
        <v>91092.93</v>
      </c>
      <c r="Y127" s="1080"/>
      <c r="Z127" s="1080">
        <v>117212.31</v>
      </c>
      <c r="AA127" s="1080"/>
      <c r="AB127" s="1080">
        <v>68727.44</v>
      </c>
      <c r="AC127" s="1080"/>
      <c r="AD127" s="1080">
        <v>86474.53</v>
      </c>
      <c r="AE127" s="1080"/>
      <c r="AF127" s="1080">
        <v>86228.57</v>
      </c>
      <c r="AG127" s="1080"/>
      <c r="AH127" s="1081">
        <f t="shared" si="12"/>
        <v>1047643.4099999999</v>
      </c>
      <c r="AI127" s="8">
        <f t="shared" si="13"/>
        <v>5.1744364137965917E-2</v>
      </c>
      <c r="AJ127" s="9"/>
    </row>
    <row r="128" spans="2:36" outlineLevel="1">
      <c r="B128" s="5" t="s">
        <v>24</v>
      </c>
      <c r="D128" s="234">
        <v>52144</v>
      </c>
      <c r="E128" s="234" t="s">
        <v>84</v>
      </c>
      <c r="F128" s="235"/>
      <c r="G128" s="3"/>
      <c r="H128" s="236"/>
      <c r="I128" s="6"/>
      <c r="J128" s="1078">
        <v>897.72</v>
      </c>
      <c r="K128" s="1080"/>
      <c r="L128" s="1080">
        <v>1276.27</v>
      </c>
      <c r="M128" s="1080"/>
      <c r="N128" s="1080">
        <v>867.71</v>
      </c>
      <c r="O128" s="1080"/>
      <c r="P128" s="1080">
        <v>1677.57</v>
      </c>
      <c r="Q128" s="1080"/>
      <c r="R128" s="1080">
        <v>1330.5</v>
      </c>
      <c r="S128" s="1080"/>
      <c r="T128" s="1080">
        <v>2079.7600000000002</v>
      </c>
      <c r="U128" s="1080"/>
      <c r="V128" s="1080">
        <v>1733.59</v>
      </c>
      <c r="W128" s="1080"/>
      <c r="X128" s="1080">
        <v>1998.34</v>
      </c>
      <c r="Y128" s="1080"/>
      <c r="Z128" s="1080">
        <v>1487.82</v>
      </c>
      <c r="AA128" s="1080"/>
      <c r="AB128" s="1080">
        <v>2453.4699999999998</v>
      </c>
      <c r="AC128" s="1080"/>
      <c r="AD128" s="1080">
        <v>1601.64</v>
      </c>
      <c r="AE128" s="1080"/>
      <c r="AF128" s="1080">
        <v>2412.94</v>
      </c>
      <c r="AG128" s="1080"/>
      <c r="AH128" s="1081">
        <f t="shared" si="12"/>
        <v>19817.330000000002</v>
      </c>
      <c r="AI128" s="8">
        <f t="shared" si="13"/>
        <v>9.788016895579349E-4</v>
      </c>
      <c r="AJ128" s="9"/>
    </row>
    <row r="129" spans="2:36" outlineLevel="1">
      <c r="B129" s="5" t="s">
        <v>24</v>
      </c>
      <c r="D129" s="234">
        <v>52146</v>
      </c>
      <c r="E129" s="234" t="s">
        <v>85</v>
      </c>
      <c r="F129" s="235"/>
      <c r="G129" s="3"/>
      <c r="H129" s="236"/>
      <c r="I129" s="6"/>
      <c r="J129" s="1078">
        <v>7822.72</v>
      </c>
      <c r="K129" s="1080"/>
      <c r="L129" s="1080">
        <v>9077.43</v>
      </c>
      <c r="M129" s="1080"/>
      <c r="N129" s="1080">
        <v>8406.6200000000008</v>
      </c>
      <c r="O129" s="1080"/>
      <c r="P129" s="1080">
        <v>9285.9599999999991</v>
      </c>
      <c r="Q129" s="1080"/>
      <c r="R129" s="1080">
        <v>4582.95</v>
      </c>
      <c r="S129" s="1080"/>
      <c r="T129" s="1080">
        <v>-1780.08</v>
      </c>
      <c r="U129" s="1080"/>
      <c r="V129" s="1080">
        <v>8798.7000000000007</v>
      </c>
      <c r="W129" s="1080"/>
      <c r="X129" s="1080">
        <v>7981.95</v>
      </c>
      <c r="Y129" s="1080"/>
      <c r="Z129" s="1080">
        <v>8778.77</v>
      </c>
      <c r="AA129" s="1080"/>
      <c r="AB129" s="1080">
        <v>7418.51</v>
      </c>
      <c r="AC129" s="1080"/>
      <c r="AD129" s="1080">
        <v>5194.2</v>
      </c>
      <c r="AE129" s="1080"/>
      <c r="AF129" s="1080">
        <v>10643.1</v>
      </c>
      <c r="AG129" s="1080"/>
      <c r="AH129" s="1081">
        <f t="shared" si="12"/>
        <v>86210.829999999987</v>
      </c>
      <c r="AI129" s="8">
        <f t="shared" si="13"/>
        <v>4.2580562599599378E-3</v>
      </c>
      <c r="AJ129" s="9"/>
    </row>
    <row r="130" spans="2:36" outlineLevel="1">
      <c r="B130" s="5" t="s">
        <v>24</v>
      </c>
      <c r="D130" s="234">
        <v>52147</v>
      </c>
      <c r="E130" s="234" t="s">
        <v>86</v>
      </c>
      <c r="F130" s="235"/>
      <c r="G130" s="3"/>
      <c r="H130" s="236"/>
      <c r="I130" s="6"/>
      <c r="J130" s="1078">
        <v>37249.440000000002</v>
      </c>
      <c r="K130" s="1080"/>
      <c r="L130" s="1080">
        <v>6041.29</v>
      </c>
      <c r="M130" s="1080"/>
      <c r="N130" s="1080">
        <v>69.19</v>
      </c>
      <c r="O130" s="1080"/>
      <c r="P130" s="1080">
        <v>5286.58</v>
      </c>
      <c r="Q130" s="1080"/>
      <c r="R130" s="1080">
        <v>9804.61</v>
      </c>
      <c r="S130" s="1080"/>
      <c r="T130" s="1080">
        <v>7628.62</v>
      </c>
      <c r="U130" s="1080"/>
      <c r="V130" s="1080">
        <v>-2573.54</v>
      </c>
      <c r="W130" s="1080"/>
      <c r="X130" s="1080">
        <v>5541.01</v>
      </c>
      <c r="Y130" s="1080"/>
      <c r="Z130" s="1080">
        <v>9344.86</v>
      </c>
      <c r="AA130" s="1080"/>
      <c r="AB130" s="1080">
        <v>7618.94</v>
      </c>
      <c r="AC130" s="1080"/>
      <c r="AD130" s="1080">
        <v>8793.01</v>
      </c>
      <c r="AE130" s="1080"/>
      <c r="AF130" s="1080">
        <v>3543.26</v>
      </c>
      <c r="AG130" s="1080"/>
      <c r="AH130" s="1081">
        <f t="shared" si="12"/>
        <v>98347.270000000019</v>
      </c>
      <c r="AI130" s="8">
        <f t="shared" si="13"/>
        <v>4.8574895830775589E-3</v>
      </c>
      <c r="AJ130" s="9"/>
    </row>
    <row r="131" spans="2:36" outlineLevel="1">
      <c r="B131" s="5" t="s">
        <v>24</v>
      </c>
      <c r="D131" s="234">
        <v>52165</v>
      </c>
      <c r="E131" s="234" t="s">
        <v>89</v>
      </c>
      <c r="F131" s="235"/>
      <c r="G131" s="3"/>
      <c r="H131" s="236"/>
      <c r="I131" s="6"/>
      <c r="J131" s="1078">
        <v>243.2</v>
      </c>
      <c r="K131" s="1080"/>
      <c r="L131" s="1080">
        <v>243.2</v>
      </c>
      <c r="M131" s="1080"/>
      <c r="N131" s="1080">
        <v>250.49</v>
      </c>
      <c r="O131" s="1080"/>
      <c r="P131" s="1080">
        <v>250.49</v>
      </c>
      <c r="Q131" s="1080"/>
      <c r="R131" s="1080">
        <v>500.98</v>
      </c>
      <c r="S131" s="1080"/>
      <c r="T131" s="1080">
        <v>0</v>
      </c>
      <c r="U131" s="1080"/>
      <c r="V131" s="1080">
        <v>250.49</v>
      </c>
      <c r="W131" s="1080"/>
      <c r="X131" s="1080">
        <v>250.49</v>
      </c>
      <c r="Y131" s="1080"/>
      <c r="Z131" s="1080">
        <v>250.49</v>
      </c>
      <c r="AA131" s="1080"/>
      <c r="AB131" s="1080">
        <v>1027.45</v>
      </c>
      <c r="AC131" s="1080"/>
      <c r="AD131" s="1080">
        <v>250.49</v>
      </c>
      <c r="AE131" s="1080"/>
      <c r="AF131" s="1080">
        <v>250.49</v>
      </c>
      <c r="AG131" s="1080"/>
      <c r="AH131" s="1081">
        <f t="shared" si="12"/>
        <v>3768.2599999999993</v>
      </c>
      <c r="AI131" s="8">
        <f t="shared" si="13"/>
        <v>1.861188795207822E-4</v>
      </c>
      <c r="AJ131" s="9"/>
    </row>
    <row r="132" spans="2:36" outlineLevel="1">
      <c r="B132" s="5" t="s">
        <v>24</v>
      </c>
      <c r="D132" s="234">
        <v>52175</v>
      </c>
      <c r="E132" s="234" t="s">
        <v>90</v>
      </c>
      <c r="F132" s="235"/>
      <c r="G132" s="3"/>
      <c r="H132" s="236"/>
      <c r="I132" s="6"/>
      <c r="J132" s="1078">
        <v>0</v>
      </c>
      <c r="K132" s="1080"/>
      <c r="L132" s="1080">
        <v>0</v>
      </c>
      <c r="M132" s="1080"/>
      <c r="N132" s="1080">
        <v>0</v>
      </c>
      <c r="O132" s="1080"/>
      <c r="P132" s="1080">
        <v>0</v>
      </c>
      <c r="Q132" s="1080"/>
      <c r="R132" s="1080">
        <v>0</v>
      </c>
      <c r="S132" s="1080"/>
      <c r="T132" s="1080">
        <v>0</v>
      </c>
      <c r="U132" s="1080"/>
      <c r="V132" s="1080">
        <v>0</v>
      </c>
      <c r="W132" s="1080"/>
      <c r="X132" s="1080">
        <v>0</v>
      </c>
      <c r="Y132" s="1080"/>
      <c r="Z132" s="1080">
        <v>0</v>
      </c>
      <c r="AA132" s="1080"/>
      <c r="AB132" s="1080">
        <v>1902.96</v>
      </c>
      <c r="AC132" s="1080"/>
      <c r="AD132" s="1080">
        <v>0</v>
      </c>
      <c r="AE132" s="1080"/>
      <c r="AF132" s="1080">
        <v>0</v>
      </c>
      <c r="AG132" s="1080"/>
      <c r="AH132" s="1081">
        <f t="shared" si="12"/>
        <v>1902.96</v>
      </c>
      <c r="AI132" s="8">
        <f t="shared" si="13"/>
        <v>9.3989476037446398E-5</v>
      </c>
      <c r="AJ132" s="9"/>
    </row>
    <row r="133" spans="2:36" outlineLevel="1">
      <c r="B133" s="5" t="s">
        <v>24</v>
      </c>
      <c r="D133" s="234">
        <v>52181</v>
      </c>
      <c r="E133" s="234" t="s">
        <v>606</v>
      </c>
      <c r="F133" s="235"/>
      <c r="G133" s="3"/>
      <c r="H133" s="236"/>
      <c r="I133" s="6"/>
      <c r="J133" s="1078">
        <v>78.55</v>
      </c>
      <c r="K133" s="1080"/>
      <c r="L133" s="1080">
        <v>2.31</v>
      </c>
      <c r="M133" s="1080"/>
      <c r="N133" s="1080">
        <v>0</v>
      </c>
      <c r="O133" s="1080"/>
      <c r="P133" s="1080">
        <v>0</v>
      </c>
      <c r="Q133" s="1080"/>
      <c r="R133" s="1080">
        <v>0</v>
      </c>
      <c r="S133" s="1080"/>
      <c r="T133" s="1080">
        <v>78.25</v>
      </c>
      <c r="U133" s="1080"/>
      <c r="V133" s="1080">
        <v>0</v>
      </c>
      <c r="W133" s="1080"/>
      <c r="X133" s="1080">
        <v>0</v>
      </c>
      <c r="Y133" s="1080"/>
      <c r="Z133" s="1080">
        <v>0</v>
      </c>
      <c r="AA133" s="1080"/>
      <c r="AB133" s="1080">
        <v>0</v>
      </c>
      <c r="AC133" s="1080"/>
      <c r="AD133" s="1080">
        <v>0</v>
      </c>
      <c r="AE133" s="1080"/>
      <c r="AF133" s="1080">
        <v>23.68</v>
      </c>
      <c r="AG133" s="1080"/>
      <c r="AH133" s="1081">
        <f t="shared" si="12"/>
        <v>182.79000000000002</v>
      </c>
      <c r="AI133" s="8">
        <f t="shared" si="13"/>
        <v>9.0282172640963697E-6</v>
      </c>
      <c r="AJ133" s="9"/>
    </row>
    <row r="134" spans="2:36" outlineLevel="1">
      <c r="B134" s="5" t="s">
        <v>24</v>
      </c>
      <c r="D134" s="234">
        <v>52182</v>
      </c>
      <c r="E134" s="234" t="s">
        <v>91</v>
      </c>
      <c r="F134" s="235"/>
      <c r="G134" s="3"/>
      <c r="H134" s="236"/>
      <c r="I134" s="6"/>
      <c r="J134" s="1078">
        <v>1083</v>
      </c>
      <c r="K134" s="1080"/>
      <c r="L134" s="1080">
        <v>1299.5999999999999</v>
      </c>
      <c r="M134" s="1080"/>
      <c r="N134" s="1080">
        <v>1962.94</v>
      </c>
      <c r="O134" s="1080"/>
      <c r="P134" s="1080">
        <v>446.74</v>
      </c>
      <c r="Q134" s="1080"/>
      <c r="R134" s="1080">
        <v>406.13</v>
      </c>
      <c r="S134" s="1080"/>
      <c r="T134" s="1080">
        <v>731.03</v>
      </c>
      <c r="U134" s="1080"/>
      <c r="V134" s="1080">
        <v>0</v>
      </c>
      <c r="W134" s="1080"/>
      <c r="X134" s="1080">
        <v>974.7</v>
      </c>
      <c r="Y134" s="1080"/>
      <c r="Z134" s="1080">
        <v>1732.81</v>
      </c>
      <c r="AA134" s="1080"/>
      <c r="AB134" s="1080">
        <v>4597.03</v>
      </c>
      <c r="AC134" s="1080"/>
      <c r="AD134" s="1080">
        <v>812.25</v>
      </c>
      <c r="AE134" s="1080"/>
      <c r="AF134" s="1080">
        <v>744.56</v>
      </c>
      <c r="AG134" s="1080"/>
      <c r="AH134" s="1081">
        <f t="shared" si="12"/>
        <v>14790.79</v>
      </c>
      <c r="AI134" s="8">
        <f t="shared" si="13"/>
        <v>7.3053485216709852E-4</v>
      </c>
      <c r="AJ134" s="9"/>
    </row>
    <row r="135" spans="2:36" outlineLevel="1">
      <c r="B135" s="5" t="s">
        <v>24</v>
      </c>
      <c r="D135" s="234">
        <v>52185</v>
      </c>
      <c r="E135" s="234" t="s">
        <v>92</v>
      </c>
      <c r="F135" s="235"/>
      <c r="G135" s="3"/>
      <c r="H135" s="236"/>
      <c r="I135" s="6"/>
      <c r="J135" s="1078">
        <v>134.96</v>
      </c>
      <c r="K135" s="1080"/>
      <c r="L135" s="1080">
        <v>188.72</v>
      </c>
      <c r="M135" s="1080"/>
      <c r="N135" s="1080">
        <v>24</v>
      </c>
      <c r="O135" s="1080"/>
      <c r="P135" s="1080">
        <v>0</v>
      </c>
      <c r="Q135" s="1080"/>
      <c r="R135" s="1080">
        <v>0</v>
      </c>
      <c r="S135" s="1080"/>
      <c r="T135" s="1080">
        <v>7</v>
      </c>
      <c r="U135" s="1080"/>
      <c r="V135" s="1080">
        <v>0</v>
      </c>
      <c r="W135" s="1080"/>
      <c r="X135" s="1080">
        <v>0</v>
      </c>
      <c r="Y135" s="1080"/>
      <c r="Z135" s="1080">
        <v>131.6</v>
      </c>
      <c r="AA135" s="1080"/>
      <c r="AB135" s="1080">
        <v>0</v>
      </c>
      <c r="AC135" s="1080"/>
      <c r="AD135" s="1080">
        <v>0</v>
      </c>
      <c r="AE135" s="1080"/>
      <c r="AF135" s="1080">
        <v>0</v>
      </c>
      <c r="AG135" s="1080"/>
      <c r="AH135" s="1081">
        <f t="shared" si="12"/>
        <v>486.28</v>
      </c>
      <c r="AI135" s="8">
        <f t="shared" si="13"/>
        <v>2.4017952246757382E-5</v>
      </c>
      <c r="AJ135" s="9"/>
    </row>
    <row r="136" spans="2:36" outlineLevel="1">
      <c r="B136" s="5" t="s">
        <v>24</v>
      </c>
      <c r="D136" s="234">
        <v>52901</v>
      </c>
      <c r="E136" s="234" t="s">
        <v>93</v>
      </c>
      <c r="F136" s="235"/>
      <c r="G136" s="3"/>
      <c r="H136" s="236"/>
      <c r="I136" s="6"/>
      <c r="J136" s="1078">
        <v>0</v>
      </c>
      <c r="K136" s="1080"/>
      <c r="L136" s="1080">
        <v>0</v>
      </c>
      <c r="M136" s="1080"/>
      <c r="N136" s="1080">
        <v>0</v>
      </c>
      <c r="O136" s="1080"/>
      <c r="P136" s="1080">
        <v>0</v>
      </c>
      <c r="Q136" s="1080"/>
      <c r="R136" s="1080">
        <v>0</v>
      </c>
      <c r="S136" s="1080"/>
      <c r="T136" s="1080">
        <v>0</v>
      </c>
      <c r="U136" s="1080"/>
      <c r="V136" s="1080">
        <v>0</v>
      </c>
      <c r="W136" s="1080"/>
      <c r="X136" s="1080">
        <v>0</v>
      </c>
      <c r="Y136" s="1080"/>
      <c r="Z136" s="1080">
        <v>0</v>
      </c>
      <c r="AA136" s="1080"/>
      <c r="AB136" s="1080">
        <v>0</v>
      </c>
      <c r="AC136" s="1080"/>
      <c r="AD136" s="1080">
        <v>0</v>
      </c>
      <c r="AE136" s="1080"/>
      <c r="AF136" s="1080">
        <v>0</v>
      </c>
      <c r="AG136" s="1080"/>
      <c r="AH136" s="1081">
        <f t="shared" si="12"/>
        <v>0</v>
      </c>
      <c r="AI136" s="8">
        <f t="shared" si="13"/>
        <v>0</v>
      </c>
      <c r="AJ136" s="9"/>
    </row>
    <row r="137" spans="2:36" s="236" customFormat="1" ht="5.0999999999999996" customHeight="1" outlineLevel="1">
      <c r="B137" s="1" t="s">
        <v>17</v>
      </c>
      <c r="D137" s="235"/>
      <c r="E137" s="235"/>
      <c r="F137" s="235"/>
      <c r="G137" s="235"/>
      <c r="J137" s="1106"/>
      <c r="K137" s="1105"/>
      <c r="L137" s="1107"/>
      <c r="M137" s="1105"/>
      <c r="N137" s="1107"/>
      <c r="O137" s="1105"/>
      <c r="P137" s="1107"/>
      <c r="Q137" s="1105"/>
      <c r="R137" s="1107"/>
      <c r="S137" s="1105"/>
      <c r="T137" s="1107"/>
      <c r="U137" s="1105"/>
      <c r="V137" s="1107"/>
      <c r="W137" s="1105"/>
      <c r="X137" s="1107"/>
      <c r="Y137" s="1105"/>
      <c r="Z137" s="1107"/>
      <c r="AA137" s="1105"/>
      <c r="AB137" s="1107"/>
      <c r="AC137" s="1105"/>
      <c r="AD137" s="1107"/>
      <c r="AE137" s="1105"/>
      <c r="AF137" s="1107"/>
      <c r="AG137" s="1105"/>
      <c r="AH137" s="1108"/>
      <c r="AI137" s="31"/>
      <c r="AJ137" s="14"/>
    </row>
    <row r="138" spans="2:36" s="236" customFormat="1" ht="15">
      <c r="B138" s="1" t="s">
        <v>17</v>
      </c>
      <c r="F138" s="235" t="s">
        <v>94</v>
      </c>
      <c r="J138" s="1085">
        <f>SUM(J110:J137)</f>
        <v>282770.75</v>
      </c>
      <c r="K138" s="1105"/>
      <c r="L138" s="1086">
        <f>SUM(L110:L137)</f>
        <v>268129.99999999994</v>
      </c>
      <c r="M138" s="1105"/>
      <c r="N138" s="1086">
        <f>SUM(N110:N137)</f>
        <v>259039.96999999997</v>
      </c>
      <c r="O138" s="1105"/>
      <c r="P138" s="1086">
        <f>SUM(P110:P137)</f>
        <v>253516.19999999995</v>
      </c>
      <c r="Q138" s="1105"/>
      <c r="R138" s="1086">
        <f>SUM(R110:R137)</f>
        <v>285547.36</v>
      </c>
      <c r="S138" s="1105"/>
      <c r="T138" s="1086">
        <f>SUM(T110:T137)</f>
        <v>290311.40000000002</v>
      </c>
      <c r="U138" s="1105"/>
      <c r="V138" s="1086">
        <f>SUM(V110:V137)</f>
        <v>237471.09999999998</v>
      </c>
      <c r="W138" s="1105"/>
      <c r="X138" s="1086">
        <f>SUM(X110:X137)</f>
        <v>262924.94</v>
      </c>
      <c r="Y138" s="1105"/>
      <c r="Z138" s="1086">
        <f>SUM(Z110:Z137)</f>
        <v>309089.98</v>
      </c>
      <c r="AA138" s="1105"/>
      <c r="AB138" s="1086">
        <f>SUM(AB110:AB137)</f>
        <v>268709.61000000004</v>
      </c>
      <c r="AC138" s="1105"/>
      <c r="AD138" s="1086">
        <f>SUM(AD110:AD137)</f>
        <v>245133.12000000005</v>
      </c>
      <c r="AE138" s="1105"/>
      <c r="AF138" s="1086">
        <f>SUM(AF110:AF137)</f>
        <v>284468.02999999997</v>
      </c>
      <c r="AG138" s="1105"/>
      <c r="AH138" s="1087">
        <f>SUM(AH110:AH137)</f>
        <v>3247112.4599999995</v>
      </c>
      <c r="AI138" s="8">
        <f>IF(AH$58=0,0,AH138/AH$58)</f>
        <v>0.16037877766745678</v>
      </c>
      <c r="AJ138" s="14"/>
    </row>
    <row r="139" spans="2:36" s="236" customFormat="1" ht="15" outlineLevel="1">
      <c r="B139" s="1" t="s">
        <v>17</v>
      </c>
      <c r="J139" s="1085"/>
      <c r="K139" s="1105"/>
      <c r="L139" s="1086"/>
      <c r="M139" s="1105"/>
      <c r="N139" s="1086"/>
      <c r="O139" s="1105"/>
      <c r="P139" s="1086"/>
      <c r="Q139" s="1105"/>
      <c r="R139" s="1086"/>
      <c r="S139" s="1105"/>
      <c r="T139" s="1086"/>
      <c r="U139" s="1105"/>
      <c r="V139" s="1086"/>
      <c r="W139" s="1105"/>
      <c r="X139" s="1086"/>
      <c r="Y139" s="1105"/>
      <c r="Z139" s="1086"/>
      <c r="AA139" s="1105"/>
      <c r="AB139" s="1086"/>
      <c r="AC139" s="1105"/>
      <c r="AD139" s="1086"/>
      <c r="AE139" s="1105"/>
      <c r="AF139" s="1086"/>
      <c r="AG139" s="1105"/>
      <c r="AH139" s="1087"/>
      <c r="AI139" s="31"/>
      <c r="AJ139" s="14"/>
    </row>
    <row r="140" spans="2:36" s="236" customFormat="1" ht="15" outlineLevel="1">
      <c r="J140" s="1085"/>
      <c r="K140" s="1105"/>
      <c r="L140" s="1086"/>
      <c r="M140" s="1105"/>
      <c r="N140" s="1086"/>
      <c r="O140" s="1105"/>
      <c r="P140" s="1086"/>
      <c r="Q140" s="1105"/>
      <c r="R140" s="1086"/>
      <c r="S140" s="1105"/>
      <c r="T140" s="1086"/>
      <c r="U140" s="1105"/>
      <c r="V140" s="1086"/>
      <c r="W140" s="1105"/>
      <c r="X140" s="1086"/>
      <c r="Y140" s="1105"/>
      <c r="Z140" s="1086"/>
      <c r="AA140" s="1105"/>
      <c r="AB140" s="1086"/>
      <c r="AC140" s="1105"/>
      <c r="AD140" s="1086"/>
      <c r="AE140" s="1105"/>
      <c r="AF140" s="1086"/>
      <c r="AG140" s="1105"/>
      <c r="AH140" s="1087"/>
      <c r="AI140" s="31"/>
      <c r="AJ140" s="14"/>
    </row>
    <row r="141" spans="2:36" outlineLevel="1">
      <c r="B141" s="5" t="s">
        <v>95</v>
      </c>
      <c r="D141" s="234">
        <v>55020</v>
      </c>
      <c r="E141" s="234" t="s">
        <v>63</v>
      </c>
      <c r="F141" s="235"/>
      <c r="G141" s="3"/>
      <c r="H141" s="236"/>
      <c r="I141" s="6"/>
      <c r="J141" s="1078">
        <v>7092.97</v>
      </c>
      <c r="K141" s="1080"/>
      <c r="L141" s="1080">
        <v>7921.4</v>
      </c>
      <c r="M141" s="1080"/>
      <c r="N141" s="1080">
        <v>7761.01</v>
      </c>
      <c r="O141" s="1080"/>
      <c r="P141" s="1080">
        <v>7566.75</v>
      </c>
      <c r="Q141" s="1080"/>
      <c r="R141" s="1080">
        <v>7625.34</v>
      </c>
      <c r="S141" s="1080"/>
      <c r="T141" s="1080">
        <v>8397.98</v>
      </c>
      <c r="U141" s="1080"/>
      <c r="V141" s="1080">
        <v>7924.9</v>
      </c>
      <c r="W141" s="1080"/>
      <c r="X141" s="1080">
        <v>8227.5</v>
      </c>
      <c r="Y141" s="1080"/>
      <c r="Z141" s="1080">
        <v>7908.65</v>
      </c>
      <c r="AA141" s="1080"/>
      <c r="AB141" s="1080">
        <v>6893</v>
      </c>
      <c r="AC141" s="1080"/>
      <c r="AD141" s="1080">
        <v>3291.64</v>
      </c>
      <c r="AE141" s="1080"/>
      <c r="AF141" s="1080">
        <v>7861.77</v>
      </c>
      <c r="AG141" s="1080"/>
      <c r="AH141" s="1081">
        <f t="shared" ref="AH141:AH152" si="14">AF141+AD141+AB141+Z141+X141+V141+T141+R141+P141+N141+L141+J141</f>
        <v>88472.909999999989</v>
      </c>
      <c r="AI141" s="8">
        <f t="shared" ref="AI141:AI152" si="15">IF(AH$58=0,0,AH141/AH$58)</f>
        <v>4.3697831033800765E-3</v>
      </c>
      <c r="AJ141" s="9"/>
    </row>
    <row r="142" spans="2:36" outlineLevel="1">
      <c r="B142" s="5" t="s">
        <v>24</v>
      </c>
      <c r="D142" s="234">
        <v>55025</v>
      </c>
      <c r="E142" s="234" t="s">
        <v>64</v>
      </c>
      <c r="F142" s="235"/>
      <c r="G142" s="3"/>
      <c r="H142" s="236"/>
      <c r="I142" s="6"/>
      <c r="J142" s="1078">
        <v>1260.33</v>
      </c>
      <c r="K142" s="1080"/>
      <c r="L142" s="1080">
        <v>471.18</v>
      </c>
      <c r="M142" s="1080"/>
      <c r="N142" s="1080">
        <v>366.89</v>
      </c>
      <c r="O142" s="1080"/>
      <c r="P142" s="1080">
        <v>335.52</v>
      </c>
      <c r="Q142" s="1080"/>
      <c r="R142" s="1080">
        <v>301.05</v>
      </c>
      <c r="S142" s="1080"/>
      <c r="T142" s="1080">
        <v>143.94999999999999</v>
      </c>
      <c r="U142" s="1080"/>
      <c r="V142" s="1080">
        <v>154.37</v>
      </c>
      <c r="W142" s="1080"/>
      <c r="X142" s="1080">
        <v>361.86</v>
      </c>
      <c r="Y142" s="1080"/>
      <c r="Z142" s="1080">
        <v>-44.58</v>
      </c>
      <c r="AA142" s="1080"/>
      <c r="AB142" s="1080">
        <v>437.07</v>
      </c>
      <c r="AC142" s="1080"/>
      <c r="AD142" s="1080">
        <v>-163.9</v>
      </c>
      <c r="AE142" s="1080"/>
      <c r="AF142" s="1080">
        <v>130.36000000000001</v>
      </c>
      <c r="AG142" s="1080"/>
      <c r="AH142" s="1081">
        <f t="shared" si="14"/>
        <v>3754.0999999999995</v>
      </c>
      <c r="AI142" s="8">
        <f t="shared" si="15"/>
        <v>1.8541950014302845E-4</v>
      </c>
      <c r="AJ142" s="9"/>
    </row>
    <row r="143" spans="2:36" outlineLevel="1">
      <c r="B143" s="5" t="s">
        <v>24</v>
      </c>
      <c r="D143" s="234">
        <v>55035</v>
      </c>
      <c r="E143" s="234" t="s">
        <v>65</v>
      </c>
      <c r="F143" s="235"/>
      <c r="G143" s="3"/>
      <c r="H143" s="236"/>
      <c r="I143" s="6"/>
      <c r="J143" s="1078">
        <v>0</v>
      </c>
      <c r="K143" s="1080"/>
      <c r="L143" s="1080">
        <v>0</v>
      </c>
      <c r="M143" s="1080"/>
      <c r="N143" s="1080">
        <v>0</v>
      </c>
      <c r="O143" s="1080"/>
      <c r="P143" s="1080">
        <v>0</v>
      </c>
      <c r="Q143" s="1080"/>
      <c r="R143" s="1080">
        <v>0</v>
      </c>
      <c r="S143" s="1080"/>
      <c r="T143" s="1080">
        <v>0</v>
      </c>
      <c r="U143" s="1080"/>
      <c r="V143" s="1080">
        <v>0</v>
      </c>
      <c r="W143" s="1080"/>
      <c r="X143" s="1080">
        <v>2468.96</v>
      </c>
      <c r="Y143" s="1080"/>
      <c r="Z143" s="1080">
        <v>0</v>
      </c>
      <c r="AA143" s="1080"/>
      <c r="AB143" s="1080">
        <v>0</v>
      </c>
      <c r="AC143" s="1080"/>
      <c r="AD143" s="1080">
        <v>0</v>
      </c>
      <c r="AE143" s="1080"/>
      <c r="AF143" s="1080">
        <v>0</v>
      </c>
      <c r="AG143" s="1080"/>
      <c r="AH143" s="1081">
        <f t="shared" si="14"/>
        <v>2468.96</v>
      </c>
      <c r="AI143" s="8">
        <f t="shared" si="15"/>
        <v>1.2194489466799809E-4</v>
      </c>
      <c r="AJ143" s="9"/>
    </row>
    <row r="144" spans="2:36" outlineLevel="1">
      <c r="B144" s="5" t="s">
        <v>24</v>
      </c>
      <c r="D144" s="234">
        <v>55036</v>
      </c>
      <c r="E144" s="234" t="s">
        <v>66</v>
      </c>
      <c r="F144" s="235"/>
      <c r="G144" s="3"/>
      <c r="H144" s="236"/>
      <c r="I144" s="6"/>
      <c r="J144" s="1078">
        <v>0</v>
      </c>
      <c r="K144" s="1080"/>
      <c r="L144" s="1080">
        <v>0</v>
      </c>
      <c r="M144" s="1080"/>
      <c r="N144" s="1080">
        <v>0</v>
      </c>
      <c r="O144" s="1080"/>
      <c r="P144" s="1080">
        <v>0</v>
      </c>
      <c r="Q144" s="1080"/>
      <c r="R144" s="1080">
        <v>0</v>
      </c>
      <c r="S144" s="1080"/>
      <c r="T144" s="1080">
        <v>0</v>
      </c>
      <c r="U144" s="1080"/>
      <c r="V144" s="1080">
        <v>0</v>
      </c>
      <c r="W144" s="1080"/>
      <c r="X144" s="1080">
        <v>0</v>
      </c>
      <c r="Y144" s="1080"/>
      <c r="Z144" s="1080">
        <v>0</v>
      </c>
      <c r="AA144" s="1080"/>
      <c r="AB144" s="1080">
        <v>557.22</v>
      </c>
      <c r="AC144" s="1080"/>
      <c r="AD144" s="1080">
        <v>-22.85</v>
      </c>
      <c r="AE144" s="1080"/>
      <c r="AF144" s="1080">
        <v>0</v>
      </c>
      <c r="AG144" s="1080"/>
      <c r="AH144" s="1081">
        <f t="shared" si="14"/>
        <v>534.37</v>
      </c>
      <c r="AI144" s="8">
        <f t="shared" si="15"/>
        <v>2.6393175006374399E-5</v>
      </c>
      <c r="AJ144" s="9"/>
    </row>
    <row r="145" spans="2:36" outlineLevel="1">
      <c r="B145" s="5" t="s">
        <v>24</v>
      </c>
      <c r="D145" s="234">
        <v>55045</v>
      </c>
      <c r="E145" s="234" t="s">
        <v>67</v>
      </c>
      <c r="F145" s="235"/>
      <c r="G145" s="3"/>
      <c r="H145" s="236"/>
      <c r="I145" s="6"/>
      <c r="J145" s="1078">
        <v>0</v>
      </c>
      <c r="K145" s="1080"/>
      <c r="L145" s="1080">
        <v>0</v>
      </c>
      <c r="M145" s="1080"/>
      <c r="N145" s="1080">
        <v>0</v>
      </c>
      <c r="O145" s="1080"/>
      <c r="P145" s="1080">
        <v>0</v>
      </c>
      <c r="Q145" s="1080"/>
      <c r="R145" s="1080">
        <v>0</v>
      </c>
      <c r="S145" s="1080"/>
      <c r="T145" s="1080">
        <v>0</v>
      </c>
      <c r="U145" s="1080"/>
      <c r="V145" s="1080">
        <v>0</v>
      </c>
      <c r="W145" s="1080"/>
      <c r="X145" s="1080">
        <v>0</v>
      </c>
      <c r="Y145" s="1080"/>
      <c r="Z145" s="1080">
        <v>0</v>
      </c>
      <c r="AA145" s="1080"/>
      <c r="AB145" s="1080">
        <v>0</v>
      </c>
      <c r="AC145" s="1080"/>
      <c r="AD145" s="1080">
        <v>3019.2</v>
      </c>
      <c r="AE145" s="1080"/>
      <c r="AF145" s="1080">
        <v>4057.5</v>
      </c>
      <c r="AG145" s="1080"/>
      <c r="AH145" s="1081">
        <f t="shared" si="14"/>
        <v>7076.7</v>
      </c>
      <c r="AI145" s="8">
        <f t="shared" si="15"/>
        <v>3.4952669792018585E-4</v>
      </c>
      <c r="AJ145" s="9"/>
    </row>
    <row r="146" spans="2:36" outlineLevel="1">
      <c r="B146" s="5" t="s">
        <v>24</v>
      </c>
      <c r="D146" s="234">
        <v>55050</v>
      </c>
      <c r="E146" s="234" t="s">
        <v>68</v>
      </c>
      <c r="F146" s="235"/>
      <c r="G146" s="3"/>
      <c r="H146" s="236"/>
      <c r="I146" s="6"/>
      <c r="J146" s="1078">
        <v>695.65</v>
      </c>
      <c r="K146" s="1080"/>
      <c r="L146" s="1080">
        <v>695.23</v>
      </c>
      <c r="M146" s="1080"/>
      <c r="N146" s="1080">
        <v>742.3</v>
      </c>
      <c r="O146" s="1080"/>
      <c r="P146" s="1080">
        <v>737.49</v>
      </c>
      <c r="Q146" s="1080"/>
      <c r="R146" s="1080">
        <v>739.12</v>
      </c>
      <c r="S146" s="1080"/>
      <c r="T146" s="1080">
        <v>715.69</v>
      </c>
      <c r="U146" s="1080"/>
      <c r="V146" s="1080">
        <v>664.23</v>
      </c>
      <c r="W146" s="1080"/>
      <c r="X146" s="1080">
        <v>929.67</v>
      </c>
      <c r="Y146" s="1080"/>
      <c r="Z146" s="1080">
        <v>672.83</v>
      </c>
      <c r="AA146" s="1080"/>
      <c r="AB146" s="1080">
        <v>835.9</v>
      </c>
      <c r="AC146" s="1080"/>
      <c r="AD146" s="1080">
        <v>268.68</v>
      </c>
      <c r="AE146" s="1080"/>
      <c r="AF146" s="1080">
        <v>693.76</v>
      </c>
      <c r="AG146" s="1080"/>
      <c r="AH146" s="1081">
        <f t="shared" si="14"/>
        <v>8390.5499999999993</v>
      </c>
      <c r="AI146" s="8">
        <f t="shared" si="15"/>
        <v>4.1441932471833134E-4</v>
      </c>
      <c r="AJ146" s="9"/>
    </row>
    <row r="147" spans="2:36" outlineLevel="1">
      <c r="B147" s="5" t="s">
        <v>24</v>
      </c>
      <c r="D147" s="234">
        <v>55060</v>
      </c>
      <c r="E147" s="234" t="s">
        <v>69</v>
      </c>
      <c r="F147" s="235"/>
      <c r="G147" s="3"/>
      <c r="H147" s="236"/>
      <c r="I147" s="6"/>
      <c r="J147" s="1078">
        <v>2217.58</v>
      </c>
      <c r="K147" s="1080"/>
      <c r="L147" s="1080">
        <v>2254.23</v>
      </c>
      <c r="M147" s="1080"/>
      <c r="N147" s="1080">
        <v>2324.5300000000002</v>
      </c>
      <c r="O147" s="1080"/>
      <c r="P147" s="1080">
        <v>2324.3200000000002</v>
      </c>
      <c r="Q147" s="1080"/>
      <c r="R147" s="1080">
        <v>2324.34</v>
      </c>
      <c r="S147" s="1080"/>
      <c r="T147" s="1080">
        <v>2309.9699999999998</v>
      </c>
      <c r="U147" s="1080"/>
      <c r="V147" s="1080">
        <v>2181.4699999999998</v>
      </c>
      <c r="W147" s="1080"/>
      <c r="X147" s="1080">
        <v>2325.04</v>
      </c>
      <c r="Y147" s="1080"/>
      <c r="Z147" s="1080">
        <v>2321.19</v>
      </c>
      <c r="AA147" s="1080"/>
      <c r="AB147" s="1080">
        <v>2423.06</v>
      </c>
      <c r="AC147" s="1080"/>
      <c r="AD147" s="1080">
        <v>1182.56</v>
      </c>
      <c r="AE147" s="1080"/>
      <c r="AF147" s="1080">
        <v>2303.3000000000002</v>
      </c>
      <c r="AG147" s="1080"/>
      <c r="AH147" s="1081">
        <f t="shared" si="14"/>
        <v>26491.589999999997</v>
      </c>
      <c r="AI147" s="8">
        <f t="shared" si="15"/>
        <v>1.3084513933550124E-3</v>
      </c>
      <c r="AJ147" s="9"/>
    </row>
    <row r="148" spans="2:36" outlineLevel="1">
      <c r="B148" s="5" t="s">
        <v>24</v>
      </c>
      <c r="D148" s="234">
        <v>55065</v>
      </c>
      <c r="E148" s="234" t="s">
        <v>70</v>
      </c>
      <c r="F148" s="235"/>
      <c r="G148" s="3"/>
      <c r="H148" s="236"/>
      <c r="I148" s="6"/>
      <c r="J148" s="1078">
        <v>370.54</v>
      </c>
      <c r="K148" s="1080"/>
      <c r="L148" s="1080">
        <v>502.89</v>
      </c>
      <c r="M148" s="1080"/>
      <c r="N148" s="1080">
        <v>383.34</v>
      </c>
      <c r="O148" s="1080"/>
      <c r="P148" s="1080">
        <v>22.14</v>
      </c>
      <c r="Q148" s="1080"/>
      <c r="R148" s="1080">
        <v>791.46</v>
      </c>
      <c r="S148" s="1080"/>
      <c r="T148" s="1080">
        <v>403.48</v>
      </c>
      <c r="U148" s="1080"/>
      <c r="V148" s="1080">
        <v>605.21</v>
      </c>
      <c r="W148" s="1080"/>
      <c r="X148" s="1080">
        <v>387.99</v>
      </c>
      <c r="Y148" s="1080"/>
      <c r="Z148" s="1080">
        <v>551.32000000000005</v>
      </c>
      <c r="AA148" s="1080"/>
      <c r="AB148" s="1080">
        <v>289.91000000000003</v>
      </c>
      <c r="AC148" s="1080"/>
      <c r="AD148" s="1080">
        <v>-14.77</v>
      </c>
      <c r="AE148" s="1080"/>
      <c r="AF148" s="1080">
        <v>729.6</v>
      </c>
      <c r="AG148" s="1080"/>
      <c r="AH148" s="1081">
        <f t="shared" si="14"/>
        <v>5023.1100000000006</v>
      </c>
      <c r="AI148" s="8">
        <f t="shared" si="15"/>
        <v>2.480974255782872E-4</v>
      </c>
      <c r="AJ148" s="9"/>
    </row>
    <row r="149" spans="2:36" outlineLevel="1">
      <c r="B149" s="5" t="s">
        <v>24</v>
      </c>
      <c r="D149" s="234">
        <v>55070</v>
      </c>
      <c r="E149" s="234" t="s">
        <v>71</v>
      </c>
      <c r="F149" s="235"/>
      <c r="G149" s="3"/>
      <c r="H149" s="236"/>
      <c r="I149" s="6"/>
      <c r="J149" s="1078">
        <v>330.16</v>
      </c>
      <c r="K149" s="1080"/>
      <c r="L149" s="1080">
        <v>0</v>
      </c>
      <c r="M149" s="1080"/>
      <c r="N149" s="1080">
        <v>508</v>
      </c>
      <c r="O149" s="1080"/>
      <c r="P149" s="1080">
        <v>-72</v>
      </c>
      <c r="Q149" s="1080"/>
      <c r="R149" s="1080">
        <v>364</v>
      </c>
      <c r="S149" s="1080"/>
      <c r="T149" s="1080">
        <v>0</v>
      </c>
      <c r="U149" s="1080"/>
      <c r="V149" s="1080">
        <v>392</v>
      </c>
      <c r="W149" s="1080"/>
      <c r="X149" s="1080">
        <v>192</v>
      </c>
      <c r="Y149" s="1080"/>
      <c r="Z149" s="1080">
        <v>449.25</v>
      </c>
      <c r="AA149" s="1080"/>
      <c r="AB149" s="1080">
        <v>-85.75</v>
      </c>
      <c r="AC149" s="1080"/>
      <c r="AD149" s="1080">
        <v>295.68</v>
      </c>
      <c r="AE149" s="1080"/>
      <c r="AF149" s="1080">
        <v>-110.88</v>
      </c>
      <c r="AG149" s="1080"/>
      <c r="AH149" s="1081">
        <f t="shared" si="14"/>
        <v>2262.46</v>
      </c>
      <c r="AI149" s="8">
        <f t="shared" si="15"/>
        <v>1.1174561207575618E-4</v>
      </c>
      <c r="AJ149" s="9"/>
    </row>
    <row r="150" spans="2:36" outlineLevel="1">
      <c r="B150" s="5" t="s">
        <v>24</v>
      </c>
      <c r="D150" s="234">
        <v>55115</v>
      </c>
      <c r="E150" s="234" t="s">
        <v>74</v>
      </c>
      <c r="F150" s="235"/>
      <c r="G150" s="3"/>
      <c r="H150" s="236"/>
      <c r="I150" s="6"/>
      <c r="J150" s="1078">
        <v>228.59</v>
      </c>
      <c r="K150" s="1080"/>
      <c r="L150" s="1080">
        <v>229.37</v>
      </c>
      <c r="M150" s="1080"/>
      <c r="N150" s="1080">
        <v>236.04</v>
      </c>
      <c r="O150" s="1080"/>
      <c r="P150" s="1080">
        <v>223.17</v>
      </c>
      <c r="Q150" s="1080"/>
      <c r="R150" s="1080">
        <v>238.17</v>
      </c>
      <c r="S150" s="1080"/>
      <c r="T150" s="1080">
        <v>237.98</v>
      </c>
      <c r="U150" s="1080"/>
      <c r="V150" s="1080">
        <v>203.94</v>
      </c>
      <c r="W150" s="1080"/>
      <c r="X150" s="1080">
        <v>324.51</v>
      </c>
      <c r="Y150" s="1080"/>
      <c r="Z150" s="1080">
        <v>213.38</v>
      </c>
      <c r="AA150" s="1080"/>
      <c r="AB150" s="1080">
        <v>250.45</v>
      </c>
      <c r="AC150" s="1080"/>
      <c r="AD150" s="1080">
        <v>-24.04</v>
      </c>
      <c r="AE150" s="1080"/>
      <c r="AF150" s="1080">
        <v>222.81</v>
      </c>
      <c r="AG150" s="1080"/>
      <c r="AH150" s="1081">
        <f t="shared" si="14"/>
        <v>2584.3700000000003</v>
      </c>
      <c r="AI150" s="8">
        <f t="shared" si="15"/>
        <v>1.2764513294388497E-4</v>
      </c>
      <c r="AJ150" s="9"/>
    </row>
    <row r="151" spans="2:36" outlineLevel="1">
      <c r="B151" s="5" t="s">
        <v>24</v>
      </c>
      <c r="D151" s="234">
        <v>55120</v>
      </c>
      <c r="E151" s="234" t="s">
        <v>80</v>
      </c>
      <c r="F151" s="235"/>
      <c r="G151" s="3"/>
      <c r="H151" s="236"/>
      <c r="I151" s="6"/>
      <c r="J151" s="1078">
        <v>20411.02</v>
      </c>
      <c r="K151" s="1080"/>
      <c r="L151" s="1080">
        <v>16452.89</v>
      </c>
      <c r="M151" s="1080"/>
      <c r="N151" s="1080">
        <v>10510.06</v>
      </c>
      <c r="O151" s="1080"/>
      <c r="P151" s="1080">
        <v>5142.4399999999996</v>
      </c>
      <c r="Q151" s="1080"/>
      <c r="R151" s="1080">
        <v>22498.17</v>
      </c>
      <c r="S151" s="1080"/>
      <c r="T151" s="1080">
        <v>19515.259999999998</v>
      </c>
      <c r="U151" s="1080"/>
      <c r="V151" s="1080">
        <v>2314.59</v>
      </c>
      <c r="W151" s="1080"/>
      <c r="X151" s="1080">
        <v>0</v>
      </c>
      <c r="Y151" s="1080"/>
      <c r="Z151" s="1080">
        <v>4223.57</v>
      </c>
      <c r="AA151" s="1080"/>
      <c r="AB151" s="1080">
        <v>643.78</v>
      </c>
      <c r="AC151" s="1080"/>
      <c r="AD151" s="1080">
        <v>9949.57</v>
      </c>
      <c r="AE151" s="1080"/>
      <c r="AF151" s="1080">
        <v>6251</v>
      </c>
      <c r="AG151" s="1080"/>
      <c r="AH151" s="1081">
        <f t="shared" si="14"/>
        <v>117912.34999999999</v>
      </c>
      <c r="AI151" s="8">
        <f t="shared" si="15"/>
        <v>5.8238323426892799E-3</v>
      </c>
      <c r="AJ151" s="9"/>
    </row>
    <row r="152" spans="2:36" outlineLevel="1">
      <c r="B152" s="5" t="s">
        <v>24</v>
      </c>
      <c r="D152" s="234">
        <v>55125</v>
      </c>
      <c r="E152" s="234" t="s">
        <v>81</v>
      </c>
      <c r="F152" s="235"/>
      <c r="G152" s="3"/>
      <c r="H152" s="236"/>
      <c r="I152" s="6"/>
      <c r="J152" s="1078">
        <v>2028.34</v>
      </c>
      <c r="K152" s="1080"/>
      <c r="L152" s="1080">
        <v>1380.19</v>
      </c>
      <c r="M152" s="1080"/>
      <c r="N152" s="1080">
        <v>1212.26</v>
      </c>
      <c r="O152" s="1080"/>
      <c r="P152" s="1080">
        <v>1840.86</v>
      </c>
      <c r="Q152" s="1080"/>
      <c r="R152" s="1080">
        <v>2619.8000000000002</v>
      </c>
      <c r="S152" s="1080"/>
      <c r="T152" s="1080">
        <v>2069.35</v>
      </c>
      <c r="U152" s="1080"/>
      <c r="V152" s="1080">
        <v>2130.2800000000002</v>
      </c>
      <c r="W152" s="1080"/>
      <c r="X152" s="1080">
        <v>1714.89</v>
      </c>
      <c r="Y152" s="1080"/>
      <c r="Z152" s="1080">
        <v>3787.76</v>
      </c>
      <c r="AA152" s="1080"/>
      <c r="AB152" s="1080">
        <v>1179.49</v>
      </c>
      <c r="AC152" s="1080"/>
      <c r="AD152" s="1080">
        <v>1966.12</v>
      </c>
      <c r="AE152" s="1080"/>
      <c r="AF152" s="1080">
        <v>1528.38</v>
      </c>
      <c r="AG152" s="1080"/>
      <c r="AH152" s="1081">
        <f t="shared" si="14"/>
        <v>23457.719999999998</v>
      </c>
      <c r="AI152" s="8">
        <f t="shared" si="15"/>
        <v>1.1586049164633658E-3</v>
      </c>
      <c r="AJ152" s="9"/>
    </row>
    <row r="153" spans="2:36" s="236" customFormat="1" ht="5.0999999999999996" customHeight="1" outlineLevel="1">
      <c r="B153" s="1" t="s">
        <v>17</v>
      </c>
      <c r="D153" s="235"/>
      <c r="E153" s="235"/>
      <c r="F153" s="235"/>
      <c r="G153" s="235"/>
      <c r="J153" s="1106"/>
      <c r="K153" s="1105"/>
      <c r="L153" s="1107"/>
      <c r="M153" s="1105"/>
      <c r="N153" s="1107"/>
      <c r="O153" s="1105"/>
      <c r="P153" s="1107"/>
      <c r="Q153" s="1105"/>
      <c r="R153" s="1107"/>
      <c r="S153" s="1105"/>
      <c r="T153" s="1107"/>
      <c r="U153" s="1105"/>
      <c r="V153" s="1107"/>
      <c r="W153" s="1105"/>
      <c r="X153" s="1107"/>
      <c r="Y153" s="1105"/>
      <c r="Z153" s="1107"/>
      <c r="AA153" s="1105"/>
      <c r="AB153" s="1107"/>
      <c r="AC153" s="1105"/>
      <c r="AD153" s="1107"/>
      <c r="AE153" s="1105"/>
      <c r="AF153" s="1107"/>
      <c r="AG153" s="1105"/>
      <c r="AH153" s="1108"/>
      <c r="AI153" s="31"/>
      <c r="AJ153" s="14"/>
    </row>
    <row r="154" spans="2:36" s="236" customFormat="1" ht="15">
      <c r="B154" s="1"/>
      <c r="F154" s="235" t="s">
        <v>97</v>
      </c>
      <c r="J154" s="1085">
        <f>SUM(J140:J153)</f>
        <v>34635.18</v>
      </c>
      <c r="K154" s="1105"/>
      <c r="L154" s="1086">
        <f>SUM(L140:L153)</f>
        <v>29907.379999999997</v>
      </c>
      <c r="M154" s="1105"/>
      <c r="N154" s="1086">
        <f>SUM(N140:N153)</f>
        <v>24044.43</v>
      </c>
      <c r="O154" s="1105"/>
      <c r="P154" s="1086">
        <f>SUM(P140:P153)</f>
        <v>18120.689999999999</v>
      </c>
      <c r="Q154" s="1105"/>
      <c r="R154" s="1086">
        <f>SUM(R140:R153)</f>
        <v>37501.450000000004</v>
      </c>
      <c r="S154" s="1105"/>
      <c r="T154" s="1086">
        <f>SUM(T140:T153)</f>
        <v>33793.659999999996</v>
      </c>
      <c r="U154" s="1105"/>
      <c r="V154" s="1086">
        <f>SUM(V140:V153)</f>
        <v>16570.990000000002</v>
      </c>
      <c r="W154" s="1105"/>
      <c r="X154" s="1086">
        <f>SUM(X140:X153)</f>
        <v>16932.419999999998</v>
      </c>
      <c r="Y154" s="1105"/>
      <c r="Z154" s="1086">
        <f>SUM(Z140:Z153)</f>
        <v>20083.37</v>
      </c>
      <c r="AA154" s="1105"/>
      <c r="AB154" s="1086">
        <f>SUM(AB140:AB153)</f>
        <v>13424.130000000001</v>
      </c>
      <c r="AC154" s="1105"/>
      <c r="AD154" s="1086">
        <f>SUM(AD140:AD153)</f>
        <v>19747.89</v>
      </c>
      <c r="AE154" s="1105"/>
      <c r="AF154" s="1086">
        <f>SUM(AF140:AF153)</f>
        <v>23667.600000000002</v>
      </c>
      <c r="AG154" s="1105"/>
      <c r="AH154" s="1087">
        <f>SUM(AH140:AH153)</f>
        <v>288429.18999999994</v>
      </c>
      <c r="AI154" s="8">
        <f>IF(AH$58=0,0,AH154/AH$58)</f>
        <v>1.424586351894158E-2</v>
      </c>
      <c r="AJ154" s="14"/>
    </row>
    <row r="155" spans="2:36" s="236" customFormat="1" ht="15" outlineLevel="1">
      <c r="B155" s="1"/>
      <c r="J155" s="1085"/>
      <c r="K155" s="1105"/>
      <c r="L155" s="1086"/>
      <c r="M155" s="1105"/>
      <c r="N155" s="1086"/>
      <c r="O155" s="1105"/>
      <c r="P155" s="1086"/>
      <c r="Q155" s="1105"/>
      <c r="R155" s="1086"/>
      <c r="S155" s="1105"/>
      <c r="T155" s="1086"/>
      <c r="U155" s="1105"/>
      <c r="V155" s="1086"/>
      <c r="W155" s="1105"/>
      <c r="X155" s="1086"/>
      <c r="Y155" s="1105"/>
      <c r="Z155" s="1086"/>
      <c r="AA155" s="1105"/>
      <c r="AB155" s="1086"/>
      <c r="AC155" s="1105"/>
      <c r="AD155" s="1086"/>
      <c r="AE155" s="1105"/>
      <c r="AF155" s="1086"/>
      <c r="AG155" s="1105"/>
      <c r="AH155" s="1087"/>
      <c r="AI155" s="31"/>
      <c r="AJ155" s="14"/>
    </row>
    <row r="156" spans="2:36" s="236" customFormat="1" ht="15" outlineLevel="1">
      <c r="B156" s="1" t="s">
        <v>17</v>
      </c>
      <c r="J156" s="1085"/>
      <c r="K156" s="1105"/>
      <c r="L156" s="1086"/>
      <c r="M156" s="1105"/>
      <c r="N156" s="1086"/>
      <c r="O156" s="1105"/>
      <c r="P156" s="1086"/>
      <c r="Q156" s="1105"/>
      <c r="R156" s="1086"/>
      <c r="S156" s="1105"/>
      <c r="T156" s="1086"/>
      <c r="U156" s="1105"/>
      <c r="V156" s="1086"/>
      <c r="W156" s="1105"/>
      <c r="X156" s="1086"/>
      <c r="Y156" s="1105"/>
      <c r="Z156" s="1086"/>
      <c r="AA156" s="1105"/>
      <c r="AB156" s="1086"/>
      <c r="AC156" s="1105"/>
      <c r="AD156" s="1086"/>
      <c r="AE156" s="1105"/>
      <c r="AF156" s="1086"/>
      <c r="AG156" s="1105"/>
      <c r="AH156" s="1087"/>
      <c r="AI156" s="31"/>
      <c r="AJ156" s="14"/>
    </row>
    <row r="157" spans="2:36" outlineLevel="1">
      <c r="B157" s="5" t="s">
        <v>98</v>
      </c>
      <c r="D157" s="234">
        <v>56010</v>
      </c>
      <c r="E157" s="234" t="s">
        <v>62</v>
      </c>
      <c r="F157" s="235"/>
      <c r="G157" s="3"/>
      <c r="H157" s="236"/>
      <c r="I157" s="6"/>
      <c r="J157" s="1078">
        <v>20513.61</v>
      </c>
      <c r="K157" s="1080"/>
      <c r="L157" s="1080">
        <v>20967.47</v>
      </c>
      <c r="M157" s="1080"/>
      <c r="N157" s="1080">
        <v>21825.43</v>
      </c>
      <c r="O157" s="1080"/>
      <c r="P157" s="1080">
        <v>21825.43</v>
      </c>
      <c r="Q157" s="1080"/>
      <c r="R157" s="1080">
        <v>19479.75</v>
      </c>
      <c r="S157" s="1080"/>
      <c r="T157" s="1080">
        <v>16748.52</v>
      </c>
      <c r="U157" s="1080"/>
      <c r="V157" s="1080">
        <v>15696.14</v>
      </c>
      <c r="W157" s="1080"/>
      <c r="X157" s="1080">
        <v>21675.61</v>
      </c>
      <c r="Y157" s="1080"/>
      <c r="Z157" s="1080">
        <v>22530.31</v>
      </c>
      <c r="AA157" s="1080"/>
      <c r="AB157" s="1080">
        <v>17875.66</v>
      </c>
      <c r="AC157" s="1080"/>
      <c r="AD157" s="1080">
        <v>17024.439999999999</v>
      </c>
      <c r="AE157" s="1080"/>
      <c r="AF157" s="1080">
        <v>19578.099999999999</v>
      </c>
      <c r="AG157" s="1080"/>
      <c r="AH157" s="1081">
        <f t="shared" ref="AH157:AH166" si="16">AF157+AD157+AB157+Z157+X157+V157+T157+R157+P157+N157+L157+J157</f>
        <v>235740.46999999997</v>
      </c>
      <c r="AI157" s="8">
        <f t="shared" ref="AI157:AI166" si="17">IF(AH$58=0,0,AH157/AH$58)</f>
        <v>1.1643504464687301E-2</v>
      </c>
      <c r="AJ157" s="9"/>
    </row>
    <row r="158" spans="2:36" outlineLevel="1">
      <c r="B158" s="5" t="s">
        <v>24</v>
      </c>
      <c r="D158" s="234">
        <v>56036</v>
      </c>
      <c r="E158" s="234" t="s">
        <v>66</v>
      </c>
      <c r="F158" s="235"/>
      <c r="G158" s="3"/>
      <c r="H158" s="236"/>
      <c r="I158" s="6"/>
      <c r="J158" s="1078">
        <v>0</v>
      </c>
      <c r="K158" s="1080"/>
      <c r="L158" s="1080">
        <v>0</v>
      </c>
      <c r="M158" s="1080"/>
      <c r="N158" s="1080">
        <v>0</v>
      </c>
      <c r="O158" s="1080"/>
      <c r="P158" s="1080">
        <v>0</v>
      </c>
      <c r="Q158" s="1080"/>
      <c r="R158" s="1080">
        <v>0</v>
      </c>
      <c r="S158" s="1080"/>
      <c r="T158" s="1080">
        <v>400</v>
      </c>
      <c r="U158" s="1080"/>
      <c r="V158" s="1080">
        <v>0</v>
      </c>
      <c r="W158" s="1080"/>
      <c r="X158" s="1080">
        <v>0</v>
      </c>
      <c r="Y158" s="1080"/>
      <c r="Z158" s="1080">
        <v>0</v>
      </c>
      <c r="AA158" s="1080"/>
      <c r="AB158" s="1080">
        <v>1575</v>
      </c>
      <c r="AC158" s="1080"/>
      <c r="AD158" s="1080">
        <v>0</v>
      </c>
      <c r="AE158" s="1080"/>
      <c r="AF158" s="1080">
        <v>0</v>
      </c>
      <c r="AG158" s="1080"/>
      <c r="AH158" s="1081">
        <f t="shared" si="16"/>
        <v>1975</v>
      </c>
      <c r="AI158" s="8">
        <f t="shared" si="17"/>
        <v>9.7547618012967495E-5</v>
      </c>
      <c r="AJ158" s="9"/>
    </row>
    <row r="159" spans="2:36" outlineLevel="1">
      <c r="B159" s="5" t="s">
        <v>24</v>
      </c>
      <c r="D159" s="234">
        <v>56050</v>
      </c>
      <c r="E159" s="234" t="s">
        <v>68</v>
      </c>
      <c r="F159" s="235"/>
      <c r="G159" s="3"/>
      <c r="H159" s="236"/>
      <c r="I159" s="6"/>
      <c r="J159" s="1078">
        <v>1417.69</v>
      </c>
      <c r="K159" s="1080"/>
      <c r="L159" s="1080">
        <v>1477.93</v>
      </c>
      <c r="M159" s="1080"/>
      <c r="N159" s="1080">
        <v>1491.09</v>
      </c>
      <c r="O159" s="1080"/>
      <c r="P159" s="1080">
        <v>1478.9</v>
      </c>
      <c r="Q159" s="1080"/>
      <c r="R159" s="1080">
        <v>1276.01</v>
      </c>
      <c r="S159" s="1080"/>
      <c r="T159" s="1080">
        <v>1112.83</v>
      </c>
      <c r="U159" s="1080"/>
      <c r="V159" s="1080">
        <v>873.43</v>
      </c>
      <c r="W159" s="1080"/>
      <c r="X159" s="1080">
        <v>1459.74</v>
      </c>
      <c r="Y159" s="1080"/>
      <c r="Z159" s="1080">
        <v>1470.69</v>
      </c>
      <c r="AA159" s="1080"/>
      <c r="AB159" s="1080">
        <v>1622.44</v>
      </c>
      <c r="AC159" s="1080"/>
      <c r="AD159" s="1080">
        <v>1356.2</v>
      </c>
      <c r="AE159" s="1080"/>
      <c r="AF159" s="1080">
        <v>1569.22</v>
      </c>
      <c r="AG159" s="1080"/>
      <c r="AH159" s="1081">
        <f t="shared" si="16"/>
        <v>16606.170000000002</v>
      </c>
      <c r="AI159" s="8">
        <f t="shared" si="17"/>
        <v>8.2019864699665857E-4</v>
      </c>
      <c r="AJ159" s="9"/>
    </row>
    <row r="160" spans="2:36" outlineLevel="1">
      <c r="B160" s="5" t="s">
        <v>24</v>
      </c>
      <c r="D160" s="234">
        <v>56060</v>
      </c>
      <c r="E160" s="234" t="s">
        <v>69</v>
      </c>
      <c r="F160" s="235"/>
      <c r="G160" s="3"/>
      <c r="H160" s="236"/>
      <c r="I160" s="6"/>
      <c r="J160" s="1078">
        <v>2851.88</v>
      </c>
      <c r="K160" s="1080"/>
      <c r="L160" s="1080">
        <v>2952.38</v>
      </c>
      <c r="M160" s="1080"/>
      <c r="N160" s="1080">
        <v>2903.51</v>
      </c>
      <c r="O160" s="1080"/>
      <c r="P160" s="1080">
        <v>2903.36</v>
      </c>
      <c r="Q160" s="1080"/>
      <c r="R160" s="1080">
        <v>2888.58</v>
      </c>
      <c r="S160" s="1080"/>
      <c r="T160" s="1080">
        <v>1893.7</v>
      </c>
      <c r="U160" s="1080"/>
      <c r="V160" s="1080">
        <v>1560.02</v>
      </c>
      <c r="W160" s="1080"/>
      <c r="X160" s="1080">
        <v>3214.58</v>
      </c>
      <c r="Y160" s="1080"/>
      <c r="Z160" s="1080">
        <v>3214.58</v>
      </c>
      <c r="AA160" s="1080"/>
      <c r="AB160" s="1080">
        <v>3226.75</v>
      </c>
      <c r="AC160" s="1080"/>
      <c r="AD160" s="1080">
        <v>3226.63</v>
      </c>
      <c r="AE160" s="1080"/>
      <c r="AF160" s="1080">
        <v>3227.63</v>
      </c>
      <c r="AG160" s="1080"/>
      <c r="AH160" s="1081">
        <f t="shared" si="16"/>
        <v>34063.600000000006</v>
      </c>
      <c r="AI160" s="8">
        <f t="shared" si="17"/>
        <v>1.682442046048871E-3</v>
      </c>
      <c r="AJ160" s="9"/>
    </row>
    <row r="161" spans="2:36" outlineLevel="1">
      <c r="B161" s="5" t="s">
        <v>24</v>
      </c>
      <c r="D161" s="234">
        <v>56086</v>
      </c>
      <c r="E161" s="234" t="s">
        <v>72</v>
      </c>
      <c r="F161" s="235"/>
      <c r="G161" s="3"/>
      <c r="H161" s="236"/>
      <c r="I161" s="6"/>
      <c r="J161" s="1078">
        <v>0</v>
      </c>
      <c r="K161" s="1080"/>
      <c r="L161" s="1080">
        <v>0</v>
      </c>
      <c r="M161" s="1080"/>
      <c r="N161" s="1080">
        <v>0</v>
      </c>
      <c r="O161" s="1080"/>
      <c r="P161" s="1080">
        <v>0</v>
      </c>
      <c r="Q161" s="1080"/>
      <c r="R161" s="1080">
        <v>0</v>
      </c>
      <c r="S161" s="1080"/>
      <c r="T161" s="1080">
        <v>0</v>
      </c>
      <c r="U161" s="1080"/>
      <c r="V161" s="1080">
        <v>0</v>
      </c>
      <c r="W161" s="1080"/>
      <c r="X161" s="1080">
        <v>0</v>
      </c>
      <c r="Y161" s="1080"/>
      <c r="Z161" s="1080">
        <v>0</v>
      </c>
      <c r="AA161" s="1080"/>
      <c r="AB161" s="1080">
        <v>3203.95</v>
      </c>
      <c r="AC161" s="1080"/>
      <c r="AD161" s="1080">
        <v>0</v>
      </c>
      <c r="AE161" s="1080"/>
      <c r="AF161" s="1080">
        <v>0</v>
      </c>
      <c r="AG161" s="1080"/>
      <c r="AH161" s="1081">
        <f t="shared" si="16"/>
        <v>3203.95</v>
      </c>
      <c r="AI161" s="8">
        <f t="shared" si="17"/>
        <v>1.5824693201653021E-4</v>
      </c>
      <c r="AJ161" s="9"/>
    </row>
    <row r="162" spans="2:36" outlineLevel="1">
      <c r="B162" s="5" t="s">
        <v>24</v>
      </c>
      <c r="D162" s="234">
        <v>56090</v>
      </c>
      <c r="E162" s="234" t="s">
        <v>73</v>
      </c>
      <c r="F162" s="235"/>
      <c r="G162" s="3"/>
      <c r="H162" s="236"/>
      <c r="I162" s="6"/>
      <c r="J162" s="1078">
        <v>0</v>
      </c>
      <c r="K162" s="1080"/>
      <c r="L162" s="1080">
        <v>0</v>
      </c>
      <c r="M162" s="1080"/>
      <c r="N162" s="1080">
        <v>0</v>
      </c>
      <c r="O162" s="1080"/>
      <c r="P162" s="1080">
        <v>0</v>
      </c>
      <c r="Q162" s="1080"/>
      <c r="R162" s="1080">
        <v>0</v>
      </c>
      <c r="S162" s="1080"/>
      <c r="T162" s="1080">
        <v>0</v>
      </c>
      <c r="U162" s="1080"/>
      <c r="V162" s="1080">
        <v>0</v>
      </c>
      <c r="W162" s="1080"/>
      <c r="X162" s="1080">
        <v>207.7</v>
      </c>
      <c r="Y162" s="1080"/>
      <c r="Z162" s="1080">
        <v>0</v>
      </c>
      <c r="AA162" s="1080"/>
      <c r="AB162" s="1080">
        <v>0</v>
      </c>
      <c r="AC162" s="1080"/>
      <c r="AD162" s="1080">
        <v>0</v>
      </c>
      <c r="AE162" s="1080"/>
      <c r="AF162" s="1080">
        <v>0</v>
      </c>
      <c r="AG162" s="1080"/>
      <c r="AH162" s="1081">
        <f t="shared" si="16"/>
        <v>207.7</v>
      </c>
      <c r="AI162" s="8">
        <f t="shared" si="17"/>
        <v>1.0258552031034607E-5</v>
      </c>
      <c r="AJ162" s="9"/>
    </row>
    <row r="163" spans="2:36" outlineLevel="1">
      <c r="B163" s="5" t="s">
        <v>24</v>
      </c>
      <c r="D163" s="234">
        <v>56115</v>
      </c>
      <c r="E163" s="234" t="s">
        <v>74</v>
      </c>
      <c r="F163" s="235"/>
      <c r="G163" s="3"/>
      <c r="H163" s="236"/>
      <c r="I163" s="6"/>
      <c r="J163" s="1078">
        <v>809.63</v>
      </c>
      <c r="K163" s="1080"/>
      <c r="L163" s="1080">
        <v>841.09</v>
      </c>
      <c r="M163" s="1080"/>
      <c r="N163" s="1080">
        <v>881.15</v>
      </c>
      <c r="O163" s="1080"/>
      <c r="P163" s="1080">
        <v>881.15</v>
      </c>
      <c r="Q163" s="1080"/>
      <c r="R163" s="1080">
        <v>763.85</v>
      </c>
      <c r="S163" s="1080"/>
      <c r="T163" s="1080">
        <v>529.27</v>
      </c>
      <c r="U163" s="1080"/>
      <c r="V163" s="1080">
        <v>551.30999999999995</v>
      </c>
      <c r="W163" s="1080"/>
      <c r="X163" s="1080">
        <v>583.34</v>
      </c>
      <c r="Y163" s="1080"/>
      <c r="Z163" s="1080">
        <v>598.04999999999995</v>
      </c>
      <c r="AA163" s="1080"/>
      <c r="AB163" s="1080">
        <v>918.82</v>
      </c>
      <c r="AC163" s="1080"/>
      <c r="AD163" s="1080">
        <v>794.3</v>
      </c>
      <c r="AE163" s="1080"/>
      <c r="AF163" s="1080">
        <v>913.45</v>
      </c>
      <c r="AG163" s="1080"/>
      <c r="AH163" s="1081">
        <f t="shared" si="16"/>
        <v>9065.41</v>
      </c>
      <c r="AI163" s="8">
        <f t="shared" si="17"/>
        <v>4.4775146927135981E-4</v>
      </c>
      <c r="AJ163" s="9"/>
    </row>
    <row r="164" spans="2:36" outlineLevel="1">
      <c r="B164" s="5" t="s">
        <v>24</v>
      </c>
      <c r="D164" s="234">
        <v>56125</v>
      </c>
      <c r="E164" s="234" t="s">
        <v>81</v>
      </c>
      <c r="F164" s="235"/>
      <c r="G164" s="3"/>
      <c r="H164" s="236"/>
      <c r="I164" s="6"/>
      <c r="J164" s="1078">
        <v>0</v>
      </c>
      <c r="K164" s="1080"/>
      <c r="L164" s="1080">
        <v>0</v>
      </c>
      <c r="M164" s="1080"/>
      <c r="N164" s="1080">
        <v>0</v>
      </c>
      <c r="O164" s="1080"/>
      <c r="P164" s="1080">
        <v>0</v>
      </c>
      <c r="Q164" s="1080"/>
      <c r="R164" s="1080">
        <v>0</v>
      </c>
      <c r="S164" s="1080"/>
      <c r="T164" s="1080">
        <v>0</v>
      </c>
      <c r="U164" s="1080"/>
      <c r="V164" s="1080">
        <v>0</v>
      </c>
      <c r="W164" s="1080"/>
      <c r="X164" s="1080">
        <v>20.81</v>
      </c>
      <c r="Y164" s="1080"/>
      <c r="Z164" s="1080">
        <v>0</v>
      </c>
      <c r="AA164" s="1080"/>
      <c r="AB164" s="1080">
        <v>0</v>
      </c>
      <c r="AC164" s="1080"/>
      <c r="AD164" s="1080">
        <v>0</v>
      </c>
      <c r="AE164" s="1080"/>
      <c r="AF164" s="1080">
        <v>0</v>
      </c>
      <c r="AG164" s="1080"/>
      <c r="AH164" s="1081">
        <f t="shared" si="16"/>
        <v>20.81</v>
      </c>
      <c r="AI164" s="8">
        <f t="shared" si="17"/>
        <v>1.027830851063217E-6</v>
      </c>
      <c r="AJ164" s="9"/>
    </row>
    <row r="165" spans="2:36" outlineLevel="1">
      <c r="B165" s="5" t="s">
        <v>24</v>
      </c>
      <c r="D165" s="234">
        <v>56165</v>
      </c>
      <c r="E165" s="234" t="s">
        <v>89</v>
      </c>
      <c r="F165" s="235"/>
      <c r="G165" s="3"/>
      <c r="H165" s="236"/>
      <c r="I165" s="6"/>
      <c r="J165" s="1078">
        <v>0</v>
      </c>
      <c r="K165" s="1080"/>
      <c r="L165" s="1080">
        <v>0</v>
      </c>
      <c r="M165" s="1080"/>
      <c r="N165" s="1080">
        <v>0</v>
      </c>
      <c r="O165" s="1080"/>
      <c r="P165" s="1080">
        <v>0</v>
      </c>
      <c r="Q165" s="1080"/>
      <c r="R165" s="1080">
        <v>0</v>
      </c>
      <c r="S165" s="1080"/>
      <c r="T165" s="1080">
        <v>0</v>
      </c>
      <c r="U165" s="1080"/>
      <c r="V165" s="1080">
        <v>0</v>
      </c>
      <c r="W165" s="1080"/>
      <c r="X165" s="1080">
        <v>60</v>
      </c>
      <c r="Y165" s="1080"/>
      <c r="Z165" s="1080">
        <v>0</v>
      </c>
      <c r="AA165" s="1080"/>
      <c r="AB165" s="1080">
        <v>0</v>
      </c>
      <c r="AC165" s="1080"/>
      <c r="AD165" s="1080">
        <v>0</v>
      </c>
      <c r="AE165" s="1080"/>
      <c r="AF165" s="1080">
        <v>0</v>
      </c>
      <c r="AG165" s="1080"/>
      <c r="AH165" s="1081">
        <f t="shared" si="16"/>
        <v>60</v>
      </c>
      <c r="AI165" s="8">
        <f t="shared" si="17"/>
        <v>2.9634719396344557E-6</v>
      </c>
      <c r="AJ165" s="9"/>
    </row>
    <row r="166" spans="2:36" outlineLevel="1">
      <c r="B166" s="5" t="s">
        <v>24</v>
      </c>
      <c r="D166" s="234">
        <v>56201</v>
      </c>
      <c r="E166" s="234" t="s">
        <v>2012</v>
      </c>
      <c r="F166" s="235"/>
      <c r="G166" s="3"/>
      <c r="H166" s="236"/>
      <c r="I166" s="6"/>
      <c r="J166" s="1078">
        <v>0</v>
      </c>
      <c r="K166" s="1080"/>
      <c r="L166" s="1080">
        <v>0</v>
      </c>
      <c r="M166" s="1080"/>
      <c r="N166" s="1080">
        <v>0</v>
      </c>
      <c r="O166" s="1080"/>
      <c r="P166" s="1080">
        <v>0</v>
      </c>
      <c r="Q166" s="1080"/>
      <c r="R166" s="1080">
        <v>25.67</v>
      </c>
      <c r="S166" s="1080"/>
      <c r="T166" s="1080">
        <v>5.3</v>
      </c>
      <c r="U166" s="1080"/>
      <c r="V166" s="1080">
        <v>31.71</v>
      </c>
      <c r="W166" s="1080"/>
      <c r="X166" s="1080">
        <v>27</v>
      </c>
      <c r="Y166" s="1080"/>
      <c r="Z166" s="1080">
        <v>38.479999999999997</v>
      </c>
      <c r="AA166" s="1080"/>
      <c r="AB166" s="1080">
        <v>0</v>
      </c>
      <c r="AC166" s="1080"/>
      <c r="AD166" s="1080">
        <v>33.840000000000003</v>
      </c>
      <c r="AE166" s="1080"/>
      <c r="AF166" s="1080">
        <v>48.47</v>
      </c>
      <c r="AG166" s="1080"/>
      <c r="AH166" s="1081">
        <f t="shared" si="16"/>
        <v>210.47000000000003</v>
      </c>
      <c r="AI166" s="8">
        <f t="shared" si="17"/>
        <v>1.0395365652247733E-5</v>
      </c>
      <c r="AJ166" s="9"/>
    </row>
    <row r="167" spans="2:36" s="236" customFormat="1" ht="5.0999999999999996" customHeight="1" outlineLevel="1">
      <c r="B167" s="1" t="s">
        <v>17</v>
      </c>
      <c r="D167" s="235"/>
      <c r="E167" s="235"/>
      <c r="F167" s="235"/>
      <c r="G167" s="235"/>
      <c r="J167" s="1106"/>
      <c r="K167" s="1105"/>
      <c r="L167" s="1107"/>
      <c r="M167" s="1105"/>
      <c r="N167" s="1107"/>
      <c r="O167" s="1105"/>
      <c r="P167" s="1107"/>
      <c r="Q167" s="1105"/>
      <c r="R167" s="1107"/>
      <c r="S167" s="1105"/>
      <c r="T167" s="1107"/>
      <c r="U167" s="1105"/>
      <c r="V167" s="1107"/>
      <c r="W167" s="1105"/>
      <c r="X167" s="1107"/>
      <c r="Y167" s="1105"/>
      <c r="Z167" s="1107"/>
      <c r="AA167" s="1105"/>
      <c r="AB167" s="1107"/>
      <c r="AC167" s="1105"/>
      <c r="AD167" s="1107"/>
      <c r="AE167" s="1105"/>
      <c r="AF167" s="1107"/>
      <c r="AG167" s="1105"/>
      <c r="AH167" s="1108"/>
      <c r="AI167" s="31"/>
      <c r="AJ167" s="14"/>
    </row>
    <row r="168" spans="2:36" s="236" customFormat="1" ht="15">
      <c r="B168" s="1" t="s">
        <v>17</v>
      </c>
      <c r="F168" s="235" t="s">
        <v>101</v>
      </c>
      <c r="J168" s="1085">
        <f>SUM(J156:J167)</f>
        <v>25592.81</v>
      </c>
      <c r="K168" s="1105"/>
      <c r="L168" s="1086">
        <f>SUM(L156:L167)</f>
        <v>26238.870000000003</v>
      </c>
      <c r="M168" s="1105"/>
      <c r="N168" s="1086">
        <f>SUM(N156:N167)</f>
        <v>27101.18</v>
      </c>
      <c r="O168" s="1105"/>
      <c r="P168" s="1086">
        <f>SUM(P156:P167)</f>
        <v>27088.840000000004</v>
      </c>
      <c r="Q168" s="1105"/>
      <c r="R168" s="1086">
        <f>SUM(R156:R167)</f>
        <v>24433.859999999993</v>
      </c>
      <c r="S168" s="1105"/>
      <c r="T168" s="1086">
        <f>SUM(T156:T167)</f>
        <v>20689.62</v>
      </c>
      <c r="U168" s="1105"/>
      <c r="V168" s="1086">
        <f>SUM(V156:V167)</f>
        <v>18712.61</v>
      </c>
      <c r="W168" s="1105"/>
      <c r="X168" s="1086">
        <f>SUM(X156:X167)</f>
        <v>27248.780000000002</v>
      </c>
      <c r="Y168" s="1105"/>
      <c r="Z168" s="1086">
        <f>SUM(Z156:Z167)</f>
        <v>27852.11</v>
      </c>
      <c r="AA168" s="1105"/>
      <c r="AB168" s="1086">
        <f>SUM(AB156:AB167)</f>
        <v>28422.62</v>
      </c>
      <c r="AC168" s="1105"/>
      <c r="AD168" s="1086">
        <f>SUM(AD156:AD167)</f>
        <v>22435.41</v>
      </c>
      <c r="AE168" s="1105"/>
      <c r="AF168" s="1086">
        <f>SUM(AF156:AF167)</f>
        <v>25336.870000000003</v>
      </c>
      <c r="AG168" s="1105"/>
      <c r="AH168" s="1087">
        <f>SUM(AH156:AH167)</f>
        <v>301153.57999999996</v>
      </c>
      <c r="AI168" s="8">
        <f>IF(AH$58=0,0,AH168/AH$58)</f>
        <v>1.4874336397507668E-2</v>
      </c>
      <c r="AJ168" s="14"/>
    </row>
    <row r="169" spans="2:36" s="236" customFormat="1" ht="15" outlineLevel="1">
      <c r="B169" s="1"/>
      <c r="J169" s="1085"/>
      <c r="K169" s="1105"/>
      <c r="L169" s="1086"/>
      <c r="M169" s="1105"/>
      <c r="N169" s="1086"/>
      <c r="O169" s="1105"/>
      <c r="P169" s="1086"/>
      <c r="Q169" s="1105"/>
      <c r="R169" s="1086"/>
      <c r="S169" s="1105"/>
      <c r="T169" s="1086"/>
      <c r="U169" s="1105"/>
      <c r="V169" s="1086"/>
      <c r="W169" s="1105"/>
      <c r="X169" s="1086"/>
      <c r="Y169" s="1105"/>
      <c r="Z169" s="1086"/>
      <c r="AA169" s="1105"/>
      <c r="AB169" s="1086"/>
      <c r="AC169" s="1105"/>
      <c r="AD169" s="1086"/>
      <c r="AE169" s="1105"/>
      <c r="AF169" s="1086"/>
      <c r="AG169" s="1105"/>
      <c r="AH169" s="1087"/>
      <c r="AI169" s="31"/>
      <c r="AJ169" s="14"/>
    </row>
    <row r="170" spans="2:36" s="236" customFormat="1" ht="15" outlineLevel="1">
      <c r="B170" s="1" t="s">
        <v>17</v>
      </c>
      <c r="J170" s="1085"/>
      <c r="K170" s="1105"/>
      <c r="L170" s="1086"/>
      <c r="M170" s="1105"/>
      <c r="N170" s="1086"/>
      <c r="O170" s="1105"/>
      <c r="P170" s="1086"/>
      <c r="Q170" s="1105"/>
      <c r="R170" s="1086"/>
      <c r="S170" s="1105"/>
      <c r="T170" s="1086"/>
      <c r="U170" s="1105"/>
      <c r="V170" s="1086"/>
      <c r="W170" s="1105"/>
      <c r="X170" s="1086"/>
      <c r="Y170" s="1105"/>
      <c r="Z170" s="1086"/>
      <c r="AA170" s="1105"/>
      <c r="AB170" s="1086"/>
      <c r="AC170" s="1105"/>
      <c r="AD170" s="1086"/>
      <c r="AE170" s="1105"/>
      <c r="AF170" s="1086"/>
      <c r="AG170" s="1105"/>
      <c r="AH170" s="1087"/>
      <c r="AI170" s="31"/>
      <c r="AJ170" s="14"/>
    </row>
    <row r="171" spans="2:36" outlineLevel="1">
      <c r="B171" s="5" t="s">
        <v>102</v>
      </c>
      <c r="D171" s="234">
        <v>57125</v>
      </c>
      <c r="E171" s="234" t="s">
        <v>81</v>
      </c>
      <c r="F171" s="235"/>
      <c r="G171" s="3"/>
      <c r="H171" s="236"/>
      <c r="I171" s="6"/>
      <c r="J171" s="1078">
        <v>506.39</v>
      </c>
      <c r="K171" s="1080"/>
      <c r="L171" s="1080">
        <v>33.31</v>
      </c>
      <c r="M171" s="1080"/>
      <c r="N171" s="1080">
        <v>0</v>
      </c>
      <c r="O171" s="1080"/>
      <c r="P171" s="1080">
        <v>13</v>
      </c>
      <c r="Q171" s="1080"/>
      <c r="R171" s="1080">
        <v>510.29</v>
      </c>
      <c r="S171" s="1080"/>
      <c r="T171" s="1080">
        <v>579.55999999999995</v>
      </c>
      <c r="U171" s="1080"/>
      <c r="V171" s="1080">
        <v>222.1</v>
      </c>
      <c r="W171" s="1080"/>
      <c r="X171" s="1080">
        <v>33</v>
      </c>
      <c r="Y171" s="1080"/>
      <c r="Z171" s="1080">
        <v>534.33000000000004</v>
      </c>
      <c r="AA171" s="1080"/>
      <c r="AB171" s="1080">
        <v>210.15</v>
      </c>
      <c r="AC171" s="1080"/>
      <c r="AD171" s="1080">
        <v>558.74</v>
      </c>
      <c r="AE171" s="1080"/>
      <c r="AF171" s="1080">
        <v>637.76</v>
      </c>
      <c r="AG171" s="1080"/>
      <c r="AH171" s="1081">
        <f t="shared" ref="AH171:AH182" si="18">AF171+AD171+AB171+Z171+X171+V171+T171+R171+P171+N171+L171+J171</f>
        <v>3838.6299999999997</v>
      </c>
      <c r="AI171" s="8">
        <f t="shared" ref="AI171:AI182" si="19">IF(AH$58=0,0,AH171/AH$58)</f>
        <v>1.8959453819398348E-4</v>
      </c>
      <c r="AJ171" s="9"/>
    </row>
    <row r="172" spans="2:36" outlineLevel="1">
      <c r="B172" s="5" t="s">
        <v>24</v>
      </c>
      <c r="D172" s="234">
        <v>57147</v>
      </c>
      <c r="E172" s="234" t="s">
        <v>103</v>
      </c>
      <c r="F172" s="235"/>
      <c r="G172" s="3"/>
      <c r="H172" s="236"/>
      <c r="I172" s="6"/>
      <c r="J172" s="1078">
        <v>2809.39</v>
      </c>
      <c r="K172" s="1080"/>
      <c r="L172" s="1080">
        <v>3165.15</v>
      </c>
      <c r="M172" s="1080"/>
      <c r="N172" s="1080">
        <v>4513.38</v>
      </c>
      <c r="O172" s="1080"/>
      <c r="P172" s="1080">
        <v>5012.03</v>
      </c>
      <c r="Q172" s="1080"/>
      <c r="R172" s="1080">
        <v>2954.55</v>
      </c>
      <c r="S172" s="1080"/>
      <c r="T172" s="1080">
        <v>9587.61</v>
      </c>
      <c r="U172" s="1080"/>
      <c r="V172" s="1080">
        <v>3806.94</v>
      </c>
      <c r="W172" s="1080"/>
      <c r="X172" s="1080">
        <v>9500.25</v>
      </c>
      <c r="Y172" s="1080"/>
      <c r="Z172" s="1080">
        <v>8314.77</v>
      </c>
      <c r="AA172" s="1080"/>
      <c r="AB172" s="1080">
        <v>7652.01</v>
      </c>
      <c r="AC172" s="1080"/>
      <c r="AD172" s="1080">
        <v>907.17</v>
      </c>
      <c r="AE172" s="1080"/>
      <c r="AF172" s="1080">
        <v>20069.04</v>
      </c>
      <c r="AG172" s="1080"/>
      <c r="AH172" s="1081">
        <f t="shared" si="18"/>
        <v>78292.290000000008</v>
      </c>
      <c r="AI172" s="8">
        <f t="shared" si="19"/>
        <v>3.866950075078722E-3</v>
      </c>
      <c r="AJ172" s="9"/>
    </row>
    <row r="173" spans="2:36" outlineLevel="1">
      <c r="B173" s="5" t="s">
        <v>24</v>
      </c>
      <c r="D173" s="234">
        <v>57150</v>
      </c>
      <c r="E173" s="234" t="s">
        <v>88</v>
      </c>
      <c r="F173" s="235"/>
      <c r="G173" s="3"/>
      <c r="H173" s="236"/>
      <c r="I173" s="6"/>
      <c r="J173" s="1078">
        <v>3449.46</v>
      </c>
      <c r="K173" s="1080"/>
      <c r="L173" s="1080">
        <v>1978.88</v>
      </c>
      <c r="M173" s="1080"/>
      <c r="N173" s="1080">
        <v>2387.94</v>
      </c>
      <c r="O173" s="1080"/>
      <c r="P173" s="1080">
        <v>2255.1</v>
      </c>
      <c r="Q173" s="1080"/>
      <c r="R173" s="1080">
        <v>1993.07</v>
      </c>
      <c r="S173" s="1080"/>
      <c r="T173" s="1080">
        <v>2262.96</v>
      </c>
      <c r="U173" s="1080"/>
      <c r="V173" s="1080">
        <v>2267.92</v>
      </c>
      <c r="W173" s="1080"/>
      <c r="X173" s="1080">
        <v>4552.18</v>
      </c>
      <c r="Y173" s="1080"/>
      <c r="Z173" s="1080">
        <v>7060.42</v>
      </c>
      <c r="AA173" s="1080"/>
      <c r="AB173" s="1080">
        <v>6810.98</v>
      </c>
      <c r="AC173" s="1080"/>
      <c r="AD173" s="1080">
        <v>5521.31</v>
      </c>
      <c r="AE173" s="1080"/>
      <c r="AF173" s="1080">
        <v>4935.01</v>
      </c>
      <c r="AG173" s="1080"/>
      <c r="AH173" s="1081">
        <f t="shared" si="18"/>
        <v>45475.229999999996</v>
      </c>
      <c r="AI173" s="8">
        <f t="shared" si="19"/>
        <v>2.246076134223716E-3</v>
      </c>
      <c r="AJ173" s="9"/>
    </row>
    <row r="174" spans="2:36" outlineLevel="1">
      <c r="B174" s="5" t="s">
        <v>24</v>
      </c>
      <c r="D174" s="234">
        <v>57165</v>
      </c>
      <c r="E174" s="234" t="s">
        <v>89</v>
      </c>
      <c r="F174" s="235"/>
      <c r="G174" s="3"/>
      <c r="H174" s="236"/>
      <c r="I174" s="6"/>
      <c r="J174" s="1078">
        <v>591.54</v>
      </c>
      <c r="K174" s="1080"/>
      <c r="L174" s="1080">
        <v>509.79</v>
      </c>
      <c r="M174" s="1080"/>
      <c r="N174" s="1080">
        <v>450.79</v>
      </c>
      <c r="O174" s="1080"/>
      <c r="P174" s="1080">
        <v>539.32000000000005</v>
      </c>
      <c r="Q174" s="1080"/>
      <c r="R174" s="1080">
        <v>609.96</v>
      </c>
      <c r="S174" s="1080"/>
      <c r="T174" s="1080">
        <v>1806.72</v>
      </c>
      <c r="U174" s="1080"/>
      <c r="V174" s="1080">
        <v>2356.37</v>
      </c>
      <c r="W174" s="1080"/>
      <c r="X174" s="1080">
        <v>1271.2</v>
      </c>
      <c r="Y174" s="1080"/>
      <c r="Z174" s="1080">
        <v>1055.83</v>
      </c>
      <c r="AA174" s="1080"/>
      <c r="AB174" s="1080">
        <v>1115.4100000000001</v>
      </c>
      <c r="AC174" s="1080"/>
      <c r="AD174" s="1080">
        <v>1095.81</v>
      </c>
      <c r="AE174" s="1080"/>
      <c r="AF174" s="1080">
        <v>1101.96</v>
      </c>
      <c r="AG174" s="1080"/>
      <c r="AH174" s="1081">
        <f t="shared" si="18"/>
        <v>12504.7</v>
      </c>
      <c r="AI174" s="8">
        <f t="shared" si="19"/>
        <v>6.1762212605911634E-4</v>
      </c>
      <c r="AJ174" s="9"/>
    </row>
    <row r="175" spans="2:36" outlineLevel="1">
      <c r="B175" s="5" t="s">
        <v>24</v>
      </c>
      <c r="D175" s="234">
        <v>57175</v>
      </c>
      <c r="E175" s="234" t="s">
        <v>423</v>
      </c>
      <c r="F175" s="235"/>
      <c r="G175" s="3"/>
      <c r="H175" s="236"/>
      <c r="I175" s="6"/>
      <c r="J175" s="1078">
        <v>129.78</v>
      </c>
      <c r="K175" s="1080"/>
      <c r="L175" s="1080">
        <v>129.78</v>
      </c>
      <c r="M175" s="1080"/>
      <c r="N175" s="1080">
        <v>129.78</v>
      </c>
      <c r="O175" s="1080"/>
      <c r="P175" s="1080">
        <v>129.78</v>
      </c>
      <c r="Q175" s="1080"/>
      <c r="R175" s="1080">
        <v>129.78</v>
      </c>
      <c r="S175" s="1080"/>
      <c r="T175" s="1080">
        <v>129.78</v>
      </c>
      <c r="U175" s="1080"/>
      <c r="V175" s="1080">
        <v>129.78</v>
      </c>
      <c r="W175" s="1080"/>
      <c r="X175" s="1080">
        <v>129.78</v>
      </c>
      <c r="Y175" s="1080"/>
      <c r="Z175" s="1080">
        <v>129.78</v>
      </c>
      <c r="AA175" s="1080"/>
      <c r="AB175" s="1080">
        <v>129.78</v>
      </c>
      <c r="AC175" s="1080"/>
      <c r="AD175" s="1080">
        <v>129.78</v>
      </c>
      <c r="AE175" s="1080"/>
      <c r="AF175" s="1080">
        <v>129.78</v>
      </c>
      <c r="AG175" s="1080"/>
      <c r="AH175" s="1081">
        <f t="shared" si="18"/>
        <v>1557.36</v>
      </c>
      <c r="AI175" s="8">
        <f t="shared" si="19"/>
        <v>7.6919877665151926E-5</v>
      </c>
      <c r="AJ175" s="9"/>
    </row>
    <row r="176" spans="2:36" outlineLevel="1">
      <c r="B176" s="5" t="s">
        <v>24</v>
      </c>
      <c r="D176" s="234">
        <v>57254</v>
      </c>
      <c r="E176" s="234" t="s">
        <v>105</v>
      </c>
      <c r="F176" s="235"/>
      <c r="G176" s="3"/>
      <c r="H176" s="236"/>
      <c r="I176" s="6"/>
      <c r="J176" s="1078">
        <v>2825.98</v>
      </c>
      <c r="K176" s="1080"/>
      <c r="L176" s="1080">
        <v>2825.98</v>
      </c>
      <c r="M176" s="1080"/>
      <c r="N176" s="1080">
        <v>3088.85</v>
      </c>
      <c r="O176" s="1080"/>
      <c r="P176" s="1080">
        <v>4256.33</v>
      </c>
      <c r="Q176" s="1080"/>
      <c r="R176" s="1080">
        <v>4359.34</v>
      </c>
      <c r="S176" s="1080"/>
      <c r="T176" s="1080">
        <v>4395.82</v>
      </c>
      <c r="U176" s="1080"/>
      <c r="V176" s="1080">
        <v>4470.66</v>
      </c>
      <c r="W176" s="1080"/>
      <c r="X176" s="1080">
        <v>4522.1099999999997</v>
      </c>
      <c r="Y176" s="1080"/>
      <c r="Z176" s="1080">
        <v>4535.21</v>
      </c>
      <c r="AA176" s="1080"/>
      <c r="AB176" s="1080">
        <v>4480.6499999999996</v>
      </c>
      <c r="AC176" s="1080"/>
      <c r="AD176" s="1080">
        <v>4451.7</v>
      </c>
      <c r="AE176" s="1080"/>
      <c r="AF176" s="1080">
        <v>4132.3900000000003</v>
      </c>
      <c r="AG176" s="1080"/>
      <c r="AH176" s="1081">
        <f t="shared" si="18"/>
        <v>48345.020000000011</v>
      </c>
      <c r="AI176" s="8">
        <f t="shared" si="19"/>
        <v>2.3878185031844432E-3</v>
      </c>
      <c r="AJ176" s="9"/>
    </row>
    <row r="177" spans="2:36" outlineLevel="1">
      <c r="B177" s="5" t="s">
        <v>24</v>
      </c>
      <c r="D177" s="234">
        <v>57275</v>
      </c>
      <c r="E177" s="234" t="s">
        <v>96</v>
      </c>
      <c r="F177" s="235"/>
      <c r="G177" s="3"/>
      <c r="H177" s="236"/>
      <c r="I177" s="6"/>
      <c r="J177" s="1078">
        <v>3487.11</v>
      </c>
      <c r="K177" s="1080"/>
      <c r="L177" s="1080">
        <v>3136.74</v>
      </c>
      <c r="M177" s="1080"/>
      <c r="N177" s="1080">
        <v>3760.66</v>
      </c>
      <c r="O177" s="1080"/>
      <c r="P177" s="1080">
        <v>3690.76</v>
      </c>
      <c r="Q177" s="1080"/>
      <c r="R177" s="1080">
        <v>3690.76</v>
      </c>
      <c r="S177" s="1080"/>
      <c r="T177" s="1080">
        <v>3690.76</v>
      </c>
      <c r="U177" s="1080"/>
      <c r="V177" s="1080">
        <v>3690.76</v>
      </c>
      <c r="W177" s="1080"/>
      <c r="X177" s="1080">
        <v>3690.76</v>
      </c>
      <c r="Y177" s="1080"/>
      <c r="Z177" s="1080">
        <v>3690.76</v>
      </c>
      <c r="AA177" s="1080"/>
      <c r="AB177" s="1080">
        <v>3690.76</v>
      </c>
      <c r="AC177" s="1080"/>
      <c r="AD177" s="1080">
        <v>3690.76</v>
      </c>
      <c r="AE177" s="1080"/>
      <c r="AF177" s="1080">
        <v>4005.49</v>
      </c>
      <c r="AG177" s="1080"/>
      <c r="AH177" s="1081">
        <f t="shared" si="18"/>
        <v>43916.080000000009</v>
      </c>
      <c r="AI177" s="8">
        <f t="shared" si="19"/>
        <v>2.1690678463123659E-3</v>
      </c>
      <c r="AJ177" s="9"/>
    </row>
    <row r="178" spans="2:36" outlineLevel="1">
      <c r="B178" s="5" t="s">
        <v>24</v>
      </c>
      <c r="D178" s="234">
        <v>57280</v>
      </c>
      <c r="E178" s="234" t="s">
        <v>1058</v>
      </c>
      <c r="F178" s="235"/>
      <c r="G178" s="3"/>
      <c r="H178" s="236"/>
      <c r="I178" s="6"/>
      <c r="J178" s="1078">
        <v>97.3</v>
      </c>
      <c r="K178" s="1080"/>
      <c r="L178" s="1080">
        <v>100.51</v>
      </c>
      <c r="M178" s="1080"/>
      <c r="N178" s="1080">
        <v>100</v>
      </c>
      <c r="O178" s="1080"/>
      <c r="P178" s="1080">
        <v>100</v>
      </c>
      <c r="Q178" s="1080"/>
      <c r="R178" s="1080">
        <v>97.75</v>
      </c>
      <c r="S178" s="1080"/>
      <c r="T178" s="1080">
        <v>102.02</v>
      </c>
      <c r="U178" s="1080"/>
      <c r="V178" s="1080">
        <v>105.64</v>
      </c>
      <c r="W178" s="1080"/>
      <c r="X178" s="1080">
        <v>99.72</v>
      </c>
      <c r="Y178" s="1080"/>
      <c r="Z178" s="1080">
        <v>100</v>
      </c>
      <c r="AA178" s="1080"/>
      <c r="AB178" s="1080">
        <v>147.27000000000001</v>
      </c>
      <c r="AC178" s="1080"/>
      <c r="AD178" s="1080">
        <v>120</v>
      </c>
      <c r="AE178" s="1080"/>
      <c r="AF178" s="1080">
        <v>67.44</v>
      </c>
      <c r="AG178" s="1080"/>
      <c r="AH178" s="1081">
        <f t="shared" si="18"/>
        <v>1237.6500000000001</v>
      </c>
      <c r="AI178" s="8">
        <f t="shared" si="19"/>
        <v>6.112901743480973E-5</v>
      </c>
      <c r="AJ178" s="9"/>
    </row>
    <row r="179" spans="2:36" outlineLevel="1">
      <c r="B179" s="5" t="s">
        <v>24</v>
      </c>
      <c r="D179" s="234">
        <v>57324</v>
      </c>
      <c r="E179" s="234" t="s">
        <v>106</v>
      </c>
      <c r="F179" s="235"/>
      <c r="G179" s="3"/>
      <c r="H179" s="236"/>
      <c r="I179" s="6"/>
      <c r="J179" s="1078">
        <v>0</v>
      </c>
      <c r="K179" s="1080"/>
      <c r="L179" s="1080">
        <v>0</v>
      </c>
      <c r="M179" s="1080"/>
      <c r="N179" s="1080">
        <v>0</v>
      </c>
      <c r="O179" s="1080"/>
      <c r="P179" s="1080">
        <v>0</v>
      </c>
      <c r="Q179" s="1080"/>
      <c r="R179" s="1080">
        <v>0</v>
      </c>
      <c r="S179" s="1080"/>
      <c r="T179" s="1080">
        <v>0</v>
      </c>
      <c r="U179" s="1080"/>
      <c r="V179" s="1080">
        <v>210</v>
      </c>
      <c r="W179" s="1080"/>
      <c r="X179" s="1080">
        <v>142.27000000000001</v>
      </c>
      <c r="Y179" s="1080"/>
      <c r="Z179" s="1080">
        <v>0</v>
      </c>
      <c r="AA179" s="1080"/>
      <c r="AB179" s="1080">
        <v>0</v>
      </c>
      <c r="AC179" s="1080"/>
      <c r="AD179" s="1080">
        <v>0</v>
      </c>
      <c r="AE179" s="1080"/>
      <c r="AF179" s="1080">
        <v>0</v>
      </c>
      <c r="AG179" s="1080"/>
      <c r="AH179" s="1081">
        <f t="shared" si="18"/>
        <v>352.27</v>
      </c>
      <c r="AI179" s="8">
        <f t="shared" si="19"/>
        <v>1.7399037669583826E-5</v>
      </c>
      <c r="AJ179" s="9"/>
    </row>
    <row r="180" spans="2:36" outlineLevel="1">
      <c r="B180" s="5" t="s">
        <v>24</v>
      </c>
      <c r="D180" s="234">
        <v>57353</v>
      </c>
      <c r="E180" s="234" t="s">
        <v>605</v>
      </c>
      <c r="F180" s="235"/>
      <c r="G180" s="3"/>
      <c r="H180" s="236"/>
      <c r="I180" s="6"/>
      <c r="J180" s="1078">
        <v>0</v>
      </c>
      <c r="K180" s="1080"/>
      <c r="L180" s="1080">
        <v>200</v>
      </c>
      <c r="M180" s="1080"/>
      <c r="N180" s="1080">
        <v>0</v>
      </c>
      <c r="O180" s="1080"/>
      <c r="P180" s="1080">
        <v>0</v>
      </c>
      <c r="Q180" s="1080"/>
      <c r="R180" s="1080">
        <v>450</v>
      </c>
      <c r="S180" s="1080"/>
      <c r="T180" s="1080">
        <v>4100</v>
      </c>
      <c r="U180" s="1080"/>
      <c r="V180" s="1080">
        <v>-4100</v>
      </c>
      <c r="W180" s="1080"/>
      <c r="X180" s="1080">
        <v>3600</v>
      </c>
      <c r="Y180" s="1080"/>
      <c r="Z180" s="1080">
        <v>1725</v>
      </c>
      <c r="AA180" s="1080"/>
      <c r="AB180" s="1080">
        <v>-4803.46</v>
      </c>
      <c r="AC180" s="1080"/>
      <c r="AD180" s="1080">
        <v>0</v>
      </c>
      <c r="AE180" s="1080"/>
      <c r="AF180" s="1080">
        <v>0</v>
      </c>
      <c r="AG180" s="1080"/>
      <c r="AH180" s="1081">
        <f t="shared" si="18"/>
        <v>1171.54</v>
      </c>
      <c r="AI180" s="8">
        <f t="shared" si="19"/>
        <v>5.7863765269322498E-5</v>
      </c>
      <c r="AJ180" s="9"/>
    </row>
    <row r="181" spans="2:36" outlineLevel="1">
      <c r="B181" s="5" t="s">
        <v>24</v>
      </c>
      <c r="D181" s="234">
        <v>57357</v>
      </c>
      <c r="E181" s="234" t="s">
        <v>107</v>
      </c>
      <c r="F181" s="235"/>
      <c r="G181" s="3"/>
      <c r="H181" s="236"/>
      <c r="I181" s="6"/>
      <c r="J181" s="1078">
        <v>0</v>
      </c>
      <c r="K181" s="1080"/>
      <c r="L181" s="1080">
        <v>0</v>
      </c>
      <c r="M181" s="1080"/>
      <c r="N181" s="1080">
        <v>0</v>
      </c>
      <c r="O181" s="1080"/>
      <c r="P181" s="1080">
        <v>56</v>
      </c>
      <c r="Q181" s="1080"/>
      <c r="R181" s="1080">
        <v>0</v>
      </c>
      <c r="S181" s="1080"/>
      <c r="T181" s="1080">
        <v>0</v>
      </c>
      <c r="U181" s="1080"/>
      <c r="V181" s="1080">
        <v>0</v>
      </c>
      <c r="W181" s="1080"/>
      <c r="X181" s="1080">
        <v>0</v>
      </c>
      <c r="Y181" s="1080"/>
      <c r="Z181" s="1080">
        <v>0</v>
      </c>
      <c r="AA181" s="1080"/>
      <c r="AB181" s="1080">
        <v>482</v>
      </c>
      <c r="AC181" s="1080"/>
      <c r="AD181" s="1080">
        <v>0</v>
      </c>
      <c r="AE181" s="1080"/>
      <c r="AF181" s="1080">
        <v>0</v>
      </c>
      <c r="AG181" s="1080"/>
      <c r="AH181" s="1081">
        <f t="shared" si="18"/>
        <v>538</v>
      </c>
      <c r="AI181" s="8">
        <f t="shared" si="19"/>
        <v>2.6572465058722285E-5</v>
      </c>
      <c r="AJ181" s="9"/>
    </row>
    <row r="182" spans="2:36" outlineLevel="1">
      <c r="B182" s="5" t="s">
        <v>24</v>
      </c>
      <c r="D182" s="234">
        <v>57370</v>
      </c>
      <c r="E182" s="234" t="s">
        <v>108</v>
      </c>
      <c r="F182" s="235"/>
      <c r="G182" s="3"/>
      <c r="H182" s="236"/>
      <c r="I182" s="6"/>
      <c r="J182" s="1078">
        <v>129.03</v>
      </c>
      <c r="K182" s="1080"/>
      <c r="L182" s="1080">
        <v>129.03</v>
      </c>
      <c r="M182" s="1080"/>
      <c r="N182" s="1080">
        <v>129.03</v>
      </c>
      <c r="O182" s="1080"/>
      <c r="P182" s="1080">
        <v>129.03</v>
      </c>
      <c r="Q182" s="1080"/>
      <c r="R182" s="1080">
        <v>129.03</v>
      </c>
      <c r="S182" s="1080"/>
      <c r="T182" s="1080">
        <v>129.03</v>
      </c>
      <c r="U182" s="1080"/>
      <c r="V182" s="1080">
        <v>129.03</v>
      </c>
      <c r="W182" s="1080"/>
      <c r="X182" s="1080">
        <v>129.03</v>
      </c>
      <c r="Y182" s="1080"/>
      <c r="Z182" s="1080">
        <v>129.13999999999999</v>
      </c>
      <c r="AA182" s="1080"/>
      <c r="AB182" s="1080">
        <v>264.7</v>
      </c>
      <c r="AC182" s="1080"/>
      <c r="AD182" s="1080">
        <v>129.69999999999999</v>
      </c>
      <c r="AE182" s="1080"/>
      <c r="AF182" s="1080">
        <v>129.83000000000001</v>
      </c>
      <c r="AG182" s="1080"/>
      <c r="AH182" s="1081">
        <f t="shared" si="18"/>
        <v>1685.61</v>
      </c>
      <c r="AI182" s="8">
        <f t="shared" si="19"/>
        <v>8.3254298936120567E-5</v>
      </c>
      <c r="AJ182" s="9"/>
    </row>
    <row r="183" spans="2:36" s="236" customFormat="1" ht="5.0999999999999996" customHeight="1" outlineLevel="1">
      <c r="B183" s="32" t="s">
        <v>17</v>
      </c>
      <c r="D183" s="235"/>
      <c r="E183" s="235"/>
      <c r="F183" s="235"/>
      <c r="G183" s="235"/>
      <c r="J183" s="1106"/>
      <c r="K183" s="1105"/>
      <c r="L183" s="1107"/>
      <c r="M183" s="1105"/>
      <c r="N183" s="1107"/>
      <c r="O183" s="1105"/>
      <c r="P183" s="1107"/>
      <c r="Q183" s="1105"/>
      <c r="R183" s="1107"/>
      <c r="S183" s="1105"/>
      <c r="T183" s="1107"/>
      <c r="U183" s="1105"/>
      <c r="V183" s="1107"/>
      <c r="W183" s="1105"/>
      <c r="X183" s="1107"/>
      <c r="Y183" s="1105"/>
      <c r="Z183" s="1107"/>
      <c r="AA183" s="1105"/>
      <c r="AB183" s="1107"/>
      <c r="AC183" s="1105"/>
      <c r="AD183" s="1107"/>
      <c r="AE183" s="1105"/>
      <c r="AF183" s="1107"/>
      <c r="AG183" s="1105"/>
      <c r="AH183" s="1108"/>
      <c r="AI183" s="31"/>
      <c r="AJ183" s="14"/>
    </row>
    <row r="184" spans="2:36" s="236" customFormat="1" ht="15">
      <c r="B184" s="32" t="s">
        <v>17</v>
      </c>
      <c r="F184" s="235" t="s">
        <v>109</v>
      </c>
      <c r="J184" s="1085">
        <f>SUM(J170:J183)</f>
        <v>14025.98</v>
      </c>
      <c r="K184" s="1105"/>
      <c r="L184" s="1086">
        <f>SUM(L170:L183)</f>
        <v>12209.17</v>
      </c>
      <c r="M184" s="1105"/>
      <c r="N184" s="1086">
        <f>SUM(N170:N183)</f>
        <v>14560.43</v>
      </c>
      <c r="O184" s="1105"/>
      <c r="P184" s="1086">
        <f>SUM(P170:P183)</f>
        <v>16181.349999999999</v>
      </c>
      <c r="Q184" s="1105"/>
      <c r="R184" s="1086">
        <f>SUM(R170:R183)</f>
        <v>14924.53</v>
      </c>
      <c r="S184" s="1105"/>
      <c r="T184" s="1086">
        <f>SUM(T170:T183)</f>
        <v>26784.26</v>
      </c>
      <c r="U184" s="1105"/>
      <c r="V184" s="1086">
        <f>SUM(V170:V183)</f>
        <v>13289.199999999999</v>
      </c>
      <c r="W184" s="1105"/>
      <c r="X184" s="1086">
        <f>SUM(X170:X183)</f>
        <v>27670.3</v>
      </c>
      <c r="Y184" s="1105"/>
      <c r="Z184" s="1086">
        <f>SUM(Z170:Z183)</f>
        <v>27275.239999999998</v>
      </c>
      <c r="AA184" s="1105"/>
      <c r="AB184" s="1086">
        <f>SUM(AB170:AB183)</f>
        <v>20180.25</v>
      </c>
      <c r="AC184" s="1105"/>
      <c r="AD184" s="1086">
        <f>SUM(AD170:AD183)</f>
        <v>16604.970000000005</v>
      </c>
      <c r="AE184" s="1105"/>
      <c r="AF184" s="1086">
        <f>SUM(AF170:AF183)</f>
        <v>35208.699999999997</v>
      </c>
      <c r="AG184" s="1105"/>
      <c r="AH184" s="1087">
        <f>SUM(AH170:AH183)</f>
        <v>238914.38</v>
      </c>
      <c r="AI184" s="8">
        <f>IF(AH$58=0,0,AH184/AH$58)</f>
        <v>1.1800267685086057E-2</v>
      </c>
      <c r="AJ184" s="14"/>
    </row>
    <row r="185" spans="2:36" s="236" customFormat="1" ht="15" outlineLevel="1">
      <c r="B185" s="32"/>
      <c r="J185" s="1085"/>
      <c r="K185" s="1105"/>
      <c r="L185" s="1086"/>
      <c r="M185" s="1105"/>
      <c r="N185" s="1086"/>
      <c r="O185" s="1105"/>
      <c r="P185" s="1086"/>
      <c r="Q185" s="1105"/>
      <c r="R185" s="1086"/>
      <c r="S185" s="1105"/>
      <c r="T185" s="1086"/>
      <c r="U185" s="1105"/>
      <c r="V185" s="1086"/>
      <c r="W185" s="1105"/>
      <c r="X185" s="1086"/>
      <c r="Y185" s="1105"/>
      <c r="Z185" s="1086"/>
      <c r="AA185" s="1105"/>
      <c r="AB185" s="1086"/>
      <c r="AC185" s="1105"/>
      <c r="AD185" s="1086"/>
      <c r="AE185" s="1105"/>
      <c r="AF185" s="1086"/>
      <c r="AG185" s="1105"/>
      <c r="AH185" s="1087"/>
      <c r="AI185" s="31"/>
      <c r="AJ185" s="14"/>
    </row>
    <row r="186" spans="2:36" s="236" customFormat="1" ht="15" outlineLevel="1">
      <c r="B186" s="32"/>
      <c r="D186" s="10"/>
      <c r="E186" s="10"/>
      <c r="F186" s="10"/>
      <c r="G186" s="10"/>
      <c r="H186" s="10"/>
      <c r="I186" s="10"/>
      <c r="J186" s="1085"/>
      <c r="K186" s="1112"/>
      <c r="L186" s="1086"/>
      <c r="M186" s="1112"/>
      <c r="N186" s="1086"/>
      <c r="O186" s="1112"/>
      <c r="P186" s="1086"/>
      <c r="Q186" s="1112"/>
      <c r="R186" s="1086"/>
      <c r="S186" s="1112"/>
      <c r="T186" s="1086"/>
      <c r="U186" s="1112"/>
      <c r="V186" s="1086"/>
      <c r="W186" s="1112"/>
      <c r="X186" s="1086"/>
      <c r="Y186" s="1112"/>
      <c r="Z186" s="1086"/>
      <c r="AA186" s="1112"/>
      <c r="AB186" s="1086"/>
      <c r="AC186" s="1112"/>
      <c r="AD186" s="1086"/>
      <c r="AE186" s="1112"/>
      <c r="AF186" s="1086"/>
      <c r="AG186" s="1112"/>
      <c r="AH186" s="1087"/>
      <c r="AI186" s="10"/>
      <c r="AJ186" s="10"/>
    </row>
    <row r="187" spans="2:36" s="236" customFormat="1" ht="4.5" customHeight="1" outlineLevel="1">
      <c r="B187" s="32"/>
      <c r="D187" s="35"/>
      <c r="J187" s="1106"/>
      <c r="K187" s="1105"/>
      <c r="L187" s="1107"/>
      <c r="M187" s="1105"/>
      <c r="N187" s="1107"/>
      <c r="O187" s="1105"/>
      <c r="P187" s="1107"/>
      <c r="Q187" s="1105"/>
      <c r="R187" s="1107"/>
      <c r="S187" s="1105"/>
      <c r="T187" s="1107"/>
      <c r="U187" s="1105"/>
      <c r="V187" s="1107"/>
      <c r="W187" s="1105"/>
      <c r="X187" s="1107"/>
      <c r="Y187" s="1105"/>
      <c r="Z187" s="1107"/>
      <c r="AA187" s="1105"/>
      <c r="AB187" s="1107"/>
      <c r="AC187" s="1105"/>
      <c r="AD187" s="1107"/>
      <c r="AE187" s="1105"/>
      <c r="AF187" s="1107"/>
      <c r="AG187" s="1105"/>
      <c r="AH187" s="1108"/>
      <c r="AI187" s="31"/>
      <c r="AJ187" s="14"/>
    </row>
    <row r="188" spans="2:36" s="236" customFormat="1" ht="15">
      <c r="B188" s="32"/>
      <c r="F188" s="236" t="s">
        <v>110</v>
      </c>
      <c r="J188" s="1085">
        <f>SUM(J186:J187)</f>
        <v>0</v>
      </c>
      <c r="K188" s="1105"/>
      <c r="L188" s="1086">
        <f>SUM(L186:L187)</f>
        <v>0</v>
      </c>
      <c r="M188" s="1105"/>
      <c r="N188" s="1086">
        <f>SUM(N186:N187)</f>
        <v>0</v>
      </c>
      <c r="O188" s="1105"/>
      <c r="P188" s="1086">
        <f>SUM(P186:P187)</f>
        <v>0</v>
      </c>
      <c r="Q188" s="1105"/>
      <c r="R188" s="1086">
        <f>SUM(R186:R187)</f>
        <v>0</v>
      </c>
      <c r="S188" s="1105"/>
      <c r="T188" s="1086">
        <f>SUM(T186:T187)</f>
        <v>0</v>
      </c>
      <c r="U188" s="1105"/>
      <c r="V188" s="1086">
        <f>SUM(V186:V187)</f>
        <v>0</v>
      </c>
      <c r="W188" s="1105"/>
      <c r="X188" s="1086">
        <f>SUM(X186:X187)</f>
        <v>0</v>
      </c>
      <c r="Y188" s="1105"/>
      <c r="Z188" s="1086">
        <f>SUM(Z186:Z187)</f>
        <v>0</v>
      </c>
      <c r="AA188" s="1105"/>
      <c r="AB188" s="1086">
        <f>SUM(AB186:AB187)</f>
        <v>0</v>
      </c>
      <c r="AC188" s="1105"/>
      <c r="AD188" s="1086">
        <f>SUM(AD186:AD187)</f>
        <v>0</v>
      </c>
      <c r="AE188" s="1105"/>
      <c r="AF188" s="1086">
        <f>SUM(AF186:AF187)</f>
        <v>0</v>
      </c>
      <c r="AG188" s="1105"/>
      <c r="AH188" s="1087">
        <f>SUM(AH186:AH187)</f>
        <v>0</v>
      </c>
      <c r="AI188" s="8">
        <f>IF(AH$58=0,0,AH188/AH$58)</f>
        <v>0</v>
      </c>
      <c r="AJ188" s="14"/>
    </row>
    <row r="189" spans="2:36" s="236" customFormat="1" ht="15" outlineLevel="1">
      <c r="B189" s="32"/>
      <c r="J189" s="1085"/>
      <c r="K189" s="1105"/>
      <c r="L189" s="1086"/>
      <c r="M189" s="1105"/>
      <c r="N189" s="1086"/>
      <c r="O189" s="1105"/>
      <c r="P189" s="1086"/>
      <c r="Q189" s="1105"/>
      <c r="R189" s="1086"/>
      <c r="S189" s="1105"/>
      <c r="T189" s="1086"/>
      <c r="U189" s="1105"/>
      <c r="V189" s="1086"/>
      <c r="W189" s="1105"/>
      <c r="X189" s="1086"/>
      <c r="Y189" s="1105"/>
      <c r="Z189" s="1086"/>
      <c r="AA189" s="1105"/>
      <c r="AB189" s="1086"/>
      <c r="AC189" s="1105"/>
      <c r="AD189" s="1086"/>
      <c r="AE189" s="1105"/>
      <c r="AF189" s="1086"/>
      <c r="AG189" s="1105"/>
      <c r="AH189" s="1087"/>
      <c r="AI189" s="31"/>
      <c r="AJ189" s="14"/>
    </row>
    <row r="190" spans="2:36" s="236" customFormat="1" ht="15" outlineLevel="1">
      <c r="B190" s="32"/>
      <c r="J190" s="1085"/>
      <c r="K190" s="1105"/>
      <c r="L190" s="1086"/>
      <c r="M190" s="1105"/>
      <c r="N190" s="1086"/>
      <c r="O190" s="1105"/>
      <c r="P190" s="1086"/>
      <c r="Q190" s="1105"/>
      <c r="R190" s="1086"/>
      <c r="S190" s="1105"/>
      <c r="T190" s="1086"/>
      <c r="U190" s="1105"/>
      <c r="V190" s="1086"/>
      <c r="W190" s="1105"/>
      <c r="X190" s="1086"/>
      <c r="Y190" s="1105"/>
      <c r="Z190" s="1086"/>
      <c r="AA190" s="1105"/>
      <c r="AB190" s="1086"/>
      <c r="AC190" s="1105"/>
      <c r="AD190" s="1086"/>
      <c r="AE190" s="1105"/>
      <c r="AF190" s="1086"/>
      <c r="AG190" s="1105"/>
      <c r="AH190" s="1087"/>
      <c r="AI190" s="31"/>
      <c r="AJ190" s="14"/>
    </row>
    <row r="191" spans="2:36" outlineLevel="1">
      <c r="B191" s="5" t="s">
        <v>111</v>
      </c>
      <c r="D191" s="234">
        <v>59340</v>
      </c>
      <c r="E191" s="234" t="s">
        <v>112</v>
      </c>
      <c r="F191" s="235"/>
      <c r="G191" s="3"/>
      <c r="H191" s="236"/>
      <c r="I191" s="6"/>
      <c r="J191" s="1078">
        <v>8703.23</v>
      </c>
      <c r="K191" s="1080"/>
      <c r="L191" s="1080">
        <v>8703.23</v>
      </c>
      <c r="M191" s="1080"/>
      <c r="N191" s="1080">
        <v>8703.23</v>
      </c>
      <c r="O191" s="1080"/>
      <c r="P191" s="1080">
        <v>8703.23</v>
      </c>
      <c r="Q191" s="1080"/>
      <c r="R191" s="1080">
        <v>9597.1299999999992</v>
      </c>
      <c r="S191" s="1080"/>
      <c r="T191" s="1080">
        <v>9597.1299999999992</v>
      </c>
      <c r="U191" s="1080"/>
      <c r="V191" s="1080">
        <v>9597.1299999999992</v>
      </c>
      <c r="W191" s="1080"/>
      <c r="X191" s="1080">
        <v>9597.1299999999992</v>
      </c>
      <c r="Y191" s="1080"/>
      <c r="Z191" s="1080">
        <v>9597.1299999999992</v>
      </c>
      <c r="AA191" s="1080"/>
      <c r="AB191" s="1080">
        <v>9616.6299999999992</v>
      </c>
      <c r="AC191" s="1080"/>
      <c r="AD191" s="1080">
        <v>9616.6299999999992</v>
      </c>
      <c r="AE191" s="1080"/>
      <c r="AF191" s="1080">
        <v>9616.6299999999992</v>
      </c>
      <c r="AG191" s="1080"/>
      <c r="AH191" s="1081">
        <f t="shared" ref="AH191:AH197" si="20">AF191+AD191+AB191+Z191+X191+V191+T191+R191+P191+N191+L191+J191</f>
        <v>111648.45999999998</v>
      </c>
      <c r="AI191" s="8">
        <f t="shared" ref="AI191:AI197" si="21">IF(AH$58=0,0,AH191/AH$58)</f>
        <v>5.5144513052233311E-3</v>
      </c>
      <c r="AJ191" s="9"/>
    </row>
    <row r="192" spans="2:36" outlineLevel="1">
      <c r="B192" s="5" t="s">
        <v>24</v>
      </c>
      <c r="D192" s="234">
        <v>59341</v>
      </c>
      <c r="E192" s="234" t="s">
        <v>601</v>
      </c>
      <c r="F192" s="235"/>
      <c r="G192" s="3"/>
      <c r="H192" s="236"/>
      <c r="I192" s="6"/>
      <c r="J192" s="1078">
        <v>-2900</v>
      </c>
      <c r="K192" s="1080"/>
      <c r="L192" s="1080">
        <v>0</v>
      </c>
      <c r="M192" s="1080"/>
      <c r="N192" s="1080">
        <v>10145.35</v>
      </c>
      <c r="O192" s="1080"/>
      <c r="P192" s="1080">
        <v>194.19</v>
      </c>
      <c r="Q192" s="1080"/>
      <c r="R192" s="1080">
        <v>577.19000000000005</v>
      </c>
      <c r="S192" s="1080"/>
      <c r="T192" s="1080">
        <v>0</v>
      </c>
      <c r="U192" s="1080"/>
      <c r="V192" s="1080">
        <v>0</v>
      </c>
      <c r="W192" s="1080"/>
      <c r="X192" s="1080">
        <v>0</v>
      </c>
      <c r="Y192" s="1080"/>
      <c r="Z192" s="1080">
        <v>0</v>
      </c>
      <c r="AA192" s="1080"/>
      <c r="AB192" s="1080">
        <v>0</v>
      </c>
      <c r="AC192" s="1080"/>
      <c r="AD192" s="1080">
        <v>0</v>
      </c>
      <c r="AE192" s="1080"/>
      <c r="AF192" s="1080">
        <v>0</v>
      </c>
      <c r="AG192" s="1080"/>
      <c r="AH192" s="1081">
        <f t="shared" si="20"/>
        <v>8016.73</v>
      </c>
      <c r="AI192" s="8">
        <f t="shared" si="21"/>
        <v>3.9595590671042877E-4</v>
      </c>
      <c r="AJ192" s="9"/>
    </row>
    <row r="193" spans="2:36" outlineLevel="1">
      <c r="B193" s="5" t="s">
        <v>24</v>
      </c>
      <c r="D193" s="234">
        <v>59342</v>
      </c>
      <c r="E193" s="234" t="s">
        <v>1114</v>
      </c>
      <c r="F193" s="235"/>
      <c r="G193" s="3"/>
      <c r="H193" s="236"/>
      <c r="I193" s="6"/>
      <c r="J193" s="1078">
        <v>-39029.410000000003</v>
      </c>
      <c r="K193" s="1080"/>
      <c r="L193" s="1080">
        <v>52.5</v>
      </c>
      <c r="M193" s="1080"/>
      <c r="N193" s="1080">
        <v>0</v>
      </c>
      <c r="O193" s="1080"/>
      <c r="P193" s="1080">
        <v>0</v>
      </c>
      <c r="Q193" s="1080"/>
      <c r="R193" s="1080">
        <v>0</v>
      </c>
      <c r="S193" s="1080"/>
      <c r="T193" s="1080">
        <v>0</v>
      </c>
      <c r="U193" s="1080"/>
      <c r="V193" s="1080">
        <v>0</v>
      </c>
      <c r="W193" s="1080"/>
      <c r="X193" s="1080">
        <v>0</v>
      </c>
      <c r="Y193" s="1080"/>
      <c r="Z193" s="1080">
        <v>0</v>
      </c>
      <c r="AA193" s="1080"/>
      <c r="AB193" s="1080">
        <v>0</v>
      </c>
      <c r="AC193" s="1080"/>
      <c r="AD193" s="1080">
        <v>0</v>
      </c>
      <c r="AE193" s="1080"/>
      <c r="AF193" s="1080">
        <v>0</v>
      </c>
      <c r="AG193" s="1080"/>
      <c r="AH193" s="1081">
        <f t="shared" si="20"/>
        <v>-38976.910000000003</v>
      </c>
      <c r="AI193" s="8">
        <f t="shared" si="21"/>
        <v>-1.925116317977627E-3</v>
      </c>
      <c r="AJ193" s="9"/>
    </row>
    <row r="194" spans="2:36" outlineLevel="1">
      <c r="B194" s="5" t="s">
        <v>24</v>
      </c>
      <c r="D194" s="234">
        <v>59343</v>
      </c>
      <c r="E194" s="234" t="s">
        <v>604</v>
      </c>
      <c r="F194" s="235"/>
      <c r="G194" s="3"/>
      <c r="H194" s="236"/>
      <c r="I194" s="6"/>
      <c r="J194" s="1078">
        <v>274</v>
      </c>
      <c r="K194" s="1080"/>
      <c r="L194" s="1080">
        <v>-2096.98</v>
      </c>
      <c r="M194" s="1080"/>
      <c r="N194" s="1080">
        <v>5600</v>
      </c>
      <c r="O194" s="1080"/>
      <c r="P194" s="1080">
        <v>6449</v>
      </c>
      <c r="Q194" s="1080"/>
      <c r="R194" s="1080">
        <v>0</v>
      </c>
      <c r="S194" s="1080"/>
      <c r="T194" s="1080">
        <v>15950</v>
      </c>
      <c r="U194" s="1080"/>
      <c r="V194" s="1080">
        <v>-7830.63</v>
      </c>
      <c r="W194" s="1080"/>
      <c r="X194" s="1080">
        <v>143.21</v>
      </c>
      <c r="Y194" s="1080"/>
      <c r="Z194" s="1080">
        <v>1033.3399999999999</v>
      </c>
      <c r="AA194" s="1080"/>
      <c r="AB194" s="1080">
        <v>0</v>
      </c>
      <c r="AC194" s="1080"/>
      <c r="AD194" s="1080">
        <v>0</v>
      </c>
      <c r="AE194" s="1080"/>
      <c r="AF194" s="1080">
        <v>0</v>
      </c>
      <c r="AG194" s="1080"/>
      <c r="AH194" s="1081">
        <f t="shared" si="20"/>
        <v>19521.939999999999</v>
      </c>
      <c r="AI194" s="8">
        <f t="shared" si="21"/>
        <v>9.6421202328712428E-4</v>
      </c>
      <c r="AJ194" s="9"/>
    </row>
    <row r="195" spans="2:36" outlineLevel="1">
      <c r="B195" s="5" t="s">
        <v>24</v>
      </c>
      <c r="D195" s="234">
        <v>59344</v>
      </c>
      <c r="E195" s="234" t="s">
        <v>113</v>
      </c>
      <c r="F195" s="235"/>
      <c r="G195" s="3"/>
      <c r="H195" s="236"/>
      <c r="I195" s="6"/>
      <c r="J195" s="1078">
        <v>1980</v>
      </c>
      <c r="K195" s="1080"/>
      <c r="L195" s="1080">
        <v>23910.720000000001</v>
      </c>
      <c r="M195" s="1080"/>
      <c r="N195" s="1080">
        <v>0</v>
      </c>
      <c r="O195" s="1080"/>
      <c r="P195" s="1080">
        <v>-9543.77</v>
      </c>
      <c r="Q195" s="1080"/>
      <c r="R195" s="1080">
        <v>20111.560000000001</v>
      </c>
      <c r="S195" s="1080"/>
      <c r="T195" s="1080">
        <v>13.85</v>
      </c>
      <c r="U195" s="1080"/>
      <c r="V195" s="1080">
        <v>0</v>
      </c>
      <c r="W195" s="1080"/>
      <c r="X195" s="1080">
        <v>-1255.3599999999999</v>
      </c>
      <c r="Y195" s="1080"/>
      <c r="Z195" s="1080">
        <v>-13.25</v>
      </c>
      <c r="AA195" s="1080"/>
      <c r="AB195" s="1080">
        <v>24260.13</v>
      </c>
      <c r="AC195" s="1080"/>
      <c r="AD195" s="1080">
        <v>-4248.51</v>
      </c>
      <c r="AE195" s="1080"/>
      <c r="AF195" s="1080">
        <v>3571.91</v>
      </c>
      <c r="AG195" s="1080"/>
      <c r="AH195" s="1081">
        <f t="shared" si="20"/>
        <v>58787.28</v>
      </c>
      <c r="AI195" s="8">
        <f t="shared" si="21"/>
        <v>2.903574244790564E-3</v>
      </c>
      <c r="AJ195" s="9"/>
    </row>
    <row r="196" spans="2:36" outlineLevel="1">
      <c r="B196" s="5" t="s">
        <v>24</v>
      </c>
      <c r="D196" s="234">
        <v>59400</v>
      </c>
      <c r="E196" s="234" t="s">
        <v>114</v>
      </c>
      <c r="F196" s="235"/>
      <c r="G196" s="3"/>
      <c r="H196" s="236"/>
      <c r="I196" s="6"/>
      <c r="J196" s="1078">
        <v>1000</v>
      </c>
      <c r="K196" s="1080"/>
      <c r="L196" s="1080">
        <v>755.59</v>
      </c>
      <c r="M196" s="1080"/>
      <c r="N196" s="1080">
        <v>1996.2</v>
      </c>
      <c r="O196" s="1080"/>
      <c r="P196" s="1080">
        <v>0</v>
      </c>
      <c r="Q196" s="1080"/>
      <c r="R196" s="1080">
        <v>4050.42</v>
      </c>
      <c r="S196" s="1080"/>
      <c r="T196" s="1080">
        <v>2330.34</v>
      </c>
      <c r="U196" s="1080"/>
      <c r="V196" s="1080">
        <v>805.74</v>
      </c>
      <c r="W196" s="1080"/>
      <c r="X196" s="1080">
        <v>0</v>
      </c>
      <c r="Y196" s="1080"/>
      <c r="Z196" s="1080">
        <v>3405.22</v>
      </c>
      <c r="AA196" s="1080"/>
      <c r="AB196" s="1080">
        <v>1462.06</v>
      </c>
      <c r="AC196" s="1080"/>
      <c r="AD196" s="1080">
        <v>0</v>
      </c>
      <c r="AE196" s="1080"/>
      <c r="AF196" s="1080">
        <v>0</v>
      </c>
      <c r="AG196" s="1080"/>
      <c r="AH196" s="1081">
        <f t="shared" si="20"/>
        <v>15805.57</v>
      </c>
      <c r="AI196" s="8">
        <f t="shared" si="21"/>
        <v>7.8065605308213603E-4</v>
      </c>
      <c r="AJ196" s="9"/>
    </row>
    <row r="197" spans="2:36" outlineLevel="1">
      <c r="B197" s="5" t="s">
        <v>24</v>
      </c>
      <c r="D197" s="234">
        <v>59500</v>
      </c>
      <c r="E197" s="234" t="s">
        <v>115</v>
      </c>
      <c r="F197" s="235"/>
      <c r="G197" s="3"/>
      <c r="H197" s="236"/>
      <c r="I197" s="6"/>
      <c r="J197" s="1078">
        <v>668.88</v>
      </c>
      <c r="K197" s="1080"/>
      <c r="L197" s="1080">
        <v>2530.2199999999998</v>
      </c>
      <c r="M197" s="1080"/>
      <c r="N197" s="1080">
        <v>1230.5</v>
      </c>
      <c r="O197" s="1080"/>
      <c r="P197" s="1080">
        <v>1279.0999999999999</v>
      </c>
      <c r="Q197" s="1080"/>
      <c r="R197" s="1080">
        <v>-4913.93</v>
      </c>
      <c r="S197" s="1080"/>
      <c r="T197" s="1080">
        <v>11281.57</v>
      </c>
      <c r="U197" s="1080"/>
      <c r="V197" s="1080">
        <v>1417.11</v>
      </c>
      <c r="W197" s="1080"/>
      <c r="X197" s="1080">
        <v>1007.89</v>
      </c>
      <c r="Y197" s="1080"/>
      <c r="Z197" s="1080">
        <v>1096.69</v>
      </c>
      <c r="AA197" s="1080"/>
      <c r="AB197" s="1080">
        <v>1516.31</v>
      </c>
      <c r="AC197" s="1080"/>
      <c r="AD197" s="1080">
        <v>1406.62</v>
      </c>
      <c r="AE197" s="1080"/>
      <c r="AF197" s="1080">
        <v>1432.95</v>
      </c>
      <c r="AG197" s="1080"/>
      <c r="AH197" s="1081">
        <f t="shared" si="20"/>
        <v>19953.91</v>
      </c>
      <c r="AI197" s="8">
        <f t="shared" si="21"/>
        <v>9.8554753951652263E-4</v>
      </c>
      <c r="AJ197" s="9"/>
    </row>
    <row r="198" spans="2:36" s="236" customFormat="1" ht="5.0999999999999996" customHeight="1" outlineLevel="1">
      <c r="B198" s="32" t="s">
        <v>17</v>
      </c>
      <c r="D198" s="235"/>
      <c r="E198" s="235"/>
      <c r="F198" s="235"/>
      <c r="G198" s="235"/>
      <c r="J198" s="1106"/>
      <c r="K198" s="1105"/>
      <c r="L198" s="1107"/>
      <c r="M198" s="1105"/>
      <c r="N198" s="1107"/>
      <c r="O198" s="1105"/>
      <c r="P198" s="1107"/>
      <c r="Q198" s="1105"/>
      <c r="R198" s="1107"/>
      <c r="S198" s="1105"/>
      <c r="T198" s="1107"/>
      <c r="U198" s="1105"/>
      <c r="V198" s="1107"/>
      <c r="W198" s="1105"/>
      <c r="X198" s="1107"/>
      <c r="Y198" s="1105"/>
      <c r="Z198" s="1107"/>
      <c r="AA198" s="1105"/>
      <c r="AB198" s="1107"/>
      <c r="AC198" s="1105"/>
      <c r="AD198" s="1107"/>
      <c r="AE198" s="1105"/>
      <c r="AF198" s="1107"/>
      <c r="AG198" s="1105"/>
      <c r="AH198" s="1108"/>
      <c r="AI198" s="31"/>
      <c r="AJ198" s="14"/>
    </row>
    <row r="199" spans="2:36" s="236" customFormat="1" ht="15">
      <c r="F199" s="235" t="s">
        <v>116</v>
      </c>
      <c r="J199" s="1085">
        <f>SUM(J190:J198)</f>
        <v>-29303.300000000007</v>
      </c>
      <c r="K199" s="1105"/>
      <c r="L199" s="1086">
        <f>SUM(L190:L198)</f>
        <v>33855.279999999999</v>
      </c>
      <c r="M199" s="1105"/>
      <c r="N199" s="1086">
        <f>SUM(N190:N198)</f>
        <v>27675.280000000002</v>
      </c>
      <c r="O199" s="1105"/>
      <c r="P199" s="1086">
        <f>SUM(P190:P198)</f>
        <v>7081.75</v>
      </c>
      <c r="Q199" s="1105"/>
      <c r="R199" s="1086">
        <f>SUM(R190:R198)</f>
        <v>29422.370000000003</v>
      </c>
      <c r="S199" s="1105"/>
      <c r="T199" s="1086">
        <f>SUM(T190:T198)</f>
        <v>39172.89</v>
      </c>
      <c r="U199" s="1105"/>
      <c r="V199" s="1086">
        <f>SUM(V190:V198)</f>
        <v>3989.3499999999985</v>
      </c>
      <c r="W199" s="1105"/>
      <c r="X199" s="1086">
        <f>SUM(X190:X198)</f>
        <v>9492.8699999999972</v>
      </c>
      <c r="Y199" s="1105"/>
      <c r="Z199" s="1086">
        <f>SUM(Z190:Z198)</f>
        <v>15119.13</v>
      </c>
      <c r="AA199" s="1105"/>
      <c r="AB199" s="1086">
        <f>SUM(AB190:AB198)</f>
        <v>36855.129999999997</v>
      </c>
      <c r="AC199" s="1105"/>
      <c r="AD199" s="1086">
        <f>SUM(AD190:AD198)</f>
        <v>6774.7399999999989</v>
      </c>
      <c r="AE199" s="1105"/>
      <c r="AF199" s="1086">
        <f>SUM(AF190:AF198)</f>
        <v>14621.49</v>
      </c>
      <c r="AG199" s="1105"/>
      <c r="AH199" s="1087">
        <f>SUM(AH190:AH198)</f>
        <v>194756.97999999998</v>
      </c>
      <c r="AI199" s="8">
        <f>IF(AH$58=0,0,AH199/AH$58)</f>
        <v>9.6192807546324807E-3</v>
      </c>
      <c r="AJ199" s="14"/>
    </row>
    <row r="200" spans="2:36" s="236" customFormat="1" ht="15" outlineLevel="1">
      <c r="B200" s="32" t="s">
        <v>17</v>
      </c>
      <c r="J200" s="1085"/>
      <c r="K200" s="1105"/>
      <c r="L200" s="1086"/>
      <c r="M200" s="1105"/>
      <c r="N200" s="1086"/>
      <c r="O200" s="1105"/>
      <c r="P200" s="1086"/>
      <c r="Q200" s="1105"/>
      <c r="R200" s="1086"/>
      <c r="S200" s="1105"/>
      <c r="T200" s="1086"/>
      <c r="U200" s="1105"/>
      <c r="V200" s="1086"/>
      <c r="W200" s="1105"/>
      <c r="X200" s="1086"/>
      <c r="Y200" s="1105"/>
      <c r="Z200" s="1086"/>
      <c r="AA200" s="1105"/>
      <c r="AB200" s="1086"/>
      <c r="AC200" s="1105"/>
      <c r="AD200" s="1086"/>
      <c r="AE200" s="1105"/>
      <c r="AF200" s="1086"/>
      <c r="AG200" s="1105"/>
      <c r="AH200" s="1087"/>
      <c r="AI200" s="31"/>
      <c r="AJ200" s="14"/>
    </row>
    <row r="201" spans="2:36" outlineLevel="1">
      <c r="B201" s="5" t="s">
        <v>117</v>
      </c>
      <c r="D201" s="234">
        <v>91010</v>
      </c>
      <c r="E201" s="234" t="s">
        <v>118</v>
      </c>
      <c r="F201" s="235"/>
      <c r="G201" s="3"/>
      <c r="H201" s="236"/>
      <c r="I201" s="6"/>
      <c r="J201" s="1078">
        <v>0</v>
      </c>
      <c r="K201" s="1080"/>
      <c r="L201" s="1080">
        <v>0</v>
      </c>
      <c r="M201" s="1080"/>
      <c r="N201" s="1080">
        <v>0</v>
      </c>
      <c r="O201" s="1080"/>
      <c r="P201" s="1080">
        <v>-2106.4</v>
      </c>
      <c r="Q201" s="1080"/>
      <c r="R201" s="1080">
        <v>0</v>
      </c>
      <c r="S201" s="1080"/>
      <c r="T201" s="1080">
        <v>0</v>
      </c>
      <c r="U201" s="1080"/>
      <c r="V201" s="1080">
        <v>-1000</v>
      </c>
      <c r="W201" s="1080"/>
      <c r="X201" s="1080">
        <v>0</v>
      </c>
      <c r="Y201" s="1080"/>
      <c r="Z201" s="1080">
        <v>-1422.75</v>
      </c>
      <c r="AA201" s="1080"/>
      <c r="AB201" s="1080">
        <v>-342</v>
      </c>
      <c r="AC201" s="1080"/>
      <c r="AD201" s="1080">
        <v>-187.2</v>
      </c>
      <c r="AE201" s="1080"/>
      <c r="AF201" s="1080">
        <v>-2177.1999999999998</v>
      </c>
      <c r="AG201" s="1080"/>
      <c r="AH201" s="1081">
        <f>AF201+AD201+AB201+Z201+X201+V201+T201+R201+P201+N201+L201+J201</f>
        <v>-7235.5499999999993</v>
      </c>
      <c r="AI201" s="8">
        <f>IF(AH$58=0,0,AH201/AH$58)</f>
        <v>-3.5737248988036805E-4</v>
      </c>
      <c r="AJ201" s="9"/>
    </row>
    <row r="202" spans="2:36" s="236" customFormat="1" ht="5.0999999999999996" customHeight="1" outlineLevel="1">
      <c r="B202" s="1" t="s">
        <v>17</v>
      </c>
      <c r="D202" s="235"/>
      <c r="E202" s="235"/>
      <c r="F202" s="235"/>
      <c r="G202" s="235"/>
      <c r="J202" s="1106"/>
      <c r="K202" s="1105"/>
      <c r="L202" s="1107"/>
      <c r="M202" s="1105"/>
      <c r="N202" s="1107"/>
      <c r="O202" s="1105"/>
      <c r="P202" s="1107"/>
      <c r="Q202" s="1105"/>
      <c r="R202" s="1107"/>
      <c r="S202" s="1105"/>
      <c r="T202" s="1107"/>
      <c r="U202" s="1105"/>
      <c r="V202" s="1107"/>
      <c r="W202" s="1105"/>
      <c r="X202" s="1107"/>
      <c r="Y202" s="1105"/>
      <c r="Z202" s="1107"/>
      <c r="AA202" s="1105"/>
      <c r="AB202" s="1107"/>
      <c r="AC202" s="1105"/>
      <c r="AD202" s="1107"/>
      <c r="AE202" s="1105"/>
      <c r="AF202" s="1107"/>
      <c r="AG202" s="1105"/>
      <c r="AH202" s="1108"/>
      <c r="AI202" s="31"/>
      <c r="AJ202" s="14"/>
    </row>
    <row r="203" spans="2:36" s="236" customFormat="1" ht="15">
      <c r="B203" s="1" t="s">
        <v>17</v>
      </c>
      <c r="F203" s="234" t="s">
        <v>119</v>
      </c>
      <c r="J203" s="1085">
        <f>SUM(J201:J202)</f>
        <v>0</v>
      </c>
      <c r="K203" s="1105"/>
      <c r="L203" s="1086">
        <f>SUM(L201:L202)</f>
        <v>0</v>
      </c>
      <c r="M203" s="1105"/>
      <c r="N203" s="1086">
        <f>SUM(N201:N202)</f>
        <v>0</v>
      </c>
      <c r="O203" s="1105"/>
      <c r="P203" s="1086">
        <f>SUM(P201:P202)</f>
        <v>-2106.4</v>
      </c>
      <c r="Q203" s="1105"/>
      <c r="R203" s="1086">
        <f>SUM(R201:R202)</f>
        <v>0</v>
      </c>
      <c r="S203" s="1105"/>
      <c r="T203" s="1086">
        <f>SUM(T201:T202)</f>
        <v>0</v>
      </c>
      <c r="U203" s="1105"/>
      <c r="V203" s="1086">
        <f>SUM(V201:V202)</f>
        <v>-1000</v>
      </c>
      <c r="W203" s="1105"/>
      <c r="X203" s="1086">
        <f>SUM(X201:X202)</f>
        <v>0</v>
      </c>
      <c r="Y203" s="1105"/>
      <c r="Z203" s="1086">
        <f>SUM(Z201:Z202)</f>
        <v>-1422.75</v>
      </c>
      <c r="AA203" s="1105"/>
      <c r="AB203" s="1086">
        <f>SUM(AB201:AB202)</f>
        <v>-342</v>
      </c>
      <c r="AC203" s="1105"/>
      <c r="AD203" s="1086">
        <f>SUM(AD201:AD202)</f>
        <v>-187.2</v>
      </c>
      <c r="AE203" s="1105"/>
      <c r="AF203" s="1086">
        <f>SUM(AF201:AF202)</f>
        <v>-2177.1999999999998</v>
      </c>
      <c r="AG203" s="1105"/>
      <c r="AH203" s="1087">
        <f>SUM(AH201:AH202)</f>
        <v>-7235.5499999999993</v>
      </c>
      <c r="AI203" s="8">
        <f>IF(AH$58=0,0,AH203/AH$58)</f>
        <v>-3.5737248988036805E-4</v>
      </c>
      <c r="AJ203" s="14"/>
    </row>
    <row r="204" spans="2:36" s="236" customFormat="1" ht="7.5" customHeight="1">
      <c r="B204" s="1"/>
      <c r="J204" s="1085"/>
      <c r="K204" s="1105"/>
      <c r="L204" s="1086"/>
      <c r="M204" s="1105"/>
      <c r="N204" s="1086"/>
      <c r="O204" s="1105"/>
      <c r="P204" s="1086"/>
      <c r="Q204" s="1105"/>
      <c r="R204" s="1086"/>
      <c r="S204" s="1105"/>
      <c r="T204" s="1086"/>
      <c r="U204" s="1105"/>
      <c r="V204" s="1086"/>
      <c r="W204" s="1105"/>
      <c r="X204" s="1086"/>
      <c r="Y204" s="1105"/>
      <c r="Z204" s="1086"/>
      <c r="AA204" s="1105"/>
      <c r="AB204" s="1086"/>
      <c r="AC204" s="1105"/>
      <c r="AD204" s="1086"/>
      <c r="AE204" s="1105"/>
      <c r="AF204" s="1086"/>
      <c r="AG204" s="1105"/>
      <c r="AH204" s="1087"/>
      <c r="AI204" s="31"/>
      <c r="AJ204" s="14"/>
    </row>
    <row r="205" spans="2:36" s="236" customFormat="1" ht="15">
      <c r="B205" s="1"/>
      <c r="E205" s="38" t="s">
        <v>120</v>
      </c>
      <c r="J205" s="1109">
        <f>+J104+J108+J138+J154+J168+J184+J199+J188+J203</f>
        <v>813854.62</v>
      </c>
      <c r="K205" s="1105"/>
      <c r="L205" s="1110">
        <f>+L104+L108+L138+L154+L168+L184+L199+L188+L203</f>
        <v>764885.37</v>
      </c>
      <c r="M205" s="1105"/>
      <c r="N205" s="1110">
        <f>+N104+N108+N138+N154+N168+N184+N199+N188+N203</f>
        <v>748658.17</v>
      </c>
      <c r="O205" s="1105"/>
      <c r="P205" s="1110">
        <f>+P104+P108+P138+P154+P168+P184+P199+P188+P203</f>
        <v>735082.31999999972</v>
      </c>
      <c r="Q205" s="1105"/>
      <c r="R205" s="1110">
        <f>+R104+R108+R138+R154+R168+R184+R199+R188+R203</f>
        <v>790411.3899999999</v>
      </c>
      <c r="S205" s="1105"/>
      <c r="T205" s="1110">
        <f>+T104+T108+T138+T154+T168+T184+T199+T188+T203</f>
        <v>820835.82000000018</v>
      </c>
      <c r="U205" s="1105"/>
      <c r="V205" s="1110">
        <f>+V104+V108+V138+V154+V168+V184+V199+V188+V203</f>
        <v>679418.0399999998</v>
      </c>
      <c r="W205" s="1105"/>
      <c r="X205" s="1110">
        <f>+X104+X108+X138+X154+X168+X184+X199+X188+X203</f>
        <v>742518.04</v>
      </c>
      <c r="Y205" s="1105"/>
      <c r="Z205" s="1110">
        <f>+Z104+Z108+Z138+Z154+Z168+Z184+Z199+Z188+Z203</f>
        <v>811492.97000000009</v>
      </c>
      <c r="AA205" s="1105"/>
      <c r="AB205" s="1110">
        <f>+AB104+AB108+AB138+AB154+AB168+AB184+AB199+AB188+AB203</f>
        <v>758878.78000000014</v>
      </c>
      <c r="AC205" s="1105"/>
      <c r="AD205" s="1110">
        <f>+AD104+AD108+AD138+AD154+AD168+AD184+AD199+AD188+AD203</f>
        <v>697702.81000000017</v>
      </c>
      <c r="AE205" s="1105"/>
      <c r="AF205" s="1110">
        <f>+AF104+AF108+AF138+AF154+AF168+AF184+AF199+AF188+AF203</f>
        <v>785972.74999999977</v>
      </c>
      <c r="AG205" s="1105"/>
      <c r="AH205" s="1111">
        <f>+AH104+AH108+AH138+AH154+AH168+AH184+AH199+AH188+AH203</f>
        <v>9149711.0800000001</v>
      </c>
      <c r="AI205" s="8">
        <f>IF(AH$58=0,0,AH205/AH$58)</f>
        <v>0.45191520068904117</v>
      </c>
      <c r="AJ205" s="14"/>
    </row>
    <row r="206" spans="2:36" s="236" customFormat="1" ht="7.5" customHeight="1">
      <c r="B206" s="1"/>
      <c r="J206" s="1085"/>
      <c r="K206" s="1105"/>
      <c r="L206" s="1086"/>
      <c r="M206" s="1105"/>
      <c r="N206" s="1086"/>
      <c r="O206" s="1105"/>
      <c r="P206" s="1086"/>
      <c r="Q206" s="1105"/>
      <c r="R206" s="1086"/>
      <c r="S206" s="1105"/>
      <c r="T206" s="1086"/>
      <c r="U206" s="1105"/>
      <c r="V206" s="1086"/>
      <c r="W206" s="1105"/>
      <c r="X206" s="1086"/>
      <c r="Y206" s="1105"/>
      <c r="Z206" s="1086"/>
      <c r="AA206" s="1105"/>
      <c r="AB206" s="1086"/>
      <c r="AC206" s="1105"/>
      <c r="AD206" s="1086"/>
      <c r="AE206" s="1105"/>
      <c r="AF206" s="1086"/>
      <c r="AG206" s="1105"/>
      <c r="AH206" s="1087"/>
      <c r="AI206" s="31"/>
      <c r="AJ206" s="14"/>
    </row>
    <row r="207" spans="2:36" s="236" customFormat="1" ht="15">
      <c r="B207" s="32" t="s">
        <v>17</v>
      </c>
      <c r="E207" s="38" t="s">
        <v>121</v>
      </c>
      <c r="J207" s="1109">
        <f>J89-J205</f>
        <v>289243.21999999986</v>
      </c>
      <c r="K207" s="1105"/>
      <c r="L207" s="1110">
        <f>L89-L205</f>
        <v>421519.01999999967</v>
      </c>
      <c r="M207" s="1105"/>
      <c r="N207" s="1110">
        <f>N89-N205</f>
        <v>460209.79000000015</v>
      </c>
      <c r="O207" s="1105"/>
      <c r="P207" s="1110">
        <f>P89-P205</f>
        <v>471283.40000000049</v>
      </c>
      <c r="Q207" s="1105"/>
      <c r="R207" s="1110">
        <f>R89-R205</f>
        <v>422273.69999999995</v>
      </c>
      <c r="S207" s="1105"/>
      <c r="T207" s="1110">
        <f>T89-T205</f>
        <v>398870.6999999996</v>
      </c>
      <c r="U207" s="1105"/>
      <c r="V207" s="1110">
        <f>V89-V205</f>
        <v>551984.04000000027</v>
      </c>
      <c r="W207" s="1105"/>
      <c r="X207" s="1110">
        <f>X89-X205</f>
        <v>456451.98</v>
      </c>
      <c r="Y207" s="1105"/>
      <c r="Z207" s="1110">
        <f>Z89-Z205</f>
        <v>337181.26000000013</v>
      </c>
      <c r="AA207" s="1105"/>
      <c r="AB207" s="1110">
        <f>AB89-AB205</f>
        <v>437069.39</v>
      </c>
      <c r="AC207" s="1105"/>
      <c r="AD207" s="1110">
        <f>AD89-AD205</f>
        <v>541482.7699999999</v>
      </c>
      <c r="AE207" s="1105"/>
      <c r="AF207" s="1110">
        <f>AF89-AF205</f>
        <v>443801.00000000023</v>
      </c>
      <c r="AG207" s="1105"/>
      <c r="AH207" s="1111">
        <f>AH89-AH205</f>
        <v>5231370.2700000014</v>
      </c>
      <c r="AI207" s="8">
        <f>IF(AH$58=0,0,AH207/AH$58)</f>
        <v>0.25838365001638214</v>
      </c>
      <c r="AJ207" s="14"/>
    </row>
    <row r="208" spans="2:36" s="236" customFormat="1" ht="7.5" customHeight="1">
      <c r="B208" s="32" t="s">
        <v>17</v>
      </c>
      <c r="J208" s="1085"/>
      <c r="K208" s="1105"/>
      <c r="L208" s="1086"/>
      <c r="M208" s="1105"/>
      <c r="N208" s="1086"/>
      <c r="O208" s="1105"/>
      <c r="P208" s="1086"/>
      <c r="Q208" s="1105"/>
      <c r="R208" s="1086"/>
      <c r="S208" s="1105"/>
      <c r="T208" s="1086"/>
      <c r="U208" s="1105"/>
      <c r="V208" s="1086"/>
      <c r="W208" s="1105"/>
      <c r="X208" s="1086"/>
      <c r="Y208" s="1105"/>
      <c r="Z208" s="1086"/>
      <c r="AA208" s="1105"/>
      <c r="AB208" s="1086"/>
      <c r="AC208" s="1105"/>
      <c r="AD208" s="1086"/>
      <c r="AE208" s="1105"/>
      <c r="AF208" s="1086"/>
      <c r="AG208" s="1105"/>
      <c r="AH208" s="1087"/>
      <c r="AI208" s="31"/>
      <c r="AJ208" s="14"/>
    </row>
    <row r="209" spans="2:36" s="236" customFormat="1" ht="15" outlineLevel="1">
      <c r="B209" s="32" t="s">
        <v>17</v>
      </c>
      <c r="J209" s="1085"/>
      <c r="K209" s="1105"/>
      <c r="L209" s="1086"/>
      <c r="M209" s="1105"/>
      <c r="N209" s="1086"/>
      <c r="O209" s="1105"/>
      <c r="P209" s="1086"/>
      <c r="Q209" s="1105"/>
      <c r="R209" s="1086"/>
      <c r="S209" s="1105"/>
      <c r="T209" s="1086"/>
      <c r="U209" s="1105"/>
      <c r="V209" s="1086"/>
      <c r="W209" s="1105"/>
      <c r="X209" s="1086"/>
      <c r="Y209" s="1105"/>
      <c r="Z209" s="1086"/>
      <c r="AA209" s="1105"/>
      <c r="AB209" s="1086"/>
      <c r="AC209" s="1105"/>
      <c r="AD209" s="1086"/>
      <c r="AE209" s="1105"/>
      <c r="AF209" s="1086"/>
      <c r="AG209" s="1105"/>
      <c r="AH209" s="1087"/>
      <c r="AI209" s="31"/>
      <c r="AJ209" s="14"/>
    </row>
    <row r="210" spans="2:36" outlineLevel="1">
      <c r="B210" s="5" t="s">
        <v>122</v>
      </c>
      <c r="D210" s="234"/>
      <c r="E210" s="234"/>
      <c r="F210" s="235"/>
      <c r="G210" s="3"/>
      <c r="H210" s="236"/>
      <c r="I210" s="6"/>
      <c r="J210" s="1078"/>
      <c r="K210" s="1080"/>
      <c r="L210" s="1080"/>
      <c r="M210" s="1080"/>
      <c r="N210" s="1080"/>
      <c r="O210" s="1080"/>
      <c r="P210" s="1080"/>
      <c r="Q210" s="1080"/>
      <c r="R210" s="1080"/>
      <c r="S210" s="1080"/>
      <c r="T210" s="1080"/>
      <c r="U210" s="1080"/>
      <c r="V210" s="1080"/>
      <c r="W210" s="1080"/>
      <c r="X210" s="1080"/>
      <c r="Y210" s="1080"/>
      <c r="Z210" s="1080"/>
      <c r="AA210" s="1080"/>
      <c r="AB210" s="1080"/>
      <c r="AC210" s="1080"/>
      <c r="AD210" s="1080"/>
      <c r="AE210" s="1080"/>
      <c r="AF210" s="1080"/>
      <c r="AG210" s="1080"/>
      <c r="AH210" s="1081">
        <f>AF210+AD210+AB210+Z210+X210+V210+T210+R210+P210+N210+L210+J210</f>
        <v>0</v>
      </c>
      <c r="AI210" s="8">
        <f>IF(AH$58=0,0,AH210/AH$58)</f>
        <v>0</v>
      </c>
      <c r="AJ210" s="9"/>
    </row>
    <row r="211" spans="2:36" s="236" customFormat="1" ht="5.0999999999999996" customHeight="1" outlineLevel="1">
      <c r="B211" s="1" t="s">
        <v>17</v>
      </c>
      <c r="D211" s="235"/>
      <c r="E211" s="235"/>
      <c r="F211" s="235"/>
      <c r="G211" s="235"/>
      <c r="J211" s="1106"/>
      <c r="K211" s="1105"/>
      <c r="L211" s="1107"/>
      <c r="M211" s="1105"/>
      <c r="N211" s="1107"/>
      <c r="O211" s="1105"/>
      <c r="P211" s="1107"/>
      <c r="Q211" s="1105"/>
      <c r="R211" s="1107"/>
      <c r="S211" s="1105"/>
      <c r="T211" s="1107"/>
      <c r="U211" s="1105"/>
      <c r="V211" s="1107"/>
      <c r="W211" s="1105"/>
      <c r="X211" s="1107"/>
      <c r="Y211" s="1105"/>
      <c r="Z211" s="1107"/>
      <c r="AA211" s="1105"/>
      <c r="AB211" s="1107"/>
      <c r="AC211" s="1105"/>
      <c r="AD211" s="1107"/>
      <c r="AE211" s="1105"/>
      <c r="AF211" s="1107"/>
      <c r="AG211" s="1105"/>
      <c r="AH211" s="1108"/>
      <c r="AI211" s="31"/>
      <c r="AJ211" s="14"/>
    </row>
    <row r="212" spans="2:36" s="236" customFormat="1" ht="15">
      <c r="B212" s="1" t="s">
        <v>17</v>
      </c>
      <c r="F212" s="235" t="s">
        <v>124</v>
      </c>
      <c r="J212" s="1085">
        <f>SUM(J209:J211)</f>
        <v>0</v>
      </c>
      <c r="K212" s="1105"/>
      <c r="L212" s="1086">
        <f>SUM(L209:L211)</f>
        <v>0</v>
      </c>
      <c r="M212" s="1105"/>
      <c r="N212" s="1086">
        <f>SUM(N209:N211)</f>
        <v>0</v>
      </c>
      <c r="O212" s="1105"/>
      <c r="P212" s="1086">
        <f>SUM(P209:P211)</f>
        <v>0</v>
      </c>
      <c r="Q212" s="1105"/>
      <c r="R212" s="1086">
        <f>SUM(R209:R211)</f>
        <v>0</v>
      </c>
      <c r="S212" s="1105"/>
      <c r="T212" s="1086">
        <f>SUM(T209:T211)</f>
        <v>0</v>
      </c>
      <c r="U212" s="1105"/>
      <c r="V212" s="1086">
        <f>SUM(V209:V211)</f>
        <v>0</v>
      </c>
      <c r="W212" s="1105"/>
      <c r="X212" s="1086">
        <f>SUM(X209:X211)</f>
        <v>0</v>
      </c>
      <c r="Y212" s="1105"/>
      <c r="Z212" s="1086">
        <f>SUM(Z209:Z211)</f>
        <v>0</v>
      </c>
      <c r="AA212" s="1105"/>
      <c r="AB212" s="1086">
        <f>SUM(AB209:AB211)</f>
        <v>0</v>
      </c>
      <c r="AC212" s="1105"/>
      <c r="AD212" s="1086">
        <f>SUM(AD209:AD211)</f>
        <v>0</v>
      </c>
      <c r="AE212" s="1105"/>
      <c r="AF212" s="1086">
        <f>SUM(AF209:AF211)</f>
        <v>0</v>
      </c>
      <c r="AG212" s="1105"/>
      <c r="AH212" s="1087">
        <f>SUM(AH209:AH211)</f>
        <v>0</v>
      </c>
      <c r="AI212" s="8">
        <f>IF(AH$58=0,0,AH212/AH$58)</f>
        <v>0</v>
      </c>
      <c r="AJ212" s="14"/>
    </row>
    <row r="213" spans="2:36" s="236" customFormat="1" ht="15" outlineLevel="1">
      <c r="B213" s="1"/>
      <c r="J213" s="1085"/>
      <c r="K213" s="1105"/>
      <c r="L213" s="1086"/>
      <c r="M213" s="1105"/>
      <c r="N213" s="1086"/>
      <c r="O213" s="1105"/>
      <c r="P213" s="1086"/>
      <c r="Q213" s="1105"/>
      <c r="R213" s="1086"/>
      <c r="S213" s="1105"/>
      <c r="T213" s="1086"/>
      <c r="U213" s="1105"/>
      <c r="V213" s="1086"/>
      <c r="W213" s="1105"/>
      <c r="X213" s="1086"/>
      <c r="Y213" s="1105"/>
      <c r="Z213" s="1086"/>
      <c r="AA213" s="1105"/>
      <c r="AB213" s="1086"/>
      <c r="AC213" s="1105"/>
      <c r="AD213" s="1086"/>
      <c r="AE213" s="1105"/>
      <c r="AF213" s="1086"/>
      <c r="AG213" s="1105"/>
      <c r="AH213" s="1087"/>
      <c r="AI213" s="31"/>
      <c r="AJ213" s="14"/>
    </row>
    <row r="214" spans="2:36" s="236" customFormat="1" ht="15" outlineLevel="1">
      <c r="B214" s="1" t="s">
        <v>17</v>
      </c>
      <c r="J214" s="1085"/>
      <c r="K214" s="1105"/>
      <c r="L214" s="1086"/>
      <c r="M214" s="1105"/>
      <c r="N214" s="1086"/>
      <c r="O214" s="1105"/>
      <c r="P214" s="1086"/>
      <c r="Q214" s="1105"/>
      <c r="R214" s="1086"/>
      <c r="S214" s="1105"/>
      <c r="T214" s="1086"/>
      <c r="U214" s="1105"/>
      <c r="V214" s="1086"/>
      <c r="W214" s="1105"/>
      <c r="X214" s="1086"/>
      <c r="Y214" s="1105"/>
      <c r="Z214" s="1086"/>
      <c r="AA214" s="1105"/>
      <c r="AB214" s="1086"/>
      <c r="AC214" s="1105"/>
      <c r="AD214" s="1086"/>
      <c r="AE214" s="1105"/>
      <c r="AF214" s="1086"/>
      <c r="AG214" s="1105"/>
      <c r="AH214" s="1087"/>
      <c r="AI214" s="31"/>
      <c r="AJ214" s="14"/>
    </row>
    <row r="215" spans="2:36" outlineLevel="1">
      <c r="B215" s="5" t="s">
        <v>125</v>
      </c>
      <c r="D215" s="234">
        <v>70010</v>
      </c>
      <c r="E215" s="234" t="s">
        <v>62</v>
      </c>
      <c r="F215" s="235"/>
      <c r="G215" s="3"/>
      <c r="H215" s="236"/>
      <c r="I215" s="6"/>
      <c r="J215" s="1078">
        <v>43496.53</v>
      </c>
      <c r="K215" s="1080"/>
      <c r="L215" s="1080">
        <v>42255.48</v>
      </c>
      <c r="M215" s="1080"/>
      <c r="N215" s="1080">
        <v>43722.22</v>
      </c>
      <c r="O215" s="1080"/>
      <c r="P215" s="1080">
        <v>35855.620000000003</v>
      </c>
      <c r="Q215" s="1080"/>
      <c r="R215" s="1080">
        <v>43797.31</v>
      </c>
      <c r="S215" s="1080"/>
      <c r="T215" s="1080">
        <v>43129.73</v>
      </c>
      <c r="U215" s="1080"/>
      <c r="V215" s="1080">
        <v>52996.21</v>
      </c>
      <c r="W215" s="1080"/>
      <c r="X215" s="1080">
        <v>45678.54</v>
      </c>
      <c r="Y215" s="1080"/>
      <c r="Z215" s="1080">
        <v>47838.66</v>
      </c>
      <c r="AA215" s="1080"/>
      <c r="AB215" s="1080">
        <v>31001.62</v>
      </c>
      <c r="AC215" s="1080"/>
      <c r="AD215" s="1080">
        <v>30036.76</v>
      </c>
      <c r="AE215" s="1080"/>
      <c r="AF215" s="1080">
        <v>29647.26</v>
      </c>
      <c r="AG215" s="1080"/>
      <c r="AH215" s="1081">
        <f t="shared" ref="AH215:AH258" si="22">AF215+AD215+AB215+Z215+X215+V215+T215+R215+P215+N215+L215+J215</f>
        <v>489455.93999999994</v>
      </c>
      <c r="AI215" s="8">
        <f t="shared" ref="AI215:AI258" si="23">IF(AH$58=0,0,AH215/AH$58)</f>
        <v>2.4174815731290093E-2</v>
      </c>
      <c r="AJ215" s="9"/>
    </row>
    <row r="216" spans="2:36" outlineLevel="1">
      <c r="B216" s="5" t="s">
        <v>24</v>
      </c>
      <c r="D216" s="234">
        <v>70020</v>
      </c>
      <c r="E216" s="234" t="s">
        <v>63</v>
      </c>
      <c r="F216" s="235"/>
      <c r="G216" s="3"/>
      <c r="H216" s="236"/>
      <c r="I216" s="6"/>
      <c r="J216" s="1078">
        <v>22229.89</v>
      </c>
      <c r="K216" s="1080"/>
      <c r="L216" s="1080">
        <v>25959.88</v>
      </c>
      <c r="M216" s="1080"/>
      <c r="N216" s="1080">
        <v>24638.27</v>
      </c>
      <c r="O216" s="1080"/>
      <c r="P216" s="1080">
        <v>25286.21</v>
      </c>
      <c r="Q216" s="1080"/>
      <c r="R216" s="1080">
        <v>24906.68</v>
      </c>
      <c r="S216" s="1080"/>
      <c r="T216" s="1080">
        <v>27112.91</v>
      </c>
      <c r="U216" s="1080"/>
      <c r="V216" s="1080">
        <v>24702.06</v>
      </c>
      <c r="W216" s="1080"/>
      <c r="X216" s="1080">
        <v>24192.6</v>
      </c>
      <c r="Y216" s="1080"/>
      <c r="Z216" s="1080">
        <v>26989.58</v>
      </c>
      <c r="AA216" s="1080"/>
      <c r="AB216" s="1080">
        <v>26298.29</v>
      </c>
      <c r="AC216" s="1080"/>
      <c r="AD216" s="1080">
        <v>25137</v>
      </c>
      <c r="AE216" s="1080"/>
      <c r="AF216" s="1080">
        <v>29158.49</v>
      </c>
      <c r="AG216" s="1080"/>
      <c r="AH216" s="1081">
        <f t="shared" si="22"/>
        <v>306611.86</v>
      </c>
      <c r="AI216" s="8">
        <f t="shared" si="23"/>
        <v>1.5143927391152135E-2</v>
      </c>
      <c r="AJ216" s="9"/>
    </row>
    <row r="217" spans="2:36" outlineLevel="1">
      <c r="B217" s="5" t="s">
        <v>24</v>
      </c>
      <c r="D217" s="234">
        <v>70025</v>
      </c>
      <c r="E217" s="234" t="s">
        <v>64</v>
      </c>
      <c r="F217" s="235"/>
      <c r="G217" s="3"/>
      <c r="H217" s="236"/>
      <c r="I217" s="6"/>
      <c r="J217" s="1078">
        <v>527.25</v>
      </c>
      <c r="K217" s="1080"/>
      <c r="L217" s="1080">
        <v>439.1</v>
      </c>
      <c r="M217" s="1080"/>
      <c r="N217" s="1080">
        <v>388.6</v>
      </c>
      <c r="O217" s="1080"/>
      <c r="P217" s="1080">
        <v>620.94000000000005</v>
      </c>
      <c r="Q217" s="1080"/>
      <c r="R217" s="1080">
        <v>274.08</v>
      </c>
      <c r="S217" s="1080"/>
      <c r="T217" s="1080">
        <v>519.87</v>
      </c>
      <c r="U217" s="1080"/>
      <c r="V217" s="1080">
        <v>617.05999999999995</v>
      </c>
      <c r="W217" s="1080"/>
      <c r="X217" s="1080">
        <v>413.42</v>
      </c>
      <c r="Y217" s="1080"/>
      <c r="Z217" s="1080">
        <v>578.66</v>
      </c>
      <c r="AA217" s="1080"/>
      <c r="AB217" s="1080">
        <v>444.03</v>
      </c>
      <c r="AC217" s="1080"/>
      <c r="AD217" s="1080">
        <v>409.84</v>
      </c>
      <c r="AE217" s="1080"/>
      <c r="AF217" s="1080">
        <v>1159.1500000000001</v>
      </c>
      <c r="AG217" s="1080"/>
      <c r="AH217" s="1081">
        <f t="shared" si="22"/>
        <v>6392</v>
      </c>
      <c r="AI217" s="8">
        <f t="shared" si="23"/>
        <v>3.1570854396905735E-4</v>
      </c>
      <c r="AJ217" s="9"/>
    </row>
    <row r="218" spans="2:36" outlineLevel="1">
      <c r="B218" s="5" t="s">
        <v>24</v>
      </c>
      <c r="D218" s="234">
        <v>70036</v>
      </c>
      <c r="E218" s="234" t="s">
        <v>66</v>
      </c>
      <c r="F218" s="235"/>
      <c r="G218" s="3"/>
      <c r="H218" s="236"/>
      <c r="I218" s="6"/>
      <c r="J218" s="1078">
        <v>3397.34</v>
      </c>
      <c r="K218" s="1080"/>
      <c r="L218" s="1080">
        <v>692.67</v>
      </c>
      <c r="M218" s="1080"/>
      <c r="N218" s="1080">
        <v>667.77</v>
      </c>
      <c r="O218" s="1080"/>
      <c r="P218" s="1080">
        <v>2804.43</v>
      </c>
      <c r="Q218" s="1080"/>
      <c r="R218" s="1080">
        <v>1081.8800000000001</v>
      </c>
      <c r="S218" s="1080"/>
      <c r="T218" s="1080">
        <v>2277.0300000000002</v>
      </c>
      <c r="U218" s="1080"/>
      <c r="V218" s="1080">
        <v>1649.96</v>
      </c>
      <c r="W218" s="1080"/>
      <c r="X218" s="1080">
        <v>1239.97</v>
      </c>
      <c r="Y218" s="1080"/>
      <c r="Z218" s="1080">
        <v>541</v>
      </c>
      <c r="AA218" s="1080"/>
      <c r="AB218" s="1080">
        <v>6609.65</v>
      </c>
      <c r="AC218" s="1080"/>
      <c r="AD218" s="1080">
        <v>1240.0899999999999</v>
      </c>
      <c r="AE218" s="1080"/>
      <c r="AF218" s="1080">
        <v>536.94000000000005</v>
      </c>
      <c r="AG218" s="1080"/>
      <c r="AH218" s="1081">
        <f t="shared" si="22"/>
        <v>22738.73</v>
      </c>
      <c r="AI218" s="8">
        <f t="shared" si="23"/>
        <v>1.1230931382987363E-3</v>
      </c>
      <c r="AJ218" s="9"/>
    </row>
    <row r="219" spans="2:36" outlineLevel="1">
      <c r="B219" s="5" t="s">
        <v>24</v>
      </c>
      <c r="D219" s="234">
        <v>70050</v>
      </c>
      <c r="E219" s="234" t="s">
        <v>68</v>
      </c>
      <c r="F219" s="235"/>
      <c r="G219" s="3"/>
      <c r="H219" s="236"/>
      <c r="I219" s="6"/>
      <c r="J219" s="1078">
        <v>3596.19</v>
      </c>
      <c r="K219" s="1080"/>
      <c r="L219" s="1080">
        <v>3999.24</v>
      </c>
      <c r="M219" s="1080"/>
      <c r="N219" s="1080">
        <v>3438.93</v>
      </c>
      <c r="O219" s="1080"/>
      <c r="P219" s="1080">
        <v>3392.27</v>
      </c>
      <c r="Q219" s="1080"/>
      <c r="R219" s="1080">
        <v>3653</v>
      </c>
      <c r="S219" s="1080"/>
      <c r="T219" s="1080">
        <v>4159.6000000000004</v>
      </c>
      <c r="U219" s="1080"/>
      <c r="V219" s="1080">
        <v>5052.95</v>
      </c>
      <c r="W219" s="1080"/>
      <c r="X219" s="1080">
        <v>6902.34</v>
      </c>
      <c r="Y219" s="1080"/>
      <c r="Z219" s="1080">
        <v>3861.92</v>
      </c>
      <c r="AA219" s="1080"/>
      <c r="AB219" s="1080">
        <v>6307.91</v>
      </c>
      <c r="AC219" s="1080"/>
      <c r="AD219" s="1080">
        <v>4774.51</v>
      </c>
      <c r="AE219" s="1080"/>
      <c r="AF219" s="1080">
        <v>4818.71</v>
      </c>
      <c r="AG219" s="1080"/>
      <c r="AH219" s="1081">
        <f t="shared" si="22"/>
        <v>53957.57</v>
      </c>
      <c r="AI219" s="8">
        <f t="shared" si="23"/>
        <v>2.6650290770976986E-3</v>
      </c>
      <c r="AJ219" s="9"/>
    </row>
    <row r="220" spans="2:36" outlineLevel="1">
      <c r="B220" s="5" t="s">
        <v>24</v>
      </c>
      <c r="D220" s="234">
        <v>70060</v>
      </c>
      <c r="E220" s="234" t="s">
        <v>69</v>
      </c>
      <c r="F220" s="235"/>
      <c r="G220" s="3"/>
      <c r="H220" s="236"/>
      <c r="I220" s="6"/>
      <c r="J220" s="1078">
        <v>10830.24</v>
      </c>
      <c r="K220" s="1080"/>
      <c r="L220" s="1080">
        <v>14441.66</v>
      </c>
      <c r="M220" s="1080"/>
      <c r="N220" s="1080">
        <v>13479.67</v>
      </c>
      <c r="O220" s="1080"/>
      <c r="P220" s="1080">
        <v>12271.91</v>
      </c>
      <c r="Q220" s="1080"/>
      <c r="R220" s="1080">
        <v>12278.41</v>
      </c>
      <c r="S220" s="1080"/>
      <c r="T220" s="1080">
        <v>14814.5</v>
      </c>
      <c r="U220" s="1080"/>
      <c r="V220" s="1080">
        <v>15142.8</v>
      </c>
      <c r="W220" s="1080"/>
      <c r="X220" s="1080">
        <v>14798.05</v>
      </c>
      <c r="Y220" s="1080"/>
      <c r="Z220" s="1080">
        <v>14797.52</v>
      </c>
      <c r="AA220" s="1080"/>
      <c r="AB220" s="1080">
        <v>16417.57</v>
      </c>
      <c r="AC220" s="1080"/>
      <c r="AD220" s="1080">
        <v>16457.14</v>
      </c>
      <c r="AE220" s="1080"/>
      <c r="AF220" s="1080">
        <v>15445.84</v>
      </c>
      <c r="AG220" s="1080"/>
      <c r="AH220" s="1081">
        <f t="shared" si="22"/>
        <v>171175.31000000003</v>
      </c>
      <c r="AI220" s="8">
        <f t="shared" si="23"/>
        <v>8.4545537990538214E-3</v>
      </c>
      <c r="AJ220" s="9"/>
    </row>
    <row r="221" spans="2:36" outlineLevel="1">
      <c r="B221" s="5" t="s">
        <v>24</v>
      </c>
      <c r="D221" s="234">
        <v>70065</v>
      </c>
      <c r="E221" s="234" t="s">
        <v>70</v>
      </c>
      <c r="F221" s="235"/>
      <c r="G221" s="3"/>
      <c r="H221" s="236"/>
      <c r="I221" s="6"/>
      <c r="J221" s="1078">
        <v>978.84</v>
      </c>
      <c r="K221" s="1080"/>
      <c r="L221" s="1080">
        <v>1451.38</v>
      </c>
      <c r="M221" s="1080"/>
      <c r="N221" s="1080">
        <v>979.22</v>
      </c>
      <c r="O221" s="1080"/>
      <c r="P221" s="1080">
        <v>1519.09</v>
      </c>
      <c r="Q221" s="1080"/>
      <c r="R221" s="1080">
        <v>959.28</v>
      </c>
      <c r="S221" s="1080"/>
      <c r="T221" s="1080">
        <v>1048.8900000000001</v>
      </c>
      <c r="U221" s="1080"/>
      <c r="V221" s="1080">
        <v>1877.53</v>
      </c>
      <c r="W221" s="1080"/>
      <c r="X221" s="1080">
        <v>1032.9000000000001</v>
      </c>
      <c r="Y221" s="1080"/>
      <c r="Z221" s="1080">
        <v>1198.71</v>
      </c>
      <c r="AA221" s="1080"/>
      <c r="AB221" s="1080">
        <v>615.91</v>
      </c>
      <c r="AC221" s="1080"/>
      <c r="AD221" s="1080">
        <v>866.72</v>
      </c>
      <c r="AE221" s="1080"/>
      <c r="AF221" s="1080">
        <v>687.8</v>
      </c>
      <c r="AG221" s="1080"/>
      <c r="AH221" s="1081">
        <f t="shared" si="22"/>
        <v>13216.27</v>
      </c>
      <c r="AI221" s="8">
        <f t="shared" si="23"/>
        <v>6.5276742152721109E-4</v>
      </c>
      <c r="AJ221" s="9"/>
    </row>
    <row r="222" spans="2:36" outlineLevel="1">
      <c r="B222" s="5" t="s">
        <v>24</v>
      </c>
      <c r="D222" s="234">
        <v>70070</v>
      </c>
      <c r="E222" s="234" t="s">
        <v>71</v>
      </c>
      <c r="F222" s="235"/>
      <c r="G222" s="3"/>
      <c r="H222" s="236"/>
      <c r="I222" s="6"/>
      <c r="J222" s="1078">
        <v>7555.05</v>
      </c>
      <c r="K222" s="1080"/>
      <c r="L222" s="1080">
        <v>-660.48</v>
      </c>
      <c r="M222" s="1080"/>
      <c r="N222" s="1080">
        <v>5985.64</v>
      </c>
      <c r="O222" s="1080"/>
      <c r="P222" s="1080">
        <v>-4625.45</v>
      </c>
      <c r="Q222" s="1080"/>
      <c r="R222" s="1080">
        <v>1241.53</v>
      </c>
      <c r="S222" s="1080"/>
      <c r="T222" s="1080">
        <v>783.68</v>
      </c>
      <c r="U222" s="1080"/>
      <c r="V222" s="1080">
        <v>1412.24</v>
      </c>
      <c r="W222" s="1080"/>
      <c r="X222" s="1080">
        <v>1371.39</v>
      </c>
      <c r="Y222" s="1080"/>
      <c r="Z222" s="1080">
        <v>-6483.64</v>
      </c>
      <c r="AA222" s="1080"/>
      <c r="AB222" s="1080">
        <v>1693.99</v>
      </c>
      <c r="AC222" s="1080"/>
      <c r="AD222" s="1080">
        <v>855.08</v>
      </c>
      <c r="AE222" s="1080"/>
      <c r="AF222" s="1080">
        <v>-3145.57</v>
      </c>
      <c r="AG222" s="1080"/>
      <c r="AH222" s="1081">
        <f t="shared" si="22"/>
        <v>5983.4600000000009</v>
      </c>
      <c r="AI222" s="8">
        <f t="shared" si="23"/>
        <v>2.9553026353208636E-4</v>
      </c>
      <c r="AJ222" s="9"/>
    </row>
    <row r="223" spans="2:36" outlineLevel="1">
      <c r="B223" s="5" t="s">
        <v>24</v>
      </c>
      <c r="D223" s="234">
        <v>70086</v>
      </c>
      <c r="E223" s="234" t="s">
        <v>72</v>
      </c>
      <c r="F223" s="235"/>
      <c r="G223" s="3"/>
      <c r="H223" s="236"/>
      <c r="I223" s="6"/>
      <c r="J223" s="1078">
        <v>0</v>
      </c>
      <c r="K223" s="1080"/>
      <c r="L223" s="1080">
        <v>0</v>
      </c>
      <c r="M223" s="1080"/>
      <c r="N223" s="1080">
        <v>0</v>
      </c>
      <c r="O223" s="1080"/>
      <c r="P223" s="1080">
        <v>0</v>
      </c>
      <c r="Q223" s="1080"/>
      <c r="R223" s="1080">
        <v>0</v>
      </c>
      <c r="S223" s="1080"/>
      <c r="T223" s="1080">
        <v>100</v>
      </c>
      <c r="U223" s="1080"/>
      <c r="V223" s="1080">
        <v>0</v>
      </c>
      <c r="W223" s="1080"/>
      <c r="X223" s="1080">
        <v>0</v>
      </c>
      <c r="Y223" s="1080"/>
      <c r="Z223" s="1080">
        <v>0</v>
      </c>
      <c r="AA223" s="1080"/>
      <c r="AB223" s="1080">
        <v>0</v>
      </c>
      <c r="AC223" s="1080"/>
      <c r="AD223" s="1080">
        <v>0</v>
      </c>
      <c r="AE223" s="1080"/>
      <c r="AF223" s="1080">
        <v>0</v>
      </c>
      <c r="AG223" s="1080"/>
      <c r="AH223" s="1081">
        <f t="shared" si="22"/>
        <v>100</v>
      </c>
      <c r="AI223" s="8">
        <f t="shared" si="23"/>
        <v>4.9391198993907593E-6</v>
      </c>
      <c r="AJ223" s="9"/>
    </row>
    <row r="224" spans="2:36" outlineLevel="1">
      <c r="B224" s="5" t="s">
        <v>24</v>
      </c>
      <c r="D224" s="234">
        <v>70095</v>
      </c>
      <c r="E224" s="234" t="s">
        <v>99</v>
      </c>
      <c r="F224" s="235"/>
      <c r="G224" s="3"/>
      <c r="H224" s="236"/>
      <c r="I224" s="6"/>
      <c r="J224" s="1078">
        <v>1706.04</v>
      </c>
      <c r="K224" s="1080"/>
      <c r="L224" s="1080">
        <v>639.29999999999995</v>
      </c>
      <c r="M224" s="1080"/>
      <c r="N224" s="1080">
        <v>1449.84</v>
      </c>
      <c r="O224" s="1080"/>
      <c r="P224" s="1080">
        <v>1801.15</v>
      </c>
      <c r="Q224" s="1080"/>
      <c r="R224" s="1080">
        <v>458.63</v>
      </c>
      <c r="S224" s="1080"/>
      <c r="T224" s="1080">
        <v>1106.93</v>
      </c>
      <c r="U224" s="1080"/>
      <c r="V224" s="1080">
        <v>2422.9</v>
      </c>
      <c r="W224" s="1080"/>
      <c r="X224" s="1080">
        <v>4127.3900000000003</v>
      </c>
      <c r="Y224" s="1080"/>
      <c r="Z224" s="1080">
        <v>5237.5</v>
      </c>
      <c r="AA224" s="1080"/>
      <c r="AB224" s="1080">
        <v>2357.42</v>
      </c>
      <c r="AC224" s="1080"/>
      <c r="AD224" s="1080">
        <v>1567.35</v>
      </c>
      <c r="AE224" s="1080"/>
      <c r="AF224" s="1080">
        <v>1729.46</v>
      </c>
      <c r="AG224" s="1080"/>
      <c r="AH224" s="1081">
        <f t="shared" si="22"/>
        <v>24603.910000000003</v>
      </c>
      <c r="AI224" s="8">
        <f t="shared" si="23"/>
        <v>1.215216614838193E-3</v>
      </c>
      <c r="AJ224" s="9"/>
    </row>
    <row r="225" spans="2:36" outlineLevel="1">
      <c r="B225" s="5" t="s">
        <v>24</v>
      </c>
      <c r="D225" s="234">
        <v>70105</v>
      </c>
      <c r="E225" s="234" t="s">
        <v>100</v>
      </c>
      <c r="F225" s="235"/>
      <c r="G225" s="3"/>
      <c r="H225" s="236"/>
      <c r="I225" s="6"/>
      <c r="J225" s="1078">
        <v>840.47</v>
      </c>
      <c r="K225" s="1080"/>
      <c r="L225" s="1080">
        <v>840.47</v>
      </c>
      <c r="M225" s="1080"/>
      <c r="N225" s="1080">
        <v>840.47</v>
      </c>
      <c r="O225" s="1080"/>
      <c r="P225" s="1080">
        <v>1627.87</v>
      </c>
      <c r="Q225" s="1080"/>
      <c r="R225" s="1080">
        <v>1627.87</v>
      </c>
      <c r="S225" s="1080"/>
      <c r="T225" s="1080">
        <v>2152.87</v>
      </c>
      <c r="U225" s="1080"/>
      <c r="V225" s="1080">
        <v>1627.87</v>
      </c>
      <c r="W225" s="1080"/>
      <c r="X225" s="1080">
        <v>3027.95</v>
      </c>
      <c r="Y225" s="1080"/>
      <c r="Z225" s="1080">
        <v>3121.62</v>
      </c>
      <c r="AA225" s="1080"/>
      <c r="AB225" s="1080">
        <v>1493.75</v>
      </c>
      <c r="AC225" s="1080"/>
      <c r="AD225" s="1080">
        <v>1493.75</v>
      </c>
      <c r="AE225" s="1080"/>
      <c r="AF225" s="1080">
        <v>1493.75</v>
      </c>
      <c r="AG225" s="1080"/>
      <c r="AH225" s="1081">
        <f t="shared" si="22"/>
        <v>20188.71</v>
      </c>
      <c r="AI225" s="8">
        <f t="shared" si="23"/>
        <v>9.9714459304029216E-4</v>
      </c>
      <c r="AJ225" s="9"/>
    </row>
    <row r="226" spans="2:36" outlineLevel="1">
      <c r="B226" s="5" t="s">
        <v>24</v>
      </c>
      <c r="D226" s="234">
        <v>70110</v>
      </c>
      <c r="E226" s="234" t="s">
        <v>126</v>
      </c>
      <c r="F226" s="235"/>
      <c r="G226" s="3"/>
      <c r="H226" s="236"/>
      <c r="I226" s="6"/>
      <c r="J226" s="1078">
        <v>0</v>
      </c>
      <c r="K226" s="1080"/>
      <c r="L226" s="1080">
        <v>0</v>
      </c>
      <c r="M226" s="1080"/>
      <c r="N226" s="1080">
        <v>0</v>
      </c>
      <c r="O226" s="1080"/>
      <c r="P226" s="1080">
        <v>0</v>
      </c>
      <c r="Q226" s="1080"/>
      <c r="R226" s="1080">
        <v>0</v>
      </c>
      <c r="S226" s="1080"/>
      <c r="T226" s="1080">
        <v>0</v>
      </c>
      <c r="U226" s="1080"/>
      <c r="V226" s="1080">
        <v>0</v>
      </c>
      <c r="W226" s="1080"/>
      <c r="X226" s="1080">
        <v>2107.4499999999998</v>
      </c>
      <c r="Y226" s="1080"/>
      <c r="Z226" s="1080">
        <v>273.54000000000002</v>
      </c>
      <c r="AA226" s="1080"/>
      <c r="AB226" s="1080">
        <v>0</v>
      </c>
      <c r="AC226" s="1080"/>
      <c r="AD226" s="1080">
        <v>0</v>
      </c>
      <c r="AE226" s="1080"/>
      <c r="AF226" s="1080">
        <v>529.54</v>
      </c>
      <c r="AG226" s="1080"/>
      <c r="AH226" s="1081">
        <f t="shared" si="22"/>
        <v>2910.5299999999997</v>
      </c>
      <c r="AI226" s="8">
        <f t="shared" si="23"/>
        <v>1.4375456640773786E-4</v>
      </c>
      <c r="AJ226" s="9"/>
    </row>
    <row r="227" spans="2:36" outlineLevel="1">
      <c r="B227" s="5" t="s">
        <v>24</v>
      </c>
      <c r="D227" s="234">
        <v>70112</v>
      </c>
      <c r="E227" s="234" t="s">
        <v>127</v>
      </c>
      <c r="F227" s="235"/>
      <c r="G227" s="3"/>
      <c r="H227" s="236"/>
      <c r="I227" s="6"/>
      <c r="J227" s="1078">
        <v>0</v>
      </c>
      <c r="K227" s="1080"/>
      <c r="L227" s="1080">
        <v>0</v>
      </c>
      <c r="M227" s="1080"/>
      <c r="N227" s="1080">
        <v>450</v>
      </c>
      <c r="O227" s="1080"/>
      <c r="P227" s="1080">
        <v>0</v>
      </c>
      <c r="Q227" s="1080"/>
      <c r="R227" s="1080">
        <v>0</v>
      </c>
      <c r="S227" s="1080"/>
      <c r="T227" s="1080">
        <v>0</v>
      </c>
      <c r="U227" s="1080"/>
      <c r="V227" s="1080">
        <v>0</v>
      </c>
      <c r="W227" s="1080"/>
      <c r="X227" s="1080">
        <v>0</v>
      </c>
      <c r="Y227" s="1080"/>
      <c r="Z227" s="1080">
        <v>450</v>
      </c>
      <c r="AA227" s="1080"/>
      <c r="AB227" s="1080">
        <v>0</v>
      </c>
      <c r="AC227" s="1080"/>
      <c r="AD227" s="1080">
        <v>0</v>
      </c>
      <c r="AE227" s="1080"/>
      <c r="AF227" s="1080">
        <v>0</v>
      </c>
      <c r="AG227" s="1080"/>
      <c r="AH227" s="1081">
        <f t="shared" si="22"/>
        <v>900</v>
      </c>
      <c r="AI227" s="8">
        <f t="shared" si="23"/>
        <v>4.4452079094516832E-5</v>
      </c>
      <c r="AJ227" s="9"/>
    </row>
    <row r="228" spans="2:36" outlineLevel="1">
      <c r="B228" s="5" t="s">
        <v>24</v>
      </c>
      <c r="D228" s="234">
        <v>70116</v>
      </c>
      <c r="E228" s="234" t="s">
        <v>74</v>
      </c>
      <c r="F228" s="235"/>
      <c r="G228" s="3"/>
      <c r="H228" s="236"/>
      <c r="I228" s="6"/>
      <c r="J228" s="1078">
        <v>2027.67</v>
      </c>
      <c r="K228" s="1080"/>
      <c r="L228" s="1080">
        <v>1956.89</v>
      </c>
      <c r="M228" s="1080"/>
      <c r="N228" s="1080">
        <v>2064.8000000000002</v>
      </c>
      <c r="O228" s="1080"/>
      <c r="P228" s="1080">
        <v>1855.94</v>
      </c>
      <c r="Q228" s="1080"/>
      <c r="R228" s="1080">
        <v>2236.75</v>
      </c>
      <c r="S228" s="1080"/>
      <c r="T228" s="1080">
        <v>2281.91</v>
      </c>
      <c r="U228" s="1080"/>
      <c r="V228" s="1080">
        <v>2222.7399999999998</v>
      </c>
      <c r="W228" s="1080"/>
      <c r="X228" s="1080">
        <v>1796.39</v>
      </c>
      <c r="Y228" s="1080"/>
      <c r="Z228" s="1080">
        <v>1904.36</v>
      </c>
      <c r="AA228" s="1080"/>
      <c r="AB228" s="1080">
        <v>2160.94</v>
      </c>
      <c r="AC228" s="1080"/>
      <c r="AD228" s="1080">
        <v>1128.51</v>
      </c>
      <c r="AE228" s="1080"/>
      <c r="AF228" s="1080">
        <v>1850.26</v>
      </c>
      <c r="AG228" s="1080"/>
      <c r="AH228" s="1081">
        <f t="shared" si="22"/>
        <v>23487.159999999996</v>
      </c>
      <c r="AI228" s="8">
        <f t="shared" si="23"/>
        <v>1.1600589933617464E-3</v>
      </c>
      <c r="AJ228" s="9"/>
    </row>
    <row r="229" spans="2:36" outlineLevel="1">
      <c r="B229" s="5" t="s">
        <v>24</v>
      </c>
      <c r="D229" s="234">
        <v>70147</v>
      </c>
      <c r="E229" s="234" t="s">
        <v>128</v>
      </c>
      <c r="F229" s="235"/>
      <c r="G229" s="3"/>
      <c r="H229" s="236"/>
      <c r="I229" s="6"/>
      <c r="J229" s="1078">
        <v>0</v>
      </c>
      <c r="K229" s="1080"/>
      <c r="L229" s="1080">
        <v>0</v>
      </c>
      <c r="M229" s="1080"/>
      <c r="N229" s="1080">
        <v>0</v>
      </c>
      <c r="O229" s="1080"/>
      <c r="P229" s="1080">
        <v>822.61</v>
      </c>
      <c r="Q229" s="1080"/>
      <c r="R229" s="1080">
        <v>12.9</v>
      </c>
      <c r="S229" s="1080"/>
      <c r="T229" s="1080">
        <v>10.28</v>
      </c>
      <c r="U229" s="1080"/>
      <c r="V229" s="1080">
        <v>81.17</v>
      </c>
      <c r="W229" s="1080"/>
      <c r="X229" s="1080">
        <v>22.72</v>
      </c>
      <c r="Y229" s="1080"/>
      <c r="Z229" s="1080">
        <v>0</v>
      </c>
      <c r="AA229" s="1080"/>
      <c r="AB229" s="1080">
        <v>1721.44</v>
      </c>
      <c r="AC229" s="1080"/>
      <c r="AD229" s="1080">
        <v>1721.44</v>
      </c>
      <c r="AE229" s="1080"/>
      <c r="AF229" s="1080">
        <v>1721.44</v>
      </c>
      <c r="AG229" s="1080"/>
      <c r="AH229" s="1081">
        <f t="shared" si="22"/>
        <v>6113.9999999999991</v>
      </c>
      <c r="AI229" s="8">
        <f t="shared" si="23"/>
        <v>3.0197779064875099E-4</v>
      </c>
      <c r="AJ229" s="9"/>
    </row>
    <row r="230" spans="2:36" outlineLevel="1">
      <c r="B230" s="5" t="s">
        <v>24</v>
      </c>
      <c r="D230" s="234">
        <v>70148</v>
      </c>
      <c r="E230" s="234" t="s">
        <v>87</v>
      </c>
      <c r="F230" s="235"/>
      <c r="G230" s="3"/>
      <c r="H230" s="236"/>
      <c r="I230" s="6"/>
      <c r="J230" s="1078">
        <v>4161.6499999999996</v>
      </c>
      <c r="K230" s="1080"/>
      <c r="L230" s="1080">
        <v>2913.83</v>
      </c>
      <c r="M230" s="1080"/>
      <c r="N230" s="1080">
        <v>3110.19</v>
      </c>
      <c r="O230" s="1080"/>
      <c r="P230" s="1080">
        <v>3727.53</v>
      </c>
      <c r="Q230" s="1080"/>
      <c r="R230" s="1080">
        <v>3784.78</v>
      </c>
      <c r="S230" s="1080"/>
      <c r="T230" s="1080">
        <v>3921.15</v>
      </c>
      <c r="U230" s="1080"/>
      <c r="V230" s="1080">
        <v>5028.9399999999996</v>
      </c>
      <c r="W230" s="1080"/>
      <c r="X230" s="1080">
        <v>4055.83</v>
      </c>
      <c r="Y230" s="1080"/>
      <c r="Z230" s="1080">
        <v>4484.13</v>
      </c>
      <c r="AA230" s="1080"/>
      <c r="AB230" s="1080">
        <v>4439.51</v>
      </c>
      <c r="AC230" s="1080"/>
      <c r="AD230" s="1080">
        <v>6931.47</v>
      </c>
      <c r="AE230" s="1080"/>
      <c r="AF230" s="1080">
        <v>10700.81</v>
      </c>
      <c r="AG230" s="1080"/>
      <c r="AH230" s="1081">
        <f t="shared" si="22"/>
        <v>57259.820000000007</v>
      </c>
      <c r="AI230" s="8">
        <f t="shared" si="23"/>
        <v>2.8281311639753301E-3</v>
      </c>
      <c r="AJ230" s="9"/>
    </row>
    <row r="231" spans="2:36" outlineLevel="1">
      <c r="B231" s="5" t="s">
        <v>24</v>
      </c>
      <c r="D231" s="234">
        <v>70165</v>
      </c>
      <c r="E231" s="234" t="s">
        <v>89</v>
      </c>
      <c r="F231" s="235"/>
      <c r="G231" s="3"/>
      <c r="H231" s="236"/>
      <c r="I231" s="6"/>
      <c r="J231" s="1078">
        <v>1955.42</v>
      </c>
      <c r="K231" s="1080"/>
      <c r="L231" s="1080">
        <v>2011.34</v>
      </c>
      <c r="M231" s="1080"/>
      <c r="N231" s="1080">
        <v>2172.94</v>
      </c>
      <c r="O231" s="1080"/>
      <c r="P231" s="1080">
        <v>1642.06</v>
      </c>
      <c r="Q231" s="1080"/>
      <c r="R231" s="1080">
        <v>1802.25</v>
      </c>
      <c r="S231" s="1080"/>
      <c r="T231" s="1080">
        <v>2055.71</v>
      </c>
      <c r="U231" s="1080"/>
      <c r="V231" s="1080">
        <v>1976.78</v>
      </c>
      <c r="W231" s="1080"/>
      <c r="X231" s="1080">
        <v>1687.6</v>
      </c>
      <c r="Y231" s="1080"/>
      <c r="Z231" s="1080">
        <v>1965.3</v>
      </c>
      <c r="AA231" s="1080"/>
      <c r="AB231" s="1080">
        <v>1766.73</v>
      </c>
      <c r="AC231" s="1080"/>
      <c r="AD231" s="1080">
        <v>1803.63</v>
      </c>
      <c r="AE231" s="1080"/>
      <c r="AF231" s="1080">
        <v>1767.11</v>
      </c>
      <c r="AG231" s="1080"/>
      <c r="AH231" s="1081">
        <f t="shared" si="22"/>
        <v>22606.870000000003</v>
      </c>
      <c r="AI231" s="8">
        <f t="shared" si="23"/>
        <v>1.1165804147994E-3</v>
      </c>
      <c r="AJ231" s="9"/>
    </row>
    <row r="232" spans="2:36" outlineLevel="1">
      <c r="B232" s="5" t="s">
        <v>24</v>
      </c>
      <c r="D232" s="234">
        <v>70167</v>
      </c>
      <c r="E232" s="234" t="s">
        <v>129</v>
      </c>
      <c r="F232" s="235"/>
      <c r="G232" s="3"/>
      <c r="H232" s="236"/>
      <c r="I232" s="6"/>
      <c r="J232" s="1078">
        <v>548.25</v>
      </c>
      <c r="K232" s="1080"/>
      <c r="L232" s="1080">
        <v>486.98</v>
      </c>
      <c r="M232" s="1080"/>
      <c r="N232" s="1080">
        <v>545.84</v>
      </c>
      <c r="O232" s="1080"/>
      <c r="P232" s="1080">
        <v>486.98</v>
      </c>
      <c r="Q232" s="1080"/>
      <c r="R232" s="1080">
        <v>460.41</v>
      </c>
      <c r="S232" s="1080"/>
      <c r="T232" s="1080">
        <v>426.86</v>
      </c>
      <c r="U232" s="1080"/>
      <c r="V232" s="1080">
        <v>534.52</v>
      </c>
      <c r="W232" s="1080"/>
      <c r="X232" s="1080">
        <v>469.01</v>
      </c>
      <c r="Y232" s="1080"/>
      <c r="Z232" s="1080">
        <v>468.98</v>
      </c>
      <c r="AA232" s="1080"/>
      <c r="AB232" s="1080">
        <v>559.54</v>
      </c>
      <c r="AC232" s="1080"/>
      <c r="AD232" s="1080">
        <v>758.46</v>
      </c>
      <c r="AE232" s="1080"/>
      <c r="AF232" s="1080">
        <v>509.18</v>
      </c>
      <c r="AG232" s="1080"/>
      <c r="AH232" s="1081">
        <f t="shared" si="22"/>
        <v>6255.01</v>
      </c>
      <c r="AI232" s="8">
        <f t="shared" si="23"/>
        <v>3.0894244361888196E-4</v>
      </c>
      <c r="AJ232" s="9"/>
    </row>
    <row r="233" spans="2:36" outlineLevel="1">
      <c r="B233" s="5" t="s">
        <v>24</v>
      </c>
      <c r="D233" s="234">
        <v>70175</v>
      </c>
      <c r="E233" s="234" t="s">
        <v>423</v>
      </c>
      <c r="F233" s="235"/>
      <c r="G233" s="3"/>
      <c r="H233" s="236"/>
      <c r="I233" s="6"/>
      <c r="J233" s="1078">
        <v>1409.47</v>
      </c>
      <c r="K233" s="1080"/>
      <c r="L233" s="1080">
        <v>1383.99</v>
      </c>
      <c r="M233" s="1080"/>
      <c r="N233" s="1080">
        <v>1383.99</v>
      </c>
      <c r="O233" s="1080"/>
      <c r="P233" s="1080">
        <v>1385.3</v>
      </c>
      <c r="Q233" s="1080"/>
      <c r="R233" s="1080">
        <v>1385.3</v>
      </c>
      <c r="S233" s="1080"/>
      <c r="T233" s="1080">
        <v>1385.3</v>
      </c>
      <c r="U233" s="1080"/>
      <c r="V233" s="1080">
        <v>1385.3</v>
      </c>
      <c r="W233" s="1080"/>
      <c r="X233" s="1080">
        <v>1386.99</v>
      </c>
      <c r="Y233" s="1080"/>
      <c r="Z233" s="1080">
        <v>1386.99</v>
      </c>
      <c r="AA233" s="1080"/>
      <c r="AB233" s="1080">
        <v>1386.99</v>
      </c>
      <c r="AC233" s="1080"/>
      <c r="AD233" s="1080">
        <v>1245.6400000000001</v>
      </c>
      <c r="AE233" s="1080"/>
      <c r="AF233" s="1080">
        <v>1245.6400000000001</v>
      </c>
      <c r="AG233" s="1080"/>
      <c r="AH233" s="1081">
        <f t="shared" si="22"/>
        <v>16370.899999999998</v>
      </c>
      <c r="AI233" s="8">
        <f t="shared" si="23"/>
        <v>8.0857837960936175E-4</v>
      </c>
      <c r="AJ233" s="9"/>
    </row>
    <row r="234" spans="2:36" outlineLevel="1">
      <c r="B234" s="5" t="s">
        <v>24</v>
      </c>
      <c r="D234" s="234">
        <v>70185</v>
      </c>
      <c r="E234" s="234" t="s">
        <v>104</v>
      </c>
      <c r="F234" s="235"/>
      <c r="G234" s="3"/>
      <c r="H234" s="236"/>
      <c r="I234" s="6"/>
      <c r="J234" s="1078">
        <v>830.62</v>
      </c>
      <c r="K234" s="1080"/>
      <c r="L234" s="1080">
        <v>576.75</v>
      </c>
      <c r="M234" s="1080"/>
      <c r="N234" s="1080">
        <v>961.53</v>
      </c>
      <c r="O234" s="1080"/>
      <c r="P234" s="1080">
        <v>6403.11</v>
      </c>
      <c r="Q234" s="1080"/>
      <c r="R234" s="1080">
        <v>543.78</v>
      </c>
      <c r="S234" s="1080"/>
      <c r="T234" s="1080">
        <v>564.49</v>
      </c>
      <c r="U234" s="1080"/>
      <c r="V234" s="1080">
        <v>462.35</v>
      </c>
      <c r="W234" s="1080"/>
      <c r="X234" s="1080">
        <v>761.85</v>
      </c>
      <c r="Y234" s="1080"/>
      <c r="Z234" s="1080">
        <v>622.61</v>
      </c>
      <c r="AA234" s="1080"/>
      <c r="AB234" s="1080">
        <v>1599.57</v>
      </c>
      <c r="AC234" s="1080"/>
      <c r="AD234" s="1080">
        <v>381.26</v>
      </c>
      <c r="AE234" s="1080"/>
      <c r="AF234" s="1080">
        <v>1045.6500000000001</v>
      </c>
      <c r="AG234" s="1080"/>
      <c r="AH234" s="1081">
        <f t="shared" si="22"/>
        <v>14753.570000000002</v>
      </c>
      <c r="AI234" s="8">
        <f t="shared" si="23"/>
        <v>7.2869651174054537E-4</v>
      </c>
      <c r="AJ234" s="9"/>
    </row>
    <row r="235" spans="2:36" outlineLevel="1">
      <c r="B235" s="5" t="s">
        <v>24</v>
      </c>
      <c r="D235" s="234">
        <v>70195</v>
      </c>
      <c r="E235" s="234" t="s">
        <v>130</v>
      </c>
      <c r="F235" s="235"/>
      <c r="G235" s="3"/>
      <c r="H235" s="236"/>
      <c r="I235" s="6"/>
      <c r="J235" s="1078">
        <v>442.1</v>
      </c>
      <c r="K235" s="1080"/>
      <c r="L235" s="1080">
        <v>442.1</v>
      </c>
      <c r="M235" s="1080"/>
      <c r="N235" s="1080">
        <v>25</v>
      </c>
      <c r="O235" s="1080"/>
      <c r="P235" s="1080">
        <v>442.1</v>
      </c>
      <c r="Q235" s="1080"/>
      <c r="R235" s="1080">
        <v>1839.2</v>
      </c>
      <c r="S235" s="1080"/>
      <c r="T235" s="1080">
        <v>942.1</v>
      </c>
      <c r="U235" s="1080"/>
      <c r="V235" s="1080">
        <v>942.1</v>
      </c>
      <c r="W235" s="1080"/>
      <c r="X235" s="1080">
        <v>0</v>
      </c>
      <c r="Y235" s="1080"/>
      <c r="Z235" s="1080">
        <v>1094.2</v>
      </c>
      <c r="AA235" s="1080"/>
      <c r="AB235" s="1080">
        <v>463.57</v>
      </c>
      <c r="AC235" s="1080"/>
      <c r="AD235" s="1080">
        <v>463.57</v>
      </c>
      <c r="AE235" s="1080"/>
      <c r="AF235" s="1080">
        <v>663.57</v>
      </c>
      <c r="AG235" s="1080"/>
      <c r="AH235" s="1081">
        <f t="shared" si="22"/>
        <v>7759.6100000000006</v>
      </c>
      <c r="AI235" s="8">
        <f t="shared" si="23"/>
        <v>3.8325644162511533E-4</v>
      </c>
      <c r="AJ235" s="9"/>
    </row>
    <row r="236" spans="2:36" outlineLevel="1">
      <c r="B236" s="5" t="s">
        <v>24</v>
      </c>
      <c r="D236" s="234">
        <v>70200</v>
      </c>
      <c r="E236" s="234" t="s">
        <v>92</v>
      </c>
      <c r="F236" s="235"/>
      <c r="G236" s="3"/>
      <c r="H236" s="236"/>
      <c r="I236" s="6"/>
      <c r="J236" s="1078">
        <v>0</v>
      </c>
      <c r="K236" s="1080"/>
      <c r="L236" s="1080">
        <v>0</v>
      </c>
      <c r="M236" s="1080"/>
      <c r="N236" s="1080">
        <v>296.93</v>
      </c>
      <c r="O236" s="1080"/>
      <c r="P236" s="1080">
        <v>0</v>
      </c>
      <c r="Q236" s="1080"/>
      <c r="R236" s="1080">
        <v>0</v>
      </c>
      <c r="S236" s="1080"/>
      <c r="T236" s="1080">
        <v>909.7</v>
      </c>
      <c r="U236" s="1080"/>
      <c r="V236" s="1080">
        <v>514.65</v>
      </c>
      <c r="W236" s="1080"/>
      <c r="X236" s="1080">
        <v>1333.7</v>
      </c>
      <c r="Y236" s="1080"/>
      <c r="Z236" s="1080">
        <v>0</v>
      </c>
      <c r="AA236" s="1080"/>
      <c r="AB236" s="1080">
        <v>1137.3599999999999</v>
      </c>
      <c r="AC236" s="1080"/>
      <c r="AD236" s="1080">
        <v>256.89999999999998</v>
      </c>
      <c r="AE236" s="1080"/>
      <c r="AF236" s="1080">
        <v>1401.43</v>
      </c>
      <c r="AG236" s="1080"/>
      <c r="AH236" s="1081">
        <f t="shared" si="22"/>
        <v>5850.6699999999992</v>
      </c>
      <c r="AI236" s="8">
        <f t="shared" si="23"/>
        <v>2.8897160621768527E-4</v>
      </c>
      <c r="AJ236" s="9"/>
    </row>
    <row r="237" spans="2:36" outlineLevel="1">
      <c r="B237" s="5" t="s">
        <v>24</v>
      </c>
      <c r="D237" s="234">
        <v>70202</v>
      </c>
      <c r="E237" s="234" t="s">
        <v>132</v>
      </c>
      <c r="F237" s="235"/>
      <c r="G237" s="3"/>
      <c r="H237" s="236"/>
      <c r="I237" s="6"/>
      <c r="J237" s="1078">
        <v>0</v>
      </c>
      <c r="K237" s="1080"/>
      <c r="L237" s="1080">
        <v>0</v>
      </c>
      <c r="M237" s="1080"/>
      <c r="N237" s="1080">
        <v>0</v>
      </c>
      <c r="O237" s="1080"/>
      <c r="P237" s="1080">
        <v>0</v>
      </c>
      <c r="Q237" s="1080"/>
      <c r="R237" s="1080">
        <v>0</v>
      </c>
      <c r="S237" s="1080"/>
      <c r="T237" s="1080">
        <v>0</v>
      </c>
      <c r="U237" s="1080"/>
      <c r="V237" s="1080">
        <v>0</v>
      </c>
      <c r="W237" s="1080"/>
      <c r="X237" s="1080">
        <v>0</v>
      </c>
      <c r="Y237" s="1080"/>
      <c r="Z237" s="1080">
        <v>0</v>
      </c>
      <c r="AA237" s="1080"/>
      <c r="AB237" s="1080">
        <v>0</v>
      </c>
      <c r="AC237" s="1080"/>
      <c r="AD237" s="1080">
        <v>270.48</v>
      </c>
      <c r="AE237" s="1080"/>
      <c r="AF237" s="1080">
        <v>0</v>
      </c>
      <c r="AG237" s="1080"/>
      <c r="AH237" s="1081">
        <f t="shared" si="22"/>
        <v>270.48</v>
      </c>
      <c r="AI237" s="8">
        <f t="shared" si="23"/>
        <v>1.3359331503872127E-5</v>
      </c>
      <c r="AJ237" s="9"/>
    </row>
    <row r="238" spans="2:36" outlineLevel="1">
      <c r="B238" s="5" t="s">
        <v>24</v>
      </c>
      <c r="D238" s="234">
        <v>70203</v>
      </c>
      <c r="E238" s="234" t="s">
        <v>133</v>
      </c>
      <c r="F238" s="235"/>
      <c r="G238" s="3"/>
      <c r="H238" s="236"/>
      <c r="I238" s="6"/>
      <c r="J238" s="1078">
        <v>506.61</v>
      </c>
      <c r="K238" s="1080"/>
      <c r="L238" s="1080">
        <v>1239.1400000000001</v>
      </c>
      <c r="M238" s="1080"/>
      <c r="N238" s="1080">
        <v>335.51</v>
      </c>
      <c r="O238" s="1080"/>
      <c r="P238" s="1080">
        <v>0</v>
      </c>
      <c r="Q238" s="1080"/>
      <c r="R238" s="1080">
        <v>0</v>
      </c>
      <c r="S238" s="1080"/>
      <c r="T238" s="1080">
        <v>0</v>
      </c>
      <c r="U238" s="1080"/>
      <c r="V238" s="1080">
        <v>1050.81</v>
      </c>
      <c r="W238" s="1080"/>
      <c r="X238" s="1080">
        <v>0</v>
      </c>
      <c r="Y238" s="1080"/>
      <c r="Z238" s="1080">
        <v>0</v>
      </c>
      <c r="AA238" s="1080"/>
      <c r="AB238" s="1080">
        <v>0</v>
      </c>
      <c r="AC238" s="1080"/>
      <c r="AD238" s="1080">
        <v>0</v>
      </c>
      <c r="AE238" s="1080"/>
      <c r="AF238" s="1080">
        <v>779.03</v>
      </c>
      <c r="AG238" s="1080"/>
      <c r="AH238" s="1081">
        <f t="shared" si="22"/>
        <v>3911.1</v>
      </c>
      <c r="AI238" s="8">
        <f t="shared" si="23"/>
        <v>1.9317391838507197E-4</v>
      </c>
      <c r="AJ238" s="9"/>
    </row>
    <row r="239" spans="2:36" outlineLevel="1">
      <c r="B239" s="5" t="s">
        <v>24</v>
      </c>
      <c r="D239" s="234">
        <v>70205</v>
      </c>
      <c r="E239" s="234" t="s">
        <v>134</v>
      </c>
      <c r="F239" s="235"/>
      <c r="G239" s="3"/>
      <c r="H239" s="236"/>
      <c r="I239" s="6"/>
      <c r="J239" s="1078">
        <v>72.56</v>
      </c>
      <c r="K239" s="1080"/>
      <c r="L239" s="1080">
        <v>1002.86</v>
      </c>
      <c r="M239" s="1080"/>
      <c r="N239" s="1080">
        <v>229.6</v>
      </c>
      <c r="O239" s="1080"/>
      <c r="P239" s="1080">
        <v>136.19</v>
      </c>
      <c r="Q239" s="1080"/>
      <c r="R239" s="1080">
        <v>0</v>
      </c>
      <c r="S239" s="1080"/>
      <c r="T239" s="1080">
        <v>136.19</v>
      </c>
      <c r="U239" s="1080"/>
      <c r="V239" s="1080">
        <v>156.96</v>
      </c>
      <c r="W239" s="1080"/>
      <c r="X239" s="1080">
        <v>33.6</v>
      </c>
      <c r="Y239" s="1080"/>
      <c r="Z239" s="1080">
        <v>0</v>
      </c>
      <c r="AA239" s="1080"/>
      <c r="AB239" s="1080">
        <v>0</v>
      </c>
      <c r="AC239" s="1080"/>
      <c r="AD239" s="1080">
        <v>47.83</v>
      </c>
      <c r="AE239" s="1080"/>
      <c r="AF239" s="1080">
        <v>395.46</v>
      </c>
      <c r="AG239" s="1080"/>
      <c r="AH239" s="1081">
        <f t="shared" si="22"/>
        <v>2211.25</v>
      </c>
      <c r="AI239" s="8">
        <f t="shared" si="23"/>
        <v>1.0921628877527816E-4</v>
      </c>
      <c r="AJ239" s="9"/>
    </row>
    <row r="240" spans="2:36" outlineLevel="1">
      <c r="B240" s="5" t="s">
        <v>24</v>
      </c>
      <c r="D240" s="234">
        <v>70206</v>
      </c>
      <c r="E240" s="234" t="s">
        <v>135</v>
      </c>
      <c r="F240" s="235"/>
      <c r="G240" s="3"/>
      <c r="H240" s="236"/>
      <c r="I240" s="6"/>
      <c r="J240" s="1078">
        <v>1137.9000000000001</v>
      </c>
      <c r="K240" s="1080"/>
      <c r="L240" s="1080">
        <v>977.45</v>
      </c>
      <c r="M240" s="1080"/>
      <c r="N240" s="1080">
        <v>116.28</v>
      </c>
      <c r="O240" s="1080"/>
      <c r="P240" s="1080">
        <v>34.54</v>
      </c>
      <c r="Q240" s="1080"/>
      <c r="R240" s="1080">
        <v>74.180000000000007</v>
      </c>
      <c r="S240" s="1080"/>
      <c r="T240" s="1080">
        <v>55.47</v>
      </c>
      <c r="U240" s="1080"/>
      <c r="V240" s="1080">
        <v>984.73</v>
      </c>
      <c r="W240" s="1080"/>
      <c r="X240" s="1080">
        <v>0</v>
      </c>
      <c r="Y240" s="1080"/>
      <c r="Z240" s="1080">
        <v>895.28</v>
      </c>
      <c r="AA240" s="1080"/>
      <c r="AB240" s="1080">
        <v>-175</v>
      </c>
      <c r="AC240" s="1080"/>
      <c r="AD240" s="1080">
        <v>561.20000000000005</v>
      </c>
      <c r="AE240" s="1080"/>
      <c r="AF240" s="1080">
        <v>329.89</v>
      </c>
      <c r="AG240" s="1080"/>
      <c r="AH240" s="1081">
        <f t="shared" si="22"/>
        <v>4991.92</v>
      </c>
      <c r="AI240" s="8">
        <f t="shared" si="23"/>
        <v>2.4655691408166717E-4</v>
      </c>
      <c r="AJ240" s="9"/>
    </row>
    <row r="241" spans="2:36" outlineLevel="1">
      <c r="B241" s="5" t="s">
        <v>24</v>
      </c>
      <c r="D241" s="234">
        <v>70210</v>
      </c>
      <c r="E241" s="234" t="s">
        <v>136</v>
      </c>
      <c r="F241" s="235"/>
      <c r="G241" s="3"/>
      <c r="H241" s="236"/>
      <c r="I241" s="6"/>
      <c r="J241" s="1078">
        <v>1035.46</v>
      </c>
      <c r="K241" s="1080"/>
      <c r="L241" s="1080">
        <v>638.52</v>
      </c>
      <c r="M241" s="1080"/>
      <c r="N241" s="1080">
        <v>840.86</v>
      </c>
      <c r="O241" s="1080"/>
      <c r="P241" s="1080">
        <v>4918.1099999999997</v>
      </c>
      <c r="Q241" s="1080"/>
      <c r="R241" s="1080">
        <v>839.88</v>
      </c>
      <c r="S241" s="1080"/>
      <c r="T241" s="1080">
        <v>990.43</v>
      </c>
      <c r="U241" s="1080"/>
      <c r="V241" s="1080">
        <v>1099.6099999999999</v>
      </c>
      <c r="W241" s="1080"/>
      <c r="X241" s="1080">
        <v>388.52</v>
      </c>
      <c r="Y241" s="1080"/>
      <c r="Z241" s="1080">
        <v>510.67</v>
      </c>
      <c r="AA241" s="1080"/>
      <c r="AB241" s="1080">
        <v>3155.1</v>
      </c>
      <c r="AC241" s="1080"/>
      <c r="AD241" s="1080">
        <v>434.15</v>
      </c>
      <c r="AE241" s="1080"/>
      <c r="AF241" s="1080">
        <v>2467.04</v>
      </c>
      <c r="AG241" s="1080"/>
      <c r="AH241" s="1081">
        <f t="shared" si="22"/>
        <v>17318.349999999999</v>
      </c>
      <c r="AI241" s="8">
        <f t="shared" si="23"/>
        <v>8.553740710961395E-4</v>
      </c>
      <c r="AJ241" s="9"/>
    </row>
    <row r="242" spans="2:36" outlineLevel="1">
      <c r="B242" s="5" t="s">
        <v>24</v>
      </c>
      <c r="D242" s="234">
        <v>70214</v>
      </c>
      <c r="E242" s="234" t="s">
        <v>137</v>
      </c>
      <c r="F242" s="235"/>
      <c r="G242" s="3"/>
      <c r="H242" s="236"/>
      <c r="I242" s="6"/>
      <c r="J242" s="1078">
        <v>4112.59</v>
      </c>
      <c r="K242" s="1080"/>
      <c r="L242" s="1080">
        <v>4536.22</v>
      </c>
      <c r="M242" s="1080"/>
      <c r="N242" s="1080">
        <v>5754.32</v>
      </c>
      <c r="O242" s="1080"/>
      <c r="P242" s="1080">
        <v>5319.98</v>
      </c>
      <c r="Q242" s="1080"/>
      <c r="R242" s="1080">
        <v>5695.02</v>
      </c>
      <c r="S242" s="1080"/>
      <c r="T242" s="1080">
        <v>5876.64</v>
      </c>
      <c r="U242" s="1080"/>
      <c r="V242" s="1080">
        <v>6115.35</v>
      </c>
      <c r="W242" s="1080"/>
      <c r="X242" s="1080">
        <v>5675.96</v>
      </c>
      <c r="Y242" s="1080"/>
      <c r="Z242" s="1080">
        <v>5665.05</v>
      </c>
      <c r="AA242" s="1080"/>
      <c r="AB242" s="1080">
        <v>6031.61</v>
      </c>
      <c r="AC242" s="1080"/>
      <c r="AD242" s="1080">
        <v>6110.51</v>
      </c>
      <c r="AE242" s="1080"/>
      <c r="AF242" s="1080">
        <v>7242.32</v>
      </c>
      <c r="AG242" s="1080"/>
      <c r="AH242" s="1081">
        <f t="shared" si="22"/>
        <v>68135.569999999992</v>
      </c>
      <c r="AI242" s="8">
        <f t="shared" si="23"/>
        <v>3.36529749643332E-3</v>
      </c>
      <c r="AJ242" s="9"/>
    </row>
    <row r="243" spans="2:36" outlineLevel="1">
      <c r="B243" s="5" t="s">
        <v>24</v>
      </c>
      <c r="D243" s="234">
        <v>70220</v>
      </c>
      <c r="E243" s="234" t="s">
        <v>1113</v>
      </c>
      <c r="F243" s="235"/>
      <c r="G243" s="3"/>
      <c r="H243" s="236"/>
      <c r="I243" s="6"/>
      <c r="J243" s="1078">
        <v>0</v>
      </c>
      <c r="K243" s="1080"/>
      <c r="L243" s="1080">
        <v>334</v>
      </c>
      <c r="M243" s="1080"/>
      <c r="N243" s="1080">
        <v>379.02</v>
      </c>
      <c r="O243" s="1080"/>
      <c r="P243" s="1080">
        <v>0</v>
      </c>
      <c r="Q243" s="1080"/>
      <c r="R243" s="1080">
        <v>0</v>
      </c>
      <c r="S243" s="1080"/>
      <c r="T243" s="1080">
        <v>0</v>
      </c>
      <c r="U243" s="1080"/>
      <c r="V243" s="1080">
        <v>427</v>
      </c>
      <c r="W243" s="1080"/>
      <c r="X243" s="1080">
        <v>0</v>
      </c>
      <c r="Y243" s="1080"/>
      <c r="Z243" s="1080">
        <v>0</v>
      </c>
      <c r="AA243" s="1080"/>
      <c r="AB243" s="1080">
        <v>751.45</v>
      </c>
      <c r="AC243" s="1080"/>
      <c r="AD243" s="1080">
        <v>0</v>
      </c>
      <c r="AE243" s="1080"/>
      <c r="AF243" s="1080">
        <v>0</v>
      </c>
      <c r="AG243" s="1080"/>
      <c r="AH243" s="1081">
        <f t="shared" si="22"/>
        <v>1891.47</v>
      </c>
      <c r="AI243" s="8">
        <f t="shared" si="23"/>
        <v>9.3421971161006389E-5</v>
      </c>
      <c r="AJ243" s="9"/>
    </row>
    <row r="244" spans="2:36" outlineLevel="1">
      <c r="B244" s="5" t="s">
        <v>24</v>
      </c>
      <c r="D244" s="234">
        <v>70225</v>
      </c>
      <c r="E244" s="234" t="s">
        <v>123</v>
      </c>
      <c r="F244" s="235"/>
      <c r="G244" s="3"/>
      <c r="H244" s="236"/>
      <c r="I244" s="6"/>
      <c r="J244" s="1078">
        <v>399</v>
      </c>
      <c r="K244" s="1080"/>
      <c r="L244" s="1080">
        <v>399</v>
      </c>
      <c r="M244" s="1080"/>
      <c r="N244" s="1080">
        <v>399</v>
      </c>
      <c r="O244" s="1080"/>
      <c r="P244" s="1080">
        <v>399</v>
      </c>
      <c r="Q244" s="1080"/>
      <c r="R244" s="1080">
        <v>399</v>
      </c>
      <c r="S244" s="1080"/>
      <c r="T244" s="1080">
        <v>1616.83</v>
      </c>
      <c r="U244" s="1080"/>
      <c r="V244" s="1080">
        <v>1339</v>
      </c>
      <c r="W244" s="1080"/>
      <c r="X244" s="1080">
        <v>511</v>
      </c>
      <c r="Y244" s="1080"/>
      <c r="Z244" s="1080">
        <v>599</v>
      </c>
      <c r="AA244" s="1080"/>
      <c r="AB244" s="1080">
        <v>399</v>
      </c>
      <c r="AC244" s="1080"/>
      <c r="AD244" s="1080">
        <v>399</v>
      </c>
      <c r="AE244" s="1080"/>
      <c r="AF244" s="1080">
        <v>399</v>
      </c>
      <c r="AG244" s="1080"/>
      <c r="AH244" s="1081">
        <f t="shared" si="22"/>
        <v>7257.83</v>
      </c>
      <c r="AI244" s="8">
        <f t="shared" si="23"/>
        <v>3.5847292579395233E-4</v>
      </c>
      <c r="AJ244" s="9"/>
    </row>
    <row r="245" spans="2:36" outlineLevel="1">
      <c r="B245" s="5" t="s">
        <v>24</v>
      </c>
      <c r="D245" s="234">
        <v>70232</v>
      </c>
      <c r="E245" s="234" t="s">
        <v>428</v>
      </c>
      <c r="F245" s="235"/>
      <c r="G245" s="3"/>
      <c r="H245" s="236"/>
      <c r="I245" s="6"/>
      <c r="J245" s="1078">
        <v>0</v>
      </c>
      <c r="K245" s="1080"/>
      <c r="L245" s="1080">
        <v>0</v>
      </c>
      <c r="M245" s="1080"/>
      <c r="N245" s="1080">
        <v>0</v>
      </c>
      <c r="O245" s="1080"/>
      <c r="P245" s="1080">
        <v>459.24</v>
      </c>
      <c r="Q245" s="1080"/>
      <c r="R245" s="1080">
        <v>0</v>
      </c>
      <c r="S245" s="1080"/>
      <c r="T245" s="1080">
        <v>0</v>
      </c>
      <c r="U245" s="1080"/>
      <c r="V245" s="1080">
        <v>0</v>
      </c>
      <c r="W245" s="1080"/>
      <c r="X245" s="1080">
        <v>0</v>
      </c>
      <c r="Y245" s="1080"/>
      <c r="Z245" s="1080">
        <v>0</v>
      </c>
      <c r="AA245" s="1080"/>
      <c r="AB245" s="1080">
        <v>0</v>
      </c>
      <c r="AC245" s="1080"/>
      <c r="AD245" s="1080">
        <v>0</v>
      </c>
      <c r="AE245" s="1080"/>
      <c r="AF245" s="1080">
        <v>0</v>
      </c>
      <c r="AG245" s="1080"/>
      <c r="AH245" s="1081">
        <f t="shared" si="22"/>
        <v>459.24</v>
      </c>
      <c r="AI245" s="8">
        <f t="shared" si="23"/>
        <v>2.2682414225962122E-5</v>
      </c>
      <c r="AJ245" s="9"/>
    </row>
    <row r="246" spans="2:36" outlineLevel="1">
      <c r="B246" s="5" t="s">
        <v>24</v>
      </c>
      <c r="D246" s="234">
        <v>70235</v>
      </c>
      <c r="E246" s="234" t="s">
        <v>139</v>
      </c>
      <c r="F246" s="235"/>
      <c r="G246" s="3"/>
      <c r="H246" s="236"/>
      <c r="I246" s="6"/>
      <c r="J246" s="1078">
        <v>-450</v>
      </c>
      <c r="K246" s="1080"/>
      <c r="L246" s="1080">
        <v>27221.200000000001</v>
      </c>
      <c r="M246" s="1080"/>
      <c r="N246" s="1080">
        <v>1534</v>
      </c>
      <c r="O246" s="1080"/>
      <c r="P246" s="1080">
        <v>354.7</v>
      </c>
      <c r="Q246" s="1080"/>
      <c r="R246" s="1080">
        <v>1083.5</v>
      </c>
      <c r="S246" s="1080"/>
      <c r="T246" s="1080">
        <v>5766.93</v>
      </c>
      <c r="U246" s="1080"/>
      <c r="V246" s="1080">
        <v>142.5</v>
      </c>
      <c r="W246" s="1080"/>
      <c r="X246" s="1080">
        <v>0</v>
      </c>
      <c r="Y246" s="1080"/>
      <c r="Z246" s="1080">
        <v>3749.85</v>
      </c>
      <c r="AA246" s="1080"/>
      <c r="AB246" s="1080">
        <v>3340.6</v>
      </c>
      <c r="AC246" s="1080"/>
      <c r="AD246" s="1080">
        <v>0</v>
      </c>
      <c r="AE246" s="1080"/>
      <c r="AF246" s="1080">
        <v>3649.68</v>
      </c>
      <c r="AG246" s="1080"/>
      <c r="AH246" s="1081">
        <f t="shared" si="22"/>
        <v>46392.959999999999</v>
      </c>
      <c r="AI246" s="8">
        <f t="shared" si="23"/>
        <v>2.291403919276395E-3</v>
      </c>
      <c r="AJ246" s="9"/>
    </row>
    <row r="247" spans="2:36" outlineLevel="1">
      <c r="B247" s="5" t="s">
        <v>24</v>
      </c>
      <c r="D247" s="234">
        <v>70255</v>
      </c>
      <c r="E247" s="234" t="s">
        <v>140</v>
      </c>
      <c r="F247" s="235"/>
      <c r="G247" s="3"/>
      <c r="H247" s="236"/>
      <c r="I247" s="6"/>
      <c r="J247" s="1078">
        <v>3306.7</v>
      </c>
      <c r="K247" s="1080"/>
      <c r="L247" s="1080">
        <v>2333.33</v>
      </c>
      <c r="M247" s="1080"/>
      <c r="N247" s="1080">
        <v>6581.09</v>
      </c>
      <c r="O247" s="1080"/>
      <c r="P247" s="1080">
        <v>2850.34</v>
      </c>
      <c r="Q247" s="1080"/>
      <c r="R247" s="1080">
        <v>6450.68</v>
      </c>
      <c r="S247" s="1080"/>
      <c r="T247" s="1080">
        <v>2573</v>
      </c>
      <c r="U247" s="1080"/>
      <c r="V247" s="1080">
        <v>2467.8000000000002</v>
      </c>
      <c r="W247" s="1080"/>
      <c r="X247" s="1080">
        <v>2597.3000000000002</v>
      </c>
      <c r="Y247" s="1080"/>
      <c r="Z247" s="1080">
        <v>2489.3200000000002</v>
      </c>
      <c r="AA247" s="1080"/>
      <c r="AB247" s="1080">
        <v>3165.42</v>
      </c>
      <c r="AC247" s="1080"/>
      <c r="AD247" s="1080">
        <v>2476.33</v>
      </c>
      <c r="AE247" s="1080"/>
      <c r="AF247" s="1080">
        <v>2476.63</v>
      </c>
      <c r="AG247" s="1080"/>
      <c r="AH247" s="1081">
        <f t="shared" si="22"/>
        <v>39767.94</v>
      </c>
      <c r="AI247" s="8">
        <f t="shared" si="23"/>
        <v>1.9641862381177778E-3</v>
      </c>
      <c r="AJ247" s="9"/>
    </row>
    <row r="248" spans="2:36" outlineLevel="1">
      <c r="B248" s="5" t="s">
        <v>24</v>
      </c>
      <c r="D248" s="234">
        <v>70300</v>
      </c>
      <c r="E248" s="234" t="s">
        <v>141</v>
      </c>
      <c r="F248" s="235"/>
      <c r="G248" s="3"/>
      <c r="H248" s="236"/>
      <c r="I248" s="6"/>
      <c r="J248" s="1078">
        <v>7309.35</v>
      </c>
      <c r="K248" s="1080"/>
      <c r="L248" s="1080">
        <v>7309.35</v>
      </c>
      <c r="M248" s="1080"/>
      <c r="N248" s="1080">
        <v>7309.35</v>
      </c>
      <c r="O248" s="1080"/>
      <c r="P248" s="1080">
        <v>7309.35</v>
      </c>
      <c r="Q248" s="1080"/>
      <c r="R248" s="1080">
        <v>7309.35</v>
      </c>
      <c r="S248" s="1080"/>
      <c r="T248" s="1080">
        <v>7309.35</v>
      </c>
      <c r="U248" s="1080"/>
      <c r="V248" s="1080">
        <v>7309.35</v>
      </c>
      <c r="W248" s="1080"/>
      <c r="X248" s="1080">
        <v>7309.35</v>
      </c>
      <c r="Y248" s="1080"/>
      <c r="Z248" s="1080">
        <v>7309.35</v>
      </c>
      <c r="AA248" s="1080"/>
      <c r="AB248" s="1080">
        <v>7676.98</v>
      </c>
      <c r="AC248" s="1080"/>
      <c r="AD248" s="1080">
        <v>7676.98</v>
      </c>
      <c r="AE248" s="1080"/>
      <c r="AF248" s="1080">
        <v>7676.98</v>
      </c>
      <c r="AG248" s="1080"/>
      <c r="AH248" s="1081">
        <f t="shared" si="22"/>
        <v>88815.090000000011</v>
      </c>
      <c r="AI248" s="8">
        <f t="shared" si="23"/>
        <v>4.386683783851813E-3</v>
      </c>
      <c r="AJ248" s="9"/>
    </row>
    <row r="249" spans="2:36" outlineLevel="1">
      <c r="B249" s="5" t="s">
        <v>24</v>
      </c>
      <c r="D249" s="234">
        <v>70301</v>
      </c>
      <c r="E249" s="234" t="s">
        <v>272</v>
      </c>
      <c r="F249" s="235"/>
      <c r="G249" s="3"/>
      <c r="H249" s="236"/>
      <c r="I249" s="6"/>
      <c r="J249" s="1078">
        <v>0</v>
      </c>
      <c r="K249" s="1080"/>
      <c r="L249" s="1080">
        <v>0</v>
      </c>
      <c r="M249" s="1080"/>
      <c r="N249" s="1080">
        <v>0</v>
      </c>
      <c r="O249" s="1080"/>
      <c r="P249" s="1080">
        <v>172.92</v>
      </c>
      <c r="Q249" s="1080"/>
      <c r="R249" s="1080">
        <v>0</v>
      </c>
      <c r="S249" s="1080"/>
      <c r="T249" s="1080">
        <v>0</v>
      </c>
      <c r="U249" s="1080"/>
      <c r="V249" s="1080">
        <v>0</v>
      </c>
      <c r="W249" s="1080"/>
      <c r="X249" s="1080">
        <v>0</v>
      </c>
      <c r="Y249" s="1080"/>
      <c r="Z249" s="1080">
        <v>0</v>
      </c>
      <c r="AA249" s="1080"/>
      <c r="AB249" s="1080">
        <v>0</v>
      </c>
      <c r="AC249" s="1080"/>
      <c r="AD249" s="1080">
        <v>0</v>
      </c>
      <c r="AE249" s="1080"/>
      <c r="AF249" s="1080">
        <v>0</v>
      </c>
      <c r="AG249" s="1080"/>
      <c r="AH249" s="1081">
        <f t="shared" si="22"/>
        <v>172.92</v>
      </c>
      <c r="AI249" s="8">
        <f t="shared" si="23"/>
        <v>8.5407261300265002E-6</v>
      </c>
      <c r="AJ249" s="9"/>
    </row>
    <row r="250" spans="2:36" outlineLevel="1">
      <c r="B250" s="5" t="s">
        <v>24</v>
      </c>
      <c r="D250" s="234">
        <v>70302</v>
      </c>
      <c r="E250" s="234" t="s">
        <v>142</v>
      </c>
      <c r="F250" s="235"/>
      <c r="G250" s="3"/>
      <c r="H250" s="236"/>
      <c r="I250" s="6"/>
      <c r="J250" s="1078">
        <v>0</v>
      </c>
      <c r="K250" s="1080"/>
      <c r="L250" s="1080">
        <v>0</v>
      </c>
      <c r="M250" s="1080"/>
      <c r="N250" s="1080">
        <v>0</v>
      </c>
      <c r="O250" s="1080"/>
      <c r="P250" s="1080">
        <v>-717</v>
      </c>
      <c r="Q250" s="1080"/>
      <c r="R250" s="1080">
        <v>0</v>
      </c>
      <c r="S250" s="1080"/>
      <c r="T250" s="1080">
        <v>0</v>
      </c>
      <c r="U250" s="1080"/>
      <c r="V250" s="1080">
        <v>0</v>
      </c>
      <c r="W250" s="1080"/>
      <c r="X250" s="1080">
        <v>0</v>
      </c>
      <c r="Y250" s="1080"/>
      <c r="Z250" s="1080">
        <v>716.26</v>
      </c>
      <c r="AA250" s="1080"/>
      <c r="AB250" s="1080">
        <v>1226.47</v>
      </c>
      <c r="AC250" s="1080"/>
      <c r="AD250" s="1080">
        <v>361.78</v>
      </c>
      <c r="AE250" s="1080"/>
      <c r="AF250" s="1080">
        <v>497.18</v>
      </c>
      <c r="AG250" s="1080"/>
      <c r="AH250" s="1081">
        <f t="shared" si="22"/>
        <v>2084.6900000000005</v>
      </c>
      <c r="AI250" s="8">
        <f t="shared" si="23"/>
        <v>1.0296533863060925E-4</v>
      </c>
      <c r="AJ250" s="9"/>
    </row>
    <row r="251" spans="2:36" outlineLevel="1">
      <c r="B251" s="5" t="s">
        <v>24</v>
      </c>
      <c r="D251" s="234">
        <v>70303</v>
      </c>
      <c r="E251" s="234" t="s">
        <v>438</v>
      </c>
      <c r="F251" s="235"/>
      <c r="G251" s="3"/>
      <c r="H251" s="236"/>
      <c r="I251" s="6"/>
      <c r="J251" s="1078">
        <v>12.36</v>
      </c>
      <c r="K251" s="1080"/>
      <c r="L251" s="1080">
        <v>12.36</v>
      </c>
      <c r="M251" s="1080"/>
      <c r="N251" s="1080">
        <v>12.36</v>
      </c>
      <c r="O251" s="1080"/>
      <c r="P251" s="1080">
        <v>41.41</v>
      </c>
      <c r="Q251" s="1080"/>
      <c r="R251" s="1080">
        <v>12.36</v>
      </c>
      <c r="S251" s="1080"/>
      <c r="T251" s="1080">
        <v>9.36</v>
      </c>
      <c r="U251" s="1080"/>
      <c r="V251" s="1080">
        <v>12.36</v>
      </c>
      <c r="W251" s="1080"/>
      <c r="X251" s="1080">
        <v>10.86</v>
      </c>
      <c r="Y251" s="1080"/>
      <c r="Z251" s="1080">
        <v>104.01</v>
      </c>
      <c r="AA251" s="1080"/>
      <c r="AB251" s="1080">
        <v>0</v>
      </c>
      <c r="AC251" s="1080"/>
      <c r="AD251" s="1080">
        <v>0</v>
      </c>
      <c r="AE251" s="1080"/>
      <c r="AF251" s="1080">
        <v>0</v>
      </c>
      <c r="AG251" s="1080"/>
      <c r="AH251" s="1081">
        <f t="shared" si="22"/>
        <v>227.44</v>
      </c>
      <c r="AI251" s="8">
        <f t="shared" si="23"/>
        <v>1.1233534299174342E-5</v>
      </c>
      <c r="AJ251" s="9"/>
    </row>
    <row r="252" spans="2:36" outlineLevel="1">
      <c r="B252" s="5" t="s">
        <v>24</v>
      </c>
      <c r="D252" s="234">
        <v>70310</v>
      </c>
      <c r="E252" s="234" t="s">
        <v>143</v>
      </c>
      <c r="F252" s="235"/>
      <c r="G252" s="3"/>
      <c r="H252" s="236"/>
      <c r="I252" s="6"/>
      <c r="J252" s="1078">
        <v>2070.14</v>
      </c>
      <c r="K252" s="1080"/>
      <c r="L252" s="1080">
        <v>3367.63</v>
      </c>
      <c r="M252" s="1080"/>
      <c r="N252" s="1080">
        <v>4893.1400000000003</v>
      </c>
      <c r="O252" s="1080"/>
      <c r="P252" s="1080">
        <v>9912.44</v>
      </c>
      <c r="Q252" s="1080"/>
      <c r="R252" s="1080">
        <v>6239.31</v>
      </c>
      <c r="S252" s="1080"/>
      <c r="T252" s="1080">
        <v>2896.05</v>
      </c>
      <c r="U252" s="1080"/>
      <c r="V252" s="1080">
        <v>1236.6500000000001</v>
      </c>
      <c r="W252" s="1080"/>
      <c r="X252" s="1080">
        <v>19635.59</v>
      </c>
      <c r="Y252" s="1080"/>
      <c r="Z252" s="1080">
        <v>-3490.04</v>
      </c>
      <c r="AA252" s="1080"/>
      <c r="AB252" s="1080">
        <v>7108.4</v>
      </c>
      <c r="AC252" s="1080"/>
      <c r="AD252" s="1080">
        <v>19403.22</v>
      </c>
      <c r="AE252" s="1080"/>
      <c r="AF252" s="1080">
        <v>-7209.3</v>
      </c>
      <c r="AG252" s="1080"/>
      <c r="AH252" s="1081">
        <f t="shared" si="22"/>
        <v>66063.23</v>
      </c>
      <c r="AI252" s="8">
        <f t="shared" si="23"/>
        <v>3.2629421391102858E-3</v>
      </c>
      <c r="AJ252" s="9"/>
    </row>
    <row r="253" spans="2:36" outlineLevel="1">
      <c r="B253" s="5" t="s">
        <v>24</v>
      </c>
      <c r="D253" s="234">
        <v>70315</v>
      </c>
      <c r="E253" s="234" t="s">
        <v>2010</v>
      </c>
      <c r="F253" s="235"/>
      <c r="G253" s="3"/>
      <c r="H253" s="236"/>
      <c r="I253" s="6"/>
      <c r="J253" s="1078">
        <v>0</v>
      </c>
      <c r="K253" s="1080"/>
      <c r="L253" s="1080">
        <v>0</v>
      </c>
      <c r="M253" s="1080"/>
      <c r="N253" s="1080">
        <v>0</v>
      </c>
      <c r="O253" s="1080"/>
      <c r="P253" s="1080">
        <v>5250</v>
      </c>
      <c r="Q253" s="1080"/>
      <c r="R253" s="1080">
        <v>0</v>
      </c>
      <c r="S253" s="1080"/>
      <c r="T253" s="1080">
        <v>0</v>
      </c>
      <c r="U253" s="1080"/>
      <c r="V253" s="1080">
        <v>0</v>
      </c>
      <c r="W253" s="1080"/>
      <c r="X253" s="1080">
        <v>0</v>
      </c>
      <c r="Y253" s="1080"/>
      <c r="Z253" s="1080">
        <v>0</v>
      </c>
      <c r="AA253" s="1080"/>
      <c r="AB253" s="1080">
        <v>0</v>
      </c>
      <c r="AC253" s="1080"/>
      <c r="AD253" s="1080">
        <v>0</v>
      </c>
      <c r="AE253" s="1080"/>
      <c r="AF253" s="1080">
        <v>0</v>
      </c>
      <c r="AG253" s="1080"/>
      <c r="AH253" s="1081">
        <f t="shared" si="22"/>
        <v>5250</v>
      </c>
      <c r="AI253" s="8">
        <f t="shared" si="23"/>
        <v>2.5930379471801487E-4</v>
      </c>
      <c r="AJ253" s="9"/>
    </row>
    <row r="254" spans="2:36" outlineLevel="1">
      <c r="B254" s="5" t="s">
        <v>24</v>
      </c>
      <c r="D254" s="234">
        <v>70320</v>
      </c>
      <c r="E254" s="234" t="s">
        <v>144</v>
      </c>
      <c r="F254" s="235"/>
      <c r="G254" s="3"/>
      <c r="H254" s="236"/>
      <c r="I254" s="6"/>
      <c r="J254" s="1078">
        <v>464.52</v>
      </c>
      <c r="K254" s="1080"/>
      <c r="L254" s="1080">
        <v>250</v>
      </c>
      <c r="M254" s="1080"/>
      <c r="N254" s="1080">
        <v>1092.79</v>
      </c>
      <c r="O254" s="1080"/>
      <c r="P254" s="1080">
        <v>350</v>
      </c>
      <c r="Q254" s="1080"/>
      <c r="R254" s="1080">
        <v>625.14</v>
      </c>
      <c r="S254" s="1080"/>
      <c r="T254" s="1080">
        <v>383.34</v>
      </c>
      <c r="U254" s="1080"/>
      <c r="V254" s="1080">
        <v>700</v>
      </c>
      <c r="W254" s="1080"/>
      <c r="X254" s="1080">
        <v>602.80999999999995</v>
      </c>
      <c r="Y254" s="1080"/>
      <c r="Z254" s="1080">
        <v>427.25</v>
      </c>
      <c r="AA254" s="1080"/>
      <c r="AB254" s="1080">
        <v>943.75</v>
      </c>
      <c r="AC254" s="1080"/>
      <c r="AD254" s="1080">
        <v>876.83</v>
      </c>
      <c r="AE254" s="1080"/>
      <c r="AF254" s="1080">
        <v>496.72</v>
      </c>
      <c r="AG254" s="1080"/>
      <c r="AH254" s="1081">
        <f t="shared" si="22"/>
        <v>7213.15</v>
      </c>
      <c r="AI254" s="8">
        <f t="shared" si="23"/>
        <v>3.5626612702290456E-4</v>
      </c>
      <c r="AJ254" s="9"/>
    </row>
    <row r="255" spans="2:36" outlineLevel="1">
      <c r="B255" s="5" t="s">
        <v>24</v>
      </c>
      <c r="D255" s="234">
        <v>70324</v>
      </c>
      <c r="E255" s="234" t="s">
        <v>106</v>
      </c>
      <c r="F255" s="235"/>
      <c r="G255" s="3"/>
      <c r="H255" s="236"/>
      <c r="I255" s="6"/>
      <c r="J255" s="1078">
        <v>0</v>
      </c>
      <c r="K255" s="1080"/>
      <c r="L255" s="1080">
        <v>0</v>
      </c>
      <c r="M255" s="1080"/>
      <c r="N255" s="1080">
        <v>0</v>
      </c>
      <c r="O255" s="1080"/>
      <c r="P255" s="1080">
        <v>0</v>
      </c>
      <c r="Q255" s="1080"/>
      <c r="R255" s="1080">
        <v>0</v>
      </c>
      <c r="S255" s="1080"/>
      <c r="T255" s="1080">
        <v>0</v>
      </c>
      <c r="U255" s="1080"/>
      <c r="V255" s="1080">
        <v>0</v>
      </c>
      <c r="W255" s="1080"/>
      <c r="X255" s="1080">
        <v>0</v>
      </c>
      <c r="Y255" s="1080"/>
      <c r="Z255" s="1080">
        <v>0</v>
      </c>
      <c r="AA255" s="1080"/>
      <c r="AB255" s="1080">
        <v>0</v>
      </c>
      <c r="AC255" s="1080"/>
      <c r="AD255" s="1080">
        <v>1.68</v>
      </c>
      <c r="AE255" s="1080"/>
      <c r="AF255" s="1080">
        <v>0</v>
      </c>
      <c r="AG255" s="1080"/>
      <c r="AH255" s="1081">
        <f t="shared" si="22"/>
        <v>1.68</v>
      </c>
      <c r="AI255" s="8">
        <f t="shared" si="23"/>
        <v>8.2977214309764751E-8</v>
      </c>
      <c r="AJ255" s="9"/>
    </row>
    <row r="256" spans="2:36" outlineLevel="1">
      <c r="B256" s="5" t="s">
        <v>24</v>
      </c>
      <c r="D256" s="234">
        <v>70335</v>
      </c>
      <c r="E256" s="234" t="s">
        <v>2011</v>
      </c>
      <c r="F256" s="235"/>
      <c r="G256" s="3"/>
      <c r="H256" s="236"/>
      <c r="I256" s="6"/>
      <c r="J256" s="1078">
        <v>-0.04</v>
      </c>
      <c r="K256" s="1080"/>
      <c r="L256" s="1080">
        <v>0</v>
      </c>
      <c r="M256" s="1080"/>
      <c r="N256" s="1080">
        <v>0</v>
      </c>
      <c r="O256" s="1080"/>
      <c r="P256" s="1080">
        <v>1045.04</v>
      </c>
      <c r="Q256" s="1080"/>
      <c r="R256" s="1080">
        <v>-1045.04</v>
      </c>
      <c r="S256" s="1080"/>
      <c r="T256" s="1080">
        <v>0</v>
      </c>
      <c r="U256" s="1080"/>
      <c r="V256" s="1080">
        <v>0</v>
      </c>
      <c r="W256" s="1080"/>
      <c r="X256" s="1080">
        <v>170.38</v>
      </c>
      <c r="Y256" s="1080"/>
      <c r="Z256" s="1080">
        <v>-170.38</v>
      </c>
      <c r="AA256" s="1080"/>
      <c r="AB256" s="1080">
        <v>0</v>
      </c>
      <c r="AC256" s="1080"/>
      <c r="AD256" s="1080">
        <v>0</v>
      </c>
      <c r="AE256" s="1080"/>
      <c r="AF256" s="1080">
        <v>0</v>
      </c>
      <c r="AG256" s="1080"/>
      <c r="AH256" s="1081">
        <f t="shared" si="22"/>
        <v>-0.04</v>
      </c>
      <c r="AI256" s="8">
        <f t="shared" si="23"/>
        <v>-1.9756479597563038E-9</v>
      </c>
      <c r="AJ256" s="9"/>
    </row>
    <row r="257" spans="1:36" outlineLevel="1">
      <c r="B257" s="5" t="s">
        <v>24</v>
      </c>
      <c r="D257" s="234">
        <v>70336</v>
      </c>
      <c r="E257" s="234" t="s">
        <v>424</v>
      </c>
      <c r="F257" s="235"/>
      <c r="G257" s="3"/>
      <c r="H257" s="236"/>
      <c r="I257" s="6"/>
      <c r="J257" s="1078">
        <v>0</v>
      </c>
      <c r="K257" s="1080"/>
      <c r="L257" s="1080">
        <v>61.02</v>
      </c>
      <c r="M257" s="1080"/>
      <c r="N257" s="1080">
        <v>92.44</v>
      </c>
      <c r="O257" s="1080"/>
      <c r="P257" s="1080">
        <v>0</v>
      </c>
      <c r="Q257" s="1080"/>
      <c r="R257" s="1080">
        <v>80.53</v>
      </c>
      <c r="S257" s="1080"/>
      <c r="T257" s="1080">
        <v>0</v>
      </c>
      <c r="U257" s="1080"/>
      <c r="V257" s="1080">
        <v>0</v>
      </c>
      <c r="W257" s="1080"/>
      <c r="X257" s="1080">
        <v>0</v>
      </c>
      <c r="Y257" s="1080"/>
      <c r="Z257" s="1080">
        <v>0</v>
      </c>
      <c r="AA257" s="1080"/>
      <c r="AB257" s="1080">
        <v>0</v>
      </c>
      <c r="AC257" s="1080"/>
      <c r="AD257" s="1080">
        <v>0</v>
      </c>
      <c r="AE257" s="1080"/>
      <c r="AF257" s="1080">
        <v>0</v>
      </c>
      <c r="AG257" s="1080"/>
      <c r="AH257" s="1081">
        <f t="shared" si="22"/>
        <v>233.99</v>
      </c>
      <c r="AI257" s="8">
        <f t="shared" si="23"/>
        <v>1.1557046652584437E-5</v>
      </c>
      <c r="AJ257" s="9"/>
    </row>
    <row r="258" spans="1:36" outlineLevel="1">
      <c r="B258" s="5" t="s">
        <v>24</v>
      </c>
      <c r="D258" s="234">
        <v>70357</v>
      </c>
      <c r="E258" s="234" t="s">
        <v>107</v>
      </c>
      <c r="F258" s="235"/>
      <c r="G258" s="3"/>
      <c r="H258" s="236"/>
      <c r="I258" s="6"/>
      <c r="J258" s="1078">
        <v>0</v>
      </c>
      <c r="K258" s="1080"/>
      <c r="L258" s="1080">
        <v>0</v>
      </c>
      <c r="M258" s="1080"/>
      <c r="N258" s="1080">
        <v>0</v>
      </c>
      <c r="O258" s="1080"/>
      <c r="P258" s="1080">
        <v>0</v>
      </c>
      <c r="Q258" s="1080"/>
      <c r="R258" s="1080">
        <v>0</v>
      </c>
      <c r="S258" s="1080"/>
      <c r="T258" s="1080">
        <v>0</v>
      </c>
      <c r="U258" s="1080"/>
      <c r="V258" s="1080">
        <v>0</v>
      </c>
      <c r="W258" s="1080"/>
      <c r="X258" s="1080">
        <v>0</v>
      </c>
      <c r="Y258" s="1080"/>
      <c r="Z258" s="1080">
        <v>0</v>
      </c>
      <c r="AA258" s="1080"/>
      <c r="AB258" s="1080">
        <v>0</v>
      </c>
      <c r="AC258" s="1080"/>
      <c r="AD258" s="1080">
        <v>141</v>
      </c>
      <c r="AE258" s="1080"/>
      <c r="AF258" s="1080">
        <v>0</v>
      </c>
      <c r="AG258" s="1080"/>
      <c r="AH258" s="1081">
        <f t="shared" si="22"/>
        <v>141</v>
      </c>
      <c r="AI258" s="8">
        <f t="shared" si="23"/>
        <v>6.9641590581409705E-6</v>
      </c>
      <c r="AJ258" s="9"/>
    </row>
    <row r="259" spans="1:36" s="236" customFormat="1" ht="5.0999999999999996" customHeight="1" outlineLevel="1">
      <c r="B259" s="1" t="s">
        <v>17</v>
      </c>
      <c r="D259" s="235"/>
      <c r="E259" s="235"/>
      <c r="F259" s="235"/>
      <c r="G259" s="235"/>
      <c r="J259" s="1106"/>
      <c r="K259" s="1105"/>
      <c r="L259" s="1107"/>
      <c r="M259" s="1105"/>
      <c r="N259" s="1107"/>
      <c r="O259" s="1105"/>
      <c r="P259" s="1107"/>
      <c r="Q259" s="1105"/>
      <c r="R259" s="1107"/>
      <c r="S259" s="1105"/>
      <c r="T259" s="1107"/>
      <c r="U259" s="1105"/>
      <c r="V259" s="1107"/>
      <c r="W259" s="1105"/>
      <c r="X259" s="1107"/>
      <c r="Y259" s="1105"/>
      <c r="Z259" s="1107"/>
      <c r="AA259" s="1105"/>
      <c r="AB259" s="1107"/>
      <c r="AC259" s="1105"/>
      <c r="AD259" s="1107"/>
      <c r="AE259" s="1105"/>
      <c r="AF259" s="1107"/>
      <c r="AG259" s="1105"/>
      <c r="AH259" s="1108"/>
      <c r="AI259" s="31"/>
      <c r="AJ259" s="14"/>
    </row>
    <row r="260" spans="1:36" s="236" customFormat="1" ht="15">
      <c r="B260" s="1" t="s">
        <v>17</v>
      </c>
      <c r="F260" s="235" t="s">
        <v>146</v>
      </c>
      <c r="J260" s="1085">
        <f>SUM(J214:J259)</f>
        <v>126510.17</v>
      </c>
      <c r="K260" s="1105"/>
      <c r="L260" s="1086">
        <f>SUM(L214:L259)</f>
        <v>149512.66</v>
      </c>
      <c r="M260" s="1105"/>
      <c r="N260" s="1086">
        <f>SUM(N214:N259)</f>
        <v>136171.61000000004</v>
      </c>
      <c r="O260" s="1105"/>
      <c r="P260" s="1086">
        <f>SUM(P214:P259)</f>
        <v>135155.93000000002</v>
      </c>
      <c r="Q260" s="1105"/>
      <c r="R260" s="1086">
        <f>SUM(R214:R259)</f>
        <v>130107.95</v>
      </c>
      <c r="S260" s="1105"/>
      <c r="T260" s="1086">
        <f>SUM(T214:T259)</f>
        <v>137317.09999999998</v>
      </c>
      <c r="U260" s="1105"/>
      <c r="V260" s="1086">
        <f>SUM(V214:V259)</f>
        <v>143692.25</v>
      </c>
      <c r="W260" s="1105"/>
      <c r="X260" s="1086">
        <f>SUM(X214:X259)</f>
        <v>153341.46</v>
      </c>
      <c r="Y260" s="1105"/>
      <c r="Z260" s="1086">
        <f>SUM(Z214:Z259)</f>
        <v>129137.26000000005</v>
      </c>
      <c r="AA260" s="1105"/>
      <c r="AB260" s="1086">
        <f>SUM(AB214:AB259)</f>
        <v>142099.57000000004</v>
      </c>
      <c r="AC260" s="1105"/>
      <c r="AD260" s="1086">
        <f>SUM(AD214:AD259)</f>
        <v>136290.10999999996</v>
      </c>
      <c r="AE260" s="1105"/>
      <c r="AF260" s="1086">
        <f>SUM(AF214:AF259)</f>
        <v>122167.08999999997</v>
      </c>
      <c r="AG260" s="1105"/>
      <c r="AH260" s="1087">
        <f>SUM(AH214:AH259)</f>
        <v>1641503.1599999997</v>
      </c>
      <c r="AI260" s="8">
        <f>IF(AH$58=0,0,AH260/AH$58)</f>
        <v>8.1075809224688114E-2</v>
      </c>
      <c r="AJ260" s="14"/>
    </row>
    <row r="261" spans="1:36" s="236" customFormat="1" ht="15" outlineLevel="1">
      <c r="B261" s="1" t="s">
        <v>17</v>
      </c>
      <c r="J261" s="1085"/>
      <c r="K261" s="1105"/>
      <c r="L261" s="1086"/>
      <c r="M261" s="1105"/>
      <c r="N261" s="1086"/>
      <c r="O261" s="1105"/>
      <c r="P261" s="1086"/>
      <c r="Q261" s="1105"/>
      <c r="R261" s="1086"/>
      <c r="S261" s="1105"/>
      <c r="T261" s="1086"/>
      <c r="U261" s="1105"/>
      <c r="V261" s="1086"/>
      <c r="W261" s="1105"/>
      <c r="X261" s="1086"/>
      <c r="Y261" s="1105"/>
      <c r="Z261" s="1086"/>
      <c r="AA261" s="1105"/>
      <c r="AB261" s="1086"/>
      <c r="AC261" s="1105"/>
      <c r="AD261" s="1086"/>
      <c r="AE261" s="1105"/>
      <c r="AF261" s="1086"/>
      <c r="AG261" s="1105"/>
      <c r="AH261" s="1087"/>
      <c r="AI261" s="31"/>
      <c r="AJ261" s="14"/>
    </row>
    <row r="262" spans="1:36" outlineLevel="1">
      <c r="B262" s="5" t="s">
        <v>147</v>
      </c>
      <c r="D262" s="234">
        <v>70149</v>
      </c>
      <c r="E262" s="234" t="s">
        <v>148</v>
      </c>
      <c r="F262" s="235"/>
      <c r="G262" s="3"/>
      <c r="H262" s="236"/>
      <c r="I262" s="6"/>
      <c r="J262" s="1078">
        <v>30102.26</v>
      </c>
      <c r="K262" s="1080"/>
      <c r="L262" s="1080">
        <v>30230.89</v>
      </c>
      <c r="M262" s="1080"/>
      <c r="N262" s="1080">
        <v>31623.759999999998</v>
      </c>
      <c r="O262" s="1080"/>
      <c r="P262" s="1080">
        <v>31565.32</v>
      </c>
      <c r="Q262" s="1080"/>
      <c r="R262" s="1080">
        <v>32234.27</v>
      </c>
      <c r="S262" s="1080"/>
      <c r="T262" s="1080">
        <v>32063.55</v>
      </c>
      <c r="U262" s="1080"/>
      <c r="V262" s="1080">
        <v>31226.86</v>
      </c>
      <c r="W262" s="1080"/>
      <c r="X262" s="1080">
        <v>30003.15</v>
      </c>
      <c r="Y262" s="1080"/>
      <c r="Z262" s="1080">
        <v>29809.56</v>
      </c>
      <c r="AA262" s="1080"/>
      <c r="AB262" s="1080">
        <v>50862.65</v>
      </c>
      <c r="AC262" s="1080"/>
      <c r="AD262" s="1080">
        <v>49972.24</v>
      </c>
      <c r="AE262" s="1080"/>
      <c r="AF262" s="1080">
        <v>52784.2</v>
      </c>
      <c r="AG262" s="1080"/>
      <c r="AH262" s="1081">
        <f>AF262+AD262+AB262+Z262+X262+V262+T262+R262+P262+N262+L262+J262</f>
        <v>432478.71</v>
      </c>
      <c r="AI262" s="8">
        <f>IF(AH$58=0,0,AH262/AH$58)</f>
        <v>2.1360642026238455E-2</v>
      </c>
      <c r="AJ262" s="9"/>
    </row>
    <row r="263" spans="1:36" s="236" customFormat="1" ht="5.0999999999999996" customHeight="1" outlineLevel="1">
      <c r="B263" s="1" t="s">
        <v>17</v>
      </c>
      <c r="D263" s="235"/>
      <c r="E263" s="235"/>
      <c r="F263" s="235"/>
      <c r="G263" s="235"/>
      <c r="J263" s="1106"/>
      <c r="K263" s="1105"/>
      <c r="L263" s="1107"/>
      <c r="M263" s="1105"/>
      <c r="N263" s="1107"/>
      <c r="O263" s="1105"/>
      <c r="P263" s="1107"/>
      <c r="Q263" s="1105"/>
      <c r="R263" s="1107"/>
      <c r="S263" s="1105"/>
      <c r="T263" s="1107"/>
      <c r="U263" s="1105"/>
      <c r="V263" s="1107"/>
      <c r="W263" s="1105"/>
      <c r="X263" s="1107"/>
      <c r="Y263" s="1105"/>
      <c r="Z263" s="1107"/>
      <c r="AA263" s="1105"/>
      <c r="AB263" s="1107"/>
      <c r="AC263" s="1105"/>
      <c r="AD263" s="1107"/>
      <c r="AE263" s="1105"/>
      <c r="AF263" s="1107"/>
      <c r="AG263" s="1105"/>
      <c r="AH263" s="1108"/>
      <c r="AI263" s="31"/>
      <c r="AJ263" s="14"/>
    </row>
    <row r="264" spans="1:36" s="236" customFormat="1" ht="15">
      <c r="B264" s="1" t="s">
        <v>17</v>
      </c>
      <c r="F264" s="234" t="s">
        <v>149</v>
      </c>
      <c r="J264" s="1085">
        <f>SUM(J261:J263)</f>
        <v>30102.26</v>
      </c>
      <c r="K264" s="1105"/>
      <c r="L264" s="1086">
        <f>SUM(L261:L263)</f>
        <v>30230.89</v>
      </c>
      <c r="M264" s="1105"/>
      <c r="N264" s="1086">
        <f>SUM(N261:N263)</f>
        <v>31623.759999999998</v>
      </c>
      <c r="O264" s="1105"/>
      <c r="P264" s="1086">
        <f>SUM(P261:P263)</f>
        <v>31565.32</v>
      </c>
      <c r="Q264" s="1105"/>
      <c r="R264" s="1086">
        <f>SUM(R261:R263)</f>
        <v>32234.27</v>
      </c>
      <c r="S264" s="1105"/>
      <c r="T264" s="1086">
        <f>SUM(T261:T263)</f>
        <v>32063.55</v>
      </c>
      <c r="U264" s="1105"/>
      <c r="V264" s="1086">
        <f>SUM(V261:V263)</f>
        <v>31226.86</v>
      </c>
      <c r="W264" s="1105"/>
      <c r="X264" s="1086">
        <f>SUM(X261:X263)</f>
        <v>30003.15</v>
      </c>
      <c r="Y264" s="1105"/>
      <c r="Z264" s="1086">
        <f>SUM(Z261:Z263)</f>
        <v>29809.56</v>
      </c>
      <c r="AA264" s="1105"/>
      <c r="AB264" s="1086">
        <f>SUM(AB261:AB263)</f>
        <v>50862.65</v>
      </c>
      <c r="AC264" s="1105"/>
      <c r="AD264" s="1086">
        <f>SUM(AD261:AD263)</f>
        <v>49972.24</v>
      </c>
      <c r="AE264" s="1105"/>
      <c r="AF264" s="1086">
        <f>SUM(AF261:AF263)</f>
        <v>52784.2</v>
      </c>
      <c r="AG264" s="1105"/>
      <c r="AH264" s="1087">
        <f>SUM(AH261:AH263)</f>
        <v>432478.71</v>
      </c>
      <c r="AI264" s="8">
        <f>IF(AH$58=0,0,AH264/AH$58)</f>
        <v>2.1360642026238455E-2</v>
      </c>
      <c r="AJ264" s="14"/>
    </row>
    <row r="265" spans="1:36" s="236" customFormat="1" ht="7.5" customHeight="1">
      <c r="B265" s="1"/>
      <c r="J265" s="1085"/>
      <c r="K265" s="1105"/>
      <c r="L265" s="1086"/>
      <c r="M265" s="1105"/>
      <c r="N265" s="1086"/>
      <c r="O265" s="1105"/>
      <c r="P265" s="1086"/>
      <c r="Q265" s="1105"/>
      <c r="R265" s="1086"/>
      <c r="S265" s="1105"/>
      <c r="T265" s="1086"/>
      <c r="U265" s="1105"/>
      <c r="V265" s="1086"/>
      <c r="W265" s="1105"/>
      <c r="X265" s="1086"/>
      <c r="Y265" s="1105"/>
      <c r="Z265" s="1086"/>
      <c r="AA265" s="1105"/>
      <c r="AB265" s="1086"/>
      <c r="AC265" s="1105"/>
      <c r="AD265" s="1086"/>
      <c r="AE265" s="1105"/>
      <c r="AF265" s="1086"/>
      <c r="AG265" s="1105"/>
      <c r="AH265" s="1087"/>
      <c r="AI265" s="31"/>
      <c r="AJ265" s="14"/>
    </row>
    <row r="266" spans="1:36" s="236" customFormat="1" ht="15">
      <c r="B266" s="1"/>
      <c r="E266" s="36" t="s">
        <v>150</v>
      </c>
      <c r="J266" s="1109">
        <f>+J212+J260+J264</f>
        <v>156612.43</v>
      </c>
      <c r="K266" s="1105"/>
      <c r="L266" s="1110">
        <f>+L212+L260+L264</f>
        <v>179743.55</v>
      </c>
      <c r="M266" s="1105"/>
      <c r="N266" s="1110">
        <f>+N212+N260+N264</f>
        <v>167795.37000000005</v>
      </c>
      <c r="O266" s="1105"/>
      <c r="P266" s="1110">
        <f>+P212+P260+P264</f>
        <v>166721.25000000003</v>
      </c>
      <c r="Q266" s="1105"/>
      <c r="R266" s="1110">
        <f>+R212+R260+R264</f>
        <v>162342.22</v>
      </c>
      <c r="S266" s="1105"/>
      <c r="T266" s="1110">
        <f>+T212+T260+T264</f>
        <v>169380.64999999997</v>
      </c>
      <c r="U266" s="1105"/>
      <c r="V266" s="1110">
        <f>+V212+V260+V264</f>
        <v>174919.11</v>
      </c>
      <c r="W266" s="1105"/>
      <c r="X266" s="1110">
        <f>+X212+X260+X264</f>
        <v>183344.61</v>
      </c>
      <c r="Y266" s="1105"/>
      <c r="Z266" s="1110">
        <f>+Z212+Z260+Z264</f>
        <v>158946.82000000007</v>
      </c>
      <c r="AA266" s="1105"/>
      <c r="AB266" s="1110">
        <f>+AB212+AB260+AB264</f>
        <v>192962.22000000003</v>
      </c>
      <c r="AC266" s="1105"/>
      <c r="AD266" s="1110">
        <f>+AD212+AD260+AD264</f>
        <v>186262.34999999995</v>
      </c>
      <c r="AE266" s="1105"/>
      <c r="AF266" s="1110">
        <f>+AF212+AF260+AF264</f>
        <v>174951.28999999998</v>
      </c>
      <c r="AG266" s="1105"/>
      <c r="AH266" s="1111">
        <f>+AH212+AH260+AH264</f>
        <v>2073981.8699999996</v>
      </c>
      <c r="AI266" s="8">
        <f>IF(AH$58=0,0,AH266/AH$58)</f>
        <v>0.10243645125092657</v>
      </c>
      <c r="AJ266" s="14"/>
    </row>
    <row r="267" spans="1:36" s="236" customFormat="1" ht="7.5" customHeight="1">
      <c r="B267" s="1"/>
      <c r="J267" s="1085"/>
      <c r="K267" s="1105"/>
      <c r="L267" s="1086"/>
      <c r="M267" s="1105"/>
      <c r="N267" s="1086"/>
      <c r="O267" s="1105"/>
      <c r="P267" s="1086"/>
      <c r="Q267" s="1105"/>
      <c r="R267" s="1086"/>
      <c r="S267" s="1105"/>
      <c r="T267" s="1086"/>
      <c r="U267" s="1105"/>
      <c r="V267" s="1086"/>
      <c r="W267" s="1105"/>
      <c r="X267" s="1086"/>
      <c r="Y267" s="1105"/>
      <c r="Z267" s="1086"/>
      <c r="AA267" s="1105"/>
      <c r="AB267" s="1086"/>
      <c r="AC267" s="1105"/>
      <c r="AD267" s="1086"/>
      <c r="AE267" s="1105"/>
      <c r="AF267" s="1086"/>
      <c r="AG267" s="1105"/>
      <c r="AH267" s="1087"/>
      <c r="AI267" s="31"/>
      <c r="AJ267" s="14"/>
    </row>
    <row r="268" spans="1:36" s="236" customFormat="1" ht="7.5" customHeight="1">
      <c r="B268" s="1" t="s">
        <v>17</v>
      </c>
      <c r="D268" s="39"/>
      <c r="E268" s="39"/>
      <c r="F268" s="39"/>
      <c r="G268" s="39"/>
      <c r="H268" s="39"/>
      <c r="I268" s="39"/>
      <c r="J268" s="1085"/>
      <c r="K268" s="1105"/>
      <c r="L268" s="1086"/>
      <c r="M268" s="1105"/>
      <c r="N268" s="1086"/>
      <c r="O268" s="1105"/>
      <c r="P268" s="1086"/>
      <c r="Q268" s="1105"/>
      <c r="R268" s="1086"/>
      <c r="S268" s="1105"/>
      <c r="T268" s="1086"/>
      <c r="U268" s="1105"/>
      <c r="V268" s="1086"/>
      <c r="W268" s="1105"/>
      <c r="X268" s="1086"/>
      <c r="Y268" s="1105"/>
      <c r="Z268" s="1086"/>
      <c r="AA268" s="1105"/>
      <c r="AB268" s="1086"/>
      <c r="AC268" s="1105"/>
      <c r="AD268" s="1086"/>
      <c r="AE268" s="1105"/>
      <c r="AF268" s="1086"/>
      <c r="AG268" s="1105"/>
      <c r="AH268" s="1087"/>
      <c r="AI268" s="31"/>
      <c r="AJ268" s="14"/>
    </row>
    <row r="269" spans="1:36" s="236" customFormat="1" ht="15">
      <c r="B269" s="1" t="s">
        <v>17</v>
      </c>
      <c r="E269" s="40" t="s">
        <v>151</v>
      </c>
      <c r="F269" s="41"/>
      <c r="G269" s="41"/>
      <c r="H269" s="41"/>
      <c r="I269" s="41"/>
      <c r="J269" s="1109">
        <f>+J207-J266</f>
        <v>132630.78999999986</v>
      </c>
      <c r="K269" s="1105"/>
      <c r="L269" s="1110">
        <f>+L207-L266</f>
        <v>241775.46999999968</v>
      </c>
      <c r="M269" s="1105"/>
      <c r="N269" s="1110">
        <f>+N207-N266</f>
        <v>292414.4200000001</v>
      </c>
      <c r="O269" s="1105"/>
      <c r="P269" s="1110">
        <f>+P207-P266</f>
        <v>304562.15000000049</v>
      </c>
      <c r="Q269" s="1105"/>
      <c r="R269" s="1110">
        <f>+R207-R266</f>
        <v>259931.47999999995</v>
      </c>
      <c r="S269" s="1105"/>
      <c r="T269" s="1110">
        <f>+T207-T266</f>
        <v>229490.04999999964</v>
      </c>
      <c r="U269" s="1105"/>
      <c r="V269" s="1110">
        <f>+V207-V266</f>
        <v>377064.93000000028</v>
      </c>
      <c r="W269" s="1105"/>
      <c r="X269" s="1110">
        <f>+X207-X266</f>
        <v>273107.37</v>
      </c>
      <c r="Y269" s="1105"/>
      <c r="Z269" s="1110">
        <f>+Z207-Z266</f>
        <v>178234.44000000006</v>
      </c>
      <c r="AA269" s="1105"/>
      <c r="AB269" s="1110">
        <f>+AB207-AB266</f>
        <v>244107.16999999998</v>
      </c>
      <c r="AC269" s="1105"/>
      <c r="AD269" s="1110">
        <f>+AD207-AD266</f>
        <v>355220.41999999993</v>
      </c>
      <c r="AE269" s="1105"/>
      <c r="AF269" s="1110">
        <f>+AF207-AF266</f>
        <v>268849.71000000025</v>
      </c>
      <c r="AG269" s="1105"/>
      <c r="AH269" s="1111">
        <f>+AH207-AH266</f>
        <v>3157388.4000000018</v>
      </c>
      <c r="AI269" s="8">
        <f>IF(AH$58=0,0,AH269/AH$58)</f>
        <v>0.1559471987654556</v>
      </c>
      <c r="AJ269" s="42"/>
    </row>
    <row r="270" spans="1:36" s="236" customFormat="1" ht="6.75" customHeight="1">
      <c r="A270" s="43"/>
      <c r="B270" s="1" t="s">
        <v>17</v>
      </c>
      <c r="C270" s="1"/>
      <c r="D270" s="44"/>
      <c r="E270" s="44"/>
      <c r="F270" s="44"/>
      <c r="G270" s="44"/>
      <c r="H270" s="44"/>
      <c r="I270" s="44"/>
      <c r="J270" s="1088"/>
      <c r="K270" s="1089"/>
      <c r="L270" s="1090"/>
      <c r="M270" s="1089"/>
      <c r="N270" s="1090"/>
      <c r="O270" s="1089"/>
      <c r="P270" s="1090"/>
      <c r="Q270" s="1089"/>
      <c r="R270" s="1090"/>
      <c r="S270" s="1089"/>
      <c r="T270" s="1090"/>
      <c r="U270" s="1089"/>
      <c r="V270" s="1090"/>
      <c r="W270" s="1089"/>
      <c r="X270" s="1090"/>
      <c r="Y270" s="1089"/>
      <c r="Z270" s="1090"/>
      <c r="AA270" s="1089"/>
      <c r="AB270" s="1090"/>
      <c r="AC270" s="1089"/>
      <c r="AD270" s="1090"/>
      <c r="AE270" s="1089"/>
      <c r="AF270" s="1090"/>
      <c r="AG270" s="1089"/>
      <c r="AH270" s="1091"/>
      <c r="AI270" s="45"/>
      <c r="AJ270" s="14"/>
    </row>
    <row r="271" spans="1:36" s="236" customFormat="1" ht="15">
      <c r="A271" s="43"/>
      <c r="B271" s="1" t="s">
        <v>17</v>
      </c>
      <c r="C271" s="1"/>
      <c r="E271" s="46" t="s">
        <v>152</v>
      </c>
      <c r="F271" s="47"/>
      <c r="G271" s="47"/>
      <c r="H271" s="47"/>
      <c r="I271" s="47"/>
      <c r="J271" s="1113">
        <f>J269 +J199+SUMIF($D:$D,52141,J:J)+SUMIF($D:$D,52142,J:J)+SUMIF($D:$D,52143,J:J)+SUMIF($D:$D,55142,J:J)+SUMIF($D:$D,56142,J:J)+SUMIF($D:$D,70142,J:J)</f>
        <v>189970.96999999986</v>
      </c>
      <c r="K271" s="1114"/>
      <c r="L271" s="1115">
        <f>L269 +L199+SUMIF($D:$D,52141,L:L)+SUMIF($D:$D,52142,L:L)+SUMIF($D:$D,52143,L:L)+SUMIF($D:$D,55142,L:L)+SUMIF($D:$D,56142,L:L)+SUMIF($D:$D,70142,L:L)</f>
        <v>357639.16999999963</v>
      </c>
      <c r="M271" s="1114"/>
      <c r="N271" s="1115">
        <f>N269 +N199+SUMIF($D:$D,52141,N:N)+SUMIF($D:$D,52142,N:N)+SUMIF($D:$D,52143,N:N)+SUMIF($D:$D,55142,N:N)+SUMIF($D:$D,56142,N:N)+SUMIF($D:$D,70142,N:N)</f>
        <v>412576.04000000015</v>
      </c>
      <c r="O271" s="1114"/>
      <c r="P271" s="1115">
        <f>P269 +P199+SUMIF($D:$D,52141,P:P)+SUMIF($D:$D,52142,P:P)+SUMIF($D:$D,52143,P:P)+SUMIF($D:$D,55142,P:P)+SUMIF($D:$D,56142,P:P)+SUMIF($D:$D,70142,P:P)</f>
        <v>396232.98000000051</v>
      </c>
      <c r="Q271" s="1114"/>
      <c r="R271" s="1115">
        <f>R269 +R199+SUMIF($D:$D,52141,R:R)+SUMIF($D:$D,52142,R:R)+SUMIF($D:$D,52143,R:R)+SUMIF($D:$D,55142,R:R)+SUMIF($D:$D,56142,R:R)+SUMIF($D:$D,70142,R:R)</f>
        <v>388444.01</v>
      </c>
      <c r="S271" s="1114"/>
      <c r="T271" s="1115">
        <f>T269 +T199+SUMIF($D:$D,52141,T:T)+SUMIF($D:$D,52142,T:T)+SUMIF($D:$D,52143,T:T)+SUMIF($D:$D,55142,T:T)+SUMIF($D:$D,56142,T:T)+SUMIF($D:$D,70142,T:T)</f>
        <v>361780.26999999967</v>
      </c>
      <c r="U271" s="1114"/>
      <c r="V271" s="1115">
        <f>V269 +V199+SUMIF($D:$D,52141,V:V)+SUMIF($D:$D,52142,V:V)+SUMIF($D:$D,52143,V:V)+SUMIF($D:$D,55142,V:V)+SUMIF($D:$D,56142,V:V)+SUMIF($D:$D,70142,V:V)</f>
        <v>441027.10000000027</v>
      </c>
      <c r="W271" s="1114"/>
      <c r="X271" s="1115">
        <f>X269 +X199+SUMIF($D:$D,52141,X:X)+SUMIF($D:$D,52142,X:X)+SUMIF($D:$D,52143,X:X)+SUMIF($D:$D,55142,X:X)+SUMIF($D:$D,56142,X:X)+SUMIF($D:$D,70142,X:X)</f>
        <v>373693.17</v>
      </c>
      <c r="Y271" s="1114"/>
      <c r="Z271" s="1115">
        <f>Z269 +Z199+SUMIF($D:$D,52141,Z:Z)+SUMIF($D:$D,52142,Z:Z)+SUMIF($D:$D,52143,Z:Z)+SUMIF($D:$D,55142,Z:Z)+SUMIF($D:$D,56142,Z:Z)+SUMIF($D:$D,70142,Z:Z)</f>
        <v>310565.88000000006</v>
      </c>
      <c r="AA271" s="1114"/>
      <c r="AB271" s="1115">
        <f>AB269 +AB199+SUMIF($D:$D,52141,AB:AB)+SUMIF($D:$D,52142,AB:AB)+SUMIF($D:$D,52143,AB:AB)+SUMIF($D:$D,55142,AB:AB)+SUMIF($D:$D,56142,AB:AB)+SUMIF($D:$D,70142,AB:AB)</f>
        <v>349689.74</v>
      </c>
      <c r="AC271" s="1114"/>
      <c r="AD271" s="1115">
        <f>AD269 +AD199+SUMIF($D:$D,52141,AD:AD)+SUMIF($D:$D,52142,AD:AD)+SUMIF($D:$D,52143,AD:AD)+SUMIF($D:$D,55142,AD:AD)+SUMIF($D:$D,56142,AD:AD)+SUMIF($D:$D,70142,AD:AD)</f>
        <v>448469.68999999994</v>
      </c>
      <c r="AE271" s="1114"/>
      <c r="AF271" s="1115">
        <f>AF269 +AF199+SUMIF($D:$D,52141,AF:AF)+SUMIF($D:$D,52142,AF:AF)+SUMIF($D:$D,52143,AF:AF)+SUMIF($D:$D,55142,AF:AF)+SUMIF($D:$D,56142,AF:AF)+SUMIF($D:$D,70142,AF:AF)</f>
        <v>369699.77000000025</v>
      </c>
      <c r="AG271" s="1114"/>
      <c r="AH271" s="1116">
        <f>AH269 +AH199+SUMIF($D:$D,52141,AH:AH)+SUMIF($D:$D,52142,AH:AH)+SUMIF($D:$D,52143,AH:AH)+SUMIF($D:$D,55142,AH:AH)+SUMIF($D:$D,56142,AH:AH)+SUMIF($D:$D,70142,AH:AH)</f>
        <v>4399788.7900000019</v>
      </c>
      <c r="AI271" s="8">
        <f>IF(AH$58=0,0,AH271/AH$58)</f>
        <v>0.217310843658054</v>
      </c>
      <c r="AJ271" s="42"/>
    </row>
    <row r="272" spans="1:36" s="236" customFormat="1" ht="6.75" customHeight="1">
      <c r="A272" s="10"/>
      <c r="B272" s="1" t="s">
        <v>17</v>
      </c>
      <c r="C272" s="1"/>
      <c r="J272" s="1085"/>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7"/>
      <c r="AI272" s="45"/>
      <c r="AJ272" s="14"/>
    </row>
    <row r="273" spans="1:36" outlineLevel="1">
      <c r="B273" s="5" t="s">
        <v>153</v>
      </c>
      <c r="D273" s="234">
        <v>51260</v>
      </c>
      <c r="E273" s="234" t="s">
        <v>154</v>
      </c>
      <c r="F273" s="235"/>
      <c r="G273" s="3"/>
      <c r="H273" s="236"/>
      <c r="I273" s="6"/>
      <c r="J273" s="1078">
        <v>74117.63</v>
      </c>
      <c r="K273" s="1080"/>
      <c r="L273" s="1080">
        <v>80115.149999999994</v>
      </c>
      <c r="M273" s="1080"/>
      <c r="N273" s="1080">
        <v>77285.63</v>
      </c>
      <c r="O273" s="1080"/>
      <c r="P273" s="1080">
        <v>76431.08</v>
      </c>
      <c r="Q273" s="1080"/>
      <c r="R273" s="1080">
        <v>78048.75</v>
      </c>
      <c r="S273" s="1080"/>
      <c r="T273" s="1080">
        <v>82681.399999999994</v>
      </c>
      <c r="U273" s="1080"/>
      <c r="V273" s="1080">
        <v>82633.69</v>
      </c>
      <c r="W273" s="1080"/>
      <c r="X273" s="1080">
        <v>82715.199999999997</v>
      </c>
      <c r="Y273" s="1080"/>
      <c r="Z273" s="1080">
        <v>82544.05</v>
      </c>
      <c r="AA273" s="1080"/>
      <c r="AB273" s="1080">
        <v>82553.81</v>
      </c>
      <c r="AC273" s="1080"/>
      <c r="AD273" s="1080">
        <v>82553.820000000007</v>
      </c>
      <c r="AE273" s="1080"/>
      <c r="AF273" s="1080">
        <v>82553.84</v>
      </c>
      <c r="AG273" s="1080"/>
      <c r="AH273" s="1081">
        <f t="shared" ref="AH273:AH276" si="24">AF273+AD273+AB273+Z273+X273+V273+T273+R273+P273+N273+L273+J273</f>
        <v>964234.05</v>
      </c>
      <c r="AI273" s="8">
        <f t="shared" ref="AI273:AI276" si="25">IF(AH$58=0,0,AH273/AH$58)</f>
        <v>4.7624675840251443E-2</v>
      </c>
      <c r="AJ273" s="9"/>
    </row>
    <row r="274" spans="1:36" outlineLevel="1">
      <c r="B274" s="5" t="s">
        <v>24</v>
      </c>
      <c r="D274" s="234">
        <v>54260</v>
      </c>
      <c r="E274" s="234" t="s">
        <v>154</v>
      </c>
      <c r="F274" s="235"/>
      <c r="G274" s="3"/>
      <c r="H274" s="236"/>
      <c r="I274" s="6"/>
      <c r="J274" s="1078">
        <v>20294.43</v>
      </c>
      <c r="K274" s="1080"/>
      <c r="L274" s="1080">
        <v>20546.990000000002</v>
      </c>
      <c r="M274" s="1080"/>
      <c r="N274" s="1080">
        <v>21919.15</v>
      </c>
      <c r="O274" s="1080"/>
      <c r="P274" s="1080">
        <v>21836.97</v>
      </c>
      <c r="Q274" s="1080"/>
      <c r="R274" s="1080">
        <v>21837.22</v>
      </c>
      <c r="S274" s="1080"/>
      <c r="T274" s="1080">
        <v>21837.51</v>
      </c>
      <c r="U274" s="1080"/>
      <c r="V274" s="1080">
        <v>21837.17</v>
      </c>
      <c r="W274" s="1080"/>
      <c r="X274" s="1080">
        <v>22041.85</v>
      </c>
      <c r="Y274" s="1080"/>
      <c r="Z274" s="1080">
        <v>23219.200000000001</v>
      </c>
      <c r="AA274" s="1080"/>
      <c r="AB274" s="1080">
        <v>22630.7</v>
      </c>
      <c r="AC274" s="1080"/>
      <c r="AD274" s="1080">
        <v>22856.49</v>
      </c>
      <c r="AE274" s="1080"/>
      <c r="AF274" s="1080">
        <v>23399.53</v>
      </c>
      <c r="AG274" s="1080"/>
      <c r="AH274" s="1081">
        <f t="shared" si="24"/>
        <v>264257.21000000002</v>
      </c>
      <c r="AI274" s="8">
        <f t="shared" si="25"/>
        <v>1.3051980444684828E-2</v>
      </c>
      <c r="AJ274" s="9"/>
    </row>
    <row r="275" spans="1:36" outlineLevel="1">
      <c r="B275" s="5" t="s">
        <v>24</v>
      </c>
      <c r="D275" s="234">
        <v>57260</v>
      </c>
      <c r="E275" s="234" t="s">
        <v>154</v>
      </c>
      <c r="F275" s="235"/>
      <c r="G275" s="3"/>
      <c r="H275" s="236"/>
      <c r="I275" s="6"/>
      <c r="J275" s="1078">
        <v>7902.69</v>
      </c>
      <c r="K275" s="1080"/>
      <c r="L275" s="1080">
        <v>7902.71</v>
      </c>
      <c r="M275" s="1080"/>
      <c r="N275" s="1080">
        <v>7902.75</v>
      </c>
      <c r="O275" s="1080"/>
      <c r="P275" s="1080">
        <v>7840.56</v>
      </c>
      <c r="Q275" s="1080"/>
      <c r="R275" s="1080">
        <v>7840.59</v>
      </c>
      <c r="S275" s="1080"/>
      <c r="T275" s="1080">
        <v>7840.62</v>
      </c>
      <c r="U275" s="1080"/>
      <c r="V275" s="1080">
        <v>7840.57</v>
      </c>
      <c r="W275" s="1080"/>
      <c r="X275" s="1080">
        <v>7840.63</v>
      </c>
      <c r="Y275" s="1080"/>
      <c r="Z275" s="1080">
        <v>7840.59</v>
      </c>
      <c r="AA275" s="1080"/>
      <c r="AB275" s="1080">
        <v>7801.99</v>
      </c>
      <c r="AC275" s="1080"/>
      <c r="AD275" s="1080">
        <v>7802.07</v>
      </c>
      <c r="AE275" s="1080"/>
      <c r="AF275" s="1080">
        <v>7802.01</v>
      </c>
      <c r="AG275" s="1080"/>
      <c r="AH275" s="1081">
        <f t="shared" si="24"/>
        <v>94157.780000000013</v>
      </c>
      <c r="AI275" s="8">
        <f t="shared" si="25"/>
        <v>4.6505656488045732E-3</v>
      </c>
      <c r="AJ275" s="9"/>
    </row>
    <row r="276" spans="1:36" outlineLevel="1">
      <c r="B276" s="5" t="s">
        <v>24</v>
      </c>
      <c r="D276" s="234">
        <v>70260</v>
      </c>
      <c r="E276" s="234" t="s">
        <v>154</v>
      </c>
      <c r="F276" s="235"/>
      <c r="G276" s="3"/>
      <c r="H276" s="236"/>
      <c r="I276" s="6"/>
      <c r="J276" s="1078">
        <v>210.35</v>
      </c>
      <c r="K276" s="1080"/>
      <c r="L276" s="1080">
        <v>210.33</v>
      </c>
      <c r="M276" s="1080"/>
      <c r="N276" s="1080">
        <v>245.15</v>
      </c>
      <c r="O276" s="1080"/>
      <c r="P276" s="1080">
        <v>245.11</v>
      </c>
      <c r="Q276" s="1080"/>
      <c r="R276" s="1080">
        <v>245.11</v>
      </c>
      <c r="S276" s="1080"/>
      <c r="T276" s="1080">
        <v>245.15</v>
      </c>
      <c r="U276" s="1080"/>
      <c r="V276" s="1080">
        <v>320.56</v>
      </c>
      <c r="W276" s="1080"/>
      <c r="X276" s="1080">
        <v>294.64999999999998</v>
      </c>
      <c r="Y276" s="1080"/>
      <c r="Z276" s="1080">
        <v>267.67</v>
      </c>
      <c r="AA276" s="1080"/>
      <c r="AB276" s="1080">
        <v>231.73</v>
      </c>
      <c r="AC276" s="1080"/>
      <c r="AD276" s="1080">
        <v>192.43</v>
      </c>
      <c r="AE276" s="1080"/>
      <c r="AF276" s="1080">
        <v>192.44</v>
      </c>
      <c r="AG276" s="1080"/>
      <c r="AH276" s="1081">
        <f t="shared" si="24"/>
        <v>2900.6800000000003</v>
      </c>
      <c r="AI276" s="8">
        <f t="shared" si="25"/>
        <v>1.432680630976479E-4</v>
      </c>
      <c r="AJ276" s="9"/>
    </row>
    <row r="277" spans="1:36" s="236" customFormat="1" ht="5.0999999999999996" customHeight="1" outlineLevel="1">
      <c r="A277" s="10"/>
      <c r="B277" s="1" t="s">
        <v>17</v>
      </c>
      <c r="C277" s="1"/>
      <c r="D277" s="235"/>
      <c r="E277" s="235"/>
      <c r="F277" s="235"/>
      <c r="G277" s="235"/>
      <c r="J277" s="1106"/>
      <c r="K277" s="1086"/>
      <c r="L277" s="1107"/>
      <c r="M277" s="1086"/>
      <c r="N277" s="1107"/>
      <c r="O277" s="1086"/>
      <c r="P277" s="1107"/>
      <c r="Q277" s="1086"/>
      <c r="R277" s="1107"/>
      <c r="S277" s="1086"/>
      <c r="T277" s="1107"/>
      <c r="U277" s="1086"/>
      <c r="V277" s="1107"/>
      <c r="W277" s="1086"/>
      <c r="X277" s="1107"/>
      <c r="Y277" s="1086"/>
      <c r="Z277" s="1107"/>
      <c r="AA277" s="1086"/>
      <c r="AB277" s="1107"/>
      <c r="AC277" s="1086"/>
      <c r="AD277" s="1107"/>
      <c r="AE277" s="1086"/>
      <c r="AF277" s="1107"/>
      <c r="AG277" s="1086"/>
      <c r="AH277" s="1108"/>
      <c r="AI277" s="45"/>
      <c r="AJ277" s="14"/>
    </row>
    <row r="278" spans="1:36" s="236" customFormat="1" ht="15">
      <c r="A278" s="10"/>
      <c r="B278" s="1" t="s">
        <v>17</v>
      </c>
      <c r="C278" s="1"/>
      <c r="F278" s="235" t="s">
        <v>154</v>
      </c>
      <c r="J278" s="1085">
        <f>SUM(J273:J277)</f>
        <v>102525.1</v>
      </c>
      <c r="K278" s="1086"/>
      <c r="L278" s="1086">
        <f>SUM(L273:L277)</f>
        <v>108775.18000000001</v>
      </c>
      <c r="M278" s="1086"/>
      <c r="N278" s="1086">
        <f>SUM(N273:N277)</f>
        <v>107352.68</v>
      </c>
      <c r="O278" s="1092">
        <f>IF(N$52=0,0,N278/N$52)</f>
        <v>0</v>
      </c>
      <c r="P278" s="1086">
        <f>SUM(P273:P277)</f>
        <v>106353.72</v>
      </c>
      <c r="Q278" s="1086"/>
      <c r="R278" s="1086">
        <f>SUM(R273:R277)</f>
        <v>107971.67</v>
      </c>
      <c r="S278" s="1086"/>
      <c r="T278" s="1086">
        <f>SUM(T273:T277)</f>
        <v>112604.67999999998</v>
      </c>
      <c r="U278" s="1092">
        <f>IF(T$52=0,0,T278/T$52)</f>
        <v>0</v>
      </c>
      <c r="V278" s="1086">
        <f>SUM(V273:V277)</f>
        <v>112631.98999999999</v>
      </c>
      <c r="W278" s="1086"/>
      <c r="X278" s="1086">
        <f>SUM(X273:X277)</f>
        <v>112892.32999999999</v>
      </c>
      <c r="Y278" s="1086"/>
      <c r="Z278" s="1086">
        <f>SUM(Z273:Z277)</f>
        <v>113871.51</v>
      </c>
      <c r="AA278" s="1092">
        <f>IF(Z$52=0,0,Z278/Z$52)</f>
        <v>0</v>
      </c>
      <c r="AB278" s="1086">
        <f>SUM(AB273:AB277)</f>
        <v>113218.23</v>
      </c>
      <c r="AC278" s="1086"/>
      <c r="AD278" s="1086">
        <f>SUM(AD273:AD277)</f>
        <v>113404.81</v>
      </c>
      <c r="AE278" s="1086"/>
      <c r="AF278" s="1086">
        <f>SUM(AF273:AF277)</f>
        <v>113947.81999999999</v>
      </c>
      <c r="AG278" s="1092">
        <f>IF(AF$52=0,0,AF278/AF$52)</f>
        <v>0</v>
      </c>
      <c r="AH278" s="1087">
        <f>SUM(J278,L278,N278,P278,R278,T278,V278,X278,Z278,AB278,AD278,AF278)</f>
        <v>1325549.7200000002</v>
      </c>
      <c r="AI278" s="8">
        <f>IF(AH$58=0,0,AH278/AH$58)</f>
        <v>6.5470489996838507E-2</v>
      </c>
      <c r="AJ278" s="14"/>
    </row>
    <row r="279" spans="1:36" s="236" customFormat="1" ht="15" outlineLevel="1">
      <c r="A279" s="10"/>
      <c r="B279" s="1" t="s">
        <v>17</v>
      </c>
      <c r="C279" s="1"/>
      <c r="F279" s="235"/>
      <c r="J279" s="1085"/>
      <c r="K279" s="1086"/>
      <c r="L279" s="1086"/>
      <c r="M279" s="1086"/>
      <c r="N279" s="1086"/>
      <c r="O279" s="1092"/>
      <c r="P279" s="1086"/>
      <c r="Q279" s="1086"/>
      <c r="R279" s="1086"/>
      <c r="S279" s="1086"/>
      <c r="T279" s="1086"/>
      <c r="U279" s="1092"/>
      <c r="V279" s="1086"/>
      <c r="W279" s="1086"/>
      <c r="X279" s="1086"/>
      <c r="Y279" s="1086"/>
      <c r="Z279" s="1086"/>
      <c r="AA279" s="1092"/>
      <c r="AB279" s="1086"/>
      <c r="AC279" s="1086"/>
      <c r="AD279" s="1086"/>
      <c r="AE279" s="1086"/>
      <c r="AF279" s="1086"/>
      <c r="AG279" s="1092"/>
      <c r="AH279" s="1087"/>
      <c r="AI279" s="45"/>
      <c r="AJ279" s="14"/>
    </row>
    <row r="280" spans="1:36" outlineLevel="1">
      <c r="B280" s="5" t="s">
        <v>155</v>
      </c>
      <c r="D280" s="234"/>
      <c r="E280" s="234"/>
      <c r="F280" s="235"/>
      <c r="G280" s="3"/>
      <c r="H280" s="236"/>
      <c r="I280" s="6"/>
      <c r="J280" s="1078"/>
      <c r="K280" s="1080"/>
      <c r="L280" s="1080"/>
      <c r="M280" s="1080"/>
      <c r="N280" s="1080"/>
      <c r="O280" s="1080"/>
      <c r="P280" s="1080"/>
      <c r="Q280" s="1080"/>
      <c r="R280" s="1080"/>
      <c r="S280" s="1080"/>
      <c r="T280" s="1080"/>
      <c r="U280" s="1080"/>
      <c r="V280" s="1080"/>
      <c r="W280" s="1080"/>
      <c r="X280" s="1080"/>
      <c r="Y280" s="1080"/>
      <c r="Z280" s="1080"/>
      <c r="AA280" s="1080"/>
      <c r="AB280" s="1080"/>
      <c r="AC280" s="1080"/>
      <c r="AD280" s="1080"/>
      <c r="AE280" s="1080"/>
      <c r="AF280" s="1080"/>
      <c r="AG280" s="1080"/>
      <c r="AH280" s="1081">
        <f>AF280+AD280+AB280+Z280+X280+V280+T280+R280+P280+N280+L280+J280</f>
        <v>0</v>
      </c>
      <c r="AI280" s="8">
        <f>IF(AH$58=0,0,AH280/AH$58)</f>
        <v>0</v>
      </c>
      <c r="AJ280" s="9"/>
    </row>
    <row r="281" spans="1:36" s="236" customFormat="1" ht="5.0999999999999996" customHeight="1" outlineLevel="1">
      <c r="A281" s="10"/>
      <c r="B281" s="1" t="s">
        <v>17</v>
      </c>
      <c r="C281" s="1"/>
      <c r="D281" s="235"/>
      <c r="E281" s="235"/>
      <c r="F281" s="235"/>
      <c r="G281" s="235"/>
      <c r="J281" s="1106"/>
      <c r="K281" s="1086"/>
      <c r="L281" s="1107"/>
      <c r="M281" s="1086"/>
      <c r="N281" s="1107"/>
      <c r="O281" s="1092"/>
      <c r="P281" s="1107"/>
      <c r="Q281" s="1086"/>
      <c r="R281" s="1107"/>
      <c r="S281" s="1086"/>
      <c r="T281" s="1107"/>
      <c r="U281" s="1092"/>
      <c r="V281" s="1107"/>
      <c r="W281" s="1086"/>
      <c r="X281" s="1107"/>
      <c r="Y281" s="1086"/>
      <c r="Z281" s="1107"/>
      <c r="AA281" s="1092"/>
      <c r="AB281" s="1107"/>
      <c r="AC281" s="1086"/>
      <c r="AD281" s="1107"/>
      <c r="AE281" s="1086"/>
      <c r="AF281" s="1107"/>
      <c r="AG281" s="1092"/>
      <c r="AH281" s="1108"/>
      <c r="AI281" s="45"/>
      <c r="AJ281" s="14"/>
    </row>
    <row r="282" spans="1:36" s="236" customFormat="1" ht="15">
      <c r="A282" s="10"/>
      <c r="B282" s="1" t="s">
        <v>17</v>
      </c>
      <c r="C282" s="1"/>
      <c r="F282" s="234" t="s">
        <v>156</v>
      </c>
      <c r="J282" s="1085">
        <f>SUM(J280:J281)</f>
        <v>0</v>
      </c>
      <c r="K282" s="1086"/>
      <c r="L282" s="1086">
        <f>SUM(L280:L281)</f>
        <v>0</v>
      </c>
      <c r="M282" s="1086"/>
      <c r="N282" s="1086">
        <f>SUM(N280:N281)</f>
        <v>0</v>
      </c>
      <c r="O282" s="1092">
        <f>IF(N$52=0,0,N282/N$52)</f>
        <v>0</v>
      </c>
      <c r="P282" s="1086">
        <f>SUM(P280:P281)</f>
        <v>0</v>
      </c>
      <c r="Q282" s="1086"/>
      <c r="R282" s="1086">
        <f>SUM(R280:R281)</f>
        <v>0</v>
      </c>
      <c r="S282" s="1086"/>
      <c r="T282" s="1086">
        <f>SUM(T280:T281)</f>
        <v>0</v>
      </c>
      <c r="U282" s="1092">
        <f>IF(T$52=0,0,T282/T$52)</f>
        <v>0</v>
      </c>
      <c r="V282" s="1086">
        <f>SUM(V280:V281)</f>
        <v>0</v>
      </c>
      <c r="W282" s="1086"/>
      <c r="X282" s="1086">
        <f>SUM(X280:X281)</f>
        <v>0</v>
      </c>
      <c r="Y282" s="1086"/>
      <c r="Z282" s="1086">
        <f>SUM(Z280:Z281)</f>
        <v>0</v>
      </c>
      <c r="AA282" s="1092">
        <f>IF(Z$52=0,0,Z282/Z$52)</f>
        <v>0</v>
      </c>
      <c r="AB282" s="1086">
        <f>SUM(AB280:AB281)</f>
        <v>0</v>
      </c>
      <c r="AC282" s="1086"/>
      <c r="AD282" s="1086">
        <f>SUM(AD280:AD281)</f>
        <v>0</v>
      </c>
      <c r="AE282" s="1086"/>
      <c r="AF282" s="1086">
        <f>SUM(AF280:AF281)</f>
        <v>0</v>
      </c>
      <c r="AG282" s="1092">
        <f>IF(AF$52=0,0,AF282/AF$52)</f>
        <v>0</v>
      </c>
      <c r="AH282" s="1087">
        <f>SUM(J282,L282,N282)</f>
        <v>0</v>
      </c>
      <c r="AI282" s="8">
        <f>IF(AH$58=0,0,AH282/AH$58)</f>
        <v>0</v>
      </c>
      <c r="AJ282" s="14"/>
    </row>
    <row r="283" spans="1:36" s="236" customFormat="1" ht="15" outlineLevel="1">
      <c r="A283" s="10"/>
      <c r="B283" s="1" t="s">
        <v>17</v>
      </c>
      <c r="C283" s="1"/>
      <c r="J283" s="1085"/>
      <c r="K283" s="1086"/>
      <c r="L283" s="1086"/>
      <c r="M283" s="1086"/>
      <c r="N283" s="1086"/>
      <c r="O283" s="1092"/>
      <c r="P283" s="1086"/>
      <c r="Q283" s="1086"/>
      <c r="R283" s="1086"/>
      <c r="S283" s="1086"/>
      <c r="T283" s="1086"/>
      <c r="U283" s="1092"/>
      <c r="V283" s="1086"/>
      <c r="W283" s="1086"/>
      <c r="X283" s="1086"/>
      <c r="Y283" s="1086"/>
      <c r="Z283" s="1086"/>
      <c r="AA283" s="1092"/>
      <c r="AB283" s="1086"/>
      <c r="AC283" s="1086"/>
      <c r="AD283" s="1086"/>
      <c r="AE283" s="1086"/>
      <c r="AF283" s="1086"/>
      <c r="AG283" s="1092"/>
      <c r="AH283" s="1087"/>
      <c r="AI283" s="45"/>
      <c r="AJ283" s="14"/>
    </row>
    <row r="284" spans="1:36" outlineLevel="1">
      <c r="B284" s="5" t="s">
        <v>157</v>
      </c>
      <c r="D284" s="234">
        <v>70269</v>
      </c>
      <c r="E284" s="234" t="s">
        <v>603</v>
      </c>
      <c r="F284" s="235"/>
      <c r="G284" s="3"/>
      <c r="H284" s="236"/>
      <c r="I284" s="6"/>
      <c r="J284" s="1078">
        <v>6852.7</v>
      </c>
      <c r="K284" s="1080"/>
      <c r="L284" s="1080">
        <v>6852.69</v>
      </c>
      <c r="M284" s="1080"/>
      <c r="N284" s="1080">
        <v>6852.7</v>
      </c>
      <c r="O284" s="1080"/>
      <c r="P284" s="1080">
        <v>6852.7</v>
      </c>
      <c r="Q284" s="1080"/>
      <c r="R284" s="1080">
        <v>6852.69</v>
      </c>
      <c r="S284" s="1080"/>
      <c r="T284" s="1080">
        <v>6852.71</v>
      </c>
      <c r="U284" s="1080"/>
      <c r="V284" s="1080">
        <v>6852.7</v>
      </c>
      <c r="W284" s="1080"/>
      <c r="X284" s="1080">
        <v>6852.69</v>
      </c>
      <c r="Y284" s="1080"/>
      <c r="Z284" s="1080">
        <v>6852.7</v>
      </c>
      <c r="AA284" s="1080"/>
      <c r="AB284" s="1080">
        <v>6852.7</v>
      </c>
      <c r="AC284" s="1080"/>
      <c r="AD284" s="1080">
        <v>6852.69</v>
      </c>
      <c r="AE284" s="1080"/>
      <c r="AF284" s="1080">
        <v>6852.71</v>
      </c>
      <c r="AG284" s="1080"/>
      <c r="AH284" s="1081">
        <f>AF284+AD284+AB284+Z284+X284+V284+T284+R284+P284+N284+L284+J284</f>
        <v>82232.37999999999</v>
      </c>
      <c r="AI284" s="8">
        <f>IF(AH$58=0,0,AH284/AH$58)</f>
        <v>4.0615558443226263E-3</v>
      </c>
      <c r="AJ284" s="9"/>
    </row>
    <row r="285" spans="1:36" s="236" customFormat="1" ht="5.0999999999999996" customHeight="1" outlineLevel="1">
      <c r="A285" s="10"/>
      <c r="B285" s="32" t="s">
        <v>17</v>
      </c>
      <c r="C285" s="32"/>
      <c r="D285" s="235"/>
      <c r="E285" s="235"/>
      <c r="F285" s="235"/>
      <c r="G285" s="235"/>
      <c r="J285" s="1106"/>
      <c r="K285" s="1086"/>
      <c r="L285" s="1107"/>
      <c r="M285" s="1086"/>
      <c r="N285" s="1107"/>
      <c r="O285" s="1092"/>
      <c r="P285" s="1107"/>
      <c r="Q285" s="1086"/>
      <c r="R285" s="1107"/>
      <c r="S285" s="1086"/>
      <c r="T285" s="1107"/>
      <c r="U285" s="1092"/>
      <c r="V285" s="1107"/>
      <c r="W285" s="1086"/>
      <c r="X285" s="1107"/>
      <c r="Y285" s="1086"/>
      <c r="Z285" s="1107"/>
      <c r="AA285" s="1092"/>
      <c r="AB285" s="1107"/>
      <c r="AC285" s="1086"/>
      <c r="AD285" s="1107"/>
      <c r="AE285" s="1086"/>
      <c r="AF285" s="1107"/>
      <c r="AG285" s="1092"/>
      <c r="AH285" s="1108"/>
      <c r="AI285" s="45"/>
      <c r="AJ285" s="14"/>
    </row>
    <row r="286" spans="1:36" s="236" customFormat="1" ht="15">
      <c r="A286" s="10"/>
      <c r="B286" s="32" t="s">
        <v>17</v>
      </c>
      <c r="C286" s="32"/>
      <c r="F286" s="235" t="s">
        <v>158</v>
      </c>
      <c r="J286" s="1085">
        <f>SUM(J284:J285)</f>
        <v>6852.7</v>
      </c>
      <c r="K286" s="1086"/>
      <c r="L286" s="1086">
        <f>SUM(L284:L285)</f>
        <v>6852.69</v>
      </c>
      <c r="M286" s="1086"/>
      <c r="N286" s="1086">
        <f>SUM(N284:N285)</f>
        <v>6852.7</v>
      </c>
      <c r="O286" s="1092">
        <f>IF(N$52=0,0,N286/N$52)</f>
        <v>0</v>
      </c>
      <c r="P286" s="1086">
        <f>SUM(P284:P285)</f>
        <v>6852.7</v>
      </c>
      <c r="Q286" s="1086"/>
      <c r="R286" s="1086">
        <f>SUM(R284:R285)</f>
        <v>6852.69</v>
      </c>
      <c r="S286" s="1086"/>
      <c r="T286" s="1086">
        <f>SUM(T284:T285)</f>
        <v>6852.71</v>
      </c>
      <c r="U286" s="1092">
        <f>IF(T$52=0,0,T286/T$52)</f>
        <v>0</v>
      </c>
      <c r="V286" s="1086">
        <f>SUM(V284:V285)</f>
        <v>6852.7</v>
      </c>
      <c r="W286" s="1086"/>
      <c r="X286" s="1086">
        <f>SUM(X284:X285)</f>
        <v>6852.69</v>
      </c>
      <c r="Y286" s="1086"/>
      <c r="Z286" s="1086">
        <f>SUM(Z284:Z285)</f>
        <v>6852.7</v>
      </c>
      <c r="AA286" s="1092">
        <f>IF(Z$52=0,0,Z286/Z$52)</f>
        <v>0</v>
      </c>
      <c r="AB286" s="1086">
        <f>SUM(AB284:AB285)</f>
        <v>6852.7</v>
      </c>
      <c r="AC286" s="1086"/>
      <c r="AD286" s="1086">
        <f>SUM(AD284:AD285)</f>
        <v>6852.69</v>
      </c>
      <c r="AE286" s="1086"/>
      <c r="AF286" s="1086">
        <f>SUM(AF284:AF285)</f>
        <v>6852.71</v>
      </c>
      <c r="AG286" s="1092">
        <f>IF(AF$52=0,0,AF286/AF$52)</f>
        <v>0</v>
      </c>
      <c r="AH286" s="1087">
        <f>SUM(J286,L286,N286,P286,R286,T286,V286,X286,Z286,AB286,AD286,AF286)</f>
        <v>82232.38</v>
      </c>
      <c r="AI286" s="8">
        <f>IF(AH$58=0,0,AH286/AH$58)</f>
        <v>4.0615558443226271E-3</v>
      </c>
      <c r="AJ286" s="14"/>
    </row>
    <row r="287" spans="1:36" s="236" customFormat="1" ht="6.75" customHeight="1">
      <c r="A287" s="10"/>
      <c r="B287" s="32" t="s">
        <v>17</v>
      </c>
      <c r="C287" s="32"/>
      <c r="J287" s="1085"/>
      <c r="K287" s="1086"/>
      <c r="L287" s="1086"/>
      <c r="M287" s="1086"/>
      <c r="N287" s="1086"/>
      <c r="O287" s="1092"/>
      <c r="P287" s="1086"/>
      <c r="Q287" s="1086"/>
      <c r="R287" s="1086"/>
      <c r="S287" s="1086"/>
      <c r="T287" s="1086"/>
      <c r="U287" s="1092"/>
      <c r="V287" s="1086"/>
      <c r="W287" s="1086"/>
      <c r="X287" s="1086"/>
      <c r="Y287" s="1086"/>
      <c r="Z287" s="1086"/>
      <c r="AA287" s="1092"/>
      <c r="AB287" s="1086"/>
      <c r="AC287" s="1086"/>
      <c r="AD287" s="1086"/>
      <c r="AE287" s="1086"/>
      <c r="AF287" s="1086"/>
      <c r="AG287" s="1092"/>
      <c r="AH287" s="1087"/>
      <c r="AI287" s="45"/>
      <c r="AJ287" s="14"/>
    </row>
    <row r="288" spans="1:36" s="236" customFormat="1" ht="15">
      <c r="A288" s="10"/>
      <c r="B288" s="32" t="s">
        <v>17</v>
      </c>
      <c r="C288" s="32"/>
      <c r="E288" s="36" t="s">
        <v>159</v>
      </c>
      <c r="J288" s="1109">
        <f>+J278+J282+J286</f>
        <v>109377.8</v>
      </c>
      <c r="K288" s="1086"/>
      <c r="L288" s="1110">
        <f>+L278+L282+L286</f>
        <v>115627.87000000001</v>
      </c>
      <c r="M288" s="1086"/>
      <c r="N288" s="1110">
        <f>+N278+N282+N286</f>
        <v>114205.37999999999</v>
      </c>
      <c r="O288" s="1092">
        <f>IF(N$52=0,0,N288/N$52)</f>
        <v>0</v>
      </c>
      <c r="P288" s="1110">
        <f>+P278+P282+P286</f>
        <v>113206.42</v>
      </c>
      <c r="Q288" s="1086"/>
      <c r="R288" s="1110">
        <f>+R278+R282+R286</f>
        <v>114824.36</v>
      </c>
      <c r="S288" s="1086"/>
      <c r="T288" s="1110">
        <f>+T278+T282+T286</f>
        <v>119457.38999999998</v>
      </c>
      <c r="U288" s="1092">
        <f>IF(T$52=0,0,T288/T$52)</f>
        <v>0</v>
      </c>
      <c r="V288" s="1110">
        <f>+V278+V282+V286</f>
        <v>119484.68999999999</v>
      </c>
      <c r="W288" s="1086"/>
      <c r="X288" s="1110">
        <f>+X278+X282+X286</f>
        <v>119745.01999999999</v>
      </c>
      <c r="Y288" s="1086"/>
      <c r="Z288" s="1110">
        <f>+Z278+Z282+Z286</f>
        <v>120724.20999999999</v>
      </c>
      <c r="AA288" s="1092">
        <f>IF(Z$52=0,0,Z288/Z$52)</f>
        <v>0</v>
      </c>
      <c r="AB288" s="1110">
        <f>+AB278+AB282+AB286</f>
        <v>120070.93</v>
      </c>
      <c r="AC288" s="1086"/>
      <c r="AD288" s="1110">
        <f>+AD278+AD282+AD286</f>
        <v>120257.5</v>
      </c>
      <c r="AE288" s="1086"/>
      <c r="AF288" s="1110">
        <f>+AF278+AF282+AF286</f>
        <v>120800.53</v>
      </c>
      <c r="AG288" s="1092">
        <f>IF(AF$52=0,0,AF288/AF$52)</f>
        <v>0</v>
      </c>
      <c r="AH288" s="1111">
        <f>+AH278+AH282+AH286</f>
        <v>1407782.1</v>
      </c>
      <c r="AI288" s="8">
        <f>IF(AH$58=0,0,AH288/AH$58)</f>
        <v>6.9532045841161128E-2</v>
      </c>
      <c r="AJ288" s="14"/>
    </row>
    <row r="289" spans="1:36" s="236" customFormat="1" ht="6.75" customHeight="1">
      <c r="A289" s="10"/>
      <c r="B289" s="32" t="s">
        <v>17</v>
      </c>
      <c r="C289" s="32"/>
      <c r="J289" s="1085"/>
      <c r="K289" s="1086"/>
      <c r="L289" s="1086"/>
      <c r="M289" s="1086"/>
      <c r="N289" s="1086"/>
      <c r="O289" s="1092"/>
      <c r="P289" s="1086"/>
      <c r="Q289" s="1086"/>
      <c r="R289" s="1086"/>
      <c r="S289" s="1086"/>
      <c r="T289" s="1086"/>
      <c r="U289" s="1092"/>
      <c r="V289" s="1086"/>
      <c r="W289" s="1086"/>
      <c r="X289" s="1086"/>
      <c r="Y289" s="1086"/>
      <c r="Z289" s="1086"/>
      <c r="AA289" s="1092"/>
      <c r="AB289" s="1086"/>
      <c r="AC289" s="1086"/>
      <c r="AD289" s="1086"/>
      <c r="AE289" s="1086"/>
      <c r="AF289" s="1086"/>
      <c r="AG289" s="1092"/>
      <c r="AH289" s="1087"/>
      <c r="AI289" s="45"/>
      <c r="AJ289" s="14"/>
    </row>
    <row r="290" spans="1:36" s="236" customFormat="1" ht="15">
      <c r="A290" s="10"/>
      <c r="B290" s="32" t="s">
        <v>17</v>
      </c>
      <c r="C290" s="32"/>
      <c r="E290" s="38" t="s">
        <v>160</v>
      </c>
      <c r="J290" s="1109">
        <f>+J269-J288</f>
        <v>23252.98999999986</v>
      </c>
      <c r="K290" s="1086"/>
      <c r="L290" s="1110">
        <f>+L269-L288</f>
        <v>126147.59999999967</v>
      </c>
      <c r="M290" s="1086"/>
      <c r="N290" s="1110">
        <f>+N269-N288</f>
        <v>178209.0400000001</v>
      </c>
      <c r="O290" s="1092">
        <f>IF(N$52=0,0,N290/N$52)</f>
        <v>0</v>
      </c>
      <c r="P290" s="1110">
        <f>+P269-P288</f>
        <v>191355.73000000051</v>
      </c>
      <c r="Q290" s="1086"/>
      <c r="R290" s="1110">
        <f>+R269-R288</f>
        <v>145107.11999999994</v>
      </c>
      <c r="S290" s="1086"/>
      <c r="T290" s="1110">
        <f>+T269-T288</f>
        <v>110032.65999999965</v>
      </c>
      <c r="U290" s="1092">
        <f>IF(T$52=0,0,T290/T$52)</f>
        <v>0</v>
      </c>
      <c r="V290" s="1110">
        <f>+V269-V288</f>
        <v>257580.24000000028</v>
      </c>
      <c r="W290" s="1086"/>
      <c r="X290" s="1110">
        <f>+X269-X288</f>
        <v>153362.35</v>
      </c>
      <c r="Y290" s="1086"/>
      <c r="Z290" s="1110">
        <f>+Z269-Z288</f>
        <v>57510.230000000069</v>
      </c>
      <c r="AA290" s="1092">
        <f>IF(Z$52=0,0,Z290/Z$52)</f>
        <v>0</v>
      </c>
      <c r="AB290" s="1110">
        <f>+AB269-AB288</f>
        <v>124036.23999999999</v>
      </c>
      <c r="AC290" s="1086"/>
      <c r="AD290" s="1110">
        <f>+AD269-AD288</f>
        <v>234962.91999999993</v>
      </c>
      <c r="AE290" s="1086"/>
      <c r="AF290" s="1110">
        <f>+AF269-AF288</f>
        <v>148049.18000000025</v>
      </c>
      <c r="AG290" s="1092">
        <f>IF(AF$52=0,0,AF290/AF$52)</f>
        <v>0</v>
      </c>
      <c r="AH290" s="1111">
        <f>+AH269-AH288</f>
        <v>1749606.3000000017</v>
      </c>
      <c r="AI290" s="8">
        <f>IF(AH$58=0,0,AH290/AH$58)</f>
        <v>8.6415152924294469E-2</v>
      </c>
      <c r="AJ290" s="14"/>
    </row>
    <row r="291" spans="1:36" s="236" customFormat="1" ht="6.75" customHeight="1">
      <c r="A291" s="10"/>
      <c r="B291" s="32" t="s">
        <v>17</v>
      </c>
      <c r="C291" s="32"/>
      <c r="J291" s="1085"/>
      <c r="K291" s="1086"/>
      <c r="L291" s="1086"/>
      <c r="M291" s="1086"/>
      <c r="N291" s="1086"/>
      <c r="O291" s="1092"/>
      <c r="P291" s="1086"/>
      <c r="Q291" s="1086"/>
      <c r="R291" s="1086"/>
      <c r="S291" s="1086"/>
      <c r="T291" s="1086"/>
      <c r="U291" s="1092"/>
      <c r="V291" s="1086"/>
      <c r="W291" s="1086"/>
      <c r="X291" s="1086"/>
      <c r="Y291" s="1086"/>
      <c r="Z291" s="1086"/>
      <c r="AA291" s="1092"/>
      <c r="AB291" s="1086"/>
      <c r="AC291" s="1086"/>
      <c r="AD291" s="1086"/>
      <c r="AE291" s="1086"/>
      <c r="AF291" s="1086"/>
      <c r="AG291" s="1092"/>
      <c r="AH291" s="1087"/>
      <c r="AI291" s="45"/>
      <c r="AJ291" s="14"/>
    </row>
    <row r="292" spans="1:36" outlineLevel="1">
      <c r="B292" s="5" t="s">
        <v>161</v>
      </c>
      <c r="D292" s="234"/>
      <c r="E292" s="234"/>
      <c r="F292" s="235"/>
      <c r="G292" s="3"/>
      <c r="H292" s="236"/>
      <c r="I292" s="6"/>
      <c r="J292" s="1078"/>
      <c r="K292" s="1080"/>
      <c r="L292" s="1080"/>
      <c r="M292" s="1080"/>
      <c r="N292" s="1080"/>
      <c r="O292" s="1080"/>
      <c r="P292" s="1080"/>
      <c r="Q292" s="1080"/>
      <c r="R292" s="1080"/>
      <c r="S292" s="1080"/>
      <c r="T292" s="1080"/>
      <c r="U292" s="1080"/>
      <c r="V292" s="1080"/>
      <c r="W292" s="1080"/>
      <c r="X292" s="1080"/>
      <c r="Y292" s="1080"/>
      <c r="Z292" s="1080"/>
      <c r="AA292" s="1080"/>
      <c r="AB292" s="1080"/>
      <c r="AC292" s="1080"/>
      <c r="AD292" s="1080"/>
      <c r="AE292" s="1080"/>
      <c r="AF292" s="1080"/>
      <c r="AG292" s="1080"/>
      <c r="AH292" s="1081">
        <f>AF292+AD292+AB292+Z292+X292+V292+T292+R292+P292+N292+L292+J292</f>
        <v>0</v>
      </c>
      <c r="AI292" s="8">
        <f>IF(AH$58=0,0,AH292/AH$58)</f>
        <v>0</v>
      </c>
      <c r="AJ292" s="9"/>
    </row>
    <row r="293" spans="1:36" s="236" customFormat="1" ht="5.0999999999999996" customHeight="1" outlineLevel="1">
      <c r="A293" s="10"/>
      <c r="B293" s="32" t="s">
        <v>17</v>
      </c>
      <c r="C293" s="32"/>
      <c r="D293" s="235"/>
      <c r="E293" s="235"/>
      <c r="F293" s="235"/>
      <c r="G293" s="235"/>
      <c r="J293" s="1106"/>
      <c r="K293" s="1086"/>
      <c r="L293" s="1107"/>
      <c r="M293" s="1086"/>
      <c r="N293" s="1107"/>
      <c r="O293" s="1092"/>
      <c r="P293" s="1107"/>
      <c r="Q293" s="1086"/>
      <c r="R293" s="1107"/>
      <c r="S293" s="1086"/>
      <c r="T293" s="1107"/>
      <c r="U293" s="1092"/>
      <c r="V293" s="1107"/>
      <c r="W293" s="1086"/>
      <c r="X293" s="1107"/>
      <c r="Y293" s="1086"/>
      <c r="Z293" s="1107"/>
      <c r="AA293" s="1092"/>
      <c r="AB293" s="1107"/>
      <c r="AC293" s="1086"/>
      <c r="AD293" s="1107"/>
      <c r="AE293" s="1086"/>
      <c r="AF293" s="1107"/>
      <c r="AG293" s="1092"/>
      <c r="AH293" s="1108"/>
      <c r="AI293" s="45"/>
      <c r="AJ293" s="14"/>
    </row>
    <row r="294" spans="1:36" s="236" customFormat="1" ht="15">
      <c r="A294" s="10"/>
      <c r="B294" s="32" t="s">
        <v>17</v>
      </c>
      <c r="C294" s="32"/>
      <c r="F294" s="235" t="s">
        <v>162</v>
      </c>
      <c r="J294" s="1085">
        <f>SUM(J292:J293)</f>
        <v>0</v>
      </c>
      <c r="K294" s="1086"/>
      <c r="L294" s="1086">
        <f>SUM(L292:L293)</f>
        <v>0</v>
      </c>
      <c r="M294" s="1086"/>
      <c r="N294" s="1086">
        <f>SUM(N292:N293)</f>
        <v>0</v>
      </c>
      <c r="O294" s="1092">
        <f>IF(N$52=0,0,N294/N$52)</f>
        <v>0</v>
      </c>
      <c r="P294" s="1086">
        <f>SUM(P292:P293)</f>
        <v>0</v>
      </c>
      <c r="Q294" s="1086"/>
      <c r="R294" s="1086">
        <f>SUM(R292:R293)</f>
        <v>0</v>
      </c>
      <c r="S294" s="1086"/>
      <c r="T294" s="1086">
        <f>SUM(T292:T293)</f>
        <v>0</v>
      </c>
      <c r="U294" s="1092">
        <f>IF(T$52=0,0,T294/T$52)</f>
        <v>0</v>
      </c>
      <c r="V294" s="1086">
        <f>SUM(V292:V293)</f>
        <v>0</v>
      </c>
      <c r="W294" s="1086"/>
      <c r="X294" s="1086">
        <f>SUM(X292:X293)</f>
        <v>0</v>
      </c>
      <c r="Y294" s="1086"/>
      <c r="Z294" s="1086">
        <f>SUM(Z292:Z293)</f>
        <v>0</v>
      </c>
      <c r="AA294" s="1092">
        <f>IF(Z$52=0,0,Z294/Z$52)</f>
        <v>0</v>
      </c>
      <c r="AB294" s="1086">
        <f>SUM(AB292:AB293)</f>
        <v>0</v>
      </c>
      <c r="AC294" s="1086"/>
      <c r="AD294" s="1086">
        <f>SUM(AD292:AD293)</f>
        <v>0</v>
      </c>
      <c r="AE294" s="1086"/>
      <c r="AF294" s="1086">
        <f>SUM(AF292:AF293)</f>
        <v>0</v>
      </c>
      <c r="AG294" s="1092">
        <f>IF(AF$52=0,0,AF294/AF$52)</f>
        <v>0</v>
      </c>
      <c r="AH294" s="1087">
        <f>SUM(AH292:AH293)</f>
        <v>0</v>
      </c>
      <c r="AI294" s="8">
        <f>IF(AH$58=0,0,AH294/AH$58)</f>
        <v>0</v>
      </c>
      <c r="AJ294" s="14"/>
    </row>
    <row r="295" spans="1:36" s="236" customFormat="1" ht="15" outlineLevel="1">
      <c r="A295" s="10"/>
      <c r="B295" s="32" t="s">
        <v>17</v>
      </c>
      <c r="C295" s="32"/>
      <c r="J295" s="1085"/>
      <c r="K295" s="1086"/>
      <c r="L295" s="1086"/>
      <c r="M295" s="1086"/>
      <c r="N295" s="1086"/>
      <c r="O295" s="1092"/>
      <c r="P295" s="1086"/>
      <c r="Q295" s="1086"/>
      <c r="R295" s="1086"/>
      <c r="S295" s="1086"/>
      <c r="T295" s="1086"/>
      <c r="U295" s="1092"/>
      <c r="V295" s="1086"/>
      <c r="W295" s="1086"/>
      <c r="X295" s="1086"/>
      <c r="Y295" s="1086"/>
      <c r="Z295" s="1086"/>
      <c r="AA295" s="1092"/>
      <c r="AB295" s="1086"/>
      <c r="AC295" s="1086"/>
      <c r="AD295" s="1086"/>
      <c r="AE295" s="1086"/>
      <c r="AF295" s="1086"/>
      <c r="AG295" s="1092"/>
      <c r="AH295" s="1087"/>
      <c r="AI295" s="45"/>
      <c r="AJ295" s="14"/>
    </row>
    <row r="296" spans="1:36" outlineLevel="1">
      <c r="B296" s="5" t="s">
        <v>163</v>
      </c>
      <c r="D296" s="234"/>
      <c r="E296" s="234"/>
      <c r="F296" s="235"/>
      <c r="G296" s="3"/>
      <c r="H296" s="236"/>
      <c r="I296" s="6"/>
      <c r="J296" s="1078"/>
      <c r="K296" s="1080"/>
      <c r="L296" s="1080"/>
      <c r="M296" s="1080"/>
      <c r="N296" s="1080"/>
      <c r="O296" s="1080"/>
      <c r="P296" s="1080"/>
      <c r="Q296" s="1080"/>
      <c r="R296" s="1080"/>
      <c r="S296" s="1080"/>
      <c r="T296" s="1080"/>
      <c r="U296" s="1080"/>
      <c r="V296" s="1080"/>
      <c r="W296" s="1080"/>
      <c r="X296" s="1080"/>
      <c r="Y296" s="1080"/>
      <c r="Z296" s="1080"/>
      <c r="AA296" s="1080"/>
      <c r="AB296" s="1080"/>
      <c r="AC296" s="1080"/>
      <c r="AD296" s="1080"/>
      <c r="AE296" s="1080"/>
      <c r="AF296" s="1080"/>
      <c r="AG296" s="1080"/>
      <c r="AH296" s="1081">
        <f>AF296+AD296+AB296+Z296+X296+V296+T296+R296+P296+N296+L296+J296</f>
        <v>0</v>
      </c>
      <c r="AI296" s="8">
        <f>IF(AH$58=0,0,AH296/AH$58)</f>
        <v>0</v>
      </c>
      <c r="AJ296" s="9"/>
    </row>
    <row r="297" spans="1:36" s="236" customFormat="1" ht="5.0999999999999996" customHeight="1" outlineLevel="1">
      <c r="A297" s="10"/>
      <c r="B297" s="32" t="s">
        <v>17</v>
      </c>
      <c r="C297" s="32"/>
      <c r="D297" s="235"/>
      <c r="E297" s="235"/>
      <c r="F297" s="235"/>
      <c r="G297" s="235"/>
      <c r="J297" s="1106"/>
      <c r="K297" s="1086"/>
      <c r="L297" s="1107"/>
      <c r="M297" s="1086"/>
      <c r="N297" s="1107"/>
      <c r="O297" s="1092"/>
      <c r="P297" s="1107"/>
      <c r="Q297" s="1086"/>
      <c r="R297" s="1107"/>
      <c r="S297" s="1086"/>
      <c r="T297" s="1107"/>
      <c r="U297" s="1092"/>
      <c r="V297" s="1107"/>
      <c r="W297" s="1086"/>
      <c r="X297" s="1107"/>
      <c r="Y297" s="1086"/>
      <c r="Z297" s="1107"/>
      <c r="AA297" s="1092"/>
      <c r="AB297" s="1107"/>
      <c r="AC297" s="1086"/>
      <c r="AD297" s="1107"/>
      <c r="AE297" s="1086"/>
      <c r="AF297" s="1107"/>
      <c r="AG297" s="1092"/>
      <c r="AH297" s="1108"/>
      <c r="AI297" s="45"/>
      <c r="AJ297" s="14"/>
    </row>
    <row r="298" spans="1:36" s="236" customFormat="1" ht="15">
      <c r="A298" s="10"/>
      <c r="B298" s="32" t="s">
        <v>17</v>
      </c>
      <c r="C298" s="32"/>
      <c r="F298" s="234" t="s">
        <v>164</v>
      </c>
      <c r="J298" s="1085">
        <f>SUM(J296:J297)</f>
        <v>0</v>
      </c>
      <c r="K298" s="1086"/>
      <c r="L298" s="1086">
        <f>SUM(L296:L297)</f>
        <v>0</v>
      </c>
      <c r="M298" s="1086"/>
      <c r="N298" s="1086">
        <f>SUM(N296:N297)</f>
        <v>0</v>
      </c>
      <c r="O298" s="1092">
        <f>IF(N$52=0,0,N298/N$52)</f>
        <v>0</v>
      </c>
      <c r="P298" s="1086">
        <f>SUM(P296:P297)</f>
        <v>0</v>
      </c>
      <c r="Q298" s="1086"/>
      <c r="R298" s="1086">
        <f>SUM(R296:R297)</f>
        <v>0</v>
      </c>
      <c r="S298" s="1086"/>
      <c r="T298" s="1086">
        <f>SUM(T296:T297)</f>
        <v>0</v>
      </c>
      <c r="U298" s="1092">
        <f>IF(T$52=0,0,T298/T$52)</f>
        <v>0</v>
      </c>
      <c r="V298" s="1086">
        <f>SUM(V296:V297)</f>
        <v>0</v>
      </c>
      <c r="W298" s="1086"/>
      <c r="X298" s="1086">
        <f>SUM(X296:X297)</f>
        <v>0</v>
      </c>
      <c r="Y298" s="1086"/>
      <c r="Z298" s="1086">
        <f>SUM(Z296:Z297)</f>
        <v>0</v>
      </c>
      <c r="AA298" s="1092">
        <f>IF(Z$52=0,0,Z298/Z$52)</f>
        <v>0</v>
      </c>
      <c r="AB298" s="1086">
        <f>SUM(AB296:AB297)</f>
        <v>0</v>
      </c>
      <c r="AC298" s="1086"/>
      <c r="AD298" s="1086">
        <f>SUM(AD296:AD297)</f>
        <v>0</v>
      </c>
      <c r="AE298" s="1086"/>
      <c r="AF298" s="1086">
        <f>SUM(AF296:AF297)</f>
        <v>0</v>
      </c>
      <c r="AG298" s="1092">
        <f>IF(AF$52=0,0,AF298/AF$52)</f>
        <v>0</v>
      </c>
      <c r="AH298" s="1087">
        <f>SUM(AH296:AH297)</f>
        <v>0</v>
      </c>
      <c r="AI298" s="8">
        <f>IF(AH$58=0,0,AH298/AH$58)</f>
        <v>0</v>
      </c>
      <c r="AJ298" s="14"/>
    </row>
    <row r="299" spans="1:36" s="236" customFormat="1" ht="15" outlineLevel="1">
      <c r="A299" s="10"/>
      <c r="B299" s="32" t="s">
        <v>17</v>
      </c>
      <c r="C299" s="32"/>
      <c r="J299" s="1085"/>
      <c r="K299" s="1086"/>
      <c r="L299" s="1086"/>
      <c r="M299" s="1086"/>
      <c r="N299" s="1086"/>
      <c r="O299" s="1092"/>
      <c r="P299" s="1086"/>
      <c r="Q299" s="1086"/>
      <c r="R299" s="1086"/>
      <c r="S299" s="1086"/>
      <c r="T299" s="1086"/>
      <c r="U299" s="1092"/>
      <c r="V299" s="1086"/>
      <c r="W299" s="1086"/>
      <c r="X299" s="1086"/>
      <c r="Y299" s="1086"/>
      <c r="Z299" s="1086"/>
      <c r="AA299" s="1092"/>
      <c r="AB299" s="1086"/>
      <c r="AC299" s="1086"/>
      <c r="AD299" s="1086"/>
      <c r="AE299" s="1086"/>
      <c r="AF299" s="1086"/>
      <c r="AG299" s="1092"/>
      <c r="AH299" s="1087"/>
      <c r="AI299" s="45"/>
      <c r="AJ299" s="14"/>
    </row>
    <row r="300" spans="1:36" outlineLevel="1">
      <c r="B300" s="5" t="s">
        <v>165</v>
      </c>
      <c r="D300" s="234"/>
      <c r="E300" s="234"/>
      <c r="F300" s="235"/>
      <c r="G300" s="3"/>
      <c r="H300" s="236"/>
      <c r="I300" s="6"/>
      <c r="J300" s="1078"/>
      <c r="K300" s="1080"/>
      <c r="L300" s="1080"/>
      <c r="M300" s="1080"/>
      <c r="N300" s="1080"/>
      <c r="O300" s="1080"/>
      <c r="P300" s="1080"/>
      <c r="Q300" s="1080"/>
      <c r="R300" s="1080"/>
      <c r="S300" s="1080"/>
      <c r="T300" s="1080"/>
      <c r="U300" s="1080"/>
      <c r="V300" s="1080"/>
      <c r="W300" s="1080"/>
      <c r="X300" s="1080"/>
      <c r="Y300" s="1080"/>
      <c r="Z300" s="1080"/>
      <c r="AA300" s="1080"/>
      <c r="AB300" s="1080"/>
      <c r="AC300" s="1080"/>
      <c r="AD300" s="1080"/>
      <c r="AE300" s="1080"/>
      <c r="AF300" s="1080"/>
      <c r="AG300" s="1080"/>
      <c r="AH300" s="1081">
        <f>AF300+AD300+AB300+Z300+X300+V300+T300+R300+P300+N300+L300+J300</f>
        <v>0</v>
      </c>
      <c r="AI300" s="8">
        <f>IF(AH$58=0,0,AH300/AH$58)</f>
        <v>0</v>
      </c>
      <c r="AJ300" s="9"/>
    </row>
    <row r="301" spans="1:36" s="236" customFormat="1" ht="5.0999999999999996" customHeight="1" outlineLevel="1">
      <c r="A301" s="10"/>
      <c r="B301" s="32" t="s">
        <v>17</v>
      </c>
      <c r="C301" s="32"/>
      <c r="D301" s="235"/>
      <c r="E301" s="235"/>
      <c r="F301" s="235"/>
      <c r="G301" s="235"/>
      <c r="J301" s="1106"/>
      <c r="K301" s="1086"/>
      <c r="L301" s="1107"/>
      <c r="M301" s="1086"/>
      <c r="N301" s="1107"/>
      <c r="O301" s="1092"/>
      <c r="P301" s="1107"/>
      <c r="Q301" s="1086"/>
      <c r="R301" s="1107"/>
      <c r="S301" s="1086"/>
      <c r="T301" s="1107"/>
      <c r="U301" s="1092"/>
      <c r="V301" s="1107"/>
      <c r="W301" s="1086"/>
      <c r="X301" s="1107"/>
      <c r="Y301" s="1086"/>
      <c r="Z301" s="1107"/>
      <c r="AA301" s="1092"/>
      <c r="AB301" s="1107"/>
      <c r="AC301" s="1086"/>
      <c r="AD301" s="1107"/>
      <c r="AE301" s="1086"/>
      <c r="AF301" s="1107"/>
      <c r="AG301" s="1092"/>
      <c r="AH301" s="1108"/>
      <c r="AI301" s="45"/>
      <c r="AJ301" s="14"/>
    </row>
    <row r="302" spans="1:36" s="236" customFormat="1" ht="15">
      <c r="A302" s="10"/>
      <c r="B302" s="32" t="s">
        <v>17</v>
      </c>
      <c r="C302" s="32"/>
      <c r="F302" s="235" t="s">
        <v>166</v>
      </c>
      <c r="J302" s="1085">
        <f>SUM(J300:J301)</f>
        <v>0</v>
      </c>
      <c r="K302" s="1086"/>
      <c r="L302" s="1086">
        <f>SUM(L300:L301)</f>
        <v>0</v>
      </c>
      <c r="M302" s="1086"/>
      <c r="N302" s="1086">
        <f>SUM(N300:N301)</f>
        <v>0</v>
      </c>
      <c r="O302" s="1092">
        <f>IF(N$52=0,0,N302/N$52)</f>
        <v>0</v>
      </c>
      <c r="P302" s="1086">
        <f>SUM(P300:P301)</f>
        <v>0</v>
      </c>
      <c r="Q302" s="1086"/>
      <c r="R302" s="1086">
        <f>SUM(R300:R301)</f>
        <v>0</v>
      </c>
      <c r="S302" s="1086"/>
      <c r="T302" s="1086">
        <f>SUM(T300:T301)</f>
        <v>0</v>
      </c>
      <c r="U302" s="1092">
        <f>IF(T$52=0,0,T302/T$52)</f>
        <v>0</v>
      </c>
      <c r="V302" s="1086">
        <f>SUM(V300:V301)</f>
        <v>0</v>
      </c>
      <c r="W302" s="1086"/>
      <c r="X302" s="1086">
        <f>SUM(X300:X301)</f>
        <v>0</v>
      </c>
      <c r="Y302" s="1086"/>
      <c r="Z302" s="1086">
        <f>SUM(Z300:Z301)</f>
        <v>0</v>
      </c>
      <c r="AA302" s="1092">
        <f>IF(Z$52=0,0,Z302/Z$52)</f>
        <v>0</v>
      </c>
      <c r="AB302" s="1086">
        <f>SUM(AB300:AB301)</f>
        <v>0</v>
      </c>
      <c r="AC302" s="1086"/>
      <c r="AD302" s="1086">
        <f>SUM(AD300:AD301)</f>
        <v>0</v>
      </c>
      <c r="AE302" s="1086"/>
      <c r="AF302" s="1086">
        <f>SUM(AF300:AF301)</f>
        <v>0</v>
      </c>
      <c r="AG302" s="1092">
        <f>IF(AF$52=0,0,AF302/AF$52)</f>
        <v>0</v>
      </c>
      <c r="AH302" s="1087">
        <f>SUM(AH300:AH301)</f>
        <v>0</v>
      </c>
      <c r="AI302" s="8">
        <f>IF(AH$58=0,0,AH302/AH$58)</f>
        <v>0</v>
      </c>
      <c r="AJ302" s="14"/>
    </row>
    <row r="303" spans="1:36" s="236" customFormat="1" ht="6.75" customHeight="1">
      <c r="A303" s="10"/>
      <c r="B303" s="1" t="s">
        <v>17</v>
      </c>
      <c r="C303" s="1"/>
      <c r="J303" s="1085"/>
      <c r="K303" s="1086"/>
      <c r="L303" s="1086"/>
      <c r="M303" s="1086"/>
      <c r="N303" s="1086"/>
      <c r="O303" s="1092"/>
      <c r="P303" s="1086"/>
      <c r="Q303" s="1086"/>
      <c r="R303" s="1086"/>
      <c r="S303" s="1086"/>
      <c r="T303" s="1086"/>
      <c r="U303" s="1092"/>
      <c r="V303" s="1086"/>
      <c r="W303" s="1086"/>
      <c r="X303" s="1086"/>
      <c r="Y303" s="1086"/>
      <c r="Z303" s="1086"/>
      <c r="AA303" s="1092"/>
      <c r="AB303" s="1086"/>
      <c r="AC303" s="1086"/>
      <c r="AD303" s="1086"/>
      <c r="AE303" s="1086"/>
      <c r="AF303" s="1086"/>
      <c r="AG303" s="1092"/>
      <c r="AH303" s="1087"/>
      <c r="AI303" s="45"/>
      <c r="AJ303" s="14"/>
    </row>
    <row r="304" spans="1:36" s="236" customFormat="1" ht="15">
      <c r="A304" s="10"/>
      <c r="B304" s="1" t="s">
        <v>17</v>
      </c>
      <c r="C304" s="1"/>
      <c r="E304" s="36" t="s">
        <v>167</v>
      </c>
      <c r="J304" s="1109">
        <f>+J290-J294-J298-J302</f>
        <v>23252.98999999986</v>
      </c>
      <c r="K304" s="1086"/>
      <c r="L304" s="1110">
        <f>+L290-L294-L298-L302</f>
        <v>126147.59999999967</v>
      </c>
      <c r="M304" s="1086"/>
      <c r="N304" s="1110">
        <f>+N290-N294-N298-N302</f>
        <v>178209.0400000001</v>
      </c>
      <c r="O304" s="1092">
        <f>IF(N$52=0,0,N304/N$52)</f>
        <v>0</v>
      </c>
      <c r="P304" s="1110">
        <f>+P290-P294-P298-P302</f>
        <v>191355.73000000051</v>
      </c>
      <c r="Q304" s="1086"/>
      <c r="R304" s="1110">
        <f>+R290-R294-R298-R302</f>
        <v>145107.11999999994</v>
      </c>
      <c r="S304" s="1086"/>
      <c r="T304" s="1110">
        <f>+T290-T294-T298-T302</f>
        <v>110032.65999999965</v>
      </c>
      <c r="U304" s="1092">
        <f>IF(T$52=0,0,T304/T$52)</f>
        <v>0</v>
      </c>
      <c r="V304" s="1110">
        <f>+V290-V294-V298-V302</f>
        <v>257580.24000000028</v>
      </c>
      <c r="W304" s="1086"/>
      <c r="X304" s="1110">
        <f>+X290-X294-X298-X302</f>
        <v>153362.35</v>
      </c>
      <c r="Y304" s="1086"/>
      <c r="Z304" s="1110">
        <f>+Z290-Z294-Z298-Z302</f>
        <v>57510.230000000069</v>
      </c>
      <c r="AA304" s="1092">
        <f>IF(Z$52=0,0,Z304/Z$52)</f>
        <v>0</v>
      </c>
      <c r="AB304" s="1110">
        <f>+AB290-AB294-AB298-AB302</f>
        <v>124036.23999999999</v>
      </c>
      <c r="AC304" s="1086"/>
      <c r="AD304" s="1110">
        <f>+AD290-AD294-AD298-AD302</f>
        <v>234962.91999999993</v>
      </c>
      <c r="AE304" s="1086"/>
      <c r="AF304" s="1110">
        <f>+AF290-AF294-AF298-AF302</f>
        <v>148049.18000000025</v>
      </c>
      <c r="AG304" s="1092">
        <f>IF(AF$52=0,0,AF304/AF$52)</f>
        <v>0</v>
      </c>
      <c r="AH304" s="1111">
        <f>+AH290-AH294-AH298-AH302</f>
        <v>1749606.3000000017</v>
      </c>
      <c r="AI304" s="8">
        <f>IF(AH$58=0,0,AH304/AH$58)</f>
        <v>8.6415152924294469E-2</v>
      </c>
      <c r="AJ304" s="14"/>
    </row>
    <row r="305" spans="1:36" s="236" customFormat="1" ht="6.75" customHeight="1">
      <c r="A305" s="10"/>
      <c r="B305" s="1" t="s">
        <v>17</v>
      </c>
      <c r="C305" s="1"/>
      <c r="J305" s="1085"/>
      <c r="K305" s="1086"/>
      <c r="L305" s="1086"/>
      <c r="M305" s="1086"/>
      <c r="N305" s="1086"/>
      <c r="O305" s="1092"/>
      <c r="P305" s="1086"/>
      <c r="Q305" s="1086"/>
      <c r="R305" s="1086"/>
      <c r="S305" s="1086"/>
      <c r="T305" s="1086"/>
      <c r="U305" s="1092"/>
      <c r="V305" s="1086"/>
      <c r="W305" s="1086"/>
      <c r="X305" s="1086"/>
      <c r="Y305" s="1086"/>
      <c r="Z305" s="1086"/>
      <c r="AA305" s="1092"/>
      <c r="AB305" s="1086"/>
      <c r="AC305" s="1086"/>
      <c r="AD305" s="1086"/>
      <c r="AE305" s="1086"/>
      <c r="AF305" s="1086"/>
      <c r="AG305" s="1092"/>
      <c r="AH305" s="1087"/>
      <c r="AI305" s="45"/>
      <c r="AJ305" s="14"/>
    </row>
    <row r="306" spans="1:36" outlineLevel="1">
      <c r="B306" s="5" t="s">
        <v>168</v>
      </c>
      <c r="D306" s="234"/>
      <c r="E306" s="234"/>
      <c r="F306" s="235"/>
      <c r="G306" s="3"/>
      <c r="H306" s="236"/>
      <c r="I306" s="6"/>
      <c r="J306" s="1078"/>
      <c r="K306" s="1080"/>
      <c r="L306" s="1080"/>
      <c r="M306" s="1080"/>
      <c r="N306" s="1080"/>
      <c r="O306" s="1080"/>
      <c r="P306" s="1080"/>
      <c r="Q306" s="1080"/>
      <c r="R306" s="1080"/>
      <c r="S306" s="1080"/>
      <c r="T306" s="1080"/>
      <c r="U306" s="1080"/>
      <c r="V306" s="1080"/>
      <c r="W306" s="1080"/>
      <c r="X306" s="1080"/>
      <c r="Y306" s="1080"/>
      <c r="Z306" s="1080"/>
      <c r="AA306" s="1080"/>
      <c r="AB306" s="1080"/>
      <c r="AC306" s="1080"/>
      <c r="AD306" s="1080"/>
      <c r="AE306" s="1080"/>
      <c r="AF306" s="1080"/>
      <c r="AG306" s="1080"/>
      <c r="AH306" s="1081">
        <f>AF306+AD306+AB306+Z306+X306+V306+T306+R306+P306+N306+L306+J306</f>
        <v>0</v>
      </c>
      <c r="AI306" s="8">
        <f>IF(AH$58=0,0,AH306/AH$58)</f>
        <v>0</v>
      </c>
      <c r="AJ306" s="9"/>
    </row>
    <row r="307" spans="1:36" s="236" customFormat="1" ht="5.0999999999999996" customHeight="1" outlineLevel="1">
      <c r="A307" s="10"/>
      <c r="B307" s="32" t="s">
        <v>17</v>
      </c>
      <c r="C307" s="32"/>
      <c r="D307" s="235"/>
      <c r="E307" s="235"/>
      <c r="F307" s="235"/>
      <c r="G307" s="235"/>
      <c r="J307" s="1106"/>
      <c r="K307" s="1086"/>
      <c r="L307" s="1107"/>
      <c r="M307" s="1086"/>
      <c r="N307" s="1107"/>
      <c r="O307" s="1092"/>
      <c r="P307" s="1107"/>
      <c r="Q307" s="1086"/>
      <c r="R307" s="1107"/>
      <c r="S307" s="1086"/>
      <c r="T307" s="1107"/>
      <c r="U307" s="1092"/>
      <c r="V307" s="1107"/>
      <c r="W307" s="1086"/>
      <c r="X307" s="1107"/>
      <c r="Y307" s="1086"/>
      <c r="Z307" s="1107"/>
      <c r="AA307" s="1092"/>
      <c r="AB307" s="1107"/>
      <c r="AC307" s="1086"/>
      <c r="AD307" s="1107"/>
      <c r="AE307" s="1086"/>
      <c r="AF307" s="1107"/>
      <c r="AG307" s="1092"/>
      <c r="AH307" s="1108"/>
      <c r="AI307" s="45"/>
      <c r="AJ307" s="14"/>
    </row>
    <row r="308" spans="1:36" s="236" customFormat="1" ht="15">
      <c r="A308" s="10"/>
      <c r="B308" s="32" t="s">
        <v>17</v>
      </c>
      <c r="C308" s="32"/>
      <c r="F308" s="234" t="s">
        <v>169</v>
      </c>
      <c r="J308" s="1085">
        <f>SUM(J306:J307)</f>
        <v>0</v>
      </c>
      <c r="K308" s="1086"/>
      <c r="L308" s="1086">
        <f>SUM(L306:L307)</f>
        <v>0</v>
      </c>
      <c r="M308" s="1086"/>
      <c r="N308" s="1086">
        <f>SUM(N306:N307)</f>
        <v>0</v>
      </c>
      <c r="O308" s="1092">
        <f>IF(N$52=0,0,N308/N$52)</f>
        <v>0</v>
      </c>
      <c r="P308" s="1086">
        <f>SUM(P306:P307)</f>
        <v>0</v>
      </c>
      <c r="Q308" s="1086"/>
      <c r="R308" s="1086">
        <f>SUM(R306:R307)</f>
        <v>0</v>
      </c>
      <c r="S308" s="1086"/>
      <c r="T308" s="1086">
        <f>SUM(T306:T307)</f>
        <v>0</v>
      </c>
      <c r="U308" s="1092">
        <f>IF(T$52=0,0,T308/T$52)</f>
        <v>0</v>
      </c>
      <c r="V308" s="1086">
        <f>SUM(V306:V307)</f>
        <v>0</v>
      </c>
      <c r="W308" s="1086"/>
      <c r="X308" s="1086">
        <f>SUM(X306:X307)</f>
        <v>0</v>
      </c>
      <c r="Y308" s="1086"/>
      <c r="Z308" s="1086">
        <f>SUM(Z306:Z307)</f>
        <v>0</v>
      </c>
      <c r="AA308" s="1092">
        <f>IF(Z$52=0,0,Z308/Z$52)</f>
        <v>0</v>
      </c>
      <c r="AB308" s="1086">
        <f>SUM(AB306:AB307)</f>
        <v>0</v>
      </c>
      <c r="AC308" s="1086"/>
      <c r="AD308" s="1086">
        <f>SUM(AD306:AD307)</f>
        <v>0</v>
      </c>
      <c r="AE308" s="1086"/>
      <c r="AF308" s="1086">
        <f>SUM(AF306:AF307)</f>
        <v>0</v>
      </c>
      <c r="AG308" s="1092">
        <f>IF(AF$52=0,0,AF308/AF$52)</f>
        <v>0</v>
      </c>
      <c r="AH308" s="1087">
        <f>SUM(AH306:AH307)</f>
        <v>0</v>
      </c>
      <c r="AI308" s="8">
        <f>IF(AH$58=0,0,AH308/AH$58)</f>
        <v>0</v>
      </c>
      <c r="AJ308" s="14"/>
    </row>
    <row r="309" spans="1:36" s="236" customFormat="1" ht="6.75" customHeight="1">
      <c r="A309" s="10"/>
      <c r="B309" s="1" t="s">
        <v>17</v>
      </c>
      <c r="C309" s="1"/>
      <c r="J309" s="1085"/>
      <c r="K309" s="1086"/>
      <c r="L309" s="1086"/>
      <c r="M309" s="1086"/>
      <c r="N309" s="1086"/>
      <c r="O309" s="1092"/>
      <c r="P309" s="1086"/>
      <c r="Q309" s="1086"/>
      <c r="R309" s="1086"/>
      <c r="S309" s="1086"/>
      <c r="T309" s="1086"/>
      <c r="U309" s="1092"/>
      <c r="V309" s="1086"/>
      <c r="W309" s="1086"/>
      <c r="X309" s="1086"/>
      <c r="Y309" s="1086"/>
      <c r="Z309" s="1086"/>
      <c r="AA309" s="1092"/>
      <c r="AB309" s="1086"/>
      <c r="AC309" s="1086"/>
      <c r="AD309" s="1086"/>
      <c r="AE309" s="1086"/>
      <c r="AF309" s="1086"/>
      <c r="AG309" s="1092"/>
      <c r="AH309" s="1087"/>
      <c r="AI309" s="45"/>
      <c r="AJ309" s="14"/>
    </row>
    <row r="310" spans="1:36" s="236" customFormat="1" ht="15">
      <c r="A310" s="10"/>
      <c r="B310" s="32" t="s">
        <v>17</v>
      </c>
      <c r="C310" s="32"/>
      <c r="E310" s="36" t="s">
        <v>170</v>
      </c>
      <c r="J310" s="1109">
        <f>+J304-J308</f>
        <v>23252.98999999986</v>
      </c>
      <c r="K310" s="1086"/>
      <c r="L310" s="1110">
        <f>+L304-L308</f>
        <v>126147.59999999967</v>
      </c>
      <c r="M310" s="1086"/>
      <c r="N310" s="1110">
        <f>+N304-N308</f>
        <v>178209.0400000001</v>
      </c>
      <c r="O310" s="1092">
        <f>IF(N$52=0,0,N310/N$52)</f>
        <v>0</v>
      </c>
      <c r="P310" s="1110">
        <f>+P304-P308</f>
        <v>191355.73000000051</v>
      </c>
      <c r="Q310" s="1086"/>
      <c r="R310" s="1110">
        <f>+R304-R308</f>
        <v>145107.11999999994</v>
      </c>
      <c r="S310" s="1086"/>
      <c r="T310" s="1110">
        <f>+T304-T308</f>
        <v>110032.65999999965</v>
      </c>
      <c r="U310" s="1092">
        <f>IF(T$52=0,0,T310/T$52)</f>
        <v>0</v>
      </c>
      <c r="V310" s="1110">
        <f>+V304-V308</f>
        <v>257580.24000000028</v>
      </c>
      <c r="W310" s="1086"/>
      <c r="X310" s="1110">
        <f>+X304-X308</f>
        <v>153362.35</v>
      </c>
      <c r="Y310" s="1086"/>
      <c r="Z310" s="1110">
        <f>+Z304-Z308</f>
        <v>57510.230000000069</v>
      </c>
      <c r="AA310" s="1092">
        <f>IF(Z$52=0,0,Z310/Z$52)</f>
        <v>0</v>
      </c>
      <c r="AB310" s="1110">
        <f>+AB304-AB308</f>
        <v>124036.23999999999</v>
      </c>
      <c r="AC310" s="1086"/>
      <c r="AD310" s="1110">
        <f>+AD304-AD308</f>
        <v>234962.91999999993</v>
      </c>
      <c r="AE310" s="1086"/>
      <c r="AF310" s="1110">
        <f>+AF304-AF308</f>
        <v>148049.18000000025</v>
      </c>
      <c r="AG310" s="1092">
        <f>IF(AF$52=0,0,AF310/AF$52)</f>
        <v>0</v>
      </c>
      <c r="AH310" s="1111">
        <f>+AH304-AH308</f>
        <v>1749606.3000000017</v>
      </c>
      <c r="AI310" s="8">
        <f>IF(AH$58=0,0,AH310/AH$58)</f>
        <v>8.6415152924294469E-2</v>
      </c>
      <c r="AJ310" s="14"/>
    </row>
    <row r="311" spans="1:36" ht="6.75" customHeight="1">
      <c r="A311" s="10"/>
      <c r="B311" s="1" t="s">
        <v>17</v>
      </c>
      <c r="J311" s="1085"/>
      <c r="K311" s="1086"/>
      <c r="L311" s="1086"/>
      <c r="M311" s="1086"/>
      <c r="N311" s="1086"/>
      <c r="O311" s="1092"/>
      <c r="P311" s="1086"/>
      <c r="Q311" s="1086"/>
      <c r="R311" s="1086"/>
      <c r="S311" s="1086"/>
      <c r="T311" s="1086"/>
      <c r="U311" s="1092"/>
      <c r="V311" s="1086"/>
      <c r="W311" s="1086"/>
      <c r="X311" s="1086"/>
      <c r="Y311" s="1086"/>
      <c r="Z311" s="1086"/>
      <c r="AA311" s="1092"/>
      <c r="AB311" s="1086"/>
      <c r="AC311" s="1086"/>
      <c r="AD311" s="1086"/>
      <c r="AE311" s="1086"/>
      <c r="AF311" s="1086"/>
      <c r="AG311" s="1092"/>
      <c r="AH311" s="1087"/>
      <c r="AI311" s="45"/>
      <c r="AJ311" s="14"/>
    </row>
    <row r="312" spans="1:36" outlineLevel="1">
      <c r="B312" s="5" t="s">
        <v>171</v>
      </c>
      <c r="D312" s="234"/>
      <c r="E312" s="234"/>
      <c r="F312" s="235"/>
      <c r="G312" s="3"/>
      <c r="H312" s="236"/>
      <c r="I312" s="6"/>
      <c r="J312" s="1078"/>
      <c r="K312" s="1080"/>
      <c r="L312" s="1080"/>
      <c r="M312" s="1080"/>
      <c r="N312" s="1080"/>
      <c r="O312" s="1080"/>
      <c r="P312" s="1080"/>
      <c r="Q312" s="1080"/>
      <c r="R312" s="1080"/>
      <c r="S312" s="1080"/>
      <c r="T312" s="1080"/>
      <c r="U312" s="1080"/>
      <c r="V312" s="1080"/>
      <c r="W312" s="1080"/>
      <c r="X312" s="1080"/>
      <c r="Y312" s="1080"/>
      <c r="Z312" s="1080"/>
      <c r="AA312" s="1080"/>
      <c r="AB312" s="1080"/>
      <c r="AC312" s="1080"/>
      <c r="AD312" s="1080"/>
      <c r="AE312" s="1080"/>
      <c r="AF312" s="1080"/>
      <c r="AG312" s="1080"/>
      <c r="AH312" s="1081">
        <f>AF312+AD312+AB312+Z312+X312+V312+T312+R312+P312+N312+L312+J312</f>
        <v>0</v>
      </c>
      <c r="AI312" s="8">
        <f>IF(AH$58=0,0,AH312/AH$58)</f>
        <v>0</v>
      </c>
      <c r="AJ312" s="9"/>
    </row>
    <row r="313" spans="1:36" s="236" customFormat="1" ht="5.0999999999999996" customHeight="1" outlineLevel="1">
      <c r="A313" s="10"/>
      <c r="B313" s="32" t="s">
        <v>17</v>
      </c>
      <c r="C313" s="32"/>
      <c r="D313" s="235"/>
      <c r="E313" s="235"/>
      <c r="F313" s="235"/>
      <c r="G313" s="235"/>
      <c r="J313" s="1106"/>
      <c r="K313" s="1086"/>
      <c r="L313" s="1107"/>
      <c r="M313" s="1086"/>
      <c r="N313" s="1107"/>
      <c r="O313" s="1092"/>
      <c r="P313" s="1107"/>
      <c r="Q313" s="1086"/>
      <c r="R313" s="1107"/>
      <c r="S313" s="1086"/>
      <c r="T313" s="1107"/>
      <c r="U313" s="1092"/>
      <c r="V313" s="1107"/>
      <c r="W313" s="1086"/>
      <c r="X313" s="1107"/>
      <c r="Y313" s="1086"/>
      <c r="Z313" s="1107"/>
      <c r="AA313" s="1092"/>
      <c r="AB313" s="1107"/>
      <c r="AC313" s="1086"/>
      <c r="AD313" s="1107"/>
      <c r="AE313" s="1086"/>
      <c r="AF313" s="1107"/>
      <c r="AG313" s="1092"/>
      <c r="AH313" s="1108"/>
      <c r="AI313" s="45"/>
      <c r="AJ313" s="14"/>
    </row>
    <row r="314" spans="1:36" s="236" customFormat="1" ht="15">
      <c r="A314" s="1"/>
      <c r="B314" s="32"/>
      <c r="C314" s="32"/>
      <c r="F314" s="234" t="s">
        <v>172</v>
      </c>
      <c r="J314" s="1085">
        <f>SUM(J312:J313)</f>
        <v>0</v>
      </c>
      <c r="K314" s="1086"/>
      <c r="L314" s="1086">
        <f>SUM(L312:L313)</f>
        <v>0</v>
      </c>
      <c r="M314" s="1086"/>
      <c r="N314" s="1086">
        <f>SUM(N312:N313)</f>
        <v>0</v>
      </c>
      <c r="O314" s="1092">
        <f>IF(N$52=0,0,N314/N$52)</f>
        <v>0</v>
      </c>
      <c r="P314" s="1086">
        <f>SUM(P312:P313)</f>
        <v>0</v>
      </c>
      <c r="Q314" s="1086"/>
      <c r="R314" s="1086">
        <f>SUM(R312:R313)</f>
        <v>0</v>
      </c>
      <c r="S314" s="1086"/>
      <c r="T314" s="1086">
        <f>SUM(T312:T313)</f>
        <v>0</v>
      </c>
      <c r="U314" s="1092">
        <f>IF(T$52=0,0,T314/T$52)</f>
        <v>0</v>
      </c>
      <c r="V314" s="1086">
        <f>SUM(V312:V313)</f>
        <v>0</v>
      </c>
      <c r="W314" s="1086"/>
      <c r="X314" s="1086">
        <f>SUM(X312:X313)</f>
        <v>0</v>
      </c>
      <c r="Y314" s="1086"/>
      <c r="Z314" s="1086">
        <f>SUM(Z312:Z313)</f>
        <v>0</v>
      </c>
      <c r="AA314" s="1092">
        <f>IF(Z$52=0,0,Z314/Z$52)</f>
        <v>0</v>
      </c>
      <c r="AB314" s="1086">
        <f>SUM(AB312:AB313)</f>
        <v>0</v>
      </c>
      <c r="AC314" s="1086"/>
      <c r="AD314" s="1086">
        <f>SUM(AD312:AD313)</f>
        <v>0</v>
      </c>
      <c r="AE314" s="1086"/>
      <c r="AF314" s="1086">
        <f>SUM(AF312:AF313)</f>
        <v>0</v>
      </c>
      <c r="AG314" s="1092">
        <f>IF(AF$52=0,0,AF314/AF$52)</f>
        <v>0</v>
      </c>
      <c r="AH314" s="1087">
        <f>SUM(AH312:AH313)</f>
        <v>0</v>
      </c>
      <c r="AI314" s="8">
        <f>IF(AH$58=0,0,AH314/AH$58)</f>
        <v>0</v>
      </c>
      <c r="AJ314" s="14"/>
    </row>
    <row r="315" spans="1:36" s="236" customFormat="1" ht="6.75" customHeight="1">
      <c r="A315" s="1"/>
      <c r="B315" s="32"/>
      <c r="C315" s="32"/>
      <c r="J315" s="1085"/>
      <c r="K315" s="1086"/>
      <c r="L315" s="1086"/>
      <c r="M315" s="1086"/>
      <c r="N315" s="1086"/>
      <c r="O315" s="1092"/>
      <c r="P315" s="1086"/>
      <c r="Q315" s="1086"/>
      <c r="R315" s="1086"/>
      <c r="S315" s="1086"/>
      <c r="T315" s="1086"/>
      <c r="U315" s="1092"/>
      <c r="V315" s="1086"/>
      <c r="W315" s="1086"/>
      <c r="X315" s="1086"/>
      <c r="Y315" s="1086"/>
      <c r="Z315" s="1086"/>
      <c r="AA315" s="1092"/>
      <c r="AB315" s="1086"/>
      <c r="AC315" s="1086"/>
      <c r="AD315" s="1086"/>
      <c r="AE315" s="1086"/>
      <c r="AF315" s="1086"/>
      <c r="AG315" s="1092"/>
      <c r="AH315" s="1087"/>
      <c r="AI315" s="45"/>
      <c r="AJ315" s="14"/>
    </row>
    <row r="316" spans="1:36" s="236" customFormat="1" ht="15">
      <c r="A316" s="1"/>
      <c r="B316" s="1"/>
      <c r="C316" s="1"/>
      <c r="E316" s="36" t="s">
        <v>173</v>
      </c>
      <c r="J316" s="1109">
        <f>+J310-J314</f>
        <v>23252.98999999986</v>
      </c>
      <c r="K316" s="1086"/>
      <c r="L316" s="1110">
        <f>+L310-L314</f>
        <v>126147.59999999967</v>
      </c>
      <c r="M316" s="1086"/>
      <c r="N316" s="1110">
        <f>+N310-N314</f>
        <v>178209.0400000001</v>
      </c>
      <c r="O316" s="1092">
        <f>IF(N$52=0,0,N316/N$52)</f>
        <v>0</v>
      </c>
      <c r="P316" s="1110">
        <f>+P310-P314</f>
        <v>191355.73000000051</v>
      </c>
      <c r="Q316" s="1086"/>
      <c r="R316" s="1110">
        <f>+R310-R314</f>
        <v>145107.11999999994</v>
      </c>
      <c r="S316" s="1086"/>
      <c r="T316" s="1110">
        <f>+T310-T314</f>
        <v>110032.65999999965</v>
      </c>
      <c r="U316" s="1092">
        <f>IF(T$52=0,0,T316/T$52)</f>
        <v>0</v>
      </c>
      <c r="V316" s="1110">
        <f>+V310-V314</f>
        <v>257580.24000000028</v>
      </c>
      <c r="W316" s="1086"/>
      <c r="X316" s="1110">
        <f>+X310-X314</f>
        <v>153362.35</v>
      </c>
      <c r="Y316" s="1086"/>
      <c r="Z316" s="1110">
        <f>+Z310-Z314</f>
        <v>57510.230000000069</v>
      </c>
      <c r="AA316" s="1092">
        <f>IF(Z$52=0,0,Z316/Z$52)</f>
        <v>0</v>
      </c>
      <c r="AB316" s="1110">
        <f>+AB310-AB314</f>
        <v>124036.23999999999</v>
      </c>
      <c r="AC316" s="1086"/>
      <c r="AD316" s="1110">
        <f>+AD310-AD314</f>
        <v>234962.91999999993</v>
      </c>
      <c r="AE316" s="1086"/>
      <c r="AF316" s="1110">
        <f>+AF310-AF314</f>
        <v>148049.18000000025</v>
      </c>
      <c r="AG316" s="1092">
        <f>IF(AF$52=0,0,AF316/AF$52)</f>
        <v>0</v>
      </c>
      <c r="AH316" s="1111">
        <f>+AH310-AH314</f>
        <v>1749606.3000000017</v>
      </c>
      <c r="AI316" s="8">
        <f>IF(AH$58=0,0,AH316/AH$58)</f>
        <v>8.6415152924294469E-2</v>
      </c>
      <c r="AJ316" s="14"/>
    </row>
    <row r="317" spans="1:36" s="236" customFormat="1" ht="6.75" customHeight="1">
      <c r="A317" s="1"/>
      <c r="B317" s="32"/>
      <c r="C317" s="32"/>
      <c r="J317" s="1085"/>
      <c r="K317" s="1086"/>
      <c r="L317" s="1086"/>
      <c r="M317" s="1086"/>
      <c r="N317" s="1086"/>
      <c r="O317" s="1092"/>
      <c r="P317" s="1086"/>
      <c r="Q317" s="1086"/>
      <c r="R317" s="1086"/>
      <c r="S317" s="1086"/>
      <c r="T317" s="1086"/>
      <c r="U317" s="1092"/>
      <c r="V317" s="1086"/>
      <c r="W317" s="1086"/>
      <c r="X317" s="1086"/>
      <c r="Y317" s="1086"/>
      <c r="Z317" s="1086"/>
      <c r="AA317" s="1092"/>
      <c r="AB317" s="1086"/>
      <c r="AC317" s="1086"/>
      <c r="AD317" s="1086"/>
      <c r="AE317" s="1086"/>
      <c r="AF317" s="1086"/>
      <c r="AG317" s="1092"/>
      <c r="AH317" s="1087"/>
      <c r="AI317" s="45"/>
      <c r="AJ317" s="14"/>
    </row>
    <row r="318" spans="1:36" outlineLevel="1">
      <c r="B318" s="5" t="s">
        <v>174</v>
      </c>
      <c r="D318" s="234"/>
      <c r="E318" s="234"/>
      <c r="F318" s="235"/>
      <c r="G318" s="3"/>
      <c r="H318" s="236"/>
      <c r="I318" s="6"/>
      <c r="J318" s="1078"/>
      <c r="K318" s="1080"/>
      <c r="L318" s="1080"/>
      <c r="M318" s="1080"/>
      <c r="N318" s="1080"/>
      <c r="O318" s="1080"/>
      <c r="P318" s="1080"/>
      <c r="Q318" s="1080"/>
      <c r="R318" s="1080"/>
      <c r="S318" s="1080"/>
      <c r="T318" s="1080"/>
      <c r="U318" s="1080"/>
      <c r="V318" s="1080"/>
      <c r="W318" s="1080"/>
      <c r="X318" s="1080"/>
      <c r="Y318" s="1080"/>
      <c r="Z318" s="1080"/>
      <c r="AA318" s="1080"/>
      <c r="AB318" s="1080"/>
      <c r="AC318" s="1080"/>
      <c r="AD318" s="1080"/>
      <c r="AE318" s="1080"/>
      <c r="AF318" s="1080"/>
      <c r="AG318" s="1080"/>
      <c r="AH318" s="1081">
        <f>AF318+AD318+AB318+Z318+X318+V318+T318+R318+P318+N318+L318+J318</f>
        <v>0</v>
      </c>
      <c r="AI318" s="8">
        <f>IF(AH$58=0,0,AH318/AH$58)</f>
        <v>0</v>
      </c>
      <c r="AJ318" s="9"/>
    </row>
    <row r="319" spans="1:36" s="236" customFormat="1" ht="5.0999999999999996" customHeight="1" outlineLevel="1">
      <c r="A319" s="10"/>
      <c r="B319" s="32" t="s">
        <v>17</v>
      </c>
      <c r="C319" s="32"/>
      <c r="D319" s="235"/>
      <c r="E319" s="235"/>
      <c r="F319" s="235"/>
      <c r="G319" s="235"/>
      <c r="J319" s="1106"/>
      <c r="K319" s="1086"/>
      <c r="L319" s="1107"/>
      <c r="M319" s="1086"/>
      <c r="N319" s="1107"/>
      <c r="O319" s="1092"/>
      <c r="P319" s="1107"/>
      <c r="Q319" s="1086"/>
      <c r="R319" s="1107"/>
      <c r="S319" s="1086"/>
      <c r="T319" s="1107"/>
      <c r="U319" s="1092"/>
      <c r="V319" s="1107"/>
      <c r="W319" s="1086"/>
      <c r="X319" s="1107"/>
      <c r="Y319" s="1086"/>
      <c r="Z319" s="1107"/>
      <c r="AA319" s="1092"/>
      <c r="AB319" s="1107"/>
      <c r="AC319" s="1086"/>
      <c r="AD319" s="1107"/>
      <c r="AE319" s="1086"/>
      <c r="AF319" s="1107"/>
      <c r="AG319" s="1092"/>
      <c r="AH319" s="1108"/>
      <c r="AI319" s="45"/>
      <c r="AJ319" s="14"/>
    </row>
    <row r="320" spans="1:36" s="236" customFormat="1" ht="15">
      <c r="A320" s="10"/>
      <c r="B320" s="32" t="s">
        <v>17</v>
      </c>
      <c r="C320" s="32"/>
      <c r="F320" s="234" t="s">
        <v>175</v>
      </c>
      <c r="J320" s="1085">
        <f>SUM(J318:J319)</f>
        <v>0</v>
      </c>
      <c r="K320" s="1086"/>
      <c r="L320" s="1086">
        <f>SUM(L318:L319)</f>
        <v>0</v>
      </c>
      <c r="M320" s="1086"/>
      <c r="N320" s="1086">
        <f>SUM(N318:N319)</f>
        <v>0</v>
      </c>
      <c r="O320" s="1092">
        <f>IF(N$52=0,0,N320/N$52)</f>
        <v>0</v>
      </c>
      <c r="P320" s="1086">
        <f>SUM(P318:P319)</f>
        <v>0</v>
      </c>
      <c r="Q320" s="1086"/>
      <c r="R320" s="1086">
        <f>SUM(R318:R319)</f>
        <v>0</v>
      </c>
      <c r="S320" s="1086"/>
      <c r="T320" s="1086">
        <f>SUM(T318:T319)</f>
        <v>0</v>
      </c>
      <c r="U320" s="1092">
        <f>IF(T$52=0,0,T320/T$52)</f>
        <v>0</v>
      </c>
      <c r="V320" s="1086">
        <f>SUM(V318:V319)</f>
        <v>0</v>
      </c>
      <c r="W320" s="1086"/>
      <c r="X320" s="1086">
        <f>SUM(X318:X319)</f>
        <v>0</v>
      </c>
      <c r="Y320" s="1086"/>
      <c r="Z320" s="1086">
        <f>SUM(Z318:Z319)</f>
        <v>0</v>
      </c>
      <c r="AA320" s="1092">
        <f>IF(Z$52=0,0,Z320/Z$52)</f>
        <v>0</v>
      </c>
      <c r="AB320" s="1086">
        <f>SUM(AB318:AB319)</f>
        <v>0</v>
      </c>
      <c r="AC320" s="1086"/>
      <c r="AD320" s="1086">
        <f>SUM(AD318:AD319)</f>
        <v>0</v>
      </c>
      <c r="AE320" s="1086"/>
      <c r="AF320" s="1086">
        <f>SUM(AF318:AF319)</f>
        <v>0</v>
      </c>
      <c r="AG320" s="1092">
        <f>IF(AF$52=0,0,AF320/AF$52)</f>
        <v>0</v>
      </c>
      <c r="AH320" s="1087">
        <f>SUM(AH318:AH319)</f>
        <v>0</v>
      </c>
      <c r="AI320" s="8">
        <f>IF(AH$58=0,0,AH320/AH$58)</f>
        <v>0</v>
      </c>
      <c r="AJ320" s="14"/>
    </row>
    <row r="321" spans="1:36" s="236" customFormat="1" ht="6.75" customHeight="1">
      <c r="A321" s="1"/>
      <c r="B321" s="32"/>
      <c r="C321" s="32"/>
      <c r="J321" s="1085"/>
      <c r="K321" s="1086"/>
      <c r="L321" s="1086"/>
      <c r="M321" s="1086"/>
      <c r="N321" s="1086"/>
      <c r="O321" s="1092"/>
      <c r="P321" s="1086"/>
      <c r="Q321" s="1086"/>
      <c r="R321" s="1086"/>
      <c r="S321" s="1086"/>
      <c r="T321" s="1086"/>
      <c r="U321" s="1092"/>
      <c r="V321" s="1086"/>
      <c r="W321" s="1086"/>
      <c r="X321" s="1086"/>
      <c r="Y321" s="1086"/>
      <c r="Z321" s="1086"/>
      <c r="AA321" s="1092"/>
      <c r="AB321" s="1086"/>
      <c r="AC321" s="1086"/>
      <c r="AD321" s="1086"/>
      <c r="AE321" s="1086"/>
      <c r="AF321" s="1086"/>
      <c r="AG321" s="1092"/>
      <c r="AH321" s="1087"/>
      <c r="AI321" s="45"/>
      <c r="AJ321" s="14"/>
    </row>
    <row r="322" spans="1:36" s="236" customFormat="1" ht="15.75" thickBot="1">
      <c r="A322" s="1"/>
      <c r="B322" s="1"/>
      <c r="C322" s="1"/>
      <c r="E322" s="36" t="s">
        <v>176</v>
      </c>
      <c r="J322" s="1117">
        <f>+J316-J320</f>
        <v>23252.98999999986</v>
      </c>
      <c r="K322" s="1086"/>
      <c r="L322" s="1118">
        <f>+L316-L320</f>
        <v>126147.59999999967</v>
      </c>
      <c r="M322" s="1086"/>
      <c r="N322" s="1118">
        <f>+N316-N320</f>
        <v>178209.0400000001</v>
      </c>
      <c r="O322" s="1092">
        <f>IF(N$52=0,0,N322/N$52)</f>
        <v>0</v>
      </c>
      <c r="P322" s="1118">
        <f>+P316-P320</f>
        <v>191355.73000000051</v>
      </c>
      <c r="Q322" s="1086"/>
      <c r="R322" s="1118">
        <f>+R316-R320</f>
        <v>145107.11999999994</v>
      </c>
      <c r="S322" s="1086"/>
      <c r="T322" s="1118">
        <f>+T316-T320</f>
        <v>110032.65999999965</v>
      </c>
      <c r="U322" s="1092">
        <f>IF(T$52=0,0,T322/T$52)</f>
        <v>0</v>
      </c>
      <c r="V322" s="1118">
        <f>+V316-V320</f>
        <v>257580.24000000028</v>
      </c>
      <c r="W322" s="1086"/>
      <c r="X322" s="1118">
        <f>+X316-X320</f>
        <v>153362.35</v>
      </c>
      <c r="Y322" s="1086"/>
      <c r="Z322" s="1118">
        <f>+Z316-Z320</f>
        <v>57510.230000000069</v>
      </c>
      <c r="AA322" s="1092">
        <f>IF(Z$52=0,0,Z322/Z$52)</f>
        <v>0</v>
      </c>
      <c r="AB322" s="1118">
        <f>+AB316-AB320</f>
        <v>124036.23999999999</v>
      </c>
      <c r="AC322" s="1086"/>
      <c r="AD322" s="1118">
        <f>+AD316-AD320</f>
        <v>234962.91999999993</v>
      </c>
      <c r="AE322" s="1086"/>
      <c r="AF322" s="1118">
        <f>+AF316-AF320</f>
        <v>148049.18000000025</v>
      </c>
      <c r="AG322" s="1092">
        <f>IF(AF$52=0,0,AF322/AF$52)</f>
        <v>0</v>
      </c>
      <c r="AH322" s="1119">
        <f>+AH316-AH320</f>
        <v>1749606.3000000017</v>
      </c>
      <c r="AI322" s="8">
        <f>IF(AH$58=0,0,AH322/AH$58)</f>
        <v>8.6415152924294469E-2</v>
      </c>
      <c r="AJ322" s="14"/>
    </row>
    <row r="323" spans="1:36" s="48" customFormat="1" ht="16.5" thickTop="1" thickBot="1">
      <c r="A323" s="10"/>
      <c r="B323" s="32"/>
      <c r="C323" s="32"/>
      <c r="D323" s="236"/>
      <c r="E323" s="236"/>
      <c r="F323" s="234"/>
      <c r="G323" s="236"/>
      <c r="H323" s="1"/>
      <c r="I323" s="1"/>
      <c r="J323" s="1093"/>
      <c r="K323" s="1094"/>
      <c r="L323" s="1095"/>
      <c r="M323" s="1120"/>
      <c r="N323" s="1095"/>
      <c r="O323" s="1120"/>
      <c r="P323" s="1095"/>
      <c r="Q323" s="1094"/>
      <c r="R323" s="1095"/>
      <c r="S323" s="1120"/>
      <c r="T323" s="1095"/>
      <c r="U323" s="1120"/>
      <c r="V323" s="1095"/>
      <c r="W323" s="1094"/>
      <c r="X323" s="1095"/>
      <c r="Y323" s="1120"/>
      <c r="Z323" s="1095"/>
      <c r="AA323" s="1120"/>
      <c r="AB323" s="1095"/>
      <c r="AC323" s="1094"/>
      <c r="AD323" s="1095"/>
      <c r="AE323" s="1120"/>
      <c r="AF323" s="1095"/>
      <c r="AG323" s="1120"/>
      <c r="AH323" s="1096"/>
      <c r="AJ323" s="1"/>
    </row>
    <row r="324" spans="1:36" s="249" customFormat="1" ht="15.75" outlineLevel="1" thickTop="1">
      <c r="B324" s="249" t="s">
        <v>177</v>
      </c>
    </row>
    <row r="325" spans="1:36" ht="6" customHeight="1" outlineLevel="1">
      <c r="A325" s="10"/>
      <c r="J325" s="34"/>
      <c r="K325" s="33"/>
      <c r="L325" s="34"/>
      <c r="M325" s="33"/>
      <c r="N325" s="34"/>
      <c r="O325" s="45"/>
      <c r="P325" s="34"/>
      <c r="Q325" s="33"/>
      <c r="R325" s="34"/>
      <c r="S325" s="33"/>
      <c r="T325" s="34"/>
      <c r="U325" s="45"/>
      <c r="V325" s="34"/>
      <c r="W325" s="33"/>
      <c r="X325" s="34"/>
      <c r="Y325" s="33"/>
      <c r="Z325" s="34"/>
      <c r="AA325" s="45"/>
      <c r="AB325" s="34"/>
      <c r="AC325" s="33"/>
      <c r="AD325" s="34"/>
      <c r="AE325" s="33"/>
      <c r="AF325" s="34"/>
      <c r="AG325" s="45"/>
      <c r="AH325" s="34"/>
    </row>
    <row r="326" spans="1:36" s="4" customFormat="1">
      <c r="A326" s="49"/>
      <c r="E326" s="4" t="s">
        <v>178</v>
      </c>
      <c r="J326" s="50">
        <f>SUM(J324:J325)</f>
        <v>0</v>
      </c>
      <c r="K326" s="51"/>
      <c r="L326" s="50">
        <f>SUM(L324:L325)</f>
        <v>0</v>
      </c>
      <c r="M326" s="51"/>
      <c r="N326" s="50">
        <f>SUM(N324:N325)</f>
        <v>0</v>
      </c>
      <c r="O326" s="52"/>
      <c r="P326" s="50">
        <f>SUM(P324:P325)</f>
        <v>0</v>
      </c>
      <c r="Q326" s="51"/>
      <c r="R326" s="50">
        <f>SUM(R324:R325)</f>
        <v>0</v>
      </c>
      <c r="S326" s="51"/>
      <c r="T326" s="50">
        <f>SUM(T324:T325)</f>
        <v>0</v>
      </c>
      <c r="U326" s="52"/>
      <c r="V326" s="50">
        <f>SUM(V324:V325)</f>
        <v>0</v>
      </c>
      <c r="W326" s="51"/>
      <c r="X326" s="50">
        <f>SUM(X324:X325)</f>
        <v>0</v>
      </c>
      <c r="Y326" s="51"/>
      <c r="Z326" s="50">
        <f>SUM(Z324:Z325)</f>
        <v>0</v>
      </c>
      <c r="AA326" s="52"/>
      <c r="AB326" s="50">
        <f>SUM(AB324:AB325)</f>
        <v>0</v>
      </c>
      <c r="AC326" s="51"/>
      <c r="AD326" s="50">
        <f>SUM(AD324:AD325)</f>
        <v>0</v>
      </c>
      <c r="AE326" s="51"/>
      <c r="AF326" s="50">
        <f>SUM(AF324:AF325)</f>
        <v>0</v>
      </c>
      <c r="AG326" s="52"/>
      <c r="AH326" s="50">
        <f>SUM(AH324:AH325)</f>
        <v>0</v>
      </c>
    </row>
    <row r="327" spans="1:36">
      <c r="A327" s="10"/>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row>
    <row r="328" spans="1:36" ht="15">
      <c r="A328" s="10"/>
      <c r="B328" s="32"/>
      <c r="C328" s="32"/>
      <c r="D328" s="235"/>
      <c r="E328" s="235"/>
      <c r="F328" s="235"/>
      <c r="G328" s="235"/>
      <c r="M328" s="14"/>
      <c r="O328" s="14"/>
      <c r="S328" s="14"/>
      <c r="U328" s="14"/>
      <c r="Y328" s="14"/>
      <c r="AA328" s="14"/>
      <c r="AE328" s="14"/>
      <c r="AG328" s="14"/>
    </row>
    <row r="329" spans="1:36" ht="15.75">
      <c r="A329" s="10"/>
      <c r="B329" s="32"/>
      <c r="C329" s="32"/>
      <c r="D329" s="236"/>
      <c r="E329" s="236"/>
      <c r="F329" s="235"/>
      <c r="G329" s="236"/>
      <c r="M329" s="14"/>
      <c r="O329" s="14"/>
      <c r="S329" s="14"/>
      <c r="U329" s="14"/>
      <c r="Y329" s="14"/>
      <c r="AA329" s="14"/>
      <c r="AE329" s="14"/>
      <c r="AF329" s="53" t="s">
        <v>179</v>
      </c>
      <c r="AG329" s="54"/>
      <c r="AH329" s="55">
        <f>SUM(J322:AF322)-AH322</f>
        <v>0</v>
      </c>
    </row>
    <row r="330" spans="1:36" s="48" customFormat="1" ht="15">
      <c r="A330" s="10"/>
      <c r="B330" s="32"/>
      <c r="C330" s="32"/>
      <c r="D330" s="236"/>
      <c r="E330" s="236"/>
      <c r="F330" s="236"/>
      <c r="G330" s="236"/>
      <c r="H330" s="1"/>
      <c r="I330" s="1"/>
      <c r="K330" s="1"/>
      <c r="M330" s="14"/>
      <c r="O330" s="14"/>
      <c r="Q330" s="1"/>
      <c r="S330" s="14"/>
      <c r="U330" s="14"/>
      <c r="W330" s="1"/>
      <c r="Y330" s="14"/>
      <c r="AA330" s="14"/>
      <c r="AC330" s="1"/>
      <c r="AE330" s="14"/>
      <c r="AG330" s="14"/>
      <c r="AH330" s="48">
        <f>AH58-AH322</f>
        <v>18496915.760000002</v>
      </c>
      <c r="AI330" s="1"/>
      <c r="AJ330" s="1"/>
    </row>
    <row r="331" spans="1:36" s="48" customFormat="1" ht="15">
      <c r="A331" s="10"/>
      <c r="B331" s="10"/>
      <c r="C331" s="10"/>
      <c r="D331" s="10"/>
      <c r="E331" s="10"/>
      <c r="F331" s="10"/>
      <c r="G331" s="10"/>
      <c r="H331" s="1"/>
      <c r="I331" s="1"/>
      <c r="K331" s="1"/>
      <c r="M331" s="14"/>
      <c r="O331" s="14"/>
      <c r="Q331" s="1"/>
      <c r="S331" s="14"/>
      <c r="U331" s="14"/>
      <c r="W331" s="1"/>
      <c r="Y331" s="14"/>
      <c r="AA331" s="14"/>
      <c r="AC331" s="1"/>
      <c r="AE331" s="14"/>
      <c r="AG331" s="14"/>
      <c r="AJ331" s="1"/>
    </row>
    <row r="332" spans="1:36" s="48" customFormat="1" ht="15">
      <c r="A332" s="10"/>
      <c r="B332" s="32"/>
      <c r="C332" s="32"/>
      <c r="D332" s="235"/>
      <c r="E332" s="235"/>
      <c r="F332" s="235"/>
      <c r="G332" s="235"/>
      <c r="H332" s="1"/>
      <c r="I332" s="1"/>
      <c r="K332" s="1"/>
      <c r="M332" s="14"/>
      <c r="O332" s="14"/>
      <c r="Q332" s="1"/>
      <c r="S332" s="14"/>
      <c r="U332" s="14"/>
      <c r="W332" s="1"/>
      <c r="Y332" s="14"/>
      <c r="AA332" s="14"/>
      <c r="AC332" s="1"/>
      <c r="AE332" s="14"/>
      <c r="AG332" s="14"/>
      <c r="AJ332" s="1"/>
    </row>
    <row r="333" spans="1:36" s="48" customFormat="1" ht="15">
      <c r="A333" s="10"/>
      <c r="B333" s="32"/>
      <c r="C333" s="32"/>
      <c r="D333" s="236"/>
      <c r="E333" s="236"/>
      <c r="F333" s="234"/>
      <c r="G333" s="236"/>
      <c r="H333" s="1"/>
      <c r="I333" s="1"/>
      <c r="K333" s="1"/>
      <c r="M333" s="14"/>
      <c r="O333" s="14"/>
      <c r="Q333" s="1"/>
      <c r="S333" s="14"/>
      <c r="U333" s="14"/>
      <c r="W333" s="1"/>
      <c r="Y333" s="14"/>
      <c r="AA333" s="14"/>
      <c r="AC333" s="1"/>
      <c r="AE333" s="14"/>
      <c r="AG333" s="14"/>
      <c r="AJ333" s="1"/>
    </row>
    <row r="334" spans="1:36" s="48" customFormat="1" ht="15">
      <c r="A334" s="10"/>
      <c r="B334" s="32"/>
      <c r="C334" s="32"/>
      <c r="D334" s="236"/>
      <c r="E334" s="236"/>
      <c r="F334" s="236"/>
      <c r="G334" s="236"/>
      <c r="H334" s="1"/>
      <c r="I334" s="1"/>
      <c r="K334" s="1"/>
      <c r="M334" s="14"/>
      <c r="O334" s="14"/>
      <c r="Q334" s="1"/>
      <c r="S334" s="14"/>
      <c r="U334" s="14"/>
      <c r="W334" s="1"/>
      <c r="Y334" s="14"/>
      <c r="AA334" s="14"/>
      <c r="AC334" s="1"/>
      <c r="AE334" s="14"/>
      <c r="AG334" s="14"/>
      <c r="AJ334" s="1"/>
    </row>
    <row r="335" spans="1:36" s="48" customFormat="1" ht="15">
      <c r="A335" s="10"/>
      <c r="B335" s="10"/>
      <c r="C335" s="10"/>
      <c r="D335" s="10"/>
      <c r="E335" s="10"/>
      <c r="F335" s="10"/>
      <c r="G335" s="10"/>
      <c r="H335" s="1"/>
      <c r="I335" s="1"/>
      <c r="K335" s="1"/>
      <c r="M335" s="14"/>
      <c r="O335" s="14"/>
      <c r="Q335" s="1"/>
      <c r="S335" s="14"/>
      <c r="U335" s="14"/>
      <c r="W335" s="1"/>
      <c r="Y335" s="14"/>
      <c r="AA335" s="14"/>
      <c r="AC335" s="1"/>
      <c r="AE335" s="14"/>
      <c r="AG335" s="14"/>
      <c r="AJ335" s="1"/>
    </row>
    <row r="336" spans="1:36" s="48" customFormat="1" ht="15">
      <c r="A336" s="10"/>
      <c r="B336" s="32"/>
      <c r="C336" s="32"/>
      <c r="D336" s="235"/>
      <c r="E336" s="235"/>
      <c r="F336" s="235"/>
      <c r="G336" s="235"/>
      <c r="H336" s="1"/>
      <c r="I336" s="1"/>
      <c r="K336" s="1"/>
      <c r="M336" s="14"/>
      <c r="O336" s="14"/>
      <c r="Q336" s="1"/>
      <c r="S336" s="14"/>
      <c r="U336" s="14"/>
      <c r="W336" s="1"/>
      <c r="Y336" s="14"/>
      <c r="AA336" s="14"/>
      <c r="AC336" s="1"/>
      <c r="AE336" s="14"/>
      <c r="AG336" s="14"/>
      <c r="AJ336" s="1"/>
    </row>
    <row r="337" spans="1:36" s="48" customFormat="1" ht="15">
      <c r="A337" s="10"/>
      <c r="B337" s="32"/>
      <c r="C337" s="32"/>
      <c r="D337" s="236"/>
      <c r="E337" s="236"/>
      <c r="F337" s="235"/>
      <c r="G337" s="236"/>
      <c r="H337" s="1"/>
      <c r="I337" s="1"/>
      <c r="K337" s="1"/>
      <c r="M337" s="14"/>
      <c r="O337" s="14"/>
      <c r="Q337" s="1"/>
      <c r="S337" s="14"/>
      <c r="U337" s="14"/>
      <c r="W337" s="1"/>
      <c r="Y337" s="14"/>
      <c r="AA337" s="14"/>
      <c r="AC337" s="1"/>
      <c r="AE337" s="14"/>
      <c r="AG337" s="14"/>
      <c r="AJ337" s="1"/>
    </row>
    <row r="338" spans="1:36" s="48" customFormat="1" ht="15">
      <c r="A338" s="10"/>
      <c r="B338" s="1"/>
      <c r="C338" s="1"/>
      <c r="D338" s="236"/>
      <c r="E338" s="236"/>
      <c r="F338" s="236"/>
      <c r="G338" s="236"/>
      <c r="H338" s="1"/>
      <c r="I338" s="1"/>
      <c r="K338" s="1"/>
      <c r="M338" s="14"/>
      <c r="O338" s="14"/>
      <c r="Q338" s="1"/>
      <c r="S338" s="14"/>
      <c r="U338" s="14"/>
      <c r="W338" s="1"/>
      <c r="Y338" s="14"/>
      <c r="AA338" s="14"/>
      <c r="AC338" s="1"/>
      <c r="AE338" s="14"/>
      <c r="AG338" s="14"/>
      <c r="AJ338" s="1"/>
    </row>
    <row r="339" spans="1:36" s="48" customFormat="1" ht="15">
      <c r="A339" s="10"/>
      <c r="B339" s="1"/>
      <c r="C339" s="1"/>
      <c r="D339" s="236"/>
      <c r="E339" s="36"/>
      <c r="F339" s="236"/>
      <c r="G339" s="236"/>
      <c r="H339" s="1"/>
      <c r="I339" s="1"/>
      <c r="K339" s="1"/>
      <c r="M339" s="14"/>
      <c r="O339" s="14"/>
      <c r="Q339" s="1"/>
      <c r="S339" s="14"/>
      <c r="U339" s="14"/>
      <c r="W339" s="1"/>
      <c r="Y339" s="14"/>
      <c r="AA339" s="14"/>
      <c r="AC339" s="1"/>
      <c r="AE339" s="14"/>
      <c r="AG339" s="14"/>
      <c r="AJ339" s="1"/>
    </row>
    <row r="340" spans="1:36" s="48" customFormat="1" ht="15">
      <c r="A340" s="10"/>
      <c r="B340" s="1"/>
      <c r="C340" s="1"/>
      <c r="D340" s="236"/>
      <c r="E340" s="236"/>
      <c r="F340" s="236"/>
      <c r="G340" s="236"/>
      <c r="H340" s="1"/>
      <c r="I340" s="1"/>
      <c r="K340" s="1"/>
      <c r="M340" s="14"/>
      <c r="O340" s="14"/>
      <c r="Q340" s="1"/>
      <c r="S340" s="14"/>
      <c r="U340" s="14"/>
      <c r="W340" s="1"/>
      <c r="Y340" s="14"/>
      <c r="AA340" s="14"/>
      <c r="AC340" s="1"/>
      <c r="AE340" s="14"/>
      <c r="AG340" s="14"/>
      <c r="AJ340" s="1"/>
    </row>
    <row r="341" spans="1:36" s="48" customFormat="1" ht="15">
      <c r="A341" s="10"/>
      <c r="B341" s="10"/>
      <c r="C341" s="10"/>
      <c r="D341" s="10"/>
      <c r="E341" s="10"/>
      <c r="F341" s="10"/>
      <c r="G341" s="10"/>
      <c r="H341" s="1"/>
      <c r="I341" s="1"/>
      <c r="K341" s="1"/>
      <c r="M341" s="14"/>
      <c r="O341" s="14"/>
      <c r="Q341" s="1"/>
      <c r="S341" s="14"/>
      <c r="U341" s="14"/>
      <c r="W341" s="1"/>
      <c r="Y341" s="14"/>
      <c r="AA341" s="14"/>
      <c r="AC341" s="1"/>
      <c r="AE341" s="14"/>
      <c r="AG341" s="14"/>
      <c r="AJ341" s="1"/>
    </row>
    <row r="342" spans="1:36" s="48" customFormat="1" ht="15">
      <c r="A342" s="10"/>
      <c r="B342" s="32"/>
      <c r="C342" s="32"/>
      <c r="D342" s="235"/>
      <c r="E342" s="235"/>
      <c r="F342" s="235"/>
      <c r="G342" s="235"/>
      <c r="H342" s="1"/>
      <c r="I342" s="1"/>
      <c r="K342" s="1"/>
      <c r="M342" s="14"/>
      <c r="O342" s="14"/>
      <c r="Q342" s="1"/>
      <c r="S342" s="14"/>
      <c r="U342" s="14"/>
      <c r="W342" s="1"/>
      <c r="Y342" s="14"/>
      <c r="AA342" s="14"/>
      <c r="AC342" s="1"/>
      <c r="AE342" s="14"/>
      <c r="AG342" s="14"/>
      <c r="AJ342" s="1"/>
    </row>
    <row r="343" spans="1:36" s="48" customFormat="1" ht="15">
      <c r="A343" s="10"/>
      <c r="B343" s="32"/>
      <c r="C343" s="32"/>
      <c r="D343" s="236"/>
      <c r="E343" s="236"/>
      <c r="F343" s="234"/>
      <c r="G343" s="236"/>
      <c r="H343" s="1"/>
      <c r="I343" s="1"/>
      <c r="K343" s="1"/>
      <c r="M343" s="14"/>
      <c r="O343" s="14"/>
      <c r="Q343" s="1"/>
      <c r="S343" s="14"/>
      <c r="U343" s="14"/>
      <c r="W343" s="1"/>
      <c r="Y343" s="14"/>
      <c r="AA343" s="14"/>
      <c r="AC343" s="1"/>
      <c r="AE343" s="14"/>
      <c r="AG343" s="14"/>
      <c r="AJ343" s="1"/>
    </row>
    <row r="344" spans="1:36" s="48" customFormat="1" ht="15">
      <c r="A344" s="10"/>
      <c r="B344" s="1"/>
      <c r="C344" s="1"/>
      <c r="D344" s="236"/>
      <c r="E344" s="236"/>
      <c r="F344" s="236"/>
      <c r="G344" s="236"/>
      <c r="H344" s="1"/>
      <c r="I344" s="1"/>
      <c r="K344" s="1"/>
      <c r="M344" s="14"/>
      <c r="O344" s="14"/>
      <c r="Q344" s="1"/>
      <c r="S344" s="14"/>
      <c r="U344" s="14"/>
      <c r="W344" s="1"/>
      <c r="Y344" s="14"/>
      <c r="AA344" s="14"/>
      <c r="AC344" s="1"/>
      <c r="AE344" s="14"/>
      <c r="AG344" s="14"/>
      <c r="AJ344" s="1"/>
    </row>
    <row r="345" spans="1:36" s="48" customFormat="1" ht="15">
      <c r="A345" s="10"/>
      <c r="B345" s="32"/>
      <c r="C345" s="32"/>
      <c r="D345" s="236"/>
      <c r="E345" s="36"/>
      <c r="F345" s="236"/>
      <c r="G345" s="236"/>
      <c r="H345" s="1"/>
      <c r="I345" s="1"/>
      <c r="K345" s="1"/>
      <c r="M345" s="14"/>
      <c r="O345" s="14"/>
      <c r="Q345" s="1"/>
      <c r="S345" s="14"/>
      <c r="U345" s="14"/>
      <c r="W345" s="1"/>
      <c r="Y345" s="14"/>
      <c r="AA345" s="14"/>
      <c r="AC345" s="1"/>
      <c r="AE345" s="14"/>
      <c r="AG345" s="14"/>
      <c r="AJ345" s="1"/>
    </row>
    <row r="346" spans="1:36" s="48" customFormat="1" ht="15">
      <c r="A346" s="10"/>
      <c r="B346" s="1"/>
      <c r="C346" s="1"/>
      <c r="D346" s="1"/>
      <c r="E346" s="1"/>
      <c r="F346" s="1"/>
      <c r="G346" s="1"/>
      <c r="H346" s="1"/>
      <c r="I346" s="1"/>
      <c r="K346" s="1"/>
      <c r="M346" s="14"/>
      <c r="O346" s="14"/>
      <c r="Q346" s="1"/>
      <c r="S346" s="14"/>
      <c r="U346" s="14"/>
      <c r="W346" s="1"/>
      <c r="Y346" s="14"/>
      <c r="AA346" s="14"/>
      <c r="AC346" s="1"/>
      <c r="AE346" s="14"/>
      <c r="AG346" s="14"/>
      <c r="AJ346" s="1"/>
    </row>
    <row r="347" spans="1:36" s="48" customFormat="1" ht="15">
      <c r="A347" s="10"/>
      <c r="B347" s="10"/>
      <c r="C347" s="10"/>
      <c r="D347" s="10"/>
      <c r="E347" s="10"/>
      <c r="F347" s="10"/>
      <c r="G347" s="10"/>
      <c r="H347" s="1"/>
      <c r="I347" s="1"/>
      <c r="K347" s="1"/>
      <c r="M347" s="14"/>
      <c r="O347" s="14"/>
      <c r="Q347" s="1"/>
      <c r="S347" s="14"/>
      <c r="U347" s="14"/>
      <c r="W347" s="1"/>
      <c r="Y347" s="14"/>
      <c r="AA347" s="14"/>
      <c r="AC347" s="1"/>
      <c r="AE347" s="14"/>
      <c r="AG347" s="14"/>
      <c r="AJ347" s="1"/>
    </row>
    <row r="348" spans="1:36" s="48" customFormat="1" ht="15">
      <c r="A348" s="10"/>
      <c r="B348" s="32"/>
      <c r="C348" s="32"/>
      <c r="D348" s="235"/>
      <c r="E348" s="235"/>
      <c r="F348" s="235"/>
      <c r="G348" s="235"/>
      <c r="H348" s="1"/>
      <c r="I348" s="1"/>
      <c r="K348" s="1"/>
      <c r="M348" s="14"/>
      <c r="O348" s="14"/>
      <c r="Q348" s="1"/>
      <c r="S348" s="14"/>
      <c r="U348" s="14"/>
      <c r="W348" s="1"/>
      <c r="Y348" s="14"/>
      <c r="AA348" s="14"/>
      <c r="AC348" s="1"/>
      <c r="AE348" s="14"/>
      <c r="AG348" s="14"/>
      <c r="AJ348" s="1"/>
    </row>
    <row r="349" spans="1:36" s="48" customFormat="1" ht="15">
      <c r="A349" s="1"/>
      <c r="B349" s="32"/>
      <c r="C349" s="32"/>
      <c r="D349" s="236"/>
      <c r="E349" s="236"/>
      <c r="F349" s="234"/>
      <c r="G349" s="236"/>
      <c r="H349" s="1"/>
      <c r="I349" s="1"/>
      <c r="K349" s="1"/>
      <c r="M349" s="14"/>
      <c r="O349" s="14"/>
      <c r="Q349" s="1"/>
      <c r="S349" s="14"/>
      <c r="U349" s="14"/>
      <c r="W349" s="1"/>
      <c r="Y349" s="14"/>
      <c r="AA349" s="14"/>
      <c r="AC349" s="1"/>
      <c r="AE349" s="14"/>
      <c r="AG349" s="14"/>
      <c r="AJ349" s="1"/>
    </row>
    <row r="350" spans="1:36" s="48" customFormat="1" ht="15">
      <c r="A350" s="1"/>
      <c r="B350" s="32"/>
      <c r="C350" s="32"/>
      <c r="D350" s="236"/>
      <c r="E350" s="236"/>
      <c r="F350" s="236"/>
      <c r="G350" s="236"/>
      <c r="H350" s="1"/>
      <c r="I350" s="1"/>
      <c r="K350" s="1"/>
      <c r="M350" s="14"/>
      <c r="O350" s="14"/>
      <c r="Q350" s="1"/>
      <c r="S350" s="14"/>
      <c r="U350" s="14"/>
      <c r="W350" s="1"/>
      <c r="Y350" s="14"/>
      <c r="AA350" s="14"/>
      <c r="AC350" s="1"/>
      <c r="AE350" s="14"/>
      <c r="AG350" s="14"/>
      <c r="AJ350" s="1"/>
    </row>
    <row r="351" spans="1:36" s="48" customFormat="1" ht="15">
      <c r="A351" s="1"/>
      <c r="B351" s="1"/>
      <c r="C351" s="1"/>
      <c r="D351" s="236"/>
      <c r="E351" s="36"/>
      <c r="F351" s="236"/>
      <c r="G351" s="236"/>
      <c r="H351" s="1"/>
      <c r="I351" s="1"/>
      <c r="K351" s="1"/>
      <c r="M351" s="14"/>
      <c r="O351" s="14"/>
      <c r="Q351" s="1"/>
      <c r="S351" s="14"/>
      <c r="U351" s="14"/>
      <c r="W351" s="1"/>
      <c r="Y351" s="14"/>
      <c r="AA351" s="14"/>
      <c r="AC351" s="1"/>
      <c r="AE351" s="14"/>
      <c r="AG351" s="14"/>
      <c r="AJ351" s="1"/>
    </row>
    <row r="352" spans="1:36" s="48" customFormat="1" ht="15">
      <c r="A352" s="1"/>
      <c r="B352" s="32"/>
      <c r="C352" s="32"/>
      <c r="D352" s="236"/>
      <c r="E352" s="236"/>
      <c r="F352" s="236"/>
      <c r="G352" s="236"/>
      <c r="H352" s="1"/>
      <c r="I352" s="1"/>
      <c r="K352" s="1"/>
      <c r="M352" s="14"/>
      <c r="O352" s="14"/>
      <c r="Q352" s="1"/>
      <c r="S352" s="14"/>
      <c r="U352" s="14"/>
      <c r="W352" s="1"/>
      <c r="Y352" s="14"/>
      <c r="AA352" s="14"/>
      <c r="AC352" s="1"/>
      <c r="AE352" s="14"/>
      <c r="AG352" s="14"/>
      <c r="AJ352" s="1"/>
    </row>
    <row r="353" spans="1:36" s="48" customFormat="1" ht="15">
      <c r="A353" s="10"/>
      <c r="B353" s="39"/>
      <c r="C353" s="10"/>
      <c r="D353" s="10"/>
      <c r="E353" s="10"/>
      <c r="F353" s="10"/>
      <c r="G353" s="10"/>
      <c r="H353" s="1"/>
      <c r="I353" s="1"/>
      <c r="K353" s="1"/>
      <c r="M353" s="14"/>
      <c r="O353" s="14"/>
      <c r="Q353" s="1"/>
      <c r="S353" s="14"/>
      <c r="U353" s="14"/>
      <c r="W353" s="1"/>
      <c r="Y353" s="14"/>
      <c r="AA353" s="14"/>
      <c r="AC353" s="1"/>
      <c r="AE353" s="14"/>
      <c r="AG353" s="14"/>
      <c r="AJ353" s="1"/>
    </row>
    <row r="354" spans="1:36" s="48" customFormat="1" ht="15">
      <c r="A354" s="10"/>
      <c r="B354" s="32"/>
      <c r="C354" s="32"/>
      <c r="D354" s="235"/>
      <c r="E354" s="235"/>
      <c r="F354" s="235"/>
      <c r="G354" s="235"/>
      <c r="H354" s="1"/>
      <c r="I354" s="1"/>
      <c r="K354" s="1"/>
      <c r="M354" s="14"/>
      <c r="O354" s="14"/>
      <c r="Q354" s="1"/>
      <c r="S354" s="14"/>
      <c r="U354" s="14"/>
      <c r="W354" s="1"/>
      <c r="Y354" s="14"/>
      <c r="AA354" s="14"/>
      <c r="AC354" s="1"/>
      <c r="AE354" s="14"/>
      <c r="AG354" s="14"/>
      <c r="AJ354" s="1"/>
    </row>
    <row r="355" spans="1:36" s="48" customFormat="1" ht="15">
      <c r="A355" s="10"/>
      <c r="B355" s="32"/>
      <c r="C355" s="32"/>
      <c r="D355" s="236"/>
      <c r="E355" s="236"/>
      <c r="F355" s="234"/>
      <c r="G355" s="236"/>
      <c r="H355" s="1"/>
      <c r="I355" s="1"/>
      <c r="K355" s="1"/>
      <c r="M355" s="14"/>
      <c r="O355" s="14"/>
      <c r="Q355" s="1"/>
      <c r="S355" s="14"/>
      <c r="U355" s="14"/>
      <c r="W355" s="1"/>
      <c r="Y355" s="14"/>
      <c r="AA355" s="14"/>
      <c r="AC355" s="1"/>
      <c r="AE355" s="14"/>
      <c r="AG355" s="14"/>
      <c r="AJ355" s="1"/>
    </row>
    <row r="356" spans="1:36" s="48" customFormat="1" ht="15">
      <c r="A356" s="1"/>
      <c r="B356" s="32"/>
      <c r="C356" s="32"/>
      <c r="D356" s="236"/>
      <c r="E356" s="236"/>
      <c r="F356" s="236"/>
      <c r="G356" s="236"/>
      <c r="H356" s="1"/>
      <c r="I356" s="1"/>
      <c r="K356" s="1"/>
      <c r="M356" s="14"/>
      <c r="O356" s="14"/>
      <c r="Q356" s="1"/>
      <c r="S356" s="14"/>
      <c r="U356" s="14"/>
      <c r="W356" s="1"/>
      <c r="Y356" s="14"/>
      <c r="AA356" s="14"/>
      <c r="AC356" s="1"/>
      <c r="AE356" s="14"/>
      <c r="AG356" s="14"/>
      <c r="AJ356" s="1"/>
    </row>
    <row r="357" spans="1:36" s="48" customFormat="1" ht="15">
      <c r="A357" s="1"/>
      <c r="B357" s="1"/>
      <c r="C357" s="1"/>
      <c r="D357" s="236"/>
      <c r="E357" s="36"/>
      <c r="F357" s="236"/>
      <c r="G357" s="236"/>
      <c r="H357" s="1"/>
      <c r="I357" s="1"/>
      <c r="K357" s="1"/>
      <c r="M357" s="14"/>
      <c r="O357" s="14"/>
      <c r="Q357" s="1"/>
      <c r="S357" s="14"/>
      <c r="U357" s="14"/>
      <c r="W357" s="1"/>
      <c r="Y357" s="14"/>
      <c r="AA357" s="14"/>
      <c r="AC357" s="1"/>
      <c r="AE357" s="14"/>
      <c r="AG357" s="14"/>
      <c r="AJ357" s="1"/>
    </row>
    <row r="358" spans="1:36" s="48" customFormat="1" ht="15">
      <c r="A358" s="1"/>
      <c r="B358" s="1"/>
      <c r="C358" s="1"/>
      <c r="D358" s="1"/>
      <c r="E358" s="1"/>
      <c r="F358" s="1"/>
      <c r="G358" s="1"/>
      <c r="H358" s="1"/>
      <c r="I358" s="1"/>
      <c r="K358" s="1"/>
      <c r="M358" s="14"/>
      <c r="O358" s="14"/>
      <c r="Q358" s="1"/>
      <c r="S358" s="14"/>
      <c r="U358" s="14"/>
      <c r="W358" s="1"/>
      <c r="Y358" s="14"/>
      <c r="AA358" s="14"/>
      <c r="AC358" s="1"/>
      <c r="AE358" s="14"/>
      <c r="AG358" s="14"/>
      <c r="AJ358" s="1"/>
    </row>
    <row r="359" spans="1:36" s="48" customFormat="1" ht="15">
      <c r="B359" s="1"/>
      <c r="D359" s="1"/>
      <c r="E359" s="1"/>
      <c r="F359" s="1"/>
      <c r="G359" s="1"/>
      <c r="H359" s="1"/>
      <c r="I359" s="1"/>
      <c r="K359" s="1"/>
      <c r="M359" s="14"/>
      <c r="O359" s="14"/>
      <c r="Q359" s="1"/>
      <c r="S359" s="14"/>
      <c r="U359" s="14"/>
      <c r="W359" s="1"/>
      <c r="Y359" s="14"/>
      <c r="AA359" s="14"/>
      <c r="AC359" s="1"/>
      <c r="AE359" s="14"/>
      <c r="AG359" s="14"/>
      <c r="AJ359" s="1"/>
    </row>
    <row r="360" spans="1:36" s="48" customFormat="1" ht="15">
      <c r="B360" s="1"/>
      <c r="D360" s="1"/>
      <c r="E360" s="1"/>
      <c r="F360" s="1"/>
      <c r="G360" s="1"/>
      <c r="H360" s="1"/>
      <c r="I360" s="1"/>
      <c r="K360" s="1"/>
      <c r="M360" s="14"/>
      <c r="O360" s="14"/>
      <c r="Q360" s="1"/>
      <c r="S360" s="14"/>
      <c r="U360" s="14"/>
      <c r="W360" s="1"/>
      <c r="Y360" s="14"/>
      <c r="AA360" s="14"/>
      <c r="AC360" s="1"/>
      <c r="AE360" s="14"/>
      <c r="AG360" s="14"/>
      <c r="AJ360" s="1"/>
    </row>
    <row r="361" spans="1:36" s="48" customFormat="1" ht="15">
      <c r="B361" s="1"/>
      <c r="D361" s="1"/>
      <c r="E361" s="1"/>
      <c r="F361" s="1"/>
      <c r="G361" s="1"/>
      <c r="H361" s="1"/>
      <c r="I361" s="1"/>
      <c r="K361" s="1"/>
      <c r="M361" s="14"/>
      <c r="O361" s="14"/>
      <c r="Q361" s="1"/>
      <c r="S361" s="14"/>
      <c r="U361" s="14"/>
      <c r="W361" s="1"/>
      <c r="Y361" s="14"/>
      <c r="AA361" s="14"/>
      <c r="AC361" s="1"/>
      <c r="AE361" s="14"/>
      <c r="AG361" s="14"/>
      <c r="AJ361" s="1"/>
    </row>
    <row r="362" spans="1:36" s="48" customFormat="1" ht="15">
      <c r="B362" s="1"/>
      <c r="D362" s="1"/>
      <c r="E362" s="1"/>
      <c r="F362" s="1"/>
      <c r="G362" s="1"/>
      <c r="H362" s="1"/>
      <c r="I362" s="1"/>
      <c r="K362" s="1"/>
      <c r="M362" s="14"/>
      <c r="O362" s="14"/>
      <c r="Q362" s="1"/>
      <c r="S362" s="14"/>
      <c r="U362" s="14"/>
      <c r="W362" s="1"/>
      <c r="Y362" s="14"/>
      <c r="AA362" s="14"/>
      <c r="AC362" s="1"/>
      <c r="AE362" s="14"/>
      <c r="AG362" s="14"/>
      <c r="AJ362" s="1"/>
    </row>
    <row r="363" spans="1:36" s="48" customFormat="1" ht="15">
      <c r="B363" s="1"/>
      <c r="D363" s="1"/>
      <c r="E363" s="1"/>
      <c r="F363" s="1"/>
      <c r="G363" s="1"/>
      <c r="H363" s="1"/>
      <c r="I363" s="1"/>
      <c r="K363" s="1"/>
      <c r="M363" s="14"/>
      <c r="O363" s="14"/>
      <c r="Q363" s="1"/>
      <c r="S363" s="14"/>
      <c r="U363" s="14"/>
      <c r="W363" s="1"/>
      <c r="Y363" s="14"/>
      <c r="AA363" s="14"/>
      <c r="AC363" s="1"/>
      <c r="AE363" s="14"/>
      <c r="AG363" s="14"/>
      <c r="AJ363" s="1"/>
    </row>
    <row r="364" spans="1:36" s="48" customFormat="1" ht="15">
      <c r="B364" s="1"/>
      <c r="D364" s="1"/>
      <c r="E364" s="1"/>
      <c r="F364" s="1"/>
      <c r="G364" s="1"/>
      <c r="H364" s="1"/>
      <c r="I364" s="1"/>
      <c r="K364" s="1"/>
      <c r="M364" s="14"/>
      <c r="O364" s="14"/>
      <c r="Q364" s="1"/>
      <c r="S364" s="14"/>
      <c r="U364" s="14"/>
      <c r="W364" s="1"/>
      <c r="Y364" s="14"/>
      <c r="AA364" s="14"/>
      <c r="AC364" s="1"/>
      <c r="AE364" s="14"/>
      <c r="AG364" s="14"/>
      <c r="AJ364" s="1"/>
    </row>
    <row r="365" spans="1:36" s="48" customFormat="1" ht="15">
      <c r="B365" s="1"/>
      <c r="D365" s="1"/>
      <c r="E365" s="1"/>
      <c r="F365" s="1"/>
      <c r="G365" s="1"/>
      <c r="H365" s="1"/>
      <c r="I365" s="1"/>
      <c r="K365" s="1"/>
      <c r="M365" s="14"/>
      <c r="O365" s="14"/>
      <c r="Q365" s="1"/>
      <c r="S365" s="14"/>
      <c r="U365" s="14"/>
      <c r="W365" s="1"/>
      <c r="Y365" s="14"/>
      <c r="AA365" s="14"/>
      <c r="AC365" s="1"/>
      <c r="AE365" s="14"/>
      <c r="AG365" s="14"/>
      <c r="AJ365" s="1"/>
    </row>
    <row r="366" spans="1:36" s="48" customFormat="1" ht="15">
      <c r="D366" s="1"/>
      <c r="E366" s="1"/>
      <c r="F366" s="1"/>
      <c r="G366" s="1"/>
      <c r="H366" s="1"/>
      <c r="I366" s="1"/>
      <c r="K366" s="1"/>
      <c r="M366" s="14"/>
      <c r="O366" s="14"/>
      <c r="Q366" s="1"/>
      <c r="S366" s="14"/>
      <c r="U366" s="14"/>
      <c r="W366" s="1"/>
      <c r="Y366" s="14"/>
      <c r="AA366" s="14"/>
      <c r="AC366" s="1"/>
      <c r="AE366" s="14"/>
      <c r="AG366" s="14"/>
      <c r="AJ366" s="1"/>
    </row>
    <row r="367" spans="1:36" s="48" customFormat="1" ht="15">
      <c r="D367" s="1"/>
      <c r="E367" s="1"/>
      <c r="F367" s="1"/>
      <c r="G367" s="1"/>
      <c r="H367" s="1"/>
      <c r="I367" s="1"/>
      <c r="K367" s="1"/>
      <c r="M367" s="14"/>
      <c r="O367" s="14"/>
      <c r="Q367" s="1"/>
      <c r="S367" s="14"/>
      <c r="U367" s="14"/>
      <c r="W367" s="1"/>
      <c r="Y367" s="14"/>
      <c r="AA367" s="14"/>
      <c r="AC367" s="1"/>
      <c r="AE367" s="14"/>
      <c r="AG367" s="14"/>
      <c r="AJ367" s="1"/>
    </row>
    <row r="368" spans="1:36" s="48" customFormat="1" ht="15">
      <c r="D368" s="1"/>
      <c r="E368" s="1"/>
      <c r="F368" s="1"/>
      <c r="G368" s="1"/>
      <c r="H368" s="1"/>
      <c r="I368" s="1"/>
      <c r="K368" s="1"/>
      <c r="M368" s="14"/>
      <c r="O368" s="14"/>
      <c r="Q368" s="1"/>
      <c r="S368" s="14"/>
      <c r="U368" s="14"/>
      <c r="W368" s="1"/>
      <c r="Y368" s="14"/>
      <c r="AA368" s="14"/>
      <c r="AC368" s="1"/>
      <c r="AE368" s="14"/>
      <c r="AG368" s="14"/>
      <c r="AJ368" s="1"/>
    </row>
    <row r="369" spans="4:36" s="48" customFormat="1" ht="15">
      <c r="D369" s="1"/>
      <c r="E369" s="1"/>
      <c r="F369" s="1"/>
      <c r="G369" s="1"/>
      <c r="H369" s="1"/>
      <c r="I369" s="1"/>
      <c r="K369" s="1"/>
      <c r="M369" s="14"/>
      <c r="O369" s="14"/>
      <c r="Q369" s="1"/>
      <c r="S369" s="14"/>
      <c r="U369" s="14"/>
      <c r="W369" s="1"/>
      <c r="Y369" s="14"/>
      <c r="AA369" s="14"/>
      <c r="AC369" s="1"/>
      <c r="AE369" s="14"/>
      <c r="AG369" s="14"/>
      <c r="AJ369" s="1"/>
    </row>
    <row r="370" spans="4:36" s="48" customFormat="1" ht="15">
      <c r="D370" s="1"/>
      <c r="E370" s="1"/>
      <c r="F370" s="1"/>
      <c r="G370" s="1"/>
      <c r="H370" s="1"/>
      <c r="I370" s="1"/>
      <c r="K370" s="1"/>
      <c r="M370" s="14"/>
      <c r="O370" s="14"/>
      <c r="Q370" s="1"/>
      <c r="S370" s="14"/>
      <c r="U370" s="14"/>
      <c r="W370" s="1"/>
      <c r="Y370" s="14"/>
      <c r="AA370" s="14"/>
      <c r="AC370" s="1"/>
      <c r="AE370" s="14"/>
      <c r="AG370" s="14"/>
      <c r="AJ370" s="1"/>
    </row>
    <row r="371" spans="4:36" s="48" customFormat="1" ht="15">
      <c r="D371" s="1"/>
      <c r="E371" s="1"/>
      <c r="F371" s="1"/>
      <c r="G371" s="1"/>
      <c r="H371" s="1"/>
      <c r="I371" s="1"/>
      <c r="K371" s="1"/>
      <c r="M371" s="14"/>
      <c r="O371" s="14"/>
      <c r="Q371" s="1"/>
      <c r="S371" s="14"/>
      <c r="U371" s="14"/>
      <c r="W371" s="1"/>
      <c r="Y371" s="14"/>
      <c r="AA371" s="14"/>
      <c r="AC371" s="1"/>
      <c r="AE371" s="14"/>
      <c r="AG371" s="14"/>
      <c r="AJ371" s="1"/>
    </row>
    <row r="372" spans="4:36" s="48" customFormat="1" ht="15">
      <c r="D372" s="1"/>
      <c r="E372" s="1"/>
      <c r="F372" s="1"/>
      <c r="G372" s="1"/>
      <c r="H372" s="1"/>
      <c r="I372" s="1"/>
      <c r="K372" s="1"/>
      <c r="M372" s="14"/>
      <c r="O372" s="14"/>
      <c r="Q372" s="1"/>
      <c r="S372" s="14"/>
      <c r="U372" s="14"/>
      <c r="W372" s="1"/>
      <c r="Y372" s="14"/>
      <c r="AA372" s="14"/>
      <c r="AC372" s="1"/>
      <c r="AE372" s="14"/>
      <c r="AG372" s="14"/>
      <c r="AJ372" s="1"/>
    </row>
    <row r="373" spans="4:36" s="48" customFormat="1" ht="15">
      <c r="D373" s="1"/>
      <c r="E373" s="1"/>
      <c r="F373" s="1"/>
      <c r="G373" s="1"/>
      <c r="H373" s="1"/>
      <c r="I373" s="1"/>
      <c r="K373" s="1"/>
      <c r="M373" s="14"/>
      <c r="O373" s="14"/>
      <c r="Q373" s="1"/>
      <c r="S373" s="14"/>
      <c r="U373" s="14"/>
      <c r="W373" s="1"/>
      <c r="Y373" s="14"/>
      <c r="AA373" s="14"/>
      <c r="AC373" s="1"/>
      <c r="AE373" s="14"/>
      <c r="AG373" s="14"/>
      <c r="AJ373" s="1"/>
    </row>
    <row r="374" spans="4:36" s="48" customFormat="1" ht="15">
      <c r="D374" s="1"/>
      <c r="E374" s="1"/>
      <c r="F374" s="1"/>
      <c r="G374" s="1"/>
      <c r="H374" s="1"/>
      <c r="I374" s="1"/>
      <c r="K374" s="1"/>
      <c r="M374" s="14"/>
      <c r="O374" s="14"/>
      <c r="Q374" s="1"/>
      <c r="S374" s="14"/>
      <c r="U374" s="14"/>
      <c r="W374" s="1"/>
      <c r="Y374" s="14"/>
      <c r="AA374" s="14"/>
      <c r="AC374" s="1"/>
      <c r="AE374" s="14"/>
      <c r="AG374" s="14"/>
      <c r="AJ374" s="1"/>
    </row>
    <row r="375" spans="4:36" s="48" customFormat="1" ht="15">
      <c r="D375" s="1"/>
      <c r="E375" s="1"/>
      <c r="F375" s="1"/>
      <c r="G375" s="1"/>
      <c r="H375" s="1"/>
      <c r="I375" s="1"/>
      <c r="K375" s="1"/>
      <c r="M375" s="14"/>
      <c r="O375" s="14"/>
      <c r="Q375" s="1"/>
      <c r="S375" s="14"/>
      <c r="U375" s="14"/>
      <c r="W375" s="1"/>
      <c r="Y375" s="14"/>
      <c r="AA375" s="14"/>
      <c r="AC375" s="1"/>
      <c r="AE375" s="14"/>
      <c r="AG375" s="14"/>
      <c r="AJ375" s="1"/>
    </row>
    <row r="376" spans="4:36" s="48" customFormat="1" ht="15">
      <c r="D376" s="1"/>
      <c r="E376" s="1"/>
      <c r="F376" s="1"/>
      <c r="G376" s="1"/>
      <c r="H376" s="1"/>
      <c r="I376" s="1"/>
      <c r="K376" s="1"/>
      <c r="M376" s="14"/>
      <c r="O376" s="14"/>
      <c r="Q376" s="1"/>
      <c r="S376" s="14"/>
      <c r="U376" s="14"/>
      <c r="W376" s="1"/>
      <c r="Y376" s="14"/>
      <c r="AA376" s="14"/>
      <c r="AC376" s="1"/>
      <c r="AE376" s="14"/>
      <c r="AG376" s="14"/>
      <c r="AJ376" s="1"/>
    </row>
    <row r="377" spans="4:36" s="48" customFormat="1" ht="15">
      <c r="D377" s="1"/>
      <c r="E377" s="1"/>
      <c r="F377" s="1"/>
      <c r="G377" s="1"/>
      <c r="H377" s="1"/>
      <c r="I377" s="1"/>
      <c r="K377" s="1"/>
      <c r="M377" s="14"/>
      <c r="O377" s="14"/>
      <c r="Q377" s="1"/>
      <c r="S377" s="14"/>
      <c r="U377" s="14"/>
      <c r="W377" s="1"/>
      <c r="Y377" s="14"/>
      <c r="AA377" s="14"/>
      <c r="AC377" s="1"/>
      <c r="AE377" s="14"/>
      <c r="AG377" s="14"/>
      <c r="AJ377" s="1"/>
    </row>
    <row r="378" spans="4:36" s="48" customFormat="1" ht="15">
      <c r="D378" s="1"/>
      <c r="E378" s="1"/>
      <c r="F378" s="1"/>
      <c r="G378" s="1"/>
      <c r="H378" s="1"/>
      <c r="I378" s="1"/>
      <c r="K378" s="1"/>
      <c r="M378" s="14"/>
      <c r="O378" s="14"/>
      <c r="Q378" s="1"/>
      <c r="S378" s="14"/>
      <c r="U378" s="14"/>
      <c r="W378" s="1"/>
      <c r="Y378" s="14"/>
      <c r="AA378" s="14"/>
      <c r="AC378" s="1"/>
      <c r="AE378" s="14"/>
      <c r="AG378" s="14"/>
      <c r="AJ378" s="1"/>
    </row>
    <row r="379" spans="4:36" s="48" customFormat="1" ht="15">
      <c r="D379" s="1"/>
      <c r="E379" s="1"/>
      <c r="F379" s="1"/>
      <c r="G379" s="1"/>
      <c r="H379" s="1"/>
      <c r="I379" s="1"/>
      <c r="K379" s="1"/>
      <c r="M379" s="14"/>
      <c r="O379" s="14"/>
      <c r="Q379" s="1"/>
      <c r="S379" s="14"/>
      <c r="U379" s="14"/>
      <c r="W379" s="1"/>
      <c r="Y379" s="14"/>
      <c r="AA379" s="14"/>
      <c r="AC379" s="1"/>
      <c r="AE379" s="14"/>
      <c r="AG379" s="14"/>
      <c r="AJ379" s="1"/>
    </row>
    <row r="380" spans="4:36" s="48" customFormat="1" ht="15">
      <c r="D380" s="1"/>
      <c r="E380" s="1"/>
      <c r="F380" s="1"/>
      <c r="G380" s="1"/>
      <c r="H380" s="1"/>
      <c r="I380" s="1"/>
      <c r="K380" s="1"/>
      <c r="M380" s="14"/>
      <c r="O380" s="14"/>
      <c r="Q380" s="1"/>
      <c r="S380" s="14"/>
      <c r="U380" s="14"/>
      <c r="W380" s="1"/>
      <c r="Y380" s="14"/>
      <c r="AA380" s="14"/>
      <c r="AC380" s="1"/>
      <c r="AE380" s="14"/>
      <c r="AG380" s="14"/>
      <c r="AJ380" s="1"/>
    </row>
    <row r="381" spans="4:36" s="48" customFormat="1" ht="15">
      <c r="D381" s="1"/>
      <c r="E381" s="1"/>
      <c r="F381" s="1"/>
      <c r="G381" s="1"/>
      <c r="H381" s="1"/>
      <c r="I381" s="1"/>
      <c r="K381" s="1"/>
      <c r="M381" s="14"/>
      <c r="O381" s="14"/>
      <c r="Q381" s="1"/>
      <c r="S381" s="14"/>
      <c r="U381" s="14"/>
      <c r="W381" s="1"/>
      <c r="Y381" s="14"/>
      <c r="AA381" s="14"/>
      <c r="AC381" s="1"/>
      <c r="AE381" s="14"/>
      <c r="AG381" s="14"/>
      <c r="AJ381" s="1"/>
    </row>
    <row r="382" spans="4:36" s="48" customFormat="1" ht="15">
      <c r="D382" s="1"/>
      <c r="E382" s="1"/>
      <c r="F382" s="1"/>
      <c r="G382" s="1"/>
      <c r="H382" s="1"/>
      <c r="I382" s="1"/>
      <c r="K382" s="1"/>
      <c r="M382" s="14"/>
      <c r="O382" s="14"/>
      <c r="Q382" s="1"/>
      <c r="S382" s="14"/>
      <c r="U382" s="14"/>
      <c r="W382" s="1"/>
      <c r="Y382" s="14"/>
      <c r="AA382" s="14"/>
      <c r="AC382" s="1"/>
      <c r="AE382" s="14"/>
      <c r="AG382" s="14"/>
      <c r="AJ382" s="1"/>
    </row>
    <row r="383" spans="4:36" s="48" customFormat="1" ht="15">
      <c r="D383" s="1"/>
      <c r="E383" s="1"/>
      <c r="F383" s="1"/>
      <c r="G383" s="1"/>
      <c r="H383" s="1"/>
      <c r="I383" s="1"/>
      <c r="K383" s="1"/>
      <c r="M383" s="14"/>
      <c r="O383" s="14"/>
      <c r="Q383" s="1"/>
      <c r="S383" s="14"/>
      <c r="U383" s="14"/>
      <c r="W383" s="1"/>
      <c r="Y383" s="14"/>
      <c r="AA383" s="14"/>
      <c r="AC383" s="1"/>
      <c r="AE383" s="14"/>
      <c r="AG383" s="14"/>
      <c r="AJ383" s="1"/>
    </row>
    <row r="384" spans="4:36" s="48" customFormat="1" ht="15">
      <c r="D384" s="1"/>
      <c r="E384" s="1"/>
      <c r="F384" s="1"/>
      <c r="G384" s="1"/>
      <c r="H384" s="1"/>
      <c r="I384" s="1"/>
      <c r="K384" s="1"/>
      <c r="M384" s="14"/>
      <c r="O384" s="14"/>
      <c r="Q384" s="1"/>
      <c r="S384" s="14"/>
      <c r="U384" s="14"/>
      <c r="W384" s="1"/>
      <c r="Y384" s="14"/>
      <c r="AA384" s="14"/>
      <c r="AC384" s="1"/>
      <c r="AE384" s="14"/>
      <c r="AG384" s="14"/>
      <c r="AJ384" s="1"/>
    </row>
    <row r="385" spans="4:36" s="48" customFormat="1" ht="15">
      <c r="D385" s="1"/>
      <c r="E385" s="1"/>
      <c r="F385" s="1"/>
      <c r="G385" s="1"/>
      <c r="H385" s="1"/>
      <c r="I385" s="1"/>
      <c r="K385" s="1"/>
      <c r="M385" s="14"/>
      <c r="O385" s="14"/>
      <c r="Q385" s="1"/>
      <c r="S385" s="14"/>
      <c r="U385" s="14"/>
      <c r="W385" s="1"/>
      <c r="Y385" s="14"/>
      <c r="AA385" s="14"/>
      <c r="AC385" s="1"/>
      <c r="AE385" s="14"/>
      <c r="AG385" s="14"/>
      <c r="AJ385" s="1"/>
    </row>
    <row r="386" spans="4:36" s="48" customFormat="1" ht="15">
      <c r="D386" s="1"/>
      <c r="E386" s="1"/>
      <c r="F386" s="1"/>
      <c r="G386" s="1"/>
      <c r="H386" s="1"/>
      <c r="I386" s="1"/>
      <c r="K386" s="1"/>
      <c r="M386" s="14"/>
      <c r="O386" s="14"/>
      <c r="Q386" s="1"/>
      <c r="S386" s="14"/>
      <c r="U386" s="14"/>
      <c r="W386" s="1"/>
      <c r="Y386" s="14"/>
      <c r="AA386" s="14"/>
      <c r="AC386" s="1"/>
      <c r="AE386" s="14"/>
      <c r="AG386" s="14"/>
      <c r="AJ386" s="1"/>
    </row>
    <row r="387" spans="4:36" s="48" customFormat="1" ht="15">
      <c r="D387" s="1"/>
      <c r="E387" s="1"/>
      <c r="F387" s="1"/>
      <c r="G387" s="1"/>
      <c r="H387" s="1"/>
      <c r="I387" s="1"/>
      <c r="K387" s="1"/>
      <c r="M387" s="14"/>
      <c r="O387" s="14"/>
      <c r="Q387" s="1"/>
      <c r="S387" s="14"/>
      <c r="U387" s="14"/>
      <c r="W387" s="1"/>
      <c r="Y387" s="14"/>
      <c r="AA387" s="14"/>
      <c r="AC387" s="1"/>
      <c r="AE387" s="14"/>
      <c r="AG387" s="14"/>
      <c r="AJ387" s="1"/>
    </row>
    <row r="388" spans="4:36" s="48" customFormat="1" ht="15">
      <c r="D388" s="1"/>
      <c r="E388" s="1"/>
      <c r="F388" s="1"/>
      <c r="G388" s="1"/>
      <c r="H388" s="1"/>
      <c r="I388" s="1"/>
      <c r="K388" s="1"/>
      <c r="M388" s="14"/>
      <c r="O388" s="14"/>
      <c r="Q388" s="1"/>
      <c r="S388" s="14"/>
      <c r="U388" s="14"/>
      <c r="W388" s="1"/>
      <c r="Y388" s="14"/>
      <c r="AA388" s="14"/>
      <c r="AC388" s="1"/>
      <c r="AE388" s="14"/>
      <c r="AG388" s="14"/>
      <c r="AJ388" s="1"/>
    </row>
    <row r="389" spans="4:36" s="48" customFormat="1" ht="15">
      <c r="D389" s="1"/>
      <c r="E389" s="1"/>
      <c r="F389" s="1"/>
      <c r="G389" s="1"/>
      <c r="H389" s="1"/>
      <c r="I389" s="1"/>
      <c r="K389" s="1"/>
      <c r="M389" s="14"/>
      <c r="O389" s="14"/>
      <c r="Q389" s="1"/>
      <c r="S389" s="14"/>
      <c r="U389" s="14"/>
      <c r="W389" s="1"/>
      <c r="Y389" s="14"/>
      <c r="AA389" s="14"/>
      <c r="AC389" s="1"/>
      <c r="AE389" s="14"/>
      <c r="AG389" s="14"/>
      <c r="AJ389" s="1"/>
    </row>
    <row r="390" spans="4:36" s="48" customFormat="1" ht="15">
      <c r="D390" s="1"/>
      <c r="E390" s="1"/>
      <c r="F390" s="1"/>
      <c r="G390" s="1"/>
      <c r="H390" s="1"/>
      <c r="I390" s="1"/>
      <c r="K390" s="1"/>
      <c r="M390" s="14"/>
      <c r="O390" s="14"/>
      <c r="Q390" s="1"/>
      <c r="S390" s="14"/>
      <c r="U390" s="14"/>
      <c r="W390" s="1"/>
      <c r="Y390" s="14"/>
      <c r="AA390" s="14"/>
      <c r="AC390" s="1"/>
      <c r="AE390" s="14"/>
      <c r="AG390" s="14"/>
      <c r="AJ390" s="1"/>
    </row>
    <row r="391" spans="4:36" s="48" customFormat="1" ht="15">
      <c r="D391" s="1"/>
      <c r="E391" s="1"/>
      <c r="F391" s="1"/>
      <c r="G391" s="1"/>
      <c r="H391" s="1"/>
      <c r="I391" s="1"/>
      <c r="K391" s="1"/>
      <c r="M391" s="14"/>
      <c r="O391" s="14"/>
      <c r="Q391" s="1"/>
      <c r="S391" s="14"/>
      <c r="U391" s="14"/>
      <c r="W391" s="1"/>
      <c r="Y391" s="14"/>
      <c r="AA391" s="14"/>
      <c r="AC391" s="1"/>
      <c r="AE391" s="14"/>
      <c r="AG391" s="14"/>
      <c r="AJ391" s="1"/>
    </row>
    <row r="392" spans="4:36" s="48" customFormat="1" ht="15">
      <c r="D392" s="1"/>
      <c r="E392" s="1"/>
      <c r="F392" s="1"/>
      <c r="G392" s="1"/>
      <c r="H392" s="1"/>
      <c r="I392" s="1"/>
      <c r="K392" s="1"/>
      <c r="M392" s="14"/>
      <c r="O392" s="14"/>
      <c r="Q392" s="1"/>
      <c r="S392" s="14"/>
      <c r="U392" s="14"/>
      <c r="W392" s="1"/>
      <c r="Y392" s="14"/>
      <c r="AA392" s="14"/>
      <c r="AC392" s="1"/>
      <c r="AE392" s="14"/>
      <c r="AG392" s="14"/>
      <c r="AJ392" s="1"/>
    </row>
    <row r="393" spans="4:36" s="48" customFormat="1" ht="15">
      <c r="D393" s="1"/>
      <c r="E393" s="1"/>
      <c r="F393" s="1"/>
      <c r="G393" s="1"/>
      <c r="H393" s="1"/>
      <c r="I393" s="1"/>
      <c r="K393" s="1"/>
      <c r="M393" s="14"/>
      <c r="O393" s="14"/>
      <c r="Q393" s="1"/>
      <c r="S393" s="14"/>
      <c r="U393" s="14"/>
      <c r="W393" s="1"/>
      <c r="Y393" s="14"/>
      <c r="AA393" s="14"/>
      <c r="AC393" s="1"/>
      <c r="AE393" s="14"/>
      <c r="AG393" s="14"/>
      <c r="AJ393" s="1"/>
    </row>
    <row r="394" spans="4:36" s="48" customFormat="1" ht="15">
      <c r="D394" s="1"/>
      <c r="E394" s="1"/>
      <c r="F394" s="1"/>
      <c r="G394" s="1"/>
      <c r="H394" s="1"/>
      <c r="I394" s="1"/>
      <c r="K394" s="1"/>
      <c r="M394" s="14"/>
      <c r="O394" s="14"/>
      <c r="Q394" s="1"/>
      <c r="S394" s="14"/>
      <c r="U394" s="14"/>
      <c r="W394" s="1"/>
      <c r="Y394" s="14"/>
      <c r="AA394" s="14"/>
      <c r="AC394" s="1"/>
      <c r="AE394" s="14"/>
      <c r="AG394" s="14"/>
      <c r="AJ394" s="1"/>
    </row>
    <row r="395" spans="4:36" s="48" customFormat="1" ht="15">
      <c r="D395" s="1"/>
      <c r="E395" s="1"/>
      <c r="F395" s="1"/>
      <c r="G395" s="1"/>
      <c r="H395" s="1"/>
      <c r="I395" s="1"/>
      <c r="K395" s="1"/>
      <c r="M395" s="14"/>
      <c r="O395" s="14"/>
      <c r="Q395" s="1"/>
      <c r="S395" s="14"/>
      <c r="U395" s="14"/>
      <c r="W395" s="1"/>
      <c r="Y395" s="14"/>
      <c r="AA395" s="14"/>
      <c r="AC395" s="1"/>
      <c r="AE395" s="14"/>
      <c r="AG395" s="14"/>
      <c r="AJ395" s="1"/>
    </row>
    <row r="396" spans="4:36" s="48" customFormat="1" ht="15">
      <c r="D396" s="1"/>
      <c r="E396" s="1"/>
      <c r="F396" s="1"/>
      <c r="G396" s="1"/>
      <c r="H396" s="1"/>
      <c r="I396" s="1"/>
      <c r="K396" s="1"/>
      <c r="M396" s="14"/>
      <c r="O396" s="14"/>
      <c r="Q396" s="1"/>
      <c r="S396" s="14"/>
      <c r="U396" s="14"/>
      <c r="W396" s="1"/>
      <c r="Y396" s="14"/>
      <c r="AA396" s="14"/>
      <c r="AC396" s="1"/>
      <c r="AE396" s="14"/>
      <c r="AG396" s="14"/>
      <c r="AJ396" s="1"/>
    </row>
    <row r="397" spans="4:36" s="48" customFormat="1" ht="15">
      <c r="D397" s="1"/>
      <c r="E397" s="1"/>
      <c r="F397" s="1"/>
      <c r="G397" s="1"/>
      <c r="H397" s="1"/>
      <c r="I397" s="1"/>
      <c r="K397" s="1"/>
      <c r="M397" s="14"/>
      <c r="O397" s="14"/>
      <c r="Q397" s="1"/>
      <c r="S397" s="14"/>
      <c r="U397" s="14"/>
      <c r="W397" s="1"/>
      <c r="Y397" s="14"/>
      <c r="AA397" s="14"/>
      <c r="AC397" s="1"/>
      <c r="AE397" s="14"/>
      <c r="AG397" s="14"/>
      <c r="AJ397" s="1"/>
    </row>
    <row r="398" spans="4:36" s="48" customFormat="1" ht="15">
      <c r="D398" s="1"/>
      <c r="E398" s="1"/>
      <c r="F398" s="1"/>
      <c r="G398" s="1"/>
      <c r="H398" s="1"/>
      <c r="I398" s="1"/>
      <c r="K398" s="1"/>
      <c r="M398" s="14"/>
      <c r="O398" s="14"/>
      <c r="Q398" s="1"/>
      <c r="S398" s="14"/>
      <c r="U398" s="14"/>
      <c r="W398" s="1"/>
      <c r="Y398" s="14"/>
      <c r="AA398" s="14"/>
      <c r="AC398" s="1"/>
      <c r="AE398" s="14"/>
      <c r="AG398" s="14"/>
      <c r="AJ398" s="1"/>
    </row>
    <row r="399" spans="4:36" s="48" customFormat="1" ht="15">
      <c r="D399" s="1"/>
      <c r="E399" s="1"/>
      <c r="F399" s="1"/>
      <c r="G399" s="1"/>
      <c r="H399" s="1"/>
      <c r="I399" s="1"/>
      <c r="K399" s="1"/>
      <c r="M399" s="14"/>
      <c r="O399" s="14"/>
      <c r="Q399" s="1"/>
      <c r="S399" s="14"/>
      <c r="U399" s="14"/>
      <c r="W399" s="1"/>
      <c r="Y399" s="14"/>
      <c r="AA399" s="14"/>
      <c r="AC399" s="1"/>
      <c r="AE399" s="14"/>
      <c r="AG399" s="14"/>
      <c r="AJ399" s="1"/>
    </row>
    <row r="400" spans="4:36" s="48" customFormat="1" ht="15">
      <c r="D400" s="1"/>
      <c r="E400" s="1"/>
      <c r="F400" s="1"/>
      <c r="G400" s="1"/>
      <c r="H400" s="1"/>
      <c r="I400" s="1"/>
      <c r="K400" s="1"/>
      <c r="M400" s="14"/>
      <c r="O400" s="14"/>
      <c r="Q400" s="1"/>
      <c r="S400" s="14"/>
      <c r="U400" s="14"/>
      <c r="W400" s="1"/>
      <c r="Y400" s="14"/>
      <c r="AA400" s="14"/>
      <c r="AC400" s="1"/>
      <c r="AE400" s="14"/>
      <c r="AG400" s="14"/>
      <c r="AJ400" s="1"/>
    </row>
    <row r="401" spans="4:36" s="48" customFormat="1" ht="15">
      <c r="D401" s="1"/>
      <c r="E401" s="1"/>
      <c r="F401" s="1"/>
      <c r="G401" s="1"/>
      <c r="H401" s="1"/>
      <c r="I401" s="1"/>
      <c r="K401" s="1"/>
      <c r="M401" s="14"/>
      <c r="O401" s="14"/>
      <c r="Q401" s="1"/>
      <c r="S401" s="14"/>
      <c r="U401" s="14"/>
      <c r="W401" s="1"/>
      <c r="Y401" s="14"/>
      <c r="AA401" s="14"/>
      <c r="AC401" s="1"/>
      <c r="AE401" s="14"/>
      <c r="AG401" s="14"/>
      <c r="AJ401" s="1"/>
    </row>
    <row r="402" spans="4:36" s="48" customFormat="1" ht="15">
      <c r="D402" s="1"/>
      <c r="E402" s="1"/>
      <c r="F402" s="1"/>
      <c r="G402" s="1"/>
      <c r="H402" s="1"/>
      <c r="I402" s="1"/>
      <c r="K402" s="1"/>
      <c r="M402" s="14"/>
      <c r="O402" s="14"/>
      <c r="Q402" s="1"/>
      <c r="S402" s="14"/>
      <c r="U402" s="14"/>
      <c r="W402" s="1"/>
      <c r="Y402" s="14"/>
      <c r="AA402" s="14"/>
      <c r="AC402" s="1"/>
      <c r="AE402" s="14"/>
      <c r="AG402" s="14"/>
      <c r="AJ402" s="1"/>
    </row>
    <row r="403" spans="4:36" s="48" customFormat="1" ht="15">
      <c r="D403" s="1"/>
      <c r="E403" s="1"/>
      <c r="F403" s="1"/>
      <c r="G403" s="1"/>
      <c r="H403" s="1"/>
      <c r="I403" s="1"/>
      <c r="K403" s="1"/>
      <c r="M403" s="14"/>
      <c r="O403" s="14"/>
      <c r="Q403" s="1"/>
      <c r="S403" s="14"/>
      <c r="U403" s="14"/>
      <c r="W403" s="1"/>
      <c r="Y403" s="14"/>
      <c r="AA403" s="14"/>
      <c r="AC403" s="1"/>
      <c r="AE403" s="14"/>
      <c r="AG403" s="14"/>
      <c r="AJ403" s="1"/>
    </row>
    <row r="404" spans="4:36" s="48" customFormat="1" ht="15">
      <c r="D404" s="1"/>
      <c r="E404" s="1"/>
      <c r="F404" s="1"/>
      <c r="G404" s="1"/>
      <c r="H404" s="1"/>
      <c r="I404" s="1"/>
      <c r="K404" s="1"/>
      <c r="M404" s="14"/>
      <c r="O404" s="14"/>
      <c r="Q404" s="1"/>
      <c r="S404" s="14"/>
      <c r="U404" s="14"/>
      <c r="W404" s="1"/>
      <c r="Y404" s="14"/>
      <c r="AA404" s="14"/>
      <c r="AC404" s="1"/>
      <c r="AE404" s="14"/>
      <c r="AG404" s="14"/>
      <c r="AJ404" s="1"/>
    </row>
    <row r="405" spans="4:36" s="48" customFormat="1" ht="15">
      <c r="D405" s="1"/>
      <c r="E405" s="1"/>
      <c r="F405" s="1"/>
      <c r="G405" s="1"/>
      <c r="H405" s="1"/>
      <c r="I405" s="1"/>
      <c r="K405" s="1"/>
      <c r="M405" s="14"/>
      <c r="O405" s="14"/>
      <c r="Q405" s="1"/>
      <c r="S405" s="14"/>
      <c r="U405" s="14"/>
      <c r="W405" s="1"/>
      <c r="Y405" s="14"/>
      <c r="AA405" s="14"/>
      <c r="AC405" s="1"/>
      <c r="AE405" s="14"/>
      <c r="AG405" s="14"/>
      <c r="AJ405" s="1"/>
    </row>
    <row r="406" spans="4:36" s="48" customFormat="1" ht="15">
      <c r="D406" s="1"/>
      <c r="E406" s="1"/>
      <c r="F406" s="1"/>
      <c r="G406" s="1"/>
      <c r="H406" s="1"/>
      <c r="I406" s="1"/>
      <c r="K406" s="1"/>
      <c r="M406" s="14"/>
      <c r="O406" s="14"/>
      <c r="Q406" s="1"/>
      <c r="S406" s="14"/>
      <c r="U406" s="14"/>
      <c r="W406" s="1"/>
      <c r="Y406" s="14"/>
      <c r="AA406" s="14"/>
      <c r="AC406" s="1"/>
      <c r="AE406" s="14"/>
      <c r="AG406" s="14"/>
      <c r="AJ406" s="1"/>
    </row>
    <row r="407" spans="4:36" s="48" customFormat="1" ht="15">
      <c r="D407" s="1"/>
      <c r="E407" s="1"/>
      <c r="F407" s="1"/>
      <c r="G407" s="1"/>
      <c r="H407" s="1"/>
      <c r="I407" s="1"/>
      <c r="K407" s="1"/>
      <c r="M407" s="14"/>
      <c r="O407" s="14"/>
      <c r="Q407" s="1"/>
      <c r="S407" s="14"/>
      <c r="U407" s="14"/>
      <c r="W407" s="1"/>
      <c r="Y407" s="14"/>
      <c r="AA407" s="14"/>
      <c r="AC407" s="1"/>
      <c r="AE407" s="14"/>
      <c r="AG407" s="14"/>
      <c r="AJ407" s="1"/>
    </row>
    <row r="408" spans="4:36" s="48" customFormat="1" ht="15">
      <c r="D408" s="1"/>
      <c r="E408" s="1"/>
      <c r="F408" s="1"/>
      <c r="G408" s="1"/>
      <c r="H408" s="1"/>
      <c r="I408" s="1"/>
      <c r="K408" s="1"/>
      <c r="M408" s="14"/>
      <c r="O408" s="14"/>
      <c r="Q408" s="1"/>
      <c r="S408" s="14"/>
      <c r="U408" s="14"/>
      <c r="W408" s="1"/>
      <c r="Y408" s="14"/>
      <c r="AA408" s="14"/>
      <c r="AC408" s="1"/>
      <c r="AE408" s="14"/>
      <c r="AG408" s="14"/>
      <c r="AJ408" s="1"/>
    </row>
    <row r="409" spans="4:36" s="48" customFormat="1" ht="15">
      <c r="D409" s="1"/>
      <c r="E409" s="1"/>
      <c r="F409" s="1"/>
      <c r="G409" s="1"/>
      <c r="H409" s="1"/>
      <c r="I409" s="1"/>
      <c r="K409" s="1"/>
      <c r="M409" s="14"/>
      <c r="O409" s="14"/>
      <c r="Q409" s="1"/>
      <c r="S409" s="14"/>
      <c r="U409" s="14"/>
      <c r="W409" s="1"/>
      <c r="Y409" s="14"/>
      <c r="AA409" s="14"/>
      <c r="AC409" s="1"/>
      <c r="AE409" s="14"/>
      <c r="AG409" s="14"/>
      <c r="AJ409" s="1"/>
    </row>
    <row r="410" spans="4:36" s="48" customFormat="1" ht="15">
      <c r="D410" s="1"/>
      <c r="E410" s="1"/>
      <c r="F410" s="1"/>
      <c r="G410" s="1"/>
      <c r="H410" s="1"/>
      <c r="I410" s="1"/>
      <c r="K410" s="1"/>
      <c r="M410" s="14"/>
      <c r="O410" s="14"/>
      <c r="Q410" s="1"/>
      <c r="S410" s="14"/>
      <c r="U410" s="14"/>
      <c r="W410" s="1"/>
      <c r="Y410" s="14"/>
      <c r="AA410" s="14"/>
      <c r="AC410" s="1"/>
      <c r="AE410" s="14"/>
      <c r="AG410" s="14"/>
      <c r="AJ410" s="1"/>
    </row>
    <row r="411" spans="4:36" s="48" customFormat="1" ht="15">
      <c r="D411" s="1"/>
      <c r="E411" s="1"/>
      <c r="F411" s="1"/>
      <c r="G411" s="1"/>
      <c r="H411" s="1"/>
      <c r="I411" s="1"/>
      <c r="K411" s="1"/>
      <c r="M411" s="14"/>
      <c r="O411" s="14"/>
      <c r="Q411" s="1"/>
      <c r="S411" s="14"/>
      <c r="U411" s="14"/>
      <c r="W411" s="1"/>
      <c r="Y411" s="14"/>
      <c r="AA411" s="14"/>
      <c r="AC411" s="1"/>
      <c r="AE411" s="14"/>
      <c r="AG411" s="14"/>
      <c r="AJ411" s="1"/>
    </row>
    <row r="412" spans="4:36" s="48" customFormat="1" ht="15">
      <c r="D412" s="1"/>
      <c r="E412" s="1"/>
      <c r="F412" s="1"/>
      <c r="G412" s="1"/>
      <c r="H412" s="1"/>
      <c r="I412" s="1"/>
      <c r="K412" s="1"/>
      <c r="M412" s="14"/>
      <c r="O412" s="14"/>
      <c r="Q412" s="1"/>
      <c r="S412" s="14"/>
      <c r="U412" s="14"/>
      <c r="W412" s="1"/>
      <c r="Y412" s="14"/>
      <c r="AA412" s="14"/>
      <c r="AC412" s="1"/>
      <c r="AE412" s="14"/>
      <c r="AG412" s="14"/>
      <c r="AJ412" s="1"/>
    </row>
    <row r="413" spans="4:36" s="48" customFormat="1" ht="15">
      <c r="D413" s="1"/>
      <c r="E413" s="1"/>
      <c r="F413" s="1"/>
      <c r="G413" s="1"/>
      <c r="H413" s="1"/>
      <c r="I413" s="1"/>
      <c r="K413" s="1"/>
      <c r="M413" s="14"/>
      <c r="O413" s="14"/>
      <c r="Q413" s="1"/>
      <c r="S413" s="14"/>
      <c r="U413" s="14"/>
      <c r="W413" s="1"/>
      <c r="Y413" s="14"/>
      <c r="AA413" s="14"/>
      <c r="AC413" s="1"/>
      <c r="AE413" s="14"/>
      <c r="AG413" s="14"/>
      <c r="AJ413" s="1"/>
    </row>
    <row r="414" spans="4:36" s="48" customFormat="1" ht="15">
      <c r="D414" s="1"/>
      <c r="E414" s="1"/>
      <c r="F414" s="1"/>
      <c r="G414" s="1"/>
      <c r="H414" s="1"/>
      <c r="I414" s="1"/>
      <c r="K414" s="1"/>
      <c r="M414" s="14"/>
      <c r="O414" s="14"/>
      <c r="Q414" s="1"/>
      <c r="S414" s="14"/>
      <c r="U414" s="14"/>
      <c r="W414" s="1"/>
      <c r="Y414" s="14"/>
      <c r="AA414" s="14"/>
      <c r="AC414" s="1"/>
      <c r="AE414" s="14"/>
      <c r="AG414" s="14"/>
      <c r="AJ414" s="1"/>
    </row>
    <row r="415" spans="4:36" s="48" customFormat="1" ht="15">
      <c r="D415" s="1"/>
      <c r="E415" s="1"/>
      <c r="F415" s="1"/>
      <c r="G415" s="1"/>
      <c r="H415" s="1"/>
      <c r="I415" s="1"/>
      <c r="K415" s="1"/>
      <c r="M415" s="14"/>
      <c r="O415" s="14"/>
      <c r="Q415" s="1"/>
      <c r="S415" s="14"/>
      <c r="U415" s="14"/>
      <c r="W415" s="1"/>
      <c r="Y415" s="14"/>
      <c r="AA415" s="14"/>
      <c r="AC415" s="1"/>
      <c r="AE415" s="14"/>
      <c r="AG415" s="14"/>
      <c r="AJ415" s="1"/>
    </row>
    <row r="416" spans="4:36" s="48" customFormat="1" ht="15">
      <c r="D416" s="1"/>
      <c r="E416" s="1"/>
      <c r="F416" s="1"/>
      <c r="G416" s="1"/>
      <c r="H416" s="1"/>
      <c r="I416" s="1"/>
      <c r="K416" s="1"/>
      <c r="M416" s="14"/>
      <c r="O416" s="14"/>
      <c r="Q416" s="1"/>
      <c r="S416" s="14"/>
      <c r="U416" s="14"/>
      <c r="W416" s="1"/>
      <c r="Y416" s="14"/>
      <c r="AA416" s="14"/>
      <c r="AC416" s="1"/>
      <c r="AE416" s="14"/>
      <c r="AG416" s="14"/>
      <c r="AJ416" s="1"/>
    </row>
    <row r="417" spans="4:36" s="48" customFormat="1" ht="15">
      <c r="D417" s="1"/>
      <c r="E417" s="1"/>
      <c r="F417" s="1"/>
      <c r="G417" s="1"/>
      <c r="H417" s="1"/>
      <c r="I417" s="1"/>
      <c r="K417" s="1"/>
      <c r="M417" s="14"/>
      <c r="O417" s="14"/>
      <c r="Q417" s="1"/>
      <c r="S417" s="14"/>
      <c r="U417" s="14"/>
      <c r="W417" s="1"/>
      <c r="Y417" s="14"/>
      <c r="AA417" s="14"/>
      <c r="AC417" s="1"/>
      <c r="AE417" s="14"/>
      <c r="AG417" s="14"/>
      <c r="AJ417" s="1"/>
    </row>
    <row r="418" spans="4:36" s="48" customFormat="1" ht="15">
      <c r="D418" s="1"/>
      <c r="E418" s="1"/>
      <c r="F418" s="1"/>
      <c r="G418" s="1"/>
      <c r="H418" s="1"/>
      <c r="I418" s="1"/>
      <c r="K418" s="1"/>
      <c r="M418" s="14"/>
      <c r="O418" s="14"/>
      <c r="Q418" s="1"/>
      <c r="S418" s="14"/>
      <c r="U418" s="14"/>
      <c r="W418" s="1"/>
      <c r="Y418" s="14"/>
      <c r="AA418" s="14"/>
      <c r="AC418" s="1"/>
      <c r="AE418" s="14"/>
      <c r="AG418" s="14"/>
      <c r="AJ418" s="1"/>
    </row>
    <row r="419" spans="4:36" s="48" customFormat="1" ht="15">
      <c r="D419" s="1"/>
      <c r="E419" s="1"/>
      <c r="F419" s="1"/>
      <c r="G419" s="1"/>
      <c r="H419" s="1"/>
      <c r="I419" s="1"/>
      <c r="K419" s="1"/>
      <c r="M419" s="14"/>
      <c r="O419" s="14"/>
      <c r="Q419" s="1"/>
      <c r="S419" s="14"/>
      <c r="U419" s="14"/>
      <c r="W419" s="1"/>
      <c r="Y419" s="14"/>
      <c r="AA419" s="14"/>
      <c r="AC419" s="1"/>
      <c r="AE419" s="14"/>
      <c r="AG419" s="14"/>
      <c r="AJ419" s="1"/>
    </row>
    <row r="420" spans="4:36" s="48" customFormat="1" ht="15">
      <c r="D420" s="1"/>
      <c r="E420" s="1"/>
      <c r="F420" s="1"/>
      <c r="G420" s="1"/>
      <c r="H420" s="1"/>
      <c r="I420" s="1"/>
      <c r="K420" s="1"/>
      <c r="M420" s="14"/>
      <c r="O420" s="14"/>
      <c r="Q420" s="1"/>
      <c r="S420" s="14"/>
      <c r="U420" s="14"/>
      <c r="W420" s="1"/>
      <c r="Y420" s="14"/>
      <c r="AA420" s="14"/>
      <c r="AC420" s="1"/>
      <c r="AE420" s="14"/>
      <c r="AG420" s="14"/>
      <c r="AJ420" s="1"/>
    </row>
    <row r="421" spans="4:36" s="48" customFormat="1" ht="15">
      <c r="D421" s="1"/>
      <c r="E421" s="1"/>
      <c r="F421" s="1"/>
      <c r="G421" s="1"/>
      <c r="H421" s="1"/>
      <c r="I421" s="1"/>
      <c r="K421" s="1"/>
      <c r="M421" s="14"/>
      <c r="O421" s="14"/>
      <c r="Q421" s="1"/>
      <c r="S421" s="14"/>
      <c r="U421" s="14"/>
      <c r="W421" s="1"/>
      <c r="Y421" s="14"/>
      <c r="AA421" s="14"/>
      <c r="AC421" s="1"/>
      <c r="AE421" s="14"/>
      <c r="AG421" s="14"/>
      <c r="AJ421" s="1"/>
    </row>
    <row r="422" spans="4:36" s="48" customFormat="1" ht="15">
      <c r="D422" s="1"/>
      <c r="E422" s="1"/>
      <c r="F422" s="1"/>
      <c r="G422" s="1"/>
      <c r="H422" s="1"/>
      <c r="I422" s="1"/>
      <c r="K422" s="1"/>
      <c r="M422" s="14"/>
      <c r="O422" s="14"/>
      <c r="Q422" s="1"/>
      <c r="S422" s="14"/>
      <c r="U422" s="14"/>
      <c r="W422" s="1"/>
      <c r="Y422" s="14"/>
      <c r="AA422" s="14"/>
      <c r="AC422" s="1"/>
      <c r="AE422" s="14"/>
      <c r="AG422" s="14"/>
      <c r="AJ422" s="1"/>
    </row>
    <row r="423" spans="4:36" s="48" customFormat="1" ht="15">
      <c r="D423" s="1"/>
      <c r="E423" s="1"/>
      <c r="F423" s="1"/>
      <c r="G423" s="1"/>
      <c r="H423" s="1"/>
      <c r="I423" s="1"/>
      <c r="K423" s="1"/>
      <c r="M423" s="14"/>
      <c r="O423" s="14"/>
      <c r="Q423" s="1"/>
      <c r="S423" s="14"/>
      <c r="U423" s="14"/>
      <c r="W423" s="1"/>
      <c r="Y423" s="14"/>
      <c r="AA423" s="14"/>
      <c r="AC423" s="1"/>
      <c r="AE423" s="14"/>
      <c r="AG423" s="14"/>
      <c r="AJ423" s="1"/>
    </row>
    <row r="424" spans="4:36" s="48" customFormat="1" ht="15">
      <c r="D424" s="1"/>
      <c r="E424" s="1"/>
      <c r="F424" s="1"/>
      <c r="G424" s="1"/>
      <c r="H424" s="1"/>
      <c r="I424" s="1"/>
      <c r="K424" s="1"/>
      <c r="M424" s="14"/>
      <c r="O424" s="14"/>
      <c r="Q424" s="1"/>
      <c r="S424" s="14"/>
      <c r="U424" s="14"/>
      <c r="W424" s="1"/>
      <c r="Y424" s="14"/>
      <c r="AA424" s="14"/>
      <c r="AC424" s="1"/>
      <c r="AE424" s="14"/>
      <c r="AG424" s="14"/>
      <c r="AJ424" s="1"/>
    </row>
    <row r="425" spans="4:36" s="48" customFormat="1" ht="15">
      <c r="D425" s="1"/>
      <c r="E425" s="1"/>
      <c r="F425" s="1"/>
      <c r="G425" s="1"/>
      <c r="H425" s="1"/>
      <c r="I425" s="1"/>
      <c r="K425" s="1"/>
      <c r="M425" s="14"/>
      <c r="O425" s="14"/>
      <c r="Q425" s="1"/>
      <c r="S425" s="14"/>
      <c r="U425" s="14"/>
      <c r="W425" s="1"/>
      <c r="Y425" s="14"/>
      <c r="AA425" s="14"/>
      <c r="AC425" s="1"/>
      <c r="AE425" s="14"/>
      <c r="AG425" s="14"/>
      <c r="AJ425" s="1"/>
    </row>
    <row r="426" spans="4:36" s="48" customFormat="1" ht="15">
      <c r="D426" s="1"/>
      <c r="E426" s="1"/>
      <c r="F426" s="1"/>
      <c r="G426" s="1"/>
      <c r="H426" s="1"/>
      <c r="I426" s="1"/>
      <c r="K426" s="1"/>
      <c r="M426" s="14"/>
      <c r="O426" s="14"/>
      <c r="Q426" s="1"/>
      <c r="S426" s="14"/>
      <c r="U426" s="14"/>
      <c r="W426" s="1"/>
      <c r="Y426" s="14"/>
      <c r="AA426" s="14"/>
      <c r="AC426" s="1"/>
      <c r="AE426" s="14"/>
      <c r="AG426" s="14"/>
      <c r="AJ426" s="1"/>
    </row>
    <row r="427" spans="4:36" s="48" customFormat="1" ht="15">
      <c r="D427" s="1"/>
      <c r="E427" s="1"/>
      <c r="F427" s="1"/>
      <c r="G427" s="1"/>
      <c r="H427" s="1"/>
      <c r="I427" s="1"/>
      <c r="K427" s="1"/>
      <c r="M427" s="14"/>
      <c r="O427" s="14"/>
      <c r="Q427" s="1"/>
      <c r="S427" s="14"/>
      <c r="U427" s="14"/>
      <c r="W427" s="1"/>
      <c r="Y427" s="14"/>
      <c r="AA427" s="14"/>
      <c r="AC427" s="1"/>
      <c r="AE427" s="14"/>
      <c r="AG427" s="14"/>
      <c r="AJ427" s="1"/>
    </row>
    <row r="428" spans="4:36" s="48" customFormat="1" ht="15">
      <c r="D428" s="1"/>
      <c r="E428" s="1"/>
      <c r="F428" s="1"/>
      <c r="G428" s="1"/>
      <c r="H428" s="1"/>
      <c r="I428" s="1"/>
      <c r="K428" s="1"/>
      <c r="M428" s="14"/>
      <c r="O428" s="14"/>
      <c r="Q428" s="1"/>
      <c r="S428" s="14"/>
      <c r="U428" s="14"/>
      <c r="W428" s="1"/>
      <c r="Y428" s="14"/>
      <c r="AA428" s="14"/>
      <c r="AC428" s="1"/>
      <c r="AE428" s="14"/>
      <c r="AG428" s="14"/>
      <c r="AJ428" s="1"/>
    </row>
    <row r="429" spans="4:36" s="48" customFormat="1" ht="15">
      <c r="D429" s="1"/>
      <c r="E429" s="1"/>
      <c r="F429" s="1"/>
      <c r="G429" s="1"/>
      <c r="H429" s="1"/>
      <c r="I429" s="1"/>
      <c r="K429" s="1"/>
      <c r="M429" s="14"/>
      <c r="O429" s="14"/>
      <c r="Q429" s="1"/>
      <c r="S429" s="14"/>
      <c r="U429" s="14"/>
      <c r="W429" s="1"/>
      <c r="Y429" s="14"/>
      <c r="AA429" s="14"/>
      <c r="AC429" s="1"/>
      <c r="AE429" s="14"/>
      <c r="AG429" s="14"/>
      <c r="AJ429" s="1"/>
    </row>
    <row r="430" spans="4:36" s="48" customFormat="1" ht="15">
      <c r="D430" s="1"/>
      <c r="E430" s="1"/>
      <c r="F430" s="1"/>
      <c r="G430" s="1"/>
      <c r="H430" s="1"/>
      <c r="I430" s="1"/>
      <c r="K430" s="1"/>
      <c r="M430" s="14"/>
      <c r="O430" s="14"/>
      <c r="Q430" s="1"/>
      <c r="S430" s="14"/>
      <c r="U430" s="14"/>
      <c r="W430" s="1"/>
      <c r="Y430" s="14"/>
      <c r="AA430" s="14"/>
      <c r="AC430" s="1"/>
      <c r="AE430" s="14"/>
      <c r="AG430" s="14"/>
      <c r="AJ430" s="1"/>
    </row>
    <row r="431" spans="4:36" s="48" customFormat="1" ht="15">
      <c r="D431" s="1"/>
      <c r="E431" s="1"/>
      <c r="F431" s="1"/>
      <c r="G431" s="1"/>
      <c r="H431" s="1"/>
      <c r="I431" s="1"/>
      <c r="K431" s="1"/>
      <c r="M431" s="14"/>
      <c r="O431" s="14"/>
      <c r="Q431" s="1"/>
      <c r="S431" s="14"/>
      <c r="U431" s="14"/>
      <c r="W431" s="1"/>
      <c r="Y431" s="14"/>
      <c r="AA431" s="14"/>
      <c r="AC431" s="1"/>
      <c r="AE431" s="14"/>
      <c r="AG431" s="14"/>
      <c r="AJ431" s="1"/>
    </row>
    <row r="432" spans="4:36" s="48" customFormat="1" ht="15">
      <c r="D432" s="1"/>
      <c r="E432" s="1"/>
      <c r="F432" s="1"/>
      <c r="G432" s="1"/>
      <c r="H432" s="1"/>
      <c r="I432" s="1"/>
      <c r="K432" s="1"/>
      <c r="M432" s="14"/>
      <c r="O432" s="14"/>
      <c r="Q432" s="1"/>
      <c r="S432" s="14"/>
      <c r="U432" s="14"/>
      <c r="W432" s="1"/>
      <c r="Y432" s="14"/>
      <c r="AA432" s="14"/>
      <c r="AC432" s="1"/>
      <c r="AE432" s="14"/>
      <c r="AG432" s="14"/>
      <c r="AJ432" s="1"/>
    </row>
    <row r="433" spans="4:36" s="48" customFormat="1" ht="15">
      <c r="D433" s="1"/>
      <c r="E433" s="1"/>
      <c r="F433" s="1"/>
      <c r="G433" s="1"/>
      <c r="H433" s="1"/>
      <c r="I433" s="1"/>
      <c r="K433" s="1"/>
      <c r="M433" s="14"/>
      <c r="O433" s="14"/>
      <c r="Q433" s="1"/>
      <c r="S433" s="14"/>
      <c r="U433" s="14"/>
      <c r="W433" s="1"/>
      <c r="Y433" s="14"/>
      <c r="AA433" s="14"/>
      <c r="AC433" s="1"/>
      <c r="AE433" s="14"/>
      <c r="AG433" s="14"/>
      <c r="AJ433" s="1"/>
    </row>
    <row r="434" spans="4:36" s="48" customFormat="1" ht="15">
      <c r="D434" s="1"/>
      <c r="E434" s="1"/>
      <c r="F434" s="1"/>
      <c r="G434" s="1"/>
      <c r="H434" s="1"/>
      <c r="I434" s="1"/>
      <c r="K434" s="1"/>
      <c r="M434" s="14"/>
      <c r="O434" s="14"/>
      <c r="Q434" s="1"/>
      <c r="S434" s="14"/>
      <c r="U434" s="14"/>
      <c r="W434" s="1"/>
      <c r="Y434" s="14"/>
      <c r="AA434" s="14"/>
      <c r="AC434" s="1"/>
      <c r="AE434" s="14"/>
      <c r="AG434" s="14"/>
      <c r="AJ434" s="1"/>
    </row>
    <row r="435" spans="4:36" s="48" customFormat="1" ht="15">
      <c r="D435" s="1"/>
      <c r="E435" s="1"/>
      <c r="F435" s="1"/>
      <c r="G435" s="1"/>
      <c r="H435" s="1"/>
      <c r="I435" s="1"/>
      <c r="K435" s="1"/>
      <c r="M435" s="14"/>
      <c r="O435" s="14"/>
      <c r="Q435" s="1"/>
      <c r="S435" s="14"/>
      <c r="U435" s="14"/>
      <c r="W435" s="1"/>
      <c r="Y435" s="14"/>
      <c r="AA435" s="14"/>
      <c r="AC435" s="1"/>
      <c r="AE435" s="14"/>
      <c r="AG435" s="14"/>
      <c r="AJ435" s="1"/>
    </row>
    <row r="436" spans="4:36" s="48" customFormat="1" ht="15">
      <c r="D436" s="1"/>
      <c r="E436" s="1"/>
      <c r="F436" s="1"/>
      <c r="G436" s="1"/>
      <c r="H436" s="1"/>
      <c r="I436" s="1"/>
      <c r="K436" s="1"/>
      <c r="M436" s="14"/>
      <c r="O436" s="14"/>
      <c r="Q436" s="1"/>
      <c r="S436" s="14"/>
      <c r="U436" s="14"/>
      <c r="W436" s="1"/>
      <c r="Y436" s="14"/>
      <c r="AA436" s="14"/>
      <c r="AC436" s="1"/>
      <c r="AE436" s="14"/>
      <c r="AG436" s="14"/>
      <c r="AJ436" s="1"/>
    </row>
    <row r="437" spans="4:36" s="48" customFormat="1" ht="15">
      <c r="D437" s="1"/>
      <c r="E437" s="1"/>
      <c r="F437" s="1"/>
      <c r="G437" s="1"/>
      <c r="H437" s="1"/>
      <c r="I437" s="1"/>
      <c r="K437" s="1"/>
      <c r="M437" s="14"/>
      <c r="O437" s="14"/>
      <c r="Q437" s="1"/>
      <c r="S437" s="14"/>
      <c r="U437" s="14"/>
      <c r="W437" s="1"/>
      <c r="Y437" s="14"/>
      <c r="AA437" s="14"/>
      <c r="AC437" s="1"/>
      <c r="AE437" s="14"/>
      <c r="AG437" s="14"/>
      <c r="AJ437" s="1"/>
    </row>
    <row r="438" spans="4:36" s="48" customFormat="1" ht="15">
      <c r="D438" s="1"/>
      <c r="E438" s="1"/>
      <c r="F438" s="1"/>
      <c r="G438" s="1"/>
      <c r="H438" s="1"/>
      <c r="I438" s="1"/>
      <c r="K438" s="1"/>
      <c r="M438" s="14"/>
      <c r="O438" s="14"/>
      <c r="Q438" s="1"/>
      <c r="S438" s="14"/>
      <c r="U438" s="14"/>
      <c r="W438" s="1"/>
      <c r="Y438" s="14"/>
      <c r="AA438" s="14"/>
      <c r="AC438" s="1"/>
      <c r="AE438" s="14"/>
      <c r="AG438" s="14"/>
      <c r="AJ438" s="1"/>
    </row>
    <row r="439" spans="4:36" s="48" customFormat="1" ht="15">
      <c r="D439" s="1"/>
      <c r="E439" s="1"/>
      <c r="F439" s="1"/>
      <c r="G439" s="1"/>
      <c r="H439" s="1"/>
      <c r="I439" s="1"/>
      <c r="K439" s="1"/>
      <c r="M439" s="14"/>
      <c r="O439" s="14"/>
      <c r="Q439" s="1"/>
      <c r="S439" s="14"/>
      <c r="U439" s="14"/>
      <c r="W439" s="1"/>
      <c r="Y439" s="14"/>
      <c r="AA439" s="14"/>
      <c r="AC439" s="1"/>
      <c r="AE439" s="14"/>
      <c r="AG439" s="14"/>
      <c r="AJ439" s="1"/>
    </row>
    <row r="440" spans="4:36" s="48" customFormat="1" ht="15">
      <c r="D440" s="1"/>
      <c r="E440" s="1"/>
      <c r="F440" s="1"/>
      <c r="G440" s="1"/>
      <c r="H440" s="1"/>
      <c r="I440" s="1"/>
      <c r="K440" s="1"/>
      <c r="M440" s="14"/>
      <c r="O440" s="14"/>
      <c r="Q440" s="1"/>
      <c r="S440" s="14"/>
      <c r="U440" s="14"/>
      <c r="W440" s="1"/>
      <c r="Y440" s="14"/>
      <c r="AA440" s="14"/>
      <c r="AC440" s="1"/>
      <c r="AE440" s="14"/>
      <c r="AG440" s="14"/>
      <c r="AJ440" s="1"/>
    </row>
    <row r="441" spans="4:36" s="48" customFormat="1" ht="15">
      <c r="D441" s="1"/>
      <c r="E441" s="1"/>
      <c r="F441" s="1"/>
      <c r="G441" s="1"/>
      <c r="H441" s="1"/>
      <c r="I441" s="1"/>
      <c r="K441" s="1"/>
      <c r="M441" s="14"/>
      <c r="O441" s="14"/>
      <c r="Q441" s="1"/>
      <c r="S441" s="14"/>
      <c r="U441" s="14"/>
      <c r="W441" s="1"/>
      <c r="Y441" s="14"/>
      <c r="AA441" s="14"/>
      <c r="AC441" s="1"/>
      <c r="AE441" s="14"/>
      <c r="AG441" s="14"/>
      <c r="AJ441" s="1"/>
    </row>
    <row r="442" spans="4:36" s="48" customFormat="1" ht="15">
      <c r="D442" s="1"/>
      <c r="E442" s="1"/>
      <c r="F442" s="1"/>
      <c r="G442" s="1"/>
      <c r="H442" s="1"/>
      <c r="I442" s="1"/>
      <c r="K442" s="1"/>
      <c r="M442" s="14"/>
      <c r="O442" s="14"/>
      <c r="Q442" s="1"/>
      <c r="S442" s="14"/>
      <c r="U442" s="14"/>
      <c r="W442" s="1"/>
      <c r="Y442" s="14"/>
      <c r="AA442" s="14"/>
      <c r="AC442" s="1"/>
      <c r="AE442" s="14"/>
      <c r="AG442" s="14"/>
      <c r="AJ442" s="1"/>
    </row>
    <row r="443" spans="4:36" s="48" customFormat="1" ht="15">
      <c r="D443" s="1"/>
      <c r="E443" s="1"/>
      <c r="F443" s="1"/>
      <c r="G443" s="1"/>
      <c r="H443" s="1"/>
      <c r="I443" s="1"/>
      <c r="K443" s="1"/>
      <c r="M443" s="14"/>
      <c r="O443" s="14"/>
      <c r="Q443" s="1"/>
      <c r="S443" s="14"/>
      <c r="U443" s="14"/>
      <c r="W443" s="1"/>
      <c r="Y443" s="14"/>
      <c r="AA443" s="14"/>
      <c r="AC443" s="1"/>
      <c r="AE443" s="14"/>
      <c r="AG443" s="14"/>
      <c r="AJ443" s="1"/>
    </row>
    <row r="444" spans="4:36" s="48" customFormat="1" ht="15">
      <c r="D444" s="1"/>
      <c r="E444" s="1"/>
      <c r="F444" s="1"/>
      <c r="G444" s="1"/>
      <c r="H444" s="1"/>
      <c r="I444" s="1"/>
      <c r="K444" s="1"/>
      <c r="M444" s="14"/>
      <c r="O444" s="14"/>
      <c r="Q444" s="1"/>
      <c r="S444" s="14"/>
      <c r="U444" s="14"/>
      <c r="W444" s="1"/>
      <c r="Y444" s="14"/>
      <c r="AA444" s="14"/>
      <c r="AC444" s="1"/>
      <c r="AE444" s="14"/>
      <c r="AG444" s="14"/>
      <c r="AJ444" s="1"/>
    </row>
    <row r="445" spans="4:36" s="48" customFormat="1" ht="15">
      <c r="D445" s="1"/>
      <c r="E445" s="1"/>
      <c r="F445" s="1"/>
      <c r="G445" s="1"/>
      <c r="H445" s="1"/>
      <c r="I445" s="1"/>
      <c r="K445" s="1"/>
      <c r="M445" s="14"/>
      <c r="O445" s="14"/>
      <c r="Q445" s="1"/>
      <c r="S445" s="14"/>
      <c r="U445" s="14"/>
      <c r="W445" s="1"/>
      <c r="Y445" s="14"/>
      <c r="AA445" s="14"/>
      <c r="AC445" s="1"/>
      <c r="AE445" s="14"/>
      <c r="AG445" s="14"/>
      <c r="AJ445" s="1"/>
    </row>
    <row r="446" spans="4:36" s="48" customFormat="1" ht="15">
      <c r="D446" s="1"/>
      <c r="E446" s="1"/>
      <c r="F446" s="1"/>
      <c r="G446" s="1"/>
      <c r="H446" s="1"/>
      <c r="I446" s="1"/>
      <c r="K446" s="1"/>
      <c r="M446" s="14"/>
      <c r="O446" s="14"/>
      <c r="Q446" s="1"/>
      <c r="S446" s="14"/>
      <c r="U446" s="14"/>
      <c r="W446" s="1"/>
      <c r="Y446" s="14"/>
      <c r="AA446" s="14"/>
      <c r="AC446" s="1"/>
      <c r="AE446" s="14"/>
      <c r="AG446" s="14"/>
      <c r="AJ446" s="1"/>
    </row>
    <row r="447" spans="4:36" s="48" customFormat="1" ht="15">
      <c r="D447" s="1"/>
      <c r="E447" s="1"/>
      <c r="F447" s="1"/>
      <c r="G447" s="1"/>
      <c r="H447" s="1"/>
      <c r="I447" s="1"/>
      <c r="K447" s="1"/>
      <c r="M447" s="14"/>
      <c r="O447" s="14"/>
      <c r="Q447" s="1"/>
      <c r="S447" s="14"/>
      <c r="U447" s="14"/>
      <c r="W447" s="1"/>
      <c r="Y447" s="14"/>
      <c r="AA447" s="14"/>
      <c r="AC447" s="1"/>
      <c r="AE447" s="14"/>
      <c r="AG447" s="14"/>
      <c r="AJ447" s="1"/>
    </row>
    <row r="448" spans="4:36" s="48" customFormat="1" ht="15">
      <c r="D448" s="1"/>
      <c r="E448" s="1"/>
      <c r="F448" s="1"/>
      <c r="G448" s="1"/>
      <c r="H448" s="1"/>
      <c r="I448" s="1"/>
      <c r="K448" s="1"/>
      <c r="M448" s="14"/>
      <c r="O448" s="14"/>
      <c r="Q448" s="1"/>
      <c r="S448" s="14"/>
      <c r="U448" s="14"/>
      <c r="W448" s="1"/>
      <c r="Y448" s="14"/>
      <c r="AA448" s="14"/>
      <c r="AC448" s="1"/>
      <c r="AE448" s="14"/>
      <c r="AG448" s="14"/>
      <c r="AJ448" s="1"/>
    </row>
    <row r="449" spans="4:36" s="48" customFormat="1" ht="15">
      <c r="D449" s="1"/>
      <c r="E449" s="1"/>
      <c r="F449" s="1"/>
      <c r="G449" s="1"/>
      <c r="H449" s="1"/>
      <c r="I449" s="1"/>
      <c r="K449" s="1"/>
      <c r="M449" s="14"/>
      <c r="O449" s="14"/>
      <c r="Q449" s="1"/>
      <c r="S449" s="14"/>
      <c r="U449" s="14"/>
      <c r="W449" s="1"/>
      <c r="Y449" s="14"/>
      <c r="AA449" s="14"/>
      <c r="AC449" s="1"/>
      <c r="AE449" s="14"/>
      <c r="AG449" s="14"/>
      <c r="AJ449" s="1"/>
    </row>
    <row r="450" spans="4:36" s="48" customFormat="1" ht="15">
      <c r="D450" s="1"/>
      <c r="E450" s="1"/>
      <c r="F450" s="1"/>
      <c r="G450" s="1"/>
      <c r="H450" s="1"/>
      <c r="I450" s="1"/>
      <c r="K450" s="1"/>
      <c r="M450" s="14"/>
      <c r="O450" s="14"/>
      <c r="Q450" s="1"/>
      <c r="S450" s="14"/>
      <c r="U450" s="14"/>
      <c r="W450" s="1"/>
      <c r="Y450" s="14"/>
      <c r="AA450" s="14"/>
      <c r="AC450" s="1"/>
      <c r="AE450" s="14"/>
      <c r="AG450" s="14"/>
      <c r="AJ450" s="1"/>
    </row>
    <row r="451" spans="4:36" s="48" customFormat="1" ht="15">
      <c r="D451" s="1"/>
      <c r="E451" s="1"/>
      <c r="F451" s="1"/>
      <c r="G451" s="1"/>
      <c r="H451" s="1"/>
      <c r="I451" s="1"/>
      <c r="K451" s="1"/>
      <c r="M451" s="14"/>
      <c r="O451" s="14"/>
      <c r="Q451" s="1"/>
      <c r="S451" s="14"/>
      <c r="U451" s="14"/>
      <c r="W451" s="1"/>
      <c r="Y451" s="14"/>
      <c r="AA451" s="14"/>
      <c r="AC451" s="1"/>
      <c r="AE451" s="14"/>
      <c r="AG451" s="14"/>
      <c r="AJ451" s="1"/>
    </row>
    <row r="452" spans="4:36" s="48" customFormat="1" ht="15">
      <c r="D452" s="1"/>
      <c r="E452" s="1"/>
      <c r="F452" s="1"/>
      <c r="G452" s="1"/>
      <c r="H452" s="1"/>
      <c r="I452" s="1"/>
      <c r="K452" s="1"/>
      <c r="M452" s="14"/>
      <c r="O452" s="14"/>
      <c r="Q452" s="1"/>
      <c r="S452" s="14"/>
      <c r="U452" s="14"/>
      <c r="W452" s="1"/>
      <c r="Y452" s="14"/>
      <c r="AA452" s="14"/>
      <c r="AC452" s="1"/>
      <c r="AE452" s="14"/>
      <c r="AG452" s="14"/>
      <c r="AJ452" s="1"/>
    </row>
    <row r="453" spans="4:36" s="48" customFormat="1" ht="15">
      <c r="D453" s="1"/>
      <c r="E453" s="1"/>
      <c r="F453" s="1"/>
      <c r="G453" s="1"/>
      <c r="H453" s="1"/>
      <c r="I453" s="1"/>
      <c r="K453" s="1"/>
      <c r="M453" s="14"/>
      <c r="O453" s="14"/>
      <c r="Q453" s="1"/>
      <c r="S453" s="14"/>
      <c r="U453" s="14"/>
      <c r="W453" s="1"/>
      <c r="Y453" s="14"/>
      <c r="AA453" s="14"/>
      <c r="AC453" s="1"/>
      <c r="AE453" s="14"/>
      <c r="AG453" s="14"/>
      <c r="AJ453" s="1"/>
    </row>
    <row r="454" spans="4:36" s="48" customFormat="1" ht="15">
      <c r="D454" s="1"/>
      <c r="E454" s="1"/>
      <c r="F454" s="1"/>
      <c r="G454" s="1"/>
      <c r="H454" s="1"/>
      <c r="I454" s="1"/>
      <c r="K454" s="1"/>
      <c r="M454" s="14"/>
      <c r="O454" s="14"/>
      <c r="Q454" s="1"/>
      <c r="S454" s="14"/>
      <c r="U454" s="14"/>
      <c r="W454" s="1"/>
      <c r="Y454" s="14"/>
      <c r="AA454" s="14"/>
      <c r="AC454" s="1"/>
      <c r="AE454" s="14"/>
      <c r="AG454" s="14"/>
      <c r="AJ454" s="1"/>
    </row>
    <row r="455" spans="4:36" s="48" customFormat="1" ht="15">
      <c r="D455" s="1"/>
      <c r="E455" s="1"/>
      <c r="F455" s="1"/>
      <c r="G455" s="1"/>
      <c r="H455" s="1"/>
      <c r="I455" s="1"/>
      <c r="K455" s="1"/>
      <c r="M455" s="14"/>
      <c r="O455" s="14"/>
      <c r="Q455" s="1"/>
      <c r="S455" s="14"/>
      <c r="U455" s="14"/>
      <c r="W455" s="1"/>
      <c r="Y455" s="14"/>
      <c r="AA455" s="14"/>
      <c r="AC455" s="1"/>
      <c r="AE455" s="14"/>
      <c r="AG455" s="14"/>
      <c r="AJ455" s="1"/>
    </row>
    <row r="456" spans="4:36" s="48" customFormat="1" ht="15">
      <c r="D456" s="1"/>
      <c r="E456" s="1"/>
      <c r="F456" s="1"/>
      <c r="G456" s="1"/>
      <c r="H456" s="1"/>
      <c r="I456" s="1"/>
      <c r="K456" s="1"/>
      <c r="M456" s="14"/>
      <c r="O456" s="14"/>
      <c r="Q456" s="1"/>
      <c r="S456" s="14"/>
      <c r="U456" s="14"/>
      <c r="W456" s="1"/>
      <c r="Y456" s="14"/>
      <c r="AA456" s="14"/>
      <c r="AC456" s="1"/>
      <c r="AE456" s="14"/>
      <c r="AG456" s="14"/>
      <c r="AJ456" s="1"/>
    </row>
    <row r="457" spans="4:36" s="48" customFormat="1" ht="15">
      <c r="D457" s="1"/>
      <c r="E457" s="1"/>
      <c r="F457" s="1"/>
      <c r="G457" s="1"/>
      <c r="H457" s="1"/>
      <c r="I457" s="1"/>
      <c r="K457" s="1"/>
      <c r="M457" s="14"/>
      <c r="O457" s="14"/>
      <c r="Q457" s="1"/>
      <c r="S457" s="14"/>
      <c r="U457" s="14"/>
      <c r="W457" s="1"/>
      <c r="Y457" s="14"/>
      <c r="AA457" s="14"/>
      <c r="AC457" s="1"/>
      <c r="AE457" s="14"/>
      <c r="AG457" s="14"/>
      <c r="AJ457" s="1"/>
    </row>
    <row r="458" spans="4:36" s="48" customFormat="1" ht="15">
      <c r="D458" s="1"/>
      <c r="E458" s="1"/>
      <c r="F458" s="1"/>
      <c r="G458" s="1"/>
      <c r="H458" s="1"/>
      <c r="I458" s="1"/>
      <c r="K458" s="1"/>
      <c r="M458" s="14"/>
      <c r="O458" s="14"/>
      <c r="Q458" s="1"/>
      <c r="S458" s="14"/>
      <c r="U458" s="14"/>
      <c r="W458" s="1"/>
      <c r="Y458" s="14"/>
      <c r="AA458" s="14"/>
      <c r="AC458" s="1"/>
      <c r="AE458" s="14"/>
      <c r="AG458" s="14"/>
      <c r="AJ458" s="1"/>
    </row>
    <row r="459" spans="4:36" s="48" customFormat="1" ht="15">
      <c r="D459" s="1"/>
      <c r="E459" s="1"/>
      <c r="F459" s="1"/>
      <c r="G459" s="1"/>
      <c r="H459" s="1"/>
      <c r="I459" s="1"/>
      <c r="K459" s="1"/>
      <c r="M459" s="14"/>
      <c r="O459" s="14"/>
      <c r="Q459" s="1"/>
      <c r="S459" s="14"/>
      <c r="U459" s="14"/>
      <c r="W459" s="1"/>
      <c r="Y459" s="14"/>
      <c r="AA459" s="14"/>
      <c r="AC459" s="1"/>
      <c r="AE459" s="14"/>
      <c r="AG459" s="14"/>
      <c r="AJ459" s="1"/>
    </row>
    <row r="460" spans="4:36" s="48" customFormat="1" ht="15">
      <c r="D460" s="1"/>
      <c r="E460" s="1"/>
      <c r="F460" s="1"/>
      <c r="G460" s="1"/>
      <c r="H460" s="1"/>
      <c r="I460" s="1"/>
      <c r="K460" s="1"/>
      <c r="M460" s="14"/>
      <c r="O460" s="14"/>
      <c r="Q460" s="1"/>
      <c r="S460" s="14"/>
      <c r="U460" s="14"/>
      <c r="W460" s="1"/>
      <c r="Y460" s="14"/>
      <c r="AA460" s="14"/>
      <c r="AC460" s="1"/>
      <c r="AE460" s="14"/>
      <c r="AG460" s="14"/>
      <c r="AJ460" s="1"/>
    </row>
    <row r="461" spans="4:36" s="48" customFormat="1" ht="15">
      <c r="D461" s="1"/>
      <c r="E461" s="1"/>
      <c r="F461" s="1"/>
      <c r="G461" s="1"/>
      <c r="H461" s="1"/>
      <c r="I461" s="1"/>
      <c r="K461" s="1"/>
      <c r="M461" s="14"/>
      <c r="O461" s="14"/>
      <c r="Q461" s="1"/>
      <c r="S461" s="14"/>
      <c r="U461" s="14"/>
      <c r="W461" s="1"/>
      <c r="Y461" s="14"/>
      <c r="AA461" s="14"/>
      <c r="AC461" s="1"/>
      <c r="AE461" s="14"/>
      <c r="AG461" s="14"/>
      <c r="AJ461" s="1"/>
    </row>
    <row r="462" spans="4:36" s="48" customFormat="1" ht="15">
      <c r="D462" s="1"/>
      <c r="E462" s="1"/>
      <c r="F462" s="1"/>
      <c r="G462" s="1"/>
      <c r="H462" s="1"/>
      <c r="I462" s="1"/>
      <c r="K462" s="1"/>
      <c r="M462" s="14"/>
      <c r="O462" s="14"/>
      <c r="Q462" s="1"/>
      <c r="S462" s="14"/>
      <c r="U462" s="14"/>
      <c r="W462" s="1"/>
      <c r="Y462" s="14"/>
      <c r="AA462" s="14"/>
      <c r="AC462" s="1"/>
      <c r="AE462" s="14"/>
      <c r="AG462" s="14"/>
      <c r="AJ462" s="1"/>
    </row>
    <row r="463" spans="4:36" s="48" customFormat="1" ht="15">
      <c r="D463" s="1"/>
      <c r="E463" s="1"/>
      <c r="F463" s="1"/>
      <c r="G463" s="1"/>
      <c r="H463" s="1"/>
      <c r="I463" s="1"/>
      <c r="K463" s="1"/>
      <c r="M463" s="14"/>
      <c r="O463" s="14"/>
      <c r="Q463" s="1"/>
      <c r="S463" s="14"/>
      <c r="U463" s="14"/>
      <c r="W463" s="1"/>
      <c r="Y463" s="14"/>
      <c r="AA463" s="14"/>
      <c r="AC463" s="1"/>
      <c r="AE463" s="14"/>
      <c r="AG463" s="14"/>
      <c r="AJ463" s="1"/>
    </row>
    <row r="464" spans="4:36" s="48" customFormat="1" ht="15">
      <c r="D464" s="1"/>
      <c r="E464" s="1"/>
      <c r="F464" s="1"/>
      <c r="G464" s="1"/>
      <c r="H464" s="1"/>
      <c r="I464" s="1"/>
      <c r="K464" s="1"/>
      <c r="M464" s="14"/>
      <c r="O464" s="14"/>
      <c r="Q464" s="1"/>
      <c r="S464" s="14"/>
      <c r="U464" s="14"/>
      <c r="W464" s="1"/>
      <c r="Y464" s="14"/>
      <c r="AA464" s="14"/>
      <c r="AC464" s="1"/>
      <c r="AE464" s="14"/>
      <c r="AG464" s="14"/>
      <c r="AJ464" s="1"/>
    </row>
    <row r="465" spans="4:36" s="48" customFormat="1" ht="15">
      <c r="D465" s="1"/>
      <c r="E465" s="1"/>
      <c r="F465" s="1"/>
      <c r="G465" s="1"/>
      <c r="H465" s="1"/>
      <c r="I465" s="1"/>
      <c r="K465" s="1"/>
      <c r="M465" s="14"/>
      <c r="O465" s="14"/>
      <c r="Q465" s="1"/>
      <c r="S465" s="14"/>
      <c r="U465" s="14"/>
      <c r="W465" s="1"/>
      <c r="Y465" s="14"/>
      <c r="AA465" s="14"/>
      <c r="AC465" s="1"/>
      <c r="AE465" s="14"/>
      <c r="AG465" s="14"/>
      <c r="AJ465" s="1"/>
    </row>
    <row r="466" spans="4:36" s="48" customFormat="1" ht="15">
      <c r="D466" s="1"/>
      <c r="E466" s="1"/>
      <c r="F466" s="1"/>
      <c r="G466" s="1"/>
      <c r="H466" s="1"/>
      <c r="I466" s="1"/>
      <c r="K466" s="1"/>
      <c r="M466" s="14"/>
      <c r="O466" s="14"/>
      <c r="Q466" s="1"/>
      <c r="S466" s="14"/>
      <c r="U466" s="14"/>
      <c r="W466" s="1"/>
      <c r="Y466" s="14"/>
      <c r="AA466" s="14"/>
      <c r="AC466" s="1"/>
      <c r="AE466" s="14"/>
      <c r="AG466" s="14"/>
      <c r="AJ466" s="1"/>
    </row>
    <row r="467" spans="4:36" s="48" customFormat="1" ht="15">
      <c r="D467" s="1"/>
      <c r="E467" s="1"/>
      <c r="F467" s="1"/>
      <c r="G467" s="1"/>
      <c r="H467" s="1"/>
      <c r="I467" s="1"/>
      <c r="K467" s="1"/>
      <c r="M467" s="14"/>
      <c r="O467" s="14"/>
      <c r="Q467" s="1"/>
      <c r="S467" s="14"/>
      <c r="U467" s="14"/>
      <c r="W467" s="1"/>
      <c r="Y467" s="14"/>
      <c r="AA467" s="14"/>
      <c r="AC467" s="1"/>
      <c r="AE467" s="14"/>
      <c r="AG467" s="14"/>
      <c r="AJ467" s="1"/>
    </row>
    <row r="468" spans="4:36" s="48" customFormat="1" ht="15">
      <c r="D468" s="1"/>
      <c r="E468" s="1"/>
      <c r="F468" s="1"/>
      <c r="G468" s="1"/>
      <c r="H468" s="1"/>
      <c r="I468" s="1"/>
      <c r="K468" s="1"/>
      <c r="M468" s="14"/>
      <c r="O468" s="14"/>
      <c r="Q468" s="1"/>
      <c r="S468" s="14"/>
      <c r="U468" s="14"/>
      <c r="W468" s="1"/>
      <c r="Y468" s="14"/>
      <c r="AA468" s="14"/>
      <c r="AC468" s="1"/>
      <c r="AE468" s="14"/>
      <c r="AG468" s="14"/>
      <c r="AJ468" s="1"/>
    </row>
    <row r="469" spans="4:36" s="48" customFormat="1" ht="15">
      <c r="D469" s="1"/>
      <c r="E469" s="1"/>
      <c r="F469" s="1"/>
      <c r="G469" s="1"/>
      <c r="H469" s="1"/>
      <c r="I469" s="1"/>
      <c r="K469" s="1"/>
      <c r="M469" s="14"/>
      <c r="O469" s="14"/>
      <c r="Q469" s="1"/>
      <c r="S469" s="14"/>
      <c r="U469" s="14"/>
      <c r="W469" s="1"/>
      <c r="Y469" s="14"/>
      <c r="AA469" s="14"/>
      <c r="AC469" s="1"/>
      <c r="AE469" s="14"/>
      <c r="AG469" s="14"/>
      <c r="AJ469" s="1"/>
    </row>
    <row r="470" spans="4:36" s="48" customFormat="1" ht="15">
      <c r="D470" s="1"/>
      <c r="E470" s="1"/>
      <c r="F470" s="1"/>
      <c r="G470" s="1"/>
      <c r="H470" s="1"/>
      <c r="I470" s="1"/>
      <c r="K470" s="1"/>
      <c r="M470" s="14"/>
      <c r="O470" s="14"/>
      <c r="Q470" s="1"/>
      <c r="S470" s="14"/>
      <c r="U470" s="14"/>
      <c r="W470" s="1"/>
      <c r="Y470" s="14"/>
      <c r="AA470" s="14"/>
      <c r="AC470" s="1"/>
      <c r="AE470" s="14"/>
      <c r="AG470" s="14"/>
      <c r="AJ470" s="1"/>
    </row>
    <row r="471" spans="4:36" s="48" customFormat="1" ht="15">
      <c r="D471" s="1"/>
      <c r="E471" s="1"/>
      <c r="F471" s="1"/>
      <c r="G471" s="1"/>
      <c r="H471" s="1"/>
      <c r="I471" s="1"/>
      <c r="K471" s="1"/>
      <c r="M471" s="14"/>
      <c r="O471" s="14"/>
      <c r="Q471" s="1"/>
      <c r="S471" s="14"/>
      <c r="U471" s="14"/>
      <c r="W471" s="1"/>
      <c r="Y471" s="14"/>
      <c r="AA471" s="14"/>
      <c r="AC471" s="1"/>
      <c r="AE471" s="14"/>
      <c r="AG471" s="14"/>
      <c r="AJ471" s="1"/>
    </row>
    <row r="472" spans="4:36" s="48" customFormat="1" ht="15">
      <c r="D472" s="1"/>
      <c r="E472" s="1"/>
      <c r="F472" s="1"/>
      <c r="G472" s="1"/>
      <c r="H472" s="1"/>
      <c r="I472" s="1"/>
      <c r="K472" s="1"/>
      <c r="M472" s="14"/>
      <c r="O472" s="14"/>
      <c r="Q472" s="1"/>
      <c r="S472" s="14"/>
      <c r="U472" s="14"/>
      <c r="W472" s="1"/>
      <c r="Y472" s="14"/>
      <c r="AA472" s="14"/>
      <c r="AC472" s="1"/>
      <c r="AE472" s="14"/>
      <c r="AG472" s="14"/>
      <c r="AJ472" s="1"/>
    </row>
    <row r="473" spans="4:36" s="48" customFormat="1" ht="15">
      <c r="D473" s="1"/>
      <c r="E473" s="1"/>
      <c r="F473" s="1"/>
      <c r="G473" s="1"/>
      <c r="H473" s="1"/>
      <c r="I473" s="1"/>
      <c r="K473" s="1"/>
      <c r="M473" s="14"/>
      <c r="O473" s="14"/>
      <c r="Q473" s="1"/>
      <c r="S473" s="14"/>
      <c r="U473" s="14"/>
      <c r="W473" s="1"/>
      <c r="Y473" s="14"/>
      <c r="AA473" s="14"/>
      <c r="AC473" s="1"/>
      <c r="AE473" s="14"/>
      <c r="AG473" s="14"/>
      <c r="AJ473" s="1"/>
    </row>
    <row r="474" spans="4:36" s="48" customFormat="1" ht="15">
      <c r="D474" s="1"/>
      <c r="E474" s="1"/>
      <c r="F474" s="1"/>
      <c r="G474" s="1"/>
      <c r="H474" s="1"/>
      <c r="I474" s="1"/>
      <c r="K474" s="1"/>
      <c r="M474" s="14"/>
      <c r="O474" s="14"/>
      <c r="Q474" s="1"/>
      <c r="S474" s="14"/>
      <c r="U474" s="14"/>
      <c r="W474" s="1"/>
      <c r="Y474" s="14"/>
      <c r="AA474" s="14"/>
      <c r="AC474" s="1"/>
      <c r="AE474" s="14"/>
      <c r="AG474" s="14"/>
      <c r="AJ474" s="1"/>
    </row>
    <row r="475" spans="4:36" s="48" customFormat="1" ht="15">
      <c r="D475" s="1"/>
      <c r="E475" s="1"/>
      <c r="F475" s="1"/>
      <c r="G475" s="1"/>
      <c r="H475" s="1"/>
      <c r="I475" s="1"/>
      <c r="K475" s="1"/>
      <c r="M475" s="14"/>
      <c r="O475" s="14"/>
      <c r="Q475" s="1"/>
      <c r="S475" s="14"/>
      <c r="U475" s="14"/>
      <c r="W475" s="1"/>
      <c r="Y475" s="14"/>
      <c r="AA475" s="14"/>
      <c r="AC475" s="1"/>
      <c r="AE475" s="14"/>
      <c r="AG475" s="14"/>
      <c r="AJ475" s="1"/>
    </row>
    <row r="476" spans="4:36" s="48" customFormat="1" ht="15">
      <c r="D476" s="1"/>
      <c r="E476" s="1"/>
      <c r="F476" s="1"/>
      <c r="G476" s="1"/>
      <c r="H476" s="1"/>
      <c r="I476" s="1"/>
      <c r="K476" s="1"/>
      <c r="M476" s="14"/>
      <c r="O476" s="14"/>
      <c r="Q476" s="1"/>
      <c r="S476" s="14"/>
      <c r="U476" s="14"/>
      <c r="W476" s="1"/>
      <c r="Y476" s="14"/>
      <c r="AA476" s="14"/>
      <c r="AC476" s="1"/>
      <c r="AE476" s="14"/>
      <c r="AG476" s="14"/>
      <c r="AJ476" s="1"/>
    </row>
    <row r="477" spans="4:36" s="48" customFormat="1" ht="15">
      <c r="D477" s="1"/>
      <c r="E477" s="1"/>
      <c r="F477" s="1"/>
      <c r="G477" s="1"/>
      <c r="H477" s="1"/>
      <c r="I477" s="1"/>
      <c r="K477" s="1"/>
      <c r="M477" s="14"/>
      <c r="O477" s="14"/>
      <c r="Q477" s="1"/>
      <c r="S477" s="14"/>
      <c r="U477" s="14"/>
      <c r="W477" s="1"/>
      <c r="Y477" s="14"/>
      <c r="AA477" s="14"/>
      <c r="AC477" s="1"/>
      <c r="AE477" s="14"/>
      <c r="AG477" s="14"/>
      <c r="AJ477" s="1"/>
    </row>
    <row r="478" spans="4:36" s="48" customFormat="1" ht="15">
      <c r="D478" s="1"/>
      <c r="E478" s="1"/>
      <c r="F478" s="1"/>
      <c r="G478" s="1"/>
      <c r="H478" s="1"/>
      <c r="I478" s="1"/>
      <c r="K478" s="1"/>
      <c r="M478" s="14"/>
      <c r="O478" s="14"/>
      <c r="Q478" s="1"/>
      <c r="S478" s="14"/>
      <c r="U478" s="14"/>
      <c r="W478" s="1"/>
      <c r="Y478" s="14"/>
      <c r="AA478" s="14"/>
      <c r="AC478" s="1"/>
      <c r="AE478" s="14"/>
      <c r="AG478" s="14"/>
      <c r="AJ478" s="1"/>
    </row>
    <row r="479" spans="4:36" s="48" customFormat="1" ht="15">
      <c r="D479" s="1"/>
      <c r="E479" s="1"/>
      <c r="F479" s="1"/>
      <c r="G479" s="1"/>
      <c r="H479" s="1"/>
      <c r="I479" s="1"/>
      <c r="K479" s="1"/>
      <c r="M479" s="14"/>
      <c r="O479" s="14"/>
      <c r="Q479" s="1"/>
      <c r="S479" s="14"/>
      <c r="U479" s="14"/>
      <c r="W479" s="1"/>
      <c r="Y479" s="14"/>
      <c r="AA479" s="14"/>
      <c r="AC479" s="1"/>
      <c r="AE479" s="14"/>
      <c r="AG479" s="14"/>
      <c r="AJ479" s="1"/>
    </row>
    <row r="480" spans="4:36" s="48" customFormat="1" ht="15">
      <c r="D480" s="1"/>
      <c r="E480" s="1"/>
      <c r="F480" s="1"/>
      <c r="G480" s="1"/>
      <c r="H480" s="1"/>
      <c r="I480" s="1"/>
      <c r="K480" s="1"/>
      <c r="M480" s="14"/>
      <c r="O480" s="14"/>
      <c r="Q480" s="1"/>
      <c r="S480" s="14"/>
      <c r="U480" s="14"/>
      <c r="W480" s="1"/>
      <c r="Y480" s="14"/>
      <c r="AA480" s="14"/>
      <c r="AC480" s="1"/>
      <c r="AE480" s="14"/>
      <c r="AG480" s="14"/>
      <c r="AJ480" s="1"/>
    </row>
    <row r="481" spans="4:36" s="48" customFormat="1" ht="15">
      <c r="D481" s="1"/>
      <c r="E481" s="1"/>
      <c r="F481" s="1"/>
      <c r="G481" s="1"/>
      <c r="H481" s="1"/>
      <c r="I481" s="1"/>
      <c r="K481" s="1"/>
      <c r="M481" s="14"/>
      <c r="O481" s="14"/>
      <c r="Q481" s="1"/>
      <c r="S481" s="14"/>
      <c r="U481" s="14"/>
      <c r="W481" s="1"/>
      <c r="Y481" s="14"/>
      <c r="AA481" s="14"/>
      <c r="AC481" s="1"/>
      <c r="AE481" s="14"/>
      <c r="AG481" s="14"/>
      <c r="AJ481" s="1"/>
    </row>
    <row r="482" spans="4:36" s="48" customFormat="1" ht="15">
      <c r="D482" s="1"/>
      <c r="E482" s="1"/>
      <c r="F482" s="1"/>
      <c r="G482" s="1"/>
      <c r="H482" s="1"/>
      <c r="I482" s="1"/>
      <c r="K482" s="1"/>
      <c r="M482" s="14"/>
      <c r="O482" s="14"/>
      <c r="Q482" s="1"/>
      <c r="S482" s="14"/>
      <c r="U482" s="14"/>
      <c r="W482" s="1"/>
      <c r="Y482" s="14"/>
      <c r="AA482" s="14"/>
      <c r="AC482" s="1"/>
      <c r="AE482" s="14"/>
      <c r="AG482" s="14"/>
      <c r="AJ482" s="1"/>
    </row>
    <row r="483" spans="4:36" s="48" customFormat="1" ht="15">
      <c r="D483" s="1"/>
      <c r="E483" s="1"/>
      <c r="F483" s="1"/>
      <c r="G483" s="1"/>
      <c r="H483" s="1"/>
      <c r="I483" s="1"/>
      <c r="K483" s="1"/>
      <c r="M483" s="14"/>
      <c r="O483" s="14"/>
      <c r="Q483" s="1"/>
      <c r="S483" s="14"/>
      <c r="U483" s="14"/>
      <c r="W483" s="1"/>
      <c r="Y483" s="14"/>
      <c r="AA483" s="14"/>
      <c r="AC483" s="1"/>
      <c r="AE483" s="14"/>
      <c r="AG483" s="14"/>
      <c r="AJ483" s="1"/>
    </row>
    <row r="484" spans="4:36" s="48" customFormat="1" ht="15">
      <c r="D484" s="1"/>
      <c r="E484" s="1"/>
      <c r="F484" s="1"/>
      <c r="G484" s="1"/>
      <c r="H484" s="1"/>
      <c r="I484" s="1"/>
      <c r="K484" s="1"/>
      <c r="M484" s="14"/>
      <c r="O484" s="14"/>
      <c r="Q484" s="1"/>
      <c r="S484" s="14"/>
      <c r="U484" s="14"/>
      <c r="W484" s="1"/>
      <c r="Y484" s="14"/>
      <c r="AA484" s="14"/>
      <c r="AC484" s="1"/>
      <c r="AE484" s="14"/>
      <c r="AG484" s="14"/>
      <c r="AJ484" s="1"/>
    </row>
    <row r="485" spans="4:36" s="48" customFormat="1" ht="15">
      <c r="D485" s="1"/>
      <c r="E485" s="1"/>
      <c r="F485" s="1"/>
      <c r="G485" s="1"/>
      <c r="H485" s="1"/>
      <c r="I485" s="1"/>
      <c r="K485" s="1"/>
      <c r="M485" s="14"/>
      <c r="O485" s="14"/>
      <c r="Q485" s="1"/>
      <c r="S485" s="14"/>
      <c r="U485" s="14"/>
      <c r="W485" s="1"/>
      <c r="Y485" s="14"/>
      <c r="AA485" s="14"/>
      <c r="AC485" s="1"/>
      <c r="AE485" s="14"/>
      <c r="AG485" s="14"/>
      <c r="AJ485" s="1"/>
    </row>
    <row r="486" spans="4:36" s="48" customFormat="1" ht="15">
      <c r="D486" s="1"/>
      <c r="E486" s="1"/>
      <c r="F486" s="1"/>
      <c r="G486" s="1"/>
      <c r="H486" s="1"/>
      <c r="I486" s="1"/>
      <c r="K486" s="1"/>
      <c r="M486" s="14"/>
      <c r="O486" s="14"/>
      <c r="Q486" s="1"/>
      <c r="S486" s="14"/>
      <c r="U486" s="14"/>
      <c r="W486" s="1"/>
      <c r="Y486" s="14"/>
      <c r="AA486" s="14"/>
      <c r="AC486" s="1"/>
      <c r="AE486" s="14"/>
      <c r="AG486" s="14"/>
      <c r="AJ486" s="1"/>
    </row>
    <row r="487" spans="4:36" s="48" customFormat="1" ht="15">
      <c r="D487" s="1"/>
      <c r="E487" s="1"/>
      <c r="F487" s="1"/>
      <c r="G487" s="1"/>
      <c r="H487" s="1"/>
      <c r="I487" s="1"/>
      <c r="K487" s="1"/>
      <c r="M487" s="14"/>
      <c r="O487" s="14"/>
      <c r="Q487" s="1"/>
      <c r="S487" s="14"/>
      <c r="U487" s="14"/>
      <c r="W487" s="1"/>
      <c r="Y487" s="14"/>
      <c r="AA487" s="14"/>
      <c r="AC487" s="1"/>
      <c r="AE487" s="14"/>
      <c r="AG487" s="14"/>
      <c r="AJ487" s="1"/>
    </row>
    <row r="488" spans="4:36" s="48" customFormat="1" ht="15">
      <c r="D488" s="1"/>
      <c r="E488" s="1"/>
      <c r="F488" s="1"/>
      <c r="G488" s="1"/>
      <c r="H488" s="1"/>
      <c r="I488" s="1"/>
      <c r="K488" s="1"/>
      <c r="M488" s="14"/>
      <c r="O488" s="14"/>
      <c r="Q488" s="1"/>
      <c r="S488" s="14"/>
      <c r="U488" s="14"/>
      <c r="W488" s="1"/>
      <c r="Y488" s="14"/>
      <c r="AA488" s="14"/>
      <c r="AC488" s="1"/>
      <c r="AE488" s="14"/>
      <c r="AG488" s="14"/>
      <c r="AJ488" s="1"/>
    </row>
    <row r="489" spans="4:36" s="48" customFormat="1" ht="15">
      <c r="D489" s="1"/>
      <c r="E489" s="1"/>
      <c r="F489" s="1"/>
      <c r="G489" s="1"/>
      <c r="H489" s="1"/>
      <c r="I489" s="1"/>
      <c r="K489" s="1"/>
      <c r="M489" s="14"/>
      <c r="O489" s="14"/>
      <c r="Q489" s="1"/>
      <c r="S489" s="14"/>
      <c r="U489" s="14"/>
      <c r="W489" s="1"/>
      <c r="Y489" s="14"/>
      <c r="AA489" s="14"/>
      <c r="AC489" s="1"/>
      <c r="AE489" s="14"/>
      <c r="AG489" s="14"/>
      <c r="AJ489" s="1"/>
    </row>
    <row r="490" spans="4:36" s="48" customFormat="1" ht="15">
      <c r="D490" s="1"/>
      <c r="E490" s="1"/>
      <c r="F490" s="1"/>
      <c r="G490" s="1"/>
      <c r="H490" s="1"/>
      <c r="I490" s="1"/>
      <c r="K490" s="1"/>
      <c r="M490" s="14"/>
      <c r="O490" s="14"/>
      <c r="Q490" s="1"/>
      <c r="S490" s="14"/>
      <c r="U490" s="14"/>
      <c r="W490" s="1"/>
      <c r="Y490" s="14"/>
      <c r="AA490" s="14"/>
      <c r="AC490" s="1"/>
      <c r="AE490" s="14"/>
      <c r="AG490" s="14"/>
      <c r="AJ490" s="1"/>
    </row>
    <row r="491" spans="4:36" s="48" customFormat="1" ht="15">
      <c r="D491" s="1"/>
      <c r="E491" s="1"/>
      <c r="F491" s="1"/>
      <c r="G491" s="1"/>
      <c r="H491" s="1"/>
      <c r="I491" s="1"/>
      <c r="K491" s="1"/>
      <c r="M491" s="14"/>
      <c r="O491" s="14"/>
      <c r="Q491" s="1"/>
      <c r="S491" s="14"/>
      <c r="U491" s="14"/>
      <c r="W491" s="1"/>
      <c r="Y491" s="14"/>
      <c r="AA491" s="14"/>
      <c r="AC491" s="1"/>
      <c r="AE491" s="14"/>
      <c r="AG491" s="14"/>
      <c r="AJ491" s="1"/>
    </row>
    <row r="492" spans="4:36" s="48" customFormat="1" ht="15">
      <c r="D492" s="1"/>
      <c r="E492" s="1"/>
      <c r="F492" s="1"/>
      <c r="G492" s="1"/>
      <c r="H492" s="1"/>
      <c r="I492" s="1"/>
      <c r="K492" s="1"/>
      <c r="M492" s="14"/>
      <c r="O492" s="14"/>
      <c r="Q492" s="1"/>
      <c r="S492" s="14"/>
      <c r="U492" s="14"/>
      <c r="W492" s="1"/>
      <c r="Y492" s="14"/>
      <c r="AA492" s="14"/>
      <c r="AC492" s="1"/>
      <c r="AE492" s="14"/>
      <c r="AG492" s="14"/>
      <c r="AJ492" s="1"/>
    </row>
    <row r="493" spans="4:36" s="48" customFormat="1" ht="15">
      <c r="D493" s="1"/>
      <c r="E493" s="1"/>
      <c r="F493" s="1"/>
      <c r="G493" s="1"/>
      <c r="H493" s="1"/>
      <c r="I493" s="1"/>
      <c r="K493" s="1"/>
      <c r="M493" s="14"/>
      <c r="O493" s="14"/>
      <c r="Q493" s="1"/>
      <c r="S493" s="14"/>
      <c r="U493" s="14"/>
      <c r="W493" s="1"/>
      <c r="Y493" s="14"/>
      <c r="AA493" s="14"/>
      <c r="AC493" s="1"/>
      <c r="AE493" s="14"/>
      <c r="AG493" s="14"/>
      <c r="AJ493" s="1"/>
    </row>
    <row r="494" spans="4:36" s="48" customFormat="1" ht="15">
      <c r="D494" s="1"/>
      <c r="E494" s="1"/>
      <c r="F494" s="1"/>
      <c r="G494" s="1"/>
      <c r="H494" s="1"/>
      <c r="I494" s="1"/>
      <c r="K494" s="1"/>
      <c r="M494" s="14"/>
      <c r="O494" s="14"/>
      <c r="Q494" s="1"/>
      <c r="S494" s="14"/>
      <c r="U494" s="14"/>
      <c r="W494" s="1"/>
      <c r="Y494" s="14"/>
      <c r="AA494" s="14"/>
      <c r="AC494" s="1"/>
      <c r="AE494" s="14"/>
      <c r="AG494" s="14"/>
      <c r="AJ494" s="1"/>
    </row>
    <row r="495" spans="4:36" s="48" customFormat="1" ht="15">
      <c r="D495" s="1"/>
      <c r="E495" s="1"/>
      <c r="F495" s="1"/>
      <c r="G495" s="1"/>
      <c r="H495" s="1"/>
      <c r="I495" s="1"/>
      <c r="K495" s="1"/>
      <c r="M495" s="14"/>
      <c r="O495" s="14"/>
      <c r="Q495" s="1"/>
      <c r="S495" s="14"/>
      <c r="U495" s="14"/>
      <c r="W495" s="1"/>
      <c r="Y495" s="14"/>
      <c r="AA495" s="14"/>
      <c r="AC495" s="1"/>
      <c r="AE495" s="14"/>
      <c r="AG495" s="14"/>
      <c r="AJ495" s="1"/>
    </row>
    <row r="496" spans="4:36" s="48" customFormat="1" ht="15">
      <c r="D496" s="1"/>
      <c r="E496" s="1"/>
      <c r="F496" s="1"/>
      <c r="G496" s="1"/>
      <c r="H496" s="1"/>
      <c r="I496" s="1"/>
      <c r="K496" s="1"/>
      <c r="M496" s="14"/>
      <c r="O496" s="14"/>
      <c r="Q496" s="1"/>
      <c r="S496" s="14"/>
      <c r="U496" s="14"/>
      <c r="W496" s="1"/>
      <c r="Y496" s="14"/>
      <c r="AA496" s="14"/>
      <c r="AC496" s="1"/>
      <c r="AE496" s="14"/>
      <c r="AG496" s="14"/>
      <c r="AJ496" s="1"/>
    </row>
    <row r="497" spans="4:36" s="48" customFormat="1" ht="15">
      <c r="D497" s="1"/>
      <c r="E497" s="1"/>
      <c r="F497" s="1"/>
      <c r="G497" s="1"/>
      <c r="H497" s="1"/>
      <c r="I497" s="1"/>
      <c r="K497" s="1"/>
      <c r="M497" s="14"/>
      <c r="O497" s="14"/>
      <c r="Q497" s="1"/>
      <c r="S497" s="14"/>
      <c r="U497" s="14"/>
      <c r="W497" s="1"/>
      <c r="Y497" s="14"/>
      <c r="AA497" s="14"/>
      <c r="AC497" s="1"/>
      <c r="AE497" s="14"/>
      <c r="AG497" s="14"/>
      <c r="AJ497" s="1"/>
    </row>
    <row r="498" spans="4:36" s="48" customFormat="1" ht="15">
      <c r="D498" s="1"/>
      <c r="E498" s="1"/>
      <c r="F498" s="1"/>
      <c r="G498" s="1"/>
      <c r="H498" s="1"/>
      <c r="I498" s="1"/>
      <c r="K498" s="1"/>
      <c r="M498" s="14"/>
      <c r="O498" s="14"/>
      <c r="Q498" s="1"/>
      <c r="S498" s="14"/>
      <c r="U498" s="14"/>
      <c r="W498" s="1"/>
      <c r="Y498" s="14"/>
      <c r="AA498" s="14"/>
      <c r="AC498" s="1"/>
      <c r="AE498" s="14"/>
      <c r="AG498" s="14"/>
      <c r="AJ498" s="1"/>
    </row>
    <row r="499" spans="4:36" s="48" customFormat="1" ht="15">
      <c r="D499" s="1"/>
      <c r="E499" s="1"/>
      <c r="F499" s="1"/>
      <c r="G499" s="1"/>
      <c r="H499" s="1"/>
      <c r="I499" s="1"/>
      <c r="K499" s="1"/>
      <c r="M499" s="14"/>
      <c r="O499" s="14"/>
      <c r="Q499" s="1"/>
      <c r="S499" s="14"/>
      <c r="U499" s="14"/>
      <c r="W499" s="1"/>
      <c r="Y499" s="14"/>
      <c r="AA499" s="14"/>
      <c r="AC499" s="1"/>
      <c r="AE499" s="14"/>
      <c r="AG499" s="14"/>
      <c r="AJ499" s="1"/>
    </row>
    <row r="500" spans="4:36" s="48" customFormat="1" ht="15">
      <c r="D500" s="1"/>
      <c r="E500" s="1"/>
      <c r="F500" s="1"/>
      <c r="G500" s="1"/>
      <c r="H500" s="1"/>
      <c r="I500" s="1"/>
      <c r="K500" s="1"/>
      <c r="M500" s="14"/>
      <c r="O500" s="14"/>
      <c r="Q500" s="1"/>
      <c r="S500" s="14"/>
      <c r="U500" s="14"/>
      <c r="W500" s="1"/>
      <c r="Y500" s="14"/>
      <c r="AA500" s="14"/>
      <c r="AC500" s="1"/>
      <c r="AE500" s="14"/>
      <c r="AG500" s="14"/>
      <c r="AJ500" s="1"/>
    </row>
    <row r="501" spans="4:36" s="48" customFormat="1" ht="15">
      <c r="D501" s="1"/>
      <c r="E501" s="1"/>
      <c r="F501" s="1"/>
      <c r="G501" s="1"/>
      <c r="H501" s="1"/>
      <c r="I501" s="1"/>
      <c r="K501" s="1"/>
      <c r="M501" s="14"/>
      <c r="O501" s="14"/>
      <c r="Q501" s="1"/>
      <c r="S501" s="14"/>
      <c r="U501" s="14"/>
      <c r="W501" s="1"/>
      <c r="Y501" s="14"/>
      <c r="AA501" s="14"/>
      <c r="AC501" s="1"/>
      <c r="AE501" s="14"/>
      <c r="AG501" s="14"/>
      <c r="AJ501" s="1"/>
    </row>
    <row r="502" spans="4:36" s="48" customFormat="1" ht="15">
      <c r="D502" s="1"/>
      <c r="E502" s="1"/>
      <c r="F502" s="1"/>
      <c r="G502" s="1"/>
      <c r="H502" s="1"/>
      <c r="I502" s="1"/>
      <c r="K502" s="1"/>
      <c r="M502" s="14"/>
      <c r="O502" s="14"/>
      <c r="Q502" s="1"/>
      <c r="S502" s="14"/>
      <c r="U502" s="14"/>
      <c r="W502" s="1"/>
      <c r="Y502" s="14"/>
      <c r="AA502" s="14"/>
      <c r="AC502" s="1"/>
      <c r="AE502" s="14"/>
      <c r="AG502" s="14"/>
      <c r="AJ502" s="1"/>
    </row>
    <row r="503" spans="4:36" s="48" customFormat="1" ht="15">
      <c r="D503" s="1"/>
      <c r="E503" s="1"/>
      <c r="F503" s="1"/>
      <c r="G503" s="1"/>
      <c r="H503" s="1"/>
      <c r="I503" s="1"/>
      <c r="K503" s="1"/>
      <c r="M503" s="14"/>
      <c r="O503" s="14"/>
      <c r="Q503" s="1"/>
      <c r="S503" s="14"/>
      <c r="U503" s="14"/>
      <c r="W503" s="1"/>
      <c r="Y503" s="14"/>
      <c r="AA503" s="14"/>
      <c r="AC503" s="1"/>
      <c r="AE503" s="14"/>
      <c r="AG503" s="14"/>
      <c r="AJ503" s="1"/>
    </row>
    <row r="504" spans="4:36" s="48" customFormat="1" ht="15">
      <c r="D504" s="1"/>
      <c r="E504" s="1"/>
      <c r="F504" s="1"/>
      <c r="G504" s="1"/>
      <c r="H504" s="1"/>
      <c r="I504" s="1"/>
      <c r="K504" s="1"/>
      <c r="M504" s="14"/>
      <c r="O504" s="14"/>
      <c r="Q504" s="1"/>
      <c r="S504" s="14"/>
      <c r="U504" s="14"/>
      <c r="W504" s="1"/>
      <c r="Y504" s="14"/>
      <c r="AA504" s="14"/>
      <c r="AC504" s="1"/>
      <c r="AE504" s="14"/>
      <c r="AG504" s="14"/>
      <c r="AJ504" s="1"/>
    </row>
    <row r="505" spans="4:36" s="48" customFormat="1" ht="15">
      <c r="D505" s="1"/>
      <c r="E505" s="1"/>
      <c r="F505" s="1"/>
      <c r="G505" s="1"/>
      <c r="H505" s="1"/>
      <c r="I505" s="1"/>
      <c r="K505" s="1"/>
      <c r="M505" s="14"/>
      <c r="O505" s="14"/>
      <c r="Q505" s="1"/>
      <c r="S505" s="14"/>
      <c r="U505" s="14"/>
      <c r="W505" s="1"/>
      <c r="Y505" s="14"/>
      <c r="AA505" s="14"/>
      <c r="AC505" s="1"/>
      <c r="AE505" s="14"/>
      <c r="AG505" s="14"/>
      <c r="AJ505" s="1"/>
    </row>
    <row r="506" spans="4:36" s="48" customFormat="1" ht="15">
      <c r="D506" s="1"/>
      <c r="E506" s="1"/>
      <c r="F506" s="1"/>
      <c r="G506" s="1"/>
      <c r="H506" s="1"/>
      <c r="I506" s="1"/>
      <c r="K506" s="1"/>
      <c r="M506" s="14"/>
      <c r="O506" s="14"/>
      <c r="Q506" s="1"/>
      <c r="S506" s="14"/>
      <c r="U506" s="14"/>
      <c r="W506" s="1"/>
      <c r="Y506" s="14"/>
      <c r="AA506" s="14"/>
      <c r="AC506" s="1"/>
      <c r="AE506" s="14"/>
      <c r="AG506" s="14"/>
      <c r="AJ506" s="1"/>
    </row>
    <row r="507" spans="4:36" s="48" customFormat="1" ht="15">
      <c r="D507" s="1"/>
      <c r="E507" s="1"/>
      <c r="F507" s="1"/>
      <c r="G507" s="1"/>
      <c r="H507" s="1"/>
      <c r="I507" s="1"/>
      <c r="K507" s="1"/>
      <c r="M507" s="14"/>
      <c r="O507" s="14"/>
      <c r="Q507" s="1"/>
      <c r="S507" s="14"/>
      <c r="U507" s="14"/>
      <c r="W507" s="1"/>
      <c r="Y507" s="14"/>
      <c r="AA507" s="14"/>
      <c r="AC507" s="1"/>
      <c r="AE507" s="14"/>
      <c r="AG507" s="14"/>
      <c r="AJ507" s="1"/>
    </row>
    <row r="508" spans="4:36" s="48" customFormat="1" ht="15">
      <c r="D508" s="1"/>
      <c r="E508" s="1"/>
      <c r="F508" s="1"/>
      <c r="G508" s="1"/>
      <c r="H508" s="1"/>
      <c r="I508" s="1"/>
      <c r="K508" s="1"/>
      <c r="M508" s="14"/>
      <c r="O508" s="14"/>
      <c r="Q508" s="1"/>
      <c r="S508" s="14"/>
      <c r="U508" s="14"/>
      <c r="W508" s="1"/>
      <c r="Y508" s="14"/>
      <c r="AA508" s="14"/>
      <c r="AC508" s="1"/>
      <c r="AE508" s="14"/>
      <c r="AG508" s="14"/>
      <c r="AJ508" s="1"/>
    </row>
    <row r="509" spans="4:36" s="48" customFormat="1" ht="15">
      <c r="D509" s="1"/>
      <c r="E509" s="1"/>
      <c r="F509" s="1"/>
      <c r="G509" s="1"/>
      <c r="H509" s="1"/>
      <c r="I509" s="1"/>
      <c r="K509" s="1"/>
      <c r="M509" s="14"/>
      <c r="O509" s="14"/>
      <c r="Q509" s="1"/>
      <c r="S509" s="14"/>
      <c r="U509" s="14"/>
      <c r="W509" s="1"/>
      <c r="Y509" s="14"/>
      <c r="AA509" s="14"/>
      <c r="AC509" s="1"/>
      <c r="AE509" s="14"/>
      <c r="AG509" s="14"/>
      <c r="AJ509" s="1"/>
    </row>
    <row r="510" spans="4:36" s="48" customFormat="1" ht="15">
      <c r="D510" s="1"/>
      <c r="E510" s="1"/>
      <c r="F510" s="1"/>
      <c r="G510" s="1"/>
      <c r="H510" s="1"/>
      <c r="I510" s="1"/>
      <c r="K510" s="1"/>
      <c r="M510" s="14"/>
      <c r="O510" s="14"/>
      <c r="Q510" s="1"/>
      <c r="S510" s="14"/>
      <c r="U510" s="14"/>
      <c r="W510" s="1"/>
      <c r="Y510" s="14"/>
      <c r="AA510" s="14"/>
      <c r="AC510" s="1"/>
      <c r="AE510" s="14"/>
      <c r="AG510" s="14"/>
      <c r="AJ510" s="1"/>
    </row>
    <row r="511" spans="4:36" s="48" customFormat="1" ht="15">
      <c r="D511" s="1"/>
      <c r="E511" s="1"/>
      <c r="F511" s="1"/>
      <c r="G511" s="1"/>
      <c r="H511" s="1"/>
      <c r="I511" s="1"/>
      <c r="K511" s="1"/>
      <c r="M511" s="14"/>
      <c r="O511" s="14"/>
      <c r="Q511" s="1"/>
      <c r="S511" s="14"/>
      <c r="U511" s="14"/>
      <c r="W511" s="1"/>
      <c r="Y511" s="14"/>
      <c r="AA511" s="14"/>
      <c r="AC511" s="1"/>
      <c r="AE511" s="14"/>
      <c r="AG511" s="14"/>
      <c r="AJ511" s="1"/>
    </row>
    <row r="512" spans="4:36" s="48" customFormat="1" ht="15">
      <c r="D512" s="1"/>
      <c r="E512" s="1"/>
      <c r="F512" s="1"/>
      <c r="G512" s="1"/>
      <c r="H512" s="1"/>
      <c r="I512" s="1"/>
      <c r="K512" s="1"/>
      <c r="M512" s="14"/>
      <c r="O512" s="14"/>
      <c r="Q512" s="1"/>
      <c r="S512" s="14"/>
      <c r="U512" s="14"/>
      <c r="W512" s="1"/>
      <c r="Y512" s="14"/>
      <c r="AA512" s="14"/>
      <c r="AC512" s="1"/>
      <c r="AE512" s="14"/>
      <c r="AG512" s="14"/>
      <c r="AJ512" s="1"/>
    </row>
    <row r="513" spans="1:36" s="48" customFormat="1" ht="15">
      <c r="D513" s="1"/>
      <c r="E513" s="1"/>
      <c r="F513" s="1"/>
      <c r="G513" s="1"/>
      <c r="H513" s="1"/>
      <c r="I513" s="1"/>
      <c r="K513" s="1"/>
      <c r="M513" s="14"/>
      <c r="O513" s="14"/>
      <c r="Q513" s="1"/>
      <c r="S513" s="14"/>
      <c r="U513" s="14"/>
      <c r="W513" s="1"/>
      <c r="Y513" s="14"/>
      <c r="AA513" s="14"/>
      <c r="AC513" s="1"/>
      <c r="AE513" s="14"/>
      <c r="AG513" s="14"/>
      <c r="AJ513" s="1"/>
    </row>
    <row r="514" spans="1:36" s="48" customFormat="1" ht="15">
      <c r="D514" s="1"/>
      <c r="E514" s="1"/>
      <c r="F514" s="1"/>
      <c r="G514" s="1"/>
      <c r="H514" s="1"/>
      <c r="I514" s="1"/>
      <c r="K514" s="1"/>
      <c r="M514" s="14"/>
      <c r="O514" s="14"/>
      <c r="Q514" s="1"/>
      <c r="S514" s="14"/>
      <c r="U514" s="14"/>
      <c r="W514" s="1"/>
      <c r="Y514" s="14"/>
      <c r="AA514" s="14"/>
      <c r="AC514" s="1"/>
      <c r="AE514" s="14"/>
      <c r="AG514" s="14"/>
      <c r="AJ514" s="1"/>
    </row>
    <row r="515" spans="1:36" s="48" customFormat="1" ht="15">
      <c r="D515" s="1"/>
      <c r="E515" s="1"/>
      <c r="F515" s="1"/>
      <c r="G515" s="1"/>
      <c r="H515" s="1"/>
      <c r="I515" s="1"/>
      <c r="K515" s="1"/>
      <c r="M515" s="14"/>
      <c r="O515" s="14"/>
      <c r="Q515" s="1"/>
      <c r="S515" s="14"/>
      <c r="U515" s="14"/>
      <c r="W515" s="1"/>
      <c r="Y515" s="14"/>
      <c r="AA515" s="14"/>
      <c r="AC515" s="1"/>
      <c r="AE515" s="14"/>
      <c r="AG515" s="14"/>
      <c r="AJ515" s="1"/>
    </row>
    <row r="516" spans="1:36" s="48" customFormat="1" ht="15">
      <c r="D516" s="1"/>
      <c r="E516" s="1"/>
      <c r="F516" s="1"/>
      <c r="G516" s="1"/>
      <c r="H516" s="1"/>
      <c r="I516" s="1"/>
      <c r="K516" s="1"/>
      <c r="M516" s="14"/>
      <c r="O516" s="14"/>
      <c r="Q516" s="1"/>
      <c r="S516" s="14"/>
      <c r="U516" s="14"/>
      <c r="W516" s="1"/>
      <c r="Y516" s="14"/>
      <c r="AA516" s="14"/>
      <c r="AC516" s="1"/>
      <c r="AE516" s="14"/>
      <c r="AG516" s="14"/>
      <c r="AJ516" s="1"/>
    </row>
    <row r="517" spans="1:36" s="48" customFormat="1" ht="15">
      <c r="D517" s="1"/>
      <c r="E517" s="1"/>
      <c r="F517" s="1"/>
      <c r="G517" s="1"/>
      <c r="H517" s="1"/>
      <c r="I517" s="1"/>
      <c r="K517" s="1"/>
      <c r="M517" s="14"/>
      <c r="O517" s="14"/>
      <c r="Q517" s="1"/>
      <c r="S517" s="14"/>
      <c r="U517" s="14"/>
      <c r="W517" s="1"/>
      <c r="Y517" s="14"/>
      <c r="AA517" s="14"/>
      <c r="AC517" s="1"/>
      <c r="AE517" s="14"/>
      <c r="AG517" s="14"/>
      <c r="AJ517" s="1"/>
    </row>
    <row r="518" spans="1:36" s="48" customFormat="1" ht="15">
      <c r="D518" s="1"/>
      <c r="E518" s="1"/>
      <c r="F518" s="1"/>
      <c r="G518" s="1"/>
      <c r="H518" s="1"/>
      <c r="I518" s="1"/>
      <c r="K518" s="1"/>
      <c r="M518" s="14"/>
      <c r="O518" s="14"/>
      <c r="Q518" s="1"/>
      <c r="S518" s="14"/>
      <c r="U518" s="14"/>
      <c r="W518" s="1"/>
      <c r="Y518" s="14"/>
      <c r="AA518" s="14"/>
      <c r="AC518" s="1"/>
      <c r="AE518" s="14"/>
      <c r="AG518" s="14"/>
      <c r="AJ518" s="1"/>
    </row>
    <row r="519" spans="1:36" s="48" customFormat="1" ht="15">
      <c r="D519" s="1"/>
      <c r="E519" s="1"/>
      <c r="F519" s="1"/>
      <c r="G519" s="1"/>
      <c r="H519" s="1"/>
      <c r="I519" s="1"/>
      <c r="K519" s="1"/>
      <c r="M519" s="14"/>
      <c r="O519" s="14"/>
      <c r="Q519" s="1"/>
      <c r="S519" s="14"/>
      <c r="U519" s="14"/>
      <c r="W519" s="1"/>
      <c r="Y519" s="14"/>
      <c r="AA519" s="14"/>
      <c r="AC519" s="1"/>
      <c r="AE519" s="14"/>
      <c r="AG519" s="14"/>
      <c r="AJ519" s="1"/>
    </row>
    <row r="520" spans="1:36" s="48" customFormat="1" ht="15">
      <c r="D520" s="1"/>
      <c r="E520" s="1"/>
      <c r="F520" s="1"/>
      <c r="G520" s="1"/>
      <c r="H520" s="1"/>
      <c r="I520" s="1"/>
      <c r="K520" s="1"/>
      <c r="M520" s="14"/>
      <c r="O520" s="14"/>
      <c r="Q520" s="1"/>
      <c r="S520" s="14"/>
      <c r="U520" s="14"/>
      <c r="W520" s="1"/>
      <c r="Y520" s="14"/>
      <c r="AA520" s="14"/>
      <c r="AC520" s="1"/>
      <c r="AE520" s="14"/>
      <c r="AG520" s="14"/>
      <c r="AJ520" s="1"/>
    </row>
    <row r="521" spans="1:36" s="48" customFormat="1" ht="15">
      <c r="D521" s="1"/>
      <c r="E521" s="1"/>
      <c r="F521" s="1"/>
      <c r="G521" s="1"/>
      <c r="H521" s="1"/>
      <c r="I521" s="1"/>
      <c r="K521" s="1"/>
      <c r="M521" s="14"/>
      <c r="O521" s="14"/>
      <c r="Q521" s="1"/>
      <c r="S521" s="14"/>
      <c r="U521" s="14"/>
      <c r="W521" s="1"/>
      <c r="Y521" s="14"/>
      <c r="AA521" s="14"/>
      <c r="AC521" s="1"/>
      <c r="AE521" s="14"/>
      <c r="AG521" s="14"/>
      <c r="AJ521" s="1"/>
    </row>
    <row r="522" spans="1:36" s="48" customFormat="1" ht="15">
      <c r="D522" s="1"/>
      <c r="E522" s="1"/>
      <c r="F522" s="1"/>
      <c r="G522" s="1"/>
      <c r="H522" s="1"/>
      <c r="I522" s="1"/>
      <c r="K522" s="1"/>
      <c r="M522" s="14"/>
      <c r="O522" s="14"/>
      <c r="Q522" s="1"/>
      <c r="S522" s="14"/>
      <c r="U522" s="14"/>
      <c r="W522" s="1"/>
      <c r="Y522" s="14"/>
      <c r="AA522" s="14"/>
      <c r="AC522" s="1"/>
      <c r="AE522" s="14"/>
      <c r="AG522" s="14"/>
      <c r="AJ522" s="1"/>
    </row>
    <row r="523" spans="1:36" s="48" customFormat="1">
      <c r="A523" s="1"/>
      <c r="C523" s="1"/>
      <c r="D523" s="1"/>
      <c r="E523" s="1"/>
      <c r="F523" s="1"/>
      <c r="G523" s="1"/>
      <c r="H523" s="1"/>
      <c r="I523" s="1"/>
      <c r="K523" s="1"/>
      <c r="M523" s="1"/>
      <c r="O523" s="1"/>
      <c r="Q523" s="1"/>
      <c r="S523" s="1"/>
      <c r="U523" s="1"/>
      <c r="W523" s="1"/>
      <c r="Y523" s="1"/>
      <c r="AA523" s="1"/>
      <c r="AC523" s="1"/>
      <c r="AE523" s="1"/>
      <c r="AG523" s="1"/>
      <c r="AI523" s="1"/>
      <c r="AJ523" s="1"/>
    </row>
    <row r="524" spans="1:36" s="48" customFormat="1">
      <c r="A524" s="1"/>
      <c r="C524" s="1"/>
      <c r="D524" s="1"/>
      <c r="E524" s="1"/>
      <c r="F524" s="1"/>
      <c r="G524" s="1"/>
      <c r="H524" s="1"/>
      <c r="I524" s="1"/>
      <c r="K524" s="1"/>
      <c r="M524" s="1"/>
      <c r="O524" s="1"/>
      <c r="Q524" s="1"/>
      <c r="S524" s="1"/>
      <c r="U524" s="1"/>
      <c r="W524" s="1"/>
      <c r="Y524" s="1"/>
      <c r="AA524" s="1"/>
      <c r="AC524" s="1"/>
      <c r="AE524" s="1"/>
      <c r="AG524" s="1"/>
      <c r="AI524" s="1"/>
      <c r="AJ524" s="1"/>
    </row>
    <row r="525" spans="1:36" s="48" customFormat="1">
      <c r="A525" s="1"/>
      <c r="C525" s="1"/>
      <c r="D525" s="1"/>
      <c r="E525" s="1"/>
      <c r="F525" s="1"/>
      <c r="G525" s="1"/>
      <c r="H525" s="1"/>
      <c r="I525" s="1"/>
      <c r="K525" s="1"/>
      <c r="M525" s="1"/>
      <c r="O525" s="1"/>
      <c r="Q525" s="1"/>
      <c r="S525" s="1"/>
      <c r="U525" s="1"/>
      <c r="W525" s="1"/>
      <c r="Y525" s="1"/>
      <c r="AA525" s="1"/>
      <c r="AC525" s="1"/>
      <c r="AE525" s="1"/>
      <c r="AG525" s="1"/>
      <c r="AI525" s="1"/>
      <c r="AJ525" s="1"/>
    </row>
    <row r="526" spans="1:36" s="48" customFormat="1">
      <c r="A526" s="1"/>
      <c r="C526" s="1"/>
      <c r="D526" s="1"/>
      <c r="E526" s="1"/>
      <c r="F526" s="1"/>
      <c r="G526" s="1"/>
      <c r="H526" s="1"/>
      <c r="I526" s="1"/>
      <c r="K526" s="1"/>
      <c r="M526" s="1"/>
      <c r="O526" s="1"/>
      <c r="Q526" s="1"/>
      <c r="S526" s="1"/>
      <c r="U526" s="1"/>
      <c r="W526" s="1"/>
      <c r="Y526" s="1"/>
      <c r="AA526" s="1"/>
      <c r="AC526" s="1"/>
      <c r="AE526" s="1"/>
      <c r="AG526" s="1"/>
      <c r="AI526" s="1"/>
      <c r="AJ526" s="1"/>
    </row>
    <row r="527" spans="1:36" s="48" customFormat="1">
      <c r="A527" s="1"/>
      <c r="C527" s="1"/>
      <c r="D527" s="1"/>
      <c r="E527" s="1"/>
      <c r="F527" s="1"/>
      <c r="G527" s="1"/>
      <c r="H527" s="1"/>
      <c r="I527" s="1"/>
      <c r="K527" s="1"/>
      <c r="M527" s="1"/>
      <c r="O527" s="1"/>
      <c r="Q527" s="1"/>
      <c r="S527" s="1"/>
      <c r="U527" s="1"/>
      <c r="W527" s="1"/>
      <c r="Y527" s="1"/>
      <c r="AA527" s="1"/>
      <c r="AC527" s="1"/>
      <c r="AE527" s="1"/>
      <c r="AG527" s="1"/>
      <c r="AI527" s="1"/>
      <c r="AJ527" s="1"/>
    </row>
    <row r="528" spans="1:36" s="48" customFormat="1">
      <c r="A528" s="1"/>
      <c r="C528" s="1"/>
      <c r="D528" s="1"/>
      <c r="E528" s="1"/>
      <c r="F528" s="1"/>
      <c r="G528" s="1"/>
      <c r="H528" s="1"/>
      <c r="I528" s="1"/>
      <c r="K528" s="1"/>
      <c r="M528" s="1"/>
      <c r="O528" s="1"/>
      <c r="Q528" s="1"/>
      <c r="S528" s="1"/>
      <c r="U528" s="1"/>
      <c r="W528" s="1"/>
      <c r="Y528" s="1"/>
      <c r="AA528" s="1"/>
      <c r="AC528" s="1"/>
      <c r="AE528" s="1"/>
      <c r="AG528" s="1"/>
      <c r="AI528" s="1"/>
      <c r="AJ528" s="1"/>
    </row>
    <row r="529" spans="1:36" s="48" customFormat="1">
      <c r="A529" s="1"/>
      <c r="C529" s="1"/>
      <c r="D529" s="1"/>
      <c r="E529" s="1"/>
      <c r="F529" s="1"/>
      <c r="G529" s="1"/>
      <c r="H529" s="1"/>
      <c r="I529" s="1"/>
      <c r="K529" s="1"/>
      <c r="M529" s="1"/>
      <c r="O529" s="1"/>
      <c r="Q529" s="1"/>
      <c r="S529" s="1"/>
      <c r="U529" s="1"/>
      <c r="W529" s="1"/>
      <c r="Y529" s="1"/>
      <c r="AA529" s="1"/>
      <c r="AC529" s="1"/>
      <c r="AE529" s="1"/>
      <c r="AG529" s="1"/>
      <c r="AI529" s="1"/>
      <c r="AJ529" s="1"/>
    </row>
    <row r="530" spans="1:36" s="48" customFormat="1">
      <c r="A530" s="1"/>
      <c r="C530" s="1"/>
      <c r="D530" s="1"/>
      <c r="E530" s="1"/>
      <c r="F530" s="1"/>
      <c r="G530" s="1"/>
      <c r="H530" s="1"/>
      <c r="I530" s="1"/>
      <c r="K530" s="1"/>
      <c r="M530" s="1"/>
      <c r="O530" s="1"/>
      <c r="Q530" s="1"/>
      <c r="S530" s="1"/>
      <c r="U530" s="1"/>
      <c r="W530" s="1"/>
      <c r="Y530" s="1"/>
      <c r="AA530" s="1"/>
      <c r="AC530" s="1"/>
      <c r="AE530" s="1"/>
      <c r="AG530" s="1"/>
      <c r="AI530" s="1"/>
      <c r="AJ530" s="1"/>
    </row>
    <row r="531" spans="1:36" s="48" customFormat="1">
      <c r="A531" s="1"/>
      <c r="C531" s="1"/>
      <c r="D531" s="1"/>
      <c r="E531" s="1"/>
      <c r="F531" s="1"/>
      <c r="G531" s="1"/>
      <c r="H531" s="1"/>
      <c r="I531" s="1"/>
      <c r="K531" s="1"/>
      <c r="M531" s="1"/>
      <c r="O531" s="1"/>
      <c r="Q531" s="1"/>
      <c r="S531" s="1"/>
      <c r="U531" s="1"/>
      <c r="W531" s="1"/>
      <c r="Y531" s="1"/>
      <c r="AA531" s="1"/>
      <c r="AC531" s="1"/>
      <c r="AE531" s="1"/>
      <c r="AG531" s="1"/>
      <c r="AI531" s="1"/>
      <c r="AJ531" s="1"/>
    </row>
    <row r="532" spans="1:36" s="48" customFormat="1">
      <c r="A532" s="1"/>
      <c r="C532" s="1"/>
      <c r="D532" s="1"/>
      <c r="E532" s="1"/>
      <c r="F532" s="1"/>
      <c r="G532" s="1"/>
      <c r="H532" s="1"/>
      <c r="I532" s="1"/>
      <c r="K532" s="1"/>
      <c r="M532" s="1"/>
      <c r="O532" s="1"/>
      <c r="Q532" s="1"/>
      <c r="S532" s="1"/>
      <c r="U532" s="1"/>
      <c r="W532" s="1"/>
      <c r="Y532" s="1"/>
      <c r="AA532" s="1"/>
      <c r="AC532" s="1"/>
      <c r="AE532" s="1"/>
      <c r="AG532" s="1"/>
      <c r="AI532" s="1"/>
      <c r="AJ532" s="1"/>
    </row>
    <row r="533" spans="1:36" s="48" customFormat="1">
      <c r="A533" s="1"/>
      <c r="C533" s="1"/>
      <c r="D533" s="1"/>
      <c r="E533" s="1"/>
      <c r="F533" s="1"/>
      <c r="G533" s="1"/>
      <c r="H533" s="1"/>
      <c r="I533" s="1"/>
      <c r="K533" s="1"/>
      <c r="M533" s="1"/>
      <c r="O533" s="1"/>
      <c r="Q533" s="1"/>
      <c r="S533" s="1"/>
      <c r="U533" s="1"/>
      <c r="W533" s="1"/>
      <c r="Y533" s="1"/>
      <c r="AA533" s="1"/>
      <c r="AC533" s="1"/>
      <c r="AE533" s="1"/>
      <c r="AG533" s="1"/>
      <c r="AI533" s="1"/>
      <c r="AJ533" s="1"/>
    </row>
    <row r="534" spans="1:36" s="48" customFormat="1">
      <c r="A534" s="1"/>
      <c r="C534" s="1"/>
      <c r="D534" s="1"/>
      <c r="E534" s="1"/>
      <c r="F534" s="1"/>
      <c r="G534" s="1"/>
      <c r="H534" s="1"/>
      <c r="I534" s="1"/>
      <c r="K534" s="1"/>
      <c r="M534" s="1"/>
      <c r="O534" s="1"/>
      <c r="Q534" s="1"/>
      <c r="S534" s="1"/>
      <c r="U534" s="1"/>
      <c r="W534" s="1"/>
      <c r="Y534" s="1"/>
      <c r="AA534" s="1"/>
      <c r="AC534" s="1"/>
      <c r="AE534" s="1"/>
      <c r="AG534" s="1"/>
      <c r="AI534" s="1"/>
      <c r="AJ534" s="1"/>
    </row>
    <row r="535" spans="1:36" s="48" customFormat="1">
      <c r="A535" s="1"/>
      <c r="C535" s="1"/>
      <c r="D535" s="1"/>
      <c r="E535" s="1"/>
      <c r="F535" s="1"/>
      <c r="G535" s="1"/>
      <c r="H535" s="1"/>
      <c r="I535" s="1"/>
      <c r="K535" s="1"/>
      <c r="M535" s="1"/>
      <c r="O535" s="1"/>
      <c r="Q535" s="1"/>
      <c r="S535" s="1"/>
      <c r="U535" s="1"/>
      <c r="W535" s="1"/>
      <c r="Y535" s="1"/>
      <c r="AA535" s="1"/>
      <c r="AC535" s="1"/>
      <c r="AE535" s="1"/>
      <c r="AG535" s="1"/>
      <c r="AI535" s="1"/>
      <c r="AJ535" s="1"/>
    </row>
    <row r="536" spans="1:36" s="48" customFormat="1">
      <c r="A536" s="1"/>
      <c r="C536" s="1"/>
      <c r="D536" s="1"/>
      <c r="E536" s="1"/>
      <c r="F536" s="1"/>
      <c r="G536" s="1"/>
      <c r="H536" s="1"/>
      <c r="I536" s="1"/>
      <c r="K536" s="1"/>
      <c r="M536" s="1"/>
      <c r="O536" s="1"/>
      <c r="Q536" s="1"/>
      <c r="S536" s="1"/>
      <c r="U536" s="1"/>
      <c r="W536" s="1"/>
      <c r="Y536" s="1"/>
      <c r="AA536" s="1"/>
      <c r="AC536" s="1"/>
      <c r="AE536" s="1"/>
      <c r="AG536" s="1"/>
      <c r="AI536" s="1"/>
      <c r="AJ536" s="1"/>
    </row>
    <row r="537" spans="1:36" s="48" customFormat="1">
      <c r="A537" s="1"/>
      <c r="C537" s="1"/>
      <c r="D537" s="1"/>
      <c r="E537" s="1"/>
      <c r="F537" s="1"/>
      <c r="G537" s="1"/>
      <c r="H537" s="1"/>
      <c r="I537" s="1"/>
      <c r="K537" s="1"/>
      <c r="M537" s="1"/>
      <c r="O537" s="1"/>
      <c r="Q537" s="1"/>
      <c r="S537" s="1"/>
      <c r="U537" s="1"/>
      <c r="W537" s="1"/>
      <c r="Y537" s="1"/>
      <c r="AA537" s="1"/>
      <c r="AC537" s="1"/>
      <c r="AE537" s="1"/>
      <c r="AG537" s="1"/>
      <c r="AI537" s="1"/>
      <c r="AJ537" s="1"/>
    </row>
    <row r="538" spans="1:36">
      <c r="B538" s="48"/>
    </row>
    <row r="539" spans="1:36">
      <c r="B539" s="48"/>
    </row>
    <row r="540" spans="1:36">
      <c r="B540" s="48"/>
    </row>
    <row r="541" spans="1:36">
      <c r="B541" s="48"/>
    </row>
    <row r="542" spans="1:36">
      <c r="B542" s="48"/>
    </row>
    <row r="543" spans="1:36">
      <c r="B543" s="48"/>
    </row>
    <row r="544" spans="1:36">
      <c r="B544" s="48"/>
    </row>
    <row r="545" spans="2:34">
      <c r="B545" s="48"/>
    </row>
    <row r="546" spans="2:34">
      <c r="B546" s="48"/>
    </row>
    <row r="547" spans="2:34">
      <c r="B547" s="48"/>
    </row>
    <row r="548" spans="2:34">
      <c r="B548" s="48"/>
      <c r="J548" s="1"/>
      <c r="L548" s="1"/>
      <c r="N548" s="1"/>
      <c r="P548" s="1"/>
      <c r="R548" s="1"/>
      <c r="T548" s="1"/>
      <c r="V548" s="1"/>
      <c r="X548" s="1"/>
      <c r="Z548" s="1"/>
      <c r="AB548" s="1"/>
      <c r="AD548" s="1"/>
      <c r="AF548" s="1"/>
      <c r="AH548" s="1"/>
    </row>
    <row r="549" spans="2:34">
      <c r="B549" s="48"/>
      <c r="J549" s="1"/>
      <c r="L549" s="1"/>
      <c r="N549" s="1"/>
      <c r="P549" s="1"/>
      <c r="R549" s="1"/>
      <c r="T549" s="1"/>
      <c r="V549" s="1"/>
      <c r="X549" s="1"/>
      <c r="Z549" s="1"/>
      <c r="AB549" s="1"/>
      <c r="AD549" s="1"/>
      <c r="AF549" s="1"/>
      <c r="AH549" s="1"/>
    </row>
    <row r="550" spans="2:34">
      <c r="B550" s="48"/>
      <c r="J550" s="1"/>
      <c r="L550" s="1"/>
      <c r="N550" s="1"/>
      <c r="P550" s="1"/>
      <c r="R550" s="1"/>
      <c r="T550" s="1"/>
      <c r="V550" s="1"/>
      <c r="X550" s="1"/>
      <c r="Z550" s="1"/>
      <c r="AB550" s="1"/>
      <c r="AD550" s="1"/>
      <c r="AF550" s="1"/>
      <c r="AH550" s="1"/>
    </row>
    <row r="551" spans="2:34">
      <c r="B551" s="48"/>
      <c r="J551" s="1"/>
      <c r="L551" s="1"/>
      <c r="N551" s="1"/>
      <c r="P551" s="1"/>
      <c r="R551" s="1"/>
      <c r="T551" s="1"/>
      <c r="V551" s="1"/>
      <c r="X551" s="1"/>
      <c r="Z551" s="1"/>
      <c r="AB551" s="1"/>
      <c r="AD551" s="1"/>
      <c r="AF551" s="1"/>
      <c r="AH551" s="1"/>
    </row>
    <row r="552" spans="2:34">
      <c r="B552" s="48"/>
      <c r="J552" s="1"/>
      <c r="L552" s="1"/>
      <c r="N552" s="1"/>
      <c r="P552" s="1"/>
      <c r="R552" s="1"/>
      <c r="T552" s="1"/>
      <c r="V552" s="1"/>
      <c r="X552" s="1"/>
      <c r="Z552" s="1"/>
      <c r="AB552" s="1"/>
      <c r="AD552" s="1"/>
      <c r="AF552" s="1"/>
      <c r="AH552" s="1"/>
    </row>
    <row r="553" spans="2:34">
      <c r="B553" s="48"/>
      <c r="J553" s="1"/>
      <c r="L553" s="1"/>
      <c r="N553" s="1"/>
      <c r="P553" s="1"/>
      <c r="R553" s="1"/>
      <c r="T553" s="1"/>
      <c r="V553" s="1"/>
      <c r="X553" s="1"/>
      <c r="Z553" s="1"/>
      <c r="AB553" s="1"/>
      <c r="AD553" s="1"/>
      <c r="AF553" s="1"/>
      <c r="AH553" s="1"/>
    </row>
    <row r="554" spans="2:34">
      <c r="B554" s="48"/>
      <c r="J554" s="1"/>
      <c r="L554" s="1"/>
      <c r="N554" s="1"/>
      <c r="P554" s="1"/>
      <c r="R554" s="1"/>
      <c r="T554" s="1"/>
      <c r="V554" s="1"/>
      <c r="X554" s="1"/>
      <c r="Z554" s="1"/>
      <c r="AB554" s="1"/>
      <c r="AD554" s="1"/>
      <c r="AF554" s="1"/>
      <c r="AH554" s="1"/>
    </row>
    <row r="555" spans="2:34">
      <c r="B555" s="48"/>
      <c r="J555" s="1"/>
      <c r="L555" s="1"/>
      <c r="N555" s="1"/>
      <c r="P555" s="1"/>
      <c r="R555" s="1"/>
      <c r="T555" s="1"/>
      <c r="V555" s="1"/>
      <c r="X555" s="1"/>
      <c r="Z555" s="1"/>
      <c r="AB555" s="1"/>
      <c r="AD555" s="1"/>
      <c r="AF555" s="1"/>
      <c r="AH555" s="1"/>
    </row>
    <row r="556" spans="2:34">
      <c r="B556" s="48"/>
      <c r="J556" s="1"/>
      <c r="L556" s="1"/>
      <c r="N556" s="1"/>
      <c r="P556" s="1"/>
      <c r="R556" s="1"/>
      <c r="T556" s="1"/>
      <c r="V556" s="1"/>
      <c r="X556" s="1"/>
      <c r="Z556" s="1"/>
      <c r="AB556" s="1"/>
      <c r="AD556" s="1"/>
      <c r="AF556" s="1"/>
      <c r="AH556" s="1"/>
    </row>
    <row r="557" spans="2:34">
      <c r="B557" s="48"/>
      <c r="J557" s="1"/>
      <c r="L557" s="1"/>
      <c r="N557" s="1"/>
      <c r="P557" s="1"/>
      <c r="R557" s="1"/>
      <c r="T557" s="1"/>
      <c r="V557" s="1"/>
      <c r="X557" s="1"/>
      <c r="Z557" s="1"/>
      <c r="AB557" s="1"/>
      <c r="AD557" s="1"/>
      <c r="AF557" s="1"/>
      <c r="AH557" s="1"/>
    </row>
  </sheetData>
  <pageMargins left="0.25" right="0.25" top="0.27" bottom="0.4" header="0.18" footer="0.25"/>
  <pageSetup scale="65" fitToHeight="0" orientation="landscape" errors="blank" r:id="rId1"/>
  <headerFooter alignWithMargins="0">
    <oddHeader>&amp;C&amp;"-,Bold"&amp;KFF0000TEXT IN RED BOX CONFIDENTIAL PER WAC 480-07-160</oddHeader>
    <oddFooter>&amp;L&amp;F - &amp;A&amp;CPrinted &amp;D - &amp;T&amp;RPage &amp;P of &amp;N</oddFooter>
  </headerFooter>
  <rowBreaks count="1" manualBreakCount="1">
    <brk id="305" min="3" max="33" man="1"/>
  </rowBreaks>
  <colBreaks count="1" manualBreakCount="1">
    <brk id="34" min="5" max="31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XFB200"/>
  <sheetViews>
    <sheetView view="pageBreakPreview" zoomScale="60" zoomScaleNormal="85" workbookViewId="0">
      <pane xSplit="4" ySplit="5" topLeftCell="E6" activePane="bottomRight" state="frozen"/>
      <selection activeCell="AL35" sqref="AL35"/>
      <selection pane="topRight" activeCell="AL35" sqref="AL35"/>
      <selection pane="bottomLeft" activeCell="AL35" sqref="AL35"/>
      <selection pane="bottomRight" activeCell="AL35" sqref="AL35"/>
    </sheetView>
  </sheetViews>
  <sheetFormatPr defaultColWidth="9.140625" defaultRowHeight="12.75" outlineLevelCol="1"/>
  <cols>
    <col min="1" max="1" width="22.7109375" style="914" customWidth="1"/>
    <col min="2" max="2" width="29.140625" style="914" bestFit="1" customWidth="1"/>
    <col min="3" max="3" width="10.28515625" style="914" customWidth="1"/>
    <col min="4" max="4" width="20.140625" style="914" customWidth="1"/>
    <col min="5" max="6" width="2.5703125" style="914" customWidth="1"/>
    <col min="7" max="14" width="13.5703125" style="915" hidden="1" customWidth="1" outlineLevel="1"/>
    <col min="15" max="15" width="14.140625" style="915" hidden="1" customWidth="1" outlineLevel="1"/>
    <col min="16" max="16" width="12.7109375" style="915" hidden="1" customWidth="1" outlineLevel="1"/>
    <col min="17" max="17" width="12.5703125" style="915" hidden="1" customWidth="1" outlineLevel="1"/>
    <col min="18" max="18" width="13.5703125" style="915" hidden="1" customWidth="1" outlineLevel="1"/>
    <col min="19" max="19" width="14.5703125" style="915" bestFit="1" customWidth="1" collapsed="1"/>
    <col min="20" max="20" width="2" style="914" customWidth="1"/>
    <col min="21" max="32" width="10.140625" style="914" hidden="1" customWidth="1" outlineLevel="1"/>
    <col min="33" max="33" width="10.5703125" style="914" bestFit="1" customWidth="1" collapsed="1"/>
    <col min="34" max="34" width="11.5703125" style="914" bestFit="1" customWidth="1"/>
    <col min="35" max="35" width="9.140625" style="914"/>
    <col min="36" max="36" width="11" style="914" hidden="1" customWidth="1" outlineLevel="1"/>
    <col min="37" max="37" width="17.7109375" style="914" hidden="1" customWidth="1" outlineLevel="1"/>
    <col min="38" max="40" width="9.140625" style="914" hidden="1" customWidth="1" outlineLevel="1"/>
    <col min="41" max="41" width="9.140625" style="914" collapsed="1"/>
    <col min="42" max="42" width="10.85546875" style="914" customWidth="1"/>
    <col min="43" max="43" width="10.7109375" style="914" customWidth="1"/>
    <col min="44" max="45" width="9.140625" style="914"/>
    <col min="46" max="46" width="12" style="914" bestFit="1" customWidth="1"/>
    <col min="47" max="47" width="9.140625" style="914"/>
    <col min="48" max="48" width="12.85546875" style="914" customWidth="1"/>
    <col min="49" max="49" width="9.140625" style="914"/>
    <col min="50" max="50" width="12" style="914" bestFit="1" customWidth="1"/>
    <col min="51" max="53" width="9.140625" style="914"/>
    <col min="54" max="54" width="10.5703125" style="914" bestFit="1" customWidth="1"/>
    <col min="55" max="16384" width="9.140625" style="914"/>
  </cols>
  <sheetData>
    <row r="1" spans="1:61" ht="28.5" customHeight="1">
      <c r="A1" s="947" t="s">
        <v>1440</v>
      </c>
      <c r="B1" s="925"/>
      <c r="C1" s="988" t="s">
        <v>1441</v>
      </c>
      <c r="D1" s="988" t="s">
        <v>1442</v>
      </c>
      <c r="E1" s="925"/>
      <c r="F1" s="925"/>
      <c r="G1" s="988"/>
      <c r="H1" s="988"/>
      <c r="I1" s="988"/>
      <c r="J1" s="927"/>
      <c r="K1" s="927"/>
      <c r="L1" s="927"/>
      <c r="M1" s="927"/>
      <c r="N1" s="927"/>
      <c r="O1" s="927"/>
      <c r="R1" s="988"/>
      <c r="S1" s="927"/>
      <c r="T1" s="925"/>
      <c r="AP1" s="914" t="s">
        <v>3019</v>
      </c>
      <c r="AX1" s="987"/>
      <c r="AY1" s="986" t="s">
        <v>1766</v>
      </c>
      <c r="AZ1" s="986" t="s">
        <v>3018</v>
      </c>
      <c r="BA1" s="986" t="s">
        <v>3017</v>
      </c>
      <c r="BB1" s="986" t="s">
        <v>3016</v>
      </c>
    </row>
    <row r="2" spans="1:61" ht="12" customHeight="1">
      <c r="A2" s="947" t="s">
        <v>1443</v>
      </c>
      <c r="B2" s="925"/>
      <c r="C2" s="963"/>
      <c r="D2" s="963"/>
      <c r="E2" s="925"/>
      <c r="F2" s="925"/>
      <c r="G2" s="927"/>
      <c r="H2" s="927"/>
      <c r="I2" s="927"/>
      <c r="J2" s="927"/>
      <c r="K2" s="985">
        <f>85.35/60</f>
        <v>1.4224999999999999</v>
      </c>
      <c r="L2" s="927"/>
      <c r="M2" s="927"/>
      <c r="N2" s="927"/>
      <c r="O2" s="927"/>
      <c r="P2" s="927"/>
      <c r="Q2" s="927"/>
      <c r="R2" s="927"/>
      <c r="S2" s="927"/>
      <c r="T2" s="925"/>
      <c r="AP2" s="914" t="s">
        <v>3015</v>
      </c>
      <c r="AX2" s="979" t="s">
        <v>3014</v>
      </c>
      <c r="AY2" s="977">
        <f ca="1">'LG BRG - MSW'!$K$22</f>
        <v>6.542641945990324E-2</v>
      </c>
      <c r="AZ2" s="978">
        <v>-6.7999999999999996E-3</v>
      </c>
      <c r="BA2" s="977">
        <f ca="1">AY2+AZ2</f>
        <v>5.862641945990324E-2</v>
      </c>
      <c r="BB2" s="929">
        <f ca="1">AV178+AV145+AV46-'LG BRG - MSW'!$J$20</f>
        <v>-274.04788647149689</v>
      </c>
    </row>
    <row r="3" spans="1:61" ht="12" customHeight="1">
      <c r="A3" s="920" t="s">
        <v>3013</v>
      </c>
      <c r="B3" s="925">
        <v>2</v>
      </c>
      <c r="C3" s="963"/>
      <c r="D3" s="963"/>
      <c r="E3" s="925"/>
      <c r="F3" s="925"/>
      <c r="G3" s="927"/>
      <c r="H3" s="927"/>
      <c r="I3" s="927"/>
      <c r="J3" s="927"/>
      <c r="K3" s="927"/>
      <c r="L3" s="927"/>
      <c r="M3" s="927"/>
      <c r="N3" s="927"/>
      <c r="O3" s="927"/>
      <c r="P3" s="927"/>
      <c r="Q3" s="927"/>
      <c r="R3" s="927"/>
      <c r="S3" s="927"/>
      <c r="T3" s="925"/>
      <c r="U3" s="963">
        <f t="shared" ref="U3:AF3" si="0">G5</f>
        <v>2021</v>
      </c>
      <c r="V3" s="963">
        <f t="shared" si="0"/>
        <v>2021</v>
      </c>
      <c r="W3" s="963">
        <f t="shared" si="0"/>
        <v>2021</v>
      </c>
      <c r="X3" s="963">
        <f t="shared" si="0"/>
        <v>2021</v>
      </c>
      <c r="Y3" s="963">
        <f t="shared" si="0"/>
        <v>2021</v>
      </c>
      <c r="Z3" s="963">
        <f t="shared" si="0"/>
        <v>2021</v>
      </c>
      <c r="AA3" s="963">
        <f t="shared" si="0"/>
        <v>2021</v>
      </c>
      <c r="AB3" s="963">
        <f t="shared" si="0"/>
        <v>2021</v>
      </c>
      <c r="AC3" s="963">
        <f t="shared" si="0"/>
        <v>2021</v>
      </c>
      <c r="AD3" s="963">
        <f t="shared" si="0"/>
        <v>2022</v>
      </c>
      <c r="AE3" s="963">
        <f t="shared" si="0"/>
        <v>2022</v>
      </c>
      <c r="AF3" s="963">
        <f t="shared" si="0"/>
        <v>2022</v>
      </c>
      <c r="AG3" s="963"/>
      <c r="AX3" s="979" t="s">
        <v>595</v>
      </c>
      <c r="AY3" s="977">
        <f ca="1">'LG BRG - Recycle'!$K$22</f>
        <v>0.42351934067149033</v>
      </c>
      <c r="AZ3" s="978">
        <v>0.02</v>
      </c>
      <c r="BA3" s="977">
        <f ca="1">AY3+AZ3</f>
        <v>0.44351934067149035</v>
      </c>
      <c r="BB3" s="929">
        <f ca="1">AV50-'LG BRG - Recycle'!$J$20</f>
        <v>-180.23167704045773</v>
      </c>
    </row>
    <row r="4" spans="1:61">
      <c r="A4" s="925"/>
      <c r="B4" s="968"/>
      <c r="C4" s="984" t="s">
        <v>1444</v>
      </c>
      <c r="D4" s="984" t="s">
        <v>3012</v>
      </c>
      <c r="E4" s="925"/>
      <c r="F4" s="925"/>
      <c r="G4" s="972" t="s">
        <v>1036</v>
      </c>
      <c r="H4" s="972" t="s">
        <v>1037</v>
      </c>
      <c r="I4" s="972" t="s">
        <v>1445</v>
      </c>
      <c r="J4" s="972" t="s">
        <v>1446</v>
      </c>
      <c r="K4" s="972" t="s">
        <v>1447</v>
      </c>
      <c r="L4" s="972" t="s">
        <v>1448</v>
      </c>
      <c r="M4" s="972" t="s">
        <v>1449</v>
      </c>
      <c r="N4" s="972" t="s">
        <v>1450</v>
      </c>
      <c r="O4" s="972" t="s">
        <v>1031</v>
      </c>
      <c r="P4" s="983" t="s">
        <v>1033</v>
      </c>
      <c r="Q4" s="983" t="s">
        <v>1034</v>
      </c>
      <c r="R4" s="983" t="s">
        <v>1035</v>
      </c>
      <c r="S4" s="972" t="s">
        <v>20</v>
      </c>
      <c r="T4" s="925"/>
      <c r="U4" s="982" t="str">
        <f t="shared" ref="U4:AF4" si="1">G4</f>
        <v>Apr</v>
      </c>
      <c r="V4" s="982" t="str">
        <f t="shared" si="1"/>
        <v>May</v>
      </c>
      <c r="W4" s="982" t="str">
        <f t="shared" si="1"/>
        <v>Jun</v>
      </c>
      <c r="X4" s="982" t="str">
        <f t="shared" si="1"/>
        <v>Jul</v>
      </c>
      <c r="Y4" s="982" t="str">
        <f t="shared" si="1"/>
        <v>Aug</v>
      </c>
      <c r="Z4" s="982" t="str">
        <f t="shared" si="1"/>
        <v>Sep</v>
      </c>
      <c r="AA4" s="982" t="str">
        <f t="shared" si="1"/>
        <v>Oct</v>
      </c>
      <c r="AB4" s="982" t="str">
        <f t="shared" si="1"/>
        <v>Nov</v>
      </c>
      <c r="AC4" s="982" t="str">
        <f t="shared" si="1"/>
        <v>Dec</v>
      </c>
      <c r="AD4" s="981" t="str">
        <f t="shared" si="1"/>
        <v>Jan</v>
      </c>
      <c r="AE4" s="981" t="str">
        <f t="shared" si="1"/>
        <v>Feb</v>
      </c>
      <c r="AF4" s="981" t="str">
        <f t="shared" si="1"/>
        <v>Mar</v>
      </c>
      <c r="AG4" s="980" t="s">
        <v>20</v>
      </c>
      <c r="AH4" s="980" t="s">
        <v>20</v>
      </c>
      <c r="AX4" s="979" t="s">
        <v>223</v>
      </c>
      <c r="AY4" s="977">
        <f ca="1">'LG BRG - Yard Waste'!$K$22</f>
        <v>-8.7095962555165607E-2</v>
      </c>
      <c r="AZ4" s="978">
        <v>-7.0000000000000001E-3</v>
      </c>
      <c r="BA4" s="977">
        <f ca="1">AY4+AZ4</f>
        <v>-9.4095962555165613E-2</v>
      </c>
      <c r="BB4" s="929">
        <f ca="1">AV55-'LG BRG - Yard Waste'!$J$20</f>
        <v>-365.9222903958871</v>
      </c>
      <c r="BD4" s="1046" t="s">
        <v>1520</v>
      </c>
      <c r="BE4" s="1047"/>
      <c r="BF4" s="1046" t="s">
        <v>906</v>
      </c>
      <c r="BG4" s="1047"/>
      <c r="BH4" s="1046" t="s">
        <v>617</v>
      </c>
      <c r="BI4" s="1047"/>
    </row>
    <row r="5" spans="1:61" ht="51">
      <c r="A5" s="976" t="s">
        <v>1451</v>
      </c>
      <c r="B5" s="968" t="s">
        <v>1452</v>
      </c>
      <c r="C5" s="975">
        <v>44287</v>
      </c>
      <c r="D5" s="975">
        <v>44440</v>
      </c>
      <c r="E5" s="968"/>
      <c r="F5" s="968"/>
      <c r="G5" s="974">
        <v>2021</v>
      </c>
      <c r="H5" s="974">
        <v>2021</v>
      </c>
      <c r="I5" s="974">
        <v>2021</v>
      </c>
      <c r="J5" s="974">
        <v>2021</v>
      </c>
      <c r="K5" s="974">
        <v>2021</v>
      </c>
      <c r="L5" s="974">
        <v>2021</v>
      </c>
      <c r="M5" s="974">
        <v>2021</v>
      </c>
      <c r="N5" s="974">
        <v>2021</v>
      </c>
      <c r="O5" s="974">
        <v>2021</v>
      </c>
      <c r="P5" s="973">
        <v>2022</v>
      </c>
      <c r="Q5" s="973">
        <v>2022</v>
      </c>
      <c r="R5" s="973">
        <v>2022</v>
      </c>
      <c r="S5" s="972" t="s">
        <v>1453</v>
      </c>
      <c r="T5" s="968"/>
      <c r="U5" s="970" t="s">
        <v>486</v>
      </c>
      <c r="V5" s="970" t="s">
        <v>486</v>
      </c>
      <c r="W5" s="970" t="s">
        <v>486</v>
      </c>
      <c r="X5" s="970" t="s">
        <v>486</v>
      </c>
      <c r="Y5" s="970" t="s">
        <v>486</v>
      </c>
      <c r="Z5" s="970" t="s">
        <v>486</v>
      </c>
      <c r="AA5" s="970" t="s">
        <v>486</v>
      </c>
      <c r="AB5" s="970" t="s">
        <v>486</v>
      </c>
      <c r="AC5" s="970" t="s">
        <v>486</v>
      </c>
      <c r="AD5" s="971" t="s">
        <v>486</v>
      </c>
      <c r="AE5" s="971" t="s">
        <v>486</v>
      </c>
      <c r="AF5" s="971" t="s">
        <v>486</v>
      </c>
      <c r="AG5" s="970" t="s">
        <v>445</v>
      </c>
      <c r="AH5" s="970" t="s">
        <v>1454</v>
      </c>
      <c r="AJ5" s="969" t="s">
        <v>1455</v>
      </c>
      <c r="AK5" s="969" t="s">
        <v>1456</v>
      </c>
      <c r="AL5" s="969" t="s">
        <v>1457</v>
      </c>
      <c r="AM5" s="969" t="s">
        <v>1458</v>
      </c>
      <c r="AN5" s="969" t="s">
        <v>1459</v>
      </c>
      <c r="AP5" s="967" t="s">
        <v>3011</v>
      </c>
      <c r="AQ5" s="967" t="s">
        <v>3010</v>
      </c>
      <c r="AR5" s="968"/>
      <c r="AS5" s="967" t="s">
        <v>3009</v>
      </c>
      <c r="AT5" s="966" t="s">
        <v>3008</v>
      </c>
      <c r="AU5" s="966" t="s">
        <v>3007</v>
      </c>
      <c r="AV5" s="966" t="s">
        <v>3006</v>
      </c>
      <c r="BD5" s="965" t="s">
        <v>1458</v>
      </c>
      <c r="BE5" s="964" t="s">
        <v>1459</v>
      </c>
      <c r="BF5" s="965" t="s">
        <v>1458</v>
      </c>
      <c r="BG5" s="964" t="s">
        <v>1459</v>
      </c>
      <c r="BH5" s="965" t="s">
        <v>1458</v>
      </c>
      <c r="BI5" s="964" t="s">
        <v>1459</v>
      </c>
    </row>
    <row r="6" spans="1:61" ht="12" customHeight="1"/>
    <row r="7" spans="1:61" s="925" customFormat="1" ht="12" customHeight="1">
      <c r="C7" s="963"/>
      <c r="D7" s="963"/>
      <c r="G7" s="927"/>
      <c r="H7" s="927"/>
      <c r="I7" s="927"/>
      <c r="J7" s="927"/>
      <c r="K7" s="927"/>
      <c r="L7" s="927"/>
      <c r="M7" s="927"/>
      <c r="N7" s="927"/>
      <c r="O7" s="927"/>
      <c r="P7" s="927"/>
      <c r="Q7" s="927"/>
      <c r="R7" s="927"/>
      <c r="S7" s="927"/>
      <c r="U7" s="914"/>
      <c r="V7" s="914"/>
      <c r="W7" s="914"/>
      <c r="X7" s="914"/>
      <c r="Y7" s="914"/>
      <c r="Z7" s="914"/>
      <c r="AA7" s="914"/>
      <c r="AB7" s="914"/>
      <c r="AC7" s="914"/>
      <c r="AD7" s="914"/>
      <c r="AE7" s="914"/>
      <c r="AF7" s="914"/>
      <c r="AG7" s="914"/>
    </row>
    <row r="8" spans="1:61" s="925" customFormat="1" ht="12" customHeight="1">
      <c r="C8" s="963">
        <v>2</v>
      </c>
      <c r="D8" s="963"/>
      <c r="E8" s="962"/>
      <c r="F8" s="962"/>
      <c r="G8" s="927"/>
      <c r="H8" s="927"/>
      <c r="I8" s="927"/>
      <c r="J8" s="927"/>
      <c r="K8" s="927"/>
      <c r="L8" s="927"/>
      <c r="M8" s="927"/>
      <c r="N8" s="927"/>
      <c r="O8" s="927"/>
      <c r="P8" s="927"/>
      <c r="Q8" s="927"/>
      <c r="R8" s="927"/>
      <c r="S8" s="927"/>
      <c r="T8" s="962"/>
      <c r="U8" s="914"/>
      <c r="V8" s="914"/>
      <c r="W8" s="914"/>
      <c r="X8" s="914"/>
      <c r="Y8" s="914"/>
      <c r="Z8" s="914"/>
      <c r="AA8" s="914"/>
      <c r="AB8" s="914"/>
      <c r="AC8" s="914"/>
      <c r="AD8" s="914"/>
      <c r="AE8" s="914"/>
      <c r="AF8" s="914"/>
      <c r="AG8" s="914"/>
    </row>
    <row r="9" spans="1:61" s="925" customFormat="1" ht="12" customHeight="1">
      <c r="A9" s="948" t="s">
        <v>1460</v>
      </c>
      <c r="B9" s="948" t="s">
        <v>1460</v>
      </c>
      <c r="C9" s="963"/>
      <c r="D9" s="963"/>
      <c r="E9" s="962"/>
      <c r="F9" s="962"/>
      <c r="G9" s="927"/>
      <c r="H9" s="927"/>
      <c r="I9" s="927"/>
      <c r="J9" s="927"/>
      <c r="K9" s="927"/>
      <c r="L9" s="927"/>
      <c r="M9" s="927"/>
      <c r="N9" s="927"/>
      <c r="O9" s="927"/>
      <c r="P9" s="927"/>
      <c r="Q9" s="927"/>
      <c r="R9" s="927"/>
      <c r="S9" s="927"/>
      <c r="T9" s="962"/>
      <c r="U9" s="914"/>
      <c r="V9" s="914"/>
      <c r="W9" s="914"/>
      <c r="X9" s="914"/>
      <c r="Y9" s="914"/>
      <c r="Z9" s="914"/>
      <c r="AA9" s="914"/>
      <c r="AB9" s="914"/>
      <c r="AC9" s="914"/>
      <c r="AD9" s="914"/>
      <c r="AE9" s="914"/>
      <c r="AF9" s="914"/>
      <c r="AG9" s="914"/>
    </row>
    <row r="10" spans="1:61" s="925" customFormat="1" ht="12" customHeight="1">
      <c r="A10" s="948"/>
      <c r="B10" s="948"/>
      <c r="C10" s="963"/>
      <c r="D10" s="963"/>
      <c r="E10" s="962"/>
      <c r="F10" s="962"/>
      <c r="G10" s="927"/>
      <c r="H10" s="927"/>
      <c r="I10" s="927"/>
      <c r="J10" s="927"/>
      <c r="K10" s="927"/>
      <c r="L10" s="927"/>
      <c r="M10" s="927"/>
      <c r="N10" s="927"/>
      <c r="O10" s="927"/>
      <c r="P10" s="927"/>
      <c r="Q10" s="927"/>
      <c r="R10" s="927"/>
      <c r="S10" s="927"/>
      <c r="T10" s="962"/>
      <c r="U10" s="914"/>
      <c r="V10" s="914"/>
      <c r="W10" s="914"/>
      <c r="X10" s="914"/>
      <c r="Y10" s="914"/>
      <c r="Z10" s="914"/>
      <c r="AA10" s="914"/>
      <c r="AB10" s="914"/>
      <c r="AC10" s="914"/>
      <c r="AD10" s="914"/>
      <c r="AE10" s="914"/>
      <c r="AF10" s="914"/>
      <c r="AG10" s="914"/>
      <c r="AM10" s="932"/>
      <c r="AN10" s="932"/>
    </row>
    <row r="11" spans="1:61" s="925" customFormat="1" ht="12" customHeight="1">
      <c r="A11" s="954" t="s">
        <v>1461</v>
      </c>
      <c r="B11" s="954" t="s">
        <v>1461</v>
      </c>
      <c r="C11" s="961"/>
      <c r="D11" s="961"/>
      <c r="E11" s="961"/>
      <c r="F11" s="961"/>
      <c r="G11" s="927"/>
      <c r="H11" s="927"/>
      <c r="I11" s="927"/>
      <c r="J11" s="927"/>
      <c r="K11" s="927"/>
      <c r="L11" s="927"/>
      <c r="M11" s="927"/>
      <c r="N11" s="927"/>
      <c r="O11" s="927"/>
      <c r="P11" s="927"/>
      <c r="Q11" s="927"/>
      <c r="R11" s="927"/>
      <c r="S11" s="927"/>
      <c r="T11" s="961"/>
      <c r="U11" s="914"/>
      <c r="V11" s="914"/>
      <c r="W11" s="914"/>
      <c r="X11" s="914"/>
      <c r="Y11" s="914"/>
      <c r="Z11" s="914"/>
      <c r="AA11" s="914"/>
      <c r="AB11" s="914"/>
      <c r="AC11" s="914"/>
      <c r="AD11" s="914"/>
      <c r="AE11" s="914"/>
      <c r="AF11" s="914"/>
      <c r="AG11" s="914"/>
      <c r="AH11" s="932"/>
      <c r="AM11" s="947"/>
      <c r="AN11" s="930"/>
    </row>
    <row r="12" spans="1:61" s="925" customFormat="1" ht="12" customHeight="1">
      <c r="A12" s="914" t="s">
        <v>1462</v>
      </c>
      <c r="B12" s="914" t="s">
        <v>1463</v>
      </c>
      <c r="C12" s="926">
        <v>6.75</v>
      </c>
      <c r="D12" s="926">
        <v>6.79</v>
      </c>
      <c r="E12" s="926"/>
      <c r="F12" s="960"/>
      <c r="G12" s="927">
        <v>118.47500000000001</v>
      </c>
      <c r="H12" s="927">
        <v>112.5</v>
      </c>
      <c r="I12" s="927">
        <v>121.5</v>
      </c>
      <c r="J12" s="927">
        <v>116.44</v>
      </c>
      <c r="K12" s="927">
        <v>120.12</v>
      </c>
      <c r="L12" s="927">
        <v>118.44</v>
      </c>
      <c r="M12" s="927">
        <v>115.43</v>
      </c>
      <c r="N12" s="927">
        <v>108.64</v>
      </c>
      <c r="O12" s="927">
        <v>108.64</v>
      </c>
      <c r="P12" s="927">
        <v>108.64</v>
      </c>
      <c r="Q12" s="927">
        <v>115.43</v>
      </c>
      <c r="R12" s="927">
        <v>106.08500000000001</v>
      </c>
      <c r="S12" s="927">
        <v>1370.3400000000004</v>
      </c>
      <c r="T12" s="926"/>
      <c r="U12" s="934">
        <f t="shared" ref="U12:U42" si="2">G12/$C12</f>
        <v>17.551851851851854</v>
      </c>
      <c r="V12" s="934">
        <f t="shared" ref="V12:V42" si="3">H12/$C12</f>
        <v>16.666666666666668</v>
      </c>
      <c r="W12" s="934">
        <f t="shared" ref="W12:W42" si="4">I12/$C12</f>
        <v>18</v>
      </c>
      <c r="X12" s="934">
        <f t="shared" ref="X12:X42" si="5">J12/$C12</f>
        <v>17.250370370370369</v>
      </c>
      <c r="Y12" s="934">
        <f t="shared" ref="Y12:Y42" si="6">K12/$C12</f>
        <v>17.795555555555556</v>
      </c>
      <c r="Z12" s="934">
        <f t="shared" ref="Z12:Z42" si="7">L12/$D12</f>
        <v>17.443298969072163</v>
      </c>
      <c r="AA12" s="934">
        <f t="shared" ref="AA12:AA42" si="8">M12/$D12</f>
        <v>17</v>
      </c>
      <c r="AB12" s="934">
        <f t="shared" ref="AB12:AB42" si="9">N12/$D12</f>
        <v>16</v>
      </c>
      <c r="AC12" s="934">
        <f t="shared" ref="AC12:AC42" si="10">O12/$D12</f>
        <v>16</v>
      </c>
      <c r="AD12" s="934">
        <f t="shared" ref="AD12:AD42" si="11">P12/$D12</f>
        <v>16</v>
      </c>
      <c r="AE12" s="934">
        <f t="shared" ref="AE12:AE42" si="12">Q12/$D12</f>
        <v>17</v>
      </c>
      <c r="AF12" s="934">
        <f t="shared" ref="AF12:AF42" si="13">R12/$D12</f>
        <v>15.623711340206187</v>
      </c>
      <c r="AG12" s="934">
        <f t="shared" ref="AG12:AG43" si="14">+SUM(U12:AF12)</f>
        <v>202.3314547537228</v>
      </c>
      <c r="AH12" s="939">
        <f t="shared" ref="AH12:AH43" si="15">SUM(U12:AF12)/12</f>
        <v>16.860954562810232</v>
      </c>
      <c r="AM12" s="947"/>
      <c r="AN12" s="930"/>
      <c r="AQ12" s="927">
        <v>16.860954562810232</v>
      </c>
      <c r="AS12" s="938">
        <f t="shared" ref="AS12:AS44" ca="1" si="16">D12*(1+$BA$2)</f>
        <v>7.1880733881327439</v>
      </c>
      <c r="AT12" s="937">
        <f t="shared" ref="AT12:AT44" ca="1" si="17">AQ12*AS12*12</f>
        <v>1454.373345497419</v>
      </c>
      <c r="AU12" s="937"/>
      <c r="AV12" s="936">
        <f t="shared" ref="AV12:AV44" ca="1" si="18">AT12+AU12-S12</f>
        <v>84.033345497418622</v>
      </c>
      <c r="BE12" s="928">
        <f t="shared" ref="BE12:BE44" si="19">$AQ12*$BD12</f>
        <v>0</v>
      </c>
      <c r="BG12" s="928">
        <f t="shared" ref="BG12:BG44" si="20">$AQ12*$BF12</f>
        <v>0</v>
      </c>
      <c r="BI12" s="928">
        <f t="shared" ref="BI12:BI44" si="21">$AQ12*$BH12</f>
        <v>0</v>
      </c>
    </row>
    <row r="13" spans="1:61" s="925" customFormat="1" ht="12" customHeight="1">
      <c r="A13" s="914" t="s">
        <v>1464</v>
      </c>
      <c r="B13" s="914" t="s">
        <v>1465</v>
      </c>
      <c r="C13" s="926">
        <v>4.9800000000000004</v>
      </c>
      <c r="D13" s="926">
        <v>5.01</v>
      </c>
      <c r="E13" s="926"/>
      <c r="F13" s="926"/>
      <c r="G13" s="927">
        <v>94.77</v>
      </c>
      <c r="H13" s="927">
        <v>97.125</v>
      </c>
      <c r="I13" s="927">
        <v>99.6</v>
      </c>
      <c r="J13" s="927">
        <v>99.6</v>
      </c>
      <c r="K13" s="927">
        <v>94.77</v>
      </c>
      <c r="L13" s="927">
        <v>99.75</v>
      </c>
      <c r="M13" s="927">
        <v>95.19</v>
      </c>
      <c r="N13" s="927">
        <v>88.039999999999992</v>
      </c>
      <c r="O13" s="927">
        <v>100.2</v>
      </c>
      <c r="P13" s="927">
        <v>90.179999999999993</v>
      </c>
      <c r="Q13" s="927">
        <v>95.19</v>
      </c>
      <c r="R13" s="927">
        <v>87.674999999999997</v>
      </c>
      <c r="S13" s="927">
        <v>1142.0899999999999</v>
      </c>
      <c r="T13" s="926"/>
      <c r="U13" s="934">
        <f t="shared" si="2"/>
        <v>19.030120481927707</v>
      </c>
      <c r="V13" s="934">
        <f t="shared" si="3"/>
        <v>19.503012048192769</v>
      </c>
      <c r="W13" s="934">
        <f t="shared" si="4"/>
        <v>19.999999999999996</v>
      </c>
      <c r="X13" s="934">
        <f t="shared" si="5"/>
        <v>19.999999999999996</v>
      </c>
      <c r="Y13" s="934">
        <f t="shared" si="6"/>
        <v>19.030120481927707</v>
      </c>
      <c r="Z13" s="934">
        <f t="shared" si="7"/>
        <v>19.910179640718564</v>
      </c>
      <c r="AA13" s="934">
        <f t="shared" si="8"/>
        <v>19</v>
      </c>
      <c r="AB13" s="934">
        <f t="shared" si="9"/>
        <v>17.572854291417165</v>
      </c>
      <c r="AC13" s="934">
        <f t="shared" si="10"/>
        <v>20</v>
      </c>
      <c r="AD13" s="934">
        <f t="shared" si="11"/>
        <v>18</v>
      </c>
      <c r="AE13" s="934">
        <f t="shared" si="12"/>
        <v>19</v>
      </c>
      <c r="AF13" s="934">
        <f t="shared" si="13"/>
        <v>17.5</v>
      </c>
      <c r="AG13" s="934">
        <f t="shared" si="14"/>
        <v>228.54628694418392</v>
      </c>
      <c r="AH13" s="939">
        <f t="shared" si="15"/>
        <v>19.045523912015327</v>
      </c>
      <c r="AM13" s="947"/>
      <c r="AN13" s="930"/>
      <c r="AQ13" s="927">
        <v>19.045523912015327</v>
      </c>
      <c r="AS13" s="938">
        <f t="shared" ca="1" si="16"/>
        <v>5.3037183614941155</v>
      </c>
      <c r="AT13" s="937">
        <f t="shared" ca="1" si="17"/>
        <v>1212.1451385171711</v>
      </c>
      <c r="AU13" s="937"/>
      <c r="AV13" s="936">
        <f t="shared" ca="1" si="18"/>
        <v>70.055138517171144</v>
      </c>
      <c r="BE13" s="928">
        <f t="shared" si="19"/>
        <v>0</v>
      </c>
      <c r="BG13" s="928">
        <f t="shared" si="20"/>
        <v>0</v>
      </c>
      <c r="BI13" s="928">
        <f t="shared" si="21"/>
        <v>0</v>
      </c>
    </row>
    <row r="14" spans="1:61" s="925" customFormat="1" ht="12" customHeight="1">
      <c r="A14" s="914" t="s">
        <v>1466</v>
      </c>
      <c r="B14" s="914" t="s">
        <v>1467</v>
      </c>
      <c r="C14" s="926">
        <v>8.5</v>
      </c>
      <c r="D14" s="926">
        <v>8.5500000000000007</v>
      </c>
      <c r="E14" s="926"/>
      <c r="F14" s="926"/>
      <c r="G14" s="927">
        <v>13933.725000000002</v>
      </c>
      <c r="H14" s="927">
        <v>14380.625</v>
      </c>
      <c r="I14" s="927">
        <v>14472.775</v>
      </c>
      <c r="J14" s="927">
        <v>14178.855000000003</v>
      </c>
      <c r="K14" s="927">
        <v>14187.025000000001</v>
      </c>
      <c r="L14" s="927">
        <v>14101.87</v>
      </c>
      <c r="M14" s="927">
        <v>14019.945</v>
      </c>
      <c r="N14" s="927">
        <v>13866.365</v>
      </c>
      <c r="O14" s="927">
        <v>13734.93</v>
      </c>
      <c r="P14" s="927">
        <v>13728.465</v>
      </c>
      <c r="Q14" s="927">
        <v>13759.479999999998</v>
      </c>
      <c r="R14" s="927">
        <v>13682.55</v>
      </c>
      <c r="S14" s="927">
        <v>168046.61000000002</v>
      </c>
      <c r="T14" s="926"/>
      <c r="U14" s="934">
        <f t="shared" si="2"/>
        <v>1639.2617647058826</v>
      </c>
      <c r="V14" s="934">
        <f t="shared" si="3"/>
        <v>1691.8382352941176</v>
      </c>
      <c r="W14" s="934">
        <f t="shared" si="4"/>
        <v>1702.6794117647059</v>
      </c>
      <c r="X14" s="934">
        <f t="shared" si="5"/>
        <v>1668.1005882352945</v>
      </c>
      <c r="Y14" s="934">
        <f t="shared" si="6"/>
        <v>1669.0617647058825</v>
      </c>
      <c r="Z14" s="934">
        <f t="shared" si="7"/>
        <v>1649.3415204678363</v>
      </c>
      <c r="AA14" s="934">
        <f t="shared" si="8"/>
        <v>1639.7596491228069</v>
      </c>
      <c r="AB14" s="934">
        <f t="shared" si="9"/>
        <v>1621.7970760233916</v>
      </c>
      <c r="AC14" s="934">
        <f t="shared" si="10"/>
        <v>1606.4245614035087</v>
      </c>
      <c r="AD14" s="934">
        <f t="shared" si="11"/>
        <v>1605.6684210526314</v>
      </c>
      <c r="AE14" s="934">
        <f t="shared" si="12"/>
        <v>1609.2959064327481</v>
      </c>
      <c r="AF14" s="934">
        <f t="shared" si="13"/>
        <v>1600.2982456140348</v>
      </c>
      <c r="AG14" s="934">
        <f t="shared" si="14"/>
        <v>19703.527144822841</v>
      </c>
      <c r="AH14" s="939">
        <f t="shared" si="15"/>
        <v>1641.9605954019034</v>
      </c>
      <c r="AM14" s="947"/>
      <c r="AN14" s="932"/>
      <c r="AP14" s="927">
        <v>-451</v>
      </c>
      <c r="AQ14" s="927">
        <v>1190.9605954019034</v>
      </c>
      <c r="AS14" s="938">
        <f t="shared" ca="1" si="16"/>
        <v>9.0512558863821742</v>
      </c>
      <c r="AT14" s="937">
        <f t="shared" ca="1" si="17"/>
        <v>129356.26919496836</v>
      </c>
      <c r="AU14" s="937"/>
      <c r="AV14" s="936">
        <f t="shared" ca="1" si="18"/>
        <v>-38690.34080503165</v>
      </c>
      <c r="BE14" s="928">
        <f t="shared" si="19"/>
        <v>0</v>
      </c>
      <c r="BG14" s="928">
        <f t="shared" si="20"/>
        <v>0</v>
      </c>
      <c r="BI14" s="928">
        <f t="shared" si="21"/>
        <v>0</v>
      </c>
    </row>
    <row r="15" spans="1:61" s="925" customFormat="1" ht="12" customHeight="1">
      <c r="A15" s="914" t="s">
        <v>1468</v>
      </c>
      <c r="B15" s="914" t="s">
        <v>1469</v>
      </c>
      <c r="C15" s="926">
        <v>11.21</v>
      </c>
      <c r="D15" s="926">
        <v>11.28</v>
      </c>
      <c r="E15" s="926"/>
      <c r="F15" s="926"/>
      <c r="G15" s="927">
        <v>18677.325000000001</v>
      </c>
      <c r="H15" s="927">
        <v>19239.735000000004</v>
      </c>
      <c r="I15" s="927">
        <v>19519.38</v>
      </c>
      <c r="J15" s="927">
        <v>19327.419999999998</v>
      </c>
      <c r="K15" s="927">
        <v>19128.035000000003</v>
      </c>
      <c r="L15" s="927">
        <v>18935.039999999997</v>
      </c>
      <c r="M15" s="927">
        <v>18769.825000000001</v>
      </c>
      <c r="N15" s="927">
        <v>18650.069999999996</v>
      </c>
      <c r="O15" s="927">
        <v>18382.169999999998</v>
      </c>
      <c r="P15" s="927">
        <v>18228.479999999996</v>
      </c>
      <c r="Q15" s="927">
        <v>18014.16</v>
      </c>
      <c r="R15" s="927">
        <v>17776.210000000003</v>
      </c>
      <c r="S15" s="927">
        <v>224647.84999999998</v>
      </c>
      <c r="T15" s="926"/>
      <c r="U15" s="934">
        <f t="shared" si="2"/>
        <v>1666.1306868867082</v>
      </c>
      <c r="V15" s="934">
        <f t="shared" si="3"/>
        <v>1716.3010704727924</v>
      </c>
      <c r="W15" s="934">
        <f t="shared" si="4"/>
        <v>1741.2471008028544</v>
      </c>
      <c r="X15" s="934">
        <f t="shared" si="5"/>
        <v>1724.123104371097</v>
      </c>
      <c r="Y15" s="934">
        <f t="shared" si="6"/>
        <v>1706.3367528991973</v>
      </c>
      <c r="Z15" s="934">
        <f t="shared" si="7"/>
        <v>1678.6382978723402</v>
      </c>
      <c r="AA15" s="934">
        <f t="shared" si="8"/>
        <v>1663.9915780141846</v>
      </c>
      <c r="AB15" s="934">
        <f t="shared" si="9"/>
        <v>1653.3749999999998</v>
      </c>
      <c r="AC15" s="934">
        <f t="shared" si="10"/>
        <v>1629.625</v>
      </c>
      <c r="AD15" s="934">
        <f t="shared" si="11"/>
        <v>1615.9999999999998</v>
      </c>
      <c r="AE15" s="934">
        <f t="shared" si="12"/>
        <v>1597</v>
      </c>
      <c r="AF15" s="934">
        <f t="shared" si="13"/>
        <v>1575.9051418439719</v>
      </c>
      <c r="AG15" s="934">
        <f t="shared" si="14"/>
        <v>19968.673733163145</v>
      </c>
      <c r="AH15" s="939">
        <f t="shared" si="15"/>
        <v>1664.0561444302621</v>
      </c>
      <c r="AM15" s="947"/>
      <c r="AN15" s="930"/>
      <c r="AP15" s="927">
        <v>-371</v>
      </c>
      <c r="AQ15" s="927">
        <v>1293.0561444302621</v>
      </c>
      <c r="AS15" s="938">
        <f t="shared" ca="1" si="16"/>
        <v>11.941306011507709</v>
      </c>
      <c r="AT15" s="937">
        <f t="shared" ca="1" si="17"/>
        <v>185289.34932842484</v>
      </c>
      <c r="AU15" s="937"/>
      <c r="AV15" s="936">
        <f t="shared" ca="1" si="18"/>
        <v>-39358.500671575137</v>
      </c>
      <c r="BE15" s="928">
        <f t="shared" si="19"/>
        <v>0</v>
      </c>
      <c r="BG15" s="928">
        <f t="shared" si="20"/>
        <v>0</v>
      </c>
      <c r="BI15" s="928">
        <f t="shared" si="21"/>
        <v>0</v>
      </c>
    </row>
    <row r="16" spans="1:61" s="925" customFormat="1" ht="12" customHeight="1">
      <c r="A16" s="914" t="s">
        <v>1470</v>
      </c>
      <c r="B16" s="914" t="s">
        <v>1471</v>
      </c>
      <c r="C16" s="926">
        <v>13.94</v>
      </c>
      <c r="D16" s="926">
        <v>14.02</v>
      </c>
      <c r="E16" s="926"/>
      <c r="F16" s="926"/>
      <c r="G16" s="927">
        <v>2989.4049999999997</v>
      </c>
      <c r="H16" s="927">
        <v>2975.0850000000005</v>
      </c>
      <c r="I16" s="927">
        <v>3016.25</v>
      </c>
      <c r="J16" s="927">
        <v>3042.6750000000002</v>
      </c>
      <c r="K16" s="927">
        <v>3035.8850000000002</v>
      </c>
      <c r="L16" s="927">
        <v>3026.0950000000003</v>
      </c>
      <c r="M16" s="927">
        <v>3040.58</v>
      </c>
      <c r="N16" s="927">
        <v>3019.585</v>
      </c>
      <c r="O16" s="927">
        <v>3000.2799999999997</v>
      </c>
      <c r="P16" s="927">
        <v>2951.2149999999997</v>
      </c>
      <c r="Q16" s="927">
        <v>2979.2550000000001</v>
      </c>
      <c r="R16" s="927">
        <v>2993.2599999999998</v>
      </c>
      <c r="S16" s="927">
        <v>36069.57</v>
      </c>
      <c r="T16" s="926"/>
      <c r="U16" s="934">
        <f t="shared" si="2"/>
        <v>214.44799139167861</v>
      </c>
      <c r="V16" s="934">
        <f t="shared" si="3"/>
        <v>213.42073170731712</v>
      </c>
      <c r="W16" s="934">
        <f t="shared" si="4"/>
        <v>216.37374461979914</v>
      </c>
      <c r="X16" s="934">
        <f t="shared" si="5"/>
        <v>218.26936872309901</v>
      </c>
      <c r="Y16" s="934">
        <f t="shared" si="6"/>
        <v>217.78228120516502</v>
      </c>
      <c r="Z16" s="934">
        <f t="shared" si="7"/>
        <v>215.84129814550644</v>
      </c>
      <c r="AA16" s="934">
        <f t="shared" si="8"/>
        <v>216.87446504992869</v>
      </c>
      <c r="AB16" s="934">
        <f t="shared" si="9"/>
        <v>215.37696148359487</v>
      </c>
      <c r="AC16" s="934">
        <f t="shared" si="10"/>
        <v>214</v>
      </c>
      <c r="AD16" s="934">
        <f t="shared" si="11"/>
        <v>210.50035663338087</v>
      </c>
      <c r="AE16" s="934">
        <f t="shared" si="12"/>
        <v>212.5003566333809</v>
      </c>
      <c r="AF16" s="934">
        <f t="shared" si="13"/>
        <v>213.49928673323822</v>
      </c>
      <c r="AG16" s="934">
        <f t="shared" si="14"/>
        <v>2578.8868423260883</v>
      </c>
      <c r="AH16" s="939">
        <f t="shared" si="15"/>
        <v>214.90723686050737</v>
      </c>
      <c r="AM16" s="947"/>
      <c r="AN16" s="930"/>
      <c r="AP16" s="927">
        <v>-41</v>
      </c>
      <c r="AQ16" s="927">
        <v>173.90723686050737</v>
      </c>
      <c r="AS16" s="938">
        <f t="shared" ca="1" si="16"/>
        <v>14.841942400827843</v>
      </c>
      <c r="AT16" s="937">
        <f t="shared" ca="1" si="17"/>
        <v>30973.454310849302</v>
      </c>
      <c r="AU16" s="937"/>
      <c r="AV16" s="936">
        <f t="shared" ca="1" si="18"/>
        <v>-5096.115689150698</v>
      </c>
      <c r="BE16" s="928">
        <f t="shared" si="19"/>
        <v>0</v>
      </c>
      <c r="BG16" s="928">
        <f t="shared" si="20"/>
        <v>0</v>
      </c>
      <c r="BI16" s="928">
        <f t="shared" si="21"/>
        <v>0</v>
      </c>
    </row>
    <row r="17" spans="1:61" s="925" customFormat="1" ht="12" customHeight="1">
      <c r="A17" s="914" t="s">
        <v>1472</v>
      </c>
      <c r="B17" s="914" t="s">
        <v>1473</v>
      </c>
      <c r="C17" s="926">
        <v>16.66</v>
      </c>
      <c r="D17" s="926">
        <v>16.760000000000002</v>
      </c>
      <c r="E17" s="926"/>
      <c r="F17" s="926"/>
      <c r="G17" s="927">
        <v>606.92000000000007</v>
      </c>
      <c r="H17" s="927">
        <v>614.66499999999996</v>
      </c>
      <c r="I17" s="927">
        <v>649.74</v>
      </c>
      <c r="J17" s="927">
        <v>687.22500000000002</v>
      </c>
      <c r="K17" s="927">
        <v>686.64</v>
      </c>
      <c r="L17" s="927">
        <v>670.28000000000009</v>
      </c>
      <c r="M17" s="927">
        <v>641.06999999999994</v>
      </c>
      <c r="N17" s="927">
        <v>632.69000000000005</v>
      </c>
      <c r="O17" s="927">
        <v>628.5</v>
      </c>
      <c r="P17" s="927">
        <v>626.40499999999997</v>
      </c>
      <c r="Q17" s="927">
        <v>609.64499999999998</v>
      </c>
      <c r="R17" s="927">
        <v>615.93000000000006</v>
      </c>
      <c r="S17" s="927">
        <v>7669.7099999999991</v>
      </c>
      <c r="T17" s="926"/>
      <c r="U17" s="934">
        <f t="shared" si="2"/>
        <v>36.429771908763513</v>
      </c>
      <c r="V17" s="934">
        <f t="shared" si="3"/>
        <v>36.894657863145255</v>
      </c>
      <c r="W17" s="934">
        <f t="shared" si="4"/>
        <v>39</v>
      </c>
      <c r="X17" s="934">
        <f t="shared" si="5"/>
        <v>41.25</v>
      </c>
      <c r="Y17" s="934">
        <f t="shared" si="6"/>
        <v>41.214885954381749</v>
      </c>
      <c r="Z17" s="934">
        <f t="shared" si="7"/>
        <v>39.992840095465397</v>
      </c>
      <c r="AA17" s="934">
        <f t="shared" si="8"/>
        <v>38.249999999999993</v>
      </c>
      <c r="AB17" s="934">
        <f t="shared" si="9"/>
        <v>37.75</v>
      </c>
      <c r="AC17" s="934">
        <f t="shared" si="10"/>
        <v>37.5</v>
      </c>
      <c r="AD17" s="934">
        <f t="shared" si="11"/>
        <v>37.374999999999993</v>
      </c>
      <c r="AE17" s="934">
        <f t="shared" si="12"/>
        <v>36.374999999999993</v>
      </c>
      <c r="AF17" s="934">
        <f t="shared" si="13"/>
        <v>36.75</v>
      </c>
      <c r="AG17" s="934">
        <f t="shared" si="14"/>
        <v>458.78215582175591</v>
      </c>
      <c r="AH17" s="939">
        <f t="shared" si="15"/>
        <v>38.231846318479661</v>
      </c>
      <c r="AM17" s="947"/>
      <c r="AN17" s="930"/>
      <c r="AP17" s="927">
        <v>-11</v>
      </c>
      <c r="AQ17" s="927">
        <v>27.231846318479661</v>
      </c>
      <c r="AS17" s="938">
        <f t="shared" ca="1" si="16"/>
        <v>17.742578790147981</v>
      </c>
      <c r="AT17" s="937">
        <f t="shared" ca="1" si="17"/>
        <v>5797.9581468819197</v>
      </c>
      <c r="AU17" s="937"/>
      <c r="AV17" s="936">
        <f t="shared" ca="1" si="18"/>
        <v>-1871.7518531180795</v>
      </c>
      <c r="BE17" s="928">
        <f t="shared" si="19"/>
        <v>0</v>
      </c>
      <c r="BG17" s="928">
        <f t="shared" si="20"/>
        <v>0</v>
      </c>
      <c r="BI17" s="928">
        <f t="shared" si="21"/>
        <v>0</v>
      </c>
    </row>
    <row r="18" spans="1:61" s="925" customFormat="1" ht="12" customHeight="1">
      <c r="A18" s="914" t="s">
        <v>1474</v>
      </c>
      <c r="B18" s="914" t="s">
        <v>1475</v>
      </c>
      <c r="C18" s="926">
        <v>19.690000000000001</v>
      </c>
      <c r="D18" s="926">
        <v>19.809999999999999</v>
      </c>
      <c r="E18" s="926"/>
      <c r="F18" s="926"/>
      <c r="G18" s="927">
        <v>38.840000000000003</v>
      </c>
      <c r="H18" s="927">
        <v>38.72</v>
      </c>
      <c r="I18" s="927">
        <v>39.380000000000003</v>
      </c>
      <c r="J18" s="927">
        <v>39.380000000000003</v>
      </c>
      <c r="K18" s="927">
        <v>39.5</v>
      </c>
      <c r="L18" s="927">
        <v>39.5</v>
      </c>
      <c r="M18" s="927">
        <v>39.619999999999997</v>
      </c>
      <c r="N18" s="927">
        <v>39.619999999999997</v>
      </c>
      <c r="O18" s="927">
        <v>39.619999999999997</v>
      </c>
      <c r="P18" s="927">
        <v>39.619999999999997</v>
      </c>
      <c r="Q18" s="927">
        <v>39.619999999999997</v>
      </c>
      <c r="R18" s="927">
        <v>39.619999999999997</v>
      </c>
      <c r="S18" s="927">
        <v>473.04</v>
      </c>
      <c r="T18" s="926"/>
      <c r="U18" s="934">
        <f t="shared" si="2"/>
        <v>1.9725749111223971</v>
      </c>
      <c r="V18" s="934">
        <f t="shared" si="3"/>
        <v>1.9664804469273742</v>
      </c>
      <c r="W18" s="934">
        <f t="shared" si="4"/>
        <v>2</v>
      </c>
      <c r="X18" s="934">
        <f t="shared" si="5"/>
        <v>2</v>
      </c>
      <c r="Y18" s="934">
        <f t="shared" si="6"/>
        <v>2.0060944641950229</v>
      </c>
      <c r="Z18" s="934">
        <f t="shared" si="7"/>
        <v>1.993942453306411</v>
      </c>
      <c r="AA18" s="934">
        <f t="shared" si="8"/>
        <v>2</v>
      </c>
      <c r="AB18" s="934">
        <f t="shared" si="9"/>
        <v>2</v>
      </c>
      <c r="AC18" s="934">
        <f t="shared" si="10"/>
        <v>2</v>
      </c>
      <c r="AD18" s="934">
        <f t="shared" si="11"/>
        <v>2</v>
      </c>
      <c r="AE18" s="934">
        <f t="shared" si="12"/>
        <v>2</v>
      </c>
      <c r="AF18" s="934">
        <f t="shared" si="13"/>
        <v>2</v>
      </c>
      <c r="AG18" s="934">
        <f t="shared" si="14"/>
        <v>23.939092275551204</v>
      </c>
      <c r="AH18" s="939">
        <f t="shared" si="15"/>
        <v>1.9949243562959336</v>
      </c>
      <c r="AM18" s="947"/>
      <c r="AN18" s="930"/>
      <c r="AP18" s="927">
        <v>-1</v>
      </c>
      <c r="AQ18" s="927">
        <v>0.99492435629593357</v>
      </c>
      <c r="AS18" s="938">
        <f t="shared" ca="1" si="16"/>
        <v>20.971389369500685</v>
      </c>
      <c r="AT18" s="937">
        <f t="shared" ca="1" si="17"/>
        <v>250.37935282898223</v>
      </c>
      <c r="AU18" s="937"/>
      <c r="AV18" s="936">
        <f t="shared" ca="1" si="18"/>
        <v>-222.66064717101779</v>
      </c>
      <c r="BE18" s="928">
        <f t="shared" si="19"/>
        <v>0</v>
      </c>
      <c r="BG18" s="928">
        <f t="shared" si="20"/>
        <v>0</v>
      </c>
      <c r="BI18" s="928">
        <f t="shared" si="21"/>
        <v>0</v>
      </c>
    </row>
    <row r="19" spans="1:61" s="925" customFormat="1" ht="12" customHeight="1">
      <c r="A19" s="914" t="s">
        <v>1476</v>
      </c>
      <c r="B19" s="914" t="s">
        <v>1477</v>
      </c>
      <c r="C19" s="926">
        <v>23.17</v>
      </c>
      <c r="D19" s="926">
        <v>23.31</v>
      </c>
      <c r="E19" s="926"/>
      <c r="F19" s="926"/>
      <c r="G19" s="927">
        <v>23.31</v>
      </c>
      <c r="H19" s="927">
        <v>23.17</v>
      </c>
      <c r="I19" s="927">
        <v>23.17</v>
      </c>
      <c r="J19" s="927">
        <v>23.17</v>
      </c>
      <c r="K19" s="927">
        <v>23.310000000000002</v>
      </c>
      <c r="L19" s="927">
        <v>23.31</v>
      </c>
      <c r="M19" s="927">
        <v>23.31</v>
      </c>
      <c r="N19" s="927">
        <v>23.31</v>
      </c>
      <c r="O19" s="927">
        <v>23.31</v>
      </c>
      <c r="P19" s="927">
        <v>23.31</v>
      </c>
      <c r="Q19" s="927">
        <v>23.31</v>
      </c>
      <c r="R19" s="927">
        <v>23.31</v>
      </c>
      <c r="S19" s="927">
        <v>279.3</v>
      </c>
      <c r="T19" s="926"/>
      <c r="U19" s="934">
        <f t="shared" si="2"/>
        <v>1.0060422960725075</v>
      </c>
      <c r="V19" s="934">
        <f t="shared" si="3"/>
        <v>1</v>
      </c>
      <c r="W19" s="934">
        <f t="shared" si="4"/>
        <v>1</v>
      </c>
      <c r="X19" s="934">
        <f t="shared" si="5"/>
        <v>1</v>
      </c>
      <c r="Y19" s="934">
        <f t="shared" si="6"/>
        <v>1.0060422960725075</v>
      </c>
      <c r="Z19" s="934">
        <f t="shared" si="7"/>
        <v>1</v>
      </c>
      <c r="AA19" s="934">
        <f t="shared" si="8"/>
        <v>1</v>
      </c>
      <c r="AB19" s="934">
        <f t="shared" si="9"/>
        <v>1</v>
      </c>
      <c r="AC19" s="934">
        <f t="shared" si="10"/>
        <v>1</v>
      </c>
      <c r="AD19" s="934">
        <f t="shared" si="11"/>
        <v>1</v>
      </c>
      <c r="AE19" s="934">
        <f t="shared" si="12"/>
        <v>1</v>
      </c>
      <c r="AF19" s="934">
        <f t="shared" si="13"/>
        <v>1</v>
      </c>
      <c r="AG19" s="934">
        <f t="shared" si="14"/>
        <v>12.012084592145015</v>
      </c>
      <c r="AH19" s="939">
        <f t="shared" si="15"/>
        <v>1.001007049345418</v>
      </c>
      <c r="AM19" s="947"/>
      <c r="AN19" s="930"/>
      <c r="AP19" s="927">
        <v>-1</v>
      </c>
      <c r="AQ19" s="927">
        <v>1.0070493454179541E-3</v>
      </c>
      <c r="AS19" s="938">
        <f t="shared" ca="1" si="16"/>
        <v>24.676581837610346</v>
      </c>
      <c r="AT19" s="937">
        <f t="shared" ca="1" si="17"/>
        <v>0.29820642704061689</v>
      </c>
      <c r="AU19" s="937"/>
      <c r="AV19" s="936">
        <f t="shared" ca="1" si="18"/>
        <v>-279.0017935729594</v>
      </c>
      <c r="BE19" s="928">
        <f t="shared" si="19"/>
        <v>0</v>
      </c>
      <c r="BG19" s="928">
        <f t="shared" si="20"/>
        <v>0</v>
      </c>
      <c r="BI19" s="928">
        <f t="shared" si="21"/>
        <v>0</v>
      </c>
    </row>
    <row r="20" spans="1:61" s="925" customFormat="1" ht="12" customHeight="1">
      <c r="A20" s="914" t="s">
        <v>1478</v>
      </c>
      <c r="B20" s="914" t="s">
        <v>1479</v>
      </c>
      <c r="C20" s="926">
        <v>12.12</v>
      </c>
      <c r="D20" s="926">
        <v>12.19</v>
      </c>
      <c r="E20" s="926"/>
      <c r="F20" s="926"/>
      <c r="G20" s="927">
        <v>13443.34</v>
      </c>
      <c r="H20" s="927">
        <v>13055.795</v>
      </c>
      <c r="I20" s="927">
        <v>13319.88</v>
      </c>
      <c r="J20" s="927">
        <v>13336.785</v>
      </c>
      <c r="K20" s="927">
        <v>13579.79</v>
      </c>
      <c r="L20" s="927">
        <v>13577.88</v>
      </c>
      <c r="M20" s="927">
        <v>13653.89</v>
      </c>
      <c r="N20" s="927">
        <v>13756.34</v>
      </c>
      <c r="O20" s="927">
        <v>13617.695</v>
      </c>
      <c r="P20" s="927">
        <v>13707.550000000001</v>
      </c>
      <c r="Q20" s="927">
        <v>13719.78</v>
      </c>
      <c r="R20" s="927">
        <v>13981.855</v>
      </c>
      <c r="S20" s="927">
        <v>162750.57999999999</v>
      </c>
      <c r="T20" s="926"/>
      <c r="U20" s="934">
        <f t="shared" si="2"/>
        <v>1109.1864686468648</v>
      </c>
      <c r="V20" s="934">
        <f t="shared" si="3"/>
        <v>1077.2108085808582</v>
      </c>
      <c r="W20" s="934">
        <f t="shared" si="4"/>
        <v>1099</v>
      </c>
      <c r="X20" s="934">
        <f t="shared" si="5"/>
        <v>1100.3948019801981</v>
      </c>
      <c r="Y20" s="934">
        <f t="shared" si="6"/>
        <v>1120.4447194719473</v>
      </c>
      <c r="Z20" s="934">
        <f t="shared" si="7"/>
        <v>1113.8539786710419</v>
      </c>
      <c r="AA20" s="934">
        <f t="shared" si="8"/>
        <v>1120.0894175553733</v>
      </c>
      <c r="AB20" s="934">
        <f t="shared" si="9"/>
        <v>1128.4938474159148</v>
      </c>
      <c r="AC20" s="934">
        <f t="shared" si="10"/>
        <v>1117.1201804757998</v>
      </c>
      <c r="AD20" s="934">
        <f t="shared" si="11"/>
        <v>1124.4913863822808</v>
      </c>
      <c r="AE20" s="934">
        <f t="shared" si="12"/>
        <v>1125.4946677604596</v>
      </c>
      <c r="AF20" s="934">
        <f t="shared" si="13"/>
        <v>1146.9938474159146</v>
      </c>
      <c r="AG20" s="934">
        <f t="shared" si="14"/>
        <v>13382.774124356654</v>
      </c>
      <c r="AH20" s="939">
        <f t="shared" si="15"/>
        <v>1115.2311770297213</v>
      </c>
      <c r="AM20" s="947"/>
      <c r="AN20" s="930"/>
      <c r="AP20" s="928">
        <v>451</v>
      </c>
      <c r="AQ20" s="927">
        <v>1566.2311770297213</v>
      </c>
      <c r="AS20" s="938">
        <f t="shared" ca="1" si="16"/>
        <v>12.904656053216222</v>
      </c>
      <c r="AT20" s="937">
        <f t="shared" ca="1" si="17"/>
        <v>242540.09567271074</v>
      </c>
      <c r="AU20" s="937"/>
      <c r="AV20" s="936">
        <f t="shared" ca="1" si="18"/>
        <v>79789.515672710753</v>
      </c>
      <c r="BD20" s="925">
        <v>1</v>
      </c>
      <c r="BE20" s="928">
        <f t="shared" si="19"/>
        <v>1566.2311770297213</v>
      </c>
      <c r="BG20" s="928">
        <f t="shared" si="20"/>
        <v>0</v>
      </c>
      <c r="BI20" s="928">
        <f t="shared" si="21"/>
        <v>0</v>
      </c>
    </row>
    <row r="21" spans="1:61" s="925" customFormat="1" ht="12" customHeight="1">
      <c r="A21" s="914" t="s">
        <v>1480</v>
      </c>
      <c r="B21" s="914" t="s">
        <v>1481</v>
      </c>
      <c r="C21" s="926">
        <v>12.73</v>
      </c>
      <c r="D21" s="926">
        <v>12.81</v>
      </c>
      <c r="E21" s="926"/>
      <c r="F21" s="926"/>
      <c r="G21" s="927">
        <v>32729.965000000004</v>
      </c>
      <c r="H21" s="927">
        <v>32247.93</v>
      </c>
      <c r="I21" s="927">
        <v>32761.019999999997</v>
      </c>
      <c r="J21" s="927">
        <v>33079.614999999991</v>
      </c>
      <c r="K21" s="927">
        <v>33461.47</v>
      </c>
      <c r="L21" s="927">
        <v>33618.230000000003</v>
      </c>
      <c r="M21" s="927">
        <v>33677.86</v>
      </c>
      <c r="N21" s="927">
        <v>33646.79</v>
      </c>
      <c r="O21" s="927">
        <v>33549.224999999999</v>
      </c>
      <c r="P21" s="927">
        <v>33555.579999999994</v>
      </c>
      <c r="Q21" s="927">
        <v>33710.904999999999</v>
      </c>
      <c r="R21" s="927">
        <v>33830.99</v>
      </c>
      <c r="S21" s="927">
        <v>399869.57999999996</v>
      </c>
      <c r="T21" s="926"/>
      <c r="U21" s="934">
        <f t="shared" si="2"/>
        <v>2571.0891594658287</v>
      </c>
      <c r="V21" s="934">
        <f t="shared" si="3"/>
        <v>2533.2230950510602</v>
      </c>
      <c r="W21" s="934">
        <f t="shared" si="4"/>
        <v>2573.5286724273365</v>
      </c>
      <c r="X21" s="934">
        <f t="shared" si="5"/>
        <v>2598.5557737627641</v>
      </c>
      <c r="Y21" s="934">
        <f t="shared" si="6"/>
        <v>2628.5522388059703</v>
      </c>
      <c r="Z21" s="934">
        <f t="shared" si="7"/>
        <v>2624.3739266198286</v>
      </c>
      <c r="AA21" s="934">
        <f t="shared" si="8"/>
        <v>2629.0288836846212</v>
      </c>
      <c r="AB21" s="934">
        <f t="shared" si="9"/>
        <v>2626.6034348165495</v>
      </c>
      <c r="AC21" s="934">
        <f t="shared" si="10"/>
        <v>2618.9871194379389</v>
      </c>
      <c r="AD21" s="934">
        <f t="shared" si="11"/>
        <v>2619.4832162373141</v>
      </c>
      <c r="AE21" s="934">
        <f t="shared" si="12"/>
        <v>2631.6085089773615</v>
      </c>
      <c r="AF21" s="934">
        <f t="shared" si="13"/>
        <v>2640.9828259172518</v>
      </c>
      <c r="AG21" s="934">
        <f t="shared" si="14"/>
        <v>31296.016855203823</v>
      </c>
      <c r="AH21" s="939">
        <f t="shared" si="15"/>
        <v>2608.0014046003184</v>
      </c>
      <c r="AM21" s="947"/>
      <c r="AN21" s="930"/>
      <c r="AP21" s="928">
        <v>371</v>
      </c>
      <c r="AQ21" s="927">
        <v>2979.0014046003184</v>
      </c>
      <c r="AS21" s="938">
        <f t="shared" ca="1" si="16"/>
        <v>13.561004433281362</v>
      </c>
      <c r="AT21" s="937">
        <f t="shared" ca="1" si="17"/>
        <v>484779.01505443582</v>
      </c>
      <c r="AU21" s="937"/>
      <c r="AV21" s="936">
        <f t="shared" ca="1" si="18"/>
        <v>84909.43505443586</v>
      </c>
      <c r="BD21" s="925">
        <v>1</v>
      </c>
      <c r="BE21" s="928">
        <f t="shared" si="19"/>
        <v>2979.0014046003184</v>
      </c>
      <c r="BG21" s="928">
        <f t="shared" si="20"/>
        <v>0</v>
      </c>
      <c r="BI21" s="928">
        <f t="shared" si="21"/>
        <v>0</v>
      </c>
    </row>
    <row r="22" spans="1:61" s="925" customFormat="1" ht="12" customHeight="1">
      <c r="A22" s="914" t="s">
        <v>1482</v>
      </c>
      <c r="B22" s="914" t="s">
        <v>1483</v>
      </c>
      <c r="C22" s="926">
        <v>15.62</v>
      </c>
      <c r="D22" s="926">
        <v>15.71</v>
      </c>
      <c r="E22" s="926"/>
      <c r="F22" s="926"/>
      <c r="G22" s="927">
        <v>89689.1</v>
      </c>
      <c r="H22" s="927">
        <v>84501.50499999999</v>
      </c>
      <c r="I22" s="927">
        <v>87363.904999999984</v>
      </c>
      <c r="J22" s="927">
        <v>88924.959999999977</v>
      </c>
      <c r="K22" s="927">
        <v>90691.214999999982</v>
      </c>
      <c r="L22" s="927">
        <v>92390.02499999998</v>
      </c>
      <c r="M22" s="927">
        <v>92950.084999999992</v>
      </c>
      <c r="N22" s="927">
        <v>93773.564999999988</v>
      </c>
      <c r="O22" s="927">
        <v>94355.164999999994</v>
      </c>
      <c r="P22" s="927">
        <v>94615.455000000002</v>
      </c>
      <c r="Q22" s="927">
        <v>95457.904999999984</v>
      </c>
      <c r="R22" s="927">
        <v>96950.195000000007</v>
      </c>
      <c r="S22" s="927">
        <v>1101663.0799999998</v>
      </c>
      <c r="T22" s="926"/>
      <c r="U22" s="934">
        <f t="shared" si="2"/>
        <v>5741.9398207426384</v>
      </c>
      <c r="V22" s="934">
        <f t="shared" si="3"/>
        <v>5409.827464788732</v>
      </c>
      <c r="W22" s="934">
        <f t="shared" si="4"/>
        <v>5593.079705505761</v>
      </c>
      <c r="X22" s="934">
        <f t="shared" si="5"/>
        <v>5693.0192061459657</v>
      </c>
      <c r="Y22" s="934">
        <f t="shared" si="6"/>
        <v>5806.0957106274</v>
      </c>
      <c r="Z22" s="934">
        <f t="shared" si="7"/>
        <v>5880.969127943983</v>
      </c>
      <c r="AA22" s="934">
        <f t="shared" si="8"/>
        <v>5916.6190324633981</v>
      </c>
      <c r="AB22" s="934">
        <f t="shared" si="9"/>
        <v>5969.0366008911515</v>
      </c>
      <c r="AC22" s="934">
        <f t="shared" si="10"/>
        <v>6006.0576066199865</v>
      </c>
      <c r="AD22" s="934">
        <f t="shared" si="11"/>
        <v>6022.626034373011</v>
      </c>
      <c r="AE22" s="934">
        <f t="shared" si="12"/>
        <v>6076.251113940164</v>
      </c>
      <c r="AF22" s="934">
        <f t="shared" si="13"/>
        <v>6171.240929344367</v>
      </c>
      <c r="AG22" s="934">
        <f t="shared" si="14"/>
        <v>70286.762353386555</v>
      </c>
      <c r="AH22" s="939">
        <f t="shared" si="15"/>
        <v>5857.2301961155463</v>
      </c>
      <c r="AM22" s="947"/>
      <c r="AN22" s="930"/>
      <c r="AP22" s="928">
        <v>1632</v>
      </c>
      <c r="AQ22" s="927">
        <v>7489.2301961155463</v>
      </c>
      <c r="AS22" s="938">
        <f t="shared" ca="1" si="16"/>
        <v>16.631021049715081</v>
      </c>
      <c r="AT22" s="937">
        <f t="shared" ca="1" si="17"/>
        <v>1494642.5404531134</v>
      </c>
      <c r="AU22" s="937"/>
      <c r="AV22" s="936">
        <f t="shared" ca="1" si="18"/>
        <v>392979.46045311354</v>
      </c>
      <c r="BD22" s="925">
        <v>1</v>
      </c>
      <c r="BE22" s="928">
        <f t="shared" si="19"/>
        <v>7489.2301961155463</v>
      </c>
      <c r="BG22" s="928">
        <f t="shared" si="20"/>
        <v>0</v>
      </c>
      <c r="BI22" s="928">
        <f t="shared" si="21"/>
        <v>0</v>
      </c>
    </row>
    <row r="23" spans="1:61" s="925" customFormat="1" ht="12" customHeight="1">
      <c r="A23" s="914" t="s">
        <v>1484</v>
      </c>
      <c r="B23" s="914" t="s">
        <v>1485</v>
      </c>
      <c r="C23" s="926">
        <v>4.9800000000000004</v>
      </c>
      <c r="D23" s="926">
        <v>5.01</v>
      </c>
      <c r="E23" s="926"/>
      <c r="F23" s="926"/>
      <c r="G23" s="927">
        <v>32.549999999999997</v>
      </c>
      <c r="H23" s="927">
        <v>44.82</v>
      </c>
      <c r="I23" s="927">
        <v>44.49</v>
      </c>
      <c r="J23" s="927">
        <v>24.900000000000002</v>
      </c>
      <c r="K23" s="927">
        <v>64.740000000000009</v>
      </c>
      <c r="L23" s="927">
        <v>40.08</v>
      </c>
      <c r="M23" s="927">
        <v>45.09</v>
      </c>
      <c r="N23" s="927">
        <v>20.04</v>
      </c>
      <c r="O23" s="927">
        <v>45.09</v>
      </c>
      <c r="P23" s="927">
        <v>40.08</v>
      </c>
      <c r="Q23" s="927">
        <v>20.04</v>
      </c>
      <c r="R23" s="927">
        <v>35.07</v>
      </c>
      <c r="S23" s="927">
        <v>456.99000000000007</v>
      </c>
      <c r="T23" s="926"/>
      <c r="U23" s="934">
        <f t="shared" si="2"/>
        <v>6.5361445783132517</v>
      </c>
      <c r="V23" s="934">
        <f t="shared" si="3"/>
        <v>9</v>
      </c>
      <c r="W23" s="934">
        <f t="shared" si="4"/>
        <v>8.9337349397590362</v>
      </c>
      <c r="X23" s="934">
        <f t="shared" si="5"/>
        <v>5</v>
      </c>
      <c r="Y23" s="934">
        <f t="shared" si="6"/>
        <v>13</v>
      </c>
      <c r="Z23" s="934">
        <f t="shared" si="7"/>
        <v>8</v>
      </c>
      <c r="AA23" s="934">
        <f t="shared" si="8"/>
        <v>9.0000000000000018</v>
      </c>
      <c r="AB23" s="934">
        <f t="shared" si="9"/>
        <v>4</v>
      </c>
      <c r="AC23" s="934">
        <f t="shared" si="10"/>
        <v>9.0000000000000018</v>
      </c>
      <c r="AD23" s="934">
        <f t="shared" si="11"/>
        <v>8</v>
      </c>
      <c r="AE23" s="934">
        <f t="shared" si="12"/>
        <v>4</v>
      </c>
      <c r="AF23" s="934">
        <f t="shared" si="13"/>
        <v>7</v>
      </c>
      <c r="AG23" s="934">
        <f t="shared" si="14"/>
        <v>91.46987951807229</v>
      </c>
      <c r="AH23" s="939">
        <f t="shared" si="15"/>
        <v>7.6224899598393572</v>
      </c>
      <c r="AM23" s="947"/>
      <c r="AN23" s="930"/>
      <c r="AQ23" s="927">
        <v>7.6224899598393572</v>
      </c>
      <c r="AS23" s="938">
        <f t="shared" ca="1" si="16"/>
        <v>5.3037183614941155</v>
      </c>
      <c r="AT23" s="937">
        <f t="shared" ca="1" si="17"/>
        <v>485.13047952365451</v>
      </c>
      <c r="AU23" s="937"/>
      <c r="AV23" s="936">
        <f t="shared" ca="1" si="18"/>
        <v>28.140479523654449</v>
      </c>
      <c r="BE23" s="928">
        <f t="shared" si="19"/>
        <v>0</v>
      </c>
      <c r="BG23" s="928">
        <f t="shared" si="20"/>
        <v>0</v>
      </c>
      <c r="BI23" s="928">
        <f t="shared" si="21"/>
        <v>0</v>
      </c>
    </row>
    <row r="24" spans="1:61" s="925" customFormat="1" ht="12" customHeight="1">
      <c r="A24" s="914" t="s">
        <v>1486</v>
      </c>
      <c r="B24" s="914" t="s">
        <v>1487</v>
      </c>
      <c r="C24" s="926">
        <v>2.4700000000000002</v>
      </c>
      <c r="D24" s="926">
        <v>2.48</v>
      </c>
      <c r="E24" s="926"/>
      <c r="F24" s="926"/>
      <c r="G24" s="927">
        <v>12097.140000000001</v>
      </c>
      <c r="H24" s="927">
        <v>9557.34</v>
      </c>
      <c r="I24" s="927">
        <v>8129.6100000000006</v>
      </c>
      <c r="J24" s="927">
        <v>7293.39</v>
      </c>
      <c r="K24" s="927">
        <v>6753.08</v>
      </c>
      <c r="L24" s="927">
        <v>6849.32</v>
      </c>
      <c r="M24" s="927">
        <v>7434.5700000000006</v>
      </c>
      <c r="N24" s="927">
        <v>6954.84</v>
      </c>
      <c r="O24" s="927">
        <v>6743.13</v>
      </c>
      <c r="P24" s="927">
        <v>5649.34</v>
      </c>
      <c r="Q24" s="927">
        <v>4461.5199999999995</v>
      </c>
      <c r="R24" s="927">
        <v>5950.42</v>
      </c>
      <c r="S24" s="927">
        <v>87873.700000000012</v>
      </c>
      <c r="T24" s="926"/>
      <c r="U24" s="934">
        <f t="shared" si="2"/>
        <v>4897.6275303643724</v>
      </c>
      <c r="V24" s="934">
        <f t="shared" si="3"/>
        <v>3869.3684210526312</v>
      </c>
      <c r="W24" s="934">
        <f t="shared" si="4"/>
        <v>3291.34008097166</v>
      </c>
      <c r="X24" s="934">
        <f t="shared" si="5"/>
        <v>2952.7894736842104</v>
      </c>
      <c r="Y24" s="934">
        <f t="shared" si="6"/>
        <v>2734.0404858299594</v>
      </c>
      <c r="Z24" s="934">
        <f t="shared" si="7"/>
        <v>2761.822580645161</v>
      </c>
      <c r="AA24" s="934">
        <f t="shared" si="8"/>
        <v>2997.8104838709678</v>
      </c>
      <c r="AB24" s="934">
        <f t="shared" si="9"/>
        <v>2804.3709677419356</v>
      </c>
      <c r="AC24" s="934">
        <f t="shared" si="10"/>
        <v>2719.0040322580644</v>
      </c>
      <c r="AD24" s="934">
        <f t="shared" si="11"/>
        <v>2277.9596774193551</v>
      </c>
      <c r="AE24" s="934">
        <f t="shared" si="12"/>
        <v>1798.9999999999998</v>
      </c>
      <c r="AF24" s="934">
        <f t="shared" si="13"/>
        <v>2399.3629032258063</v>
      </c>
      <c r="AG24" s="934">
        <f t="shared" si="14"/>
        <v>35504.496637064127</v>
      </c>
      <c r="AH24" s="939">
        <f t="shared" si="15"/>
        <v>2958.7080530886774</v>
      </c>
      <c r="AJ24" s="939"/>
      <c r="AM24" s="947"/>
      <c r="AN24" s="930"/>
      <c r="AQ24" s="927">
        <v>2958.7080530886774</v>
      </c>
      <c r="AS24" s="938">
        <f t="shared" ca="1" si="16"/>
        <v>2.6253935202605603</v>
      </c>
      <c r="AT24" s="937">
        <f t="shared" ca="1" si="17"/>
        <v>93213.275411061011</v>
      </c>
      <c r="AU24" s="937"/>
      <c r="AV24" s="936">
        <f t="shared" ca="1" si="18"/>
        <v>5339.5754110609996</v>
      </c>
      <c r="BE24" s="928">
        <f t="shared" si="19"/>
        <v>0</v>
      </c>
      <c r="BG24" s="928">
        <f t="shared" si="20"/>
        <v>0</v>
      </c>
      <c r="BI24" s="928">
        <f t="shared" si="21"/>
        <v>0</v>
      </c>
    </row>
    <row r="25" spans="1:61" s="925" customFormat="1" ht="12" customHeight="1">
      <c r="A25" s="914" t="s">
        <v>1488</v>
      </c>
      <c r="B25" s="914" t="s">
        <v>1489</v>
      </c>
      <c r="C25" s="926">
        <v>2.4700000000000002</v>
      </c>
      <c r="D25" s="926">
        <v>2.48</v>
      </c>
      <c r="E25" s="926"/>
      <c r="F25" s="926"/>
      <c r="G25" s="927">
        <v>236.78</v>
      </c>
      <c r="H25" s="927">
        <v>138.32</v>
      </c>
      <c r="I25" s="927">
        <v>108.67999999999999</v>
      </c>
      <c r="J25" s="927">
        <v>182.77999999999997</v>
      </c>
      <c r="K25" s="927">
        <v>158.07999999999998</v>
      </c>
      <c r="L25" s="927">
        <v>114.06</v>
      </c>
      <c r="M25" s="927">
        <v>183.57</v>
      </c>
      <c r="N25" s="927">
        <v>124</v>
      </c>
      <c r="O25" s="927">
        <v>406.71999999999997</v>
      </c>
      <c r="P25" s="927">
        <v>297.60000000000002</v>
      </c>
      <c r="Q25" s="927">
        <v>178.56</v>
      </c>
      <c r="R25" s="927">
        <v>262.88</v>
      </c>
      <c r="S25" s="927">
        <v>2392.0299999999997</v>
      </c>
      <c r="T25" s="926"/>
      <c r="U25" s="934">
        <f t="shared" si="2"/>
        <v>95.862348178137651</v>
      </c>
      <c r="V25" s="934">
        <f t="shared" si="3"/>
        <v>55.999999999999993</v>
      </c>
      <c r="W25" s="934">
        <f t="shared" si="4"/>
        <v>43.999999999999993</v>
      </c>
      <c r="X25" s="934">
        <f t="shared" si="5"/>
        <v>73.999999999999986</v>
      </c>
      <c r="Y25" s="934">
        <f t="shared" si="6"/>
        <v>63.999999999999986</v>
      </c>
      <c r="Z25" s="934">
        <f t="shared" si="7"/>
        <v>45.991935483870968</v>
      </c>
      <c r="AA25" s="934">
        <f t="shared" si="8"/>
        <v>74.020161290322577</v>
      </c>
      <c r="AB25" s="934">
        <f t="shared" si="9"/>
        <v>50</v>
      </c>
      <c r="AC25" s="934">
        <f t="shared" si="10"/>
        <v>164</v>
      </c>
      <c r="AD25" s="934">
        <f t="shared" si="11"/>
        <v>120.00000000000001</v>
      </c>
      <c r="AE25" s="934">
        <f t="shared" si="12"/>
        <v>72</v>
      </c>
      <c r="AF25" s="934">
        <f t="shared" si="13"/>
        <v>106</v>
      </c>
      <c r="AG25" s="934">
        <f t="shared" si="14"/>
        <v>965.87444495233115</v>
      </c>
      <c r="AH25" s="939">
        <f t="shared" si="15"/>
        <v>80.489537079360929</v>
      </c>
      <c r="AJ25" s="939"/>
      <c r="AM25" s="947"/>
      <c r="AN25" s="930"/>
      <c r="AQ25" s="927">
        <v>80.489537079360929</v>
      </c>
      <c r="AS25" s="938">
        <f t="shared" ca="1" si="16"/>
        <v>2.6253935202605603</v>
      </c>
      <c r="AT25" s="937">
        <f t="shared" ca="1" si="17"/>
        <v>2535.8005091631153</v>
      </c>
      <c r="AU25" s="937"/>
      <c r="AV25" s="936">
        <f t="shared" ca="1" si="18"/>
        <v>143.77050916311555</v>
      </c>
      <c r="BE25" s="928">
        <f t="shared" si="19"/>
        <v>0</v>
      </c>
      <c r="BG25" s="928">
        <f t="shared" si="20"/>
        <v>0</v>
      </c>
      <c r="BI25" s="928">
        <f t="shared" si="21"/>
        <v>0</v>
      </c>
    </row>
    <row r="26" spans="1:61" s="925" customFormat="1" ht="12" customHeight="1">
      <c r="A26" s="914" t="s">
        <v>3005</v>
      </c>
      <c r="B26" s="914" t="s">
        <v>3004</v>
      </c>
      <c r="C26" s="926">
        <v>4.91</v>
      </c>
      <c r="D26" s="926">
        <v>4.9400000000000004</v>
      </c>
      <c r="E26" s="926"/>
      <c r="F26" s="926"/>
      <c r="G26" s="927">
        <v>229</v>
      </c>
      <c r="H26" s="927">
        <v>196.07</v>
      </c>
      <c r="I26" s="927">
        <v>159.55000000000001</v>
      </c>
      <c r="J26" s="927">
        <v>141.21</v>
      </c>
      <c r="K26" s="927">
        <v>189.05</v>
      </c>
      <c r="L26" s="927">
        <v>143.26</v>
      </c>
      <c r="M26" s="927">
        <v>108.68</v>
      </c>
      <c r="N26" s="927">
        <v>128.44</v>
      </c>
      <c r="O26" s="927">
        <v>182.78</v>
      </c>
      <c r="P26" s="927">
        <v>118.56</v>
      </c>
      <c r="Q26" s="927">
        <v>153.13999999999999</v>
      </c>
      <c r="R26" s="927">
        <v>103.74</v>
      </c>
      <c r="S26" s="927">
        <v>1853.4800000000002</v>
      </c>
      <c r="T26" s="926"/>
      <c r="U26" s="934">
        <f t="shared" si="2"/>
        <v>46.639511201629325</v>
      </c>
      <c r="V26" s="934">
        <f t="shared" si="3"/>
        <v>39.932790224032587</v>
      </c>
      <c r="W26" s="934">
        <f t="shared" si="4"/>
        <v>32.494908350305501</v>
      </c>
      <c r="X26" s="934">
        <f t="shared" si="5"/>
        <v>28.759674134419551</v>
      </c>
      <c r="Y26" s="934">
        <f t="shared" si="6"/>
        <v>38.503054989816704</v>
      </c>
      <c r="Z26" s="934">
        <f t="shared" si="7"/>
        <v>28.999999999999996</v>
      </c>
      <c r="AA26" s="934">
        <f t="shared" si="8"/>
        <v>22</v>
      </c>
      <c r="AB26" s="934">
        <f t="shared" si="9"/>
        <v>25.999999999999996</v>
      </c>
      <c r="AC26" s="934">
        <f t="shared" si="10"/>
        <v>37</v>
      </c>
      <c r="AD26" s="934">
        <f t="shared" si="11"/>
        <v>24</v>
      </c>
      <c r="AE26" s="934">
        <f t="shared" si="12"/>
        <v>30.999999999999996</v>
      </c>
      <c r="AF26" s="934">
        <f t="shared" si="13"/>
        <v>20.999999999999996</v>
      </c>
      <c r="AG26" s="934">
        <f t="shared" si="14"/>
        <v>376.32993890020367</v>
      </c>
      <c r="AH26" s="939">
        <f t="shared" si="15"/>
        <v>31.360828241683638</v>
      </c>
      <c r="AJ26" s="939"/>
      <c r="AM26" s="947"/>
      <c r="AN26" s="930"/>
      <c r="AQ26" s="927">
        <v>31.360828241683638</v>
      </c>
      <c r="AS26" s="938">
        <f t="shared" ca="1" si="16"/>
        <v>5.2296145121319224</v>
      </c>
      <c r="AT26" s="937">
        <f t="shared" ca="1" si="17"/>
        <v>1968.0605098222245</v>
      </c>
      <c r="AU26" s="937"/>
      <c r="AV26" s="936">
        <f t="shared" ca="1" si="18"/>
        <v>114.58050982222426</v>
      </c>
      <c r="BE26" s="928">
        <f t="shared" si="19"/>
        <v>0</v>
      </c>
      <c r="BG26" s="928">
        <f t="shared" si="20"/>
        <v>0</v>
      </c>
      <c r="BI26" s="928">
        <f t="shared" si="21"/>
        <v>0</v>
      </c>
    </row>
    <row r="27" spans="1:61" s="925" customFormat="1" ht="12" customHeight="1">
      <c r="A27" s="914" t="s">
        <v>3003</v>
      </c>
      <c r="B27" s="914" t="s">
        <v>3002</v>
      </c>
      <c r="C27" s="926">
        <v>7.34</v>
      </c>
      <c r="D27" s="926">
        <v>7.38</v>
      </c>
      <c r="E27" s="926"/>
      <c r="F27" s="926"/>
      <c r="G27" s="927">
        <v>102.75</v>
      </c>
      <c r="H27" s="927">
        <v>117.44</v>
      </c>
      <c r="I27" s="927">
        <v>130.18</v>
      </c>
      <c r="J27" s="927">
        <v>124.78</v>
      </c>
      <c r="K27" s="927">
        <v>80.739999999999995</v>
      </c>
      <c r="L27" s="927">
        <v>59</v>
      </c>
      <c r="M27" s="927">
        <v>95.94</v>
      </c>
      <c r="N27" s="927">
        <v>125.46</v>
      </c>
      <c r="O27" s="927">
        <v>14.759999999999998</v>
      </c>
      <c r="P27" s="927">
        <v>51.66</v>
      </c>
      <c r="Q27" s="927">
        <v>44.28</v>
      </c>
      <c r="R27" s="927">
        <v>184.5</v>
      </c>
      <c r="S27" s="927">
        <v>1131.4899999999998</v>
      </c>
      <c r="T27" s="926"/>
      <c r="U27" s="934">
        <f t="shared" si="2"/>
        <v>13.998637602179837</v>
      </c>
      <c r="V27" s="934">
        <f t="shared" si="3"/>
        <v>16</v>
      </c>
      <c r="W27" s="934">
        <f t="shared" si="4"/>
        <v>17.735694822888284</v>
      </c>
      <c r="X27" s="934">
        <f t="shared" si="5"/>
        <v>17</v>
      </c>
      <c r="Y27" s="934">
        <f t="shared" si="6"/>
        <v>11</v>
      </c>
      <c r="Z27" s="934">
        <f t="shared" si="7"/>
        <v>7.9945799457994582</v>
      </c>
      <c r="AA27" s="934">
        <f t="shared" si="8"/>
        <v>13</v>
      </c>
      <c r="AB27" s="934">
        <f t="shared" si="9"/>
        <v>17</v>
      </c>
      <c r="AC27" s="934">
        <f t="shared" si="10"/>
        <v>1.9999999999999998</v>
      </c>
      <c r="AD27" s="934">
        <f t="shared" si="11"/>
        <v>7</v>
      </c>
      <c r="AE27" s="934">
        <f t="shared" si="12"/>
        <v>6</v>
      </c>
      <c r="AF27" s="934">
        <f t="shared" si="13"/>
        <v>25</v>
      </c>
      <c r="AG27" s="934">
        <f t="shared" si="14"/>
        <v>153.72891237086759</v>
      </c>
      <c r="AH27" s="939">
        <f t="shared" si="15"/>
        <v>12.8107426975723</v>
      </c>
      <c r="AJ27" s="939"/>
      <c r="AM27" s="947"/>
      <c r="AN27" s="930"/>
      <c r="AQ27" s="927">
        <v>12.8107426975723</v>
      </c>
      <c r="AS27" s="938">
        <f t="shared" ca="1" si="16"/>
        <v>7.8126629756140868</v>
      </c>
      <c r="AT27" s="937">
        <f t="shared" ca="1" si="17"/>
        <v>1201.0321819612998</v>
      </c>
      <c r="AU27" s="937"/>
      <c r="AV27" s="936">
        <f t="shared" ca="1" si="18"/>
        <v>69.542181961300003</v>
      </c>
      <c r="BE27" s="928">
        <f t="shared" si="19"/>
        <v>0</v>
      </c>
      <c r="BG27" s="928">
        <f t="shared" si="20"/>
        <v>0</v>
      </c>
      <c r="BI27" s="928">
        <f t="shared" si="21"/>
        <v>0</v>
      </c>
    </row>
    <row r="28" spans="1:61" s="925" customFormat="1" ht="12" customHeight="1">
      <c r="A28" s="914" t="s">
        <v>3001</v>
      </c>
      <c r="B28" s="914" t="s">
        <v>3000</v>
      </c>
      <c r="C28" s="926">
        <v>3.73</v>
      </c>
      <c r="D28" s="926">
        <v>3.75</v>
      </c>
      <c r="E28" s="926"/>
      <c r="F28" s="926"/>
      <c r="G28" s="927">
        <v>73.08</v>
      </c>
      <c r="H28" s="927">
        <v>18.399999999999999</v>
      </c>
      <c r="I28" s="927">
        <v>26.11</v>
      </c>
      <c r="J28" s="927">
        <v>59.679999999999993</v>
      </c>
      <c r="K28" s="927">
        <v>82.06</v>
      </c>
      <c r="L28" s="927">
        <v>63.75</v>
      </c>
      <c r="M28" s="927">
        <v>33.75</v>
      </c>
      <c r="N28" s="927">
        <v>52.5</v>
      </c>
      <c r="O28" s="927">
        <v>41.25</v>
      </c>
      <c r="P28" s="927">
        <v>15</v>
      </c>
      <c r="Q28" s="927">
        <v>26.25</v>
      </c>
      <c r="R28" s="927">
        <v>41.25</v>
      </c>
      <c r="S28" s="927">
        <v>533.07999999999993</v>
      </c>
      <c r="T28" s="926"/>
      <c r="U28" s="934">
        <f t="shared" si="2"/>
        <v>19.592493297587129</v>
      </c>
      <c r="V28" s="934">
        <f t="shared" si="3"/>
        <v>4.9329758713136727</v>
      </c>
      <c r="W28" s="934">
        <f t="shared" si="4"/>
        <v>7</v>
      </c>
      <c r="X28" s="934">
        <f t="shared" si="5"/>
        <v>15.999999999999998</v>
      </c>
      <c r="Y28" s="934">
        <f t="shared" si="6"/>
        <v>22</v>
      </c>
      <c r="Z28" s="934">
        <f t="shared" si="7"/>
        <v>17</v>
      </c>
      <c r="AA28" s="934">
        <f t="shared" si="8"/>
        <v>9</v>
      </c>
      <c r="AB28" s="934">
        <f t="shared" si="9"/>
        <v>14</v>
      </c>
      <c r="AC28" s="934">
        <f t="shared" si="10"/>
        <v>11</v>
      </c>
      <c r="AD28" s="934">
        <f t="shared" si="11"/>
        <v>4</v>
      </c>
      <c r="AE28" s="934">
        <f t="shared" si="12"/>
        <v>7</v>
      </c>
      <c r="AF28" s="934">
        <f t="shared" si="13"/>
        <v>11</v>
      </c>
      <c r="AG28" s="934">
        <f t="shared" si="14"/>
        <v>142.5254691689008</v>
      </c>
      <c r="AH28" s="939">
        <f t="shared" si="15"/>
        <v>11.877122430741734</v>
      </c>
      <c r="AJ28" s="939"/>
      <c r="AM28" s="947"/>
      <c r="AN28" s="930"/>
      <c r="AQ28" s="927">
        <v>11.877122430741734</v>
      </c>
      <c r="AS28" s="938">
        <f t="shared" ca="1" si="16"/>
        <v>3.9698490729746374</v>
      </c>
      <c r="AT28" s="937">
        <f t="shared" ca="1" si="17"/>
        <v>565.80460165543616</v>
      </c>
      <c r="AU28" s="937"/>
      <c r="AV28" s="936">
        <f t="shared" ca="1" si="18"/>
        <v>32.724601655436231</v>
      </c>
      <c r="BE28" s="928">
        <f t="shared" si="19"/>
        <v>0</v>
      </c>
      <c r="BG28" s="928">
        <f t="shared" si="20"/>
        <v>0</v>
      </c>
      <c r="BI28" s="928">
        <f t="shared" si="21"/>
        <v>0</v>
      </c>
    </row>
    <row r="29" spans="1:61" s="925" customFormat="1" ht="12" customHeight="1">
      <c r="A29" s="914" t="s">
        <v>1490</v>
      </c>
      <c r="B29" s="914" t="s">
        <v>1491</v>
      </c>
      <c r="C29" s="926">
        <v>2.1</v>
      </c>
      <c r="D29" s="926">
        <v>2.11</v>
      </c>
      <c r="E29" s="926"/>
      <c r="F29" s="926"/>
      <c r="G29" s="927">
        <v>336.88</v>
      </c>
      <c r="H29" s="927">
        <v>268.94</v>
      </c>
      <c r="I29" s="927">
        <v>228.76</v>
      </c>
      <c r="J29" s="927">
        <v>223.34</v>
      </c>
      <c r="K29" s="927">
        <v>111.3</v>
      </c>
      <c r="L29" s="927">
        <v>207.82000000000002</v>
      </c>
      <c r="M29" s="927">
        <v>196.23</v>
      </c>
      <c r="N29" s="927">
        <v>447.32000000000005</v>
      </c>
      <c r="O29" s="927">
        <v>200.45</v>
      </c>
      <c r="P29" s="927">
        <v>109.72</v>
      </c>
      <c r="Q29" s="927">
        <v>105.5</v>
      </c>
      <c r="R29" s="927">
        <v>170.91</v>
      </c>
      <c r="S29" s="927">
        <v>2607.1699999999992</v>
      </c>
      <c r="T29" s="926"/>
      <c r="U29" s="934">
        <f t="shared" si="2"/>
        <v>160.4190476190476</v>
      </c>
      <c r="V29" s="934">
        <f t="shared" si="3"/>
        <v>128.06666666666666</v>
      </c>
      <c r="W29" s="934">
        <f t="shared" si="4"/>
        <v>108.93333333333332</v>
      </c>
      <c r="X29" s="934">
        <f t="shared" si="5"/>
        <v>106.35238095238095</v>
      </c>
      <c r="Y29" s="934">
        <f t="shared" si="6"/>
        <v>52.999999999999993</v>
      </c>
      <c r="Z29" s="934">
        <f t="shared" si="7"/>
        <v>98.49289099526068</v>
      </c>
      <c r="AA29" s="934">
        <f t="shared" si="8"/>
        <v>93</v>
      </c>
      <c r="AB29" s="934">
        <f t="shared" si="9"/>
        <v>212.00000000000003</v>
      </c>
      <c r="AC29" s="934">
        <f t="shared" si="10"/>
        <v>95</v>
      </c>
      <c r="AD29" s="934">
        <f t="shared" si="11"/>
        <v>52</v>
      </c>
      <c r="AE29" s="934">
        <f t="shared" si="12"/>
        <v>50</v>
      </c>
      <c r="AF29" s="934">
        <f t="shared" si="13"/>
        <v>81</v>
      </c>
      <c r="AG29" s="934">
        <f t="shared" si="14"/>
        <v>1238.2643195666892</v>
      </c>
      <c r="AH29" s="939">
        <f t="shared" si="15"/>
        <v>103.18869329722411</v>
      </c>
      <c r="AJ29" s="939"/>
      <c r="AM29" s="947"/>
      <c r="AN29" s="930"/>
      <c r="AQ29" s="927">
        <v>103.18869329722411</v>
      </c>
      <c r="AS29" s="938">
        <f t="shared" ca="1" si="16"/>
        <v>2.233701745060396</v>
      </c>
      <c r="AT29" s="937">
        <f t="shared" ca="1" si="17"/>
        <v>2765.9131714621376</v>
      </c>
      <c r="AU29" s="937"/>
      <c r="AV29" s="936">
        <f t="shared" ca="1" si="18"/>
        <v>158.74317146213843</v>
      </c>
      <c r="BE29" s="928">
        <f t="shared" si="19"/>
        <v>0</v>
      </c>
      <c r="BG29" s="928">
        <f t="shared" si="20"/>
        <v>0</v>
      </c>
      <c r="BI29" s="928">
        <f t="shared" si="21"/>
        <v>0</v>
      </c>
    </row>
    <row r="30" spans="1:61" s="925" customFormat="1" ht="12" customHeight="1">
      <c r="A30" s="914" t="s">
        <v>1492</v>
      </c>
      <c r="B30" s="914" t="s">
        <v>1493</v>
      </c>
      <c r="C30" s="926">
        <v>1.38</v>
      </c>
      <c r="D30" s="926">
        <v>1.39</v>
      </c>
      <c r="E30" s="926"/>
      <c r="F30" s="926"/>
      <c r="G30" s="927">
        <v>18.48</v>
      </c>
      <c r="H30" s="927">
        <v>11.12</v>
      </c>
      <c r="I30" s="927">
        <v>19.46</v>
      </c>
      <c r="J30" s="927">
        <v>11.12</v>
      </c>
      <c r="K30" s="927">
        <v>19.46</v>
      </c>
      <c r="L30" s="927">
        <v>11.12</v>
      </c>
      <c r="M30" s="927">
        <v>19.46</v>
      </c>
      <c r="N30" s="927">
        <v>11.12</v>
      </c>
      <c r="O30" s="927">
        <v>18.760000000000002</v>
      </c>
      <c r="P30" s="927">
        <v>9.5599999999999987</v>
      </c>
      <c r="Q30" s="927">
        <v>17.170000000000002</v>
      </c>
      <c r="R30" s="927">
        <v>11.12</v>
      </c>
      <c r="S30" s="927">
        <v>177.95</v>
      </c>
      <c r="T30" s="926"/>
      <c r="U30" s="934">
        <f t="shared" si="2"/>
        <v>13.391304347826088</v>
      </c>
      <c r="V30" s="934">
        <f t="shared" si="3"/>
        <v>8.0579710144927539</v>
      </c>
      <c r="W30" s="934">
        <f t="shared" si="4"/>
        <v>14.10144927536232</v>
      </c>
      <c r="X30" s="934">
        <f t="shared" si="5"/>
        <v>8.0579710144927539</v>
      </c>
      <c r="Y30" s="934">
        <f t="shared" si="6"/>
        <v>14.10144927536232</v>
      </c>
      <c r="Z30" s="934">
        <f t="shared" si="7"/>
        <v>8</v>
      </c>
      <c r="AA30" s="934">
        <f t="shared" si="8"/>
        <v>14.000000000000002</v>
      </c>
      <c r="AB30" s="934">
        <f t="shared" si="9"/>
        <v>8</v>
      </c>
      <c r="AC30" s="934">
        <f t="shared" si="10"/>
        <v>13.496402877697843</v>
      </c>
      <c r="AD30" s="934">
        <f t="shared" si="11"/>
        <v>6.8776978417266186</v>
      </c>
      <c r="AE30" s="934">
        <f t="shared" si="12"/>
        <v>12.352517985611513</v>
      </c>
      <c r="AF30" s="934">
        <f t="shared" si="13"/>
        <v>8</v>
      </c>
      <c r="AG30" s="934">
        <f t="shared" si="14"/>
        <v>128.43676363257222</v>
      </c>
      <c r="AH30" s="939">
        <f t="shared" si="15"/>
        <v>10.703063636047686</v>
      </c>
      <c r="AJ30" s="939"/>
      <c r="AM30" s="947"/>
      <c r="AN30" s="930"/>
      <c r="AQ30" s="927">
        <v>10.703063636047686</v>
      </c>
      <c r="AS30" s="938">
        <f t="shared" ca="1" si="16"/>
        <v>1.4714907230492655</v>
      </c>
      <c r="AT30" s="937">
        <f t="shared" ca="1" si="17"/>
        <v>188.99350618380134</v>
      </c>
      <c r="AU30" s="937"/>
      <c r="AV30" s="936">
        <f t="shared" ca="1" si="18"/>
        <v>11.043506183801355</v>
      </c>
      <c r="BE30" s="928">
        <f t="shared" si="19"/>
        <v>0</v>
      </c>
      <c r="BG30" s="928">
        <f t="shared" si="20"/>
        <v>0</v>
      </c>
      <c r="BI30" s="928">
        <f t="shared" si="21"/>
        <v>0</v>
      </c>
    </row>
    <row r="31" spans="1:61" s="925" customFormat="1" ht="12" customHeight="1">
      <c r="A31" s="914" t="s">
        <v>1494</v>
      </c>
      <c r="B31" s="914" t="s">
        <v>1495</v>
      </c>
      <c r="C31" s="926">
        <v>1.385</v>
      </c>
      <c r="D31" s="926">
        <f>C31</f>
        <v>1.385</v>
      </c>
      <c r="E31" s="926"/>
      <c r="F31" s="926"/>
      <c r="G31" s="927">
        <v>81.850000000000009</v>
      </c>
      <c r="H31" s="927">
        <v>89.300000000000011</v>
      </c>
      <c r="I31" s="927">
        <v>92.01</v>
      </c>
      <c r="J31" s="927">
        <v>87.250000000000014</v>
      </c>
      <c r="K31" s="927">
        <v>104.14</v>
      </c>
      <c r="L31" s="927">
        <v>85.86999999999999</v>
      </c>
      <c r="M31" s="927">
        <v>103.78999999999999</v>
      </c>
      <c r="N31" s="927">
        <v>85.86</v>
      </c>
      <c r="O31" s="927">
        <v>109.32</v>
      </c>
      <c r="P31" s="927">
        <v>87.94</v>
      </c>
      <c r="Q31" s="927">
        <v>106.56</v>
      </c>
      <c r="R31" s="927">
        <v>86.21</v>
      </c>
      <c r="S31" s="927">
        <v>1120.0999999999999</v>
      </c>
      <c r="T31" s="926"/>
      <c r="U31" s="934">
        <f t="shared" si="2"/>
        <v>59.097472924187734</v>
      </c>
      <c r="V31" s="934">
        <f t="shared" si="3"/>
        <v>64.476534296028888</v>
      </c>
      <c r="W31" s="934">
        <f t="shared" si="4"/>
        <v>66.433212996389898</v>
      </c>
      <c r="X31" s="934">
        <f t="shared" si="5"/>
        <v>62.996389891696758</v>
      </c>
      <c r="Y31" s="934">
        <f t="shared" si="6"/>
        <v>75.191335740072205</v>
      </c>
      <c r="Z31" s="934">
        <f t="shared" si="7"/>
        <v>61.999999999999993</v>
      </c>
      <c r="AA31" s="934">
        <f t="shared" si="8"/>
        <v>74.938628158844764</v>
      </c>
      <c r="AB31" s="934">
        <f t="shared" si="9"/>
        <v>61.992779783393502</v>
      </c>
      <c r="AC31" s="934">
        <f t="shared" si="10"/>
        <v>78.931407942238266</v>
      </c>
      <c r="AD31" s="934">
        <f t="shared" si="11"/>
        <v>63.494584837545126</v>
      </c>
      <c r="AE31" s="934">
        <f t="shared" si="12"/>
        <v>76.938628158844764</v>
      </c>
      <c r="AF31" s="934">
        <f t="shared" si="13"/>
        <v>62.245487364620935</v>
      </c>
      <c r="AG31" s="934">
        <f t="shared" si="14"/>
        <v>808.73646209386277</v>
      </c>
      <c r="AH31" s="939">
        <f t="shared" si="15"/>
        <v>67.394705174488564</v>
      </c>
      <c r="AJ31" s="939"/>
      <c r="AM31" s="947"/>
      <c r="AN31" s="930"/>
      <c r="AQ31" s="927">
        <v>67.394705174488564</v>
      </c>
      <c r="AS31" s="938">
        <f t="shared" ca="1" si="16"/>
        <v>1.466197590951966</v>
      </c>
      <c r="AT31" s="937">
        <f t="shared" ca="1" si="17"/>
        <v>1185.7674524370377</v>
      </c>
      <c r="AU31" s="937"/>
      <c r="AV31" s="936">
        <f t="shared" ca="1" si="18"/>
        <v>65.667452437037809</v>
      </c>
      <c r="BE31" s="928">
        <f t="shared" si="19"/>
        <v>0</v>
      </c>
      <c r="BG31" s="928">
        <f t="shared" si="20"/>
        <v>0</v>
      </c>
      <c r="BI31" s="928">
        <f t="shared" si="21"/>
        <v>0</v>
      </c>
    </row>
    <row r="32" spans="1:61" s="925" customFormat="1" ht="12" customHeight="1">
      <c r="A32" s="914" t="s">
        <v>1496</v>
      </c>
      <c r="B32" s="914" t="s">
        <v>1497</v>
      </c>
      <c r="C32" s="926">
        <v>1.95</v>
      </c>
      <c r="D32" s="926">
        <f>C32</f>
        <v>1.95</v>
      </c>
      <c r="E32" s="926"/>
      <c r="F32" s="926"/>
      <c r="G32" s="927">
        <v>79.040000000000006</v>
      </c>
      <c r="H32" s="927">
        <v>28.28</v>
      </c>
      <c r="I32" s="927">
        <v>77.03</v>
      </c>
      <c r="J32" s="927">
        <v>27.3</v>
      </c>
      <c r="K32" s="927">
        <v>83.850000000000009</v>
      </c>
      <c r="L32" s="927">
        <v>25.830000000000002</v>
      </c>
      <c r="M32" s="927">
        <v>88.23</v>
      </c>
      <c r="N32" s="927">
        <v>28.76</v>
      </c>
      <c r="O32" s="927">
        <v>90.18</v>
      </c>
      <c r="P32" s="927">
        <v>26.34</v>
      </c>
      <c r="Q32" s="927">
        <v>78</v>
      </c>
      <c r="R32" s="927">
        <v>27.3</v>
      </c>
      <c r="S32" s="927">
        <v>660.14</v>
      </c>
      <c r="T32" s="926"/>
      <c r="U32" s="934">
        <f t="shared" si="2"/>
        <v>40.533333333333339</v>
      </c>
      <c r="V32" s="934">
        <f t="shared" si="3"/>
        <v>14.502564102564104</v>
      </c>
      <c r="W32" s="934">
        <f t="shared" si="4"/>
        <v>39.502564102564101</v>
      </c>
      <c r="X32" s="934">
        <f t="shared" si="5"/>
        <v>14</v>
      </c>
      <c r="Y32" s="934">
        <f t="shared" si="6"/>
        <v>43.000000000000007</v>
      </c>
      <c r="Z32" s="934">
        <f t="shared" si="7"/>
        <v>13.246153846153847</v>
      </c>
      <c r="AA32" s="934">
        <f t="shared" si="8"/>
        <v>45.246153846153852</v>
      </c>
      <c r="AB32" s="934">
        <f t="shared" si="9"/>
        <v>14.74871794871795</v>
      </c>
      <c r="AC32" s="934">
        <f t="shared" si="10"/>
        <v>46.246153846153852</v>
      </c>
      <c r="AD32" s="934">
        <f t="shared" si="11"/>
        <v>13.507692307692308</v>
      </c>
      <c r="AE32" s="934">
        <f t="shared" si="12"/>
        <v>40</v>
      </c>
      <c r="AF32" s="934">
        <f t="shared" si="13"/>
        <v>14</v>
      </c>
      <c r="AG32" s="934">
        <f t="shared" si="14"/>
        <v>338.53333333333336</v>
      </c>
      <c r="AH32" s="939">
        <f t="shared" si="15"/>
        <v>28.211111111111112</v>
      </c>
      <c r="AJ32" s="939"/>
      <c r="AM32" s="947"/>
      <c r="AN32" s="930"/>
      <c r="AQ32" s="927">
        <v>28.211111111111112</v>
      </c>
      <c r="AS32" s="938">
        <f t="shared" ca="1" si="16"/>
        <v>2.0643215179468113</v>
      </c>
      <c r="AT32" s="937">
        <f t="shared" ca="1" si="17"/>
        <v>698.84164454226061</v>
      </c>
      <c r="AU32" s="937"/>
      <c r="AV32" s="936">
        <f t="shared" ca="1" si="18"/>
        <v>38.701644542260624</v>
      </c>
      <c r="BE32" s="928">
        <f t="shared" si="19"/>
        <v>0</v>
      </c>
      <c r="BG32" s="928">
        <f t="shared" si="20"/>
        <v>0</v>
      </c>
      <c r="BI32" s="928">
        <f t="shared" si="21"/>
        <v>0</v>
      </c>
    </row>
    <row r="33" spans="1:61" s="925" customFormat="1" ht="12" customHeight="1">
      <c r="A33" s="914" t="s">
        <v>1498</v>
      </c>
      <c r="B33" s="914" t="s">
        <v>1499</v>
      </c>
      <c r="C33" s="926">
        <v>2.5099999999999998</v>
      </c>
      <c r="D33" s="926">
        <f>C33</f>
        <v>2.5099999999999998</v>
      </c>
      <c r="E33" s="926"/>
      <c r="F33" s="926"/>
      <c r="G33" s="927">
        <v>39.97</v>
      </c>
      <c r="H33" s="927">
        <v>20.079999999999998</v>
      </c>
      <c r="I33" s="927">
        <v>40.159999999999997</v>
      </c>
      <c r="J33" s="927">
        <v>20.079999999999998</v>
      </c>
      <c r="K33" s="927">
        <v>40.159999999999997</v>
      </c>
      <c r="L33" s="927">
        <v>20.079999999999998</v>
      </c>
      <c r="M33" s="927">
        <v>40.159999999999997</v>
      </c>
      <c r="N33" s="927">
        <v>15.06</v>
      </c>
      <c r="O33" s="927">
        <v>35.14</v>
      </c>
      <c r="P33" s="927">
        <v>15.06</v>
      </c>
      <c r="Q33" s="927">
        <v>35.14</v>
      </c>
      <c r="R33" s="927">
        <v>20.079999999999998</v>
      </c>
      <c r="S33" s="927">
        <v>341.16999999999996</v>
      </c>
      <c r="T33" s="926"/>
      <c r="U33" s="934">
        <f t="shared" si="2"/>
        <v>15.924302788844622</v>
      </c>
      <c r="V33" s="934">
        <f t="shared" si="3"/>
        <v>8</v>
      </c>
      <c r="W33" s="934">
        <f t="shared" si="4"/>
        <v>16</v>
      </c>
      <c r="X33" s="934">
        <f t="shared" si="5"/>
        <v>8</v>
      </c>
      <c r="Y33" s="934">
        <f t="shared" si="6"/>
        <v>16</v>
      </c>
      <c r="Z33" s="934">
        <f t="shared" si="7"/>
        <v>8</v>
      </c>
      <c r="AA33" s="934">
        <f t="shared" si="8"/>
        <v>16</v>
      </c>
      <c r="AB33" s="934">
        <f t="shared" si="9"/>
        <v>6.0000000000000009</v>
      </c>
      <c r="AC33" s="934">
        <f t="shared" si="10"/>
        <v>14.000000000000002</v>
      </c>
      <c r="AD33" s="934">
        <f t="shared" si="11"/>
        <v>6.0000000000000009</v>
      </c>
      <c r="AE33" s="934">
        <f t="shared" si="12"/>
        <v>14.000000000000002</v>
      </c>
      <c r="AF33" s="934">
        <f t="shared" si="13"/>
        <v>8</v>
      </c>
      <c r="AG33" s="934">
        <f t="shared" si="14"/>
        <v>135.92430278884461</v>
      </c>
      <c r="AH33" s="939">
        <f t="shared" si="15"/>
        <v>11.327025232403718</v>
      </c>
      <c r="AJ33" s="939"/>
      <c r="AM33" s="947"/>
      <c r="AN33" s="930"/>
      <c r="AQ33" s="927">
        <v>11.327025232403718</v>
      </c>
      <c r="AS33" s="938">
        <f t="shared" ca="1" si="16"/>
        <v>2.657152312844357</v>
      </c>
      <c r="AT33" s="937">
        <f t="shared" ca="1" si="17"/>
        <v>361.17157552713519</v>
      </c>
      <c r="AU33" s="937"/>
      <c r="AV33" s="936">
        <f t="shared" ca="1" si="18"/>
        <v>20.00157552713523</v>
      </c>
      <c r="BE33" s="928">
        <f t="shared" si="19"/>
        <v>0</v>
      </c>
      <c r="BG33" s="928">
        <f t="shared" si="20"/>
        <v>0</v>
      </c>
      <c r="BI33" s="928">
        <f t="shared" si="21"/>
        <v>0</v>
      </c>
    </row>
    <row r="34" spans="1:61" s="925" customFormat="1" ht="12" customHeight="1">
      <c r="A34" s="914" t="s">
        <v>1500</v>
      </c>
      <c r="B34" s="914" t="s">
        <v>1501</v>
      </c>
      <c r="C34" s="926">
        <v>3.0750000000000002</v>
      </c>
      <c r="D34" s="926">
        <f>C34</f>
        <v>3.0750000000000002</v>
      </c>
      <c r="E34" s="926"/>
      <c r="F34" s="926"/>
      <c r="G34" s="927">
        <v>11.88</v>
      </c>
      <c r="H34" s="927">
        <v>12.3</v>
      </c>
      <c r="I34" s="927">
        <v>13.83</v>
      </c>
      <c r="J34" s="927">
        <v>18.45</v>
      </c>
      <c r="K34" s="927">
        <v>12.3</v>
      </c>
      <c r="L34" s="927">
        <v>18.45</v>
      </c>
      <c r="M34" s="927">
        <v>12.3</v>
      </c>
      <c r="N34" s="927">
        <v>12.3</v>
      </c>
      <c r="O34" s="927">
        <v>12.3</v>
      </c>
      <c r="P34" s="927">
        <v>12.3</v>
      </c>
      <c r="Q34" s="927">
        <v>12.3</v>
      </c>
      <c r="R34" s="927">
        <v>12.3</v>
      </c>
      <c r="S34" s="927">
        <v>161.01000000000002</v>
      </c>
      <c r="T34" s="926"/>
      <c r="U34" s="934">
        <f t="shared" si="2"/>
        <v>3.8634146341463413</v>
      </c>
      <c r="V34" s="934">
        <f t="shared" si="3"/>
        <v>4</v>
      </c>
      <c r="W34" s="934">
        <f t="shared" si="4"/>
        <v>4.4975609756097557</v>
      </c>
      <c r="X34" s="934">
        <f t="shared" si="5"/>
        <v>5.9999999999999991</v>
      </c>
      <c r="Y34" s="934">
        <f t="shared" si="6"/>
        <v>4</v>
      </c>
      <c r="Z34" s="934">
        <f t="shared" si="7"/>
        <v>5.9999999999999991</v>
      </c>
      <c r="AA34" s="934">
        <f t="shared" si="8"/>
        <v>4</v>
      </c>
      <c r="AB34" s="934">
        <f t="shared" si="9"/>
        <v>4</v>
      </c>
      <c r="AC34" s="934">
        <f t="shared" si="10"/>
        <v>4</v>
      </c>
      <c r="AD34" s="934">
        <f t="shared" si="11"/>
        <v>4</v>
      </c>
      <c r="AE34" s="934">
        <f t="shared" si="12"/>
        <v>4</v>
      </c>
      <c r="AF34" s="934">
        <f t="shared" si="13"/>
        <v>4</v>
      </c>
      <c r="AG34" s="934">
        <f t="shared" si="14"/>
        <v>52.360975609756096</v>
      </c>
      <c r="AH34" s="939">
        <f t="shared" si="15"/>
        <v>4.3634146341463413</v>
      </c>
      <c r="AJ34" s="939"/>
      <c r="AM34" s="947"/>
      <c r="AN34" s="930"/>
      <c r="AQ34" s="927">
        <v>4.3634146341463413</v>
      </c>
      <c r="AS34" s="938">
        <f t="shared" ca="1" si="16"/>
        <v>3.255276239839203</v>
      </c>
      <c r="AT34" s="937">
        <f t="shared" ca="1" si="17"/>
        <v>170.44943979723905</v>
      </c>
      <c r="AU34" s="937"/>
      <c r="AV34" s="936">
        <f t="shared" ca="1" si="18"/>
        <v>9.4394397972390323</v>
      </c>
      <c r="BE34" s="928">
        <f t="shared" si="19"/>
        <v>0</v>
      </c>
      <c r="BG34" s="928">
        <f t="shared" si="20"/>
        <v>0</v>
      </c>
      <c r="BI34" s="928">
        <f t="shared" si="21"/>
        <v>0</v>
      </c>
    </row>
    <row r="35" spans="1:61" s="925" customFormat="1" ht="12" customHeight="1">
      <c r="A35" s="914" t="s">
        <v>1502</v>
      </c>
      <c r="B35" s="914" t="s">
        <v>1503</v>
      </c>
      <c r="C35" s="926">
        <v>3.6349999999999998</v>
      </c>
      <c r="D35" s="926">
        <f>C35</f>
        <v>3.6349999999999998</v>
      </c>
      <c r="E35" s="926"/>
      <c r="F35" s="926"/>
      <c r="G35" s="927">
        <v>21.06</v>
      </c>
      <c r="H35" s="927">
        <v>14.54</v>
      </c>
      <c r="I35" s="927">
        <v>21.81</v>
      </c>
      <c r="J35" s="927">
        <v>14.54</v>
      </c>
      <c r="K35" s="927">
        <v>21.81</v>
      </c>
      <c r="L35" s="927">
        <v>14.54</v>
      </c>
      <c r="M35" s="927">
        <v>21.81</v>
      </c>
      <c r="N35" s="927">
        <v>14.54</v>
      </c>
      <c r="O35" s="927">
        <v>21.81</v>
      </c>
      <c r="P35" s="927">
        <v>11.819999999999999</v>
      </c>
      <c r="Q35" s="927">
        <v>19.079999999999998</v>
      </c>
      <c r="R35" s="927">
        <v>14.54</v>
      </c>
      <c r="S35" s="927">
        <v>211.89999999999995</v>
      </c>
      <c r="T35" s="926"/>
      <c r="U35" s="934">
        <f t="shared" si="2"/>
        <v>5.793672627235213</v>
      </c>
      <c r="V35" s="934">
        <f t="shared" si="3"/>
        <v>4</v>
      </c>
      <c r="W35" s="934">
        <f t="shared" si="4"/>
        <v>6</v>
      </c>
      <c r="X35" s="934">
        <f t="shared" si="5"/>
        <v>4</v>
      </c>
      <c r="Y35" s="934">
        <f t="shared" si="6"/>
        <v>6</v>
      </c>
      <c r="Z35" s="934">
        <f t="shared" si="7"/>
        <v>4</v>
      </c>
      <c r="AA35" s="934">
        <f t="shared" si="8"/>
        <v>6</v>
      </c>
      <c r="AB35" s="934">
        <f t="shared" si="9"/>
        <v>4</v>
      </c>
      <c r="AC35" s="934">
        <f t="shared" si="10"/>
        <v>6</v>
      </c>
      <c r="AD35" s="934">
        <f t="shared" si="11"/>
        <v>3.2517193947730396</v>
      </c>
      <c r="AE35" s="934">
        <f t="shared" si="12"/>
        <v>5.2489683631361759</v>
      </c>
      <c r="AF35" s="934">
        <f t="shared" si="13"/>
        <v>4</v>
      </c>
      <c r="AG35" s="934">
        <f t="shared" si="14"/>
        <v>58.294360385144429</v>
      </c>
      <c r="AH35" s="939">
        <f t="shared" si="15"/>
        <v>4.8578633654287025</v>
      </c>
      <c r="AJ35" s="939"/>
      <c r="AM35" s="947"/>
      <c r="AN35" s="930"/>
      <c r="AQ35" s="927">
        <v>4.8578633654287025</v>
      </c>
      <c r="AS35" s="938">
        <f t="shared" ca="1" si="16"/>
        <v>3.8481070347367483</v>
      </c>
      <c r="AT35" s="937">
        <f t="shared" ca="1" si="17"/>
        <v>224.32293828355353</v>
      </c>
      <c r="AU35" s="937"/>
      <c r="AV35" s="936">
        <f t="shared" ca="1" si="18"/>
        <v>12.422938283553577</v>
      </c>
      <c r="BE35" s="928">
        <f t="shared" si="19"/>
        <v>0</v>
      </c>
      <c r="BG35" s="928">
        <f t="shared" si="20"/>
        <v>0</v>
      </c>
      <c r="BI35" s="928">
        <f t="shared" si="21"/>
        <v>0</v>
      </c>
    </row>
    <row r="36" spans="1:61" s="925" customFormat="1" ht="12" customHeight="1">
      <c r="A36" s="914" t="s">
        <v>1504</v>
      </c>
      <c r="B36" s="914" t="s">
        <v>1505</v>
      </c>
      <c r="C36" s="926">
        <v>4.0250000000000004</v>
      </c>
      <c r="D36" s="926">
        <f>0.94*4.33</f>
        <v>4.0701999999999998</v>
      </c>
      <c r="E36" s="926"/>
      <c r="F36" s="926"/>
      <c r="G36" s="927">
        <v>4172.7</v>
      </c>
      <c r="H36" s="927">
        <v>3392.83</v>
      </c>
      <c r="I36" s="927">
        <v>4327.8999999999996</v>
      </c>
      <c r="J36" s="927">
        <v>3413.1499999999996</v>
      </c>
      <c r="K36" s="927">
        <v>4321.2599999999993</v>
      </c>
      <c r="L36" s="927">
        <v>3483.85</v>
      </c>
      <c r="M36" s="927">
        <v>4348.7600000000011</v>
      </c>
      <c r="N36" s="927">
        <v>3474.75</v>
      </c>
      <c r="O36" s="927">
        <v>4397.6400000000003</v>
      </c>
      <c r="P36" s="927">
        <v>3379.09</v>
      </c>
      <c r="Q36" s="927">
        <v>4370.0600000000004</v>
      </c>
      <c r="R36" s="927">
        <v>3412.67</v>
      </c>
      <c r="S36" s="927">
        <v>46494.66</v>
      </c>
      <c r="T36" s="926"/>
      <c r="U36" s="934">
        <f t="shared" si="2"/>
        <v>1036.695652173913</v>
      </c>
      <c r="V36" s="934">
        <f t="shared" si="3"/>
        <v>842.93913043478256</v>
      </c>
      <c r="W36" s="934">
        <f t="shared" si="4"/>
        <v>1075.2546583850931</v>
      </c>
      <c r="X36" s="934">
        <f t="shared" si="5"/>
        <v>847.98757763975141</v>
      </c>
      <c r="Y36" s="934">
        <f t="shared" si="6"/>
        <v>1073.604968944099</v>
      </c>
      <c r="Z36" s="934">
        <f t="shared" si="7"/>
        <v>855.94074001277579</v>
      </c>
      <c r="AA36" s="934">
        <f t="shared" si="8"/>
        <v>1068.4388973514817</v>
      </c>
      <c r="AB36" s="934">
        <f t="shared" si="9"/>
        <v>853.70497764237632</v>
      </c>
      <c r="AC36" s="934">
        <f t="shared" si="10"/>
        <v>1080.4481352267703</v>
      </c>
      <c r="AD36" s="934">
        <f t="shared" si="11"/>
        <v>830.20244705419884</v>
      </c>
      <c r="AE36" s="934">
        <f t="shared" si="12"/>
        <v>1073.672055427252</v>
      </c>
      <c r="AF36" s="934">
        <f t="shared" si="13"/>
        <v>838.4526558891456</v>
      </c>
      <c r="AG36" s="934">
        <f t="shared" si="14"/>
        <v>11477.341896181637</v>
      </c>
      <c r="AH36" s="939">
        <f t="shared" si="15"/>
        <v>956.44515801513637</v>
      </c>
      <c r="AJ36" s="939"/>
      <c r="AM36" s="947"/>
      <c r="AN36" s="930"/>
      <c r="AQ36" s="927">
        <v>956.44515801513637</v>
      </c>
      <c r="AS36" s="938">
        <f t="shared" ca="1" si="16"/>
        <v>4.3088212524856981</v>
      </c>
      <c r="AT36" s="937">
        <f t="shared" ca="1" si="17"/>
        <v>49453.814684311932</v>
      </c>
      <c r="AU36" s="937"/>
      <c r="AV36" s="936">
        <f t="shared" ca="1" si="18"/>
        <v>2959.1546843119286</v>
      </c>
      <c r="BE36" s="928">
        <f t="shared" si="19"/>
        <v>0</v>
      </c>
      <c r="BG36" s="928">
        <f t="shared" si="20"/>
        <v>0</v>
      </c>
      <c r="BI36" s="928">
        <f t="shared" si="21"/>
        <v>0</v>
      </c>
    </row>
    <row r="37" spans="1:61" s="925" customFormat="1" ht="12" customHeight="1">
      <c r="A37" s="914" t="s">
        <v>1506</v>
      </c>
      <c r="B37" s="914" t="s">
        <v>1507</v>
      </c>
      <c r="C37" s="926">
        <v>0.93</v>
      </c>
      <c r="D37" s="926">
        <v>0.94</v>
      </c>
      <c r="E37" s="926"/>
      <c r="F37" s="926"/>
      <c r="G37" s="927">
        <v>7.2</v>
      </c>
      <c r="H37" s="927">
        <v>-2.8000000000000007</v>
      </c>
      <c r="I37" s="927">
        <v>7.44</v>
      </c>
      <c r="J37" s="927">
        <v>5.58</v>
      </c>
      <c r="K37" s="927">
        <v>15.530000000000001</v>
      </c>
      <c r="L37" s="927">
        <v>9.3999999999999986</v>
      </c>
      <c r="M37" s="927">
        <v>5.64</v>
      </c>
      <c r="N37" s="927">
        <v>5.64</v>
      </c>
      <c r="O37" s="927">
        <v>5.64</v>
      </c>
      <c r="P37" s="927">
        <v>7.52</v>
      </c>
      <c r="Q37" s="927">
        <v>5.64</v>
      </c>
      <c r="R37" s="927">
        <v>7.52</v>
      </c>
      <c r="S37" s="927">
        <v>79.95</v>
      </c>
      <c r="T37" s="926"/>
      <c r="U37" s="934">
        <f t="shared" si="2"/>
        <v>7.7419354838709671</v>
      </c>
      <c r="V37" s="934">
        <f t="shared" si="3"/>
        <v>-3.0107526881720434</v>
      </c>
      <c r="W37" s="934">
        <f t="shared" si="4"/>
        <v>8</v>
      </c>
      <c r="X37" s="934">
        <f t="shared" si="5"/>
        <v>6</v>
      </c>
      <c r="Y37" s="934">
        <f t="shared" si="6"/>
        <v>16.698924731182796</v>
      </c>
      <c r="Z37" s="934">
        <f t="shared" si="7"/>
        <v>9.9999999999999982</v>
      </c>
      <c r="AA37" s="934">
        <f t="shared" si="8"/>
        <v>6</v>
      </c>
      <c r="AB37" s="934">
        <f t="shared" si="9"/>
        <v>6</v>
      </c>
      <c r="AC37" s="934">
        <f t="shared" si="10"/>
        <v>6</v>
      </c>
      <c r="AD37" s="934">
        <f t="shared" si="11"/>
        <v>8</v>
      </c>
      <c r="AE37" s="934">
        <f t="shared" si="12"/>
        <v>6</v>
      </c>
      <c r="AF37" s="934">
        <f t="shared" si="13"/>
        <v>8</v>
      </c>
      <c r="AG37" s="934">
        <f t="shared" si="14"/>
        <v>85.430107526881727</v>
      </c>
      <c r="AH37" s="939">
        <f t="shared" si="15"/>
        <v>7.1191756272401436</v>
      </c>
      <c r="AJ37" s="939"/>
      <c r="AM37" s="947"/>
      <c r="AN37" s="930"/>
      <c r="AQ37" s="927">
        <v>7.1191756272401436</v>
      </c>
      <c r="AS37" s="938">
        <f t="shared" ca="1" si="16"/>
        <v>0.99510883429230912</v>
      </c>
      <c r="AT37" s="937">
        <f t="shared" ca="1" si="17"/>
        <v>85.012254714541896</v>
      </c>
      <c r="AU37" s="937"/>
      <c r="AV37" s="936">
        <f t="shared" ca="1" si="18"/>
        <v>5.0622547145418935</v>
      </c>
      <c r="BE37" s="928">
        <f t="shared" si="19"/>
        <v>0</v>
      </c>
      <c r="BG37" s="928">
        <f t="shared" si="20"/>
        <v>0</v>
      </c>
      <c r="BI37" s="928">
        <f t="shared" si="21"/>
        <v>0</v>
      </c>
    </row>
    <row r="38" spans="1:61" s="925" customFormat="1" ht="12" customHeight="1">
      <c r="A38" s="914" t="s">
        <v>1508</v>
      </c>
      <c r="B38" s="914" t="s">
        <v>1509</v>
      </c>
      <c r="C38" s="926">
        <v>2.02</v>
      </c>
      <c r="D38" s="926">
        <f>0.94*2.17</f>
        <v>2.0397999999999996</v>
      </c>
      <c r="E38" s="926"/>
      <c r="F38" s="926"/>
      <c r="G38" s="927">
        <v>77.25</v>
      </c>
      <c r="H38" s="927">
        <v>84.84</v>
      </c>
      <c r="I38" s="927">
        <v>91.91</v>
      </c>
      <c r="J38" s="927">
        <v>84.84</v>
      </c>
      <c r="K38" s="927">
        <v>100.41</v>
      </c>
      <c r="L38" s="927">
        <v>90.56</v>
      </c>
      <c r="M38" s="927">
        <v>103.78</v>
      </c>
      <c r="N38" s="927">
        <v>93.61</v>
      </c>
      <c r="O38" s="927">
        <v>95.66</v>
      </c>
      <c r="P38" s="927">
        <v>93.61</v>
      </c>
      <c r="Q38" s="927">
        <v>102.76</v>
      </c>
      <c r="R38" s="927">
        <v>97.68</v>
      </c>
      <c r="S38" s="927">
        <v>1116.9099999999999</v>
      </c>
      <c r="T38" s="926"/>
      <c r="U38" s="934">
        <f t="shared" si="2"/>
        <v>38.242574257425744</v>
      </c>
      <c r="V38" s="934">
        <f t="shared" si="3"/>
        <v>42</v>
      </c>
      <c r="W38" s="934">
        <f t="shared" si="4"/>
        <v>45.5</v>
      </c>
      <c r="X38" s="934">
        <f t="shared" si="5"/>
        <v>42</v>
      </c>
      <c r="Y38" s="934">
        <f t="shared" si="6"/>
        <v>49.707920792079207</v>
      </c>
      <c r="Z38" s="934">
        <f t="shared" si="7"/>
        <v>44.396509461711943</v>
      </c>
      <c r="AA38" s="934">
        <f t="shared" si="8"/>
        <v>50.877537013432701</v>
      </c>
      <c r="AB38" s="934">
        <f t="shared" si="9"/>
        <v>45.891754093538587</v>
      </c>
      <c r="AC38" s="934">
        <f t="shared" si="10"/>
        <v>46.89675458378273</v>
      </c>
      <c r="AD38" s="934">
        <f t="shared" si="11"/>
        <v>45.891754093538587</v>
      </c>
      <c r="AE38" s="934">
        <f t="shared" si="12"/>
        <v>50.37748798901854</v>
      </c>
      <c r="AF38" s="934">
        <f t="shared" si="13"/>
        <v>47.887047749779406</v>
      </c>
      <c r="AG38" s="934">
        <f t="shared" si="14"/>
        <v>549.66934003430742</v>
      </c>
      <c r="AH38" s="939">
        <f t="shared" si="15"/>
        <v>45.805778336192283</v>
      </c>
      <c r="AJ38" s="939"/>
      <c r="AM38" s="947"/>
      <c r="AN38" s="930"/>
      <c r="AQ38" s="927">
        <v>45.805778336192283</v>
      </c>
      <c r="AS38" s="938">
        <f t="shared" ca="1" si="16"/>
        <v>2.1593861704143102</v>
      </c>
      <c r="AT38" s="937">
        <f t="shared" ca="1" si="17"/>
        <v>1186.9483711708444</v>
      </c>
      <c r="AU38" s="937"/>
      <c r="AV38" s="936">
        <f t="shared" ca="1" si="18"/>
        <v>70.038371170844584</v>
      </c>
      <c r="BE38" s="928">
        <f t="shared" si="19"/>
        <v>0</v>
      </c>
      <c r="BG38" s="928">
        <f t="shared" si="20"/>
        <v>0</v>
      </c>
      <c r="BI38" s="928">
        <f t="shared" si="21"/>
        <v>0</v>
      </c>
    </row>
    <row r="39" spans="1:61" s="925" customFormat="1" ht="12" customHeight="1">
      <c r="A39" s="914" t="s">
        <v>1510</v>
      </c>
      <c r="B39" s="914" t="s">
        <v>1511</v>
      </c>
      <c r="C39" s="926">
        <f>0.93*2*2.17</f>
        <v>4.0362</v>
      </c>
      <c r="D39" s="926">
        <f>0.94*2*2.17</f>
        <v>4.0795999999999992</v>
      </c>
      <c r="E39" s="926"/>
      <c r="F39" s="926"/>
      <c r="G39" s="927">
        <v>37.159999999999997</v>
      </c>
      <c r="H39" s="927">
        <v>0</v>
      </c>
      <c r="I39" s="927">
        <v>0</v>
      </c>
      <c r="J39" s="927">
        <v>4.6399999999999997</v>
      </c>
      <c r="K39" s="927">
        <v>9.2899999999999991</v>
      </c>
      <c r="L39" s="927">
        <v>-4.6399999999999997</v>
      </c>
      <c r="M39" s="927">
        <v>0</v>
      </c>
      <c r="N39" s="927">
        <v>-8.14</v>
      </c>
      <c r="O39" s="927">
        <v>0</v>
      </c>
      <c r="P39" s="927">
        <v>0</v>
      </c>
      <c r="Q39" s="927">
        <v>0</v>
      </c>
      <c r="R39" s="927">
        <v>0</v>
      </c>
      <c r="S39" s="927">
        <v>38.309999999999995</v>
      </c>
      <c r="T39" s="926"/>
      <c r="U39" s="934">
        <f t="shared" si="2"/>
        <v>9.2066795500718488</v>
      </c>
      <c r="V39" s="934">
        <f t="shared" si="3"/>
        <v>0</v>
      </c>
      <c r="W39" s="934">
        <f t="shared" si="4"/>
        <v>0</v>
      </c>
      <c r="X39" s="934">
        <f t="shared" si="5"/>
        <v>1.1495961547990683</v>
      </c>
      <c r="Y39" s="934">
        <f t="shared" si="6"/>
        <v>2.3016698875179622</v>
      </c>
      <c r="Z39" s="934">
        <f t="shared" si="7"/>
        <v>-1.137366408471419</v>
      </c>
      <c r="AA39" s="934">
        <f t="shared" si="8"/>
        <v>0</v>
      </c>
      <c r="AB39" s="934">
        <f t="shared" si="9"/>
        <v>-1.9952936562408083</v>
      </c>
      <c r="AC39" s="934">
        <f t="shared" si="10"/>
        <v>0</v>
      </c>
      <c r="AD39" s="934">
        <f t="shared" si="11"/>
        <v>0</v>
      </c>
      <c r="AE39" s="934">
        <f t="shared" si="12"/>
        <v>0</v>
      </c>
      <c r="AF39" s="934">
        <f t="shared" si="13"/>
        <v>0</v>
      </c>
      <c r="AG39" s="934">
        <f t="shared" si="14"/>
        <v>9.5252855276766528</v>
      </c>
      <c r="AH39" s="939">
        <f t="shared" si="15"/>
        <v>0.79377379397305436</v>
      </c>
      <c r="AJ39" s="939"/>
      <c r="AM39" s="947"/>
      <c r="AN39" s="930"/>
      <c r="AQ39" s="927">
        <v>0.79377379397305436</v>
      </c>
      <c r="AS39" s="938">
        <f t="shared" ca="1" si="16"/>
        <v>4.3187723408286205</v>
      </c>
      <c r="AT39" s="937">
        <f t="shared" ca="1" si="17"/>
        <v>41.137539675425081</v>
      </c>
      <c r="AU39" s="937"/>
      <c r="AV39" s="936">
        <f t="shared" ca="1" si="18"/>
        <v>2.8275396754250863</v>
      </c>
      <c r="BE39" s="928">
        <f t="shared" si="19"/>
        <v>0</v>
      </c>
      <c r="BG39" s="928">
        <f t="shared" si="20"/>
        <v>0</v>
      </c>
      <c r="BI39" s="928">
        <f t="shared" si="21"/>
        <v>0</v>
      </c>
    </row>
    <row r="40" spans="1:61" s="925" customFormat="1" ht="12" customHeight="1">
      <c r="A40" s="914" t="s">
        <v>1512</v>
      </c>
      <c r="B40" s="914" t="s">
        <v>1513</v>
      </c>
      <c r="C40" s="926">
        <v>17.47</v>
      </c>
      <c r="D40" s="926">
        <v>17.579999999999998</v>
      </c>
      <c r="E40" s="926"/>
      <c r="F40" s="926"/>
      <c r="G40" s="927">
        <v>65.2</v>
      </c>
      <c r="H40" s="927">
        <v>50.07</v>
      </c>
      <c r="I40" s="927">
        <v>69.88</v>
      </c>
      <c r="J40" s="927">
        <v>87.35</v>
      </c>
      <c r="K40" s="927">
        <v>104.82</v>
      </c>
      <c r="L40" s="927">
        <v>35.049999999999997</v>
      </c>
      <c r="M40" s="927">
        <v>175.8</v>
      </c>
      <c r="N40" s="927">
        <v>70.319999999999993</v>
      </c>
      <c r="O40" s="927">
        <v>17.579999999999998</v>
      </c>
      <c r="P40" s="927">
        <v>35.159999999999997</v>
      </c>
      <c r="Q40" s="927">
        <v>175.8</v>
      </c>
      <c r="R40" s="927">
        <v>105.48</v>
      </c>
      <c r="S40" s="927">
        <v>992.51</v>
      </c>
      <c r="T40" s="926"/>
      <c r="U40" s="934">
        <f t="shared" si="2"/>
        <v>3.7321121923297085</v>
      </c>
      <c r="V40" s="934">
        <f t="shared" si="3"/>
        <v>2.8660560961648542</v>
      </c>
      <c r="W40" s="934">
        <f t="shared" si="4"/>
        <v>4</v>
      </c>
      <c r="X40" s="934">
        <f t="shared" si="5"/>
        <v>5</v>
      </c>
      <c r="Y40" s="934">
        <f t="shared" si="6"/>
        <v>6</v>
      </c>
      <c r="Z40" s="934">
        <f t="shared" si="7"/>
        <v>1.9937428896473266</v>
      </c>
      <c r="AA40" s="934">
        <f t="shared" si="8"/>
        <v>10.000000000000002</v>
      </c>
      <c r="AB40" s="934">
        <f t="shared" si="9"/>
        <v>4</v>
      </c>
      <c r="AC40" s="934">
        <f t="shared" si="10"/>
        <v>1</v>
      </c>
      <c r="AD40" s="934">
        <f t="shared" si="11"/>
        <v>2</v>
      </c>
      <c r="AE40" s="934">
        <f t="shared" si="12"/>
        <v>10.000000000000002</v>
      </c>
      <c r="AF40" s="934">
        <f t="shared" si="13"/>
        <v>6.0000000000000009</v>
      </c>
      <c r="AG40" s="934">
        <f t="shared" si="14"/>
        <v>56.591911178141892</v>
      </c>
      <c r="AH40" s="939">
        <f t="shared" si="15"/>
        <v>4.7159925981784907</v>
      </c>
      <c r="AJ40" s="939"/>
      <c r="AM40" s="947"/>
      <c r="AN40" s="930"/>
      <c r="AQ40" s="927">
        <v>4.7159925981784907</v>
      </c>
      <c r="AS40" s="938">
        <f t="shared" ca="1" si="16"/>
        <v>18.6106524541051</v>
      </c>
      <c r="AT40" s="937">
        <f t="shared" ca="1" si="17"/>
        <v>1053.2123906499842</v>
      </c>
      <c r="AU40" s="937"/>
      <c r="AV40" s="936">
        <f t="shared" ca="1" si="18"/>
        <v>60.702390649984181</v>
      </c>
      <c r="BE40" s="928">
        <f t="shared" si="19"/>
        <v>0</v>
      </c>
      <c r="BG40" s="928">
        <f t="shared" si="20"/>
        <v>0</v>
      </c>
      <c r="BI40" s="928">
        <f t="shared" si="21"/>
        <v>0</v>
      </c>
    </row>
    <row r="41" spans="1:61" s="925" customFormat="1" ht="12" customHeight="1">
      <c r="A41" s="914" t="s">
        <v>1514</v>
      </c>
      <c r="B41" s="914" t="s">
        <v>1515</v>
      </c>
      <c r="C41" s="926">
        <v>13.51</v>
      </c>
      <c r="D41" s="926">
        <v>13.59</v>
      </c>
      <c r="E41" s="926"/>
      <c r="F41" s="926"/>
      <c r="G41" s="927">
        <v>730.80000000000007</v>
      </c>
      <c r="H41" s="927">
        <v>482.72</v>
      </c>
      <c r="I41" s="927">
        <v>607.95000000000005</v>
      </c>
      <c r="J41" s="927">
        <v>986.23</v>
      </c>
      <c r="K41" s="927">
        <v>1040.27</v>
      </c>
      <c r="L41" s="927">
        <v>706.36</v>
      </c>
      <c r="M41" s="927">
        <v>693.09</v>
      </c>
      <c r="N41" s="927">
        <v>706.68000000000006</v>
      </c>
      <c r="O41" s="927">
        <v>679.5</v>
      </c>
      <c r="P41" s="927">
        <v>1060.02</v>
      </c>
      <c r="Q41" s="927">
        <v>693.08999999999992</v>
      </c>
      <c r="R41" s="927">
        <v>842.57999999999993</v>
      </c>
      <c r="S41" s="927">
        <v>9229.2900000000009</v>
      </c>
      <c r="T41" s="926"/>
      <c r="U41" s="934">
        <f t="shared" si="2"/>
        <v>54.093264248704671</v>
      </c>
      <c r="V41" s="934">
        <f t="shared" si="3"/>
        <v>35.730569948186528</v>
      </c>
      <c r="W41" s="934">
        <f t="shared" si="4"/>
        <v>45.000000000000007</v>
      </c>
      <c r="X41" s="934">
        <f t="shared" si="5"/>
        <v>73</v>
      </c>
      <c r="Y41" s="934">
        <f t="shared" si="6"/>
        <v>77</v>
      </c>
      <c r="Z41" s="934">
        <f t="shared" si="7"/>
        <v>51.976453274466522</v>
      </c>
      <c r="AA41" s="934">
        <f t="shared" si="8"/>
        <v>51</v>
      </c>
      <c r="AB41" s="934">
        <f t="shared" si="9"/>
        <v>52.000000000000007</v>
      </c>
      <c r="AC41" s="934">
        <f t="shared" si="10"/>
        <v>50</v>
      </c>
      <c r="AD41" s="934">
        <f t="shared" si="11"/>
        <v>78</v>
      </c>
      <c r="AE41" s="934">
        <f t="shared" si="12"/>
        <v>50.999999999999993</v>
      </c>
      <c r="AF41" s="934">
        <f t="shared" si="13"/>
        <v>61.999999999999993</v>
      </c>
      <c r="AG41" s="934">
        <f t="shared" si="14"/>
        <v>680.80028747135771</v>
      </c>
      <c r="AH41" s="939">
        <f t="shared" si="15"/>
        <v>56.733357289279809</v>
      </c>
      <c r="AJ41" s="939"/>
      <c r="AM41" s="947"/>
      <c r="AN41" s="930"/>
      <c r="AQ41" s="927">
        <v>56.733357289279809</v>
      </c>
      <c r="AS41" s="938">
        <f t="shared" ca="1" si="16"/>
        <v>14.386733040460086</v>
      </c>
      <c r="AT41" s="937">
        <f t="shared" ca="1" si="17"/>
        <v>9794.4919897189066</v>
      </c>
      <c r="AU41" s="937"/>
      <c r="AV41" s="936">
        <f t="shared" ca="1" si="18"/>
        <v>565.20198971890568</v>
      </c>
      <c r="BE41" s="928">
        <f t="shared" si="19"/>
        <v>0</v>
      </c>
      <c r="BG41" s="928">
        <f t="shared" si="20"/>
        <v>0</v>
      </c>
      <c r="BI41" s="928">
        <f t="shared" si="21"/>
        <v>0</v>
      </c>
    </row>
    <row r="42" spans="1:61" s="925" customFormat="1" ht="12" customHeight="1">
      <c r="A42" s="914" t="s">
        <v>1516</v>
      </c>
      <c r="B42" s="914" t="s">
        <v>1517</v>
      </c>
      <c r="C42" s="926">
        <v>4.8600000000000003</v>
      </c>
      <c r="D42" s="926">
        <v>4.8899999999999997</v>
      </c>
      <c r="E42" s="926"/>
      <c r="F42" s="926"/>
      <c r="G42" s="927">
        <v>72.47999999999999</v>
      </c>
      <c r="H42" s="927">
        <v>44.19</v>
      </c>
      <c r="I42" s="927">
        <v>87.48</v>
      </c>
      <c r="J42" s="927">
        <v>238.14</v>
      </c>
      <c r="K42" s="927">
        <v>121.5</v>
      </c>
      <c r="L42" s="927">
        <v>102.63</v>
      </c>
      <c r="M42" s="927">
        <v>58.679999999999993</v>
      </c>
      <c r="N42" s="927">
        <v>112.5</v>
      </c>
      <c r="O42" s="927">
        <v>97.8</v>
      </c>
      <c r="P42" s="927">
        <v>54.54</v>
      </c>
      <c r="Q42" s="927">
        <v>53.79</v>
      </c>
      <c r="R42" s="927">
        <v>54.83</v>
      </c>
      <c r="S42" s="927">
        <v>1098.5599999999997</v>
      </c>
      <c r="T42" s="926"/>
      <c r="U42" s="934">
        <f t="shared" si="2"/>
        <v>14.913580246913577</v>
      </c>
      <c r="V42" s="934">
        <f t="shared" si="3"/>
        <v>9.0925925925925917</v>
      </c>
      <c r="W42" s="934">
        <f t="shared" si="4"/>
        <v>18</v>
      </c>
      <c r="X42" s="934">
        <f t="shared" si="5"/>
        <v>48.999999999999993</v>
      </c>
      <c r="Y42" s="934">
        <f t="shared" si="6"/>
        <v>25</v>
      </c>
      <c r="Z42" s="934">
        <f t="shared" si="7"/>
        <v>20.987730061349694</v>
      </c>
      <c r="AA42" s="934">
        <f t="shared" si="8"/>
        <v>12</v>
      </c>
      <c r="AB42" s="934">
        <f t="shared" si="9"/>
        <v>23.006134969325156</v>
      </c>
      <c r="AC42" s="934">
        <f t="shared" si="10"/>
        <v>20</v>
      </c>
      <c r="AD42" s="934">
        <f t="shared" si="11"/>
        <v>11.153374233128835</v>
      </c>
      <c r="AE42" s="934">
        <f t="shared" si="12"/>
        <v>11</v>
      </c>
      <c r="AF42" s="934">
        <f t="shared" si="13"/>
        <v>11.212678936605318</v>
      </c>
      <c r="AG42" s="934">
        <f t="shared" si="14"/>
        <v>225.36609103991518</v>
      </c>
      <c r="AH42" s="939">
        <f t="shared" si="15"/>
        <v>18.780507586659599</v>
      </c>
      <c r="AJ42" s="939"/>
      <c r="AM42" s="947"/>
      <c r="AN42" s="930"/>
      <c r="AQ42" s="927">
        <v>18.780507586659599</v>
      </c>
      <c r="AS42" s="938">
        <f t="shared" ca="1" si="16"/>
        <v>5.1766831911589266</v>
      </c>
      <c r="AT42" s="937">
        <f t="shared" ca="1" si="17"/>
        <v>1166.6488553435215</v>
      </c>
      <c r="AU42" s="937"/>
      <c r="AV42" s="936">
        <f t="shared" ca="1" si="18"/>
        <v>68.0888553435218</v>
      </c>
      <c r="BE42" s="928">
        <f t="shared" si="19"/>
        <v>0</v>
      </c>
      <c r="BG42" s="928">
        <f t="shared" si="20"/>
        <v>0</v>
      </c>
      <c r="BI42" s="928">
        <f t="shared" si="21"/>
        <v>0</v>
      </c>
    </row>
    <row r="43" spans="1:61" s="925" customFormat="1" ht="12" customHeight="1">
      <c r="A43" s="914" t="s">
        <v>1518</v>
      </c>
      <c r="B43" s="914" t="s">
        <v>1519</v>
      </c>
      <c r="C43" s="926"/>
      <c r="D43" s="926"/>
      <c r="E43" s="926"/>
      <c r="F43" s="926"/>
      <c r="G43" s="927">
        <v>0</v>
      </c>
      <c r="H43" s="927">
        <v>0</v>
      </c>
      <c r="I43" s="927">
        <v>0</v>
      </c>
      <c r="J43" s="927">
        <v>0</v>
      </c>
      <c r="K43" s="927">
        <v>0</v>
      </c>
      <c r="L43" s="927">
        <v>0</v>
      </c>
      <c r="M43" s="927">
        <v>0</v>
      </c>
      <c r="N43" s="927">
        <v>0</v>
      </c>
      <c r="O43" s="927">
        <v>0</v>
      </c>
      <c r="P43" s="927">
        <v>0</v>
      </c>
      <c r="Q43" s="927">
        <v>0</v>
      </c>
      <c r="R43" s="927">
        <v>0</v>
      </c>
      <c r="S43" s="927">
        <v>0</v>
      </c>
      <c r="T43" s="926"/>
      <c r="U43" s="914"/>
      <c r="V43" s="914"/>
      <c r="W43" s="914"/>
      <c r="X43" s="914"/>
      <c r="Y43" s="914"/>
      <c r="Z43" s="914"/>
      <c r="AA43" s="914"/>
      <c r="AB43" s="914"/>
      <c r="AC43" s="914"/>
      <c r="AD43" s="914"/>
      <c r="AE43" s="914"/>
      <c r="AF43" s="914"/>
      <c r="AG43" s="934">
        <f t="shared" si="14"/>
        <v>0</v>
      </c>
      <c r="AH43" s="939">
        <f t="shared" si="15"/>
        <v>0</v>
      </c>
      <c r="AJ43" s="939"/>
      <c r="AM43" s="947"/>
      <c r="AN43" s="930"/>
      <c r="AQ43" s="927">
        <v>0</v>
      </c>
      <c r="AS43" s="938">
        <f t="shared" ca="1" si="16"/>
        <v>0</v>
      </c>
      <c r="AT43" s="937">
        <f t="shared" ca="1" si="17"/>
        <v>0</v>
      </c>
      <c r="AU43" s="937"/>
      <c r="AV43" s="936">
        <f t="shared" ca="1" si="18"/>
        <v>0</v>
      </c>
      <c r="BE43" s="928">
        <f t="shared" si="19"/>
        <v>0</v>
      </c>
      <c r="BG43" s="928">
        <f t="shared" si="20"/>
        <v>0</v>
      </c>
      <c r="BI43" s="928">
        <f t="shared" si="21"/>
        <v>0</v>
      </c>
    </row>
    <row r="44" spans="1:61" s="925" customFormat="1" ht="12" customHeight="1" thickBot="1">
      <c r="A44" s="919"/>
      <c r="B44" s="919"/>
      <c r="C44" s="926"/>
      <c r="D44" s="926"/>
      <c r="E44" s="926"/>
      <c r="F44" s="926"/>
      <c r="G44" s="927"/>
      <c r="H44" s="927"/>
      <c r="I44" s="927"/>
      <c r="J44" s="927"/>
      <c r="K44" s="927"/>
      <c r="L44" s="927"/>
      <c r="M44" s="927"/>
      <c r="N44" s="927"/>
      <c r="O44" s="927"/>
      <c r="P44" s="927"/>
      <c r="Q44" s="927"/>
      <c r="R44" s="927"/>
      <c r="S44" s="927"/>
      <c r="T44" s="926"/>
      <c r="U44" s="914"/>
      <c r="V44" s="914"/>
      <c r="W44" s="914"/>
      <c r="X44" s="914"/>
      <c r="Y44" s="914"/>
      <c r="Z44" s="914"/>
      <c r="AA44" s="914"/>
      <c r="AB44" s="914"/>
      <c r="AC44" s="914"/>
      <c r="AD44" s="914"/>
      <c r="AE44" s="914"/>
      <c r="AF44" s="914"/>
      <c r="AG44" s="914"/>
      <c r="AH44" s="959"/>
      <c r="AJ44" s="939"/>
      <c r="AM44" s="947"/>
      <c r="AN44" s="930"/>
      <c r="AQ44" s="927">
        <v>0</v>
      </c>
      <c r="AS44" s="938">
        <f t="shared" ca="1" si="16"/>
        <v>0</v>
      </c>
      <c r="AT44" s="937">
        <f t="shared" ca="1" si="17"/>
        <v>0</v>
      </c>
      <c r="AU44" s="937"/>
      <c r="AV44" s="936">
        <f t="shared" ca="1" si="18"/>
        <v>0</v>
      </c>
      <c r="BE44" s="928">
        <f t="shared" si="19"/>
        <v>0</v>
      </c>
      <c r="BG44" s="928">
        <f t="shared" si="20"/>
        <v>0</v>
      </c>
      <c r="BI44" s="928">
        <f t="shared" si="21"/>
        <v>0</v>
      </c>
    </row>
    <row r="45" spans="1:61" s="925" customFormat="1" ht="12" customHeight="1" thickBot="1">
      <c r="B45" s="924" t="s">
        <v>1521</v>
      </c>
      <c r="C45" s="926"/>
      <c r="D45" s="926"/>
      <c r="E45" s="926"/>
      <c r="F45" s="926"/>
      <c r="G45" s="922">
        <v>190868.42500000008</v>
      </c>
      <c r="H45" s="922">
        <v>181855.65499999997</v>
      </c>
      <c r="I45" s="922">
        <v>185670.83999999994</v>
      </c>
      <c r="J45" s="922">
        <v>185904.87499999997</v>
      </c>
      <c r="K45" s="922">
        <v>188481.60999999996</v>
      </c>
      <c r="L45" s="922">
        <v>188676.80999999994</v>
      </c>
      <c r="M45" s="922">
        <v>190796.13500000001</v>
      </c>
      <c r="N45" s="922">
        <v>190080.61499999999</v>
      </c>
      <c r="O45" s="922">
        <v>190755.24500000002</v>
      </c>
      <c r="P45" s="922">
        <v>188749.81999999995</v>
      </c>
      <c r="Q45" s="922">
        <v>189183.36000000002</v>
      </c>
      <c r="R45" s="922">
        <v>191528.75999999998</v>
      </c>
      <c r="S45" s="922">
        <v>2262552.1500000008</v>
      </c>
      <c r="T45" s="926"/>
      <c r="U45" s="935">
        <f t="shared" ref="U45:AH45" si="22">SUM(U12:U23)</f>
        <v>13024.582397867653</v>
      </c>
      <c r="V45" s="935">
        <f t="shared" si="22"/>
        <v>12726.85222291981</v>
      </c>
      <c r="W45" s="935">
        <f t="shared" si="22"/>
        <v>13014.842370060216</v>
      </c>
      <c r="X45" s="935">
        <f t="shared" si="22"/>
        <v>13088.963213588788</v>
      </c>
      <c r="Y45" s="935">
        <f t="shared" si="22"/>
        <v>13242.326166467696</v>
      </c>
      <c r="Z45" s="935">
        <f t="shared" si="22"/>
        <v>13251.358410879098</v>
      </c>
      <c r="AA45" s="935">
        <f t="shared" si="22"/>
        <v>13272.613025890314</v>
      </c>
      <c r="AB45" s="935">
        <f t="shared" si="22"/>
        <v>13293.005774922018</v>
      </c>
      <c r="AC45" s="935">
        <f t="shared" si="22"/>
        <v>13277.714467937234</v>
      </c>
      <c r="AD45" s="935">
        <f t="shared" si="22"/>
        <v>13281.144414678618</v>
      </c>
      <c r="AE45" s="935">
        <f t="shared" si="22"/>
        <v>13331.525553744113</v>
      </c>
      <c r="AF45" s="935">
        <f t="shared" si="22"/>
        <v>13428.793988208985</v>
      </c>
      <c r="AG45" s="935">
        <f t="shared" si="22"/>
        <v>158233.72200716453</v>
      </c>
      <c r="AH45" s="935">
        <f t="shared" si="22"/>
        <v>13186.143500597045</v>
      </c>
      <c r="AM45" s="947"/>
      <c r="AN45" s="930"/>
      <c r="BE45" s="928"/>
      <c r="BG45" s="928"/>
      <c r="BI45" s="928"/>
    </row>
    <row r="46" spans="1:61" s="925" customFormat="1" ht="12" customHeight="1">
      <c r="A46" s="948"/>
      <c r="B46" s="931"/>
      <c r="C46" s="926"/>
      <c r="D46" s="926"/>
      <c r="E46" s="926"/>
      <c r="F46" s="926"/>
      <c r="G46" s="927"/>
      <c r="H46" s="927"/>
      <c r="I46" s="927"/>
      <c r="J46" s="927"/>
      <c r="K46" s="927"/>
      <c r="L46" s="927"/>
      <c r="M46" s="927"/>
      <c r="N46" s="927"/>
      <c r="O46" s="927"/>
      <c r="P46" s="927"/>
      <c r="Q46" s="927"/>
      <c r="R46" s="927"/>
      <c r="S46" s="927"/>
      <c r="T46" s="926"/>
      <c r="U46" s="914"/>
      <c r="V46" s="914"/>
      <c r="W46" s="914"/>
      <c r="X46" s="914"/>
      <c r="Y46" s="914"/>
      <c r="Z46" s="914"/>
      <c r="AA46" s="914"/>
      <c r="AB46" s="914"/>
      <c r="AC46" s="914"/>
      <c r="AD46" s="914"/>
      <c r="AE46" s="914"/>
      <c r="AF46" s="914"/>
      <c r="AG46" s="914"/>
      <c r="AM46" s="947"/>
      <c r="AN46" s="930"/>
      <c r="AT46" s="922">
        <f ca="1">SUM(AT12:AT44)</f>
        <v>2744641.7077116598</v>
      </c>
      <c r="AV46" s="922">
        <f ca="1">SUM(AV12:AV44)</f>
        <v>482089.55771166022</v>
      </c>
      <c r="BD46" s="922">
        <f t="shared" ref="BD46:BI46" si="23">SUM(BD12:BD44)</f>
        <v>3</v>
      </c>
      <c r="BE46" s="922">
        <f t="shared" si="23"/>
        <v>12034.462777745586</v>
      </c>
      <c r="BF46" s="922">
        <f t="shared" si="23"/>
        <v>0</v>
      </c>
      <c r="BG46" s="922">
        <f t="shared" si="23"/>
        <v>0</v>
      </c>
      <c r="BH46" s="922">
        <f t="shared" si="23"/>
        <v>0</v>
      </c>
      <c r="BI46" s="922">
        <f t="shared" si="23"/>
        <v>0</v>
      </c>
    </row>
    <row r="47" spans="1:61" s="925" customFormat="1" ht="12" customHeight="1" thickBot="1">
      <c r="A47" s="954" t="s">
        <v>1522</v>
      </c>
      <c r="B47" s="954" t="s">
        <v>1522</v>
      </c>
      <c r="C47" s="926"/>
      <c r="D47" s="926"/>
      <c r="E47" s="926"/>
      <c r="F47" s="926"/>
      <c r="G47" s="927"/>
      <c r="H47" s="927"/>
      <c r="I47" s="927"/>
      <c r="J47" s="927"/>
      <c r="K47" s="927"/>
      <c r="L47" s="927"/>
      <c r="M47" s="927"/>
      <c r="N47" s="927"/>
      <c r="O47" s="927"/>
      <c r="P47" s="927"/>
      <c r="Q47" s="927"/>
      <c r="R47" s="927"/>
      <c r="S47" s="927"/>
      <c r="T47" s="926"/>
      <c r="U47" s="934"/>
      <c r="V47" s="934"/>
      <c r="W47" s="934"/>
      <c r="X47" s="934"/>
      <c r="Y47" s="934"/>
      <c r="Z47" s="934"/>
      <c r="AA47" s="934"/>
      <c r="AB47" s="934"/>
      <c r="AC47" s="934"/>
      <c r="AD47" s="934"/>
      <c r="AE47" s="934"/>
      <c r="AF47" s="934"/>
      <c r="AG47" s="934"/>
      <c r="AM47" s="947"/>
      <c r="AN47" s="930"/>
      <c r="BE47" s="928"/>
      <c r="BG47" s="928"/>
      <c r="BI47" s="928"/>
    </row>
    <row r="48" spans="1:61" s="925" customFormat="1" ht="12" customHeight="1" thickBot="1">
      <c r="A48" s="914" t="s">
        <v>1523</v>
      </c>
      <c r="B48" s="914" t="s">
        <v>1524</v>
      </c>
      <c r="C48" s="926">
        <v>9.42</v>
      </c>
      <c r="D48" s="926">
        <v>9.48</v>
      </c>
      <c r="E48" s="926"/>
      <c r="F48" s="926"/>
      <c r="G48" s="927">
        <v>29929.23</v>
      </c>
      <c r="H48" s="927">
        <v>29357.624999999996</v>
      </c>
      <c r="I48" s="927">
        <v>30081.705000000002</v>
      </c>
      <c r="J48" s="927">
        <v>30219.089999999997</v>
      </c>
      <c r="K48" s="927">
        <v>30258.595000000001</v>
      </c>
      <c r="L48" s="927">
        <v>30558.560000000005</v>
      </c>
      <c r="M48" s="927">
        <v>30858.545000000002</v>
      </c>
      <c r="N48" s="927">
        <v>31115.41</v>
      </c>
      <c r="O48" s="927">
        <v>31217.65</v>
      </c>
      <c r="P48" s="927">
        <v>31192.754999999997</v>
      </c>
      <c r="Q48" s="927">
        <v>31301.775000000001</v>
      </c>
      <c r="R48" s="927">
        <v>31397.760000000002</v>
      </c>
      <c r="S48" s="927">
        <v>367488.70000000007</v>
      </c>
      <c r="T48" s="926"/>
      <c r="U48" s="934">
        <f>G48/$C48</f>
        <v>3177.2006369426749</v>
      </c>
      <c r="V48" s="934">
        <f>H48/$C48</f>
        <v>3116.5207006369424</v>
      </c>
      <c r="W48" s="934">
        <f>I48/$C48</f>
        <v>3193.3869426751594</v>
      </c>
      <c r="X48" s="934">
        <f>J48/$C48</f>
        <v>3207.9713375796173</v>
      </c>
      <c r="Y48" s="934">
        <f>K48/$C48</f>
        <v>3212.165074309979</v>
      </c>
      <c r="Z48" s="934">
        <f t="shared" ref="Z48:AF48" si="24">L48/$D48</f>
        <v>3223.4767932489453</v>
      </c>
      <c r="AA48" s="934">
        <f t="shared" si="24"/>
        <v>3255.1207805907175</v>
      </c>
      <c r="AB48" s="934">
        <f t="shared" si="24"/>
        <v>3282.2162447257383</v>
      </c>
      <c r="AC48" s="934">
        <f t="shared" si="24"/>
        <v>3293.0010548523205</v>
      </c>
      <c r="AD48" s="934">
        <f t="shared" si="24"/>
        <v>3290.3749999999995</v>
      </c>
      <c r="AE48" s="934">
        <f t="shared" si="24"/>
        <v>3301.875</v>
      </c>
      <c r="AF48" s="934">
        <f t="shared" si="24"/>
        <v>3312</v>
      </c>
      <c r="AG48" s="934">
        <f>+SUM(U48:AF48)</f>
        <v>38865.3095655621</v>
      </c>
      <c r="AH48" s="935">
        <f>SUM(U48:AF48)/12</f>
        <v>3238.7757971301749</v>
      </c>
      <c r="AM48" s="947"/>
      <c r="AN48" s="930"/>
      <c r="AQ48" s="927">
        <v>3238.7757971301749</v>
      </c>
      <c r="AS48" s="938">
        <f ca="1">D48*(1+$BA$3)</f>
        <v>13.68456334956573</v>
      </c>
      <c r="AT48" s="937">
        <f ca="1">AQ48*AS48*12</f>
        <v>531854.79085041746</v>
      </c>
      <c r="AU48" s="937"/>
      <c r="AV48" s="936">
        <f ca="1">AT48+AU48-S48</f>
        <v>164366.09085041739</v>
      </c>
      <c r="BD48" s="925">
        <v>1</v>
      </c>
      <c r="BE48" s="928">
        <f>$AQ48*$BD48</f>
        <v>3238.7757971301749</v>
      </c>
      <c r="BG48" s="928">
        <f>$AQ48*$BF48</f>
        <v>0</v>
      </c>
      <c r="BI48" s="928">
        <f>$AQ48*$BH48</f>
        <v>0</v>
      </c>
    </row>
    <row r="49" spans="1:61" s="925" customFormat="1" ht="12" customHeight="1">
      <c r="A49" s="940"/>
      <c r="B49" s="914"/>
      <c r="C49" s="926"/>
      <c r="D49" s="926"/>
      <c r="E49" s="926"/>
      <c r="F49" s="926"/>
      <c r="G49" s="927"/>
      <c r="H49" s="927"/>
      <c r="I49" s="927"/>
      <c r="J49" s="927"/>
      <c r="K49" s="927"/>
      <c r="L49" s="927"/>
      <c r="M49" s="927"/>
      <c r="N49" s="927"/>
      <c r="O49" s="927"/>
      <c r="P49" s="927"/>
      <c r="Q49" s="927"/>
      <c r="R49" s="927"/>
      <c r="S49" s="927"/>
      <c r="T49" s="926"/>
      <c r="U49" s="914"/>
      <c r="V49" s="914"/>
      <c r="W49" s="914"/>
      <c r="X49" s="914"/>
      <c r="Y49" s="914"/>
      <c r="Z49" s="914"/>
      <c r="AA49" s="914"/>
      <c r="AB49" s="914"/>
      <c r="AC49" s="914"/>
      <c r="AD49" s="914"/>
      <c r="AE49" s="914"/>
      <c r="AF49" s="914"/>
      <c r="AG49" s="914"/>
      <c r="AM49" s="947"/>
      <c r="AN49" s="930"/>
      <c r="AX49" s="958"/>
      <c r="BE49" s="928">
        <f>$AQ49*$BD49</f>
        <v>0</v>
      </c>
      <c r="BG49" s="928">
        <f>$AQ49*$BF49</f>
        <v>0</v>
      </c>
      <c r="BI49" s="928">
        <f>$AQ49*$BH49</f>
        <v>0</v>
      </c>
    </row>
    <row r="50" spans="1:61" s="925" customFormat="1" ht="12" customHeight="1">
      <c r="B50" s="924" t="s">
        <v>1525</v>
      </c>
      <c r="C50" s="926"/>
      <c r="D50" s="926"/>
      <c r="E50" s="926"/>
      <c r="F50" s="926"/>
      <c r="G50" s="922">
        <v>29929.23</v>
      </c>
      <c r="H50" s="922">
        <v>29357.624999999996</v>
      </c>
      <c r="I50" s="922">
        <v>30081.705000000002</v>
      </c>
      <c r="J50" s="922">
        <v>30219.089999999997</v>
      </c>
      <c r="K50" s="922">
        <v>30258.595000000001</v>
      </c>
      <c r="L50" s="922">
        <v>30558.560000000005</v>
      </c>
      <c r="M50" s="922">
        <v>30858.545000000002</v>
      </c>
      <c r="N50" s="922">
        <v>31115.41</v>
      </c>
      <c r="O50" s="922">
        <v>31217.65</v>
      </c>
      <c r="P50" s="922">
        <v>31192.754999999997</v>
      </c>
      <c r="Q50" s="922">
        <v>31301.775000000001</v>
      </c>
      <c r="R50" s="922">
        <v>31397.760000000002</v>
      </c>
      <c r="S50" s="922">
        <v>367488.70000000007</v>
      </c>
      <c r="T50" s="926"/>
      <c r="AM50" s="947"/>
      <c r="AN50" s="930"/>
      <c r="AT50" s="922">
        <f ca="1">+SUM(AT48:AT49)</f>
        <v>531854.79085041746</v>
      </c>
      <c r="AV50" s="922">
        <f ca="1">+SUM(AV48:AV49)</f>
        <v>164366.09085041739</v>
      </c>
      <c r="BD50" s="922">
        <f t="shared" ref="BD50:BI50" si="25">+SUM(BD48:BD49)</f>
        <v>1</v>
      </c>
      <c r="BE50" s="922">
        <f t="shared" si="25"/>
        <v>3238.7757971301749</v>
      </c>
      <c r="BF50" s="922">
        <f t="shared" si="25"/>
        <v>0</v>
      </c>
      <c r="BG50" s="922">
        <f t="shared" si="25"/>
        <v>0</v>
      </c>
      <c r="BH50" s="922">
        <f t="shared" si="25"/>
        <v>0</v>
      </c>
      <c r="BI50" s="922">
        <f t="shared" si="25"/>
        <v>0</v>
      </c>
    </row>
    <row r="51" spans="1:61" s="925" customFormat="1" ht="12" customHeight="1">
      <c r="B51" s="924"/>
      <c r="C51" s="926"/>
      <c r="D51" s="926"/>
      <c r="E51" s="926"/>
      <c r="F51" s="926"/>
      <c r="G51" s="927"/>
      <c r="H51" s="927"/>
      <c r="I51" s="927"/>
      <c r="J51" s="927"/>
      <c r="K51" s="927"/>
      <c r="L51" s="927"/>
      <c r="M51" s="927"/>
      <c r="N51" s="927"/>
      <c r="O51" s="927"/>
      <c r="P51" s="927"/>
      <c r="Q51" s="927"/>
      <c r="R51" s="927"/>
      <c r="S51" s="927"/>
      <c r="T51" s="926"/>
      <c r="U51" s="914"/>
      <c r="V51" s="914"/>
      <c r="W51" s="914"/>
      <c r="X51" s="914"/>
      <c r="Y51" s="914"/>
      <c r="Z51" s="914"/>
      <c r="AA51" s="914"/>
      <c r="AB51" s="914"/>
      <c r="AC51" s="914"/>
      <c r="AD51" s="914"/>
      <c r="AE51" s="914"/>
      <c r="AF51" s="914"/>
      <c r="AG51" s="914"/>
      <c r="AM51" s="947"/>
      <c r="AN51" s="930"/>
      <c r="BE51" s="928">
        <f>$AQ51*$BD51</f>
        <v>0</v>
      </c>
      <c r="BG51" s="928">
        <f>$AQ51*$BF51</f>
        <v>0</v>
      </c>
      <c r="BI51" s="928">
        <f>$AQ51*$BH51</f>
        <v>0</v>
      </c>
    </row>
    <row r="52" spans="1:61" s="925" customFormat="1" ht="12" customHeight="1" thickBot="1">
      <c r="A52" s="920" t="s">
        <v>1526</v>
      </c>
      <c r="B52" s="920" t="s">
        <v>1526</v>
      </c>
      <c r="C52" s="926"/>
      <c r="D52" s="926"/>
      <c r="E52" s="926"/>
      <c r="F52" s="926"/>
      <c r="G52" s="927"/>
      <c r="H52" s="927"/>
      <c r="I52" s="927"/>
      <c r="J52" s="927"/>
      <c r="K52" s="927"/>
      <c r="L52" s="927"/>
      <c r="M52" s="927"/>
      <c r="N52" s="927"/>
      <c r="O52" s="927"/>
      <c r="P52" s="927"/>
      <c r="Q52" s="927"/>
      <c r="R52" s="927"/>
      <c r="S52" s="927"/>
      <c r="T52" s="926"/>
      <c r="AM52" s="947"/>
      <c r="AN52" s="930"/>
      <c r="BE52" s="928">
        <f>$AQ52*$BD52</f>
        <v>0</v>
      </c>
      <c r="BG52" s="928">
        <f>$AQ52*$BF52</f>
        <v>0</v>
      </c>
      <c r="BI52" s="928">
        <f>$AQ52*$BH52</f>
        <v>0</v>
      </c>
    </row>
    <row r="53" spans="1:61" s="925" customFormat="1" ht="12" customHeight="1" thickBot="1">
      <c r="A53" s="914" t="s">
        <v>1527</v>
      </c>
      <c r="B53" s="914" t="s">
        <v>1528</v>
      </c>
      <c r="C53" s="926">
        <v>10.78</v>
      </c>
      <c r="D53" s="926">
        <v>10.85</v>
      </c>
      <c r="E53" s="957"/>
      <c r="F53" s="957"/>
      <c r="G53" s="927">
        <v>7025.8549999999996</v>
      </c>
      <c r="H53" s="927">
        <v>7025.1350000000002</v>
      </c>
      <c r="I53" s="927">
        <v>7907.13</v>
      </c>
      <c r="J53" s="927">
        <v>8031.1</v>
      </c>
      <c r="K53" s="927">
        <v>8173.4100000000008</v>
      </c>
      <c r="L53" s="927">
        <v>8256.7800000000007</v>
      </c>
      <c r="M53" s="927">
        <v>8104.9400000000005</v>
      </c>
      <c r="N53" s="927">
        <v>7551.5999999999995</v>
      </c>
      <c r="O53" s="927">
        <v>6450.3050000000003</v>
      </c>
      <c r="P53" s="927">
        <v>5956.6500000000005</v>
      </c>
      <c r="Q53" s="927">
        <v>5812.875</v>
      </c>
      <c r="R53" s="927">
        <v>6325.37</v>
      </c>
      <c r="S53" s="927">
        <v>86621.15</v>
      </c>
      <c r="T53" s="957"/>
      <c r="U53" s="934">
        <f>G53/$C53</f>
        <v>651.74907235621527</v>
      </c>
      <c r="V53" s="934">
        <f>H53/$C53</f>
        <v>651.68228200371061</v>
      </c>
      <c r="W53" s="934">
        <f>I53/$C53</f>
        <v>733.5</v>
      </c>
      <c r="X53" s="934">
        <f>J53/$C53</f>
        <v>745.00000000000011</v>
      </c>
      <c r="Y53" s="934">
        <f>K53/$C53</f>
        <v>758.20129870129881</v>
      </c>
      <c r="Z53" s="934">
        <f t="shared" ref="Z53:AF53" si="26">L53/$D53</f>
        <v>760.99354838709689</v>
      </c>
      <c r="AA53" s="934">
        <f t="shared" si="26"/>
        <v>746.99907834101384</v>
      </c>
      <c r="AB53" s="934">
        <f t="shared" si="26"/>
        <v>696</v>
      </c>
      <c r="AC53" s="934">
        <f t="shared" si="26"/>
        <v>594.49815668202768</v>
      </c>
      <c r="AD53" s="934">
        <f t="shared" si="26"/>
        <v>549.00000000000011</v>
      </c>
      <c r="AE53" s="934">
        <f t="shared" si="26"/>
        <v>535.74884792626733</v>
      </c>
      <c r="AF53" s="934">
        <f t="shared" si="26"/>
        <v>582.98341013824881</v>
      </c>
      <c r="AG53" s="934">
        <f>+SUM(U53:AF53)</f>
        <v>8006.3556945358796</v>
      </c>
      <c r="AH53" s="935">
        <f>SUM(U53:AF53)/12</f>
        <v>667.19630787798997</v>
      </c>
      <c r="AM53" s="947"/>
      <c r="AN53" s="930"/>
      <c r="AQ53" s="927">
        <v>667.19630787798997</v>
      </c>
      <c r="AS53" s="938">
        <f ca="1">D53*(1+$BA$4)</f>
        <v>9.8290588062764535</v>
      </c>
      <c r="AT53" s="937">
        <f ca="1">AQ53*AS53*12</f>
        <v>78694.940945559516</v>
      </c>
      <c r="AU53" s="937"/>
      <c r="AV53" s="936">
        <f ca="1">AT53+AU53-S53</f>
        <v>-7926.2090544404782</v>
      </c>
      <c r="BD53" s="925">
        <v>1</v>
      </c>
      <c r="BE53" s="928">
        <f>$AQ53*$BD53</f>
        <v>667.19630787798997</v>
      </c>
      <c r="BG53" s="928">
        <f>$AQ53*$BF53</f>
        <v>0</v>
      </c>
      <c r="BI53" s="928">
        <f>$AQ53*$BH53</f>
        <v>0</v>
      </c>
    </row>
    <row r="54" spans="1:61" s="925" customFormat="1" ht="12" customHeight="1">
      <c r="A54" s="919"/>
      <c r="B54" s="919"/>
      <c r="C54" s="926"/>
      <c r="D54" s="926"/>
      <c r="E54" s="956"/>
      <c r="F54" s="956"/>
      <c r="G54" s="927"/>
      <c r="H54" s="927"/>
      <c r="I54" s="927"/>
      <c r="J54" s="927"/>
      <c r="K54" s="927"/>
      <c r="L54" s="927"/>
      <c r="M54" s="927"/>
      <c r="N54" s="927"/>
      <c r="O54" s="927"/>
      <c r="P54" s="927"/>
      <c r="Q54" s="927"/>
      <c r="R54" s="927"/>
      <c r="S54" s="927"/>
      <c r="T54" s="956"/>
      <c r="U54" s="914"/>
      <c r="V54" s="914"/>
      <c r="W54" s="914"/>
      <c r="X54" s="914"/>
      <c r="Y54" s="914"/>
      <c r="Z54" s="914"/>
      <c r="AA54" s="914"/>
      <c r="AB54" s="914"/>
      <c r="AC54" s="914"/>
      <c r="AD54" s="914"/>
      <c r="AE54" s="914"/>
      <c r="AF54" s="914"/>
      <c r="AG54" s="914"/>
      <c r="AM54" s="947"/>
      <c r="AN54" s="930"/>
      <c r="BE54" s="928">
        <f>$AQ54*$BD54</f>
        <v>0</v>
      </c>
      <c r="BG54" s="928">
        <f>$AQ54*$BF54</f>
        <v>0</v>
      </c>
      <c r="BI54" s="928">
        <f>$AQ54*$BH54</f>
        <v>0</v>
      </c>
    </row>
    <row r="55" spans="1:61" s="925" customFormat="1" ht="12" customHeight="1">
      <c r="B55" s="924" t="s">
        <v>1529</v>
      </c>
      <c r="C55" s="926"/>
      <c r="D55" s="926"/>
      <c r="E55" s="955"/>
      <c r="F55" s="955"/>
      <c r="G55" s="922">
        <v>7025.8549999999996</v>
      </c>
      <c r="H55" s="922">
        <v>7025.1350000000002</v>
      </c>
      <c r="I55" s="922">
        <v>7907.13</v>
      </c>
      <c r="J55" s="922">
        <v>8031.1</v>
      </c>
      <c r="K55" s="922">
        <v>8173.4100000000008</v>
      </c>
      <c r="L55" s="922">
        <v>8256.7800000000007</v>
      </c>
      <c r="M55" s="922">
        <v>8104.9400000000005</v>
      </c>
      <c r="N55" s="922">
        <v>7551.5999999999995</v>
      </c>
      <c r="O55" s="922">
        <v>6450.3050000000003</v>
      </c>
      <c r="P55" s="922">
        <v>5956.6500000000005</v>
      </c>
      <c r="Q55" s="922">
        <v>5812.875</v>
      </c>
      <c r="R55" s="922">
        <v>6325.37</v>
      </c>
      <c r="S55" s="922">
        <v>86621.15</v>
      </c>
      <c r="T55" s="955"/>
      <c r="U55" s="914"/>
      <c r="V55" s="914"/>
      <c r="W55" s="914"/>
      <c r="X55" s="914"/>
      <c r="Y55" s="914"/>
      <c r="Z55" s="914"/>
      <c r="AA55" s="914"/>
      <c r="AB55" s="914"/>
      <c r="AC55" s="914"/>
      <c r="AD55" s="914"/>
      <c r="AE55" s="914"/>
      <c r="AF55" s="914"/>
      <c r="AG55" s="914"/>
      <c r="AM55" s="947"/>
      <c r="AN55" s="930"/>
      <c r="AT55" s="922">
        <f ca="1">SUM(AT53:AT54)</f>
        <v>78694.940945559516</v>
      </c>
      <c r="AV55" s="922">
        <f ca="1">SUM(AV53:AV54)</f>
        <v>-7926.2090544404782</v>
      </c>
      <c r="BD55" s="922">
        <f t="shared" ref="BD55:BI55" si="27">SUM(BD53:BD54)</f>
        <v>1</v>
      </c>
      <c r="BE55" s="922">
        <f t="shared" si="27"/>
        <v>667.19630787798997</v>
      </c>
      <c r="BF55" s="922">
        <f t="shared" si="27"/>
        <v>0</v>
      </c>
      <c r="BG55" s="922">
        <f t="shared" si="27"/>
        <v>0</v>
      </c>
      <c r="BH55" s="922">
        <f t="shared" si="27"/>
        <v>0</v>
      </c>
      <c r="BI55" s="922">
        <f t="shared" si="27"/>
        <v>0</v>
      </c>
    </row>
    <row r="56" spans="1:61" s="925" customFormat="1" ht="12" customHeight="1">
      <c r="C56" s="926"/>
      <c r="D56" s="926"/>
      <c r="E56" s="926"/>
      <c r="F56" s="926"/>
      <c r="G56" s="927"/>
      <c r="H56" s="927"/>
      <c r="I56" s="927"/>
      <c r="J56" s="927"/>
      <c r="K56" s="927"/>
      <c r="L56" s="927"/>
      <c r="M56" s="927"/>
      <c r="N56" s="927"/>
      <c r="O56" s="927"/>
      <c r="P56" s="927"/>
      <c r="Q56" s="927"/>
      <c r="R56" s="927"/>
      <c r="S56" s="927"/>
      <c r="T56" s="926"/>
      <c r="U56" s="914"/>
      <c r="V56" s="914"/>
      <c r="W56" s="914"/>
      <c r="X56" s="914"/>
      <c r="Y56" s="914"/>
      <c r="Z56" s="914"/>
      <c r="AA56" s="914"/>
      <c r="AB56" s="914"/>
      <c r="AC56" s="914"/>
      <c r="AD56" s="914"/>
      <c r="AE56" s="914"/>
      <c r="AF56" s="914"/>
      <c r="AG56" s="914"/>
      <c r="AM56" s="947"/>
      <c r="AN56" s="930"/>
      <c r="BE56" s="928">
        <f t="shared" ref="BE56:BE87" si="28">$AQ56*$BD56</f>
        <v>0</v>
      </c>
      <c r="BG56" s="928">
        <f t="shared" ref="BG56:BG87" si="29">$AQ56*$BF56</f>
        <v>0</v>
      </c>
      <c r="BI56" s="928">
        <f t="shared" ref="BI56:BI87" si="30">$AQ56*$BH56</f>
        <v>0</v>
      </c>
    </row>
    <row r="57" spans="1:61" ht="12" customHeight="1">
      <c r="A57" s="948" t="s">
        <v>1530</v>
      </c>
      <c r="B57" s="948" t="s">
        <v>1530</v>
      </c>
      <c r="C57" s="919"/>
      <c r="D57" s="919"/>
      <c r="E57" s="919"/>
      <c r="F57" s="919"/>
      <c r="T57" s="919"/>
      <c r="AM57" s="947"/>
      <c r="AN57" s="930"/>
      <c r="BE57" s="928">
        <f t="shared" si="28"/>
        <v>0</v>
      </c>
      <c r="BG57" s="928">
        <f t="shared" si="29"/>
        <v>0</v>
      </c>
      <c r="BI57" s="928">
        <f t="shared" si="30"/>
        <v>0</v>
      </c>
    </row>
    <row r="58" spans="1:61" ht="12" customHeight="1">
      <c r="A58" s="948"/>
      <c r="B58" s="948"/>
      <c r="C58" s="919"/>
      <c r="D58" s="919"/>
      <c r="E58" s="919"/>
      <c r="F58" s="919"/>
      <c r="T58" s="919"/>
      <c r="AM58" s="947"/>
      <c r="AN58" s="930"/>
      <c r="BE58" s="928">
        <f t="shared" si="28"/>
        <v>0</v>
      </c>
      <c r="BG58" s="928">
        <f t="shared" si="29"/>
        <v>0</v>
      </c>
      <c r="BI58" s="928">
        <f t="shared" si="30"/>
        <v>0</v>
      </c>
    </row>
    <row r="59" spans="1:61" s="925" customFormat="1" ht="12" customHeight="1">
      <c r="A59" s="954" t="s">
        <v>1531</v>
      </c>
      <c r="B59" s="954" t="s">
        <v>1531</v>
      </c>
      <c r="C59" s="926"/>
      <c r="D59" s="926"/>
      <c r="E59" s="926"/>
      <c r="F59" s="926"/>
      <c r="G59" s="927"/>
      <c r="H59" s="927"/>
      <c r="I59" s="927"/>
      <c r="J59" s="927"/>
      <c r="K59" s="927"/>
      <c r="L59" s="927"/>
      <c r="M59" s="927"/>
      <c r="N59" s="927"/>
      <c r="O59" s="927"/>
      <c r="P59" s="927"/>
      <c r="Q59" s="927"/>
      <c r="R59" s="927"/>
      <c r="S59" s="927"/>
      <c r="T59" s="926"/>
      <c r="U59" s="914"/>
      <c r="V59" s="914"/>
      <c r="W59" s="914"/>
      <c r="X59" s="914"/>
      <c r="Y59" s="914"/>
      <c r="Z59" s="914"/>
      <c r="AA59" s="914"/>
      <c r="AB59" s="914"/>
      <c r="AC59" s="914"/>
      <c r="AD59" s="914"/>
      <c r="AE59" s="914"/>
      <c r="AF59" s="914"/>
      <c r="AG59" s="914"/>
      <c r="AM59" s="947"/>
      <c r="AN59" s="930"/>
      <c r="BE59" s="928">
        <f t="shared" si="28"/>
        <v>0</v>
      </c>
      <c r="BG59" s="928">
        <f t="shared" si="29"/>
        <v>0</v>
      </c>
      <c r="BI59" s="928">
        <f t="shared" si="30"/>
        <v>0</v>
      </c>
    </row>
    <row r="60" spans="1:61" s="925" customFormat="1" ht="12" customHeight="1">
      <c r="A60" s="914" t="s">
        <v>1532</v>
      </c>
      <c r="B60" s="914" t="s">
        <v>1533</v>
      </c>
      <c r="C60" s="926">
        <v>37.67</v>
      </c>
      <c r="D60" s="926">
        <v>37.89</v>
      </c>
      <c r="E60" s="926"/>
      <c r="F60" s="926"/>
      <c r="G60" s="927">
        <v>7119.65</v>
      </c>
      <c r="H60" s="927">
        <v>7622.28</v>
      </c>
      <c r="I60" s="927">
        <v>7634.62</v>
      </c>
      <c r="J60" s="927">
        <v>7521.63</v>
      </c>
      <c r="K60" s="927">
        <v>7578.13</v>
      </c>
      <c r="L60" s="927">
        <v>7573.71</v>
      </c>
      <c r="M60" s="927">
        <v>7545.5300000000007</v>
      </c>
      <c r="N60" s="927">
        <v>7583.4000000000005</v>
      </c>
      <c r="O60" s="927">
        <v>7630.8</v>
      </c>
      <c r="P60" s="927">
        <v>7592.9000000000005</v>
      </c>
      <c r="Q60" s="927">
        <v>7611.84</v>
      </c>
      <c r="R60" s="927">
        <v>7592.89</v>
      </c>
      <c r="S60" s="927">
        <v>90607.37999999999</v>
      </c>
      <c r="T60" s="926"/>
      <c r="U60" s="934">
        <f t="shared" ref="U60:U98" si="31">G60/$C60</f>
        <v>189.00053092646667</v>
      </c>
      <c r="V60" s="934">
        <f t="shared" ref="V60:V98" si="32">H60/$C60</f>
        <v>202.34350942394477</v>
      </c>
      <c r="W60" s="934">
        <f t="shared" ref="W60:W98" si="33">I60/$C60</f>
        <v>202.67109105388903</v>
      </c>
      <c r="X60" s="934">
        <f t="shared" ref="X60:X98" si="34">J60/$C60</f>
        <v>199.67162198035572</v>
      </c>
      <c r="Y60" s="934">
        <f t="shared" ref="Y60:Y98" si="35">K60/$C60</f>
        <v>201.17148924873905</v>
      </c>
      <c r="Z60" s="934">
        <f t="shared" ref="Z60:Z98" si="36">L60/$D60</f>
        <v>199.88677751385589</v>
      </c>
      <c r="AA60" s="934">
        <f t="shared" ref="AA60:AA98" si="37">M60/$D60</f>
        <v>199.14304565848511</v>
      </c>
      <c r="AB60" s="934">
        <f t="shared" ref="AB60:AB98" si="38">N60/$D60</f>
        <v>200.14251781472686</v>
      </c>
      <c r="AC60" s="934">
        <f t="shared" ref="AC60:AC98" si="39">O60/$D60</f>
        <v>201.39350752177356</v>
      </c>
      <c r="AD60" s="934">
        <f t="shared" ref="AD60:AD98" si="40">P60/$D60</f>
        <v>200.39324359989445</v>
      </c>
      <c r="AE60" s="934">
        <f t="shared" ref="AE60:AE98" si="41">Q60/$D60</f>
        <v>200.89311163895488</v>
      </c>
      <c r="AF60" s="934">
        <f t="shared" ref="AF60:AF98" si="42">R60/$D60</f>
        <v>200.39297967801531</v>
      </c>
      <c r="AG60" s="934">
        <f t="shared" ref="AG60:AG91" si="43">+SUM(U60:AF60)</f>
        <v>2397.1034260591014</v>
      </c>
      <c r="AH60" s="939">
        <f t="shared" ref="AH60:AH91" si="44">SUM(U60:AF60)/12</f>
        <v>199.75861883825846</v>
      </c>
      <c r="AI60" s="950"/>
      <c r="AM60" s="947"/>
      <c r="AN60" s="930"/>
      <c r="AQ60" s="928">
        <v>199.75861883825846</v>
      </c>
      <c r="AS60" s="938">
        <f t="shared" ref="AS60:AS91" ca="1" si="45">D60*(1+$BA$2)</f>
        <v>40.111355033335741</v>
      </c>
      <c r="AT60" s="937">
        <f t="shared" ref="AT60:AT91" ca="1" si="46">AQ60*AS60*12</f>
        <v>96151.066574282086</v>
      </c>
      <c r="AU60" s="937"/>
      <c r="AV60" s="936">
        <f t="shared" ref="AV60:AV91" ca="1" si="47">AT60+AU60-S60</f>
        <v>5543.6865742820955</v>
      </c>
      <c r="BE60" s="928">
        <f t="shared" si="28"/>
        <v>0</v>
      </c>
      <c r="BF60" s="925">
        <v>1</v>
      </c>
      <c r="BG60" s="928">
        <f t="shared" si="29"/>
        <v>199.75861883825846</v>
      </c>
      <c r="BI60" s="928">
        <f t="shared" si="30"/>
        <v>0</v>
      </c>
    </row>
    <row r="61" spans="1:61" s="925" customFormat="1" ht="12" customHeight="1">
      <c r="A61" s="914" t="s">
        <v>1534</v>
      </c>
      <c r="B61" s="914" t="s">
        <v>1535</v>
      </c>
      <c r="C61" s="926">
        <v>75.34</v>
      </c>
      <c r="D61" s="926">
        <v>75.78</v>
      </c>
      <c r="E61" s="926"/>
      <c r="F61" s="926"/>
      <c r="G61" s="927">
        <v>833.4</v>
      </c>
      <c r="H61" s="927">
        <v>904.08</v>
      </c>
      <c r="I61" s="927">
        <v>904.08</v>
      </c>
      <c r="J61" s="927">
        <v>904.08</v>
      </c>
      <c r="K61" s="927">
        <v>904.08</v>
      </c>
      <c r="L61" s="927">
        <v>908.92</v>
      </c>
      <c r="M61" s="927">
        <v>908.92</v>
      </c>
      <c r="N61" s="927">
        <v>908.92</v>
      </c>
      <c r="O61" s="927">
        <v>908.92</v>
      </c>
      <c r="P61" s="927">
        <v>908.92</v>
      </c>
      <c r="Q61" s="927">
        <v>908.92</v>
      </c>
      <c r="R61" s="927">
        <v>908.92</v>
      </c>
      <c r="S61" s="927">
        <v>10812.16</v>
      </c>
      <c r="T61" s="926"/>
      <c r="U61" s="934">
        <f t="shared" si="31"/>
        <v>11.061852933368728</v>
      </c>
      <c r="V61" s="934">
        <f t="shared" si="32"/>
        <v>12</v>
      </c>
      <c r="W61" s="934">
        <f t="shared" si="33"/>
        <v>12</v>
      </c>
      <c r="X61" s="934">
        <f t="shared" si="34"/>
        <v>12</v>
      </c>
      <c r="Y61" s="934">
        <f t="shared" si="35"/>
        <v>12</v>
      </c>
      <c r="Z61" s="934">
        <f t="shared" si="36"/>
        <v>11.994193718659275</v>
      </c>
      <c r="AA61" s="934">
        <f t="shared" si="37"/>
        <v>11.994193718659275</v>
      </c>
      <c r="AB61" s="934">
        <f t="shared" si="38"/>
        <v>11.994193718659275</v>
      </c>
      <c r="AC61" s="934">
        <f t="shared" si="39"/>
        <v>11.994193718659275</v>
      </c>
      <c r="AD61" s="934">
        <f t="shared" si="40"/>
        <v>11.994193718659275</v>
      </c>
      <c r="AE61" s="934">
        <f t="shared" si="41"/>
        <v>11.994193718659275</v>
      </c>
      <c r="AF61" s="934">
        <f t="shared" si="42"/>
        <v>11.994193718659275</v>
      </c>
      <c r="AG61" s="934">
        <f t="shared" si="43"/>
        <v>143.02120896398367</v>
      </c>
      <c r="AH61" s="939">
        <f t="shared" si="44"/>
        <v>11.918434080331972</v>
      </c>
      <c r="AI61" s="950"/>
      <c r="AM61" s="947"/>
      <c r="AN61" s="930"/>
      <c r="AQ61" s="928">
        <v>11.918434080331972</v>
      </c>
      <c r="AS61" s="938">
        <f t="shared" ca="1" si="45"/>
        <v>80.222710066671482</v>
      </c>
      <c r="AT61" s="937">
        <f t="shared" ca="1" si="46"/>
        <v>11473.548980102498</v>
      </c>
      <c r="AU61" s="937"/>
      <c r="AV61" s="936">
        <f t="shared" ca="1" si="47"/>
        <v>661.38898010249795</v>
      </c>
      <c r="BE61" s="928">
        <f t="shared" si="28"/>
        <v>0</v>
      </c>
      <c r="BF61" s="925">
        <v>1</v>
      </c>
      <c r="BG61" s="928">
        <f t="shared" si="29"/>
        <v>11.918434080331972</v>
      </c>
      <c r="BI61" s="928">
        <f t="shared" si="30"/>
        <v>0</v>
      </c>
    </row>
    <row r="62" spans="1:61" s="925" customFormat="1" ht="12" customHeight="1">
      <c r="A62" s="914" t="s">
        <v>1536</v>
      </c>
      <c r="B62" s="914" t="s">
        <v>1537</v>
      </c>
      <c r="C62" s="926">
        <v>113.01</v>
      </c>
      <c r="D62" s="926">
        <v>113.66</v>
      </c>
      <c r="E62" s="926"/>
      <c r="F62" s="926"/>
      <c r="G62" s="927">
        <v>312.51</v>
      </c>
      <c r="H62" s="927">
        <v>339.03</v>
      </c>
      <c r="I62" s="927">
        <v>339.03</v>
      </c>
      <c r="J62" s="927">
        <v>339.03</v>
      </c>
      <c r="K62" s="927">
        <v>339.03</v>
      </c>
      <c r="L62" s="927">
        <v>340.33</v>
      </c>
      <c r="M62" s="927">
        <v>340.33</v>
      </c>
      <c r="N62" s="927">
        <v>340.33</v>
      </c>
      <c r="O62" s="927">
        <v>340.33</v>
      </c>
      <c r="P62" s="927">
        <v>340.33</v>
      </c>
      <c r="Q62" s="927">
        <v>340.33</v>
      </c>
      <c r="R62" s="927">
        <v>340.33</v>
      </c>
      <c r="S62" s="927">
        <v>4050.9399999999996</v>
      </c>
      <c r="T62" s="926"/>
      <c r="U62" s="934">
        <f t="shared" si="31"/>
        <v>2.765330501725511</v>
      </c>
      <c r="V62" s="934">
        <f t="shared" si="32"/>
        <v>2.9999999999999996</v>
      </c>
      <c r="W62" s="934">
        <f t="shared" si="33"/>
        <v>2.9999999999999996</v>
      </c>
      <c r="X62" s="934">
        <f t="shared" si="34"/>
        <v>2.9999999999999996</v>
      </c>
      <c r="Y62" s="934">
        <f t="shared" si="35"/>
        <v>2.9999999999999996</v>
      </c>
      <c r="Z62" s="934">
        <f t="shared" si="36"/>
        <v>2.9942811895125812</v>
      </c>
      <c r="AA62" s="934">
        <f t="shared" si="37"/>
        <v>2.9942811895125812</v>
      </c>
      <c r="AB62" s="934">
        <f t="shared" si="38"/>
        <v>2.9942811895125812</v>
      </c>
      <c r="AC62" s="934">
        <f t="shared" si="39"/>
        <v>2.9942811895125812</v>
      </c>
      <c r="AD62" s="934">
        <f t="shared" si="40"/>
        <v>2.9942811895125812</v>
      </c>
      <c r="AE62" s="934">
        <f t="shared" si="41"/>
        <v>2.9942811895125812</v>
      </c>
      <c r="AF62" s="934">
        <f t="shared" si="42"/>
        <v>2.9942811895125812</v>
      </c>
      <c r="AG62" s="934">
        <f t="shared" si="43"/>
        <v>35.725298828313583</v>
      </c>
      <c r="AH62" s="939">
        <f t="shared" si="44"/>
        <v>2.9771082356927985</v>
      </c>
      <c r="AI62" s="950"/>
      <c r="AM62" s="947"/>
      <c r="AN62" s="930"/>
      <c r="AQ62" s="928">
        <v>2.9771082356927985</v>
      </c>
      <c r="AS62" s="938">
        <f t="shared" ca="1" si="45"/>
        <v>120.32347883581261</v>
      </c>
      <c r="AT62" s="937">
        <f t="shared" ca="1" si="46"/>
        <v>4298.5922374716702</v>
      </c>
      <c r="AU62" s="937"/>
      <c r="AV62" s="936">
        <f t="shared" ca="1" si="47"/>
        <v>247.65223747167056</v>
      </c>
      <c r="BE62" s="928">
        <f t="shared" si="28"/>
        <v>0</v>
      </c>
      <c r="BF62" s="925">
        <v>1</v>
      </c>
      <c r="BG62" s="928">
        <f t="shared" si="29"/>
        <v>2.9771082356927985</v>
      </c>
      <c r="BI62" s="928">
        <f t="shared" si="30"/>
        <v>0</v>
      </c>
    </row>
    <row r="63" spans="1:61" s="925" customFormat="1" ht="12" customHeight="1">
      <c r="A63" s="914" t="s">
        <v>1538</v>
      </c>
      <c r="B63" s="914" t="s">
        <v>1539</v>
      </c>
      <c r="C63" s="926">
        <v>188.36</v>
      </c>
      <c r="D63" s="926">
        <v>189.44</v>
      </c>
      <c r="E63" s="926"/>
      <c r="F63" s="926"/>
      <c r="G63" s="927">
        <v>347.26</v>
      </c>
      <c r="H63" s="927">
        <v>376.72</v>
      </c>
      <c r="I63" s="927">
        <v>376.72</v>
      </c>
      <c r="J63" s="927">
        <v>376.72</v>
      </c>
      <c r="K63" s="927">
        <v>376.72</v>
      </c>
      <c r="L63" s="927">
        <v>378.88</v>
      </c>
      <c r="M63" s="927">
        <v>378.88</v>
      </c>
      <c r="N63" s="927">
        <v>378.88</v>
      </c>
      <c r="O63" s="927">
        <v>378.88</v>
      </c>
      <c r="P63" s="927">
        <v>378.88</v>
      </c>
      <c r="Q63" s="927">
        <v>378.88</v>
      </c>
      <c r="R63" s="927">
        <v>378.88</v>
      </c>
      <c r="S63" s="927">
        <v>4506.3</v>
      </c>
      <c r="T63" s="926"/>
      <c r="U63" s="934">
        <f t="shared" si="31"/>
        <v>1.8435973667445316</v>
      </c>
      <c r="V63" s="934">
        <f t="shared" si="32"/>
        <v>2</v>
      </c>
      <c r="W63" s="934">
        <f t="shared" si="33"/>
        <v>2</v>
      </c>
      <c r="X63" s="934">
        <f t="shared" si="34"/>
        <v>2</v>
      </c>
      <c r="Y63" s="934">
        <f t="shared" si="35"/>
        <v>2</v>
      </c>
      <c r="Z63" s="934">
        <f t="shared" si="36"/>
        <v>2</v>
      </c>
      <c r="AA63" s="934">
        <f t="shared" si="37"/>
        <v>2</v>
      </c>
      <c r="AB63" s="934">
        <f t="shared" si="38"/>
        <v>2</v>
      </c>
      <c r="AC63" s="934">
        <f t="shared" si="39"/>
        <v>2</v>
      </c>
      <c r="AD63" s="934">
        <f t="shared" si="40"/>
        <v>2</v>
      </c>
      <c r="AE63" s="934">
        <f t="shared" si="41"/>
        <v>2</v>
      </c>
      <c r="AF63" s="934">
        <f t="shared" si="42"/>
        <v>2</v>
      </c>
      <c r="AG63" s="934">
        <f t="shared" si="43"/>
        <v>23.843597366744532</v>
      </c>
      <c r="AH63" s="939">
        <f t="shared" si="44"/>
        <v>1.986966447228711</v>
      </c>
      <c r="AI63" s="950"/>
      <c r="AM63" s="947"/>
      <c r="AN63" s="930"/>
      <c r="AQ63" s="928">
        <v>1.986966447228711</v>
      </c>
      <c r="AS63" s="938">
        <f t="shared" ca="1" si="45"/>
        <v>200.54618890248409</v>
      </c>
      <c r="AT63" s="937">
        <f t="shared" ca="1" si="46"/>
        <v>4781.742581625921</v>
      </c>
      <c r="AU63" s="937"/>
      <c r="AV63" s="936">
        <f t="shared" ca="1" si="47"/>
        <v>275.44258162592087</v>
      </c>
      <c r="BE63" s="928">
        <f t="shared" si="28"/>
        <v>0</v>
      </c>
      <c r="BF63" s="925">
        <v>1</v>
      </c>
      <c r="BG63" s="928">
        <f t="shared" si="29"/>
        <v>1.986966447228711</v>
      </c>
      <c r="BI63" s="928">
        <f t="shared" si="30"/>
        <v>0</v>
      </c>
    </row>
    <row r="64" spans="1:61" s="925" customFormat="1" ht="12" customHeight="1">
      <c r="A64" s="914" t="s">
        <v>1540</v>
      </c>
      <c r="B64" s="914" t="s">
        <v>1541</v>
      </c>
      <c r="C64" s="926">
        <v>37.67</v>
      </c>
      <c r="D64" s="926">
        <v>37.89</v>
      </c>
      <c r="E64" s="926"/>
      <c r="F64" s="926"/>
      <c r="G64" s="927">
        <v>167619.93999999997</v>
      </c>
      <c r="H64" s="927">
        <v>186595.21000000002</v>
      </c>
      <c r="I64" s="927">
        <v>189376.73500000002</v>
      </c>
      <c r="J64" s="927">
        <v>190304.89499999999</v>
      </c>
      <c r="K64" s="927">
        <v>190017.435</v>
      </c>
      <c r="L64" s="927">
        <v>186964.185</v>
      </c>
      <c r="M64" s="927">
        <v>185102.13499999998</v>
      </c>
      <c r="N64" s="927">
        <v>183251.76500000001</v>
      </c>
      <c r="O64" s="927">
        <v>182778.76</v>
      </c>
      <c r="P64" s="927">
        <v>179925.69999999998</v>
      </c>
      <c r="Q64" s="927">
        <v>179703.245</v>
      </c>
      <c r="R64" s="927">
        <v>179404.61499999999</v>
      </c>
      <c r="S64" s="927">
        <v>2201044.62</v>
      </c>
      <c r="T64" s="926"/>
      <c r="U64" s="934">
        <f t="shared" si="31"/>
        <v>4449.6931245022552</v>
      </c>
      <c r="V64" s="934">
        <f t="shared" si="32"/>
        <v>4953.4167772763476</v>
      </c>
      <c r="W64" s="934">
        <f t="shared" si="33"/>
        <v>5027.2560392885589</v>
      </c>
      <c r="X64" s="934">
        <f t="shared" si="34"/>
        <v>5051.8952747544463</v>
      </c>
      <c r="Y64" s="934">
        <f t="shared" si="35"/>
        <v>5044.2642686487916</v>
      </c>
      <c r="Z64" s="934">
        <f t="shared" si="36"/>
        <v>4934.3939034045925</v>
      </c>
      <c r="AA64" s="934">
        <f t="shared" si="37"/>
        <v>4885.2503299023483</v>
      </c>
      <c r="AB64" s="934">
        <f t="shared" si="38"/>
        <v>4836.4150171549227</v>
      </c>
      <c r="AC64" s="934">
        <f t="shared" si="39"/>
        <v>4823.9313803114283</v>
      </c>
      <c r="AD64" s="934">
        <f t="shared" si="40"/>
        <v>4748.6328846661381</v>
      </c>
      <c r="AE64" s="934">
        <f t="shared" si="41"/>
        <v>4742.761810504091</v>
      </c>
      <c r="AF64" s="934">
        <f t="shared" si="42"/>
        <v>4734.8803114278171</v>
      </c>
      <c r="AG64" s="934">
        <f t="shared" si="43"/>
        <v>58232.79112184175</v>
      </c>
      <c r="AH64" s="939">
        <f t="shared" si="44"/>
        <v>4852.7325934868122</v>
      </c>
      <c r="AI64" s="950"/>
      <c r="AM64" s="947"/>
      <c r="AN64" s="930"/>
      <c r="AP64" s="927">
        <v>-521</v>
      </c>
      <c r="AQ64" s="928">
        <v>4331.7325934868122</v>
      </c>
      <c r="AS64" s="938">
        <f t="shared" ca="1" si="45"/>
        <v>40.111355033335741</v>
      </c>
      <c r="AT64" s="937">
        <f t="shared" ca="1" si="46"/>
        <v>2085019.9676018609</v>
      </c>
      <c r="AU64" s="937"/>
      <c r="AV64" s="936">
        <f t="shared" ca="1" si="47"/>
        <v>-116024.65239813924</v>
      </c>
      <c r="BE64" s="928">
        <f t="shared" si="28"/>
        <v>0</v>
      </c>
      <c r="BF64" s="925">
        <v>1</v>
      </c>
      <c r="BG64" s="939">
        <f t="shared" si="29"/>
        <v>4331.7325934868122</v>
      </c>
      <c r="BI64" s="928">
        <f t="shared" si="30"/>
        <v>0</v>
      </c>
    </row>
    <row r="65" spans="1:61" s="925" customFormat="1" ht="12" customHeight="1">
      <c r="A65" s="914" t="s">
        <v>1542</v>
      </c>
      <c r="B65" s="914" t="s">
        <v>1543</v>
      </c>
      <c r="C65" s="926">
        <v>75.34</v>
      </c>
      <c r="D65" s="926">
        <v>75.78</v>
      </c>
      <c r="E65" s="926"/>
      <c r="F65" s="926"/>
      <c r="G65" s="927">
        <v>7014.45</v>
      </c>
      <c r="H65" s="927">
        <v>7618.02</v>
      </c>
      <c r="I65" s="927">
        <v>7684.68</v>
      </c>
      <c r="J65" s="927">
        <v>8362.74</v>
      </c>
      <c r="K65" s="927">
        <v>8513.42</v>
      </c>
      <c r="L65" s="927">
        <v>7956.89</v>
      </c>
      <c r="M65" s="927">
        <v>7956.9000000000005</v>
      </c>
      <c r="N65" s="927">
        <v>7843.23</v>
      </c>
      <c r="O65" s="927">
        <v>7502.2199999999993</v>
      </c>
      <c r="P65" s="927">
        <v>7274.8799999999992</v>
      </c>
      <c r="Q65" s="927">
        <v>7142.2599999999993</v>
      </c>
      <c r="R65" s="927">
        <v>7104.37</v>
      </c>
      <c r="S65" s="927">
        <v>91974.06</v>
      </c>
      <c r="T65" s="926"/>
      <c r="U65" s="934">
        <f t="shared" si="31"/>
        <v>93.103928855853454</v>
      </c>
      <c r="V65" s="934">
        <f t="shared" si="32"/>
        <v>101.11521104327051</v>
      </c>
      <c r="W65" s="934">
        <f t="shared" si="33"/>
        <v>102</v>
      </c>
      <c r="X65" s="934">
        <f t="shared" si="34"/>
        <v>110.99999999999999</v>
      </c>
      <c r="Y65" s="934">
        <f t="shared" si="35"/>
        <v>113</v>
      </c>
      <c r="Z65" s="934">
        <f t="shared" si="36"/>
        <v>104.99986803906044</v>
      </c>
      <c r="AA65" s="934">
        <f t="shared" si="37"/>
        <v>105</v>
      </c>
      <c r="AB65" s="934">
        <f t="shared" si="38"/>
        <v>103.49999999999999</v>
      </c>
      <c r="AC65" s="934">
        <f t="shared" si="39"/>
        <v>98.999999999999986</v>
      </c>
      <c r="AD65" s="934">
        <f t="shared" si="40"/>
        <v>95.999999999999986</v>
      </c>
      <c r="AE65" s="934">
        <f t="shared" si="41"/>
        <v>94.249934019530215</v>
      </c>
      <c r="AF65" s="934">
        <f t="shared" si="42"/>
        <v>93.749934019530215</v>
      </c>
      <c r="AG65" s="934">
        <f t="shared" si="43"/>
        <v>1216.7188759772448</v>
      </c>
      <c r="AH65" s="939">
        <f t="shared" si="44"/>
        <v>101.39323966477041</v>
      </c>
      <c r="AI65" s="950"/>
      <c r="AM65" s="947"/>
      <c r="AN65" s="930"/>
      <c r="AQ65" s="928">
        <v>101.39323966477041</v>
      </c>
      <c r="AS65" s="938">
        <f t="shared" ca="1" si="45"/>
        <v>80.222710066671482</v>
      </c>
      <c r="AT65" s="937">
        <f t="shared" ca="1" si="46"/>
        <v>97608.485620168925</v>
      </c>
      <c r="AU65" s="937"/>
      <c r="AV65" s="936">
        <f t="shared" ca="1" si="47"/>
        <v>5634.4256201689277</v>
      </c>
      <c r="BE65" s="928">
        <f t="shared" si="28"/>
        <v>0</v>
      </c>
      <c r="BF65" s="925">
        <v>1</v>
      </c>
      <c r="BG65" s="928">
        <f t="shared" si="29"/>
        <v>101.39323966477041</v>
      </c>
      <c r="BI65" s="928">
        <f t="shared" si="30"/>
        <v>0</v>
      </c>
    </row>
    <row r="66" spans="1:61" s="925" customFormat="1" ht="12" customHeight="1">
      <c r="A66" s="914" t="s">
        <v>1544</v>
      </c>
      <c r="B66" s="914" t="s">
        <v>1545</v>
      </c>
      <c r="C66" s="926">
        <v>113.01</v>
      </c>
      <c r="D66" s="926">
        <v>113.66</v>
      </c>
      <c r="E66" s="926"/>
      <c r="F66" s="926"/>
      <c r="G66" s="927">
        <v>416.68</v>
      </c>
      <c r="H66" s="927">
        <v>536.77</v>
      </c>
      <c r="I66" s="927">
        <v>678.06</v>
      </c>
      <c r="J66" s="927">
        <v>866.41</v>
      </c>
      <c r="K66" s="927">
        <v>904.08</v>
      </c>
      <c r="L66" s="927">
        <v>909.28</v>
      </c>
      <c r="M66" s="927">
        <v>909.28</v>
      </c>
      <c r="N66" s="927">
        <v>909.28</v>
      </c>
      <c r="O66" s="927">
        <v>909.28</v>
      </c>
      <c r="P66" s="927">
        <v>909.28</v>
      </c>
      <c r="Q66" s="927">
        <v>909.28</v>
      </c>
      <c r="R66" s="927">
        <v>909.28</v>
      </c>
      <c r="S66" s="927">
        <v>9766.9599999999991</v>
      </c>
      <c r="T66" s="926"/>
      <c r="U66" s="934">
        <f t="shared" si="31"/>
        <v>3.6871073356340145</v>
      </c>
      <c r="V66" s="934">
        <f t="shared" si="32"/>
        <v>4.7497566587027693</v>
      </c>
      <c r="W66" s="934">
        <f t="shared" si="33"/>
        <v>5.9999999999999991</v>
      </c>
      <c r="X66" s="934">
        <f t="shared" si="34"/>
        <v>7.6666666666666661</v>
      </c>
      <c r="Y66" s="934">
        <f t="shared" si="35"/>
        <v>8</v>
      </c>
      <c r="Z66" s="934">
        <f t="shared" si="36"/>
        <v>8</v>
      </c>
      <c r="AA66" s="934">
        <f t="shared" si="37"/>
        <v>8</v>
      </c>
      <c r="AB66" s="934">
        <f t="shared" si="38"/>
        <v>8</v>
      </c>
      <c r="AC66" s="934">
        <f t="shared" si="39"/>
        <v>8</v>
      </c>
      <c r="AD66" s="934">
        <f t="shared" si="40"/>
        <v>8</v>
      </c>
      <c r="AE66" s="934">
        <f t="shared" si="41"/>
        <v>8</v>
      </c>
      <c r="AF66" s="934">
        <f t="shared" si="42"/>
        <v>8</v>
      </c>
      <c r="AG66" s="934">
        <f t="shared" si="43"/>
        <v>86.103530661003447</v>
      </c>
      <c r="AH66" s="939">
        <f t="shared" si="44"/>
        <v>7.1752942217502875</v>
      </c>
      <c r="AI66" s="950"/>
      <c r="AM66" s="947"/>
      <c r="AN66" s="930"/>
      <c r="AQ66" s="928">
        <v>7.1752942217502875</v>
      </c>
      <c r="AS66" s="938">
        <f t="shared" ca="1" si="45"/>
        <v>120.32347883581261</v>
      </c>
      <c r="AT66" s="937">
        <f t="shared" ca="1" si="46"/>
        <v>10360.27634917799</v>
      </c>
      <c r="AU66" s="937"/>
      <c r="AV66" s="936">
        <f t="shared" ca="1" si="47"/>
        <v>593.31634917799056</v>
      </c>
      <c r="BE66" s="928">
        <f t="shared" si="28"/>
        <v>0</v>
      </c>
      <c r="BF66" s="925">
        <v>1</v>
      </c>
      <c r="BG66" s="928">
        <f t="shared" si="29"/>
        <v>7.1752942217502875</v>
      </c>
      <c r="BI66" s="928">
        <f t="shared" si="30"/>
        <v>0</v>
      </c>
    </row>
    <row r="67" spans="1:61" s="925" customFormat="1" ht="12" customHeight="1">
      <c r="A67" s="914" t="s">
        <v>1546</v>
      </c>
      <c r="B67" s="914" t="s">
        <v>1547</v>
      </c>
      <c r="C67" s="926">
        <v>188.36</v>
      </c>
      <c r="D67" s="926">
        <v>189.44</v>
      </c>
      <c r="E67" s="926"/>
      <c r="F67" s="926"/>
      <c r="G67" s="927">
        <v>173.63</v>
      </c>
      <c r="H67" s="927">
        <v>188.36</v>
      </c>
      <c r="I67" s="927">
        <v>226.03</v>
      </c>
      <c r="J67" s="927">
        <v>376.72</v>
      </c>
      <c r="K67" s="927">
        <v>376.72</v>
      </c>
      <c r="L67" s="927">
        <v>378.88</v>
      </c>
      <c r="M67" s="927">
        <v>378.88</v>
      </c>
      <c r="N67" s="927">
        <v>378.88</v>
      </c>
      <c r="O67" s="927">
        <v>378.88</v>
      </c>
      <c r="P67" s="927">
        <v>378.88</v>
      </c>
      <c r="Q67" s="927">
        <v>378.88</v>
      </c>
      <c r="R67" s="927">
        <v>378.88</v>
      </c>
      <c r="S67" s="927">
        <v>3993.6200000000008</v>
      </c>
      <c r="T67" s="926"/>
      <c r="U67" s="934">
        <f t="shared" si="31"/>
        <v>0.92179868337226578</v>
      </c>
      <c r="V67" s="934">
        <f t="shared" si="32"/>
        <v>1</v>
      </c>
      <c r="W67" s="934">
        <f t="shared" si="33"/>
        <v>1.1999893820344021</v>
      </c>
      <c r="X67" s="934">
        <f t="shared" si="34"/>
        <v>2</v>
      </c>
      <c r="Y67" s="934">
        <f t="shared" si="35"/>
        <v>2</v>
      </c>
      <c r="Z67" s="934">
        <f t="shared" si="36"/>
        <v>2</v>
      </c>
      <c r="AA67" s="934">
        <f t="shared" si="37"/>
        <v>2</v>
      </c>
      <c r="AB67" s="934">
        <f t="shared" si="38"/>
        <v>2</v>
      </c>
      <c r="AC67" s="934">
        <f t="shared" si="39"/>
        <v>2</v>
      </c>
      <c r="AD67" s="934">
        <f t="shared" si="40"/>
        <v>2</v>
      </c>
      <c r="AE67" s="934">
        <f t="shared" si="41"/>
        <v>2</v>
      </c>
      <c r="AF67" s="934">
        <f t="shared" si="42"/>
        <v>2</v>
      </c>
      <c r="AG67" s="934">
        <f t="shared" si="43"/>
        <v>21.121788065406669</v>
      </c>
      <c r="AH67" s="939">
        <f t="shared" si="44"/>
        <v>1.7601490054505557</v>
      </c>
      <c r="AI67" s="950"/>
      <c r="AM67" s="947"/>
      <c r="AN67" s="930"/>
      <c r="AQ67" s="928">
        <v>1.7601490054505557</v>
      </c>
      <c r="AS67" s="938">
        <f t="shared" ca="1" si="45"/>
        <v>200.54618890248409</v>
      </c>
      <c r="AT67" s="937">
        <f t="shared" ca="1" si="46"/>
        <v>4235.89409932328</v>
      </c>
      <c r="AU67" s="937"/>
      <c r="AV67" s="936">
        <f t="shared" ca="1" si="47"/>
        <v>242.27409932327919</v>
      </c>
      <c r="BE67" s="928">
        <f t="shared" si="28"/>
        <v>0</v>
      </c>
      <c r="BF67" s="925">
        <v>1</v>
      </c>
      <c r="BG67" s="928">
        <f t="shared" si="29"/>
        <v>1.7601490054505557</v>
      </c>
      <c r="BI67" s="928">
        <f t="shared" si="30"/>
        <v>0</v>
      </c>
    </row>
    <row r="68" spans="1:61" s="925" customFormat="1" ht="12" customHeight="1">
      <c r="A68" s="914" t="s">
        <v>1548</v>
      </c>
      <c r="B68" s="914" t="s">
        <v>1549</v>
      </c>
      <c r="C68" s="926">
        <v>18.88</v>
      </c>
      <c r="D68" s="926">
        <v>18.989999999999998</v>
      </c>
      <c r="E68" s="926"/>
      <c r="F68" s="926"/>
      <c r="G68" s="927">
        <v>729.12</v>
      </c>
      <c r="H68" s="927">
        <v>792.95999999999992</v>
      </c>
      <c r="I68" s="927">
        <v>792.95999999999992</v>
      </c>
      <c r="J68" s="927">
        <v>792.95999999999992</v>
      </c>
      <c r="K68" s="927">
        <v>792.95999999999992</v>
      </c>
      <c r="L68" s="927">
        <v>797.47</v>
      </c>
      <c r="M68" s="927">
        <v>797.47</v>
      </c>
      <c r="N68" s="927">
        <v>797.46</v>
      </c>
      <c r="O68" s="927">
        <v>797.47</v>
      </c>
      <c r="P68" s="927">
        <v>797.47</v>
      </c>
      <c r="Q68" s="927">
        <v>778.48</v>
      </c>
      <c r="R68" s="927">
        <v>778.48</v>
      </c>
      <c r="S68" s="927">
        <v>9445.26</v>
      </c>
      <c r="T68" s="926"/>
      <c r="U68" s="934">
        <f t="shared" si="31"/>
        <v>38.618644067796609</v>
      </c>
      <c r="V68" s="934">
        <f t="shared" si="32"/>
        <v>42</v>
      </c>
      <c r="W68" s="934">
        <f t="shared" si="33"/>
        <v>42</v>
      </c>
      <c r="X68" s="934">
        <f t="shared" si="34"/>
        <v>42</v>
      </c>
      <c r="Y68" s="934">
        <f t="shared" si="35"/>
        <v>42</v>
      </c>
      <c r="Z68" s="934">
        <f t="shared" si="36"/>
        <v>41.994207477619803</v>
      </c>
      <c r="AA68" s="934">
        <f t="shared" si="37"/>
        <v>41.994207477619803</v>
      </c>
      <c r="AB68" s="934">
        <f t="shared" si="38"/>
        <v>41.993680884676152</v>
      </c>
      <c r="AC68" s="934">
        <f t="shared" si="39"/>
        <v>41.994207477619803</v>
      </c>
      <c r="AD68" s="934">
        <f t="shared" si="40"/>
        <v>41.994207477619803</v>
      </c>
      <c r="AE68" s="934">
        <f t="shared" si="41"/>
        <v>40.994207477619803</v>
      </c>
      <c r="AF68" s="934">
        <f t="shared" si="42"/>
        <v>40.994207477619803</v>
      </c>
      <c r="AG68" s="934">
        <f t="shared" si="43"/>
        <v>498.57756981819153</v>
      </c>
      <c r="AH68" s="939">
        <f t="shared" si="44"/>
        <v>41.548130818182628</v>
      </c>
      <c r="AI68" s="950"/>
      <c r="AM68" s="947"/>
      <c r="AN68" s="930"/>
      <c r="AP68" s="953">
        <v>-5</v>
      </c>
      <c r="AQ68" s="928">
        <v>36.548130818182628</v>
      </c>
      <c r="AS68" s="938">
        <f t="shared" ca="1" si="45"/>
        <v>20.103315705543562</v>
      </c>
      <c r="AT68" s="937">
        <f t="shared" ca="1" si="46"/>
        <v>8816.8633474251783</v>
      </c>
      <c r="AU68" s="937"/>
      <c r="AV68" s="936">
        <f t="shared" ca="1" si="47"/>
        <v>-628.39665257482193</v>
      </c>
      <c r="BE68" s="928">
        <f t="shared" si="28"/>
        <v>0</v>
      </c>
      <c r="BF68" s="925">
        <v>1</v>
      </c>
      <c r="BG68" s="928">
        <f t="shared" si="29"/>
        <v>36.548130818182628</v>
      </c>
      <c r="BI68" s="928">
        <f t="shared" si="30"/>
        <v>0</v>
      </c>
    </row>
    <row r="69" spans="1:61" s="925" customFormat="1" ht="12" customHeight="1">
      <c r="A69" s="914" t="s">
        <v>1550</v>
      </c>
      <c r="B69" s="914" t="s">
        <v>1551</v>
      </c>
      <c r="C69" s="926">
        <v>65.599999999999994</v>
      </c>
      <c r="D69" s="926">
        <v>65.989999999999995</v>
      </c>
      <c r="E69" s="926"/>
      <c r="F69" s="926"/>
      <c r="G69" s="927">
        <v>28203.140000000003</v>
      </c>
      <c r="H69" s="927">
        <v>30097.140000000003</v>
      </c>
      <c r="I69" s="927">
        <v>29429.919999999998</v>
      </c>
      <c r="J69" s="927">
        <v>30143.200000000001</v>
      </c>
      <c r="K69" s="927">
        <v>30487.599999999999</v>
      </c>
      <c r="L69" s="927">
        <v>30349.43</v>
      </c>
      <c r="M69" s="927">
        <v>30350.67</v>
      </c>
      <c r="N69" s="927">
        <v>30482.600000000002</v>
      </c>
      <c r="O69" s="927">
        <v>30238.399999999998</v>
      </c>
      <c r="P69" s="927">
        <v>30284.690000000002</v>
      </c>
      <c r="Q69" s="927">
        <v>30515.670000000002</v>
      </c>
      <c r="R69" s="927">
        <v>30532.14</v>
      </c>
      <c r="S69" s="927">
        <v>361114.6</v>
      </c>
      <c r="T69" s="926"/>
      <c r="U69" s="934">
        <f t="shared" si="31"/>
        <v>429.92591463414641</v>
      </c>
      <c r="V69" s="934">
        <f t="shared" si="32"/>
        <v>458.79786585365861</v>
      </c>
      <c r="W69" s="934">
        <f t="shared" si="33"/>
        <v>448.62682926829268</v>
      </c>
      <c r="X69" s="934">
        <f t="shared" si="34"/>
        <v>459.50000000000006</v>
      </c>
      <c r="Y69" s="934">
        <f t="shared" si="35"/>
        <v>464.75</v>
      </c>
      <c r="Z69" s="934">
        <f t="shared" si="36"/>
        <v>459.9095317472345</v>
      </c>
      <c r="AA69" s="934">
        <f t="shared" si="37"/>
        <v>459.92832247310201</v>
      </c>
      <c r="AB69" s="934">
        <f t="shared" si="38"/>
        <v>461.9275647825429</v>
      </c>
      <c r="AC69" s="934">
        <f t="shared" si="39"/>
        <v>458.22700409152901</v>
      </c>
      <c r="AD69" s="934">
        <f t="shared" si="40"/>
        <v>458.92847401121389</v>
      </c>
      <c r="AE69" s="934">
        <f t="shared" si="41"/>
        <v>462.42870131838163</v>
      </c>
      <c r="AF69" s="934">
        <f t="shared" si="42"/>
        <v>462.67828458857406</v>
      </c>
      <c r="AG69" s="934">
        <f t="shared" si="43"/>
        <v>5485.6284927686756</v>
      </c>
      <c r="AH69" s="939">
        <f t="shared" si="44"/>
        <v>457.13570773072297</v>
      </c>
      <c r="AI69" s="950"/>
      <c r="AM69" s="947"/>
      <c r="AN69" s="930"/>
      <c r="AQ69" s="928">
        <v>457.13570773072297</v>
      </c>
      <c r="AS69" s="938">
        <f t="shared" ca="1" si="45"/>
        <v>69.858757420159009</v>
      </c>
      <c r="AT69" s="937">
        <f t="shared" ca="1" si="46"/>
        <v>383219.19017343945</v>
      </c>
      <c r="AU69" s="937"/>
      <c r="AV69" s="936">
        <f t="shared" ca="1" si="47"/>
        <v>22104.590173439472</v>
      </c>
      <c r="BE69" s="928">
        <f t="shared" si="28"/>
        <v>0</v>
      </c>
      <c r="BF69" s="925">
        <v>1</v>
      </c>
      <c r="BG69" s="928">
        <f t="shared" si="29"/>
        <v>457.13570773072297</v>
      </c>
      <c r="BI69" s="928">
        <f t="shared" si="30"/>
        <v>0</v>
      </c>
    </row>
    <row r="70" spans="1:61" s="925" customFormat="1" ht="12" customHeight="1">
      <c r="A70" s="914" t="s">
        <v>1552</v>
      </c>
      <c r="B70" s="914" t="s">
        <v>1553</v>
      </c>
      <c r="C70" s="926">
        <v>131.19999999999999</v>
      </c>
      <c r="D70" s="926">
        <v>131.97999999999999</v>
      </c>
      <c r="E70" s="926"/>
      <c r="F70" s="926"/>
      <c r="G70" s="927">
        <v>11625.14</v>
      </c>
      <c r="H70" s="927">
        <v>12595.199999999999</v>
      </c>
      <c r="I70" s="927">
        <v>12595.199999999999</v>
      </c>
      <c r="J70" s="927">
        <v>12759.199999999999</v>
      </c>
      <c r="K70" s="927">
        <v>13038</v>
      </c>
      <c r="L70" s="927">
        <v>13410.18</v>
      </c>
      <c r="M70" s="927">
        <v>13410.9</v>
      </c>
      <c r="N70" s="927">
        <v>13164.199999999999</v>
      </c>
      <c r="O70" s="927">
        <v>12817.76</v>
      </c>
      <c r="P70" s="927">
        <v>12603.27</v>
      </c>
      <c r="Q70" s="927">
        <v>12454.82</v>
      </c>
      <c r="R70" s="927">
        <v>12652.779999999999</v>
      </c>
      <c r="S70" s="927">
        <v>153126.64999999997</v>
      </c>
      <c r="T70" s="926"/>
      <c r="U70" s="934">
        <f t="shared" si="31"/>
        <v>88.606250000000003</v>
      </c>
      <c r="V70" s="934">
        <f t="shared" si="32"/>
        <v>96</v>
      </c>
      <c r="W70" s="934">
        <f t="shared" si="33"/>
        <v>96</v>
      </c>
      <c r="X70" s="934">
        <f t="shared" si="34"/>
        <v>97.25</v>
      </c>
      <c r="Y70" s="934">
        <f t="shared" si="35"/>
        <v>99.375000000000014</v>
      </c>
      <c r="Z70" s="934">
        <f t="shared" si="36"/>
        <v>101.60766782845887</v>
      </c>
      <c r="AA70" s="934">
        <f t="shared" si="37"/>
        <v>101.61312320048492</v>
      </c>
      <c r="AB70" s="934">
        <f t="shared" si="38"/>
        <v>99.743900590998635</v>
      </c>
      <c r="AC70" s="934">
        <f t="shared" si="39"/>
        <v>97.118957417790583</v>
      </c>
      <c r="AD70" s="934">
        <f t="shared" si="40"/>
        <v>95.493786937414768</v>
      </c>
      <c r="AE70" s="934">
        <f t="shared" si="41"/>
        <v>94.368995302318538</v>
      </c>
      <c r="AF70" s="934">
        <f t="shared" si="42"/>
        <v>95.868919533262613</v>
      </c>
      <c r="AG70" s="934">
        <f t="shared" si="43"/>
        <v>1163.0466008107292</v>
      </c>
      <c r="AH70" s="939">
        <f t="shared" si="44"/>
        <v>96.920550067560768</v>
      </c>
      <c r="AI70" s="950"/>
      <c r="AM70" s="947"/>
      <c r="AN70" s="930"/>
      <c r="AQ70" s="928">
        <v>96.920550067560768</v>
      </c>
      <c r="AS70" s="938">
        <f t="shared" ca="1" si="45"/>
        <v>139.71751484031802</v>
      </c>
      <c r="AT70" s="937">
        <f t="shared" ca="1" si="46"/>
        <v>162497.98070875448</v>
      </c>
      <c r="AU70" s="937"/>
      <c r="AV70" s="936">
        <f t="shared" ca="1" si="47"/>
        <v>9371.3307087545109</v>
      </c>
      <c r="BE70" s="928">
        <f t="shared" si="28"/>
        <v>0</v>
      </c>
      <c r="BF70" s="925">
        <v>1</v>
      </c>
      <c r="BG70" s="928">
        <f t="shared" si="29"/>
        <v>96.920550067560768</v>
      </c>
      <c r="BI70" s="928">
        <f t="shared" si="30"/>
        <v>0</v>
      </c>
    </row>
    <row r="71" spans="1:61" s="925" customFormat="1" ht="12" customHeight="1">
      <c r="A71" s="914" t="s">
        <v>1554</v>
      </c>
      <c r="B71" s="914" t="s">
        <v>1555</v>
      </c>
      <c r="C71" s="926">
        <v>196.8</v>
      </c>
      <c r="D71" s="926">
        <v>197.97</v>
      </c>
      <c r="E71" s="926"/>
      <c r="F71" s="926"/>
      <c r="G71" s="927">
        <v>3121.84</v>
      </c>
      <c r="H71" s="927">
        <v>3333.84</v>
      </c>
      <c r="I71" s="927">
        <v>3333.84</v>
      </c>
      <c r="J71" s="927">
        <v>3104.23</v>
      </c>
      <c r="K71" s="927">
        <v>2940.2400000000002</v>
      </c>
      <c r="L71" s="927">
        <v>3039.1</v>
      </c>
      <c r="M71" s="927">
        <v>3220.57</v>
      </c>
      <c r="N71" s="927">
        <v>3237.07</v>
      </c>
      <c r="O71" s="927">
        <v>3154.59</v>
      </c>
      <c r="P71" s="927">
        <v>3154.59</v>
      </c>
      <c r="Q71" s="927">
        <v>3154.59</v>
      </c>
      <c r="R71" s="927">
        <v>3336.06</v>
      </c>
      <c r="S71" s="927">
        <v>38130.559999999998</v>
      </c>
      <c r="T71" s="926"/>
      <c r="U71" s="934">
        <f t="shared" si="31"/>
        <v>15.863008130081301</v>
      </c>
      <c r="V71" s="934">
        <f t="shared" si="32"/>
        <v>16.940243902439025</v>
      </c>
      <c r="W71" s="934">
        <f t="shared" si="33"/>
        <v>16.940243902439025</v>
      </c>
      <c r="X71" s="934">
        <f t="shared" si="34"/>
        <v>15.773526422764228</v>
      </c>
      <c r="Y71" s="934">
        <f t="shared" si="35"/>
        <v>14.940243902439025</v>
      </c>
      <c r="Z71" s="934">
        <f t="shared" si="36"/>
        <v>15.351315855937768</v>
      </c>
      <c r="AA71" s="934">
        <f t="shared" si="37"/>
        <v>16.26796989442845</v>
      </c>
      <c r="AB71" s="934">
        <f t="shared" si="38"/>
        <v>16.35131585593777</v>
      </c>
      <c r="AC71" s="934">
        <f t="shared" si="39"/>
        <v>15.934687073799061</v>
      </c>
      <c r="AD71" s="934">
        <f t="shared" si="40"/>
        <v>15.934687073799061</v>
      </c>
      <c r="AE71" s="934">
        <f t="shared" si="41"/>
        <v>15.934687073799061</v>
      </c>
      <c r="AF71" s="934">
        <f t="shared" si="42"/>
        <v>16.851341112289742</v>
      </c>
      <c r="AG71" s="934">
        <f t="shared" si="43"/>
        <v>193.08327020015355</v>
      </c>
      <c r="AH71" s="939">
        <f t="shared" si="44"/>
        <v>16.090272516679462</v>
      </c>
      <c r="AI71" s="950"/>
      <c r="AM71" s="947"/>
      <c r="AN71" s="930"/>
      <c r="AQ71" s="928">
        <v>16.090272516679462</v>
      </c>
      <c r="AS71" s="938">
        <f t="shared" ca="1" si="45"/>
        <v>209.57627226047705</v>
      </c>
      <c r="AT71" s="937">
        <f t="shared" ca="1" si="46"/>
        <v>40465.672004410633</v>
      </c>
      <c r="AU71" s="937"/>
      <c r="AV71" s="936">
        <f t="shared" ca="1" si="47"/>
        <v>2335.1120044106356</v>
      </c>
      <c r="BE71" s="928">
        <f t="shared" si="28"/>
        <v>0</v>
      </c>
      <c r="BF71" s="925">
        <v>1</v>
      </c>
      <c r="BG71" s="928">
        <f t="shared" si="29"/>
        <v>16.090272516679462</v>
      </c>
      <c r="BI71" s="928">
        <f t="shared" si="30"/>
        <v>0</v>
      </c>
    </row>
    <row r="72" spans="1:61" s="925" customFormat="1" ht="12" customHeight="1">
      <c r="A72" s="914" t="s">
        <v>1556</v>
      </c>
      <c r="B72" s="914" t="s">
        <v>1557</v>
      </c>
      <c r="C72" s="926">
        <v>328</v>
      </c>
      <c r="D72" s="926">
        <v>329.95</v>
      </c>
      <c r="E72" s="926"/>
      <c r="F72" s="926"/>
      <c r="G72" s="927">
        <v>1835.46</v>
      </c>
      <c r="H72" s="927">
        <v>1968</v>
      </c>
      <c r="I72" s="927">
        <v>6924.88</v>
      </c>
      <c r="J72" s="927">
        <v>2624</v>
      </c>
      <c r="K72" s="927">
        <v>2624</v>
      </c>
      <c r="L72" s="927">
        <v>2639.6</v>
      </c>
      <c r="M72" s="927">
        <v>2144.66</v>
      </c>
      <c r="N72" s="927">
        <v>1979.7</v>
      </c>
      <c r="O72" s="927">
        <v>1979.7</v>
      </c>
      <c r="P72" s="927">
        <v>1979.7</v>
      </c>
      <c r="Q72" s="927">
        <v>1979.7</v>
      </c>
      <c r="R72" s="927">
        <v>1979.7</v>
      </c>
      <c r="S72" s="927">
        <v>30659.100000000002</v>
      </c>
      <c r="T72" s="926"/>
      <c r="U72" s="934">
        <f t="shared" si="31"/>
        <v>5.5959146341463413</v>
      </c>
      <c r="V72" s="934">
        <f t="shared" si="32"/>
        <v>6</v>
      </c>
      <c r="W72" s="934">
        <f t="shared" si="33"/>
        <v>21.112439024390245</v>
      </c>
      <c r="X72" s="934">
        <f t="shared" si="34"/>
        <v>8</v>
      </c>
      <c r="Y72" s="934">
        <f t="shared" si="35"/>
        <v>8</v>
      </c>
      <c r="Z72" s="934">
        <f t="shared" si="36"/>
        <v>8</v>
      </c>
      <c r="AA72" s="934">
        <f t="shared" si="37"/>
        <v>6.499954538566449</v>
      </c>
      <c r="AB72" s="934">
        <f t="shared" si="38"/>
        <v>6</v>
      </c>
      <c r="AC72" s="934">
        <f t="shared" si="39"/>
        <v>6</v>
      </c>
      <c r="AD72" s="934">
        <f t="shared" si="40"/>
        <v>6</v>
      </c>
      <c r="AE72" s="934">
        <f t="shared" si="41"/>
        <v>6</v>
      </c>
      <c r="AF72" s="934">
        <f t="shared" si="42"/>
        <v>6</v>
      </c>
      <c r="AG72" s="934">
        <f t="shared" si="43"/>
        <v>93.208308197103037</v>
      </c>
      <c r="AH72" s="939">
        <f t="shared" si="44"/>
        <v>7.7673590164252531</v>
      </c>
      <c r="AI72" s="950"/>
      <c r="AM72" s="947"/>
      <c r="AN72" s="930"/>
      <c r="AQ72" s="928">
        <v>7.7673590164252531</v>
      </c>
      <c r="AS72" s="938">
        <f t="shared" ca="1" si="45"/>
        <v>349.2937871007951</v>
      </c>
      <c r="AT72" s="937">
        <f t="shared" ca="1" si="46"/>
        <v>32557.082959424202</v>
      </c>
      <c r="AU72" s="937"/>
      <c r="AV72" s="936">
        <f t="shared" ca="1" si="47"/>
        <v>1897.9829594242001</v>
      </c>
      <c r="BE72" s="928">
        <f t="shared" si="28"/>
        <v>0</v>
      </c>
      <c r="BF72" s="925">
        <v>1</v>
      </c>
      <c r="BG72" s="928">
        <f t="shared" si="29"/>
        <v>7.7673590164252531</v>
      </c>
      <c r="BI72" s="928">
        <f t="shared" si="30"/>
        <v>0</v>
      </c>
    </row>
    <row r="73" spans="1:61" s="925" customFormat="1" ht="12" customHeight="1">
      <c r="A73" s="914" t="s">
        <v>1558</v>
      </c>
      <c r="B73" s="914" t="s">
        <v>1559</v>
      </c>
      <c r="C73" s="926">
        <v>86.43</v>
      </c>
      <c r="D73" s="926">
        <v>86.95</v>
      </c>
      <c r="E73" s="926"/>
      <c r="F73" s="926"/>
      <c r="G73" s="927">
        <v>18341.030000000002</v>
      </c>
      <c r="H73" s="927">
        <v>19394.050000000003</v>
      </c>
      <c r="I73" s="927">
        <v>19079.41</v>
      </c>
      <c r="J73" s="927">
        <v>19014.579999999998</v>
      </c>
      <c r="K73" s="927">
        <v>19252.25</v>
      </c>
      <c r="L73" s="927">
        <v>19687.920000000002</v>
      </c>
      <c r="M73" s="927">
        <v>19667.240000000002</v>
      </c>
      <c r="N73" s="927">
        <v>19123.760000000002</v>
      </c>
      <c r="O73" s="927">
        <v>19666.689999999999</v>
      </c>
      <c r="P73" s="927">
        <v>19123.810000000001</v>
      </c>
      <c r="Q73" s="927">
        <v>19015.61</v>
      </c>
      <c r="R73" s="927">
        <v>18950.36</v>
      </c>
      <c r="S73" s="927">
        <v>230316.71000000002</v>
      </c>
      <c r="T73" s="926"/>
      <c r="U73" s="934">
        <f t="shared" si="31"/>
        <v>212.20675691310888</v>
      </c>
      <c r="V73" s="934">
        <f t="shared" si="32"/>
        <v>224.39025801226427</v>
      </c>
      <c r="W73" s="934">
        <f t="shared" si="33"/>
        <v>220.74985537429131</v>
      </c>
      <c r="X73" s="934">
        <f t="shared" si="34"/>
        <v>219.9997685988661</v>
      </c>
      <c r="Y73" s="934">
        <f t="shared" si="35"/>
        <v>222.74962397315744</v>
      </c>
      <c r="Z73" s="934">
        <f t="shared" si="36"/>
        <v>226.42806210465787</v>
      </c>
      <c r="AA73" s="934">
        <f t="shared" si="37"/>
        <v>226.19022426682002</v>
      </c>
      <c r="AB73" s="934">
        <f t="shared" si="38"/>
        <v>219.93973548016103</v>
      </c>
      <c r="AC73" s="934">
        <f t="shared" si="39"/>
        <v>226.18389879240939</v>
      </c>
      <c r="AD73" s="934">
        <f t="shared" si="40"/>
        <v>219.94031052328924</v>
      </c>
      <c r="AE73" s="934">
        <f t="shared" si="41"/>
        <v>218.69591719378954</v>
      </c>
      <c r="AF73" s="934">
        <f t="shared" si="42"/>
        <v>217.94548591144337</v>
      </c>
      <c r="AG73" s="934">
        <f t="shared" si="43"/>
        <v>2655.4198971442584</v>
      </c>
      <c r="AH73" s="939">
        <f t="shared" si="44"/>
        <v>221.28499142868819</v>
      </c>
      <c r="AI73" s="950"/>
      <c r="AM73" s="947"/>
      <c r="AN73" s="930"/>
      <c r="AQ73" s="928">
        <v>221.28499142868819</v>
      </c>
      <c r="AS73" s="938">
        <f t="shared" ca="1" si="45"/>
        <v>92.047567172038598</v>
      </c>
      <c r="AT73" s="937">
        <f t="shared" ca="1" si="46"/>
        <v>244424.94135235393</v>
      </c>
      <c r="AU73" s="937"/>
      <c r="AV73" s="936">
        <f t="shared" ca="1" si="47"/>
        <v>14108.231352353905</v>
      </c>
      <c r="BE73" s="928">
        <f t="shared" si="28"/>
        <v>0</v>
      </c>
      <c r="BF73" s="925">
        <v>1</v>
      </c>
      <c r="BG73" s="928">
        <f t="shared" si="29"/>
        <v>221.28499142868819</v>
      </c>
      <c r="BI73" s="928">
        <f t="shared" si="30"/>
        <v>0</v>
      </c>
    </row>
    <row r="74" spans="1:61" s="925" customFormat="1" ht="12" customHeight="1">
      <c r="A74" s="914" t="s">
        <v>1560</v>
      </c>
      <c r="B74" s="914" t="s">
        <v>1561</v>
      </c>
      <c r="C74" s="926">
        <v>172.85</v>
      </c>
      <c r="D74" s="926">
        <v>173.89</v>
      </c>
      <c r="E74" s="926"/>
      <c r="F74" s="926"/>
      <c r="G74" s="927">
        <v>13020.91</v>
      </c>
      <c r="H74" s="927">
        <v>14519.390000000001</v>
      </c>
      <c r="I74" s="927">
        <v>14670.62</v>
      </c>
      <c r="J74" s="927">
        <v>15081.16</v>
      </c>
      <c r="K74" s="927">
        <v>15210.800000000001</v>
      </c>
      <c r="L74" s="927">
        <v>15119.06</v>
      </c>
      <c r="M74" s="927">
        <v>14879.97</v>
      </c>
      <c r="N74" s="927">
        <v>15314.66</v>
      </c>
      <c r="O74" s="927">
        <v>15488.57</v>
      </c>
      <c r="P74" s="927">
        <v>15358.16</v>
      </c>
      <c r="Q74" s="927">
        <v>15597.259999999998</v>
      </c>
      <c r="R74" s="927">
        <v>15749.4</v>
      </c>
      <c r="S74" s="927">
        <v>180009.96000000002</v>
      </c>
      <c r="T74" s="926"/>
      <c r="U74" s="934">
        <f t="shared" si="31"/>
        <v>75.330691350882276</v>
      </c>
      <c r="V74" s="934">
        <f t="shared" si="32"/>
        <v>83.99994214636969</v>
      </c>
      <c r="W74" s="934">
        <f t="shared" si="33"/>
        <v>84.87486259762801</v>
      </c>
      <c r="X74" s="934">
        <f t="shared" si="34"/>
        <v>87.249985536592419</v>
      </c>
      <c r="Y74" s="934">
        <f t="shared" si="35"/>
        <v>88.000000000000014</v>
      </c>
      <c r="Z74" s="934">
        <f t="shared" si="36"/>
        <v>86.946115360285248</v>
      </c>
      <c r="AA74" s="934">
        <f t="shared" si="37"/>
        <v>85.571165679452534</v>
      </c>
      <c r="AB74" s="934">
        <f t="shared" si="38"/>
        <v>88.070964402783375</v>
      </c>
      <c r="AC74" s="934">
        <f t="shared" si="39"/>
        <v>89.07107941802289</v>
      </c>
      <c r="AD74" s="934">
        <f t="shared" si="40"/>
        <v>88.321122548737719</v>
      </c>
      <c r="AE74" s="934">
        <f t="shared" si="41"/>
        <v>89.696129737190176</v>
      </c>
      <c r="AF74" s="934">
        <f t="shared" si="42"/>
        <v>90.571050664213018</v>
      </c>
      <c r="AG74" s="934">
        <f t="shared" si="43"/>
        <v>1037.7031094421575</v>
      </c>
      <c r="AH74" s="939">
        <f t="shared" si="44"/>
        <v>86.475259120179786</v>
      </c>
      <c r="AI74" s="950"/>
      <c r="AM74" s="947"/>
      <c r="AN74" s="930"/>
      <c r="AQ74" s="928">
        <v>86.475259120179786</v>
      </c>
      <c r="AS74" s="938">
        <f t="shared" ca="1" si="45"/>
        <v>184.08454807988258</v>
      </c>
      <c r="AT74" s="937">
        <f t="shared" ca="1" si="46"/>
        <v>191025.10794274847</v>
      </c>
      <c r="AU74" s="937"/>
      <c r="AV74" s="936">
        <f t="shared" ca="1" si="47"/>
        <v>11015.147942748445</v>
      </c>
      <c r="BE74" s="928">
        <f t="shared" si="28"/>
        <v>0</v>
      </c>
      <c r="BF74" s="925">
        <v>1</v>
      </c>
      <c r="BG74" s="928">
        <f t="shared" si="29"/>
        <v>86.475259120179786</v>
      </c>
      <c r="BI74" s="928">
        <f t="shared" si="30"/>
        <v>0</v>
      </c>
    </row>
    <row r="75" spans="1:61" s="925" customFormat="1" ht="12" customHeight="1">
      <c r="A75" s="914" t="s">
        <v>1562</v>
      </c>
      <c r="B75" s="914" t="s">
        <v>1563</v>
      </c>
      <c r="C75" s="926">
        <v>259.27999999999997</v>
      </c>
      <c r="D75" s="926">
        <v>260.83999999999997</v>
      </c>
      <c r="E75" s="926"/>
      <c r="F75" s="926"/>
      <c r="G75" s="927">
        <v>9435.11</v>
      </c>
      <c r="H75" s="927">
        <v>10485.6</v>
      </c>
      <c r="I75" s="927">
        <v>10788.099999999999</v>
      </c>
      <c r="J75" s="927">
        <v>10874.529999999999</v>
      </c>
      <c r="K75" s="927">
        <v>10874.529999999999</v>
      </c>
      <c r="L75" s="927">
        <v>11084.4</v>
      </c>
      <c r="M75" s="927">
        <v>11194.65</v>
      </c>
      <c r="N75" s="927">
        <v>11259.86</v>
      </c>
      <c r="O75" s="927">
        <v>11085.960000000001</v>
      </c>
      <c r="P75" s="927">
        <v>10933.81</v>
      </c>
      <c r="Q75" s="927">
        <v>10933.81</v>
      </c>
      <c r="R75" s="927">
        <v>11194.65</v>
      </c>
      <c r="S75" s="927">
        <v>130145.01</v>
      </c>
      <c r="T75" s="926"/>
      <c r="U75" s="934">
        <f t="shared" si="31"/>
        <v>36.389655970379522</v>
      </c>
      <c r="V75" s="934">
        <f t="shared" si="32"/>
        <v>40.441221845109538</v>
      </c>
      <c r="W75" s="934">
        <f t="shared" si="33"/>
        <v>41.607914224004936</v>
      </c>
      <c r="X75" s="934">
        <f t="shared" si="34"/>
        <v>41.941260413452639</v>
      </c>
      <c r="Y75" s="934">
        <f t="shared" si="35"/>
        <v>41.941260413452639</v>
      </c>
      <c r="Z75" s="934">
        <f t="shared" si="36"/>
        <v>42.495016101824874</v>
      </c>
      <c r="AA75" s="934">
        <f t="shared" si="37"/>
        <v>42.917689004753875</v>
      </c>
      <c r="AB75" s="934">
        <f t="shared" si="38"/>
        <v>43.167689004753882</v>
      </c>
      <c r="AC75" s="934">
        <f t="shared" si="39"/>
        <v>42.500996779635031</v>
      </c>
      <c r="AD75" s="934">
        <f t="shared" si="40"/>
        <v>41.917689004753875</v>
      </c>
      <c r="AE75" s="934">
        <f t="shared" si="41"/>
        <v>41.917689004753875</v>
      </c>
      <c r="AF75" s="934">
        <f t="shared" si="42"/>
        <v>42.917689004753875</v>
      </c>
      <c r="AG75" s="934">
        <f t="shared" si="43"/>
        <v>500.15577077162857</v>
      </c>
      <c r="AH75" s="939">
        <f t="shared" si="44"/>
        <v>41.679647564302378</v>
      </c>
      <c r="AI75" s="950"/>
      <c r="AM75" s="947"/>
      <c r="AN75" s="930"/>
      <c r="AQ75" s="928">
        <v>41.679647564302378</v>
      </c>
      <c r="AS75" s="938">
        <f t="shared" ca="1" si="45"/>
        <v>276.13211525192116</v>
      </c>
      <c r="AT75" s="937">
        <f t="shared" ca="1" si="46"/>
        <v>138109.07093862479</v>
      </c>
      <c r="AU75" s="937"/>
      <c r="AV75" s="936">
        <f t="shared" ca="1" si="47"/>
        <v>7964.0609386247961</v>
      </c>
      <c r="BE75" s="928">
        <f t="shared" si="28"/>
        <v>0</v>
      </c>
      <c r="BF75" s="925">
        <v>1</v>
      </c>
      <c r="BG75" s="928">
        <f t="shared" si="29"/>
        <v>41.679647564302378</v>
      </c>
      <c r="BI75" s="928">
        <f t="shared" si="30"/>
        <v>0</v>
      </c>
    </row>
    <row r="76" spans="1:61" s="925" customFormat="1" ht="12" customHeight="1">
      <c r="A76" s="914" t="s">
        <v>1564</v>
      </c>
      <c r="B76" s="914" t="s">
        <v>1565</v>
      </c>
      <c r="C76" s="926">
        <v>432.13</v>
      </c>
      <c r="D76" s="926">
        <v>434.73</v>
      </c>
      <c r="E76" s="926"/>
      <c r="F76" s="926"/>
      <c r="G76" s="927">
        <v>7659.28</v>
      </c>
      <c r="H76" s="927">
        <v>8210.4699999999993</v>
      </c>
      <c r="I76" s="927">
        <v>7994.4000000000005</v>
      </c>
      <c r="J76" s="927">
        <v>7974.76</v>
      </c>
      <c r="K76" s="927">
        <v>8210.4699999999993</v>
      </c>
      <c r="L76" s="927">
        <v>7825.1399999999994</v>
      </c>
      <c r="M76" s="927">
        <v>8803.26</v>
      </c>
      <c r="N76" s="927">
        <v>9129.33</v>
      </c>
      <c r="O76" s="927">
        <v>9129.33</v>
      </c>
      <c r="P76" s="927">
        <v>9129.33</v>
      </c>
      <c r="Q76" s="927">
        <v>9129.33</v>
      </c>
      <c r="R76" s="927">
        <v>9129.33</v>
      </c>
      <c r="S76" s="927">
        <v>102324.43000000001</v>
      </c>
      <c r="T76" s="926"/>
      <c r="U76" s="934">
        <f t="shared" si="31"/>
        <v>17.724481058940597</v>
      </c>
      <c r="V76" s="934">
        <f t="shared" si="32"/>
        <v>19</v>
      </c>
      <c r="W76" s="934">
        <f t="shared" si="33"/>
        <v>18.499988429407818</v>
      </c>
      <c r="X76" s="934">
        <f t="shared" si="34"/>
        <v>18.454539143313355</v>
      </c>
      <c r="Y76" s="934">
        <f t="shared" si="35"/>
        <v>19</v>
      </c>
      <c r="Z76" s="934">
        <f t="shared" si="36"/>
        <v>17.999999999999996</v>
      </c>
      <c r="AA76" s="934">
        <f t="shared" si="37"/>
        <v>20.249948243737492</v>
      </c>
      <c r="AB76" s="934">
        <f t="shared" si="38"/>
        <v>21</v>
      </c>
      <c r="AC76" s="934">
        <f t="shared" si="39"/>
        <v>21</v>
      </c>
      <c r="AD76" s="934">
        <f t="shared" si="40"/>
        <v>21</v>
      </c>
      <c r="AE76" s="934">
        <f t="shared" si="41"/>
        <v>21</v>
      </c>
      <c r="AF76" s="934">
        <f t="shared" si="42"/>
        <v>21</v>
      </c>
      <c r="AG76" s="934">
        <f t="shared" si="43"/>
        <v>235.92895687539925</v>
      </c>
      <c r="AH76" s="939">
        <f t="shared" si="44"/>
        <v>19.66074640628327</v>
      </c>
      <c r="AI76" s="950"/>
      <c r="AM76" s="947"/>
      <c r="AN76" s="930"/>
      <c r="AQ76" s="928">
        <v>19.66074640628327</v>
      </c>
      <c r="AS76" s="938">
        <f t="shared" ca="1" si="45"/>
        <v>460.21666333180377</v>
      </c>
      <c r="AT76" s="937">
        <f t="shared" ca="1" si="46"/>
        <v>108578.43731654926</v>
      </c>
      <c r="AU76" s="937"/>
      <c r="AV76" s="936">
        <f t="shared" ca="1" si="47"/>
        <v>6254.0073165492504</v>
      </c>
      <c r="BE76" s="928">
        <f t="shared" si="28"/>
        <v>0</v>
      </c>
      <c r="BF76" s="925">
        <v>1</v>
      </c>
      <c r="BG76" s="928">
        <f t="shared" si="29"/>
        <v>19.66074640628327</v>
      </c>
      <c r="BI76" s="928">
        <f t="shared" si="30"/>
        <v>0</v>
      </c>
    </row>
    <row r="77" spans="1:61" s="925" customFormat="1" ht="12" customHeight="1">
      <c r="A77" s="914" t="s">
        <v>1566</v>
      </c>
      <c r="B77" s="914" t="s">
        <v>1567</v>
      </c>
      <c r="C77" s="926">
        <v>117.65</v>
      </c>
      <c r="D77" s="926">
        <v>118.34</v>
      </c>
      <c r="E77" s="926"/>
      <c r="F77" s="926"/>
      <c r="G77" s="927">
        <v>28140.309999999998</v>
      </c>
      <c r="H77" s="927">
        <v>30167.359999999997</v>
      </c>
      <c r="I77" s="927">
        <v>30569.689999999995</v>
      </c>
      <c r="J77" s="927">
        <v>30599.11</v>
      </c>
      <c r="K77" s="927">
        <v>30540.28</v>
      </c>
      <c r="L77" s="927">
        <v>31147.61</v>
      </c>
      <c r="M77" s="927">
        <v>31568.7</v>
      </c>
      <c r="N77" s="927">
        <v>32087.120000000003</v>
      </c>
      <c r="O77" s="927">
        <v>32013.140000000003</v>
      </c>
      <c r="P77" s="927">
        <v>31598.99</v>
      </c>
      <c r="Q77" s="927">
        <v>31658.13</v>
      </c>
      <c r="R77" s="927">
        <v>32042.74</v>
      </c>
      <c r="S77" s="927">
        <v>372133.18</v>
      </c>
      <c r="T77" s="926"/>
      <c r="U77" s="934">
        <f t="shared" si="31"/>
        <v>239.18665533361664</v>
      </c>
      <c r="V77" s="934">
        <f t="shared" si="32"/>
        <v>256.41614959626003</v>
      </c>
      <c r="W77" s="934">
        <f t="shared" si="33"/>
        <v>259.83586910327239</v>
      </c>
      <c r="X77" s="934">
        <f t="shared" si="34"/>
        <v>260.08593285167871</v>
      </c>
      <c r="Y77" s="934">
        <f t="shared" si="35"/>
        <v>259.58589035274116</v>
      </c>
      <c r="Z77" s="934">
        <f t="shared" si="36"/>
        <v>263.20441101909751</v>
      </c>
      <c r="AA77" s="934">
        <f t="shared" si="37"/>
        <v>266.76271759337504</v>
      </c>
      <c r="AB77" s="934">
        <f t="shared" si="38"/>
        <v>271.1434848740916</v>
      </c>
      <c r="AC77" s="934">
        <f t="shared" si="39"/>
        <v>270.51833699509888</v>
      </c>
      <c r="AD77" s="934">
        <f t="shared" si="40"/>
        <v>267.01867500422514</v>
      </c>
      <c r="AE77" s="934">
        <f t="shared" si="41"/>
        <v>267.51842149738042</v>
      </c>
      <c r="AF77" s="934">
        <f t="shared" si="42"/>
        <v>270.76846374852124</v>
      </c>
      <c r="AG77" s="934">
        <f t="shared" si="43"/>
        <v>3152.0450079693592</v>
      </c>
      <c r="AH77" s="939">
        <f t="shared" si="44"/>
        <v>262.67041733077991</v>
      </c>
      <c r="AI77" s="950"/>
      <c r="AM77" s="947"/>
      <c r="AN77" s="930"/>
      <c r="AQ77" s="928">
        <v>262.67041733077991</v>
      </c>
      <c r="AS77" s="938">
        <f t="shared" ca="1" si="45"/>
        <v>125.27785047888496</v>
      </c>
      <c r="AT77" s="937">
        <f t="shared" ca="1" si="46"/>
        <v>394881.42321110109</v>
      </c>
      <c r="AU77" s="937"/>
      <c r="AV77" s="936">
        <f t="shared" ca="1" si="47"/>
        <v>22748.2432111011</v>
      </c>
      <c r="BE77" s="928">
        <f t="shared" si="28"/>
        <v>0</v>
      </c>
      <c r="BF77" s="925">
        <v>1</v>
      </c>
      <c r="BG77" s="928">
        <f t="shared" si="29"/>
        <v>262.67041733077991</v>
      </c>
      <c r="BI77" s="928">
        <f t="shared" si="30"/>
        <v>0</v>
      </c>
    </row>
    <row r="78" spans="1:61" s="925" customFormat="1" ht="12" customHeight="1">
      <c r="A78" s="914" t="s">
        <v>1568</v>
      </c>
      <c r="B78" s="914" t="s">
        <v>1569</v>
      </c>
      <c r="C78" s="926">
        <v>235.29</v>
      </c>
      <c r="D78" s="926">
        <v>236.68</v>
      </c>
      <c r="E78" s="926"/>
      <c r="F78" s="926"/>
      <c r="G78" s="927">
        <v>45499.42</v>
      </c>
      <c r="H78" s="927">
        <v>49514.62</v>
      </c>
      <c r="I78" s="927">
        <v>49455.8</v>
      </c>
      <c r="J78" s="927">
        <v>48602.87</v>
      </c>
      <c r="K78" s="927">
        <v>48779.35</v>
      </c>
      <c r="L78" s="927">
        <v>48374.64</v>
      </c>
      <c r="M78" s="927">
        <v>48581.74</v>
      </c>
      <c r="N78" s="927">
        <v>49381.93</v>
      </c>
      <c r="O78" s="927">
        <v>49677.78</v>
      </c>
      <c r="P78" s="927">
        <v>50002.96</v>
      </c>
      <c r="Q78" s="927">
        <v>49115.519999999997</v>
      </c>
      <c r="R78" s="927">
        <v>49529.85</v>
      </c>
      <c r="S78" s="927">
        <v>586516.47999999998</v>
      </c>
      <c r="T78" s="926"/>
      <c r="U78" s="934">
        <f t="shared" si="31"/>
        <v>193.37591907858388</v>
      </c>
      <c r="V78" s="934">
        <f t="shared" si="32"/>
        <v>210.44081771431001</v>
      </c>
      <c r="W78" s="934">
        <f t="shared" si="33"/>
        <v>210.19082833949597</v>
      </c>
      <c r="X78" s="934">
        <f t="shared" si="34"/>
        <v>206.56581240171704</v>
      </c>
      <c r="Y78" s="934">
        <f t="shared" si="35"/>
        <v>207.31586552764674</v>
      </c>
      <c r="Z78" s="934">
        <f t="shared" si="36"/>
        <v>204.38837248605711</v>
      </c>
      <c r="AA78" s="934">
        <f t="shared" si="37"/>
        <v>205.26339361162749</v>
      </c>
      <c r="AB78" s="934">
        <f t="shared" si="38"/>
        <v>208.64428764576644</v>
      </c>
      <c r="AC78" s="934">
        <f t="shared" si="39"/>
        <v>209.89428764576641</v>
      </c>
      <c r="AD78" s="934">
        <f t="shared" si="40"/>
        <v>211.26821024167651</v>
      </c>
      <c r="AE78" s="934">
        <f t="shared" si="41"/>
        <v>207.51867500422509</v>
      </c>
      <c r="AF78" s="934">
        <f t="shared" si="42"/>
        <v>209.26926652019603</v>
      </c>
      <c r="AG78" s="934">
        <f t="shared" si="43"/>
        <v>2484.1357362170688</v>
      </c>
      <c r="AH78" s="939">
        <f t="shared" si="44"/>
        <v>207.01131135142239</v>
      </c>
      <c r="AI78" s="950"/>
      <c r="AM78" s="947"/>
      <c r="AN78" s="930"/>
      <c r="AQ78" s="928">
        <v>207.01131135142239</v>
      </c>
      <c r="AS78" s="938">
        <f t="shared" ca="1" si="45"/>
        <v>250.55570095776991</v>
      </c>
      <c r="AT78" s="937">
        <f t="shared" ca="1" si="46"/>
        <v>622414.37066211354</v>
      </c>
      <c r="AU78" s="937"/>
      <c r="AV78" s="936">
        <f t="shared" ca="1" si="47"/>
        <v>35897.890662113554</v>
      </c>
      <c r="BE78" s="928">
        <f t="shared" si="28"/>
        <v>0</v>
      </c>
      <c r="BF78" s="925">
        <v>1</v>
      </c>
      <c r="BG78" s="928">
        <f t="shared" si="29"/>
        <v>207.01131135142239</v>
      </c>
      <c r="BI78" s="928">
        <f t="shared" si="30"/>
        <v>0</v>
      </c>
    </row>
    <row r="79" spans="1:61" s="925" customFormat="1" ht="12" customHeight="1">
      <c r="A79" s="914" t="s">
        <v>1570</v>
      </c>
      <c r="B79" s="914" t="s">
        <v>1571</v>
      </c>
      <c r="C79" s="926">
        <v>352.94</v>
      </c>
      <c r="D79" s="926">
        <v>355.02</v>
      </c>
      <c r="E79" s="926"/>
      <c r="F79" s="926"/>
      <c r="G79" s="927">
        <v>14653.85</v>
      </c>
      <c r="H79" s="927">
        <v>15811.38</v>
      </c>
      <c r="I79" s="927">
        <v>16411.7</v>
      </c>
      <c r="J79" s="927">
        <v>17117.59</v>
      </c>
      <c r="K79" s="927">
        <v>17852.87</v>
      </c>
      <c r="L79" s="927">
        <v>18268.97</v>
      </c>
      <c r="M79" s="927">
        <v>18630.230000000003</v>
      </c>
      <c r="N79" s="927">
        <v>18807.740000000002</v>
      </c>
      <c r="O79" s="927">
        <v>18807.740000000002</v>
      </c>
      <c r="P79" s="927">
        <v>19074.000000000004</v>
      </c>
      <c r="Q79" s="927">
        <v>18807.730000000003</v>
      </c>
      <c r="R79" s="927">
        <v>19044.420000000002</v>
      </c>
      <c r="S79" s="927">
        <v>213288.22</v>
      </c>
      <c r="T79" s="926"/>
      <c r="U79" s="934">
        <f t="shared" si="31"/>
        <v>41.519380064600213</v>
      </c>
      <c r="V79" s="934">
        <f t="shared" si="32"/>
        <v>44.799059330197764</v>
      </c>
      <c r="W79" s="934">
        <f t="shared" si="33"/>
        <v>46.499971666572222</v>
      </c>
      <c r="X79" s="934">
        <f t="shared" si="34"/>
        <v>48.5</v>
      </c>
      <c r="Y79" s="934">
        <f t="shared" si="35"/>
        <v>50.58330027766759</v>
      </c>
      <c r="Z79" s="934">
        <f t="shared" si="36"/>
        <v>51.458988226015443</v>
      </c>
      <c r="AA79" s="934">
        <f t="shared" si="37"/>
        <v>52.476564700580262</v>
      </c>
      <c r="AB79" s="934">
        <f t="shared" si="38"/>
        <v>52.976564700580255</v>
      </c>
      <c r="AC79" s="934">
        <f t="shared" si="39"/>
        <v>52.976564700580255</v>
      </c>
      <c r="AD79" s="934">
        <f t="shared" si="40"/>
        <v>53.726550616866668</v>
      </c>
      <c r="AE79" s="934">
        <f t="shared" si="41"/>
        <v>52.976536533153073</v>
      </c>
      <c r="AF79" s="934">
        <f t="shared" si="42"/>
        <v>53.643231367246926</v>
      </c>
      <c r="AG79" s="934">
        <f t="shared" si="43"/>
        <v>602.13671218406057</v>
      </c>
      <c r="AH79" s="939">
        <f t="shared" si="44"/>
        <v>50.178059348671717</v>
      </c>
      <c r="AI79" s="950"/>
      <c r="AM79" s="947"/>
      <c r="AN79" s="930"/>
      <c r="AQ79" s="928">
        <v>50.178059348671717</v>
      </c>
      <c r="AS79" s="938">
        <f t="shared" ca="1" si="45"/>
        <v>375.83355143665489</v>
      </c>
      <c r="AT79" s="937">
        <f t="shared" ca="1" si="46"/>
        <v>226303.17899052639</v>
      </c>
      <c r="AU79" s="937"/>
      <c r="AV79" s="936">
        <f t="shared" ca="1" si="47"/>
        <v>13014.958990526386</v>
      </c>
      <c r="BE79" s="928">
        <f t="shared" si="28"/>
        <v>0</v>
      </c>
      <c r="BF79" s="925">
        <v>1</v>
      </c>
      <c r="BG79" s="928">
        <f t="shared" si="29"/>
        <v>50.178059348671717</v>
      </c>
      <c r="BI79" s="928">
        <f t="shared" si="30"/>
        <v>0</v>
      </c>
    </row>
    <row r="80" spans="1:61" s="925" customFormat="1" ht="12" customHeight="1">
      <c r="A80" s="914" t="s">
        <v>1572</v>
      </c>
      <c r="B80" s="914" t="s">
        <v>1573</v>
      </c>
      <c r="C80" s="926">
        <v>470.58</v>
      </c>
      <c r="D80" s="926">
        <v>473.36</v>
      </c>
      <c r="E80" s="926"/>
      <c r="F80" s="926"/>
      <c r="G80" s="927">
        <v>1756.24</v>
      </c>
      <c r="H80" s="927">
        <v>1882.32</v>
      </c>
      <c r="I80" s="927">
        <v>1882.32</v>
      </c>
      <c r="J80" s="927">
        <v>1882.32</v>
      </c>
      <c r="K80" s="927">
        <v>1882.32</v>
      </c>
      <c r="L80" s="927">
        <v>1893.44</v>
      </c>
      <c r="M80" s="927">
        <v>1893.44</v>
      </c>
      <c r="N80" s="927">
        <v>1893.44</v>
      </c>
      <c r="O80" s="927">
        <v>1893.44</v>
      </c>
      <c r="P80" s="927">
        <v>1893.44</v>
      </c>
      <c r="Q80" s="927">
        <v>1893.44</v>
      </c>
      <c r="R80" s="927">
        <v>1893.44</v>
      </c>
      <c r="S80" s="927">
        <v>22539.599999999999</v>
      </c>
      <c r="T80" s="926"/>
      <c r="U80" s="934">
        <f t="shared" si="31"/>
        <v>3.7320753113179483</v>
      </c>
      <c r="V80" s="934">
        <f t="shared" si="32"/>
        <v>4</v>
      </c>
      <c r="W80" s="934">
        <f t="shared" si="33"/>
        <v>4</v>
      </c>
      <c r="X80" s="934">
        <f t="shared" si="34"/>
        <v>4</v>
      </c>
      <c r="Y80" s="934">
        <f t="shared" si="35"/>
        <v>4</v>
      </c>
      <c r="Z80" s="934">
        <f t="shared" si="36"/>
        <v>4</v>
      </c>
      <c r="AA80" s="934">
        <f t="shared" si="37"/>
        <v>4</v>
      </c>
      <c r="AB80" s="934">
        <f t="shared" si="38"/>
        <v>4</v>
      </c>
      <c r="AC80" s="934">
        <f t="shared" si="39"/>
        <v>4</v>
      </c>
      <c r="AD80" s="934">
        <f t="shared" si="40"/>
        <v>4</v>
      </c>
      <c r="AE80" s="934">
        <f t="shared" si="41"/>
        <v>4</v>
      </c>
      <c r="AF80" s="934">
        <f t="shared" si="42"/>
        <v>4</v>
      </c>
      <c r="AG80" s="934">
        <f t="shared" si="43"/>
        <v>47.732075311317949</v>
      </c>
      <c r="AH80" s="939">
        <f t="shared" si="44"/>
        <v>3.977672942609829</v>
      </c>
      <c r="AI80" s="950"/>
      <c r="AM80" s="947"/>
      <c r="AN80" s="930"/>
      <c r="AQ80" s="928">
        <v>3.977672942609829</v>
      </c>
      <c r="AS80" s="938">
        <f t="shared" ca="1" si="45"/>
        <v>501.11140191553983</v>
      </c>
      <c r="AT80" s="937">
        <f t="shared" ca="1" si="46"/>
        <v>23919.087175592664</v>
      </c>
      <c r="AU80" s="937"/>
      <c r="AV80" s="936">
        <f t="shared" ca="1" si="47"/>
        <v>1379.4871755926652</v>
      </c>
      <c r="BE80" s="928">
        <f t="shared" si="28"/>
        <v>0</v>
      </c>
      <c r="BF80" s="925">
        <v>1</v>
      </c>
      <c r="BG80" s="928">
        <f t="shared" si="29"/>
        <v>3.977672942609829</v>
      </c>
      <c r="BI80" s="928">
        <f t="shared" si="30"/>
        <v>0</v>
      </c>
    </row>
    <row r="81" spans="1:61" s="925" customFormat="1" ht="12" customHeight="1">
      <c r="A81" s="914" t="s">
        <v>1574</v>
      </c>
      <c r="B81" s="914" t="s">
        <v>1575</v>
      </c>
      <c r="C81" s="926">
        <v>588.23</v>
      </c>
      <c r="D81" s="926">
        <v>591.69000000000005</v>
      </c>
      <c r="E81" s="926"/>
      <c r="F81" s="926"/>
      <c r="G81" s="927">
        <v>15916.07</v>
      </c>
      <c r="H81" s="927">
        <v>17058.669999999998</v>
      </c>
      <c r="I81" s="927">
        <v>17058.669999999998</v>
      </c>
      <c r="J81" s="927">
        <v>16470.440000000002</v>
      </c>
      <c r="K81" s="927">
        <v>17235.120000000003</v>
      </c>
      <c r="L81" s="927">
        <v>18431.13</v>
      </c>
      <c r="M81" s="927">
        <v>16981.46</v>
      </c>
      <c r="N81" s="927">
        <v>15975.630000000001</v>
      </c>
      <c r="O81" s="927">
        <v>15975.630000000001</v>
      </c>
      <c r="P81" s="927">
        <v>15975.630000000001</v>
      </c>
      <c r="Q81" s="927">
        <v>15975.630000000001</v>
      </c>
      <c r="R81" s="927">
        <v>15975.630000000001</v>
      </c>
      <c r="S81" s="927">
        <v>199029.71000000002</v>
      </c>
      <c r="T81" s="926"/>
      <c r="U81" s="934">
        <f t="shared" si="31"/>
        <v>27.05756251806266</v>
      </c>
      <c r="V81" s="934">
        <f t="shared" si="32"/>
        <v>28.999999999999996</v>
      </c>
      <c r="W81" s="934">
        <f t="shared" si="33"/>
        <v>28.999999999999996</v>
      </c>
      <c r="X81" s="934">
        <f t="shared" si="34"/>
        <v>28.000000000000004</v>
      </c>
      <c r="Y81" s="934">
        <f t="shared" si="35"/>
        <v>29.299967699709303</v>
      </c>
      <c r="Z81" s="934">
        <f t="shared" si="36"/>
        <v>31.149977183998377</v>
      </c>
      <c r="AA81" s="934">
        <f t="shared" si="37"/>
        <v>28.699927326809643</v>
      </c>
      <c r="AB81" s="934">
        <f t="shared" si="38"/>
        <v>27</v>
      </c>
      <c r="AC81" s="934">
        <f t="shared" si="39"/>
        <v>27</v>
      </c>
      <c r="AD81" s="934">
        <f t="shared" si="40"/>
        <v>27</v>
      </c>
      <c r="AE81" s="934">
        <f t="shared" si="41"/>
        <v>27</v>
      </c>
      <c r="AF81" s="934">
        <f t="shared" si="42"/>
        <v>27</v>
      </c>
      <c r="AG81" s="934">
        <f t="shared" si="43"/>
        <v>337.20743472857998</v>
      </c>
      <c r="AH81" s="939">
        <f t="shared" si="44"/>
        <v>28.100619560715</v>
      </c>
      <c r="AI81" s="950"/>
      <c r="AM81" s="947"/>
      <c r="AN81" s="930"/>
      <c r="AQ81" s="928">
        <v>28.100619560715</v>
      </c>
      <c r="AS81" s="938">
        <f t="shared" ca="1" si="45"/>
        <v>626.37866613023027</v>
      </c>
      <c r="AT81" s="937">
        <f t="shared" ca="1" si="46"/>
        <v>211219.54317448463</v>
      </c>
      <c r="AU81" s="937"/>
      <c r="AV81" s="936">
        <f t="shared" ca="1" si="47"/>
        <v>12189.833174484607</v>
      </c>
      <c r="BE81" s="928">
        <f t="shared" si="28"/>
        <v>0</v>
      </c>
      <c r="BF81" s="925">
        <v>1</v>
      </c>
      <c r="BG81" s="928">
        <f t="shared" si="29"/>
        <v>28.100619560715</v>
      </c>
      <c r="BI81" s="928">
        <f t="shared" si="30"/>
        <v>0</v>
      </c>
    </row>
    <row r="82" spans="1:61" s="925" customFormat="1" ht="12" customHeight="1">
      <c r="A82" s="914" t="s">
        <v>1576</v>
      </c>
      <c r="B82" s="914" t="s">
        <v>1577</v>
      </c>
      <c r="C82" s="926">
        <v>158</v>
      </c>
      <c r="D82" s="926">
        <v>158.94999999999999</v>
      </c>
      <c r="E82" s="926"/>
      <c r="F82" s="926"/>
      <c r="G82" s="927">
        <v>1031.73</v>
      </c>
      <c r="H82" s="927">
        <v>1052.95</v>
      </c>
      <c r="I82" s="927">
        <v>1106.05</v>
      </c>
      <c r="J82" s="927">
        <v>1106.05</v>
      </c>
      <c r="K82" s="927">
        <v>1106.05</v>
      </c>
      <c r="L82" s="927">
        <v>1107.9499999999998</v>
      </c>
      <c r="M82" s="927">
        <v>1112.6500000000001</v>
      </c>
      <c r="N82" s="927">
        <v>1112.6500000000001</v>
      </c>
      <c r="O82" s="927">
        <v>1112.6500000000001</v>
      </c>
      <c r="P82" s="927">
        <v>1112.6500000000001</v>
      </c>
      <c r="Q82" s="927">
        <v>1112.6500000000001</v>
      </c>
      <c r="R82" s="927">
        <v>1112.6500000000001</v>
      </c>
      <c r="S82" s="927">
        <v>13186.679999999998</v>
      </c>
      <c r="T82" s="926"/>
      <c r="U82" s="934">
        <f t="shared" si="31"/>
        <v>6.5299367088607596</v>
      </c>
      <c r="V82" s="934">
        <f t="shared" si="32"/>
        <v>6.6642405063291141</v>
      </c>
      <c r="W82" s="934">
        <f t="shared" si="33"/>
        <v>7.0003164556962023</v>
      </c>
      <c r="X82" s="934">
        <f t="shared" si="34"/>
        <v>7.0003164556962023</v>
      </c>
      <c r="Y82" s="934">
        <f t="shared" si="35"/>
        <v>7.0003164556962023</v>
      </c>
      <c r="Z82" s="934">
        <f t="shared" si="36"/>
        <v>6.970430953129914</v>
      </c>
      <c r="AA82" s="934">
        <f t="shared" si="37"/>
        <v>7.0000000000000009</v>
      </c>
      <c r="AB82" s="934">
        <f t="shared" si="38"/>
        <v>7.0000000000000009</v>
      </c>
      <c r="AC82" s="934">
        <f t="shared" si="39"/>
        <v>7.0000000000000009</v>
      </c>
      <c r="AD82" s="934">
        <f t="shared" si="40"/>
        <v>7.0000000000000009</v>
      </c>
      <c r="AE82" s="934">
        <f t="shared" si="41"/>
        <v>7.0000000000000009</v>
      </c>
      <c r="AF82" s="934">
        <f t="shared" si="42"/>
        <v>7.0000000000000009</v>
      </c>
      <c r="AG82" s="934">
        <f t="shared" si="43"/>
        <v>83.165557535408396</v>
      </c>
      <c r="AH82" s="939">
        <f t="shared" si="44"/>
        <v>6.9304631279506994</v>
      </c>
      <c r="AI82" s="950"/>
      <c r="AM82" s="947"/>
      <c r="AN82" s="930"/>
      <c r="AQ82" s="928">
        <v>6.9304631279506994</v>
      </c>
      <c r="AS82" s="938">
        <f t="shared" ca="1" si="45"/>
        <v>168.26866937315162</v>
      </c>
      <c r="AT82" s="937">
        <f t="shared" ca="1" si="46"/>
        <v>13994.157704159454</v>
      </c>
      <c r="AU82" s="937"/>
      <c r="AV82" s="936">
        <f t="shared" ca="1" si="47"/>
        <v>807.47770415945524</v>
      </c>
      <c r="BE82" s="928">
        <f t="shared" si="28"/>
        <v>0</v>
      </c>
      <c r="BF82" s="925">
        <v>1</v>
      </c>
      <c r="BG82" s="928">
        <f t="shared" si="29"/>
        <v>6.9304631279506994</v>
      </c>
      <c r="BI82" s="928">
        <f t="shared" si="30"/>
        <v>0</v>
      </c>
    </row>
    <row r="83" spans="1:61" s="925" customFormat="1" ht="12" customHeight="1">
      <c r="A83" s="914" t="s">
        <v>1578</v>
      </c>
      <c r="B83" s="914" t="s">
        <v>1579</v>
      </c>
      <c r="C83" s="926">
        <v>316</v>
      </c>
      <c r="D83" s="926">
        <v>317.91000000000003</v>
      </c>
      <c r="E83" s="926"/>
      <c r="F83" s="926"/>
      <c r="G83" s="927">
        <v>294.79000000000002</v>
      </c>
      <c r="H83" s="927">
        <v>294.79000000000002</v>
      </c>
      <c r="I83" s="927">
        <v>316.02</v>
      </c>
      <c r="J83" s="927">
        <v>316.02</v>
      </c>
      <c r="K83" s="927">
        <v>316.02</v>
      </c>
      <c r="L83" s="927">
        <v>316.02</v>
      </c>
      <c r="M83" s="927">
        <v>317.91000000000003</v>
      </c>
      <c r="N83" s="927">
        <v>317.91000000000003</v>
      </c>
      <c r="O83" s="927">
        <v>317.91000000000003</v>
      </c>
      <c r="P83" s="927">
        <v>317.91000000000003</v>
      </c>
      <c r="Q83" s="927">
        <v>317.91000000000003</v>
      </c>
      <c r="R83" s="927">
        <v>317.91000000000003</v>
      </c>
      <c r="S83" s="927">
        <v>3761.119999999999</v>
      </c>
      <c r="T83" s="926"/>
      <c r="U83" s="934">
        <f t="shared" si="31"/>
        <v>0.93287974683544306</v>
      </c>
      <c r="V83" s="934">
        <f t="shared" si="32"/>
        <v>0.93287974683544306</v>
      </c>
      <c r="W83" s="934">
        <f t="shared" si="33"/>
        <v>1.0000632911392404</v>
      </c>
      <c r="X83" s="934">
        <f t="shared" si="34"/>
        <v>1.0000632911392404</v>
      </c>
      <c r="Y83" s="934">
        <f t="shared" si="35"/>
        <v>1.0000632911392404</v>
      </c>
      <c r="Z83" s="934">
        <f t="shared" si="36"/>
        <v>0.99405492120411421</v>
      </c>
      <c r="AA83" s="934">
        <f t="shared" si="37"/>
        <v>1</v>
      </c>
      <c r="AB83" s="934">
        <f t="shared" si="38"/>
        <v>1</v>
      </c>
      <c r="AC83" s="934">
        <f t="shared" si="39"/>
        <v>1</v>
      </c>
      <c r="AD83" s="934">
        <f t="shared" si="40"/>
        <v>1</v>
      </c>
      <c r="AE83" s="934">
        <f t="shared" si="41"/>
        <v>1</v>
      </c>
      <c r="AF83" s="934">
        <f t="shared" si="42"/>
        <v>1</v>
      </c>
      <c r="AG83" s="934">
        <f t="shared" si="43"/>
        <v>11.860004288292721</v>
      </c>
      <c r="AH83" s="939">
        <f t="shared" si="44"/>
        <v>0.98833369069106014</v>
      </c>
      <c r="AI83" s="950"/>
      <c r="AM83" s="947"/>
      <c r="AN83" s="930"/>
      <c r="AQ83" s="928">
        <v>0.98833369069106014</v>
      </c>
      <c r="AS83" s="938">
        <f t="shared" ca="1" si="45"/>
        <v>336.54792501049792</v>
      </c>
      <c r="AT83" s="937">
        <f t="shared" ca="1" si="46"/>
        <v>3991.4598338405226</v>
      </c>
      <c r="AU83" s="937"/>
      <c r="AV83" s="936">
        <f t="shared" ca="1" si="47"/>
        <v>230.33983384052362</v>
      </c>
      <c r="BE83" s="928">
        <f t="shared" si="28"/>
        <v>0</v>
      </c>
      <c r="BF83" s="925">
        <v>1</v>
      </c>
      <c r="BG83" s="928">
        <f t="shared" si="29"/>
        <v>0.98833369069106014</v>
      </c>
      <c r="BI83" s="928">
        <f t="shared" si="30"/>
        <v>0</v>
      </c>
    </row>
    <row r="84" spans="1:61" s="925" customFormat="1" ht="12" customHeight="1">
      <c r="A84" s="914" t="s">
        <v>1580</v>
      </c>
      <c r="B84" s="914" t="s">
        <v>1581</v>
      </c>
      <c r="C84" s="926">
        <v>474.01</v>
      </c>
      <c r="D84" s="926">
        <v>476.86</v>
      </c>
      <c r="E84" s="926"/>
      <c r="F84" s="926"/>
      <c r="G84" s="927">
        <v>4421.7</v>
      </c>
      <c r="H84" s="927">
        <v>4485.38</v>
      </c>
      <c r="I84" s="927">
        <v>4740.26</v>
      </c>
      <c r="J84" s="927">
        <v>4740.26</v>
      </c>
      <c r="K84" s="927">
        <v>4740.26</v>
      </c>
      <c r="L84" s="927">
        <v>4740.26</v>
      </c>
      <c r="M84" s="927">
        <v>4762.8999999999996</v>
      </c>
      <c r="N84" s="927">
        <v>4762.8999999999996</v>
      </c>
      <c r="O84" s="927">
        <v>4762.8999999999996</v>
      </c>
      <c r="P84" s="927">
        <v>4762.8999999999996</v>
      </c>
      <c r="Q84" s="927">
        <v>4762.8999999999996</v>
      </c>
      <c r="R84" s="927">
        <v>4762.8999999999996</v>
      </c>
      <c r="S84" s="927">
        <v>56445.520000000011</v>
      </c>
      <c r="T84" s="926"/>
      <c r="U84" s="934">
        <f t="shared" si="31"/>
        <v>9.3282842134132196</v>
      </c>
      <c r="V84" s="934">
        <f t="shared" si="32"/>
        <v>9.4626273707305764</v>
      </c>
      <c r="W84" s="934">
        <f t="shared" si="33"/>
        <v>10.000337545621401</v>
      </c>
      <c r="X84" s="934">
        <f t="shared" si="34"/>
        <v>10.000337545621401</v>
      </c>
      <c r="Y84" s="934">
        <f t="shared" si="35"/>
        <v>10.000337545621401</v>
      </c>
      <c r="Z84" s="934">
        <f t="shared" si="36"/>
        <v>9.9405695591997656</v>
      </c>
      <c r="AA84" s="934">
        <f t="shared" si="37"/>
        <v>9.9880468061904946</v>
      </c>
      <c r="AB84" s="934">
        <f t="shared" si="38"/>
        <v>9.9880468061904946</v>
      </c>
      <c r="AC84" s="934">
        <f t="shared" si="39"/>
        <v>9.9880468061904946</v>
      </c>
      <c r="AD84" s="934">
        <f t="shared" si="40"/>
        <v>9.9880468061904946</v>
      </c>
      <c r="AE84" s="934">
        <f t="shared" si="41"/>
        <v>9.9880468061904946</v>
      </c>
      <c r="AF84" s="934">
        <f t="shared" si="42"/>
        <v>9.9880468061904946</v>
      </c>
      <c r="AG84" s="934">
        <f t="shared" si="43"/>
        <v>118.66077461735074</v>
      </c>
      <c r="AH84" s="939">
        <f t="shared" si="44"/>
        <v>9.8883978847792289</v>
      </c>
      <c r="AI84" s="950"/>
      <c r="AM84" s="947"/>
      <c r="AN84" s="930"/>
      <c r="AQ84" s="928">
        <v>9.8883978847792289</v>
      </c>
      <c r="AS84" s="938">
        <f t="shared" ca="1" si="45"/>
        <v>504.81659438364949</v>
      </c>
      <c r="AT84" s="937">
        <f t="shared" ca="1" si="46"/>
        <v>59901.928129256798</v>
      </c>
      <c r="AU84" s="937"/>
      <c r="AV84" s="936">
        <f t="shared" ca="1" si="47"/>
        <v>3456.4081292567862</v>
      </c>
      <c r="BE84" s="928">
        <f t="shared" si="28"/>
        <v>0</v>
      </c>
      <c r="BF84" s="925">
        <v>1</v>
      </c>
      <c r="BG84" s="928">
        <f t="shared" si="29"/>
        <v>9.8883978847792289</v>
      </c>
      <c r="BI84" s="928">
        <f t="shared" si="30"/>
        <v>0</v>
      </c>
    </row>
    <row r="85" spans="1:61" s="925" customFormat="1" ht="12" customHeight="1">
      <c r="A85" s="914" t="s">
        <v>1582</v>
      </c>
      <c r="B85" s="914" t="s">
        <v>1583</v>
      </c>
      <c r="C85" s="926">
        <v>225.55</v>
      </c>
      <c r="D85" s="926">
        <v>226.89</v>
      </c>
      <c r="E85" s="926"/>
      <c r="F85" s="926"/>
      <c r="G85" s="927">
        <v>667.09</v>
      </c>
      <c r="H85" s="927">
        <v>714.99</v>
      </c>
      <c r="I85" s="927">
        <v>714.99</v>
      </c>
      <c r="J85" s="927">
        <v>1202.18</v>
      </c>
      <c r="K85" s="927">
        <v>1202.18</v>
      </c>
      <c r="L85" s="927">
        <v>1209.32</v>
      </c>
      <c r="M85" s="927">
        <v>1209.32</v>
      </c>
      <c r="N85" s="927">
        <v>1209.32</v>
      </c>
      <c r="O85" s="927">
        <v>1209.32</v>
      </c>
      <c r="P85" s="927">
        <v>1209.32</v>
      </c>
      <c r="Q85" s="927">
        <v>1209.32</v>
      </c>
      <c r="R85" s="927">
        <v>1209.32</v>
      </c>
      <c r="S85" s="927">
        <v>12966.669999999998</v>
      </c>
      <c r="T85" s="926"/>
      <c r="U85" s="934">
        <f t="shared" si="31"/>
        <v>2.9576147195743738</v>
      </c>
      <c r="V85" s="934">
        <f t="shared" si="32"/>
        <v>3.1699844823764129</v>
      </c>
      <c r="W85" s="934">
        <f t="shared" si="33"/>
        <v>3.1699844823764129</v>
      </c>
      <c r="X85" s="934">
        <f t="shared" si="34"/>
        <v>5.3299933495898912</v>
      </c>
      <c r="Y85" s="934">
        <f t="shared" si="35"/>
        <v>5.3299933495898912</v>
      </c>
      <c r="Z85" s="934">
        <f t="shared" si="36"/>
        <v>5.3299836925382342</v>
      </c>
      <c r="AA85" s="934">
        <f t="shared" si="37"/>
        <v>5.3299836925382342</v>
      </c>
      <c r="AB85" s="934">
        <f t="shared" si="38"/>
        <v>5.3299836925382342</v>
      </c>
      <c r="AC85" s="934">
        <f t="shared" si="39"/>
        <v>5.3299836925382342</v>
      </c>
      <c r="AD85" s="934">
        <f t="shared" si="40"/>
        <v>5.3299836925382342</v>
      </c>
      <c r="AE85" s="934">
        <f t="shared" si="41"/>
        <v>5.3299836925382342</v>
      </c>
      <c r="AF85" s="934">
        <f t="shared" si="42"/>
        <v>5.3299836925382342</v>
      </c>
      <c r="AG85" s="934">
        <f t="shared" si="43"/>
        <v>57.267456231274629</v>
      </c>
      <c r="AH85" s="939">
        <f t="shared" si="44"/>
        <v>4.772288019272886</v>
      </c>
      <c r="AI85" s="950"/>
      <c r="AM85" s="947"/>
      <c r="AN85" s="930"/>
      <c r="AQ85" s="928">
        <v>4.772288019272886</v>
      </c>
      <c r="AS85" s="938">
        <f t="shared" ca="1" si="45"/>
        <v>240.19174831125744</v>
      </c>
      <c r="AT85" s="937">
        <f t="shared" ca="1" si="46"/>
        <v>13755.170433528268</v>
      </c>
      <c r="AU85" s="937"/>
      <c r="AV85" s="936">
        <f t="shared" ca="1" si="47"/>
        <v>788.50043352827015</v>
      </c>
      <c r="BE85" s="928">
        <f t="shared" si="28"/>
        <v>0</v>
      </c>
      <c r="BF85" s="925">
        <v>1</v>
      </c>
      <c r="BG85" s="928">
        <f t="shared" si="29"/>
        <v>4.772288019272886</v>
      </c>
      <c r="BI85" s="928">
        <f t="shared" si="30"/>
        <v>0</v>
      </c>
    </row>
    <row r="86" spans="1:61" s="925" customFormat="1" ht="12" customHeight="1">
      <c r="A86" s="914" t="s">
        <v>1584</v>
      </c>
      <c r="B86" s="914" t="s">
        <v>1585</v>
      </c>
      <c r="C86" s="926">
        <v>11.72</v>
      </c>
      <c r="D86" s="926">
        <v>11.79</v>
      </c>
      <c r="E86" s="926"/>
      <c r="F86" s="926"/>
      <c r="G86" s="927">
        <v>0</v>
      </c>
      <c r="H86" s="927">
        <v>0</v>
      </c>
      <c r="I86" s="927">
        <v>0</v>
      </c>
      <c r="J86" s="927">
        <v>0</v>
      </c>
      <c r="K86" s="927">
        <v>0</v>
      </c>
      <c r="L86" s="927">
        <v>23.44</v>
      </c>
      <c r="M86" s="927">
        <v>0</v>
      </c>
      <c r="N86" s="927">
        <v>0</v>
      </c>
      <c r="O86" s="927">
        <v>0</v>
      </c>
      <c r="P86" s="927">
        <v>0</v>
      </c>
      <c r="Q86" s="927">
        <v>0</v>
      </c>
      <c r="R86" s="927">
        <v>0</v>
      </c>
      <c r="S86" s="927">
        <v>23.44</v>
      </c>
      <c r="T86" s="926"/>
      <c r="U86" s="934">
        <f t="shared" si="31"/>
        <v>0</v>
      </c>
      <c r="V86" s="934">
        <f t="shared" si="32"/>
        <v>0</v>
      </c>
      <c r="W86" s="934">
        <f t="shared" si="33"/>
        <v>0</v>
      </c>
      <c r="X86" s="934">
        <f t="shared" si="34"/>
        <v>0</v>
      </c>
      <c r="Y86" s="934">
        <f t="shared" si="35"/>
        <v>0</v>
      </c>
      <c r="Z86" s="934">
        <f t="shared" si="36"/>
        <v>1.9881255301102632</v>
      </c>
      <c r="AA86" s="934">
        <f t="shared" si="37"/>
        <v>0</v>
      </c>
      <c r="AB86" s="934">
        <f t="shared" si="38"/>
        <v>0</v>
      </c>
      <c r="AC86" s="934">
        <f t="shared" si="39"/>
        <v>0</v>
      </c>
      <c r="AD86" s="934">
        <f t="shared" si="40"/>
        <v>0</v>
      </c>
      <c r="AE86" s="934">
        <f t="shared" si="41"/>
        <v>0</v>
      </c>
      <c r="AF86" s="934">
        <f t="shared" si="42"/>
        <v>0</v>
      </c>
      <c r="AG86" s="934">
        <f t="shared" si="43"/>
        <v>1.9881255301102632</v>
      </c>
      <c r="AH86" s="939">
        <f t="shared" si="44"/>
        <v>0.16567712750918859</v>
      </c>
      <c r="AI86" s="950"/>
      <c r="AM86" s="947"/>
      <c r="AN86" s="930"/>
      <c r="AQ86" s="928">
        <v>0.16567712750918859</v>
      </c>
      <c r="AS86" s="938">
        <f t="shared" ca="1" si="45"/>
        <v>12.481205485432259</v>
      </c>
      <c r="AT86" s="937">
        <f t="shared" ca="1" si="46"/>
        <v>24.814203272140134</v>
      </c>
      <c r="AU86" s="937"/>
      <c r="AV86" s="936">
        <f t="shared" ca="1" si="47"/>
        <v>1.3742032721401323</v>
      </c>
      <c r="BE86" s="928">
        <f t="shared" si="28"/>
        <v>0</v>
      </c>
      <c r="BG86" s="928">
        <f t="shared" si="29"/>
        <v>0</v>
      </c>
      <c r="BI86" s="928">
        <f t="shared" si="30"/>
        <v>0</v>
      </c>
    </row>
    <row r="87" spans="1:61" s="925" customFormat="1" ht="12" customHeight="1">
      <c r="A87" s="914" t="s">
        <v>1586</v>
      </c>
      <c r="B87" s="914" t="s">
        <v>1587</v>
      </c>
      <c r="C87" s="926">
        <v>11.72</v>
      </c>
      <c r="D87" s="926">
        <v>11.79</v>
      </c>
      <c r="E87" s="926"/>
      <c r="F87" s="926"/>
      <c r="G87" s="927">
        <v>459.06</v>
      </c>
      <c r="H87" s="927">
        <v>545.31000000000006</v>
      </c>
      <c r="I87" s="927">
        <v>689.9</v>
      </c>
      <c r="J87" s="927">
        <v>855.56000000000006</v>
      </c>
      <c r="K87" s="927">
        <v>597.72</v>
      </c>
      <c r="L87" s="927">
        <v>471.25</v>
      </c>
      <c r="M87" s="927">
        <v>544.81999999999994</v>
      </c>
      <c r="N87" s="927">
        <v>377.28</v>
      </c>
      <c r="O87" s="927">
        <v>341.91</v>
      </c>
      <c r="P87" s="927">
        <v>165.06</v>
      </c>
      <c r="Q87" s="927">
        <v>271.17</v>
      </c>
      <c r="R87" s="927">
        <v>471.6</v>
      </c>
      <c r="S87" s="927">
        <v>5790.64</v>
      </c>
      <c r="T87" s="926"/>
      <c r="U87" s="934">
        <f t="shared" si="31"/>
        <v>39.168941979522181</v>
      </c>
      <c r="V87" s="934">
        <f t="shared" si="32"/>
        <v>46.528156996587036</v>
      </c>
      <c r="W87" s="934">
        <f t="shared" si="33"/>
        <v>58.865187713310576</v>
      </c>
      <c r="X87" s="934">
        <f t="shared" si="34"/>
        <v>73</v>
      </c>
      <c r="Y87" s="934">
        <f t="shared" si="35"/>
        <v>51</v>
      </c>
      <c r="Z87" s="934">
        <f t="shared" si="36"/>
        <v>39.97031382527566</v>
      </c>
      <c r="AA87" s="934">
        <f t="shared" si="37"/>
        <v>46.210347752332481</v>
      </c>
      <c r="AB87" s="934">
        <f t="shared" si="38"/>
        <v>32</v>
      </c>
      <c r="AC87" s="934">
        <f t="shared" si="39"/>
        <v>29.000000000000004</v>
      </c>
      <c r="AD87" s="934">
        <f t="shared" si="40"/>
        <v>14.000000000000002</v>
      </c>
      <c r="AE87" s="934">
        <f t="shared" si="41"/>
        <v>23.000000000000004</v>
      </c>
      <c r="AF87" s="934">
        <f t="shared" si="42"/>
        <v>40.000000000000007</v>
      </c>
      <c r="AG87" s="934">
        <f t="shared" si="43"/>
        <v>492.74294826702794</v>
      </c>
      <c r="AH87" s="939">
        <f t="shared" si="44"/>
        <v>41.061912355585662</v>
      </c>
      <c r="AI87" s="950"/>
      <c r="AM87" s="947"/>
      <c r="AN87" s="930"/>
      <c r="AQ87" s="928">
        <v>41.061912355585662</v>
      </c>
      <c r="AS87" s="938">
        <f t="shared" ca="1" si="45"/>
        <v>12.481205485432259</v>
      </c>
      <c r="AT87" s="937">
        <f t="shared" ca="1" si="46"/>
        <v>6150.0259888184937</v>
      </c>
      <c r="AU87" s="937"/>
      <c r="AV87" s="936">
        <f t="shared" ca="1" si="47"/>
        <v>359.38598881849339</v>
      </c>
      <c r="BE87" s="928">
        <f t="shared" si="28"/>
        <v>0</v>
      </c>
      <c r="BG87" s="928">
        <f t="shared" si="29"/>
        <v>0</v>
      </c>
      <c r="BI87" s="928">
        <f t="shared" si="30"/>
        <v>0</v>
      </c>
    </row>
    <row r="88" spans="1:61" s="925" customFormat="1" ht="12" customHeight="1">
      <c r="A88" s="914" t="s">
        <v>1588</v>
      </c>
      <c r="B88" s="914" t="s">
        <v>1589</v>
      </c>
      <c r="C88" s="926">
        <v>21.53</v>
      </c>
      <c r="D88" s="926">
        <v>21.66</v>
      </c>
      <c r="E88" s="926"/>
      <c r="F88" s="926"/>
      <c r="G88" s="927">
        <v>20.09</v>
      </c>
      <c r="H88" s="927">
        <v>43.06</v>
      </c>
      <c r="I88" s="927">
        <v>43.06</v>
      </c>
      <c r="J88" s="927">
        <v>21.53</v>
      </c>
      <c r="K88" s="927">
        <v>43.06</v>
      </c>
      <c r="L88" s="927">
        <v>626.48</v>
      </c>
      <c r="M88" s="927">
        <v>346.56</v>
      </c>
      <c r="N88" s="927">
        <v>0</v>
      </c>
      <c r="O88" s="927">
        <v>0</v>
      </c>
      <c r="P88" s="927">
        <v>0</v>
      </c>
      <c r="Q88" s="927">
        <v>0</v>
      </c>
      <c r="R88" s="927">
        <v>0</v>
      </c>
      <c r="S88" s="927">
        <v>1143.8399999999999</v>
      </c>
      <c r="T88" s="926"/>
      <c r="U88" s="934">
        <f t="shared" si="31"/>
        <v>0.93311658151416621</v>
      </c>
      <c r="V88" s="934">
        <f t="shared" si="32"/>
        <v>2</v>
      </c>
      <c r="W88" s="934">
        <f t="shared" si="33"/>
        <v>2</v>
      </c>
      <c r="X88" s="934">
        <f t="shared" si="34"/>
        <v>1</v>
      </c>
      <c r="Y88" s="934">
        <f t="shared" si="35"/>
        <v>2</v>
      </c>
      <c r="Z88" s="934">
        <f t="shared" si="36"/>
        <v>28.923361034164358</v>
      </c>
      <c r="AA88" s="934">
        <f t="shared" si="37"/>
        <v>16</v>
      </c>
      <c r="AB88" s="934">
        <f t="shared" si="38"/>
        <v>0</v>
      </c>
      <c r="AC88" s="934">
        <f t="shared" si="39"/>
        <v>0</v>
      </c>
      <c r="AD88" s="934">
        <f t="shared" si="40"/>
        <v>0</v>
      </c>
      <c r="AE88" s="934">
        <f t="shared" si="41"/>
        <v>0</v>
      </c>
      <c r="AF88" s="934">
        <f t="shared" si="42"/>
        <v>0</v>
      </c>
      <c r="AG88" s="934">
        <f t="shared" si="43"/>
        <v>52.856477615678529</v>
      </c>
      <c r="AH88" s="939">
        <f t="shared" si="44"/>
        <v>4.4047064679732104</v>
      </c>
      <c r="AI88" s="950"/>
      <c r="AM88" s="930"/>
      <c r="AN88" s="952"/>
      <c r="AQ88" s="928">
        <v>4.4047064679732104</v>
      </c>
      <c r="AS88" s="938">
        <f t="shared" ca="1" si="45"/>
        <v>22.929848245501507</v>
      </c>
      <c r="AT88" s="937">
        <f t="shared" ca="1" si="46"/>
        <v>1211.991010519256</v>
      </c>
      <c r="AU88" s="937"/>
      <c r="AV88" s="936">
        <f t="shared" ca="1" si="47"/>
        <v>68.151010519256033</v>
      </c>
      <c r="BE88" s="928">
        <f t="shared" ref="BE88:BE119" si="48">$AQ88*$BD88</f>
        <v>0</v>
      </c>
      <c r="BG88" s="928">
        <f t="shared" ref="BG88:BG119" si="49">$AQ88*$BF88</f>
        <v>0</v>
      </c>
      <c r="BI88" s="928">
        <f t="shared" ref="BI88:BI119" si="50">$AQ88*$BH88</f>
        <v>0</v>
      </c>
    </row>
    <row r="89" spans="1:61" s="925" customFormat="1" ht="12" customHeight="1">
      <c r="A89" s="914" t="s">
        <v>1590</v>
      </c>
      <c r="B89" s="914" t="s">
        <v>1591</v>
      </c>
      <c r="C89" s="926">
        <v>27.96</v>
      </c>
      <c r="D89" s="926">
        <v>28.13</v>
      </c>
      <c r="E89" s="926"/>
      <c r="F89" s="926"/>
      <c r="G89" s="927">
        <v>0</v>
      </c>
      <c r="H89" s="927">
        <v>0</v>
      </c>
      <c r="I89" s="927">
        <v>83.88</v>
      </c>
      <c r="J89" s="927">
        <v>55.92</v>
      </c>
      <c r="K89" s="927">
        <v>0</v>
      </c>
      <c r="L89" s="927">
        <v>0</v>
      </c>
      <c r="M89" s="927">
        <v>0</v>
      </c>
      <c r="N89" s="927">
        <v>0</v>
      </c>
      <c r="O89" s="927">
        <v>0</v>
      </c>
      <c r="P89" s="927">
        <v>0</v>
      </c>
      <c r="Q89" s="927">
        <v>0</v>
      </c>
      <c r="R89" s="927">
        <v>112.52</v>
      </c>
      <c r="S89" s="927">
        <v>252.32</v>
      </c>
      <c r="T89" s="926"/>
      <c r="U89" s="934">
        <f t="shared" si="31"/>
        <v>0</v>
      </c>
      <c r="V89" s="934">
        <f t="shared" si="32"/>
        <v>0</v>
      </c>
      <c r="W89" s="934">
        <f t="shared" si="33"/>
        <v>2.9999999999999996</v>
      </c>
      <c r="X89" s="934">
        <f t="shared" si="34"/>
        <v>2</v>
      </c>
      <c r="Y89" s="934">
        <f t="shared" si="35"/>
        <v>0</v>
      </c>
      <c r="Z89" s="934">
        <f t="shared" si="36"/>
        <v>0</v>
      </c>
      <c r="AA89" s="934">
        <f t="shared" si="37"/>
        <v>0</v>
      </c>
      <c r="AB89" s="934">
        <f t="shared" si="38"/>
        <v>0</v>
      </c>
      <c r="AC89" s="934">
        <f t="shared" si="39"/>
        <v>0</v>
      </c>
      <c r="AD89" s="934">
        <f t="shared" si="40"/>
        <v>0</v>
      </c>
      <c r="AE89" s="934">
        <f t="shared" si="41"/>
        <v>0</v>
      </c>
      <c r="AF89" s="934">
        <f t="shared" si="42"/>
        <v>4</v>
      </c>
      <c r="AG89" s="934">
        <f t="shared" si="43"/>
        <v>9</v>
      </c>
      <c r="AH89" s="939">
        <f t="shared" si="44"/>
        <v>0.75</v>
      </c>
      <c r="AI89" s="950"/>
      <c r="AM89" s="947"/>
      <c r="AN89" s="930"/>
      <c r="AQ89" s="928">
        <v>0.75</v>
      </c>
      <c r="AS89" s="938">
        <f t="shared" ca="1" si="45"/>
        <v>29.77916117940708</v>
      </c>
      <c r="AT89" s="937">
        <f t="shared" ca="1" si="46"/>
        <v>268.01245061466369</v>
      </c>
      <c r="AU89" s="937"/>
      <c r="AV89" s="936">
        <f t="shared" ca="1" si="47"/>
        <v>15.692450614663699</v>
      </c>
      <c r="BE89" s="928">
        <f t="shared" si="48"/>
        <v>0</v>
      </c>
      <c r="BG89" s="928">
        <f t="shared" si="49"/>
        <v>0</v>
      </c>
      <c r="BI89" s="928">
        <f t="shared" si="50"/>
        <v>0</v>
      </c>
    </row>
    <row r="90" spans="1:61" s="925" customFormat="1" ht="12" customHeight="1">
      <c r="A90" s="914" t="s">
        <v>1592</v>
      </c>
      <c r="B90" s="914" t="s">
        <v>1593</v>
      </c>
      <c r="C90" s="926">
        <v>33.520000000000003</v>
      </c>
      <c r="D90" s="926">
        <v>33.72</v>
      </c>
      <c r="E90" s="926"/>
      <c r="F90" s="926"/>
      <c r="G90" s="927">
        <v>125.08</v>
      </c>
      <c r="H90" s="927">
        <v>33.520000000000003</v>
      </c>
      <c r="I90" s="927">
        <v>201.12</v>
      </c>
      <c r="J90" s="927">
        <v>429.38</v>
      </c>
      <c r="K90" s="927">
        <v>299.94</v>
      </c>
      <c r="L90" s="927">
        <v>2832.48</v>
      </c>
      <c r="M90" s="927">
        <v>1787.16</v>
      </c>
      <c r="N90" s="927">
        <v>0</v>
      </c>
      <c r="O90" s="927">
        <v>0</v>
      </c>
      <c r="P90" s="927">
        <v>0</v>
      </c>
      <c r="Q90" s="927">
        <v>0</v>
      </c>
      <c r="R90" s="927">
        <v>0</v>
      </c>
      <c r="S90" s="927">
        <v>5708.68</v>
      </c>
      <c r="T90" s="926"/>
      <c r="U90" s="934">
        <f t="shared" si="31"/>
        <v>3.7315035799522671</v>
      </c>
      <c r="V90" s="934">
        <f t="shared" si="32"/>
        <v>1</v>
      </c>
      <c r="W90" s="934">
        <f t="shared" si="33"/>
        <v>6</v>
      </c>
      <c r="X90" s="934">
        <f t="shared" si="34"/>
        <v>12.809665871121718</v>
      </c>
      <c r="Y90" s="934">
        <f t="shared" si="35"/>
        <v>8.9480906921241044</v>
      </c>
      <c r="Z90" s="934">
        <f t="shared" si="36"/>
        <v>84</v>
      </c>
      <c r="AA90" s="934">
        <f t="shared" si="37"/>
        <v>53.000000000000007</v>
      </c>
      <c r="AB90" s="934">
        <f t="shared" si="38"/>
        <v>0</v>
      </c>
      <c r="AC90" s="934">
        <f t="shared" si="39"/>
        <v>0</v>
      </c>
      <c r="AD90" s="934">
        <f t="shared" si="40"/>
        <v>0</v>
      </c>
      <c r="AE90" s="934">
        <f t="shared" si="41"/>
        <v>0</v>
      </c>
      <c r="AF90" s="934">
        <f t="shared" si="42"/>
        <v>0</v>
      </c>
      <c r="AG90" s="934">
        <f t="shared" si="43"/>
        <v>169.48926014319809</v>
      </c>
      <c r="AH90" s="939">
        <f t="shared" si="44"/>
        <v>14.124105011933175</v>
      </c>
      <c r="AI90" s="950"/>
      <c r="AM90" s="947"/>
      <c r="AN90" s="930"/>
      <c r="AQ90" s="928">
        <v>14.124105011933175</v>
      </c>
      <c r="AS90" s="938">
        <f t="shared" ca="1" si="45"/>
        <v>35.696882864187941</v>
      </c>
      <c r="AT90" s="937">
        <f t="shared" ca="1" si="46"/>
        <v>6050.2382660696203</v>
      </c>
      <c r="AU90" s="937"/>
      <c r="AV90" s="936">
        <f t="shared" ca="1" si="47"/>
        <v>341.55826606962</v>
      </c>
      <c r="BE90" s="928">
        <f t="shared" si="48"/>
        <v>0</v>
      </c>
      <c r="BG90" s="928">
        <f t="shared" si="49"/>
        <v>0</v>
      </c>
      <c r="BI90" s="928">
        <f t="shared" si="50"/>
        <v>0</v>
      </c>
    </row>
    <row r="91" spans="1:61" s="925" customFormat="1" ht="12" customHeight="1">
      <c r="A91" s="914" t="s">
        <v>1594</v>
      </c>
      <c r="B91" s="914" t="s">
        <v>1595</v>
      </c>
      <c r="C91" s="926">
        <v>7.19</v>
      </c>
      <c r="D91" s="926">
        <v>7.23</v>
      </c>
      <c r="E91" s="926"/>
      <c r="F91" s="926"/>
      <c r="G91" s="927">
        <v>10043.380000000001</v>
      </c>
      <c r="H91" s="927">
        <v>11010.55</v>
      </c>
      <c r="I91" s="927">
        <v>11013.279999999999</v>
      </c>
      <c r="J91" s="927">
        <v>9352.84</v>
      </c>
      <c r="K91" s="927">
        <v>9145.2000000000007</v>
      </c>
      <c r="L91" s="927">
        <v>9070.02</v>
      </c>
      <c r="M91" s="927">
        <v>9046.5300000000007</v>
      </c>
      <c r="N91" s="927">
        <v>9044.73</v>
      </c>
      <c r="O91" s="927">
        <v>9044.73</v>
      </c>
      <c r="P91" s="927">
        <v>9044.73</v>
      </c>
      <c r="Q91" s="927">
        <v>9051.9599999999991</v>
      </c>
      <c r="R91" s="927">
        <v>8647.08</v>
      </c>
      <c r="S91" s="927">
        <v>113515.02999999998</v>
      </c>
      <c r="T91" s="926"/>
      <c r="U91" s="934">
        <f t="shared" si="31"/>
        <v>1396.8539638386649</v>
      </c>
      <c r="V91" s="934">
        <f t="shared" si="32"/>
        <v>1531.3699582753823</v>
      </c>
      <c r="W91" s="934">
        <f t="shared" si="33"/>
        <v>1531.7496522948538</v>
      </c>
      <c r="X91" s="934">
        <f t="shared" si="34"/>
        <v>1300.8122392211403</v>
      </c>
      <c r="Y91" s="934">
        <f t="shared" si="35"/>
        <v>1271.9332406119611</v>
      </c>
      <c r="Z91" s="934">
        <f t="shared" si="36"/>
        <v>1254.4979253112033</v>
      </c>
      <c r="AA91" s="934">
        <f t="shared" si="37"/>
        <v>1251.2489626556016</v>
      </c>
      <c r="AB91" s="934">
        <f t="shared" si="38"/>
        <v>1250.9999999999998</v>
      </c>
      <c r="AC91" s="934">
        <f t="shared" si="39"/>
        <v>1250.9999999999998</v>
      </c>
      <c r="AD91" s="934">
        <f t="shared" si="40"/>
        <v>1250.9999999999998</v>
      </c>
      <c r="AE91" s="934">
        <f t="shared" si="41"/>
        <v>1251.9999999999998</v>
      </c>
      <c r="AF91" s="934">
        <f t="shared" si="42"/>
        <v>1196</v>
      </c>
      <c r="AG91" s="934">
        <f t="shared" si="43"/>
        <v>15739.465942208808</v>
      </c>
      <c r="AH91" s="939">
        <f t="shared" si="44"/>
        <v>1311.6221618507341</v>
      </c>
      <c r="AI91" s="950"/>
      <c r="AM91" s="947"/>
      <c r="AN91" s="930"/>
      <c r="AP91" s="927">
        <v>-922</v>
      </c>
      <c r="AQ91" s="928">
        <v>389.62216185073407</v>
      </c>
      <c r="AS91" s="938">
        <f t="shared" ca="1" si="45"/>
        <v>7.6538690126951012</v>
      </c>
      <c r="AT91" s="937">
        <f t="shared" ca="1" si="46"/>
        <v>35785.403894983305</v>
      </c>
      <c r="AU91" s="937"/>
      <c r="AV91" s="936">
        <f t="shared" ca="1" si="47"/>
        <v>-77729.62610501668</v>
      </c>
      <c r="BE91" s="928">
        <f t="shared" si="48"/>
        <v>0</v>
      </c>
      <c r="BG91" s="928">
        <f t="shared" si="49"/>
        <v>0</v>
      </c>
      <c r="BI91" s="928">
        <f t="shared" si="50"/>
        <v>0</v>
      </c>
    </row>
    <row r="92" spans="1:61" s="925" customFormat="1" ht="12" customHeight="1">
      <c r="A92" s="914" t="s">
        <v>1596</v>
      </c>
      <c r="B92" s="914" t="s">
        <v>1597</v>
      </c>
      <c r="C92" s="926">
        <v>14.38</v>
      </c>
      <c r="D92" s="926">
        <v>14.46</v>
      </c>
      <c r="E92" s="926"/>
      <c r="F92" s="926"/>
      <c r="G92" s="927">
        <v>187.88</v>
      </c>
      <c r="H92" s="927">
        <v>166.33</v>
      </c>
      <c r="I92" s="927">
        <v>-61.579999999999984</v>
      </c>
      <c r="J92" s="927">
        <v>176.15</v>
      </c>
      <c r="K92" s="927">
        <v>186.94</v>
      </c>
      <c r="L92" s="927">
        <v>177.13</v>
      </c>
      <c r="M92" s="927">
        <v>173.52</v>
      </c>
      <c r="N92" s="927">
        <v>173.52</v>
      </c>
      <c r="O92" s="927">
        <v>166.29000000000002</v>
      </c>
      <c r="P92" s="927">
        <v>130.14000000000001</v>
      </c>
      <c r="Q92" s="927">
        <v>130.14000000000001</v>
      </c>
      <c r="R92" s="927">
        <v>130.14000000000001</v>
      </c>
      <c r="S92" s="927">
        <v>1736.6000000000004</v>
      </c>
      <c r="T92" s="926"/>
      <c r="U92" s="934">
        <f t="shared" si="31"/>
        <v>13.065368567454797</v>
      </c>
      <c r="V92" s="934">
        <f t="shared" si="32"/>
        <v>11.566759388038943</v>
      </c>
      <c r="W92" s="934">
        <f t="shared" si="33"/>
        <v>-4.2823365785813614</v>
      </c>
      <c r="X92" s="934">
        <f t="shared" si="34"/>
        <v>12.249652294853963</v>
      </c>
      <c r="Y92" s="934">
        <f t="shared" si="35"/>
        <v>13</v>
      </c>
      <c r="Z92" s="934">
        <f t="shared" si="36"/>
        <v>12.249654218533886</v>
      </c>
      <c r="AA92" s="934">
        <f t="shared" si="37"/>
        <v>12</v>
      </c>
      <c r="AB92" s="934">
        <f t="shared" si="38"/>
        <v>12</v>
      </c>
      <c r="AC92" s="934">
        <f t="shared" si="39"/>
        <v>11.5</v>
      </c>
      <c r="AD92" s="934">
        <f t="shared" si="40"/>
        <v>9</v>
      </c>
      <c r="AE92" s="934">
        <f t="shared" si="41"/>
        <v>9</v>
      </c>
      <c r="AF92" s="934">
        <f t="shared" si="42"/>
        <v>9</v>
      </c>
      <c r="AG92" s="934">
        <f t="shared" ref="AG92:AG123" si="51">+SUM(U92:AF92)</f>
        <v>120.34909789030021</v>
      </c>
      <c r="AH92" s="939">
        <f t="shared" ref="AH92:AH123" si="52">SUM(U92:AF92)/12</f>
        <v>10.029091490858351</v>
      </c>
      <c r="AI92" s="950"/>
      <c r="AM92" s="947"/>
      <c r="AN92" s="930"/>
      <c r="AQ92" s="928">
        <v>10.029091490858351</v>
      </c>
      <c r="AS92" s="938">
        <f t="shared" ref="AS92:AS123" ca="1" si="53">D92*(1+$BA$2)</f>
        <v>15.307738025390202</v>
      </c>
      <c r="AT92" s="937">
        <f t="shared" ref="AT92:AT123" ca="1" si="54">AQ92*AS92*12</f>
        <v>1842.272462096756</v>
      </c>
      <c r="AU92" s="937"/>
      <c r="AV92" s="936">
        <f t="shared" ref="AV92:AV123" ca="1" si="55">AT92+AU92-S92</f>
        <v>105.67246209675568</v>
      </c>
      <c r="BE92" s="928">
        <f t="shared" si="48"/>
        <v>0</v>
      </c>
      <c r="BG92" s="928">
        <f t="shared" si="49"/>
        <v>0</v>
      </c>
      <c r="BI92" s="928">
        <f t="shared" si="50"/>
        <v>0</v>
      </c>
    </row>
    <row r="93" spans="1:61" s="925" customFormat="1" ht="12" customHeight="1">
      <c r="A93" s="914" t="s">
        <v>1598</v>
      </c>
      <c r="B93" s="914" t="s">
        <v>1599</v>
      </c>
      <c r="C93" s="926">
        <v>21.56</v>
      </c>
      <c r="D93" s="926">
        <v>21.69</v>
      </c>
      <c r="E93" s="926"/>
      <c r="F93" s="926"/>
      <c r="G93" s="927">
        <v>80.52</v>
      </c>
      <c r="H93" s="927">
        <v>86.240000000000009</v>
      </c>
      <c r="I93" s="927">
        <v>86.240000000000009</v>
      </c>
      <c r="J93" s="927">
        <v>80.849999999999994</v>
      </c>
      <c r="K93" s="927">
        <v>64.679999999999993</v>
      </c>
      <c r="L93" s="927">
        <v>65.070000000000007</v>
      </c>
      <c r="M93" s="927">
        <v>65.070000000000007</v>
      </c>
      <c r="N93" s="927">
        <v>65.070000000000007</v>
      </c>
      <c r="O93" s="927">
        <v>43.38</v>
      </c>
      <c r="P93" s="927">
        <v>43.38</v>
      </c>
      <c r="Q93" s="927">
        <v>43.38</v>
      </c>
      <c r="R93" s="927">
        <v>43.38</v>
      </c>
      <c r="S93" s="927">
        <v>767.2600000000001</v>
      </c>
      <c r="T93" s="926"/>
      <c r="U93" s="934">
        <f t="shared" si="31"/>
        <v>3.7346938775510203</v>
      </c>
      <c r="V93" s="934">
        <f t="shared" si="32"/>
        <v>4.0000000000000009</v>
      </c>
      <c r="W93" s="934">
        <f t="shared" si="33"/>
        <v>4.0000000000000009</v>
      </c>
      <c r="X93" s="934">
        <f t="shared" si="34"/>
        <v>3.75</v>
      </c>
      <c r="Y93" s="934">
        <f t="shared" si="35"/>
        <v>3</v>
      </c>
      <c r="Z93" s="934">
        <f t="shared" si="36"/>
        <v>3</v>
      </c>
      <c r="AA93" s="934">
        <f t="shared" si="37"/>
        <v>3</v>
      </c>
      <c r="AB93" s="934">
        <f t="shared" si="38"/>
        <v>3</v>
      </c>
      <c r="AC93" s="934">
        <f t="shared" si="39"/>
        <v>2</v>
      </c>
      <c r="AD93" s="934">
        <f t="shared" si="40"/>
        <v>2</v>
      </c>
      <c r="AE93" s="934">
        <f t="shared" si="41"/>
        <v>2</v>
      </c>
      <c r="AF93" s="934">
        <f t="shared" si="42"/>
        <v>2</v>
      </c>
      <c r="AG93" s="934">
        <f t="shared" si="51"/>
        <v>35.484693877551024</v>
      </c>
      <c r="AH93" s="939">
        <f t="shared" si="52"/>
        <v>2.9570578231292521</v>
      </c>
      <c r="AI93" s="950"/>
      <c r="AM93" s="947"/>
      <c r="AN93" s="930"/>
      <c r="AQ93" s="928">
        <v>2.9570578231292521</v>
      </c>
      <c r="AS93" s="938">
        <f t="shared" ca="1" si="53"/>
        <v>22.961607038085305</v>
      </c>
      <c r="AT93" s="937">
        <f t="shared" ca="1" si="54"/>
        <v>814.78559668307821</v>
      </c>
      <c r="AU93" s="937"/>
      <c r="AV93" s="936">
        <f t="shared" ca="1" si="55"/>
        <v>47.525596683078106</v>
      </c>
      <c r="BE93" s="928">
        <f t="shared" si="48"/>
        <v>0</v>
      </c>
      <c r="BG93" s="928">
        <f t="shared" si="49"/>
        <v>0</v>
      </c>
      <c r="BI93" s="928">
        <f t="shared" si="50"/>
        <v>0</v>
      </c>
    </row>
    <row r="94" spans="1:61" s="925" customFormat="1" ht="12" customHeight="1">
      <c r="A94" s="914" t="s">
        <v>1600</v>
      </c>
      <c r="B94" s="914" t="s">
        <v>1601</v>
      </c>
      <c r="C94" s="926">
        <v>28.75</v>
      </c>
      <c r="D94" s="926">
        <v>28.92</v>
      </c>
      <c r="E94" s="926"/>
      <c r="F94" s="926"/>
      <c r="G94" s="927">
        <v>0</v>
      </c>
      <c r="H94" s="927">
        <v>0</v>
      </c>
      <c r="I94" s="927">
        <v>0</v>
      </c>
      <c r="J94" s="927">
        <v>0</v>
      </c>
      <c r="K94" s="927">
        <v>0</v>
      </c>
      <c r="L94" s="927">
        <v>0</v>
      </c>
      <c r="M94" s="927">
        <v>0</v>
      </c>
      <c r="N94" s="927">
        <v>0</v>
      </c>
      <c r="O94" s="927">
        <v>0</v>
      </c>
      <c r="P94" s="927">
        <v>0</v>
      </c>
      <c r="Q94" s="927">
        <v>0</v>
      </c>
      <c r="R94" s="927">
        <v>0</v>
      </c>
      <c r="S94" s="927">
        <v>0</v>
      </c>
      <c r="T94" s="926"/>
      <c r="U94" s="934">
        <f t="shared" si="31"/>
        <v>0</v>
      </c>
      <c r="V94" s="934">
        <f t="shared" si="32"/>
        <v>0</v>
      </c>
      <c r="W94" s="934">
        <f t="shared" si="33"/>
        <v>0</v>
      </c>
      <c r="X94" s="934">
        <f t="shared" si="34"/>
        <v>0</v>
      </c>
      <c r="Y94" s="934">
        <f t="shared" si="35"/>
        <v>0</v>
      </c>
      <c r="Z94" s="934">
        <f t="shared" si="36"/>
        <v>0</v>
      </c>
      <c r="AA94" s="934">
        <f t="shared" si="37"/>
        <v>0</v>
      </c>
      <c r="AB94" s="934">
        <f t="shared" si="38"/>
        <v>0</v>
      </c>
      <c r="AC94" s="934">
        <f t="shared" si="39"/>
        <v>0</v>
      </c>
      <c r="AD94" s="934">
        <f t="shared" si="40"/>
        <v>0</v>
      </c>
      <c r="AE94" s="934">
        <f t="shared" si="41"/>
        <v>0</v>
      </c>
      <c r="AF94" s="934">
        <f t="shared" si="42"/>
        <v>0</v>
      </c>
      <c r="AG94" s="934">
        <f t="shared" si="51"/>
        <v>0</v>
      </c>
      <c r="AH94" s="939">
        <f t="shared" si="52"/>
        <v>0</v>
      </c>
      <c r="AI94" s="950"/>
      <c r="AM94" s="947"/>
      <c r="AN94" s="930"/>
      <c r="AQ94" s="928">
        <v>0</v>
      </c>
      <c r="AS94" s="938">
        <f t="shared" ca="1" si="53"/>
        <v>30.615476050780405</v>
      </c>
      <c r="AT94" s="937">
        <f t="shared" ca="1" si="54"/>
        <v>0</v>
      </c>
      <c r="AU94" s="937"/>
      <c r="AV94" s="936">
        <f t="shared" ca="1" si="55"/>
        <v>0</v>
      </c>
      <c r="BE94" s="928">
        <f t="shared" si="48"/>
        <v>0</v>
      </c>
      <c r="BG94" s="928">
        <f t="shared" si="49"/>
        <v>0</v>
      </c>
      <c r="BI94" s="928">
        <f t="shared" si="50"/>
        <v>0</v>
      </c>
    </row>
    <row r="95" spans="1:61" s="925" customFormat="1" ht="12" customHeight="1">
      <c r="A95" s="914" t="s">
        <v>1602</v>
      </c>
      <c r="B95" s="914" t="s">
        <v>1603</v>
      </c>
      <c r="C95" s="926">
        <v>35.94</v>
      </c>
      <c r="D95" s="926">
        <v>36.159999999999997</v>
      </c>
      <c r="E95" s="926"/>
      <c r="F95" s="926"/>
      <c r="G95" s="927">
        <v>33.56</v>
      </c>
      <c r="H95" s="927">
        <v>35.94</v>
      </c>
      <c r="I95" s="927">
        <v>35.94</v>
      </c>
      <c r="J95" s="927">
        <v>35.94</v>
      </c>
      <c r="K95" s="927">
        <v>35.94</v>
      </c>
      <c r="L95" s="927">
        <v>36.15</v>
      </c>
      <c r="M95" s="927">
        <v>36.15</v>
      </c>
      <c r="N95" s="927">
        <v>36.15</v>
      </c>
      <c r="O95" s="927">
        <v>36.15</v>
      </c>
      <c r="P95" s="927">
        <v>36.15</v>
      </c>
      <c r="Q95" s="927">
        <v>36.15</v>
      </c>
      <c r="R95" s="927">
        <v>36.15</v>
      </c>
      <c r="S95" s="927">
        <v>430.36999999999989</v>
      </c>
      <c r="T95" s="926"/>
      <c r="U95" s="934">
        <f t="shared" si="31"/>
        <v>0.93377851975514758</v>
      </c>
      <c r="V95" s="934">
        <f t="shared" si="32"/>
        <v>1</v>
      </c>
      <c r="W95" s="934">
        <f t="shared" si="33"/>
        <v>1</v>
      </c>
      <c r="X95" s="934">
        <f t="shared" si="34"/>
        <v>1</v>
      </c>
      <c r="Y95" s="934">
        <f t="shared" si="35"/>
        <v>1</v>
      </c>
      <c r="Z95" s="934">
        <f t="shared" si="36"/>
        <v>0.99972345132743368</v>
      </c>
      <c r="AA95" s="934">
        <f t="shared" si="37"/>
        <v>0.99972345132743368</v>
      </c>
      <c r="AB95" s="934">
        <f t="shared" si="38"/>
        <v>0.99972345132743368</v>
      </c>
      <c r="AC95" s="934">
        <f t="shared" si="39"/>
        <v>0.99972345132743368</v>
      </c>
      <c r="AD95" s="934">
        <f t="shared" si="40"/>
        <v>0.99972345132743368</v>
      </c>
      <c r="AE95" s="934">
        <f t="shared" si="41"/>
        <v>0.99972345132743368</v>
      </c>
      <c r="AF95" s="934">
        <f t="shared" si="42"/>
        <v>0.99972345132743368</v>
      </c>
      <c r="AG95" s="934">
        <f t="shared" si="51"/>
        <v>11.931842679047183</v>
      </c>
      <c r="AH95" s="939">
        <f t="shared" si="52"/>
        <v>0.99432022325393188</v>
      </c>
      <c r="AI95" s="950"/>
      <c r="AM95" s="947"/>
      <c r="AN95" s="930"/>
      <c r="AQ95" s="928">
        <v>0.99432022325393188</v>
      </c>
      <c r="AS95" s="938">
        <f t="shared" ca="1" si="53"/>
        <v>38.279931327670099</v>
      </c>
      <c r="AT95" s="937">
        <f t="shared" ca="1" si="54"/>
        <v>456.75011836648935</v>
      </c>
      <c r="AU95" s="937"/>
      <c r="AV95" s="936">
        <f t="shared" ca="1" si="55"/>
        <v>26.380118366489455</v>
      </c>
      <c r="BE95" s="928">
        <f t="shared" si="48"/>
        <v>0</v>
      </c>
      <c r="BG95" s="928">
        <f t="shared" si="49"/>
        <v>0</v>
      </c>
      <c r="BI95" s="928">
        <f t="shared" si="50"/>
        <v>0</v>
      </c>
    </row>
    <row r="96" spans="1:61" s="925" customFormat="1" ht="12" customHeight="1">
      <c r="A96" s="914" t="s">
        <v>1604</v>
      </c>
      <c r="B96" s="914" t="s">
        <v>1605</v>
      </c>
      <c r="C96" s="926">
        <v>12.47</v>
      </c>
      <c r="D96" s="926">
        <v>12.56</v>
      </c>
      <c r="E96" s="926"/>
      <c r="F96" s="926"/>
      <c r="G96" s="927">
        <v>2833.69</v>
      </c>
      <c r="H96" s="927">
        <v>3043.77</v>
      </c>
      <c r="I96" s="927">
        <v>3052.03</v>
      </c>
      <c r="J96" s="927">
        <v>3042.68</v>
      </c>
      <c r="K96" s="927">
        <v>3042.68</v>
      </c>
      <c r="L96" s="927">
        <v>3070.92</v>
      </c>
      <c r="M96" s="927">
        <v>3077.2</v>
      </c>
      <c r="N96" s="927">
        <v>3105.46</v>
      </c>
      <c r="O96" s="927">
        <v>3102.3199999999997</v>
      </c>
      <c r="P96" s="927">
        <v>3092.81</v>
      </c>
      <c r="Q96" s="927">
        <v>3083.48</v>
      </c>
      <c r="R96" s="927">
        <v>3052.08</v>
      </c>
      <c r="S96" s="927">
        <v>36599.120000000003</v>
      </c>
      <c r="T96" s="926"/>
      <c r="U96" s="934">
        <f t="shared" si="31"/>
        <v>227.24057738572574</v>
      </c>
      <c r="V96" s="934">
        <f t="shared" si="32"/>
        <v>244.08740978348033</v>
      </c>
      <c r="W96" s="934">
        <f t="shared" si="33"/>
        <v>244.74979951884524</v>
      </c>
      <c r="X96" s="934">
        <f t="shared" si="34"/>
        <v>243.99999999999997</v>
      </c>
      <c r="Y96" s="934">
        <f t="shared" si="35"/>
        <v>243.99999999999997</v>
      </c>
      <c r="Z96" s="934">
        <f t="shared" si="36"/>
        <v>244.5</v>
      </c>
      <c r="AA96" s="934">
        <f t="shared" si="37"/>
        <v>244.99999999999997</v>
      </c>
      <c r="AB96" s="934">
        <f t="shared" si="38"/>
        <v>247.25</v>
      </c>
      <c r="AC96" s="934">
        <f t="shared" si="39"/>
        <v>246.99999999999997</v>
      </c>
      <c r="AD96" s="934">
        <f t="shared" si="40"/>
        <v>246.24283439490443</v>
      </c>
      <c r="AE96" s="934">
        <f t="shared" si="41"/>
        <v>245.5</v>
      </c>
      <c r="AF96" s="934">
        <f t="shared" si="42"/>
        <v>242.99999999999997</v>
      </c>
      <c r="AG96" s="934">
        <f t="shared" si="51"/>
        <v>2922.5706210829558</v>
      </c>
      <c r="AH96" s="939">
        <f t="shared" si="52"/>
        <v>243.54755175691298</v>
      </c>
      <c r="AI96" s="950"/>
      <c r="AM96" s="947"/>
      <c r="AN96" s="930"/>
      <c r="AP96" s="925">
        <v>922</v>
      </c>
      <c r="AQ96" s="928">
        <v>1165.547551756913</v>
      </c>
      <c r="AS96" s="938">
        <f t="shared" ca="1" si="53"/>
        <v>13.296347828416387</v>
      </c>
      <c r="AT96" s="937">
        <f t="shared" ca="1" si="54"/>
        <v>185970.3079046288</v>
      </c>
      <c r="AU96" s="937"/>
      <c r="AV96" s="936">
        <f t="shared" ca="1" si="55"/>
        <v>149371.18790462881</v>
      </c>
      <c r="BD96" s="925">
        <v>1</v>
      </c>
      <c r="BE96" s="928">
        <f t="shared" si="48"/>
        <v>1165.547551756913</v>
      </c>
      <c r="BG96" s="928">
        <f t="shared" si="49"/>
        <v>0</v>
      </c>
      <c r="BI96" s="928">
        <f t="shared" si="50"/>
        <v>0</v>
      </c>
    </row>
    <row r="97" spans="1:61" s="925" customFormat="1" ht="12" customHeight="1">
      <c r="A97" s="914" t="s">
        <v>1606</v>
      </c>
      <c r="B97" s="914" t="s">
        <v>1607</v>
      </c>
      <c r="C97" s="926">
        <v>13.29</v>
      </c>
      <c r="D97" s="926">
        <v>13.38</v>
      </c>
      <c r="E97" s="926"/>
      <c r="F97" s="926"/>
      <c r="G97" s="927">
        <v>482.82000000000005</v>
      </c>
      <c r="H97" s="927">
        <v>518.30999999999995</v>
      </c>
      <c r="I97" s="927">
        <v>511.66999999999996</v>
      </c>
      <c r="J97" s="927">
        <v>1597.3000000000002</v>
      </c>
      <c r="K97" s="927">
        <v>1993.47</v>
      </c>
      <c r="L97" s="927">
        <v>1986.9299999999998</v>
      </c>
      <c r="M97" s="927">
        <v>1990.27</v>
      </c>
      <c r="N97" s="927">
        <v>1993.6200000000001</v>
      </c>
      <c r="O97" s="927">
        <v>1993.6200000000001</v>
      </c>
      <c r="P97" s="927">
        <v>1993.6200000000001</v>
      </c>
      <c r="Q97" s="927">
        <v>2000.3100000000002</v>
      </c>
      <c r="R97" s="927">
        <v>1986.92</v>
      </c>
      <c r="S97" s="927">
        <v>19048.86</v>
      </c>
      <c r="T97" s="926"/>
      <c r="U97" s="934">
        <f t="shared" si="31"/>
        <v>36.329571106094811</v>
      </c>
      <c r="V97" s="934">
        <f t="shared" si="32"/>
        <v>39</v>
      </c>
      <c r="W97" s="934">
        <f t="shared" si="33"/>
        <v>38.500376222723851</v>
      </c>
      <c r="X97" s="934">
        <f t="shared" si="34"/>
        <v>120.18811136192627</v>
      </c>
      <c r="Y97" s="934">
        <f t="shared" si="35"/>
        <v>149.99774266365691</v>
      </c>
      <c r="Z97" s="934">
        <f t="shared" si="36"/>
        <v>148.49999999999997</v>
      </c>
      <c r="AA97" s="934">
        <f t="shared" si="37"/>
        <v>148.74962630792226</v>
      </c>
      <c r="AB97" s="934">
        <f t="shared" si="38"/>
        <v>149</v>
      </c>
      <c r="AC97" s="934">
        <f t="shared" si="39"/>
        <v>149</v>
      </c>
      <c r="AD97" s="934">
        <f t="shared" si="40"/>
        <v>149</v>
      </c>
      <c r="AE97" s="934">
        <f t="shared" si="41"/>
        <v>149.5</v>
      </c>
      <c r="AF97" s="934">
        <f t="shared" si="42"/>
        <v>148.49925261584454</v>
      </c>
      <c r="AG97" s="934">
        <f t="shared" si="51"/>
        <v>1426.2646802781687</v>
      </c>
      <c r="AH97" s="939">
        <f t="shared" si="52"/>
        <v>118.85539002318073</v>
      </c>
      <c r="AI97" s="950"/>
      <c r="AM97" s="947"/>
      <c r="AN97" s="930"/>
      <c r="AQ97" s="928">
        <v>118.85539002318073</v>
      </c>
      <c r="AS97" s="938">
        <f t="shared" ca="1" si="53"/>
        <v>14.164421492373508</v>
      </c>
      <c r="AT97" s="937">
        <f t="shared" ca="1" si="54"/>
        <v>20202.214091145324</v>
      </c>
      <c r="AU97" s="937"/>
      <c r="AV97" s="936">
        <f t="shared" ca="1" si="55"/>
        <v>1153.3540911453238</v>
      </c>
      <c r="BD97" s="925">
        <v>1</v>
      </c>
      <c r="BE97" s="928">
        <f t="shared" si="48"/>
        <v>118.85539002318073</v>
      </c>
      <c r="BG97" s="928">
        <f t="shared" si="49"/>
        <v>0</v>
      </c>
      <c r="BI97" s="928">
        <f t="shared" si="50"/>
        <v>0</v>
      </c>
    </row>
    <row r="98" spans="1:61" s="925" customFormat="1" ht="12" customHeight="1">
      <c r="A98" s="914" t="s">
        <v>1608</v>
      </c>
      <c r="B98" s="914" t="s">
        <v>1609</v>
      </c>
      <c r="C98" s="926">
        <v>16.149999999999999</v>
      </c>
      <c r="D98" s="926">
        <v>16.239999999999998</v>
      </c>
      <c r="E98" s="926"/>
      <c r="F98" s="926"/>
      <c r="G98" s="927">
        <v>2456.8199999999997</v>
      </c>
      <c r="H98" s="927">
        <v>2646.395</v>
      </c>
      <c r="I98" s="927">
        <v>2698.9949999999999</v>
      </c>
      <c r="J98" s="927">
        <v>3500.3249999999998</v>
      </c>
      <c r="K98" s="927">
        <v>3871.9650000000001</v>
      </c>
      <c r="L98" s="927">
        <v>4064.2350000000001</v>
      </c>
      <c r="M98" s="927">
        <v>4121.6949999999997</v>
      </c>
      <c r="N98" s="927">
        <v>4084.18</v>
      </c>
      <c r="O98" s="927">
        <v>4149.1399999999994</v>
      </c>
      <c r="P98" s="927">
        <v>4185.6799999999994</v>
      </c>
      <c r="Q98" s="927">
        <v>4258.76</v>
      </c>
      <c r="R98" s="927">
        <v>4295.3</v>
      </c>
      <c r="S98" s="927">
        <v>44333.490000000005</v>
      </c>
      <c r="T98" s="926"/>
      <c r="U98" s="934">
        <f t="shared" si="31"/>
        <v>152.12507739938081</v>
      </c>
      <c r="V98" s="934">
        <f t="shared" si="32"/>
        <v>163.86346749226007</v>
      </c>
      <c r="W98" s="934">
        <f t="shared" si="33"/>
        <v>167.12043343653252</v>
      </c>
      <c r="X98" s="934">
        <f t="shared" si="34"/>
        <v>216.73839009287926</v>
      </c>
      <c r="Y98" s="934">
        <f t="shared" si="35"/>
        <v>239.75015479876163</v>
      </c>
      <c r="Z98" s="934">
        <f t="shared" si="36"/>
        <v>250.26077586206901</v>
      </c>
      <c r="AA98" s="934">
        <f t="shared" si="37"/>
        <v>253.79895320197045</v>
      </c>
      <c r="AB98" s="934">
        <f t="shared" si="38"/>
        <v>251.48891625615764</v>
      </c>
      <c r="AC98" s="934">
        <f t="shared" si="39"/>
        <v>255.48891625615764</v>
      </c>
      <c r="AD98" s="934">
        <f t="shared" si="40"/>
        <v>257.73891625615761</v>
      </c>
      <c r="AE98" s="934">
        <f t="shared" si="41"/>
        <v>262.23891625615767</v>
      </c>
      <c r="AF98" s="934">
        <f t="shared" si="42"/>
        <v>264.48891625615767</v>
      </c>
      <c r="AG98" s="934">
        <f t="shared" si="51"/>
        <v>2735.1018335646418</v>
      </c>
      <c r="AH98" s="939">
        <f t="shared" si="52"/>
        <v>227.92515279705347</v>
      </c>
      <c r="AI98" s="950"/>
      <c r="AM98" s="947"/>
      <c r="AN98" s="930"/>
      <c r="AQ98" s="928">
        <v>227.92515279705347</v>
      </c>
      <c r="AS98" s="938">
        <f t="shared" ca="1" si="53"/>
        <v>17.192093052028827</v>
      </c>
      <c r="AT98" s="937">
        <f t="shared" ca="1" si="54"/>
        <v>47022.125229417979</v>
      </c>
      <c r="AU98" s="937"/>
      <c r="AV98" s="936">
        <f t="shared" ca="1" si="55"/>
        <v>2688.6352294179742</v>
      </c>
      <c r="BD98" s="925">
        <v>1</v>
      </c>
      <c r="BE98" s="928">
        <f t="shared" si="48"/>
        <v>227.92515279705347</v>
      </c>
      <c r="BG98" s="928">
        <f t="shared" si="49"/>
        <v>0</v>
      </c>
      <c r="BI98" s="928">
        <f t="shared" si="50"/>
        <v>0</v>
      </c>
    </row>
    <row r="99" spans="1:61" s="925" customFormat="1" ht="12" customHeight="1">
      <c r="A99" s="914" t="s">
        <v>2999</v>
      </c>
      <c r="B99" s="914" t="s">
        <v>2998</v>
      </c>
      <c r="C99" s="926">
        <v>0</v>
      </c>
      <c r="D99" s="926">
        <v>0</v>
      </c>
      <c r="E99" s="926"/>
      <c r="F99" s="926"/>
      <c r="G99" s="927">
        <v>0</v>
      </c>
      <c r="H99" s="927">
        <v>0</v>
      </c>
      <c r="I99" s="927">
        <v>0</v>
      </c>
      <c r="J99" s="927">
        <v>0</v>
      </c>
      <c r="K99" s="927">
        <v>0</v>
      </c>
      <c r="L99" s="927">
        <v>0</v>
      </c>
      <c r="M99" s="927">
        <v>0</v>
      </c>
      <c r="N99" s="927">
        <v>0</v>
      </c>
      <c r="O99" s="927">
        <v>0</v>
      </c>
      <c r="P99" s="927">
        <v>0</v>
      </c>
      <c r="Q99" s="927">
        <v>0</v>
      </c>
      <c r="R99" s="927">
        <v>0</v>
      </c>
      <c r="S99" s="927">
        <v>0</v>
      </c>
      <c r="T99" s="926"/>
      <c r="U99" s="934">
        <f t="shared" ref="U99:U143" si="56">IFERROR(G99/$C99,0)</f>
        <v>0</v>
      </c>
      <c r="V99" s="934">
        <f t="shared" ref="V99:V143" si="57">IFERROR(H99/$C99,0)</f>
        <v>0</v>
      </c>
      <c r="W99" s="934">
        <f t="shared" ref="W99:W143" si="58">IFERROR(I99/$C99,0)</f>
        <v>0</v>
      </c>
      <c r="X99" s="934">
        <f t="shared" ref="X99:X143" si="59">IFERROR(J99/$C99,0)</f>
        <v>0</v>
      </c>
      <c r="Y99" s="934">
        <f t="shared" ref="Y99:Y143" si="60">IFERROR(K99/$C99,0)</f>
        <v>0</v>
      </c>
      <c r="Z99" s="934">
        <f t="shared" ref="Z99:Z143" si="61">IFERROR(L99/$D99,0)</f>
        <v>0</v>
      </c>
      <c r="AA99" s="934">
        <f t="shared" ref="AA99:AA143" si="62">IFERROR(M99/$D99,0)</f>
        <v>0</v>
      </c>
      <c r="AB99" s="934">
        <f t="shared" ref="AB99:AB143" si="63">IFERROR(N99/$D99,0)</f>
        <v>0</v>
      </c>
      <c r="AC99" s="934">
        <f t="shared" ref="AC99:AC143" si="64">IFERROR(O99/$D99,0)</f>
        <v>0</v>
      </c>
      <c r="AD99" s="934">
        <f t="shared" ref="AD99:AD143" si="65">IFERROR(P99/$D99,0)</f>
        <v>0</v>
      </c>
      <c r="AE99" s="934">
        <f t="shared" ref="AE99:AE143" si="66">IFERROR(Q99/$D99,0)</f>
        <v>0</v>
      </c>
      <c r="AF99" s="934">
        <f t="shared" ref="AF99:AF143" si="67">IFERROR(R99/$D99,0)</f>
        <v>0</v>
      </c>
      <c r="AG99" s="934">
        <f t="shared" si="51"/>
        <v>0</v>
      </c>
      <c r="AH99" s="939">
        <f t="shared" si="52"/>
        <v>0</v>
      </c>
      <c r="AI99" s="950"/>
      <c r="AM99" s="947"/>
      <c r="AN99" s="930"/>
      <c r="AQ99" s="928">
        <v>0</v>
      </c>
      <c r="AS99" s="938">
        <f t="shared" ca="1" si="53"/>
        <v>0</v>
      </c>
      <c r="AT99" s="937">
        <f t="shared" ca="1" si="54"/>
        <v>0</v>
      </c>
      <c r="AU99" s="937"/>
      <c r="AV99" s="936">
        <f t="shared" ca="1" si="55"/>
        <v>0</v>
      </c>
      <c r="BD99" s="925">
        <v>1</v>
      </c>
      <c r="BE99" s="928">
        <f t="shared" si="48"/>
        <v>0</v>
      </c>
      <c r="BG99" s="928">
        <f t="shared" si="49"/>
        <v>0</v>
      </c>
      <c r="BI99" s="928">
        <f t="shared" si="50"/>
        <v>0</v>
      </c>
    </row>
    <row r="100" spans="1:61" s="925" customFormat="1" ht="12" customHeight="1">
      <c r="A100" s="914" t="s">
        <v>1610</v>
      </c>
      <c r="B100" s="914" t="s">
        <v>1611</v>
      </c>
      <c r="C100" s="926">
        <v>12.51</v>
      </c>
      <c r="D100" s="926">
        <v>12.59</v>
      </c>
      <c r="E100" s="926"/>
      <c r="F100" s="926"/>
      <c r="G100" s="927">
        <v>276</v>
      </c>
      <c r="H100" s="927">
        <v>208.78</v>
      </c>
      <c r="I100" s="927">
        <v>171.79000000000002</v>
      </c>
      <c r="J100" s="927">
        <v>493.2</v>
      </c>
      <c r="K100" s="927">
        <v>172.62</v>
      </c>
      <c r="L100" s="927">
        <v>198.26</v>
      </c>
      <c r="M100" s="927">
        <v>111.67000000000002</v>
      </c>
      <c r="N100" s="927">
        <v>136.4</v>
      </c>
      <c r="O100" s="927">
        <v>136.4</v>
      </c>
      <c r="P100" s="927">
        <v>37.200000000000003</v>
      </c>
      <c r="Q100" s="927">
        <v>161.19999999999999</v>
      </c>
      <c r="R100" s="927">
        <v>123.32000000000001</v>
      </c>
      <c r="S100" s="927">
        <v>2226.84</v>
      </c>
      <c r="T100" s="926"/>
      <c r="U100" s="934">
        <f t="shared" si="56"/>
        <v>22.062350119904078</v>
      </c>
      <c r="V100" s="934">
        <f t="shared" si="57"/>
        <v>16.689048760991206</v>
      </c>
      <c r="W100" s="934">
        <f t="shared" si="58"/>
        <v>13.732214228617108</v>
      </c>
      <c r="X100" s="934">
        <f t="shared" si="59"/>
        <v>39.424460431654673</v>
      </c>
      <c r="Y100" s="934">
        <f t="shared" si="60"/>
        <v>13.798561151079138</v>
      </c>
      <c r="Z100" s="934">
        <f t="shared" si="61"/>
        <v>15.747418586179506</v>
      </c>
      <c r="AA100" s="934">
        <f t="shared" si="62"/>
        <v>8.8697378872120751</v>
      </c>
      <c r="AB100" s="934">
        <f t="shared" si="63"/>
        <v>10.833995234312948</v>
      </c>
      <c r="AC100" s="934">
        <f t="shared" si="64"/>
        <v>10.833995234312948</v>
      </c>
      <c r="AD100" s="934">
        <f t="shared" si="65"/>
        <v>2.9547259729944404</v>
      </c>
      <c r="AE100" s="934">
        <f t="shared" si="66"/>
        <v>12.803812549642572</v>
      </c>
      <c r="AF100" s="934">
        <f t="shared" si="67"/>
        <v>9.7950754567116771</v>
      </c>
      <c r="AG100" s="934">
        <f t="shared" si="51"/>
        <v>177.54539561361236</v>
      </c>
      <c r="AH100" s="939">
        <f t="shared" si="52"/>
        <v>14.795449634467696</v>
      </c>
      <c r="AI100" s="950"/>
      <c r="AM100" s="947"/>
      <c r="AN100" s="930"/>
      <c r="AQ100" s="928">
        <v>14.795449634467696</v>
      </c>
      <c r="AS100" s="938">
        <f t="shared" ca="1" si="53"/>
        <v>13.328106621000183</v>
      </c>
      <c r="AT100" s="937">
        <f t="shared" ca="1" si="54"/>
        <v>2366.3439628058836</v>
      </c>
      <c r="AU100" s="937"/>
      <c r="AV100" s="936">
        <f t="shared" ca="1" si="55"/>
        <v>139.50396280588348</v>
      </c>
      <c r="BE100" s="928">
        <f t="shared" si="48"/>
        <v>0</v>
      </c>
      <c r="BG100" s="928">
        <f t="shared" si="49"/>
        <v>0</v>
      </c>
      <c r="BI100" s="928">
        <f t="shared" si="50"/>
        <v>0</v>
      </c>
    </row>
    <row r="101" spans="1:61" s="925" customFormat="1" ht="12" customHeight="1">
      <c r="A101" s="914" t="s">
        <v>1612</v>
      </c>
      <c r="B101" s="914" t="s">
        <v>1613</v>
      </c>
      <c r="C101" s="926">
        <v>20.23</v>
      </c>
      <c r="D101" s="926">
        <v>20.350000000000001</v>
      </c>
      <c r="E101" s="926"/>
      <c r="F101" s="926"/>
      <c r="G101" s="927">
        <v>186.6</v>
      </c>
      <c r="H101" s="927">
        <v>118.66</v>
      </c>
      <c r="I101" s="927">
        <v>140</v>
      </c>
      <c r="J101" s="927">
        <v>140</v>
      </c>
      <c r="K101" s="927">
        <v>160</v>
      </c>
      <c r="L101" s="927">
        <v>80.48</v>
      </c>
      <c r="M101" s="927">
        <v>100.6</v>
      </c>
      <c r="N101" s="927">
        <v>120.72</v>
      </c>
      <c r="O101" s="927">
        <v>120.72</v>
      </c>
      <c r="P101" s="927">
        <v>20.12</v>
      </c>
      <c r="Q101" s="927">
        <v>-20.12</v>
      </c>
      <c r="R101" s="927">
        <v>120.6</v>
      </c>
      <c r="S101" s="927">
        <v>1288.3799999999999</v>
      </c>
      <c r="T101" s="926"/>
      <c r="U101" s="934">
        <f t="shared" si="56"/>
        <v>9.2239248640632727</v>
      </c>
      <c r="V101" s="934">
        <f t="shared" si="57"/>
        <v>5.8655462184873945</v>
      </c>
      <c r="W101" s="934">
        <f t="shared" si="58"/>
        <v>6.9204152249134943</v>
      </c>
      <c r="X101" s="934">
        <f t="shared" si="59"/>
        <v>6.9204152249134943</v>
      </c>
      <c r="Y101" s="934">
        <f t="shared" si="60"/>
        <v>7.9090459713297081</v>
      </c>
      <c r="Z101" s="934">
        <f t="shared" si="61"/>
        <v>3.9547911547911547</v>
      </c>
      <c r="AA101" s="934">
        <f t="shared" si="62"/>
        <v>4.9434889434889433</v>
      </c>
      <c r="AB101" s="934">
        <f t="shared" si="63"/>
        <v>5.9321867321867314</v>
      </c>
      <c r="AC101" s="934">
        <f t="shared" si="64"/>
        <v>5.9321867321867314</v>
      </c>
      <c r="AD101" s="934">
        <f t="shared" si="65"/>
        <v>0.98869778869778868</v>
      </c>
      <c r="AE101" s="934">
        <f t="shared" si="66"/>
        <v>-0.98869778869778868</v>
      </c>
      <c r="AF101" s="934">
        <f t="shared" si="67"/>
        <v>5.9262899262899253</v>
      </c>
      <c r="AG101" s="934">
        <f t="shared" si="51"/>
        <v>63.528290992650845</v>
      </c>
      <c r="AH101" s="939">
        <f t="shared" si="52"/>
        <v>5.2940242493875704</v>
      </c>
      <c r="AI101" s="950"/>
      <c r="AM101" s="947"/>
      <c r="AN101" s="930"/>
      <c r="AQ101" s="928">
        <v>5.2940242493875704</v>
      </c>
      <c r="AS101" s="938">
        <f t="shared" ca="1" si="53"/>
        <v>21.543047636009035</v>
      </c>
      <c r="AT101" s="937">
        <f t="shared" ca="1" si="54"/>
        <v>1368.5929990889208</v>
      </c>
      <c r="AU101" s="937"/>
      <c r="AV101" s="936">
        <f t="shared" ca="1" si="55"/>
        <v>80.212999088920924</v>
      </c>
      <c r="BE101" s="928">
        <f t="shared" si="48"/>
        <v>0</v>
      </c>
      <c r="BG101" s="928">
        <f t="shared" si="49"/>
        <v>0</v>
      </c>
      <c r="BI101" s="928">
        <f t="shared" si="50"/>
        <v>0</v>
      </c>
    </row>
    <row r="102" spans="1:61" s="925" customFormat="1" ht="12" customHeight="1">
      <c r="A102" s="914" t="s">
        <v>1614</v>
      </c>
      <c r="B102" s="914" t="s">
        <v>1615</v>
      </c>
      <c r="C102" s="926">
        <v>24.29</v>
      </c>
      <c r="D102" s="926">
        <v>24.44</v>
      </c>
      <c r="E102" s="926"/>
      <c r="F102" s="926"/>
      <c r="G102" s="927">
        <v>112.55</v>
      </c>
      <c r="H102" s="927">
        <v>168.91</v>
      </c>
      <c r="I102" s="927">
        <v>48.26</v>
      </c>
      <c r="J102" s="927">
        <v>168.91</v>
      </c>
      <c r="K102" s="927">
        <v>72.39</v>
      </c>
      <c r="L102" s="927">
        <v>48.56</v>
      </c>
      <c r="M102" s="927">
        <v>145.68</v>
      </c>
      <c r="N102" s="927">
        <v>0</v>
      </c>
      <c r="O102" s="927">
        <v>194.24</v>
      </c>
      <c r="P102" s="927">
        <v>48.56</v>
      </c>
      <c r="Q102" s="927">
        <v>48.56</v>
      </c>
      <c r="R102" s="927">
        <v>145.68</v>
      </c>
      <c r="S102" s="927">
        <v>1202.3</v>
      </c>
      <c r="T102" s="926"/>
      <c r="U102" s="934">
        <f t="shared" si="56"/>
        <v>4.6335940716344179</v>
      </c>
      <c r="V102" s="934">
        <f t="shared" si="57"/>
        <v>6.9538904899135447</v>
      </c>
      <c r="W102" s="934">
        <f t="shared" si="58"/>
        <v>1.9868258542610127</v>
      </c>
      <c r="X102" s="934">
        <f t="shared" si="59"/>
        <v>6.9538904899135447</v>
      </c>
      <c r="Y102" s="934">
        <f t="shared" si="60"/>
        <v>2.9802387813915194</v>
      </c>
      <c r="Z102" s="934">
        <f t="shared" si="61"/>
        <v>1.9869067103109657</v>
      </c>
      <c r="AA102" s="934">
        <f t="shared" si="62"/>
        <v>5.9607201309328968</v>
      </c>
      <c r="AB102" s="934">
        <f t="shared" si="63"/>
        <v>0</v>
      </c>
      <c r="AC102" s="934">
        <f t="shared" si="64"/>
        <v>7.9476268412438626</v>
      </c>
      <c r="AD102" s="934">
        <f t="shared" si="65"/>
        <v>1.9869067103109657</v>
      </c>
      <c r="AE102" s="934">
        <f t="shared" si="66"/>
        <v>1.9869067103109657</v>
      </c>
      <c r="AF102" s="934">
        <f t="shared" si="67"/>
        <v>5.9607201309328968</v>
      </c>
      <c r="AG102" s="934">
        <f t="shared" si="51"/>
        <v>49.338226921156597</v>
      </c>
      <c r="AH102" s="939">
        <f t="shared" si="52"/>
        <v>4.1115189100963834</v>
      </c>
      <c r="AI102" s="950"/>
      <c r="AM102" s="947"/>
      <c r="AN102" s="930"/>
      <c r="AQ102" s="928">
        <v>4.1115189100963834</v>
      </c>
      <c r="AS102" s="938">
        <f t="shared" ca="1" si="53"/>
        <v>25.872829691600039</v>
      </c>
      <c r="AT102" s="937">
        <f t="shared" ca="1" si="54"/>
        <v>1276.5195424166009</v>
      </c>
      <c r="AU102" s="937"/>
      <c r="AV102" s="936">
        <f t="shared" ca="1" si="55"/>
        <v>74.219542416600916</v>
      </c>
      <c r="BE102" s="928">
        <f t="shared" si="48"/>
        <v>0</v>
      </c>
      <c r="BG102" s="928">
        <f t="shared" si="49"/>
        <v>0</v>
      </c>
      <c r="BI102" s="928">
        <f t="shared" si="50"/>
        <v>0</v>
      </c>
    </row>
    <row r="103" spans="1:61" s="925" customFormat="1" ht="12" customHeight="1">
      <c r="A103" s="914" t="s">
        <v>1616</v>
      </c>
      <c r="B103" s="914" t="s">
        <v>1617</v>
      </c>
      <c r="C103" s="926">
        <v>32.89</v>
      </c>
      <c r="D103" s="926">
        <v>33.090000000000003</v>
      </c>
      <c r="E103" s="926"/>
      <c r="F103" s="926"/>
      <c r="G103" s="927">
        <v>798.98</v>
      </c>
      <c r="H103" s="927">
        <v>698.16000000000008</v>
      </c>
      <c r="I103" s="927">
        <v>592.91999999999996</v>
      </c>
      <c r="J103" s="927">
        <v>527.04</v>
      </c>
      <c r="K103" s="927">
        <v>263.52</v>
      </c>
      <c r="L103" s="927">
        <v>331</v>
      </c>
      <c r="M103" s="927">
        <v>265.12</v>
      </c>
      <c r="N103" s="927">
        <v>463.96</v>
      </c>
      <c r="O103" s="927">
        <v>463.96</v>
      </c>
      <c r="P103" s="927">
        <v>298.26</v>
      </c>
      <c r="Q103" s="927">
        <v>231.98</v>
      </c>
      <c r="R103" s="927">
        <v>430.82</v>
      </c>
      <c r="S103" s="927">
        <v>5365.7199999999993</v>
      </c>
      <c r="T103" s="926"/>
      <c r="U103" s="934">
        <f t="shared" si="56"/>
        <v>24.292490118577074</v>
      </c>
      <c r="V103" s="934">
        <f t="shared" si="57"/>
        <v>21.227120705381576</v>
      </c>
      <c r="W103" s="934">
        <f t="shared" si="58"/>
        <v>18.027363940407419</v>
      </c>
      <c r="X103" s="934">
        <f t="shared" si="59"/>
        <v>16.02432350258437</v>
      </c>
      <c r="Y103" s="934">
        <f t="shared" si="60"/>
        <v>8.0121617512921848</v>
      </c>
      <c r="Z103" s="934">
        <f t="shared" si="61"/>
        <v>10.003022061045632</v>
      </c>
      <c r="AA103" s="934">
        <f t="shared" si="62"/>
        <v>8.0120882441825323</v>
      </c>
      <c r="AB103" s="934">
        <f t="shared" si="63"/>
        <v>14.021154427319431</v>
      </c>
      <c r="AC103" s="934">
        <f t="shared" si="64"/>
        <v>14.021154427319431</v>
      </c>
      <c r="AD103" s="934">
        <f t="shared" si="65"/>
        <v>9.0135992747053475</v>
      </c>
      <c r="AE103" s="934">
        <f t="shared" si="66"/>
        <v>7.0105772136597153</v>
      </c>
      <c r="AF103" s="934">
        <f t="shared" si="67"/>
        <v>13.019643396796614</v>
      </c>
      <c r="AG103" s="934">
        <f t="shared" si="51"/>
        <v>162.68469906327132</v>
      </c>
      <c r="AH103" s="939">
        <f t="shared" si="52"/>
        <v>13.55705825527261</v>
      </c>
      <c r="AI103" s="950"/>
      <c r="AM103" s="947"/>
      <c r="AN103" s="930"/>
      <c r="AQ103" s="928">
        <v>13.55705825527261</v>
      </c>
      <c r="AS103" s="938">
        <f t="shared" ca="1" si="53"/>
        <v>35.029948219928201</v>
      </c>
      <c r="AT103" s="937">
        <f t="shared" ca="1" si="54"/>
        <v>5698.8365843609963</v>
      </c>
      <c r="AU103" s="937"/>
      <c r="AV103" s="936">
        <f t="shared" ca="1" si="55"/>
        <v>333.11658436099697</v>
      </c>
      <c r="BE103" s="928">
        <f t="shared" si="48"/>
        <v>0</v>
      </c>
      <c r="BG103" s="928">
        <f t="shared" si="49"/>
        <v>0</v>
      </c>
      <c r="BI103" s="928">
        <f t="shared" si="50"/>
        <v>0</v>
      </c>
    </row>
    <row r="104" spans="1:61" s="925" customFormat="1" ht="12" customHeight="1">
      <c r="A104" s="914" t="s">
        <v>1618</v>
      </c>
      <c r="B104" s="914" t="s">
        <v>1619</v>
      </c>
      <c r="C104" s="926">
        <v>8.4</v>
      </c>
      <c r="D104" s="926">
        <v>8.4499999999999993</v>
      </c>
      <c r="E104" s="926"/>
      <c r="F104" s="926"/>
      <c r="G104" s="927">
        <v>14484.960000000003</v>
      </c>
      <c r="H104" s="927">
        <v>13489.98</v>
      </c>
      <c r="I104" s="927">
        <v>13777.68</v>
      </c>
      <c r="J104" s="927">
        <v>13566.29</v>
      </c>
      <c r="K104" s="927">
        <v>12374.23</v>
      </c>
      <c r="L104" s="927">
        <v>11350.14</v>
      </c>
      <c r="M104" s="927">
        <v>11433.31</v>
      </c>
      <c r="N104" s="927">
        <v>7854.6</v>
      </c>
      <c r="O104" s="927">
        <v>8708.11</v>
      </c>
      <c r="P104" s="927">
        <v>8401.69</v>
      </c>
      <c r="Q104" s="927">
        <v>9069.1999999999989</v>
      </c>
      <c r="R104" s="927">
        <v>11644.44</v>
      </c>
      <c r="S104" s="927">
        <v>136154.63</v>
      </c>
      <c r="T104" s="926"/>
      <c r="U104" s="934">
        <f t="shared" si="56"/>
        <v>1724.4000000000003</v>
      </c>
      <c r="V104" s="934">
        <f t="shared" si="57"/>
        <v>1605.9499999999998</v>
      </c>
      <c r="W104" s="934">
        <f t="shared" si="58"/>
        <v>1640.2</v>
      </c>
      <c r="X104" s="934">
        <f t="shared" si="59"/>
        <v>1615.0345238095238</v>
      </c>
      <c r="Y104" s="934">
        <f t="shared" si="60"/>
        <v>1473.1226190476189</v>
      </c>
      <c r="Z104" s="934">
        <f t="shared" si="61"/>
        <v>1343.2118343195266</v>
      </c>
      <c r="AA104" s="934">
        <f t="shared" si="62"/>
        <v>1353.0544378698226</v>
      </c>
      <c r="AB104" s="934">
        <f t="shared" si="63"/>
        <v>929.53846153846166</v>
      </c>
      <c r="AC104" s="934">
        <f t="shared" si="64"/>
        <v>1030.5455621301776</v>
      </c>
      <c r="AD104" s="934">
        <f t="shared" si="65"/>
        <v>994.28284023668652</v>
      </c>
      <c r="AE104" s="934">
        <f t="shared" si="66"/>
        <v>1073.2781065088757</v>
      </c>
      <c r="AF104" s="934">
        <f t="shared" si="67"/>
        <v>1378.0402366863907</v>
      </c>
      <c r="AG104" s="934">
        <f t="shared" si="51"/>
        <v>16160.658622147084</v>
      </c>
      <c r="AH104" s="939">
        <f t="shared" si="52"/>
        <v>1346.7215518455903</v>
      </c>
      <c r="AI104" s="950"/>
      <c r="AM104" s="947"/>
      <c r="AN104" s="930"/>
      <c r="AQ104" s="928">
        <v>1346.7215518455903</v>
      </c>
      <c r="AS104" s="938">
        <f t="shared" ca="1" si="53"/>
        <v>8.9453932444361826</v>
      </c>
      <c r="AT104" s="937">
        <f t="shared" ca="1" si="54"/>
        <v>144563.44646419387</v>
      </c>
      <c r="AU104" s="937"/>
      <c r="AV104" s="936">
        <f t="shared" ca="1" si="55"/>
        <v>8408.8164641938638</v>
      </c>
      <c r="BE104" s="928">
        <f t="shared" si="48"/>
        <v>0</v>
      </c>
      <c r="BG104" s="928">
        <f t="shared" si="49"/>
        <v>0</v>
      </c>
      <c r="BI104" s="928">
        <f t="shared" si="50"/>
        <v>0</v>
      </c>
    </row>
    <row r="105" spans="1:61" s="925" customFormat="1" ht="12.75" customHeight="1">
      <c r="A105" s="914" t="s">
        <v>1620</v>
      </c>
      <c r="B105" s="914" t="s">
        <v>1621</v>
      </c>
      <c r="C105" s="926">
        <v>7.58</v>
      </c>
      <c r="D105" s="926">
        <v>7.63</v>
      </c>
      <c r="E105" s="926"/>
      <c r="F105" s="926"/>
      <c r="G105" s="927">
        <v>360.57</v>
      </c>
      <c r="H105" s="927">
        <v>300.20999999999998</v>
      </c>
      <c r="I105" s="927">
        <v>121.28</v>
      </c>
      <c r="J105" s="927">
        <v>166.76</v>
      </c>
      <c r="K105" s="927">
        <v>227.4</v>
      </c>
      <c r="L105" s="927">
        <v>396.76</v>
      </c>
      <c r="M105" s="927">
        <v>1045.31</v>
      </c>
      <c r="N105" s="927">
        <v>759.19</v>
      </c>
      <c r="O105" s="927">
        <v>869.81999999999994</v>
      </c>
      <c r="P105" s="927">
        <v>717.22</v>
      </c>
      <c r="Q105" s="927">
        <v>732.48</v>
      </c>
      <c r="R105" s="927">
        <v>732.48</v>
      </c>
      <c r="S105" s="927">
        <v>6429.48</v>
      </c>
      <c r="T105" s="926"/>
      <c r="U105" s="934">
        <f t="shared" si="56"/>
        <v>47.568601583113455</v>
      </c>
      <c r="V105" s="934">
        <f t="shared" si="57"/>
        <v>39.605540897097619</v>
      </c>
      <c r="W105" s="934">
        <f t="shared" si="58"/>
        <v>16</v>
      </c>
      <c r="X105" s="934">
        <f t="shared" si="59"/>
        <v>22</v>
      </c>
      <c r="Y105" s="934">
        <f t="shared" si="60"/>
        <v>30</v>
      </c>
      <c r="Z105" s="934">
        <f t="shared" si="61"/>
        <v>52</v>
      </c>
      <c r="AA105" s="934">
        <f t="shared" si="62"/>
        <v>137</v>
      </c>
      <c r="AB105" s="934">
        <f t="shared" si="63"/>
        <v>99.500655307994762</v>
      </c>
      <c r="AC105" s="934">
        <f t="shared" si="64"/>
        <v>114</v>
      </c>
      <c r="AD105" s="934">
        <f t="shared" si="65"/>
        <v>94</v>
      </c>
      <c r="AE105" s="934">
        <f t="shared" si="66"/>
        <v>96</v>
      </c>
      <c r="AF105" s="934">
        <f t="shared" si="67"/>
        <v>96</v>
      </c>
      <c r="AG105" s="934">
        <f t="shared" si="51"/>
        <v>843.67479778820575</v>
      </c>
      <c r="AH105" s="939">
        <f t="shared" si="52"/>
        <v>70.306233149017146</v>
      </c>
      <c r="AI105" s="950"/>
      <c r="AM105" s="947"/>
      <c r="AN105" s="932"/>
      <c r="AQ105" s="928">
        <v>70.306233149017146</v>
      </c>
      <c r="AS105" s="938">
        <f t="shared" ca="1" si="53"/>
        <v>8.0773195804790614</v>
      </c>
      <c r="AT105" s="937">
        <f t="shared" ca="1" si="54"/>
        <v>6814.6309637313871</v>
      </c>
      <c r="AU105" s="937"/>
      <c r="AV105" s="936">
        <f t="shared" ca="1" si="55"/>
        <v>385.15096373138749</v>
      </c>
      <c r="BE105" s="928">
        <f t="shared" si="48"/>
        <v>0</v>
      </c>
      <c r="BG105" s="928">
        <f t="shared" si="49"/>
        <v>0</v>
      </c>
      <c r="BI105" s="928">
        <f t="shared" si="50"/>
        <v>0</v>
      </c>
    </row>
    <row r="106" spans="1:61" s="925" customFormat="1" ht="12" customHeight="1">
      <c r="A106" s="914" t="s">
        <v>1622</v>
      </c>
      <c r="B106" s="914" t="s">
        <v>1623</v>
      </c>
      <c r="C106" s="926">
        <v>2.6</v>
      </c>
      <c r="D106" s="926">
        <v>2.62</v>
      </c>
      <c r="E106" s="926"/>
      <c r="F106" s="926"/>
      <c r="G106" s="927">
        <v>2297.2200000000003</v>
      </c>
      <c r="H106" s="927">
        <v>3309.59</v>
      </c>
      <c r="I106" s="927">
        <v>4031.31</v>
      </c>
      <c r="J106" s="927">
        <v>2520.3000000000002</v>
      </c>
      <c r="K106" s="927">
        <v>2327</v>
      </c>
      <c r="L106" s="927">
        <v>1471.3600000000001</v>
      </c>
      <c r="M106" s="927">
        <v>1234.02</v>
      </c>
      <c r="N106" s="927">
        <v>1978.1</v>
      </c>
      <c r="O106" s="927">
        <v>2203.42</v>
      </c>
      <c r="P106" s="927">
        <v>1399.22</v>
      </c>
      <c r="Q106" s="927">
        <v>1092.68</v>
      </c>
      <c r="R106" s="927">
        <v>1679.42</v>
      </c>
      <c r="S106" s="927">
        <v>25543.64</v>
      </c>
      <c r="T106" s="926"/>
      <c r="U106" s="934">
        <f t="shared" si="56"/>
        <v>883.54615384615397</v>
      </c>
      <c r="V106" s="934">
        <f t="shared" si="57"/>
        <v>1272.9192307692308</v>
      </c>
      <c r="W106" s="934">
        <f t="shared" si="58"/>
        <v>1550.5038461538461</v>
      </c>
      <c r="X106" s="934">
        <f t="shared" si="59"/>
        <v>969.34615384615392</v>
      </c>
      <c r="Y106" s="934">
        <f t="shared" si="60"/>
        <v>895</v>
      </c>
      <c r="Z106" s="934">
        <f t="shared" si="61"/>
        <v>561.58778625954199</v>
      </c>
      <c r="AA106" s="934">
        <f t="shared" si="62"/>
        <v>471</v>
      </c>
      <c r="AB106" s="934">
        <f t="shared" si="63"/>
        <v>754.99999999999989</v>
      </c>
      <c r="AC106" s="934">
        <f t="shared" si="64"/>
        <v>841</v>
      </c>
      <c r="AD106" s="934">
        <f t="shared" si="65"/>
        <v>534.05343511450383</v>
      </c>
      <c r="AE106" s="934">
        <f t="shared" si="66"/>
        <v>417.05343511450383</v>
      </c>
      <c r="AF106" s="934">
        <f t="shared" si="67"/>
        <v>641</v>
      </c>
      <c r="AG106" s="934">
        <f t="shared" si="51"/>
        <v>9792.010041103933</v>
      </c>
      <c r="AH106" s="939">
        <f t="shared" si="52"/>
        <v>816.00083675866108</v>
      </c>
      <c r="AI106" s="950"/>
      <c r="AM106" s="947"/>
      <c r="AN106" s="930"/>
      <c r="AQ106" s="928">
        <v>816.00083675866108</v>
      </c>
      <c r="AS106" s="938">
        <f t="shared" ca="1" si="53"/>
        <v>2.7736012189849468</v>
      </c>
      <c r="AT106" s="937">
        <f t="shared" ca="1" si="54"/>
        <v>27159.130986318709</v>
      </c>
      <c r="AU106" s="937"/>
      <c r="AV106" s="936">
        <f t="shared" ca="1" si="55"/>
        <v>1615.4909863187095</v>
      </c>
      <c r="BE106" s="928">
        <f t="shared" si="48"/>
        <v>0</v>
      </c>
      <c r="BG106" s="928">
        <f t="shared" si="49"/>
        <v>0</v>
      </c>
      <c r="BI106" s="928">
        <f t="shared" si="50"/>
        <v>0</v>
      </c>
    </row>
    <row r="107" spans="1:61" s="925" customFormat="1" ht="12" customHeight="1">
      <c r="A107" s="914" t="s">
        <v>1624</v>
      </c>
      <c r="B107" s="914" t="s">
        <v>1625</v>
      </c>
      <c r="C107" s="926">
        <v>2.1</v>
      </c>
      <c r="D107" s="926">
        <v>2.11</v>
      </c>
      <c r="E107" s="926"/>
      <c r="F107" s="926"/>
      <c r="G107" s="927">
        <v>323.40000000000003</v>
      </c>
      <c r="H107" s="927">
        <v>339.56</v>
      </c>
      <c r="I107" s="927">
        <v>506.1</v>
      </c>
      <c r="J107" s="927">
        <v>73.5</v>
      </c>
      <c r="K107" s="927">
        <v>8.4</v>
      </c>
      <c r="L107" s="927">
        <v>6.33</v>
      </c>
      <c r="M107" s="927">
        <v>29.54</v>
      </c>
      <c r="N107" s="927">
        <v>118.16</v>
      </c>
      <c r="O107" s="927">
        <v>73.849999999999994</v>
      </c>
      <c r="P107" s="927">
        <v>92.84</v>
      </c>
      <c r="Q107" s="927">
        <v>94.95</v>
      </c>
      <c r="R107" s="927">
        <v>56.97</v>
      </c>
      <c r="S107" s="927">
        <v>1723.6</v>
      </c>
      <c r="T107" s="926"/>
      <c r="U107" s="934">
        <f t="shared" si="56"/>
        <v>154</v>
      </c>
      <c r="V107" s="934">
        <f t="shared" si="57"/>
        <v>161.6952380952381</v>
      </c>
      <c r="W107" s="934">
        <f t="shared" si="58"/>
        <v>241</v>
      </c>
      <c r="X107" s="934">
        <f t="shared" si="59"/>
        <v>35</v>
      </c>
      <c r="Y107" s="934">
        <f t="shared" si="60"/>
        <v>4</v>
      </c>
      <c r="Z107" s="934">
        <f t="shared" si="61"/>
        <v>3</v>
      </c>
      <c r="AA107" s="934">
        <f t="shared" si="62"/>
        <v>14</v>
      </c>
      <c r="AB107" s="934">
        <f t="shared" si="63"/>
        <v>56</v>
      </c>
      <c r="AC107" s="934">
        <f t="shared" si="64"/>
        <v>35</v>
      </c>
      <c r="AD107" s="934">
        <f t="shared" si="65"/>
        <v>44.000000000000007</v>
      </c>
      <c r="AE107" s="934">
        <f t="shared" si="66"/>
        <v>45.000000000000007</v>
      </c>
      <c r="AF107" s="934">
        <f t="shared" si="67"/>
        <v>27</v>
      </c>
      <c r="AG107" s="934">
        <f t="shared" si="51"/>
        <v>819.6952380952381</v>
      </c>
      <c r="AH107" s="939">
        <f t="shared" si="52"/>
        <v>68.307936507936503</v>
      </c>
      <c r="AI107" s="950"/>
      <c r="AM107" s="947"/>
      <c r="AN107" s="930"/>
      <c r="AQ107" s="928">
        <v>68.307936507936503</v>
      </c>
      <c r="AS107" s="938">
        <f t="shared" ca="1" si="53"/>
        <v>2.233701745060396</v>
      </c>
      <c r="AT107" s="937">
        <f t="shared" ca="1" si="54"/>
        <v>1830.9546837510297</v>
      </c>
      <c r="AU107" s="937"/>
      <c r="AV107" s="936">
        <f t="shared" ca="1" si="55"/>
        <v>107.35468375102982</v>
      </c>
      <c r="BE107" s="928">
        <f t="shared" si="48"/>
        <v>0</v>
      </c>
      <c r="BG107" s="928">
        <f t="shared" si="49"/>
        <v>0</v>
      </c>
      <c r="BI107" s="928">
        <f t="shared" si="50"/>
        <v>0</v>
      </c>
    </row>
    <row r="108" spans="1:61" s="925" customFormat="1" ht="12" customHeight="1">
      <c r="A108" s="914" t="s">
        <v>1626</v>
      </c>
      <c r="B108" s="914" t="s">
        <v>1627</v>
      </c>
      <c r="C108" s="926">
        <v>11.69</v>
      </c>
      <c r="D108" s="926">
        <v>11.76</v>
      </c>
      <c r="E108" s="926"/>
      <c r="F108" s="926"/>
      <c r="G108" s="927">
        <v>56431.570000000007</v>
      </c>
      <c r="H108" s="927">
        <v>61767.390000000007</v>
      </c>
      <c r="I108" s="927">
        <v>62811.609999999993</v>
      </c>
      <c r="J108" s="927">
        <v>63178.99</v>
      </c>
      <c r="K108" s="927">
        <v>63093.744999999995</v>
      </c>
      <c r="L108" s="927">
        <v>62147.544999999998</v>
      </c>
      <c r="M108" s="927">
        <v>61503.799999999996</v>
      </c>
      <c r="N108" s="927">
        <v>60933.85</v>
      </c>
      <c r="O108" s="927">
        <v>60848.590000000004</v>
      </c>
      <c r="P108" s="927">
        <v>59822.64</v>
      </c>
      <c r="Q108" s="927">
        <v>59801.95</v>
      </c>
      <c r="R108" s="927">
        <v>59750.3</v>
      </c>
      <c r="S108" s="927">
        <v>732091.98</v>
      </c>
      <c r="T108" s="926"/>
      <c r="U108" s="934">
        <f t="shared" si="56"/>
        <v>4827.3370402053042</v>
      </c>
      <c r="V108" s="934">
        <f t="shared" si="57"/>
        <v>5283.7801539777593</v>
      </c>
      <c r="W108" s="934">
        <f t="shared" si="58"/>
        <v>5373.1060735671508</v>
      </c>
      <c r="X108" s="934">
        <f t="shared" si="59"/>
        <v>5404.5329341317365</v>
      </c>
      <c r="Y108" s="934">
        <f t="shared" si="60"/>
        <v>5397.2408041060735</v>
      </c>
      <c r="Z108" s="934">
        <f t="shared" si="61"/>
        <v>5284.6551870748299</v>
      </c>
      <c r="AA108" s="934">
        <f t="shared" si="62"/>
        <v>5229.9149659863942</v>
      </c>
      <c r="AB108" s="934">
        <f t="shared" si="63"/>
        <v>5181.449829931973</v>
      </c>
      <c r="AC108" s="934">
        <f t="shared" si="64"/>
        <v>5174.199829931973</v>
      </c>
      <c r="AD108" s="934">
        <f t="shared" si="65"/>
        <v>5086.9591836734699</v>
      </c>
      <c r="AE108" s="934">
        <f t="shared" si="66"/>
        <v>5085.199829931973</v>
      </c>
      <c r="AF108" s="934">
        <f t="shared" si="67"/>
        <v>5080.807823129252</v>
      </c>
      <c r="AG108" s="934">
        <f t="shared" si="51"/>
        <v>62409.183655647896</v>
      </c>
      <c r="AH108" s="939">
        <f t="shared" si="52"/>
        <v>5200.7653046373243</v>
      </c>
      <c r="AI108" s="950"/>
      <c r="AM108" s="947"/>
      <c r="AN108" s="930"/>
      <c r="AQ108" s="928">
        <v>5200.7653046373243</v>
      </c>
      <c r="AS108" s="938">
        <f t="shared" ca="1" si="53"/>
        <v>12.449446692848463</v>
      </c>
      <c r="AT108" s="937">
        <f t="shared" ca="1" si="54"/>
        <v>776959.80506517796</v>
      </c>
      <c r="AU108" s="937"/>
      <c r="AV108" s="936">
        <f t="shared" ca="1" si="55"/>
        <v>44867.825065177982</v>
      </c>
      <c r="BE108" s="928">
        <f t="shared" si="48"/>
        <v>0</v>
      </c>
      <c r="BG108" s="928">
        <f t="shared" si="49"/>
        <v>0</v>
      </c>
      <c r="BI108" s="928">
        <f t="shared" si="50"/>
        <v>0</v>
      </c>
    </row>
    <row r="109" spans="1:61" s="925" customFormat="1" ht="12" customHeight="1">
      <c r="A109" s="914" t="s">
        <v>1628</v>
      </c>
      <c r="B109" s="914" t="s">
        <v>1629</v>
      </c>
      <c r="C109" s="926">
        <v>14.15</v>
      </c>
      <c r="D109" s="926">
        <v>14.24</v>
      </c>
      <c r="E109" s="926"/>
      <c r="F109" s="926"/>
      <c r="G109" s="927">
        <v>7623</v>
      </c>
      <c r="H109" s="927">
        <v>8172.29</v>
      </c>
      <c r="I109" s="927">
        <v>8231.69</v>
      </c>
      <c r="J109" s="927">
        <v>8199.89</v>
      </c>
      <c r="K109" s="927">
        <v>8268.8700000000008</v>
      </c>
      <c r="L109" s="927">
        <v>8319.94</v>
      </c>
      <c r="M109" s="927">
        <v>8361</v>
      </c>
      <c r="N109" s="927">
        <v>8307.2699999999986</v>
      </c>
      <c r="O109" s="927">
        <v>8208.92</v>
      </c>
      <c r="P109" s="927">
        <v>8195.73</v>
      </c>
      <c r="Q109" s="927">
        <v>8213.5300000000007</v>
      </c>
      <c r="R109" s="927">
        <v>8254.4699999999993</v>
      </c>
      <c r="S109" s="927">
        <v>98356.6</v>
      </c>
      <c r="T109" s="926"/>
      <c r="U109" s="934">
        <f t="shared" si="56"/>
        <v>538.72791519434622</v>
      </c>
      <c r="V109" s="934">
        <f t="shared" si="57"/>
        <v>577.5469964664311</v>
      </c>
      <c r="W109" s="934">
        <f t="shared" si="58"/>
        <v>581.7448763250884</v>
      </c>
      <c r="X109" s="934">
        <f t="shared" si="59"/>
        <v>579.49752650176674</v>
      </c>
      <c r="Y109" s="934">
        <f t="shared" si="60"/>
        <v>584.3724381625442</v>
      </c>
      <c r="Z109" s="934">
        <f t="shared" si="61"/>
        <v>584.26544943820227</v>
      </c>
      <c r="AA109" s="934">
        <f t="shared" si="62"/>
        <v>587.14887640449433</v>
      </c>
      <c r="AB109" s="934">
        <f t="shared" si="63"/>
        <v>583.37570224719093</v>
      </c>
      <c r="AC109" s="934">
        <f t="shared" si="64"/>
        <v>576.46910112359546</v>
      </c>
      <c r="AD109" s="934">
        <f t="shared" si="65"/>
        <v>575.5428370786517</v>
      </c>
      <c r="AE109" s="934">
        <f t="shared" si="66"/>
        <v>576.7928370786517</v>
      </c>
      <c r="AF109" s="934">
        <f t="shared" si="67"/>
        <v>579.66783707865159</v>
      </c>
      <c r="AG109" s="934">
        <f t="shared" si="51"/>
        <v>6925.1523930996145</v>
      </c>
      <c r="AH109" s="939">
        <f t="shared" si="52"/>
        <v>577.09603275830125</v>
      </c>
      <c r="AI109" s="950"/>
      <c r="AM109" s="947"/>
      <c r="AN109" s="930"/>
      <c r="AQ109" s="928">
        <v>577.09603275830125</v>
      </c>
      <c r="AS109" s="938">
        <f t="shared" ca="1" si="53"/>
        <v>15.074840213109024</v>
      </c>
      <c r="AT109" s="937">
        <f t="shared" ca="1" si="54"/>
        <v>104395.56577740627</v>
      </c>
      <c r="AU109" s="937"/>
      <c r="AV109" s="936">
        <f t="shared" ca="1" si="55"/>
        <v>6038.9657774062653</v>
      </c>
      <c r="BE109" s="928">
        <f t="shared" si="48"/>
        <v>0</v>
      </c>
      <c r="BG109" s="928">
        <f t="shared" si="49"/>
        <v>0</v>
      </c>
      <c r="BI109" s="928">
        <f t="shared" si="50"/>
        <v>0</v>
      </c>
    </row>
    <row r="110" spans="1:61" s="925" customFormat="1" ht="12" customHeight="1">
      <c r="A110" s="914" t="s">
        <v>1630</v>
      </c>
      <c r="B110" s="914" t="s">
        <v>1631</v>
      </c>
      <c r="C110" s="926">
        <v>17.21</v>
      </c>
      <c r="D110" s="926">
        <v>17.309999999999999</v>
      </c>
      <c r="E110" s="926"/>
      <c r="F110" s="926"/>
      <c r="G110" s="927">
        <v>5893.9699999999993</v>
      </c>
      <c r="H110" s="927">
        <v>6329.93</v>
      </c>
      <c r="I110" s="927">
        <v>6298.83</v>
      </c>
      <c r="J110" s="927">
        <v>6310.97</v>
      </c>
      <c r="K110" s="927">
        <v>6397.7800000000007</v>
      </c>
      <c r="L110" s="927">
        <v>6475.7400000000007</v>
      </c>
      <c r="M110" s="927">
        <v>6489.04</v>
      </c>
      <c r="N110" s="927">
        <v>6443.56</v>
      </c>
      <c r="O110" s="927">
        <v>6473.13</v>
      </c>
      <c r="P110" s="927">
        <v>6426.3</v>
      </c>
      <c r="Q110" s="927">
        <v>6424.22</v>
      </c>
      <c r="R110" s="927">
        <v>6450.13</v>
      </c>
      <c r="S110" s="927">
        <v>76413.600000000006</v>
      </c>
      <c r="T110" s="926"/>
      <c r="U110" s="934">
        <f t="shared" si="56"/>
        <v>342.47356188262631</v>
      </c>
      <c r="V110" s="934">
        <f t="shared" si="57"/>
        <v>367.80534572922721</v>
      </c>
      <c r="W110" s="934">
        <f t="shared" si="58"/>
        <v>365.99825682742591</v>
      </c>
      <c r="X110" s="934">
        <f t="shared" si="59"/>
        <v>366.70366066240558</v>
      </c>
      <c r="Y110" s="934">
        <f t="shared" si="60"/>
        <v>371.74782103428242</v>
      </c>
      <c r="Z110" s="934">
        <f t="shared" si="61"/>
        <v>374.10398613518203</v>
      </c>
      <c r="AA110" s="934">
        <f t="shared" si="62"/>
        <v>374.87232813402659</v>
      </c>
      <c r="AB110" s="934">
        <f t="shared" si="63"/>
        <v>372.24494511842869</v>
      </c>
      <c r="AC110" s="934">
        <f t="shared" si="64"/>
        <v>373.95320623916814</v>
      </c>
      <c r="AD110" s="934">
        <f t="shared" si="65"/>
        <v>371.24783362218375</v>
      </c>
      <c r="AE110" s="934">
        <f t="shared" si="66"/>
        <v>371.12767186597347</v>
      </c>
      <c r="AF110" s="934">
        <f t="shared" si="67"/>
        <v>372.6244945118429</v>
      </c>
      <c r="AG110" s="934">
        <f t="shared" si="51"/>
        <v>4424.9031117627737</v>
      </c>
      <c r="AH110" s="939">
        <f t="shared" si="52"/>
        <v>368.74192598023114</v>
      </c>
      <c r="AI110" s="950"/>
      <c r="AM110" s="947"/>
      <c r="AN110" s="930"/>
      <c r="AQ110" s="928">
        <v>368.74192598023114</v>
      </c>
      <c r="AS110" s="938">
        <f t="shared" ca="1" si="53"/>
        <v>18.324823320850925</v>
      </c>
      <c r="AT110" s="937">
        <f t="shared" ca="1" si="54"/>
        <v>81085.56773493631</v>
      </c>
      <c r="AU110" s="937"/>
      <c r="AV110" s="936">
        <f t="shared" ca="1" si="55"/>
        <v>4671.9677349363046</v>
      </c>
      <c r="BE110" s="928">
        <f t="shared" si="48"/>
        <v>0</v>
      </c>
      <c r="BG110" s="928">
        <f t="shared" si="49"/>
        <v>0</v>
      </c>
      <c r="BI110" s="928">
        <f t="shared" si="50"/>
        <v>0</v>
      </c>
    </row>
    <row r="111" spans="1:61" s="925" customFormat="1" ht="12" customHeight="1">
      <c r="A111" s="914" t="s">
        <v>1632</v>
      </c>
      <c r="B111" s="914" t="s">
        <v>1633</v>
      </c>
      <c r="C111" s="926">
        <v>19.95</v>
      </c>
      <c r="D111" s="926">
        <v>20.07</v>
      </c>
      <c r="E111" s="926"/>
      <c r="F111" s="926"/>
      <c r="G111" s="927">
        <v>10012.159999999998</v>
      </c>
      <c r="H111" s="927">
        <v>10829.97</v>
      </c>
      <c r="I111" s="927">
        <v>10939.859999999999</v>
      </c>
      <c r="J111" s="927">
        <v>10882.519999999999</v>
      </c>
      <c r="K111" s="927">
        <v>10957.289999999999</v>
      </c>
      <c r="L111" s="927">
        <v>11091.45</v>
      </c>
      <c r="M111" s="927">
        <v>11143.43</v>
      </c>
      <c r="N111" s="927">
        <v>11268.96</v>
      </c>
      <c r="O111" s="927">
        <v>11273.960000000001</v>
      </c>
      <c r="P111" s="927">
        <v>11243.61</v>
      </c>
      <c r="Q111" s="927">
        <v>11165.93</v>
      </c>
      <c r="R111" s="927">
        <v>11279.01</v>
      </c>
      <c r="S111" s="927">
        <v>132088.15</v>
      </c>
      <c r="T111" s="926"/>
      <c r="U111" s="934">
        <f t="shared" si="56"/>
        <v>501.86265664160391</v>
      </c>
      <c r="V111" s="934">
        <f t="shared" si="57"/>
        <v>542.8556390977443</v>
      </c>
      <c r="W111" s="934">
        <f t="shared" si="58"/>
        <v>548.36390977443602</v>
      </c>
      <c r="X111" s="934">
        <f t="shared" si="59"/>
        <v>545.48972431077686</v>
      </c>
      <c r="Y111" s="934">
        <f t="shared" si="60"/>
        <v>549.23759398496236</v>
      </c>
      <c r="Z111" s="934">
        <f t="shared" si="61"/>
        <v>552.63826606875932</v>
      </c>
      <c r="AA111" s="934">
        <f t="shared" si="62"/>
        <v>555.22820129546585</v>
      </c>
      <c r="AB111" s="934">
        <f t="shared" si="63"/>
        <v>561.48281016442445</v>
      </c>
      <c r="AC111" s="934">
        <f t="shared" si="64"/>
        <v>561.73193821624318</v>
      </c>
      <c r="AD111" s="934">
        <f t="shared" si="65"/>
        <v>560.21973094170403</v>
      </c>
      <c r="AE111" s="934">
        <f t="shared" si="66"/>
        <v>556.34927752864974</v>
      </c>
      <c r="AF111" s="934">
        <f t="shared" si="67"/>
        <v>561.98355754857994</v>
      </c>
      <c r="AG111" s="934">
        <f t="shared" si="51"/>
        <v>6597.4433055733498</v>
      </c>
      <c r="AH111" s="939">
        <f t="shared" si="52"/>
        <v>549.78694213111248</v>
      </c>
      <c r="AI111" s="950"/>
      <c r="AM111" s="947"/>
      <c r="AN111" s="930"/>
      <c r="AQ111" s="928">
        <v>549.78694213111248</v>
      </c>
      <c r="AS111" s="938">
        <f t="shared" ca="1" si="53"/>
        <v>21.24663223856026</v>
      </c>
      <c r="AT111" s="937">
        <f t="shared" ca="1" si="54"/>
        <v>140173.45162826829</v>
      </c>
      <c r="AU111" s="937"/>
      <c r="AV111" s="936">
        <f t="shared" ca="1" si="55"/>
        <v>8085.3016282682947</v>
      </c>
      <c r="BE111" s="928">
        <f t="shared" si="48"/>
        <v>0</v>
      </c>
      <c r="BG111" s="928">
        <f t="shared" si="49"/>
        <v>0</v>
      </c>
      <c r="BI111" s="928">
        <f t="shared" si="50"/>
        <v>0</v>
      </c>
    </row>
    <row r="112" spans="1:61" s="925" customFormat="1" ht="12" customHeight="1">
      <c r="A112" s="914" t="s">
        <v>1634</v>
      </c>
      <c r="B112" s="914" t="s">
        <v>1635</v>
      </c>
      <c r="C112" s="926">
        <v>26.6</v>
      </c>
      <c r="D112" s="926">
        <v>26.76</v>
      </c>
      <c r="E112" s="926"/>
      <c r="F112" s="926"/>
      <c r="G112" s="927">
        <v>446.76</v>
      </c>
      <c r="H112" s="927">
        <v>453.88</v>
      </c>
      <c r="I112" s="927">
        <v>478.79999999999995</v>
      </c>
      <c r="J112" s="927">
        <v>478.79999999999995</v>
      </c>
      <c r="K112" s="927">
        <v>478.79999999999995</v>
      </c>
      <c r="L112" s="927">
        <v>479.12</v>
      </c>
      <c r="M112" s="927">
        <v>481.36</v>
      </c>
      <c r="N112" s="927">
        <v>481.36</v>
      </c>
      <c r="O112" s="927">
        <v>481.36</v>
      </c>
      <c r="P112" s="927">
        <v>481.36</v>
      </c>
      <c r="Q112" s="927">
        <v>481.36</v>
      </c>
      <c r="R112" s="927">
        <v>481.36</v>
      </c>
      <c r="S112" s="927">
        <v>5704.3199999999988</v>
      </c>
      <c r="T112" s="926"/>
      <c r="U112" s="934">
        <f t="shared" si="56"/>
        <v>16.79548872180451</v>
      </c>
      <c r="V112" s="934">
        <f t="shared" si="57"/>
        <v>17.06315789473684</v>
      </c>
      <c r="W112" s="934">
        <f t="shared" si="58"/>
        <v>17.999999999999996</v>
      </c>
      <c r="X112" s="934">
        <f t="shared" si="59"/>
        <v>17.999999999999996</v>
      </c>
      <c r="Y112" s="934">
        <f t="shared" si="60"/>
        <v>17.999999999999996</v>
      </c>
      <c r="Z112" s="934">
        <f t="shared" si="61"/>
        <v>17.904334828101643</v>
      </c>
      <c r="AA112" s="934">
        <f t="shared" si="62"/>
        <v>17.988041853512705</v>
      </c>
      <c r="AB112" s="934">
        <f t="shared" si="63"/>
        <v>17.988041853512705</v>
      </c>
      <c r="AC112" s="934">
        <f t="shared" si="64"/>
        <v>17.988041853512705</v>
      </c>
      <c r="AD112" s="934">
        <f t="shared" si="65"/>
        <v>17.988041853512705</v>
      </c>
      <c r="AE112" s="934">
        <f t="shared" si="66"/>
        <v>17.988041853512705</v>
      </c>
      <c r="AF112" s="934">
        <f t="shared" si="67"/>
        <v>17.988041853512705</v>
      </c>
      <c r="AG112" s="934">
        <f t="shared" si="51"/>
        <v>213.69123256571919</v>
      </c>
      <c r="AH112" s="939">
        <f t="shared" si="52"/>
        <v>17.807602713809931</v>
      </c>
      <c r="AI112" s="950"/>
      <c r="AM112" s="947"/>
      <c r="AN112" s="930"/>
      <c r="AQ112" s="928">
        <v>17.807602713809931</v>
      </c>
      <c r="AS112" s="938">
        <f t="shared" ca="1" si="53"/>
        <v>28.328842984747016</v>
      </c>
      <c r="AT112" s="937">
        <f t="shared" ca="1" si="54"/>
        <v>6053.6253745713166</v>
      </c>
      <c r="AU112" s="937"/>
      <c r="AV112" s="936">
        <f t="shared" ca="1" si="55"/>
        <v>349.30537457131777</v>
      </c>
      <c r="BE112" s="928">
        <f t="shared" si="48"/>
        <v>0</v>
      </c>
      <c r="BG112" s="928">
        <f t="shared" si="49"/>
        <v>0</v>
      </c>
      <c r="BI112" s="928">
        <f t="shared" si="50"/>
        <v>0</v>
      </c>
    </row>
    <row r="113" spans="1:16382" s="925" customFormat="1" ht="12" customHeight="1">
      <c r="A113" s="914" t="s">
        <v>1636</v>
      </c>
      <c r="B113" s="914" t="s">
        <v>1637</v>
      </c>
      <c r="C113" s="926">
        <v>0.44</v>
      </c>
      <c r="D113" s="926">
        <v>0.44</v>
      </c>
      <c r="E113" s="926"/>
      <c r="F113" s="926"/>
      <c r="G113" s="927">
        <v>506.76</v>
      </c>
      <c r="H113" s="927">
        <v>579.94000000000005</v>
      </c>
      <c r="I113" s="927">
        <v>636.24</v>
      </c>
      <c r="J113" s="927">
        <v>645.26</v>
      </c>
      <c r="K113" s="927">
        <v>529.31999999999994</v>
      </c>
      <c r="L113" s="927">
        <v>312.83999999999997</v>
      </c>
      <c r="M113" s="927">
        <v>302.72000000000003</v>
      </c>
      <c r="N113" s="927">
        <v>246.4</v>
      </c>
      <c r="O113" s="927">
        <v>186.12000000000003</v>
      </c>
      <c r="P113" s="927">
        <v>198.44</v>
      </c>
      <c r="Q113" s="927">
        <v>187.44</v>
      </c>
      <c r="R113" s="927">
        <v>262.24</v>
      </c>
      <c r="S113" s="927">
        <v>4593.7199999999993</v>
      </c>
      <c r="T113" s="926"/>
      <c r="U113" s="934">
        <f t="shared" si="56"/>
        <v>1151.7272727272727</v>
      </c>
      <c r="V113" s="934">
        <f t="shared" si="57"/>
        <v>1318.0454545454547</v>
      </c>
      <c r="W113" s="934">
        <f t="shared" si="58"/>
        <v>1446</v>
      </c>
      <c r="X113" s="934">
        <f t="shared" si="59"/>
        <v>1466.5</v>
      </c>
      <c r="Y113" s="934">
        <f t="shared" si="60"/>
        <v>1202.9999999999998</v>
      </c>
      <c r="Z113" s="934">
        <f t="shared" si="61"/>
        <v>710.99999999999989</v>
      </c>
      <c r="AA113" s="934">
        <f t="shared" si="62"/>
        <v>688.00000000000011</v>
      </c>
      <c r="AB113" s="934">
        <f t="shared" si="63"/>
        <v>560</v>
      </c>
      <c r="AC113" s="934">
        <f t="shared" si="64"/>
        <v>423.00000000000006</v>
      </c>
      <c r="AD113" s="934">
        <f t="shared" si="65"/>
        <v>451</v>
      </c>
      <c r="AE113" s="934">
        <f t="shared" si="66"/>
        <v>426</v>
      </c>
      <c r="AF113" s="934">
        <f t="shared" si="67"/>
        <v>596</v>
      </c>
      <c r="AG113" s="934">
        <f t="shared" si="51"/>
        <v>10440.272727272728</v>
      </c>
      <c r="AH113" s="939">
        <f t="shared" si="52"/>
        <v>870.02272727272737</v>
      </c>
      <c r="AI113" s="950"/>
      <c r="AM113" s="947"/>
      <c r="AN113" s="930"/>
      <c r="AQ113" s="928">
        <v>870.02272727272737</v>
      </c>
      <c r="AS113" s="938">
        <f t="shared" ca="1" si="53"/>
        <v>0.46579562456235746</v>
      </c>
      <c r="AT113" s="937">
        <f t="shared" ca="1" si="54"/>
        <v>4863.0333556013475</v>
      </c>
      <c r="AU113" s="937"/>
      <c r="AV113" s="936">
        <f t="shared" ca="1" si="55"/>
        <v>269.31335560134812</v>
      </c>
      <c r="BE113" s="928">
        <f t="shared" si="48"/>
        <v>0</v>
      </c>
      <c r="BG113" s="928">
        <f t="shared" si="49"/>
        <v>0</v>
      </c>
      <c r="BI113" s="928">
        <f t="shared" si="50"/>
        <v>0</v>
      </c>
    </row>
    <row r="114" spans="1:16382" s="925" customFormat="1" ht="12" customHeight="1">
      <c r="A114" s="914" t="s">
        <v>1638</v>
      </c>
      <c r="B114" s="914" t="s">
        <v>1639</v>
      </c>
      <c r="C114" s="926">
        <v>0.65</v>
      </c>
      <c r="D114" s="926">
        <v>0.65</v>
      </c>
      <c r="E114" s="926"/>
      <c r="F114" s="926"/>
      <c r="G114" s="927">
        <v>59.17</v>
      </c>
      <c r="H114" s="927">
        <v>55.25</v>
      </c>
      <c r="I114" s="927">
        <v>40.950000000000003</v>
      </c>
      <c r="J114" s="927">
        <v>39</v>
      </c>
      <c r="K114" s="927">
        <v>14.95</v>
      </c>
      <c r="L114" s="927">
        <v>20.799999999999997</v>
      </c>
      <c r="M114" s="927">
        <v>15.6</v>
      </c>
      <c r="N114" s="927">
        <v>0</v>
      </c>
      <c r="O114" s="927">
        <v>0</v>
      </c>
      <c r="P114" s="927">
        <v>0</v>
      </c>
      <c r="Q114" s="927">
        <v>0</v>
      </c>
      <c r="R114" s="927">
        <v>0</v>
      </c>
      <c r="S114" s="927">
        <v>245.72</v>
      </c>
      <c r="T114" s="926"/>
      <c r="U114" s="934">
        <f t="shared" si="56"/>
        <v>91.030769230769224</v>
      </c>
      <c r="V114" s="934">
        <f t="shared" si="57"/>
        <v>85</v>
      </c>
      <c r="W114" s="934">
        <f t="shared" si="58"/>
        <v>63</v>
      </c>
      <c r="X114" s="934">
        <f t="shared" si="59"/>
        <v>60</v>
      </c>
      <c r="Y114" s="934">
        <f t="shared" si="60"/>
        <v>22.999999999999996</v>
      </c>
      <c r="Z114" s="934">
        <f t="shared" si="61"/>
        <v>31.999999999999993</v>
      </c>
      <c r="AA114" s="934">
        <f t="shared" si="62"/>
        <v>24</v>
      </c>
      <c r="AB114" s="934">
        <f t="shared" si="63"/>
        <v>0</v>
      </c>
      <c r="AC114" s="934">
        <f t="shared" si="64"/>
        <v>0</v>
      </c>
      <c r="AD114" s="934">
        <f t="shared" si="65"/>
        <v>0</v>
      </c>
      <c r="AE114" s="934">
        <f t="shared" si="66"/>
        <v>0</v>
      </c>
      <c r="AF114" s="934">
        <f t="shared" si="67"/>
        <v>0</v>
      </c>
      <c r="AG114" s="934">
        <f t="shared" si="51"/>
        <v>378.03076923076924</v>
      </c>
      <c r="AH114" s="939">
        <f t="shared" si="52"/>
        <v>31.502564102564104</v>
      </c>
      <c r="AI114" s="950"/>
      <c r="AM114" s="947"/>
      <c r="AN114" s="930"/>
      <c r="AQ114" s="928">
        <v>31.502564102564104</v>
      </c>
      <c r="AS114" s="938">
        <f t="shared" ca="1" si="53"/>
        <v>0.68810717264893717</v>
      </c>
      <c r="AT114" s="937">
        <f t="shared" ca="1" si="54"/>
        <v>260.12568378968746</v>
      </c>
      <c r="AU114" s="937"/>
      <c r="AV114" s="936">
        <f t="shared" ca="1" si="55"/>
        <v>14.405683789687458</v>
      </c>
      <c r="BE114" s="928">
        <f t="shared" si="48"/>
        <v>0</v>
      </c>
      <c r="BG114" s="928">
        <f t="shared" si="49"/>
        <v>0</v>
      </c>
      <c r="BI114" s="928">
        <f t="shared" si="50"/>
        <v>0</v>
      </c>
    </row>
    <row r="115" spans="1:16382" s="925" customFormat="1" ht="12" customHeight="1">
      <c r="A115" s="914" t="s">
        <v>1640</v>
      </c>
      <c r="B115" s="914" t="s">
        <v>1641</v>
      </c>
      <c r="C115" s="926">
        <v>0.74</v>
      </c>
      <c r="D115" s="926">
        <v>0.74</v>
      </c>
      <c r="E115" s="926"/>
      <c r="F115" s="926"/>
      <c r="G115" s="927">
        <v>0</v>
      </c>
      <c r="H115" s="927">
        <v>0</v>
      </c>
      <c r="I115" s="927">
        <v>21.46</v>
      </c>
      <c r="J115" s="927">
        <v>24.419999999999998</v>
      </c>
      <c r="K115" s="927">
        <v>7.4</v>
      </c>
      <c r="L115" s="927">
        <v>0</v>
      </c>
      <c r="M115" s="927">
        <v>0</v>
      </c>
      <c r="N115" s="927">
        <v>0</v>
      </c>
      <c r="O115" s="927">
        <v>0</v>
      </c>
      <c r="P115" s="927">
        <v>2.2200000000000002</v>
      </c>
      <c r="Q115" s="927">
        <v>0</v>
      </c>
      <c r="R115" s="927">
        <v>19.239999999999998</v>
      </c>
      <c r="S115" s="927">
        <v>74.739999999999995</v>
      </c>
      <c r="T115" s="926"/>
      <c r="U115" s="934">
        <f t="shared" si="56"/>
        <v>0</v>
      </c>
      <c r="V115" s="934">
        <f t="shared" si="57"/>
        <v>0</v>
      </c>
      <c r="W115" s="934">
        <f t="shared" si="58"/>
        <v>29</v>
      </c>
      <c r="X115" s="934">
        <f t="shared" si="59"/>
        <v>33</v>
      </c>
      <c r="Y115" s="934">
        <f t="shared" si="60"/>
        <v>10</v>
      </c>
      <c r="Z115" s="934">
        <f t="shared" si="61"/>
        <v>0</v>
      </c>
      <c r="AA115" s="934">
        <f t="shared" si="62"/>
        <v>0</v>
      </c>
      <c r="AB115" s="934">
        <f t="shared" si="63"/>
        <v>0</v>
      </c>
      <c r="AC115" s="934">
        <f t="shared" si="64"/>
        <v>0</v>
      </c>
      <c r="AD115" s="934">
        <f t="shared" si="65"/>
        <v>3.0000000000000004</v>
      </c>
      <c r="AE115" s="934">
        <f t="shared" si="66"/>
        <v>0</v>
      </c>
      <c r="AF115" s="934">
        <f t="shared" si="67"/>
        <v>25.999999999999996</v>
      </c>
      <c r="AG115" s="934">
        <f t="shared" si="51"/>
        <v>101</v>
      </c>
      <c r="AH115" s="939">
        <f t="shared" si="52"/>
        <v>8.4166666666666661</v>
      </c>
      <c r="AI115" s="950"/>
      <c r="AM115" s="947"/>
      <c r="AN115" s="930"/>
      <c r="AQ115" s="928">
        <v>8.4166666666666661</v>
      </c>
      <c r="AS115" s="938">
        <f t="shared" ca="1" si="53"/>
        <v>0.78338355040032848</v>
      </c>
      <c r="AT115" s="937">
        <f t="shared" ca="1" si="54"/>
        <v>79.121738590433168</v>
      </c>
      <c r="AU115" s="937"/>
      <c r="AV115" s="936">
        <f t="shared" ca="1" si="55"/>
        <v>4.3817385904331729</v>
      </c>
      <c r="BE115" s="928">
        <f t="shared" si="48"/>
        <v>0</v>
      </c>
      <c r="BG115" s="928">
        <f t="shared" si="49"/>
        <v>0</v>
      </c>
      <c r="BI115" s="928">
        <f t="shared" si="50"/>
        <v>0</v>
      </c>
    </row>
    <row r="116" spans="1:16382" s="925" customFormat="1" ht="12" customHeight="1">
      <c r="A116" s="914" t="s">
        <v>1642</v>
      </c>
      <c r="B116" s="914" t="s">
        <v>1643</v>
      </c>
      <c r="C116" s="926">
        <v>1.08</v>
      </c>
      <c r="D116" s="926">
        <v>1.0900000000000001</v>
      </c>
      <c r="E116" s="926"/>
      <c r="F116" s="926"/>
      <c r="G116" s="927">
        <v>129.28</v>
      </c>
      <c r="H116" s="927">
        <v>180.36</v>
      </c>
      <c r="I116" s="927">
        <v>143.63999999999999</v>
      </c>
      <c r="J116" s="927">
        <v>162</v>
      </c>
      <c r="K116" s="927">
        <v>93.960000000000008</v>
      </c>
      <c r="L116" s="927">
        <v>134.10000000000002</v>
      </c>
      <c r="M116" s="927">
        <v>206.01</v>
      </c>
      <c r="N116" s="927">
        <v>98.1</v>
      </c>
      <c r="O116" s="927">
        <v>-196.2</v>
      </c>
      <c r="P116" s="927">
        <v>0</v>
      </c>
      <c r="Q116" s="927">
        <v>0</v>
      </c>
      <c r="R116" s="927">
        <v>0</v>
      </c>
      <c r="S116" s="927">
        <v>951.24999999999977</v>
      </c>
      <c r="T116" s="926"/>
      <c r="U116" s="934">
        <f t="shared" si="56"/>
        <v>119.7037037037037</v>
      </c>
      <c r="V116" s="934">
        <f t="shared" si="57"/>
        <v>167</v>
      </c>
      <c r="W116" s="934">
        <f t="shared" si="58"/>
        <v>132.99999999999997</v>
      </c>
      <c r="X116" s="934">
        <f t="shared" si="59"/>
        <v>150</v>
      </c>
      <c r="Y116" s="934">
        <f t="shared" si="60"/>
        <v>87</v>
      </c>
      <c r="Z116" s="934">
        <f t="shared" si="61"/>
        <v>123.02752293577983</v>
      </c>
      <c r="AA116" s="934">
        <f t="shared" si="62"/>
        <v>188.99999999999997</v>
      </c>
      <c r="AB116" s="934">
        <f t="shared" si="63"/>
        <v>89.999999999999986</v>
      </c>
      <c r="AC116" s="934">
        <f t="shared" si="64"/>
        <v>-179.99999999999997</v>
      </c>
      <c r="AD116" s="934">
        <f t="shared" si="65"/>
        <v>0</v>
      </c>
      <c r="AE116" s="934">
        <f t="shared" si="66"/>
        <v>0</v>
      </c>
      <c r="AF116" s="934">
        <f t="shared" si="67"/>
        <v>0</v>
      </c>
      <c r="AG116" s="934">
        <f t="shared" si="51"/>
        <v>878.73122663948357</v>
      </c>
      <c r="AH116" s="939">
        <f t="shared" si="52"/>
        <v>73.227602219956964</v>
      </c>
      <c r="AI116" s="950"/>
      <c r="AM116" s="947"/>
      <c r="AN116" s="930"/>
      <c r="AQ116" s="928">
        <v>73.227602219956964</v>
      </c>
      <c r="AS116" s="938">
        <f t="shared" ca="1" si="53"/>
        <v>1.1539027972112947</v>
      </c>
      <c r="AT116" s="937">
        <f t="shared" ca="1" si="54"/>
        <v>1013.9704204162124</v>
      </c>
      <c r="AU116" s="937"/>
      <c r="AV116" s="936">
        <f t="shared" ca="1" si="55"/>
        <v>62.720420416212619</v>
      </c>
      <c r="BE116" s="928">
        <f t="shared" si="48"/>
        <v>0</v>
      </c>
      <c r="BG116" s="928">
        <f t="shared" si="49"/>
        <v>0</v>
      </c>
      <c r="BI116" s="928">
        <f t="shared" si="50"/>
        <v>0</v>
      </c>
    </row>
    <row r="117" spans="1:16382" s="925" customFormat="1" ht="12" customHeight="1">
      <c r="A117" s="914" t="s">
        <v>1644</v>
      </c>
      <c r="B117" s="914" t="s">
        <v>1645</v>
      </c>
      <c r="C117" s="926">
        <v>4.0199999999999996</v>
      </c>
      <c r="D117" s="926">
        <v>4.07</v>
      </c>
      <c r="E117" s="951"/>
      <c r="F117" s="951"/>
      <c r="G117" s="927">
        <v>0</v>
      </c>
      <c r="H117" s="927">
        <v>0</v>
      </c>
      <c r="I117" s="927">
        <v>0</v>
      </c>
      <c r="J117" s="927">
        <v>0</v>
      </c>
      <c r="K117" s="927">
        <v>0</v>
      </c>
      <c r="L117" s="927">
        <v>0</v>
      </c>
      <c r="M117" s="927">
        <v>0</v>
      </c>
      <c r="N117" s="927">
        <v>0</v>
      </c>
      <c r="O117" s="927">
        <v>0</v>
      </c>
      <c r="P117" s="927">
        <v>0</v>
      </c>
      <c r="Q117" s="927">
        <v>0</v>
      </c>
      <c r="R117" s="927">
        <v>0</v>
      </c>
      <c r="S117" s="927">
        <v>0</v>
      </c>
      <c r="T117" s="951"/>
      <c r="U117" s="934">
        <f t="shared" si="56"/>
        <v>0</v>
      </c>
      <c r="V117" s="934">
        <f t="shared" si="57"/>
        <v>0</v>
      </c>
      <c r="W117" s="934">
        <f t="shared" si="58"/>
        <v>0</v>
      </c>
      <c r="X117" s="934">
        <f t="shared" si="59"/>
        <v>0</v>
      </c>
      <c r="Y117" s="934">
        <f t="shared" si="60"/>
        <v>0</v>
      </c>
      <c r="Z117" s="934">
        <f t="shared" si="61"/>
        <v>0</v>
      </c>
      <c r="AA117" s="934">
        <f t="shared" si="62"/>
        <v>0</v>
      </c>
      <c r="AB117" s="934">
        <f t="shared" si="63"/>
        <v>0</v>
      </c>
      <c r="AC117" s="934">
        <f t="shared" si="64"/>
        <v>0</v>
      </c>
      <c r="AD117" s="934">
        <f t="shared" si="65"/>
        <v>0</v>
      </c>
      <c r="AE117" s="934">
        <f t="shared" si="66"/>
        <v>0</v>
      </c>
      <c r="AF117" s="934">
        <f t="shared" si="67"/>
        <v>0</v>
      </c>
      <c r="AG117" s="934">
        <f t="shared" si="51"/>
        <v>0</v>
      </c>
      <c r="AH117" s="939">
        <f t="shared" si="52"/>
        <v>0</v>
      </c>
      <c r="AI117" s="950"/>
      <c r="AK117" s="950"/>
      <c r="AL117" s="950"/>
      <c r="AM117" s="950"/>
      <c r="AN117" s="950"/>
      <c r="AO117" s="950"/>
      <c r="AP117" s="950"/>
      <c r="AQ117" s="928">
        <v>0</v>
      </c>
      <c r="AR117" s="950"/>
      <c r="AS117" s="938">
        <f t="shared" ca="1" si="53"/>
        <v>4.3086095272018072</v>
      </c>
      <c r="AT117" s="937">
        <f t="shared" ca="1" si="54"/>
        <v>0</v>
      </c>
      <c r="AU117" s="937"/>
      <c r="AV117" s="936">
        <f t="shared" ca="1" si="55"/>
        <v>0</v>
      </c>
      <c r="AW117" s="950"/>
      <c r="AX117" s="950"/>
      <c r="AY117" s="950"/>
      <c r="AZ117" s="950"/>
      <c r="BA117" s="950"/>
      <c r="BB117" s="950"/>
      <c r="BC117" s="950"/>
      <c r="BD117" s="950"/>
      <c r="BE117" s="928">
        <f t="shared" si="48"/>
        <v>0</v>
      </c>
      <c r="BF117" s="950"/>
      <c r="BG117" s="928">
        <f t="shared" si="49"/>
        <v>0</v>
      </c>
      <c r="BH117" s="950"/>
      <c r="BI117" s="928">
        <f t="shared" si="50"/>
        <v>0</v>
      </c>
      <c r="BJ117" s="950"/>
      <c r="BK117" s="950"/>
      <c r="BL117" s="950"/>
      <c r="BM117" s="950"/>
      <c r="BN117" s="950"/>
      <c r="BO117" s="950"/>
      <c r="BP117" s="950"/>
      <c r="BQ117" s="950"/>
      <c r="BR117" s="950"/>
      <c r="BS117" s="950"/>
      <c r="BT117" s="950"/>
      <c r="BU117" s="950"/>
      <c r="BV117" s="950"/>
      <c r="BW117" s="950"/>
      <c r="BX117" s="950"/>
      <c r="BY117" s="950"/>
      <c r="BZ117" s="950"/>
      <c r="CA117" s="950"/>
      <c r="CB117" s="950"/>
      <c r="CC117" s="950"/>
      <c r="CD117" s="950"/>
      <c r="CE117" s="950"/>
      <c r="CF117" s="950"/>
      <c r="CG117" s="950"/>
      <c r="CH117" s="950"/>
      <c r="CI117" s="950"/>
      <c r="CJ117" s="950"/>
      <c r="CK117" s="950"/>
      <c r="CL117" s="950"/>
      <c r="CM117" s="950"/>
      <c r="CN117" s="950"/>
      <c r="CO117" s="950"/>
      <c r="CP117" s="950"/>
      <c r="CQ117" s="950"/>
      <c r="CR117" s="950"/>
      <c r="CS117" s="950"/>
      <c r="CT117" s="950"/>
      <c r="CU117" s="950"/>
      <c r="CV117" s="950"/>
      <c r="CW117" s="950"/>
      <c r="CX117" s="950"/>
      <c r="CY117" s="950"/>
      <c r="CZ117" s="950"/>
      <c r="DA117" s="950"/>
      <c r="DB117" s="950"/>
      <c r="DC117" s="950"/>
      <c r="DD117" s="950"/>
      <c r="DE117" s="950"/>
      <c r="DF117" s="950"/>
      <c r="DG117" s="950"/>
      <c r="DH117" s="950"/>
      <c r="DI117" s="950"/>
      <c r="DJ117" s="950"/>
      <c r="DK117" s="950"/>
      <c r="DL117" s="950"/>
      <c r="DM117" s="950"/>
      <c r="DN117" s="950"/>
      <c r="DO117" s="950"/>
      <c r="DP117" s="950"/>
      <c r="DQ117" s="950"/>
      <c r="DR117" s="950"/>
      <c r="DS117" s="950"/>
      <c r="DT117" s="950"/>
      <c r="DU117" s="950"/>
      <c r="DV117" s="950"/>
      <c r="DW117" s="950"/>
      <c r="DX117" s="950"/>
      <c r="DY117" s="950"/>
      <c r="DZ117" s="950"/>
      <c r="EA117" s="950"/>
      <c r="EB117" s="950"/>
      <c r="EC117" s="950"/>
      <c r="ED117" s="950"/>
      <c r="EE117" s="950"/>
      <c r="EF117" s="950"/>
      <c r="EG117" s="950"/>
      <c r="EH117" s="950"/>
      <c r="EI117" s="950"/>
      <c r="EJ117" s="950"/>
      <c r="EK117" s="950"/>
      <c r="EL117" s="950"/>
      <c r="EM117" s="950"/>
      <c r="EN117" s="950"/>
      <c r="EO117" s="950"/>
      <c r="EP117" s="950"/>
      <c r="EQ117" s="950"/>
      <c r="ER117" s="950"/>
      <c r="ES117" s="950"/>
      <c r="ET117" s="950"/>
      <c r="EU117" s="950"/>
      <c r="EV117" s="950"/>
      <c r="EW117" s="950"/>
      <c r="EX117" s="950"/>
      <c r="EY117" s="950"/>
      <c r="EZ117" s="950"/>
      <c r="FA117" s="950"/>
      <c r="FB117" s="950"/>
      <c r="FC117" s="950"/>
      <c r="FD117" s="950"/>
      <c r="FE117" s="950"/>
      <c r="FF117" s="950"/>
      <c r="FG117" s="950"/>
      <c r="FH117" s="950"/>
      <c r="FI117" s="950"/>
      <c r="FJ117" s="950"/>
      <c r="FK117" s="950"/>
      <c r="FL117" s="950"/>
      <c r="FM117" s="950"/>
      <c r="FN117" s="950"/>
      <c r="FO117" s="950"/>
      <c r="FP117" s="950"/>
      <c r="FQ117" s="950"/>
      <c r="FR117" s="950"/>
      <c r="FS117" s="950"/>
      <c r="FT117" s="950"/>
      <c r="FU117" s="950"/>
      <c r="FV117" s="950"/>
      <c r="FW117" s="950"/>
      <c r="FX117" s="950"/>
      <c r="FY117" s="950"/>
      <c r="FZ117" s="950"/>
      <c r="GA117" s="950"/>
      <c r="GB117" s="950"/>
      <c r="GC117" s="950"/>
      <c r="GD117" s="950"/>
      <c r="GE117" s="950"/>
      <c r="GF117" s="950"/>
      <c r="GG117" s="950"/>
      <c r="GH117" s="950"/>
      <c r="GI117" s="950"/>
      <c r="GJ117" s="950"/>
      <c r="GK117" s="950"/>
      <c r="GL117" s="950"/>
      <c r="GM117" s="950"/>
      <c r="GN117" s="950"/>
      <c r="GO117" s="950"/>
      <c r="GP117" s="950"/>
      <c r="GQ117" s="950"/>
      <c r="GR117" s="950"/>
      <c r="GS117" s="950"/>
      <c r="GT117" s="950"/>
      <c r="GU117" s="950"/>
      <c r="GV117" s="950"/>
      <c r="GW117" s="950"/>
      <c r="GX117" s="950"/>
      <c r="GY117" s="950"/>
      <c r="GZ117" s="950"/>
      <c r="HA117" s="950"/>
      <c r="HB117" s="950"/>
      <c r="HC117" s="950"/>
      <c r="HD117" s="950"/>
      <c r="HE117" s="950"/>
      <c r="HF117" s="950"/>
      <c r="HG117" s="950"/>
      <c r="HH117" s="950"/>
      <c r="HI117" s="950"/>
      <c r="HJ117" s="950"/>
      <c r="HK117" s="950"/>
      <c r="HL117" s="950"/>
      <c r="HM117" s="950"/>
      <c r="HN117" s="950"/>
      <c r="HO117" s="950"/>
      <c r="HP117" s="950"/>
      <c r="HQ117" s="950"/>
      <c r="HR117" s="950"/>
      <c r="HS117" s="950"/>
      <c r="HT117" s="950"/>
      <c r="HU117" s="950"/>
      <c r="HV117" s="950"/>
      <c r="HW117" s="950"/>
      <c r="HX117" s="950"/>
      <c r="HY117" s="950"/>
      <c r="HZ117" s="950"/>
      <c r="IA117" s="950"/>
      <c r="IB117" s="950"/>
      <c r="IC117" s="950"/>
      <c r="ID117" s="950"/>
      <c r="IE117" s="950"/>
      <c r="IF117" s="950"/>
      <c r="IG117" s="950"/>
      <c r="IH117" s="950"/>
      <c r="II117" s="950"/>
      <c r="IJ117" s="950"/>
      <c r="IK117" s="950"/>
      <c r="IL117" s="950"/>
      <c r="IM117" s="950"/>
      <c r="IN117" s="950"/>
      <c r="IO117" s="950"/>
      <c r="IP117" s="950"/>
      <c r="IQ117" s="950"/>
      <c r="IR117" s="950"/>
      <c r="IS117" s="950"/>
      <c r="IT117" s="950"/>
      <c r="IU117" s="950"/>
      <c r="IV117" s="950"/>
      <c r="IW117" s="950"/>
      <c r="IX117" s="950"/>
      <c r="IY117" s="950"/>
      <c r="IZ117" s="950"/>
      <c r="JA117" s="950"/>
      <c r="JB117" s="950"/>
      <c r="JC117" s="950"/>
      <c r="JD117" s="950"/>
      <c r="JE117" s="950"/>
      <c r="JF117" s="950"/>
      <c r="JG117" s="950"/>
      <c r="JH117" s="950"/>
      <c r="JI117" s="950"/>
      <c r="JJ117" s="950"/>
      <c r="JK117" s="950"/>
      <c r="JL117" s="950"/>
      <c r="JM117" s="950"/>
      <c r="JN117" s="950"/>
      <c r="JO117" s="950"/>
      <c r="JP117" s="950"/>
      <c r="JQ117" s="950"/>
      <c r="JR117" s="950"/>
      <c r="JS117" s="950"/>
      <c r="JT117" s="950"/>
      <c r="JU117" s="950"/>
      <c r="JV117" s="950"/>
      <c r="JW117" s="950"/>
      <c r="JX117" s="950"/>
      <c r="JY117" s="950"/>
      <c r="JZ117" s="950"/>
      <c r="KA117" s="950"/>
      <c r="KB117" s="950"/>
      <c r="KC117" s="950"/>
      <c r="KD117" s="950"/>
      <c r="KE117" s="950"/>
      <c r="KF117" s="950"/>
      <c r="KG117" s="950"/>
      <c r="KH117" s="950"/>
      <c r="KI117" s="950"/>
      <c r="KJ117" s="950"/>
      <c r="KK117" s="950"/>
      <c r="KL117" s="950"/>
      <c r="KM117" s="950"/>
      <c r="KN117" s="950"/>
      <c r="KO117" s="950"/>
      <c r="KP117" s="950"/>
      <c r="KQ117" s="950"/>
      <c r="KR117" s="950"/>
      <c r="KS117" s="950"/>
      <c r="KT117" s="950"/>
      <c r="KU117" s="950"/>
      <c r="KV117" s="950"/>
      <c r="KW117" s="950"/>
      <c r="KX117" s="950"/>
      <c r="KY117" s="950"/>
      <c r="KZ117" s="950"/>
      <c r="LA117" s="950"/>
      <c r="LB117" s="950"/>
      <c r="LC117" s="950"/>
      <c r="LD117" s="950"/>
      <c r="LE117" s="950"/>
      <c r="LF117" s="950"/>
      <c r="LG117" s="950"/>
      <c r="LH117" s="950"/>
      <c r="LI117" s="950"/>
      <c r="LJ117" s="950"/>
      <c r="LK117" s="950"/>
      <c r="LL117" s="950"/>
      <c r="LM117" s="950"/>
      <c r="LN117" s="950"/>
      <c r="LO117" s="950"/>
      <c r="LP117" s="950"/>
      <c r="LQ117" s="950"/>
      <c r="LR117" s="950"/>
      <c r="LS117" s="950"/>
      <c r="LT117" s="950"/>
      <c r="LU117" s="950"/>
      <c r="LV117" s="950"/>
      <c r="LW117" s="950"/>
      <c r="LX117" s="950"/>
      <c r="LY117" s="950"/>
      <c r="LZ117" s="950"/>
      <c r="MA117" s="950"/>
      <c r="MB117" s="950"/>
      <c r="MC117" s="950"/>
      <c r="MD117" s="950"/>
      <c r="ME117" s="950"/>
      <c r="MF117" s="950"/>
      <c r="MG117" s="950"/>
      <c r="MH117" s="950"/>
      <c r="MI117" s="950"/>
      <c r="MJ117" s="950"/>
      <c r="MK117" s="950"/>
      <c r="ML117" s="950"/>
      <c r="MM117" s="950"/>
      <c r="MN117" s="950"/>
      <c r="MO117" s="950"/>
      <c r="MP117" s="950"/>
      <c r="MQ117" s="950"/>
      <c r="MR117" s="950"/>
      <c r="MS117" s="950"/>
      <c r="MT117" s="950"/>
      <c r="MU117" s="950"/>
      <c r="MV117" s="950"/>
      <c r="MW117" s="950"/>
      <c r="MX117" s="950"/>
      <c r="MY117" s="950"/>
      <c r="MZ117" s="950"/>
      <c r="NA117" s="950"/>
      <c r="NB117" s="950"/>
      <c r="NC117" s="950"/>
      <c r="ND117" s="950"/>
      <c r="NE117" s="950"/>
      <c r="NF117" s="950"/>
      <c r="NG117" s="950"/>
      <c r="NH117" s="950"/>
      <c r="NI117" s="950"/>
      <c r="NJ117" s="950"/>
      <c r="NK117" s="950"/>
      <c r="NL117" s="950"/>
      <c r="NM117" s="950"/>
      <c r="NN117" s="950"/>
      <c r="NO117" s="950"/>
      <c r="NP117" s="950"/>
      <c r="NQ117" s="950"/>
      <c r="NR117" s="950"/>
      <c r="NS117" s="950"/>
      <c r="NT117" s="950"/>
      <c r="NU117" s="950"/>
      <c r="NV117" s="950"/>
      <c r="NW117" s="950"/>
      <c r="NX117" s="950"/>
      <c r="NY117" s="950"/>
      <c r="NZ117" s="950"/>
      <c r="OA117" s="950"/>
      <c r="OB117" s="950"/>
      <c r="OC117" s="950"/>
      <c r="OD117" s="950"/>
      <c r="OE117" s="950"/>
      <c r="OF117" s="950"/>
      <c r="OG117" s="950"/>
      <c r="OH117" s="950"/>
      <c r="OI117" s="950"/>
      <c r="OJ117" s="950"/>
      <c r="OK117" s="950"/>
      <c r="OL117" s="950"/>
      <c r="OM117" s="950"/>
      <c r="ON117" s="950"/>
      <c r="OO117" s="950"/>
      <c r="OP117" s="950"/>
      <c r="OQ117" s="950"/>
      <c r="OR117" s="950"/>
      <c r="OS117" s="950"/>
      <c r="OT117" s="950"/>
      <c r="OU117" s="950"/>
      <c r="OV117" s="950"/>
      <c r="OW117" s="950"/>
      <c r="OX117" s="950"/>
      <c r="OY117" s="950"/>
      <c r="OZ117" s="950"/>
      <c r="PA117" s="950"/>
      <c r="PB117" s="950"/>
      <c r="PC117" s="950"/>
      <c r="PD117" s="950"/>
      <c r="PE117" s="950"/>
      <c r="PF117" s="950"/>
      <c r="PG117" s="950"/>
      <c r="PH117" s="950"/>
      <c r="PI117" s="950"/>
      <c r="PJ117" s="950"/>
      <c r="PK117" s="950"/>
      <c r="PL117" s="950"/>
      <c r="PM117" s="950"/>
      <c r="PN117" s="950"/>
      <c r="PO117" s="950"/>
      <c r="PP117" s="950"/>
      <c r="PQ117" s="950"/>
      <c r="PR117" s="950"/>
      <c r="PS117" s="950"/>
      <c r="PT117" s="950"/>
      <c r="PU117" s="950"/>
      <c r="PV117" s="950"/>
      <c r="PW117" s="950"/>
      <c r="PX117" s="950"/>
      <c r="PY117" s="950"/>
      <c r="PZ117" s="950"/>
      <c r="QA117" s="950"/>
      <c r="QB117" s="950"/>
      <c r="QC117" s="950"/>
      <c r="QD117" s="950"/>
      <c r="QE117" s="950"/>
      <c r="QF117" s="950"/>
      <c r="QG117" s="950"/>
      <c r="QH117" s="950"/>
      <c r="QI117" s="950"/>
      <c r="QJ117" s="950"/>
      <c r="QK117" s="950"/>
      <c r="QL117" s="950"/>
      <c r="QM117" s="950"/>
      <c r="QN117" s="950"/>
      <c r="QO117" s="950"/>
      <c r="QP117" s="950"/>
      <c r="QQ117" s="950"/>
      <c r="QR117" s="950"/>
      <c r="QS117" s="950"/>
      <c r="QT117" s="950"/>
      <c r="QU117" s="950"/>
      <c r="QV117" s="950"/>
      <c r="QW117" s="950"/>
      <c r="QX117" s="950"/>
      <c r="QY117" s="950"/>
      <c r="QZ117" s="950"/>
      <c r="RA117" s="950"/>
      <c r="RB117" s="950"/>
      <c r="RC117" s="950"/>
      <c r="RD117" s="950"/>
      <c r="RE117" s="950"/>
      <c r="RF117" s="950"/>
      <c r="RG117" s="950"/>
      <c r="RH117" s="950"/>
      <c r="RI117" s="950"/>
      <c r="RJ117" s="950"/>
      <c r="RK117" s="950"/>
      <c r="RL117" s="950"/>
      <c r="RM117" s="950"/>
      <c r="RN117" s="950"/>
      <c r="RO117" s="950"/>
      <c r="RP117" s="950"/>
      <c r="RQ117" s="950"/>
      <c r="RR117" s="950"/>
      <c r="RS117" s="950"/>
      <c r="RT117" s="950"/>
      <c r="RU117" s="950"/>
      <c r="RV117" s="950"/>
      <c r="RW117" s="950"/>
      <c r="RX117" s="950"/>
      <c r="RY117" s="950"/>
      <c r="RZ117" s="950"/>
      <c r="SA117" s="950"/>
      <c r="SB117" s="950"/>
      <c r="SC117" s="950"/>
      <c r="SD117" s="950"/>
      <c r="SE117" s="950"/>
      <c r="SF117" s="950"/>
      <c r="SG117" s="950"/>
      <c r="SH117" s="950"/>
      <c r="SI117" s="950"/>
      <c r="SJ117" s="950"/>
      <c r="SK117" s="950"/>
      <c r="SL117" s="950"/>
      <c r="SM117" s="950"/>
      <c r="SN117" s="950"/>
      <c r="SO117" s="950"/>
      <c r="SP117" s="950"/>
      <c r="SQ117" s="950"/>
      <c r="SR117" s="950"/>
      <c r="SS117" s="950"/>
      <c r="ST117" s="950"/>
      <c r="SU117" s="950"/>
      <c r="SV117" s="950"/>
      <c r="SW117" s="950"/>
      <c r="SX117" s="950"/>
      <c r="SY117" s="950"/>
      <c r="SZ117" s="950"/>
      <c r="TA117" s="950"/>
      <c r="TB117" s="950"/>
      <c r="TC117" s="950"/>
      <c r="TD117" s="950"/>
      <c r="TE117" s="950"/>
      <c r="TF117" s="950"/>
      <c r="TG117" s="950"/>
      <c r="TH117" s="950"/>
      <c r="TI117" s="950"/>
      <c r="TJ117" s="950"/>
      <c r="TK117" s="950"/>
      <c r="TL117" s="950"/>
      <c r="TM117" s="950"/>
      <c r="TN117" s="950"/>
      <c r="TO117" s="950"/>
      <c r="TP117" s="950"/>
      <c r="TQ117" s="950"/>
      <c r="TR117" s="950"/>
      <c r="TS117" s="950"/>
      <c r="TT117" s="950"/>
      <c r="TU117" s="950"/>
      <c r="TV117" s="950"/>
      <c r="TW117" s="950"/>
      <c r="TX117" s="950"/>
      <c r="TY117" s="950"/>
      <c r="TZ117" s="950"/>
      <c r="UA117" s="950"/>
      <c r="UB117" s="950"/>
      <c r="UC117" s="950"/>
      <c r="UD117" s="950"/>
      <c r="UE117" s="950"/>
      <c r="UF117" s="950"/>
      <c r="UG117" s="950"/>
      <c r="UH117" s="950"/>
      <c r="UI117" s="950"/>
      <c r="UJ117" s="950"/>
      <c r="UK117" s="950"/>
      <c r="UL117" s="950"/>
      <c r="UM117" s="950"/>
      <c r="UN117" s="950"/>
      <c r="UO117" s="950"/>
      <c r="UP117" s="950"/>
      <c r="UQ117" s="950"/>
      <c r="UR117" s="950"/>
      <c r="US117" s="950"/>
      <c r="UT117" s="950"/>
      <c r="UU117" s="950"/>
      <c r="UV117" s="950"/>
      <c r="UW117" s="950"/>
      <c r="UX117" s="950"/>
      <c r="UY117" s="950"/>
      <c r="UZ117" s="950"/>
      <c r="VA117" s="950"/>
      <c r="VB117" s="950"/>
      <c r="VC117" s="950"/>
      <c r="VD117" s="950"/>
      <c r="VE117" s="950"/>
      <c r="VF117" s="950"/>
      <c r="VG117" s="950"/>
      <c r="VH117" s="950"/>
      <c r="VI117" s="950"/>
      <c r="VJ117" s="950"/>
      <c r="VK117" s="950"/>
      <c r="VL117" s="950"/>
      <c r="VM117" s="950"/>
      <c r="VN117" s="950"/>
      <c r="VO117" s="950"/>
      <c r="VP117" s="950"/>
      <c r="VQ117" s="950"/>
      <c r="VR117" s="950"/>
      <c r="VS117" s="950"/>
      <c r="VT117" s="950"/>
      <c r="VU117" s="950"/>
      <c r="VV117" s="950"/>
      <c r="VW117" s="950"/>
      <c r="VX117" s="950"/>
      <c r="VY117" s="950"/>
      <c r="VZ117" s="950"/>
      <c r="WA117" s="950"/>
      <c r="WB117" s="950"/>
      <c r="WC117" s="950"/>
      <c r="WD117" s="950"/>
      <c r="WE117" s="950"/>
      <c r="WF117" s="950"/>
      <c r="WG117" s="950"/>
      <c r="WH117" s="950"/>
      <c r="WI117" s="950"/>
      <c r="WJ117" s="950"/>
      <c r="WK117" s="950"/>
      <c r="WL117" s="950"/>
      <c r="WM117" s="950"/>
      <c r="WN117" s="950"/>
      <c r="WO117" s="950"/>
      <c r="WP117" s="950"/>
      <c r="WQ117" s="950"/>
      <c r="WR117" s="950"/>
      <c r="WS117" s="950"/>
      <c r="WT117" s="950"/>
      <c r="WU117" s="950"/>
      <c r="WV117" s="950"/>
      <c r="WW117" s="950"/>
      <c r="WX117" s="950"/>
      <c r="WY117" s="950"/>
      <c r="WZ117" s="950"/>
      <c r="XA117" s="950"/>
      <c r="XB117" s="950"/>
      <c r="XC117" s="950"/>
      <c r="XD117" s="950"/>
      <c r="XE117" s="950"/>
      <c r="XF117" s="950"/>
      <c r="XG117" s="950"/>
      <c r="XH117" s="950"/>
      <c r="XI117" s="950"/>
      <c r="XJ117" s="950"/>
      <c r="XK117" s="950"/>
      <c r="XL117" s="950"/>
      <c r="XM117" s="950"/>
      <c r="XN117" s="950"/>
      <c r="XO117" s="950"/>
      <c r="XP117" s="950"/>
      <c r="XQ117" s="950"/>
      <c r="XR117" s="950"/>
      <c r="XS117" s="950"/>
      <c r="XT117" s="950"/>
      <c r="XU117" s="950"/>
      <c r="XV117" s="950"/>
      <c r="XW117" s="950"/>
      <c r="XX117" s="950"/>
      <c r="XY117" s="950"/>
      <c r="XZ117" s="950"/>
      <c r="YA117" s="950"/>
      <c r="YB117" s="950"/>
      <c r="YC117" s="950"/>
      <c r="YD117" s="950"/>
      <c r="YE117" s="950"/>
      <c r="YF117" s="950"/>
      <c r="YG117" s="950"/>
      <c r="YH117" s="950"/>
      <c r="YI117" s="950"/>
      <c r="YJ117" s="950"/>
      <c r="YK117" s="950"/>
      <c r="YL117" s="950"/>
      <c r="YM117" s="950"/>
      <c r="YN117" s="950"/>
      <c r="YO117" s="950"/>
      <c r="YP117" s="950"/>
      <c r="YQ117" s="950"/>
      <c r="YR117" s="950"/>
      <c r="YS117" s="950"/>
      <c r="YT117" s="950"/>
      <c r="YU117" s="950"/>
      <c r="YV117" s="950"/>
      <c r="YW117" s="950"/>
      <c r="YX117" s="950"/>
      <c r="YY117" s="950"/>
      <c r="YZ117" s="950"/>
      <c r="ZA117" s="950"/>
      <c r="ZB117" s="950"/>
      <c r="ZC117" s="950"/>
      <c r="ZD117" s="950"/>
      <c r="ZE117" s="950"/>
      <c r="ZF117" s="950"/>
      <c r="ZG117" s="950"/>
      <c r="ZH117" s="950"/>
      <c r="ZI117" s="950"/>
      <c r="ZJ117" s="950"/>
      <c r="ZK117" s="950"/>
      <c r="ZL117" s="950"/>
      <c r="ZM117" s="950"/>
      <c r="ZN117" s="950"/>
      <c r="ZO117" s="950"/>
      <c r="ZP117" s="950"/>
      <c r="ZQ117" s="950"/>
      <c r="ZR117" s="950"/>
      <c r="ZS117" s="950"/>
      <c r="ZT117" s="950"/>
      <c r="ZU117" s="950"/>
      <c r="ZV117" s="950"/>
      <c r="ZW117" s="950"/>
      <c r="ZX117" s="950"/>
      <c r="ZY117" s="950"/>
      <c r="ZZ117" s="950"/>
      <c r="AAA117" s="950"/>
      <c r="AAB117" s="950"/>
      <c r="AAC117" s="950"/>
      <c r="AAD117" s="950"/>
      <c r="AAE117" s="950"/>
      <c r="AAF117" s="950"/>
      <c r="AAG117" s="950"/>
      <c r="AAH117" s="950"/>
      <c r="AAI117" s="950"/>
      <c r="AAJ117" s="950"/>
      <c r="AAK117" s="950"/>
      <c r="AAL117" s="950"/>
      <c r="AAM117" s="950"/>
      <c r="AAN117" s="950"/>
      <c r="AAO117" s="950"/>
      <c r="AAP117" s="950"/>
      <c r="AAQ117" s="950"/>
      <c r="AAR117" s="950"/>
      <c r="AAS117" s="950"/>
      <c r="AAT117" s="950"/>
      <c r="AAU117" s="950"/>
      <c r="AAV117" s="950"/>
      <c r="AAW117" s="950"/>
      <c r="AAX117" s="950"/>
      <c r="AAY117" s="950"/>
      <c r="AAZ117" s="950"/>
      <c r="ABA117" s="950"/>
      <c r="ABB117" s="950"/>
      <c r="ABC117" s="950"/>
      <c r="ABD117" s="950"/>
      <c r="ABE117" s="950"/>
      <c r="ABF117" s="950"/>
      <c r="ABG117" s="950"/>
      <c r="ABH117" s="950"/>
      <c r="ABI117" s="950"/>
      <c r="ABJ117" s="950"/>
      <c r="ABK117" s="950"/>
      <c r="ABL117" s="950"/>
      <c r="ABM117" s="950"/>
      <c r="ABN117" s="950"/>
      <c r="ABO117" s="950"/>
      <c r="ABP117" s="950"/>
      <c r="ABQ117" s="950"/>
      <c r="ABR117" s="950"/>
      <c r="ABS117" s="950"/>
      <c r="ABT117" s="950"/>
      <c r="ABU117" s="950"/>
      <c r="ABV117" s="950"/>
      <c r="ABW117" s="950"/>
      <c r="ABX117" s="950"/>
      <c r="ABY117" s="950"/>
      <c r="ABZ117" s="950"/>
      <c r="ACA117" s="950"/>
      <c r="ACB117" s="950"/>
      <c r="ACC117" s="950"/>
      <c r="ACD117" s="950"/>
      <c r="ACE117" s="950"/>
      <c r="ACF117" s="950"/>
      <c r="ACG117" s="950"/>
      <c r="ACH117" s="950"/>
      <c r="ACI117" s="950"/>
      <c r="ACJ117" s="950"/>
      <c r="ACK117" s="950"/>
      <c r="ACL117" s="950"/>
      <c r="ACM117" s="950"/>
      <c r="ACN117" s="950"/>
      <c r="ACO117" s="950"/>
      <c r="ACP117" s="950"/>
      <c r="ACQ117" s="950"/>
      <c r="ACR117" s="950"/>
      <c r="ACS117" s="950"/>
      <c r="ACT117" s="950"/>
      <c r="ACU117" s="950"/>
      <c r="ACV117" s="950"/>
      <c r="ACW117" s="950"/>
      <c r="ACX117" s="950"/>
      <c r="ACY117" s="950"/>
      <c r="ACZ117" s="950"/>
      <c r="ADA117" s="950"/>
      <c r="ADB117" s="950"/>
      <c r="ADC117" s="950"/>
      <c r="ADD117" s="950"/>
      <c r="ADE117" s="950"/>
      <c r="ADF117" s="950"/>
      <c r="ADG117" s="950"/>
      <c r="ADH117" s="950"/>
      <c r="ADI117" s="950"/>
      <c r="ADJ117" s="950"/>
      <c r="ADK117" s="950"/>
      <c r="ADL117" s="950"/>
      <c r="ADM117" s="950"/>
      <c r="ADN117" s="950"/>
      <c r="ADO117" s="950"/>
      <c r="ADP117" s="950"/>
      <c r="ADQ117" s="950"/>
      <c r="ADR117" s="950"/>
      <c r="ADS117" s="950"/>
      <c r="ADT117" s="950"/>
      <c r="ADU117" s="950"/>
      <c r="ADV117" s="950"/>
      <c r="ADW117" s="950"/>
      <c r="ADX117" s="950"/>
      <c r="ADY117" s="950"/>
      <c r="ADZ117" s="950"/>
      <c r="AEA117" s="950"/>
      <c r="AEB117" s="950"/>
      <c r="AEC117" s="950"/>
      <c r="AED117" s="950"/>
      <c r="AEE117" s="950"/>
      <c r="AEF117" s="950"/>
      <c r="AEG117" s="950"/>
      <c r="AEH117" s="950"/>
      <c r="AEI117" s="950"/>
      <c r="AEJ117" s="950"/>
      <c r="AEK117" s="950"/>
      <c r="AEL117" s="950"/>
      <c r="AEM117" s="950"/>
      <c r="AEN117" s="950"/>
      <c r="AEO117" s="950"/>
      <c r="AEP117" s="950"/>
      <c r="AEQ117" s="950"/>
      <c r="AER117" s="950"/>
      <c r="AES117" s="950"/>
      <c r="AET117" s="950"/>
      <c r="AEU117" s="950"/>
      <c r="AEV117" s="950"/>
      <c r="AEW117" s="950"/>
      <c r="AEX117" s="950"/>
      <c r="AEY117" s="950"/>
      <c r="AEZ117" s="950"/>
      <c r="AFA117" s="950"/>
      <c r="AFB117" s="950"/>
      <c r="AFC117" s="950"/>
      <c r="AFD117" s="950"/>
      <c r="AFE117" s="950"/>
      <c r="AFF117" s="950"/>
      <c r="AFG117" s="950"/>
      <c r="AFH117" s="950"/>
      <c r="AFI117" s="950"/>
      <c r="AFJ117" s="950"/>
      <c r="AFK117" s="950"/>
      <c r="AFL117" s="950"/>
      <c r="AFM117" s="950"/>
      <c r="AFN117" s="950"/>
      <c r="AFO117" s="950"/>
      <c r="AFP117" s="950"/>
      <c r="AFQ117" s="950"/>
      <c r="AFR117" s="950"/>
      <c r="AFS117" s="950"/>
      <c r="AFT117" s="950"/>
      <c r="AFU117" s="950"/>
      <c r="AFV117" s="950"/>
      <c r="AFW117" s="950"/>
      <c r="AFX117" s="950"/>
      <c r="AFY117" s="950"/>
      <c r="AFZ117" s="950"/>
      <c r="AGA117" s="950"/>
      <c r="AGB117" s="950"/>
      <c r="AGC117" s="950"/>
      <c r="AGD117" s="950"/>
      <c r="AGE117" s="950"/>
      <c r="AGF117" s="950"/>
      <c r="AGG117" s="950"/>
      <c r="AGH117" s="950"/>
      <c r="AGI117" s="950"/>
      <c r="AGJ117" s="950"/>
      <c r="AGK117" s="950"/>
      <c r="AGL117" s="950"/>
      <c r="AGM117" s="950"/>
      <c r="AGN117" s="950"/>
      <c r="AGO117" s="950"/>
      <c r="AGP117" s="950"/>
      <c r="AGQ117" s="950"/>
      <c r="AGR117" s="950"/>
      <c r="AGS117" s="950"/>
      <c r="AGT117" s="950"/>
      <c r="AGU117" s="950"/>
      <c r="AGV117" s="950"/>
      <c r="AGW117" s="950"/>
      <c r="AGX117" s="950"/>
      <c r="AGY117" s="950"/>
      <c r="AGZ117" s="950"/>
      <c r="AHA117" s="950"/>
      <c r="AHB117" s="950"/>
      <c r="AHC117" s="950"/>
      <c r="AHD117" s="950"/>
      <c r="AHE117" s="950"/>
      <c r="AHF117" s="950"/>
      <c r="AHG117" s="950"/>
      <c r="AHH117" s="950"/>
      <c r="AHI117" s="950"/>
      <c r="AHJ117" s="950"/>
      <c r="AHK117" s="950"/>
      <c r="AHL117" s="950"/>
      <c r="AHM117" s="950"/>
      <c r="AHN117" s="950"/>
      <c r="AHO117" s="950"/>
      <c r="AHP117" s="950"/>
      <c r="AHQ117" s="950"/>
      <c r="AHR117" s="950"/>
      <c r="AHS117" s="950"/>
      <c r="AHT117" s="950"/>
      <c r="AHU117" s="950"/>
      <c r="AHV117" s="950"/>
      <c r="AHW117" s="950"/>
      <c r="AHX117" s="950"/>
      <c r="AHY117" s="950"/>
      <c r="AHZ117" s="950"/>
      <c r="AIA117" s="950"/>
      <c r="AIB117" s="950"/>
      <c r="AIC117" s="950"/>
      <c r="AID117" s="950"/>
      <c r="AIE117" s="950"/>
      <c r="AIF117" s="950"/>
      <c r="AIG117" s="950"/>
      <c r="AIH117" s="950"/>
      <c r="AII117" s="950"/>
      <c r="AIJ117" s="950"/>
      <c r="AIK117" s="950"/>
      <c r="AIL117" s="950"/>
      <c r="AIM117" s="950"/>
      <c r="AIN117" s="950"/>
      <c r="AIO117" s="950"/>
      <c r="AIP117" s="950"/>
      <c r="AIQ117" s="950"/>
      <c r="AIR117" s="950"/>
      <c r="AIS117" s="950"/>
      <c r="AIT117" s="950"/>
      <c r="AIU117" s="950"/>
      <c r="AIV117" s="950"/>
      <c r="AIW117" s="950"/>
      <c r="AIX117" s="950"/>
      <c r="AIY117" s="950"/>
      <c r="AIZ117" s="950"/>
      <c r="AJA117" s="950"/>
      <c r="AJB117" s="950"/>
      <c r="AJC117" s="950"/>
      <c r="AJD117" s="950"/>
      <c r="AJE117" s="950"/>
      <c r="AJF117" s="950"/>
      <c r="AJG117" s="950"/>
      <c r="AJH117" s="950"/>
      <c r="AJI117" s="950"/>
      <c r="AJJ117" s="950"/>
      <c r="AJK117" s="950"/>
      <c r="AJL117" s="950"/>
      <c r="AJM117" s="950"/>
      <c r="AJN117" s="950"/>
      <c r="AJO117" s="950"/>
      <c r="AJP117" s="950"/>
      <c r="AJQ117" s="950"/>
      <c r="AJR117" s="950"/>
      <c r="AJS117" s="950"/>
      <c r="AJT117" s="950"/>
      <c r="AJU117" s="950"/>
      <c r="AJV117" s="950"/>
      <c r="AJW117" s="950"/>
      <c r="AJX117" s="950"/>
      <c r="AJY117" s="950"/>
      <c r="AJZ117" s="950"/>
      <c r="AKA117" s="950"/>
      <c r="AKB117" s="950"/>
      <c r="AKC117" s="950"/>
      <c r="AKD117" s="950"/>
      <c r="AKE117" s="950"/>
      <c r="AKF117" s="950"/>
      <c r="AKG117" s="950"/>
      <c r="AKH117" s="950"/>
      <c r="AKI117" s="950"/>
      <c r="AKJ117" s="950"/>
      <c r="AKK117" s="950"/>
      <c r="AKL117" s="950"/>
      <c r="AKM117" s="950"/>
      <c r="AKN117" s="950"/>
      <c r="AKO117" s="950"/>
      <c r="AKP117" s="950"/>
      <c r="AKQ117" s="950"/>
      <c r="AKR117" s="950"/>
      <c r="AKS117" s="950"/>
      <c r="AKT117" s="950"/>
      <c r="AKU117" s="950"/>
      <c r="AKV117" s="950"/>
      <c r="AKW117" s="950"/>
      <c r="AKX117" s="950"/>
      <c r="AKY117" s="950"/>
      <c r="AKZ117" s="950"/>
      <c r="ALA117" s="950"/>
      <c r="ALB117" s="950"/>
      <c r="ALC117" s="950"/>
      <c r="ALD117" s="950"/>
      <c r="ALE117" s="950"/>
      <c r="ALF117" s="950"/>
      <c r="ALG117" s="950"/>
      <c r="ALH117" s="950"/>
      <c r="ALI117" s="950"/>
      <c r="ALJ117" s="950"/>
      <c r="ALK117" s="950"/>
      <c r="ALL117" s="950"/>
      <c r="ALM117" s="950"/>
      <c r="ALN117" s="950"/>
      <c r="ALO117" s="950"/>
      <c r="ALP117" s="950"/>
      <c r="ALQ117" s="950"/>
      <c r="ALR117" s="950"/>
      <c r="ALS117" s="950"/>
      <c r="ALT117" s="950"/>
      <c r="ALU117" s="950"/>
      <c r="ALV117" s="950"/>
      <c r="ALW117" s="950"/>
      <c r="ALX117" s="950"/>
      <c r="ALY117" s="950"/>
      <c r="ALZ117" s="950"/>
      <c r="AMA117" s="950"/>
      <c r="AMB117" s="950"/>
      <c r="AMC117" s="950"/>
      <c r="AMD117" s="950"/>
      <c r="AME117" s="950"/>
      <c r="AMF117" s="950"/>
      <c r="AMG117" s="950"/>
      <c r="AMH117" s="950"/>
      <c r="AMI117" s="950"/>
      <c r="AMJ117" s="950"/>
      <c r="AMK117" s="950"/>
      <c r="AML117" s="950"/>
      <c r="AMM117" s="950"/>
      <c r="AMN117" s="950"/>
      <c r="AMO117" s="950"/>
      <c r="AMP117" s="950"/>
      <c r="AMQ117" s="950"/>
      <c r="AMR117" s="950"/>
      <c r="AMS117" s="950"/>
      <c r="AMT117" s="950"/>
      <c r="AMU117" s="950"/>
      <c r="AMV117" s="950"/>
      <c r="AMW117" s="950"/>
      <c r="AMX117" s="950"/>
      <c r="AMY117" s="950"/>
      <c r="AMZ117" s="950"/>
      <c r="ANA117" s="950"/>
      <c r="ANB117" s="950"/>
      <c r="ANC117" s="950"/>
      <c r="AND117" s="950"/>
      <c r="ANE117" s="950"/>
      <c r="ANF117" s="950"/>
      <c r="ANG117" s="950"/>
      <c r="ANH117" s="950"/>
      <c r="ANI117" s="950"/>
      <c r="ANJ117" s="950"/>
      <c r="ANK117" s="950"/>
      <c r="ANL117" s="950"/>
      <c r="ANM117" s="950"/>
      <c r="ANN117" s="950"/>
      <c r="ANO117" s="950"/>
      <c r="ANP117" s="950"/>
      <c r="ANQ117" s="950"/>
      <c r="ANR117" s="950"/>
      <c r="ANS117" s="950"/>
      <c r="ANT117" s="950"/>
      <c r="ANU117" s="950"/>
      <c r="ANV117" s="950"/>
      <c r="ANW117" s="950"/>
      <c r="ANX117" s="950"/>
      <c r="ANY117" s="950"/>
      <c r="ANZ117" s="950"/>
      <c r="AOA117" s="950"/>
      <c r="AOB117" s="950"/>
      <c r="AOC117" s="950"/>
      <c r="AOD117" s="950"/>
      <c r="AOE117" s="950"/>
      <c r="AOF117" s="950"/>
      <c r="AOG117" s="950"/>
      <c r="AOH117" s="950"/>
      <c r="AOI117" s="950"/>
      <c r="AOJ117" s="950"/>
      <c r="AOK117" s="950"/>
      <c r="AOL117" s="950"/>
      <c r="AOM117" s="950"/>
      <c r="AON117" s="950"/>
      <c r="AOO117" s="950"/>
      <c r="AOP117" s="950"/>
      <c r="AOQ117" s="950"/>
      <c r="AOR117" s="950"/>
      <c r="AOS117" s="950"/>
      <c r="AOT117" s="950"/>
      <c r="AOU117" s="950"/>
      <c r="AOV117" s="950"/>
      <c r="AOW117" s="950"/>
      <c r="AOX117" s="950"/>
      <c r="AOY117" s="950"/>
      <c r="AOZ117" s="950"/>
      <c r="APA117" s="950"/>
      <c r="APB117" s="950"/>
      <c r="APC117" s="950"/>
      <c r="APD117" s="950"/>
      <c r="APE117" s="950"/>
      <c r="APF117" s="950"/>
      <c r="APG117" s="950"/>
      <c r="APH117" s="950"/>
      <c r="API117" s="950"/>
      <c r="APJ117" s="950"/>
      <c r="APK117" s="950"/>
      <c r="APL117" s="950"/>
      <c r="APM117" s="950"/>
      <c r="APN117" s="950"/>
      <c r="APO117" s="950"/>
      <c r="APP117" s="950"/>
      <c r="APQ117" s="950"/>
      <c r="APR117" s="950"/>
      <c r="APS117" s="950"/>
      <c r="APT117" s="950"/>
      <c r="APU117" s="950"/>
      <c r="APV117" s="950"/>
      <c r="APW117" s="950"/>
      <c r="APX117" s="950"/>
      <c r="APY117" s="950"/>
      <c r="APZ117" s="950"/>
      <c r="AQA117" s="950"/>
      <c r="AQB117" s="950"/>
      <c r="AQC117" s="950"/>
      <c r="AQD117" s="950"/>
      <c r="AQE117" s="950"/>
      <c r="AQF117" s="950"/>
      <c r="AQG117" s="950"/>
      <c r="AQH117" s="950"/>
      <c r="AQI117" s="950"/>
      <c r="AQJ117" s="950"/>
      <c r="AQK117" s="950"/>
      <c r="AQL117" s="950"/>
      <c r="AQM117" s="950"/>
      <c r="AQN117" s="950"/>
      <c r="AQO117" s="950"/>
      <c r="AQP117" s="950"/>
      <c r="AQQ117" s="950"/>
      <c r="AQR117" s="950"/>
      <c r="AQS117" s="950"/>
      <c r="AQT117" s="950"/>
      <c r="AQU117" s="950"/>
      <c r="AQV117" s="950"/>
      <c r="AQW117" s="950"/>
      <c r="AQX117" s="950"/>
      <c r="AQY117" s="950"/>
      <c r="AQZ117" s="950"/>
      <c r="ARA117" s="950"/>
      <c r="ARB117" s="950"/>
      <c r="ARC117" s="950"/>
      <c r="ARD117" s="950"/>
      <c r="ARE117" s="950"/>
      <c r="ARF117" s="950"/>
      <c r="ARG117" s="950"/>
      <c r="ARH117" s="950"/>
      <c r="ARI117" s="950"/>
      <c r="ARJ117" s="950"/>
      <c r="ARK117" s="950"/>
      <c r="ARL117" s="950"/>
      <c r="ARM117" s="950"/>
      <c r="ARN117" s="950"/>
      <c r="ARO117" s="950"/>
      <c r="ARP117" s="950"/>
      <c r="ARQ117" s="950"/>
      <c r="ARR117" s="950"/>
      <c r="ARS117" s="950"/>
      <c r="ART117" s="950"/>
      <c r="ARU117" s="950"/>
      <c r="ARV117" s="950"/>
      <c r="ARW117" s="950"/>
      <c r="ARX117" s="950"/>
      <c r="ARY117" s="950"/>
      <c r="ARZ117" s="950"/>
      <c r="ASA117" s="950"/>
      <c r="ASB117" s="950"/>
      <c r="ASC117" s="950"/>
      <c r="ASD117" s="950"/>
      <c r="ASE117" s="950"/>
      <c r="ASF117" s="950"/>
      <c r="ASG117" s="950"/>
      <c r="ASH117" s="950"/>
      <c r="ASI117" s="950"/>
      <c r="ASJ117" s="950"/>
      <c r="ASK117" s="950"/>
      <c r="ASL117" s="950"/>
      <c r="ASM117" s="950"/>
      <c r="ASN117" s="950"/>
      <c r="ASO117" s="950"/>
      <c r="ASP117" s="950"/>
      <c r="ASQ117" s="950"/>
      <c r="ASR117" s="950"/>
      <c r="ASS117" s="950"/>
      <c r="AST117" s="950"/>
      <c r="ASU117" s="950"/>
      <c r="ASV117" s="950"/>
      <c r="ASW117" s="950"/>
      <c r="ASX117" s="950"/>
      <c r="ASY117" s="950"/>
      <c r="ASZ117" s="950"/>
      <c r="ATA117" s="950"/>
      <c r="ATB117" s="950"/>
      <c r="ATC117" s="950"/>
      <c r="ATD117" s="950"/>
      <c r="ATE117" s="950"/>
      <c r="ATF117" s="950"/>
      <c r="ATG117" s="950"/>
      <c r="ATH117" s="950"/>
      <c r="ATI117" s="950"/>
      <c r="ATJ117" s="950"/>
      <c r="ATK117" s="950"/>
      <c r="ATL117" s="950"/>
      <c r="ATM117" s="950"/>
      <c r="ATN117" s="950"/>
      <c r="ATO117" s="950"/>
      <c r="ATP117" s="950"/>
      <c r="ATQ117" s="950"/>
      <c r="ATR117" s="950"/>
      <c r="ATS117" s="950"/>
      <c r="ATT117" s="950"/>
      <c r="ATU117" s="950"/>
      <c r="ATV117" s="950"/>
      <c r="ATW117" s="950"/>
      <c r="ATX117" s="950"/>
      <c r="ATY117" s="950"/>
      <c r="ATZ117" s="950"/>
      <c r="AUA117" s="950"/>
      <c r="AUB117" s="950"/>
      <c r="AUC117" s="950"/>
      <c r="AUD117" s="950"/>
      <c r="AUE117" s="950"/>
      <c r="AUF117" s="950"/>
      <c r="AUG117" s="950"/>
      <c r="AUH117" s="950"/>
      <c r="AUI117" s="950"/>
      <c r="AUJ117" s="950"/>
      <c r="AUK117" s="950"/>
      <c r="AUL117" s="950"/>
      <c r="AUM117" s="950"/>
      <c r="AUN117" s="950"/>
      <c r="AUO117" s="950"/>
      <c r="AUP117" s="950"/>
      <c r="AUQ117" s="950"/>
      <c r="AUR117" s="950"/>
      <c r="AUS117" s="950"/>
      <c r="AUT117" s="950"/>
      <c r="AUU117" s="950"/>
      <c r="AUV117" s="950"/>
      <c r="AUW117" s="950"/>
      <c r="AUX117" s="950"/>
      <c r="AUY117" s="950"/>
      <c r="AUZ117" s="950"/>
      <c r="AVA117" s="950"/>
      <c r="AVB117" s="950"/>
      <c r="AVC117" s="950"/>
      <c r="AVD117" s="950"/>
      <c r="AVE117" s="950"/>
      <c r="AVF117" s="950"/>
      <c r="AVG117" s="950"/>
      <c r="AVH117" s="950"/>
      <c r="AVI117" s="950"/>
      <c r="AVJ117" s="950"/>
      <c r="AVK117" s="950"/>
      <c r="AVL117" s="950"/>
      <c r="AVM117" s="950"/>
      <c r="AVN117" s="950"/>
      <c r="AVO117" s="950"/>
      <c r="AVP117" s="950"/>
      <c r="AVQ117" s="950"/>
      <c r="AVR117" s="950"/>
      <c r="AVS117" s="950"/>
      <c r="AVT117" s="950"/>
      <c r="AVU117" s="950"/>
      <c r="AVV117" s="950"/>
      <c r="AVW117" s="950"/>
      <c r="AVX117" s="950"/>
      <c r="AVY117" s="950"/>
      <c r="AVZ117" s="950"/>
      <c r="AWA117" s="950"/>
      <c r="AWB117" s="950"/>
      <c r="AWC117" s="950"/>
      <c r="AWD117" s="950"/>
      <c r="AWE117" s="950"/>
      <c r="AWF117" s="950"/>
      <c r="AWG117" s="950"/>
      <c r="AWH117" s="950"/>
      <c r="AWI117" s="950"/>
      <c r="AWJ117" s="950"/>
      <c r="AWK117" s="950"/>
      <c r="AWL117" s="950"/>
      <c r="AWM117" s="950"/>
      <c r="AWN117" s="950"/>
      <c r="AWO117" s="950"/>
      <c r="AWP117" s="950"/>
      <c r="AWQ117" s="950"/>
      <c r="AWR117" s="950"/>
      <c r="AWS117" s="950"/>
      <c r="AWT117" s="950"/>
      <c r="AWU117" s="950"/>
      <c r="AWV117" s="950"/>
      <c r="AWW117" s="950"/>
      <c r="AWX117" s="950"/>
      <c r="AWY117" s="950"/>
      <c r="AWZ117" s="950"/>
      <c r="AXA117" s="950"/>
      <c r="AXB117" s="950"/>
      <c r="AXC117" s="950"/>
      <c r="AXD117" s="950"/>
      <c r="AXE117" s="950"/>
      <c r="AXF117" s="950"/>
      <c r="AXG117" s="950"/>
      <c r="AXH117" s="950"/>
      <c r="AXI117" s="950"/>
      <c r="AXJ117" s="950"/>
      <c r="AXK117" s="950"/>
      <c r="AXL117" s="950"/>
      <c r="AXM117" s="950"/>
      <c r="AXN117" s="950"/>
      <c r="AXO117" s="950"/>
      <c r="AXP117" s="950"/>
      <c r="AXQ117" s="950"/>
      <c r="AXR117" s="950"/>
      <c r="AXS117" s="950"/>
      <c r="AXT117" s="950"/>
      <c r="AXU117" s="950"/>
      <c r="AXV117" s="950"/>
      <c r="AXW117" s="950"/>
      <c r="AXX117" s="950"/>
      <c r="AXY117" s="950"/>
      <c r="AXZ117" s="950"/>
      <c r="AYA117" s="950"/>
      <c r="AYB117" s="950"/>
      <c r="AYC117" s="950"/>
      <c r="AYD117" s="950"/>
      <c r="AYE117" s="950"/>
      <c r="AYF117" s="950"/>
      <c r="AYG117" s="950"/>
      <c r="AYH117" s="950"/>
      <c r="AYI117" s="950"/>
      <c r="AYJ117" s="950"/>
      <c r="AYK117" s="950"/>
      <c r="AYL117" s="950"/>
      <c r="AYM117" s="950"/>
      <c r="AYN117" s="950"/>
      <c r="AYO117" s="950"/>
      <c r="AYP117" s="950"/>
      <c r="AYQ117" s="950"/>
      <c r="AYR117" s="950"/>
      <c r="AYS117" s="950"/>
      <c r="AYT117" s="950"/>
      <c r="AYU117" s="950"/>
      <c r="AYV117" s="950"/>
      <c r="AYW117" s="950"/>
      <c r="AYX117" s="950"/>
      <c r="AYY117" s="950"/>
      <c r="AYZ117" s="950"/>
      <c r="AZA117" s="950"/>
      <c r="AZB117" s="950"/>
      <c r="AZC117" s="950"/>
      <c r="AZD117" s="950"/>
      <c r="AZE117" s="950"/>
      <c r="AZF117" s="950"/>
      <c r="AZG117" s="950"/>
      <c r="AZH117" s="950"/>
      <c r="AZI117" s="950"/>
      <c r="AZJ117" s="950"/>
      <c r="AZK117" s="950"/>
      <c r="AZL117" s="950"/>
      <c r="AZM117" s="950"/>
      <c r="AZN117" s="950"/>
      <c r="AZO117" s="950"/>
      <c r="AZP117" s="950"/>
      <c r="AZQ117" s="950"/>
      <c r="AZR117" s="950"/>
      <c r="AZS117" s="950"/>
      <c r="AZT117" s="950"/>
      <c r="AZU117" s="950"/>
      <c r="AZV117" s="950"/>
      <c r="AZW117" s="950"/>
      <c r="AZX117" s="950"/>
      <c r="AZY117" s="950"/>
      <c r="AZZ117" s="950"/>
      <c r="BAA117" s="950"/>
      <c r="BAB117" s="950"/>
      <c r="BAC117" s="950"/>
      <c r="BAD117" s="950"/>
      <c r="BAE117" s="950"/>
      <c r="BAF117" s="950"/>
      <c r="BAG117" s="950"/>
      <c r="BAH117" s="950"/>
      <c r="BAI117" s="950"/>
      <c r="BAJ117" s="950"/>
      <c r="BAK117" s="950"/>
      <c r="BAL117" s="950"/>
      <c r="BAM117" s="950"/>
      <c r="BAN117" s="950"/>
      <c r="BAO117" s="950"/>
      <c r="BAP117" s="950"/>
      <c r="BAQ117" s="950"/>
      <c r="BAR117" s="950"/>
      <c r="BAS117" s="950"/>
      <c r="BAT117" s="950"/>
      <c r="BAU117" s="950"/>
      <c r="BAV117" s="950"/>
      <c r="BAW117" s="950"/>
      <c r="BAX117" s="950"/>
      <c r="BAY117" s="950"/>
      <c r="BAZ117" s="950"/>
      <c r="BBA117" s="950"/>
      <c r="BBB117" s="950"/>
      <c r="BBC117" s="950"/>
      <c r="BBD117" s="950"/>
      <c r="BBE117" s="950"/>
      <c r="BBF117" s="950"/>
      <c r="BBG117" s="950"/>
      <c r="BBH117" s="950"/>
      <c r="BBI117" s="950"/>
      <c r="BBJ117" s="950"/>
      <c r="BBK117" s="950"/>
      <c r="BBL117" s="950"/>
      <c r="BBM117" s="950"/>
      <c r="BBN117" s="950"/>
      <c r="BBO117" s="950"/>
      <c r="BBP117" s="950"/>
      <c r="BBQ117" s="950"/>
      <c r="BBR117" s="950"/>
      <c r="BBS117" s="950"/>
      <c r="BBT117" s="950"/>
      <c r="BBU117" s="950"/>
      <c r="BBV117" s="950"/>
      <c r="BBW117" s="950"/>
      <c r="BBX117" s="950"/>
      <c r="BBY117" s="950"/>
      <c r="BBZ117" s="950"/>
      <c r="BCA117" s="950"/>
      <c r="BCB117" s="950"/>
      <c r="BCC117" s="950"/>
      <c r="BCD117" s="950"/>
      <c r="BCE117" s="950"/>
      <c r="BCF117" s="950"/>
      <c r="BCG117" s="950"/>
      <c r="BCH117" s="950"/>
      <c r="BCI117" s="950"/>
      <c r="BCJ117" s="950"/>
      <c r="BCK117" s="950"/>
      <c r="BCL117" s="950"/>
      <c r="BCM117" s="950"/>
      <c r="BCN117" s="950"/>
      <c r="BCO117" s="950"/>
      <c r="BCP117" s="950"/>
      <c r="BCQ117" s="950"/>
      <c r="BCR117" s="950"/>
      <c r="BCS117" s="950"/>
      <c r="BCT117" s="950"/>
      <c r="BCU117" s="950"/>
      <c r="BCV117" s="950"/>
      <c r="BCW117" s="950"/>
      <c r="BCX117" s="950"/>
      <c r="BCY117" s="950"/>
      <c r="BCZ117" s="950"/>
      <c r="BDA117" s="950"/>
      <c r="BDB117" s="950"/>
      <c r="BDC117" s="950"/>
      <c r="BDD117" s="950"/>
      <c r="BDE117" s="950"/>
      <c r="BDF117" s="950"/>
      <c r="BDG117" s="950"/>
      <c r="BDH117" s="950"/>
      <c r="BDI117" s="950"/>
      <c r="BDJ117" s="950"/>
      <c r="BDK117" s="950"/>
      <c r="BDL117" s="950"/>
      <c r="BDM117" s="950"/>
      <c r="BDN117" s="950"/>
      <c r="BDO117" s="950"/>
      <c r="BDP117" s="950"/>
      <c r="BDQ117" s="950"/>
      <c r="BDR117" s="950"/>
      <c r="BDS117" s="950"/>
      <c r="BDT117" s="950"/>
      <c r="BDU117" s="950"/>
      <c r="BDV117" s="950"/>
      <c r="BDW117" s="950"/>
      <c r="BDX117" s="950"/>
      <c r="BDY117" s="950"/>
      <c r="BDZ117" s="950"/>
      <c r="BEA117" s="950"/>
      <c r="BEB117" s="950"/>
      <c r="BEC117" s="950"/>
      <c r="BED117" s="950"/>
      <c r="BEE117" s="950"/>
      <c r="BEF117" s="950"/>
      <c r="BEG117" s="950"/>
      <c r="BEH117" s="950"/>
      <c r="BEI117" s="950"/>
      <c r="BEJ117" s="950"/>
      <c r="BEK117" s="950"/>
      <c r="BEL117" s="950"/>
      <c r="BEM117" s="950"/>
      <c r="BEN117" s="950"/>
      <c r="BEO117" s="950"/>
      <c r="BEP117" s="950"/>
      <c r="BEQ117" s="950"/>
      <c r="BER117" s="950"/>
      <c r="BES117" s="950"/>
      <c r="BET117" s="950"/>
      <c r="BEU117" s="950"/>
      <c r="BEV117" s="950"/>
      <c r="BEW117" s="950"/>
      <c r="BEX117" s="950"/>
      <c r="BEY117" s="950"/>
      <c r="BEZ117" s="950"/>
      <c r="BFA117" s="950"/>
      <c r="BFB117" s="950"/>
      <c r="BFC117" s="950"/>
      <c r="BFD117" s="950"/>
      <c r="BFE117" s="950"/>
      <c r="BFF117" s="950"/>
      <c r="BFG117" s="950"/>
      <c r="BFH117" s="950"/>
      <c r="BFI117" s="950"/>
      <c r="BFJ117" s="950"/>
      <c r="BFK117" s="950"/>
      <c r="BFL117" s="950"/>
      <c r="BFM117" s="950"/>
      <c r="BFN117" s="950"/>
      <c r="BFO117" s="950"/>
      <c r="BFP117" s="950"/>
      <c r="BFQ117" s="950"/>
      <c r="BFR117" s="950"/>
      <c r="BFS117" s="950"/>
      <c r="BFT117" s="950"/>
      <c r="BFU117" s="950"/>
      <c r="BFV117" s="950"/>
      <c r="BFW117" s="950"/>
      <c r="BFX117" s="950"/>
      <c r="BFY117" s="950"/>
      <c r="BFZ117" s="950"/>
      <c r="BGA117" s="950"/>
      <c r="BGB117" s="950"/>
      <c r="BGC117" s="950"/>
      <c r="BGD117" s="950"/>
      <c r="BGE117" s="950"/>
      <c r="BGF117" s="950"/>
      <c r="BGG117" s="950"/>
      <c r="BGH117" s="950"/>
      <c r="BGI117" s="950"/>
      <c r="BGJ117" s="950"/>
      <c r="BGK117" s="950"/>
      <c r="BGL117" s="950"/>
      <c r="BGM117" s="950"/>
      <c r="BGN117" s="950"/>
      <c r="BGO117" s="950"/>
      <c r="BGP117" s="950"/>
      <c r="BGQ117" s="950"/>
      <c r="BGR117" s="950"/>
      <c r="BGS117" s="950"/>
      <c r="BGT117" s="950"/>
      <c r="BGU117" s="950"/>
      <c r="BGV117" s="950"/>
      <c r="BGW117" s="950"/>
      <c r="BGX117" s="950"/>
      <c r="BGY117" s="950"/>
      <c r="BGZ117" s="950"/>
      <c r="BHA117" s="950"/>
      <c r="BHB117" s="950"/>
      <c r="BHC117" s="950"/>
      <c r="BHD117" s="950"/>
      <c r="BHE117" s="950"/>
      <c r="BHF117" s="950"/>
      <c r="BHG117" s="950"/>
      <c r="BHH117" s="950"/>
      <c r="BHI117" s="950"/>
      <c r="BHJ117" s="950"/>
      <c r="BHK117" s="950"/>
      <c r="BHL117" s="950"/>
      <c r="BHM117" s="950"/>
      <c r="BHN117" s="950"/>
      <c r="BHO117" s="950"/>
      <c r="BHP117" s="950"/>
      <c r="BHQ117" s="950"/>
      <c r="BHR117" s="950"/>
      <c r="BHS117" s="950"/>
      <c r="BHT117" s="950"/>
      <c r="BHU117" s="950"/>
      <c r="BHV117" s="950"/>
      <c r="BHW117" s="950"/>
      <c r="BHX117" s="950"/>
      <c r="BHY117" s="950"/>
      <c r="BHZ117" s="950"/>
      <c r="BIA117" s="950"/>
      <c r="BIB117" s="950"/>
      <c r="BIC117" s="950"/>
      <c r="BID117" s="950"/>
      <c r="BIE117" s="950"/>
      <c r="BIF117" s="950"/>
      <c r="BIG117" s="950"/>
      <c r="BIH117" s="950"/>
      <c r="BII117" s="950"/>
      <c r="BIJ117" s="950"/>
      <c r="BIK117" s="950"/>
      <c r="BIL117" s="950"/>
      <c r="BIM117" s="950"/>
      <c r="BIN117" s="950"/>
      <c r="BIO117" s="950"/>
      <c r="BIP117" s="950"/>
      <c r="BIQ117" s="950"/>
      <c r="BIR117" s="950"/>
      <c r="BIS117" s="950"/>
      <c r="BIT117" s="950"/>
      <c r="BIU117" s="950"/>
      <c r="BIV117" s="950"/>
      <c r="BIW117" s="950"/>
      <c r="BIX117" s="950"/>
      <c r="BIY117" s="950"/>
      <c r="BIZ117" s="950"/>
      <c r="BJA117" s="950"/>
      <c r="BJB117" s="950"/>
      <c r="BJC117" s="950"/>
      <c r="BJD117" s="950"/>
      <c r="BJE117" s="950"/>
      <c r="BJF117" s="950"/>
      <c r="BJG117" s="950"/>
      <c r="BJH117" s="950"/>
      <c r="BJI117" s="950"/>
      <c r="BJJ117" s="950"/>
      <c r="BJK117" s="950"/>
      <c r="BJL117" s="950"/>
      <c r="BJM117" s="950"/>
      <c r="BJN117" s="950"/>
      <c r="BJO117" s="950"/>
      <c r="BJP117" s="950"/>
      <c r="BJQ117" s="950"/>
      <c r="BJR117" s="950"/>
      <c r="BJS117" s="950"/>
      <c r="BJT117" s="950"/>
      <c r="BJU117" s="950"/>
      <c r="BJV117" s="950"/>
      <c r="BJW117" s="950"/>
      <c r="BJX117" s="950"/>
      <c r="BJY117" s="950"/>
      <c r="BJZ117" s="950"/>
      <c r="BKA117" s="950"/>
      <c r="BKB117" s="950"/>
      <c r="BKC117" s="950"/>
      <c r="BKD117" s="950"/>
      <c r="BKE117" s="950"/>
      <c r="BKF117" s="950"/>
      <c r="BKG117" s="950"/>
      <c r="BKH117" s="950"/>
      <c r="BKI117" s="950"/>
      <c r="BKJ117" s="950"/>
      <c r="BKK117" s="950"/>
      <c r="BKL117" s="950"/>
      <c r="BKM117" s="950"/>
      <c r="BKN117" s="950"/>
      <c r="BKO117" s="950"/>
      <c r="BKP117" s="950"/>
      <c r="BKQ117" s="950"/>
      <c r="BKR117" s="950"/>
      <c r="BKS117" s="950"/>
      <c r="BKT117" s="950"/>
      <c r="BKU117" s="950"/>
      <c r="BKV117" s="950"/>
      <c r="BKW117" s="950"/>
      <c r="BKX117" s="950"/>
      <c r="BKY117" s="950"/>
      <c r="BKZ117" s="950"/>
      <c r="BLA117" s="950"/>
      <c r="BLB117" s="950"/>
      <c r="BLC117" s="950"/>
      <c r="BLD117" s="950"/>
      <c r="BLE117" s="950"/>
      <c r="BLF117" s="950"/>
      <c r="BLG117" s="950"/>
      <c r="BLH117" s="950"/>
      <c r="BLI117" s="950"/>
      <c r="BLJ117" s="950"/>
      <c r="BLK117" s="950"/>
      <c r="BLL117" s="950"/>
      <c r="BLM117" s="950"/>
      <c r="BLN117" s="950"/>
      <c r="BLO117" s="950"/>
      <c r="BLP117" s="950"/>
      <c r="BLQ117" s="950"/>
      <c r="BLR117" s="950"/>
      <c r="BLS117" s="950"/>
      <c r="BLT117" s="950"/>
      <c r="BLU117" s="950"/>
      <c r="BLV117" s="950"/>
      <c r="BLW117" s="950"/>
      <c r="BLX117" s="950"/>
      <c r="BLY117" s="950"/>
      <c r="BLZ117" s="950"/>
      <c r="BMA117" s="950"/>
      <c r="BMB117" s="950"/>
      <c r="BMC117" s="950"/>
      <c r="BMD117" s="950"/>
      <c r="BME117" s="950"/>
      <c r="BMF117" s="950"/>
      <c r="BMG117" s="950"/>
      <c r="BMH117" s="950"/>
      <c r="BMI117" s="950"/>
      <c r="BMJ117" s="950"/>
      <c r="BMK117" s="950"/>
      <c r="BML117" s="950"/>
      <c r="BMM117" s="950"/>
      <c r="BMN117" s="950"/>
      <c r="BMO117" s="950"/>
      <c r="BMP117" s="950"/>
      <c r="BMQ117" s="950"/>
      <c r="BMR117" s="950"/>
      <c r="BMS117" s="950"/>
      <c r="BMT117" s="950"/>
      <c r="BMU117" s="950"/>
      <c r="BMV117" s="950"/>
      <c r="BMW117" s="950"/>
      <c r="BMX117" s="950"/>
      <c r="BMY117" s="950"/>
      <c r="BMZ117" s="950"/>
      <c r="BNA117" s="950"/>
      <c r="BNB117" s="950"/>
      <c r="BNC117" s="950"/>
      <c r="BND117" s="950"/>
      <c r="BNE117" s="950"/>
      <c r="BNF117" s="950"/>
      <c r="BNG117" s="950"/>
      <c r="BNH117" s="950"/>
      <c r="BNI117" s="950"/>
      <c r="BNJ117" s="950"/>
      <c r="BNK117" s="950"/>
      <c r="BNL117" s="950"/>
      <c r="BNM117" s="950"/>
      <c r="BNN117" s="950"/>
      <c r="BNO117" s="950"/>
      <c r="BNP117" s="950"/>
      <c r="BNQ117" s="950"/>
      <c r="BNR117" s="950"/>
      <c r="BNS117" s="950"/>
      <c r="BNT117" s="950"/>
      <c r="BNU117" s="950"/>
      <c r="BNV117" s="950"/>
      <c r="BNW117" s="950"/>
      <c r="BNX117" s="950"/>
      <c r="BNY117" s="950"/>
      <c r="BNZ117" s="950"/>
      <c r="BOA117" s="950"/>
      <c r="BOB117" s="950"/>
      <c r="BOC117" s="950"/>
      <c r="BOD117" s="950"/>
      <c r="BOE117" s="950"/>
      <c r="BOF117" s="950"/>
      <c r="BOG117" s="950"/>
      <c r="BOH117" s="950"/>
      <c r="BOI117" s="950"/>
      <c r="BOJ117" s="950"/>
      <c r="BOK117" s="950"/>
      <c r="BOL117" s="950"/>
      <c r="BOM117" s="950"/>
      <c r="BON117" s="950"/>
      <c r="BOO117" s="950"/>
      <c r="BOP117" s="950"/>
      <c r="BOQ117" s="950"/>
      <c r="BOR117" s="950"/>
      <c r="BOS117" s="950"/>
      <c r="BOT117" s="950"/>
      <c r="BOU117" s="950"/>
      <c r="BOV117" s="950"/>
      <c r="BOW117" s="950"/>
      <c r="BOX117" s="950"/>
      <c r="BOY117" s="950"/>
      <c r="BOZ117" s="950"/>
      <c r="BPA117" s="950"/>
      <c r="BPB117" s="950"/>
      <c r="BPC117" s="950"/>
      <c r="BPD117" s="950"/>
      <c r="BPE117" s="950"/>
      <c r="BPF117" s="950"/>
      <c r="BPG117" s="950"/>
      <c r="BPH117" s="950"/>
      <c r="BPI117" s="950"/>
      <c r="BPJ117" s="950"/>
      <c r="BPK117" s="950"/>
      <c r="BPL117" s="950"/>
      <c r="BPM117" s="950"/>
      <c r="BPN117" s="950"/>
      <c r="BPO117" s="950"/>
      <c r="BPP117" s="950"/>
      <c r="BPQ117" s="950"/>
      <c r="BPR117" s="950"/>
      <c r="BPS117" s="950"/>
      <c r="BPT117" s="950"/>
      <c r="BPU117" s="950"/>
      <c r="BPV117" s="950"/>
      <c r="BPW117" s="950"/>
      <c r="BPX117" s="950"/>
      <c r="BPY117" s="950"/>
      <c r="BPZ117" s="950"/>
      <c r="BQA117" s="950"/>
      <c r="BQB117" s="950"/>
      <c r="BQC117" s="950"/>
      <c r="BQD117" s="950"/>
      <c r="BQE117" s="950"/>
      <c r="BQF117" s="950"/>
      <c r="BQG117" s="950"/>
      <c r="BQH117" s="950"/>
      <c r="BQI117" s="950"/>
      <c r="BQJ117" s="950"/>
      <c r="BQK117" s="950"/>
      <c r="BQL117" s="950"/>
      <c r="BQM117" s="950"/>
      <c r="BQN117" s="950"/>
      <c r="BQO117" s="950"/>
      <c r="BQP117" s="950"/>
      <c r="BQQ117" s="950"/>
      <c r="BQR117" s="950"/>
      <c r="BQS117" s="950"/>
      <c r="BQT117" s="950"/>
      <c r="BQU117" s="950"/>
      <c r="BQV117" s="950"/>
      <c r="BQW117" s="950"/>
      <c r="BQX117" s="950"/>
      <c r="BQY117" s="950"/>
      <c r="BQZ117" s="950"/>
      <c r="BRA117" s="950"/>
      <c r="BRB117" s="950"/>
      <c r="BRC117" s="950"/>
      <c r="BRD117" s="950"/>
      <c r="BRE117" s="950"/>
      <c r="BRF117" s="950"/>
      <c r="BRG117" s="950"/>
      <c r="BRH117" s="950"/>
      <c r="BRI117" s="950"/>
      <c r="BRJ117" s="950"/>
      <c r="BRK117" s="950"/>
      <c r="BRL117" s="950"/>
      <c r="BRM117" s="950"/>
      <c r="BRN117" s="950"/>
      <c r="BRO117" s="950"/>
      <c r="BRP117" s="950"/>
      <c r="BRQ117" s="950"/>
      <c r="BRR117" s="950"/>
      <c r="BRS117" s="950"/>
      <c r="BRT117" s="950"/>
      <c r="BRU117" s="950"/>
      <c r="BRV117" s="950"/>
      <c r="BRW117" s="950"/>
      <c r="BRX117" s="950"/>
      <c r="BRY117" s="950"/>
      <c r="BRZ117" s="950"/>
      <c r="BSA117" s="950"/>
      <c r="BSB117" s="950"/>
      <c r="BSC117" s="950"/>
      <c r="BSD117" s="950"/>
      <c r="BSE117" s="950"/>
      <c r="BSF117" s="950"/>
      <c r="BSG117" s="950"/>
      <c r="BSH117" s="950"/>
      <c r="BSI117" s="950"/>
      <c r="BSJ117" s="950"/>
      <c r="BSK117" s="950"/>
      <c r="BSL117" s="950"/>
      <c r="BSM117" s="950"/>
      <c r="BSN117" s="950"/>
      <c r="BSO117" s="950"/>
      <c r="BSP117" s="950"/>
      <c r="BSQ117" s="950"/>
      <c r="BSR117" s="950"/>
      <c r="BSS117" s="950"/>
      <c r="BST117" s="950"/>
      <c r="BSU117" s="950"/>
      <c r="BSV117" s="950"/>
      <c r="BSW117" s="950"/>
      <c r="BSX117" s="950"/>
      <c r="BSY117" s="950"/>
      <c r="BSZ117" s="950"/>
      <c r="BTA117" s="950"/>
      <c r="BTB117" s="950"/>
      <c r="BTC117" s="950"/>
      <c r="BTD117" s="950"/>
      <c r="BTE117" s="950"/>
      <c r="BTF117" s="950"/>
      <c r="BTG117" s="950"/>
      <c r="BTH117" s="950"/>
      <c r="BTI117" s="950"/>
      <c r="BTJ117" s="950"/>
      <c r="BTK117" s="950"/>
      <c r="BTL117" s="950"/>
      <c r="BTM117" s="950"/>
      <c r="BTN117" s="950"/>
      <c r="BTO117" s="950"/>
      <c r="BTP117" s="950"/>
      <c r="BTQ117" s="950"/>
      <c r="BTR117" s="950"/>
      <c r="BTS117" s="950"/>
      <c r="BTT117" s="950"/>
      <c r="BTU117" s="950"/>
      <c r="BTV117" s="950"/>
      <c r="BTW117" s="950"/>
      <c r="BTX117" s="950"/>
      <c r="BTY117" s="950"/>
      <c r="BTZ117" s="950"/>
      <c r="BUA117" s="950"/>
      <c r="BUB117" s="950"/>
      <c r="BUC117" s="950"/>
      <c r="BUD117" s="950"/>
      <c r="BUE117" s="950"/>
      <c r="BUF117" s="950"/>
      <c r="BUG117" s="950"/>
      <c r="BUH117" s="950"/>
      <c r="BUI117" s="950"/>
      <c r="BUJ117" s="950"/>
      <c r="BUK117" s="950"/>
      <c r="BUL117" s="950"/>
      <c r="BUM117" s="950"/>
      <c r="BUN117" s="950"/>
      <c r="BUO117" s="950"/>
      <c r="BUP117" s="950"/>
      <c r="BUQ117" s="950"/>
      <c r="BUR117" s="950"/>
      <c r="BUS117" s="950"/>
      <c r="BUT117" s="950"/>
      <c r="BUU117" s="950"/>
      <c r="BUV117" s="950"/>
      <c r="BUW117" s="950"/>
      <c r="BUX117" s="950"/>
      <c r="BUY117" s="950"/>
      <c r="BUZ117" s="950"/>
      <c r="BVA117" s="950"/>
      <c r="BVB117" s="950"/>
      <c r="BVC117" s="950"/>
      <c r="BVD117" s="950"/>
      <c r="BVE117" s="950"/>
      <c r="BVF117" s="950"/>
      <c r="BVG117" s="950"/>
      <c r="BVH117" s="950"/>
      <c r="BVI117" s="950"/>
      <c r="BVJ117" s="950"/>
      <c r="BVK117" s="950"/>
      <c r="BVL117" s="950"/>
      <c r="BVM117" s="950"/>
      <c r="BVN117" s="950"/>
      <c r="BVO117" s="950"/>
      <c r="BVP117" s="950"/>
      <c r="BVQ117" s="950"/>
      <c r="BVR117" s="950"/>
      <c r="BVS117" s="950"/>
      <c r="BVT117" s="950"/>
      <c r="BVU117" s="950"/>
      <c r="BVV117" s="950"/>
      <c r="BVW117" s="950"/>
      <c r="BVX117" s="950"/>
      <c r="BVY117" s="950"/>
      <c r="BVZ117" s="950"/>
      <c r="BWA117" s="950"/>
      <c r="BWB117" s="950"/>
      <c r="BWC117" s="950"/>
      <c r="BWD117" s="950"/>
      <c r="BWE117" s="950"/>
      <c r="BWF117" s="950"/>
      <c r="BWG117" s="950"/>
      <c r="BWH117" s="950"/>
      <c r="BWI117" s="950"/>
      <c r="BWJ117" s="950"/>
      <c r="BWK117" s="950"/>
      <c r="BWL117" s="950"/>
      <c r="BWM117" s="950"/>
      <c r="BWN117" s="950"/>
      <c r="BWO117" s="950"/>
      <c r="BWP117" s="950"/>
      <c r="BWQ117" s="950"/>
      <c r="BWR117" s="950"/>
      <c r="BWS117" s="950"/>
      <c r="BWT117" s="950"/>
      <c r="BWU117" s="950"/>
      <c r="BWV117" s="950"/>
      <c r="BWW117" s="950"/>
      <c r="BWX117" s="950"/>
      <c r="BWY117" s="950"/>
      <c r="BWZ117" s="950"/>
      <c r="BXA117" s="950"/>
      <c r="BXB117" s="950"/>
      <c r="BXC117" s="950"/>
      <c r="BXD117" s="950"/>
      <c r="BXE117" s="950"/>
      <c r="BXF117" s="950"/>
      <c r="BXG117" s="950"/>
      <c r="BXH117" s="950"/>
      <c r="BXI117" s="950"/>
      <c r="BXJ117" s="950"/>
      <c r="BXK117" s="950"/>
      <c r="BXL117" s="950"/>
      <c r="BXM117" s="950"/>
      <c r="BXN117" s="950"/>
      <c r="BXO117" s="950"/>
      <c r="BXP117" s="950"/>
      <c r="BXQ117" s="950"/>
      <c r="BXR117" s="950"/>
      <c r="BXS117" s="950"/>
      <c r="BXT117" s="950"/>
      <c r="BXU117" s="950"/>
      <c r="BXV117" s="950"/>
      <c r="BXW117" s="950"/>
      <c r="BXX117" s="950"/>
      <c r="BXY117" s="950"/>
      <c r="BXZ117" s="950"/>
      <c r="BYA117" s="950"/>
      <c r="BYB117" s="950"/>
      <c r="BYC117" s="950"/>
      <c r="BYD117" s="950"/>
      <c r="BYE117" s="950"/>
      <c r="BYF117" s="950"/>
      <c r="BYG117" s="950"/>
      <c r="BYH117" s="950"/>
      <c r="BYI117" s="950"/>
      <c r="BYJ117" s="950"/>
      <c r="BYK117" s="950"/>
      <c r="BYL117" s="950"/>
      <c r="BYM117" s="950"/>
      <c r="BYN117" s="950"/>
      <c r="BYO117" s="950"/>
      <c r="BYP117" s="950"/>
      <c r="BYQ117" s="950"/>
      <c r="BYR117" s="950"/>
      <c r="BYS117" s="950"/>
      <c r="BYT117" s="950"/>
      <c r="BYU117" s="950"/>
      <c r="BYV117" s="950"/>
      <c r="BYW117" s="950"/>
      <c r="BYX117" s="950"/>
      <c r="BYY117" s="950"/>
      <c r="BYZ117" s="950"/>
      <c r="BZA117" s="950"/>
      <c r="BZB117" s="950"/>
      <c r="BZC117" s="950"/>
      <c r="BZD117" s="950"/>
      <c r="BZE117" s="950"/>
      <c r="BZF117" s="950"/>
      <c r="BZG117" s="950"/>
      <c r="BZH117" s="950"/>
      <c r="BZI117" s="950"/>
      <c r="BZJ117" s="950"/>
      <c r="BZK117" s="950"/>
      <c r="BZL117" s="950"/>
      <c r="BZM117" s="950"/>
      <c r="BZN117" s="950"/>
      <c r="BZO117" s="950"/>
      <c r="BZP117" s="950"/>
      <c r="BZQ117" s="950"/>
      <c r="BZR117" s="950"/>
      <c r="BZS117" s="950"/>
      <c r="BZT117" s="950"/>
      <c r="BZU117" s="950"/>
      <c r="BZV117" s="950"/>
      <c r="BZW117" s="950"/>
      <c r="BZX117" s="950"/>
      <c r="BZY117" s="950"/>
      <c r="BZZ117" s="950"/>
      <c r="CAA117" s="950"/>
      <c r="CAB117" s="950"/>
      <c r="CAC117" s="950"/>
      <c r="CAD117" s="950"/>
      <c r="CAE117" s="950"/>
      <c r="CAF117" s="950"/>
      <c r="CAG117" s="950"/>
      <c r="CAH117" s="950"/>
      <c r="CAI117" s="950"/>
      <c r="CAJ117" s="950"/>
      <c r="CAK117" s="950"/>
      <c r="CAL117" s="950"/>
      <c r="CAM117" s="950"/>
      <c r="CAN117" s="950"/>
      <c r="CAO117" s="950"/>
      <c r="CAP117" s="950"/>
      <c r="CAQ117" s="950"/>
      <c r="CAR117" s="950"/>
      <c r="CAS117" s="950"/>
      <c r="CAT117" s="950"/>
      <c r="CAU117" s="950"/>
      <c r="CAV117" s="950"/>
      <c r="CAW117" s="950"/>
      <c r="CAX117" s="950"/>
      <c r="CAY117" s="950"/>
      <c r="CAZ117" s="950"/>
      <c r="CBA117" s="950"/>
      <c r="CBB117" s="950"/>
      <c r="CBC117" s="950"/>
      <c r="CBD117" s="950"/>
      <c r="CBE117" s="950"/>
      <c r="CBF117" s="950"/>
      <c r="CBG117" s="950"/>
      <c r="CBH117" s="950"/>
      <c r="CBI117" s="950"/>
      <c r="CBJ117" s="950"/>
      <c r="CBK117" s="950"/>
      <c r="CBL117" s="950"/>
      <c r="CBM117" s="950"/>
      <c r="CBN117" s="950"/>
      <c r="CBO117" s="950"/>
      <c r="CBP117" s="950"/>
      <c r="CBQ117" s="950"/>
      <c r="CBR117" s="950"/>
      <c r="CBS117" s="950"/>
      <c r="CBT117" s="950"/>
      <c r="CBU117" s="950"/>
      <c r="CBV117" s="950"/>
      <c r="CBW117" s="950"/>
      <c r="CBX117" s="950"/>
      <c r="CBY117" s="950"/>
      <c r="CBZ117" s="950"/>
      <c r="CCA117" s="950"/>
      <c r="CCB117" s="950"/>
      <c r="CCC117" s="950"/>
      <c r="CCD117" s="950"/>
      <c r="CCE117" s="950"/>
      <c r="CCF117" s="950"/>
      <c r="CCG117" s="950"/>
      <c r="CCH117" s="950"/>
      <c r="CCI117" s="950"/>
      <c r="CCJ117" s="950"/>
      <c r="CCK117" s="950"/>
      <c r="CCL117" s="950"/>
      <c r="CCM117" s="950"/>
      <c r="CCN117" s="950"/>
      <c r="CCO117" s="950"/>
      <c r="CCP117" s="950"/>
      <c r="CCQ117" s="950"/>
      <c r="CCR117" s="950"/>
      <c r="CCS117" s="950"/>
      <c r="CCT117" s="950"/>
      <c r="CCU117" s="950"/>
      <c r="CCV117" s="950"/>
      <c r="CCW117" s="950"/>
      <c r="CCX117" s="950"/>
      <c r="CCY117" s="950"/>
      <c r="CCZ117" s="950"/>
      <c r="CDA117" s="950"/>
      <c r="CDB117" s="950"/>
      <c r="CDC117" s="950"/>
      <c r="CDD117" s="950"/>
      <c r="CDE117" s="950"/>
      <c r="CDF117" s="950"/>
      <c r="CDG117" s="950"/>
      <c r="CDH117" s="950"/>
      <c r="CDI117" s="950"/>
      <c r="CDJ117" s="950"/>
      <c r="CDK117" s="950"/>
      <c r="CDL117" s="950"/>
      <c r="CDM117" s="950"/>
      <c r="CDN117" s="950"/>
      <c r="CDO117" s="950"/>
      <c r="CDP117" s="950"/>
      <c r="CDQ117" s="950"/>
      <c r="CDR117" s="950"/>
      <c r="CDS117" s="950"/>
      <c r="CDT117" s="950"/>
      <c r="CDU117" s="950"/>
      <c r="CDV117" s="950"/>
      <c r="CDW117" s="950"/>
      <c r="CDX117" s="950"/>
      <c r="CDY117" s="950"/>
      <c r="CDZ117" s="950"/>
      <c r="CEA117" s="950"/>
      <c r="CEB117" s="950"/>
      <c r="CEC117" s="950"/>
      <c r="CED117" s="950"/>
      <c r="CEE117" s="950"/>
      <c r="CEF117" s="950"/>
      <c r="CEG117" s="950"/>
      <c r="CEH117" s="950"/>
      <c r="CEI117" s="950"/>
      <c r="CEJ117" s="950"/>
      <c r="CEK117" s="950"/>
      <c r="CEL117" s="950"/>
      <c r="CEM117" s="950"/>
      <c r="CEN117" s="950"/>
      <c r="CEO117" s="950"/>
      <c r="CEP117" s="950"/>
      <c r="CEQ117" s="950"/>
      <c r="CER117" s="950"/>
      <c r="CES117" s="950"/>
      <c r="CET117" s="950"/>
      <c r="CEU117" s="950"/>
      <c r="CEV117" s="950"/>
      <c r="CEW117" s="950"/>
      <c r="CEX117" s="950"/>
      <c r="CEY117" s="950"/>
      <c r="CEZ117" s="950"/>
      <c r="CFA117" s="950"/>
      <c r="CFB117" s="950"/>
      <c r="CFC117" s="950"/>
      <c r="CFD117" s="950"/>
      <c r="CFE117" s="950"/>
      <c r="CFF117" s="950"/>
      <c r="CFG117" s="950"/>
      <c r="CFH117" s="950"/>
      <c r="CFI117" s="950"/>
      <c r="CFJ117" s="950"/>
      <c r="CFK117" s="950"/>
      <c r="CFL117" s="950"/>
      <c r="CFM117" s="950"/>
      <c r="CFN117" s="950"/>
      <c r="CFO117" s="950"/>
      <c r="CFP117" s="950"/>
      <c r="CFQ117" s="950"/>
      <c r="CFR117" s="950"/>
      <c r="CFS117" s="950"/>
      <c r="CFT117" s="950"/>
      <c r="CFU117" s="950"/>
      <c r="CFV117" s="950"/>
      <c r="CFW117" s="950"/>
      <c r="CFX117" s="950"/>
      <c r="CFY117" s="950"/>
      <c r="CFZ117" s="950"/>
      <c r="CGA117" s="950"/>
      <c r="CGB117" s="950"/>
      <c r="CGC117" s="950"/>
      <c r="CGD117" s="950"/>
      <c r="CGE117" s="950"/>
      <c r="CGF117" s="950"/>
      <c r="CGG117" s="950"/>
      <c r="CGH117" s="950"/>
      <c r="CGI117" s="950"/>
      <c r="CGJ117" s="950"/>
      <c r="CGK117" s="950"/>
      <c r="CGL117" s="950"/>
      <c r="CGM117" s="950"/>
      <c r="CGN117" s="950"/>
      <c r="CGO117" s="950"/>
      <c r="CGP117" s="950"/>
      <c r="CGQ117" s="950"/>
      <c r="CGR117" s="950"/>
      <c r="CGS117" s="950"/>
      <c r="CGT117" s="950"/>
      <c r="CGU117" s="950"/>
      <c r="CGV117" s="950"/>
      <c r="CGW117" s="950"/>
      <c r="CGX117" s="950"/>
      <c r="CGY117" s="950"/>
      <c r="CGZ117" s="950"/>
      <c r="CHA117" s="950"/>
      <c r="CHB117" s="950"/>
      <c r="CHC117" s="950"/>
      <c r="CHD117" s="950"/>
      <c r="CHE117" s="950"/>
      <c r="CHF117" s="950"/>
      <c r="CHG117" s="950"/>
      <c r="CHH117" s="950"/>
      <c r="CHI117" s="950"/>
      <c r="CHJ117" s="950"/>
      <c r="CHK117" s="950"/>
      <c r="CHL117" s="950"/>
      <c r="CHM117" s="950"/>
      <c r="CHN117" s="950"/>
      <c r="CHO117" s="950"/>
      <c r="CHP117" s="950"/>
      <c r="CHQ117" s="950"/>
      <c r="CHR117" s="950"/>
      <c r="CHS117" s="950"/>
      <c r="CHT117" s="950"/>
      <c r="CHU117" s="950"/>
      <c r="CHV117" s="950"/>
      <c r="CHW117" s="950"/>
      <c r="CHX117" s="950"/>
      <c r="CHY117" s="950"/>
      <c r="CHZ117" s="950"/>
      <c r="CIA117" s="950"/>
      <c r="CIB117" s="950"/>
      <c r="CIC117" s="950"/>
      <c r="CID117" s="950"/>
      <c r="CIE117" s="950"/>
      <c r="CIF117" s="950"/>
      <c r="CIG117" s="950"/>
      <c r="CIH117" s="950"/>
      <c r="CII117" s="950"/>
      <c r="CIJ117" s="950"/>
      <c r="CIK117" s="950"/>
      <c r="CIL117" s="950"/>
      <c r="CIM117" s="950"/>
      <c r="CIN117" s="950"/>
      <c r="CIO117" s="950"/>
      <c r="CIP117" s="950"/>
      <c r="CIQ117" s="950"/>
      <c r="CIR117" s="950"/>
      <c r="CIS117" s="950"/>
      <c r="CIT117" s="950"/>
      <c r="CIU117" s="950"/>
      <c r="CIV117" s="950"/>
      <c r="CIW117" s="950"/>
      <c r="CIX117" s="950"/>
      <c r="CIY117" s="950"/>
      <c r="CIZ117" s="950"/>
      <c r="CJA117" s="950"/>
      <c r="CJB117" s="950"/>
      <c r="CJC117" s="950"/>
      <c r="CJD117" s="950"/>
      <c r="CJE117" s="950"/>
      <c r="CJF117" s="950"/>
      <c r="CJG117" s="950"/>
      <c r="CJH117" s="950"/>
      <c r="CJI117" s="950"/>
      <c r="CJJ117" s="950"/>
      <c r="CJK117" s="950"/>
      <c r="CJL117" s="950"/>
      <c r="CJM117" s="950"/>
      <c r="CJN117" s="950"/>
      <c r="CJO117" s="950"/>
      <c r="CJP117" s="950"/>
      <c r="CJQ117" s="950"/>
      <c r="CJR117" s="950"/>
      <c r="CJS117" s="950"/>
      <c r="CJT117" s="950"/>
      <c r="CJU117" s="950"/>
      <c r="CJV117" s="950"/>
      <c r="CJW117" s="950"/>
      <c r="CJX117" s="950"/>
      <c r="CJY117" s="950"/>
      <c r="CJZ117" s="950"/>
      <c r="CKA117" s="950"/>
      <c r="CKB117" s="950"/>
      <c r="CKC117" s="950"/>
      <c r="CKD117" s="950"/>
      <c r="CKE117" s="950"/>
      <c r="CKF117" s="950"/>
      <c r="CKG117" s="950"/>
      <c r="CKH117" s="950"/>
      <c r="CKI117" s="950"/>
      <c r="CKJ117" s="950"/>
      <c r="CKK117" s="950"/>
      <c r="CKL117" s="950"/>
      <c r="CKM117" s="950"/>
      <c r="CKN117" s="950"/>
      <c r="CKO117" s="950"/>
      <c r="CKP117" s="950"/>
      <c r="CKQ117" s="950"/>
      <c r="CKR117" s="950"/>
      <c r="CKS117" s="950"/>
      <c r="CKT117" s="950"/>
      <c r="CKU117" s="950"/>
      <c r="CKV117" s="950"/>
      <c r="CKW117" s="950"/>
      <c r="CKX117" s="950"/>
      <c r="CKY117" s="950"/>
      <c r="CKZ117" s="950"/>
      <c r="CLA117" s="950"/>
      <c r="CLB117" s="950"/>
      <c r="CLC117" s="950"/>
      <c r="CLD117" s="950"/>
      <c r="CLE117" s="950"/>
      <c r="CLF117" s="950"/>
      <c r="CLG117" s="950"/>
      <c r="CLH117" s="950"/>
      <c r="CLI117" s="950"/>
      <c r="CLJ117" s="950"/>
      <c r="CLK117" s="950"/>
      <c r="CLL117" s="950"/>
      <c r="CLM117" s="950"/>
      <c r="CLN117" s="950"/>
      <c r="CLO117" s="950"/>
      <c r="CLP117" s="950"/>
      <c r="CLQ117" s="950"/>
      <c r="CLR117" s="950"/>
      <c r="CLS117" s="950"/>
      <c r="CLT117" s="950"/>
      <c r="CLU117" s="950"/>
      <c r="CLV117" s="950"/>
      <c r="CLW117" s="950"/>
      <c r="CLX117" s="950"/>
      <c r="CLY117" s="950"/>
      <c r="CLZ117" s="950"/>
      <c r="CMA117" s="950"/>
      <c r="CMB117" s="950"/>
      <c r="CMC117" s="950"/>
      <c r="CMD117" s="950"/>
      <c r="CME117" s="950"/>
      <c r="CMF117" s="950"/>
      <c r="CMG117" s="950"/>
      <c r="CMH117" s="950"/>
      <c r="CMI117" s="950"/>
      <c r="CMJ117" s="950"/>
      <c r="CMK117" s="950"/>
      <c r="CML117" s="950"/>
      <c r="CMM117" s="950"/>
      <c r="CMN117" s="950"/>
      <c r="CMO117" s="950"/>
      <c r="CMP117" s="950"/>
      <c r="CMQ117" s="950"/>
      <c r="CMR117" s="950"/>
      <c r="CMS117" s="950"/>
      <c r="CMT117" s="950"/>
      <c r="CMU117" s="950"/>
      <c r="CMV117" s="950"/>
      <c r="CMW117" s="950"/>
      <c r="CMX117" s="950"/>
      <c r="CMY117" s="950"/>
      <c r="CMZ117" s="950"/>
      <c r="CNA117" s="950"/>
      <c r="CNB117" s="950"/>
      <c r="CNC117" s="950"/>
      <c r="CND117" s="950"/>
      <c r="CNE117" s="950"/>
      <c r="CNF117" s="950"/>
      <c r="CNG117" s="950"/>
      <c r="CNH117" s="950"/>
      <c r="CNI117" s="950"/>
      <c r="CNJ117" s="950"/>
      <c r="CNK117" s="950"/>
      <c r="CNL117" s="950"/>
      <c r="CNM117" s="950"/>
      <c r="CNN117" s="950"/>
      <c r="CNO117" s="950"/>
      <c r="CNP117" s="950"/>
      <c r="CNQ117" s="950"/>
      <c r="CNR117" s="950"/>
      <c r="CNS117" s="950"/>
      <c r="CNT117" s="950"/>
      <c r="CNU117" s="950"/>
      <c r="CNV117" s="950"/>
      <c r="CNW117" s="950"/>
      <c r="CNX117" s="950"/>
      <c r="CNY117" s="950"/>
      <c r="CNZ117" s="950"/>
      <c r="COA117" s="950"/>
      <c r="COB117" s="950"/>
      <c r="COC117" s="950"/>
      <c r="COD117" s="950"/>
      <c r="COE117" s="950"/>
      <c r="COF117" s="950"/>
      <c r="COG117" s="950"/>
      <c r="COH117" s="950"/>
      <c r="COI117" s="950"/>
      <c r="COJ117" s="950"/>
      <c r="COK117" s="950"/>
      <c r="COL117" s="950"/>
      <c r="COM117" s="950"/>
      <c r="CON117" s="950"/>
      <c r="COO117" s="950"/>
      <c r="COP117" s="950"/>
      <c r="COQ117" s="950"/>
      <c r="COR117" s="950"/>
      <c r="COS117" s="950"/>
      <c r="COT117" s="950"/>
      <c r="COU117" s="950"/>
      <c r="COV117" s="950"/>
      <c r="COW117" s="950"/>
      <c r="COX117" s="950"/>
      <c r="COY117" s="950"/>
      <c r="COZ117" s="950"/>
      <c r="CPA117" s="950"/>
      <c r="CPB117" s="950"/>
      <c r="CPC117" s="950"/>
      <c r="CPD117" s="950"/>
      <c r="CPE117" s="950"/>
      <c r="CPF117" s="950"/>
      <c r="CPG117" s="950"/>
      <c r="CPH117" s="950"/>
      <c r="CPI117" s="950"/>
      <c r="CPJ117" s="950"/>
      <c r="CPK117" s="950"/>
      <c r="CPL117" s="950"/>
      <c r="CPM117" s="950"/>
      <c r="CPN117" s="950"/>
      <c r="CPO117" s="950"/>
      <c r="CPP117" s="950"/>
      <c r="CPQ117" s="950"/>
      <c r="CPR117" s="950"/>
      <c r="CPS117" s="950"/>
      <c r="CPT117" s="950"/>
      <c r="CPU117" s="950"/>
      <c r="CPV117" s="950"/>
      <c r="CPW117" s="950"/>
      <c r="CPX117" s="950"/>
      <c r="CPY117" s="950"/>
      <c r="CPZ117" s="950"/>
      <c r="CQA117" s="950"/>
      <c r="CQB117" s="950"/>
      <c r="CQC117" s="950"/>
      <c r="CQD117" s="950"/>
      <c r="CQE117" s="950"/>
      <c r="CQF117" s="950"/>
      <c r="CQG117" s="950"/>
      <c r="CQH117" s="950"/>
      <c r="CQI117" s="950"/>
      <c r="CQJ117" s="950"/>
      <c r="CQK117" s="950"/>
      <c r="CQL117" s="950"/>
      <c r="CQM117" s="950"/>
      <c r="CQN117" s="950"/>
      <c r="CQO117" s="950"/>
      <c r="CQP117" s="950"/>
      <c r="CQQ117" s="950"/>
      <c r="CQR117" s="950"/>
      <c r="CQS117" s="950"/>
      <c r="CQT117" s="950"/>
      <c r="CQU117" s="950"/>
      <c r="CQV117" s="950"/>
      <c r="CQW117" s="950"/>
      <c r="CQX117" s="950"/>
      <c r="CQY117" s="950"/>
      <c r="CQZ117" s="950"/>
      <c r="CRA117" s="950"/>
      <c r="CRB117" s="950"/>
      <c r="CRC117" s="950"/>
      <c r="CRD117" s="950"/>
      <c r="CRE117" s="950"/>
      <c r="CRF117" s="950"/>
      <c r="CRG117" s="950"/>
      <c r="CRH117" s="950"/>
      <c r="CRI117" s="950"/>
      <c r="CRJ117" s="950"/>
      <c r="CRK117" s="950"/>
      <c r="CRL117" s="950"/>
      <c r="CRM117" s="950"/>
      <c r="CRN117" s="950"/>
      <c r="CRO117" s="950"/>
      <c r="CRP117" s="950"/>
      <c r="CRQ117" s="950"/>
      <c r="CRR117" s="950"/>
      <c r="CRS117" s="950"/>
      <c r="CRT117" s="950"/>
      <c r="CRU117" s="950"/>
      <c r="CRV117" s="950"/>
      <c r="CRW117" s="950"/>
      <c r="CRX117" s="950"/>
      <c r="CRY117" s="950"/>
      <c r="CRZ117" s="950"/>
      <c r="CSA117" s="950"/>
      <c r="CSB117" s="950"/>
      <c r="CSC117" s="950"/>
      <c r="CSD117" s="950"/>
      <c r="CSE117" s="950"/>
      <c r="CSF117" s="950"/>
      <c r="CSG117" s="950"/>
      <c r="CSH117" s="950"/>
      <c r="CSI117" s="950"/>
      <c r="CSJ117" s="950"/>
      <c r="CSK117" s="950"/>
      <c r="CSL117" s="950"/>
      <c r="CSM117" s="950"/>
      <c r="CSN117" s="950"/>
      <c r="CSO117" s="950"/>
      <c r="CSP117" s="950"/>
      <c r="CSQ117" s="950"/>
      <c r="CSR117" s="950"/>
      <c r="CSS117" s="950"/>
      <c r="CST117" s="950"/>
      <c r="CSU117" s="950"/>
      <c r="CSV117" s="950"/>
      <c r="CSW117" s="950"/>
      <c r="CSX117" s="950"/>
      <c r="CSY117" s="950"/>
      <c r="CSZ117" s="950"/>
      <c r="CTA117" s="950"/>
      <c r="CTB117" s="950"/>
      <c r="CTC117" s="950"/>
      <c r="CTD117" s="950"/>
      <c r="CTE117" s="950"/>
      <c r="CTF117" s="950"/>
      <c r="CTG117" s="950"/>
      <c r="CTH117" s="950"/>
      <c r="CTI117" s="950"/>
      <c r="CTJ117" s="950"/>
      <c r="CTK117" s="950"/>
      <c r="CTL117" s="950"/>
      <c r="CTM117" s="950"/>
      <c r="CTN117" s="950"/>
      <c r="CTO117" s="950"/>
      <c r="CTP117" s="950"/>
      <c r="CTQ117" s="950"/>
      <c r="CTR117" s="950"/>
      <c r="CTS117" s="950"/>
      <c r="CTT117" s="950"/>
      <c r="CTU117" s="950"/>
      <c r="CTV117" s="950"/>
      <c r="CTW117" s="950"/>
      <c r="CTX117" s="950"/>
      <c r="CTY117" s="950"/>
      <c r="CTZ117" s="950"/>
      <c r="CUA117" s="950"/>
      <c r="CUB117" s="950"/>
      <c r="CUC117" s="950"/>
      <c r="CUD117" s="950"/>
      <c r="CUE117" s="950"/>
      <c r="CUF117" s="950"/>
      <c r="CUG117" s="950"/>
      <c r="CUH117" s="950"/>
      <c r="CUI117" s="950"/>
      <c r="CUJ117" s="950"/>
      <c r="CUK117" s="950"/>
      <c r="CUL117" s="950"/>
      <c r="CUM117" s="950"/>
      <c r="CUN117" s="950"/>
      <c r="CUO117" s="950"/>
      <c r="CUP117" s="950"/>
      <c r="CUQ117" s="950"/>
      <c r="CUR117" s="950"/>
      <c r="CUS117" s="950"/>
      <c r="CUT117" s="950"/>
      <c r="CUU117" s="950"/>
      <c r="CUV117" s="950"/>
      <c r="CUW117" s="950"/>
      <c r="CUX117" s="950"/>
      <c r="CUY117" s="950"/>
      <c r="CUZ117" s="950"/>
      <c r="CVA117" s="950"/>
      <c r="CVB117" s="950"/>
      <c r="CVC117" s="950"/>
      <c r="CVD117" s="950"/>
      <c r="CVE117" s="950"/>
      <c r="CVF117" s="950"/>
      <c r="CVG117" s="950"/>
      <c r="CVH117" s="950"/>
      <c r="CVI117" s="950"/>
      <c r="CVJ117" s="950"/>
      <c r="CVK117" s="950"/>
      <c r="CVL117" s="950"/>
      <c r="CVM117" s="950"/>
      <c r="CVN117" s="950"/>
      <c r="CVO117" s="950"/>
      <c r="CVP117" s="950"/>
      <c r="CVQ117" s="950"/>
      <c r="CVR117" s="950"/>
      <c r="CVS117" s="950"/>
      <c r="CVT117" s="950"/>
      <c r="CVU117" s="950"/>
      <c r="CVV117" s="950"/>
      <c r="CVW117" s="950"/>
      <c r="CVX117" s="950"/>
      <c r="CVY117" s="950"/>
      <c r="CVZ117" s="950"/>
      <c r="CWA117" s="950"/>
      <c r="CWB117" s="950"/>
      <c r="CWC117" s="950"/>
      <c r="CWD117" s="950"/>
      <c r="CWE117" s="950"/>
      <c r="CWF117" s="950"/>
      <c r="CWG117" s="950"/>
      <c r="CWH117" s="950"/>
      <c r="CWI117" s="950"/>
      <c r="CWJ117" s="950"/>
      <c r="CWK117" s="950"/>
      <c r="CWL117" s="950"/>
      <c r="CWM117" s="950"/>
      <c r="CWN117" s="950"/>
      <c r="CWO117" s="950"/>
      <c r="CWP117" s="950"/>
      <c r="CWQ117" s="950"/>
      <c r="CWR117" s="950"/>
      <c r="CWS117" s="950"/>
      <c r="CWT117" s="950"/>
      <c r="CWU117" s="950"/>
      <c r="CWV117" s="950"/>
      <c r="CWW117" s="950"/>
      <c r="CWX117" s="950"/>
      <c r="CWY117" s="950"/>
      <c r="CWZ117" s="950"/>
      <c r="CXA117" s="950"/>
      <c r="CXB117" s="950"/>
      <c r="CXC117" s="950"/>
      <c r="CXD117" s="950"/>
      <c r="CXE117" s="950"/>
      <c r="CXF117" s="950"/>
      <c r="CXG117" s="950"/>
      <c r="CXH117" s="950"/>
      <c r="CXI117" s="950"/>
      <c r="CXJ117" s="950"/>
      <c r="CXK117" s="950"/>
      <c r="CXL117" s="950"/>
      <c r="CXM117" s="950"/>
      <c r="CXN117" s="950"/>
      <c r="CXO117" s="950"/>
      <c r="CXP117" s="950"/>
      <c r="CXQ117" s="950"/>
      <c r="CXR117" s="950"/>
      <c r="CXS117" s="950"/>
      <c r="CXT117" s="950"/>
      <c r="CXU117" s="950"/>
      <c r="CXV117" s="950"/>
      <c r="CXW117" s="950"/>
      <c r="CXX117" s="950"/>
      <c r="CXY117" s="950"/>
      <c r="CXZ117" s="950"/>
      <c r="CYA117" s="950"/>
      <c r="CYB117" s="950"/>
      <c r="CYC117" s="950"/>
      <c r="CYD117" s="950"/>
      <c r="CYE117" s="950"/>
      <c r="CYF117" s="950"/>
      <c r="CYG117" s="950"/>
      <c r="CYH117" s="950"/>
      <c r="CYI117" s="950"/>
      <c r="CYJ117" s="950"/>
      <c r="CYK117" s="950"/>
      <c r="CYL117" s="950"/>
      <c r="CYM117" s="950"/>
      <c r="CYN117" s="950"/>
      <c r="CYO117" s="950"/>
      <c r="CYP117" s="950"/>
      <c r="CYQ117" s="950"/>
      <c r="CYR117" s="950"/>
      <c r="CYS117" s="950"/>
      <c r="CYT117" s="950"/>
      <c r="CYU117" s="950"/>
      <c r="CYV117" s="950"/>
      <c r="CYW117" s="950"/>
      <c r="CYX117" s="950"/>
      <c r="CYY117" s="950"/>
      <c r="CYZ117" s="950"/>
      <c r="CZA117" s="950"/>
      <c r="CZB117" s="950"/>
      <c r="CZC117" s="950"/>
      <c r="CZD117" s="950"/>
      <c r="CZE117" s="950"/>
      <c r="CZF117" s="950"/>
      <c r="CZG117" s="950"/>
      <c r="CZH117" s="950"/>
      <c r="CZI117" s="950"/>
      <c r="CZJ117" s="950"/>
      <c r="CZK117" s="950"/>
      <c r="CZL117" s="950"/>
      <c r="CZM117" s="950"/>
      <c r="CZN117" s="950"/>
      <c r="CZO117" s="950"/>
      <c r="CZP117" s="950"/>
      <c r="CZQ117" s="950"/>
      <c r="CZR117" s="950"/>
      <c r="CZS117" s="950"/>
      <c r="CZT117" s="950"/>
      <c r="CZU117" s="950"/>
      <c r="CZV117" s="950"/>
      <c r="CZW117" s="950"/>
      <c r="CZX117" s="950"/>
      <c r="CZY117" s="950"/>
      <c r="CZZ117" s="950"/>
      <c r="DAA117" s="950"/>
      <c r="DAB117" s="950"/>
      <c r="DAC117" s="950"/>
      <c r="DAD117" s="950"/>
      <c r="DAE117" s="950"/>
      <c r="DAF117" s="950"/>
      <c r="DAG117" s="950"/>
      <c r="DAH117" s="950"/>
      <c r="DAI117" s="950"/>
      <c r="DAJ117" s="950"/>
      <c r="DAK117" s="950"/>
      <c r="DAL117" s="950"/>
      <c r="DAM117" s="950"/>
      <c r="DAN117" s="950"/>
      <c r="DAO117" s="950"/>
      <c r="DAP117" s="950"/>
      <c r="DAQ117" s="950"/>
      <c r="DAR117" s="950"/>
      <c r="DAS117" s="950"/>
      <c r="DAT117" s="950"/>
      <c r="DAU117" s="950"/>
      <c r="DAV117" s="950"/>
      <c r="DAW117" s="950"/>
      <c r="DAX117" s="950"/>
      <c r="DAY117" s="950"/>
      <c r="DAZ117" s="950"/>
      <c r="DBA117" s="950"/>
      <c r="DBB117" s="950"/>
      <c r="DBC117" s="950"/>
      <c r="DBD117" s="950"/>
      <c r="DBE117" s="950"/>
      <c r="DBF117" s="950"/>
      <c r="DBG117" s="950"/>
      <c r="DBH117" s="950"/>
      <c r="DBI117" s="950"/>
      <c r="DBJ117" s="950"/>
      <c r="DBK117" s="950"/>
      <c r="DBL117" s="950"/>
      <c r="DBM117" s="950"/>
      <c r="DBN117" s="950"/>
      <c r="DBO117" s="950"/>
      <c r="DBP117" s="950"/>
      <c r="DBQ117" s="950"/>
      <c r="DBR117" s="950"/>
      <c r="DBS117" s="950"/>
      <c r="DBT117" s="950"/>
      <c r="DBU117" s="950"/>
      <c r="DBV117" s="950"/>
      <c r="DBW117" s="950"/>
      <c r="DBX117" s="950"/>
      <c r="DBY117" s="950"/>
      <c r="DBZ117" s="950"/>
      <c r="DCA117" s="950"/>
      <c r="DCB117" s="950"/>
      <c r="DCC117" s="950"/>
      <c r="DCD117" s="950"/>
      <c r="DCE117" s="950"/>
      <c r="DCF117" s="950"/>
      <c r="DCG117" s="950"/>
      <c r="DCH117" s="950"/>
      <c r="DCI117" s="950"/>
      <c r="DCJ117" s="950"/>
      <c r="DCK117" s="950"/>
      <c r="DCL117" s="950"/>
      <c r="DCM117" s="950"/>
      <c r="DCN117" s="950"/>
      <c r="DCO117" s="950"/>
      <c r="DCP117" s="950"/>
      <c r="DCQ117" s="950"/>
      <c r="DCR117" s="950"/>
      <c r="DCS117" s="950"/>
      <c r="DCT117" s="950"/>
      <c r="DCU117" s="950"/>
      <c r="DCV117" s="950"/>
      <c r="DCW117" s="950"/>
      <c r="DCX117" s="950"/>
      <c r="DCY117" s="950"/>
      <c r="DCZ117" s="950"/>
      <c r="DDA117" s="950"/>
      <c r="DDB117" s="950"/>
      <c r="DDC117" s="950"/>
      <c r="DDD117" s="950"/>
      <c r="DDE117" s="950"/>
      <c r="DDF117" s="950"/>
      <c r="DDG117" s="950"/>
      <c r="DDH117" s="950"/>
      <c r="DDI117" s="950"/>
      <c r="DDJ117" s="950"/>
      <c r="DDK117" s="950"/>
      <c r="DDL117" s="950"/>
      <c r="DDM117" s="950"/>
      <c r="DDN117" s="950"/>
      <c r="DDO117" s="950"/>
      <c r="DDP117" s="950"/>
      <c r="DDQ117" s="950"/>
      <c r="DDR117" s="950"/>
      <c r="DDS117" s="950"/>
      <c r="DDT117" s="950"/>
      <c r="DDU117" s="950"/>
      <c r="DDV117" s="950"/>
      <c r="DDW117" s="950"/>
      <c r="DDX117" s="950"/>
      <c r="DDY117" s="950"/>
      <c r="DDZ117" s="950"/>
      <c r="DEA117" s="950"/>
      <c r="DEB117" s="950"/>
      <c r="DEC117" s="950"/>
      <c r="DED117" s="950"/>
      <c r="DEE117" s="950"/>
      <c r="DEF117" s="950"/>
      <c r="DEG117" s="950"/>
      <c r="DEH117" s="950"/>
      <c r="DEI117" s="950"/>
      <c r="DEJ117" s="950"/>
      <c r="DEK117" s="950"/>
      <c r="DEL117" s="950"/>
      <c r="DEM117" s="950"/>
      <c r="DEN117" s="950"/>
      <c r="DEO117" s="950"/>
      <c r="DEP117" s="950"/>
      <c r="DEQ117" s="950"/>
      <c r="DER117" s="950"/>
      <c r="DES117" s="950"/>
      <c r="DET117" s="950"/>
      <c r="DEU117" s="950"/>
      <c r="DEV117" s="950"/>
      <c r="DEW117" s="950"/>
      <c r="DEX117" s="950"/>
      <c r="DEY117" s="950"/>
      <c r="DEZ117" s="950"/>
      <c r="DFA117" s="950"/>
      <c r="DFB117" s="950"/>
      <c r="DFC117" s="950"/>
      <c r="DFD117" s="950"/>
      <c r="DFE117" s="950"/>
      <c r="DFF117" s="950"/>
      <c r="DFG117" s="950"/>
      <c r="DFH117" s="950"/>
      <c r="DFI117" s="950"/>
      <c r="DFJ117" s="950"/>
      <c r="DFK117" s="950"/>
      <c r="DFL117" s="950"/>
      <c r="DFM117" s="950"/>
      <c r="DFN117" s="950"/>
      <c r="DFO117" s="950"/>
      <c r="DFP117" s="950"/>
      <c r="DFQ117" s="950"/>
      <c r="DFR117" s="950"/>
      <c r="DFS117" s="950"/>
      <c r="DFT117" s="950"/>
      <c r="DFU117" s="950"/>
      <c r="DFV117" s="950"/>
      <c r="DFW117" s="950"/>
      <c r="DFX117" s="950"/>
      <c r="DFY117" s="950"/>
      <c r="DFZ117" s="950"/>
      <c r="DGA117" s="950"/>
      <c r="DGB117" s="950"/>
      <c r="DGC117" s="950"/>
      <c r="DGD117" s="950"/>
      <c r="DGE117" s="950"/>
      <c r="DGF117" s="950"/>
      <c r="DGG117" s="950"/>
      <c r="DGH117" s="950"/>
      <c r="DGI117" s="950"/>
      <c r="DGJ117" s="950"/>
      <c r="DGK117" s="950"/>
      <c r="DGL117" s="950"/>
      <c r="DGM117" s="950"/>
      <c r="DGN117" s="950"/>
      <c r="DGO117" s="950"/>
      <c r="DGP117" s="950"/>
      <c r="DGQ117" s="950"/>
      <c r="DGR117" s="950"/>
      <c r="DGS117" s="950"/>
      <c r="DGT117" s="950"/>
      <c r="DGU117" s="950"/>
      <c r="DGV117" s="950"/>
      <c r="DGW117" s="950"/>
      <c r="DGX117" s="950"/>
      <c r="DGY117" s="950"/>
      <c r="DGZ117" s="950"/>
      <c r="DHA117" s="950"/>
      <c r="DHB117" s="950"/>
      <c r="DHC117" s="950"/>
      <c r="DHD117" s="950"/>
      <c r="DHE117" s="950"/>
      <c r="DHF117" s="950"/>
      <c r="DHG117" s="950"/>
      <c r="DHH117" s="950"/>
      <c r="DHI117" s="950"/>
      <c r="DHJ117" s="950"/>
      <c r="DHK117" s="950"/>
      <c r="DHL117" s="950"/>
      <c r="DHM117" s="950"/>
      <c r="DHN117" s="950"/>
      <c r="DHO117" s="950"/>
      <c r="DHP117" s="950"/>
      <c r="DHQ117" s="950"/>
      <c r="DHR117" s="950"/>
      <c r="DHS117" s="950"/>
      <c r="DHT117" s="950"/>
      <c r="DHU117" s="950"/>
      <c r="DHV117" s="950"/>
      <c r="DHW117" s="950"/>
      <c r="DHX117" s="950"/>
      <c r="DHY117" s="950"/>
      <c r="DHZ117" s="950"/>
      <c r="DIA117" s="950"/>
      <c r="DIB117" s="950"/>
      <c r="DIC117" s="950"/>
      <c r="DID117" s="950"/>
      <c r="DIE117" s="950"/>
      <c r="DIF117" s="950"/>
      <c r="DIG117" s="950"/>
      <c r="DIH117" s="950"/>
      <c r="DII117" s="950"/>
      <c r="DIJ117" s="950"/>
      <c r="DIK117" s="950"/>
      <c r="DIL117" s="950"/>
      <c r="DIM117" s="950"/>
      <c r="DIN117" s="950"/>
      <c r="DIO117" s="950"/>
      <c r="DIP117" s="950"/>
      <c r="DIQ117" s="950"/>
      <c r="DIR117" s="950"/>
      <c r="DIS117" s="950"/>
      <c r="DIT117" s="950"/>
      <c r="DIU117" s="950"/>
      <c r="DIV117" s="950"/>
      <c r="DIW117" s="950"/>
      <c r="DIX117" s="950"/>
      <c r="DIY117" s="950"/>
      <c r="DIZ117" s="950"/>
      <c r="DJA117" s="950"/>
      <c r="DJB117" s="950"/>
      <c r="DJC117" s="950"/>
      <c r="DJD117" s="950"/>
      <c r="DJE117" s="950"/>
      <c r="DJF117" s="950"/>
      <c r="DJG117" s="950"/>
      <c r="DJH117" s="950"/>
      <c r="DJI117" s="950"/>
      <c r="DJJ117" s="950"/>
      <c r="DJK117" s="950"/>
      <c r="DJL117" s="950"/>
      <c r="DJM117" s="950"/>
      <c r="DJN117" s="950"/>
      <c r="DJO117" s="950"/>
      <c r="DJP117" s="950"/>
      <c r="DJQ117" s="950"/>
      <c r="DJR117" s="950"/>
      <c r="DJS117" s="950"/>
      <c r="DJT117" s="950"/>
      <c r="DJU117" s="950"/>
      <c r="DJV117" s="950"/>
      <c r="DJW117" s="950"/>
      <c r="DJX117" s="950"/>
      <c r="DJY117" s="950"/>
      <c r="DJZ117" s="950"/>
      <c r="DKA117" s="950"/>
      <c r="DKB117" s="950"/>
      <c r="DKC117" s="950"/>
      <c r="DKD117" s="950"/>
      <c r="DKE117" s="950"/>
      <c r="DKF117" s="950"/>
      <c r="DKG117" s="950"/>
      <c r="DKH117" s="950"/>
      <c r="DKI117" s="950"/>
      <c r="DKJ117" s="950"/>
      <c r="DKK117" s="950"/>
      <c r="DKL117" s="950"/>
      <c r="DKM117" s="950"/>
      <c r="DKN117" s="950"/>
      <c r="DKO117" s="950"/>
      <c r="DKP117" s="950"/>
      <c r="DKQ117" s="950"/>
      <c r="DKR117" s="950"/>
      <c r="DKS117" s="950"/>
      <c r="DKT117" s="950"/>
      <c r="DKU117" s="950"/>
      <c r="DKV117" s="950"/>
      <c r="DKW117" s="950"/>
      <c r="DKX117" s="950"/>
      <c r="DKY117" s="950"/>
      <c r="DKZ117" s="950"/>
      <c r="DLA117" s="950"/>
      <c r="DLB117" s="950"/>
      <c r="DLC117" s="950"/>
      <c r="DLD117" s="950"/>
      <c r="DLE117" s="950"/>
      <c r="DLF117" s="950"/>
      <c r="DLG117" s="950"/>
      <c r="DLH117" s="950"/>
      <c r="DLI117" s="950"/>
      <c r="DLJ117" s="950"/>
      <c r="DLK117" s="950"/>
      <c r="DLL117" s="950"/>
      <c r="DLM117" s="950"/>
      <c r="DLN117" s="950"/>
      <c r="DLO117" s="950"/>
      <c r="DLP117" s="950"/>
      <c r="DLQ117" s="950"/>
      <c r="DLR117" s="950"/>
      <c r="DLS117" s="950"/>
      <c r="DLT117" s="950"/>
      <c r="DLU117" s="950"/>
      <c r="DLV117" s="950"/>
      <c r="DLW117" s="950"/>
      <c r="DLX117" s="950"/>
      <c r="DLY117" s="950"/>
      <c r="DLZ117" s="950"/>
      <c r="DMA117" s="950"/>
      <c r="DMB117" s="950"/>
      <c r="DMC117" s="950"/>
      <c r="DMD117" s="950"/>
      <c r="DME117" s="950"/>
      <c r="DMF117" s="950"/>
      <c r="DMG117" s="950"/>
      <c r="DMH117" s="950"/>
      <c r="DMI117" s="950"/>
      <c r="DMJ117" s="950"/>
      <c r="DMK117" s="950"/>
      <c r="DML117" s="950"/>
      <c r="DMM117" s="950"/>
      <c r="DMN117" s="950"/>
      <c r="DMO117" s="950"/>
      <c r="DMP117" s="950"/>
      <c r="DMQ117" s="950"/>
      <c r="DMR117" s="950"/>
      <c r="DMS117" s="950"/>
      <c r="DMT117" s="950"/>
      <c r="DMU117" s="950"/>
      <c r="DMV117" s="950"/>
      <c r="DMW117" s="950"/>
      <c r="DMX117" s="950"/>
      <c r="DMY117" s="950"/>
      <c r="DMZ117" s="950"/>
      <c r="DNA117" s="950"/>
      <c r="DNB117" s="950"/>
      <c r="DNC117" s="950"/>
      <c r="DND117" s="950"/>
      <c r="DNE117" s="950"/>
      <c r="DNF117" s="950"/>
      <c r="DNG117" s="950"/>
      <c r="DNH117" s="950"/>
      <c r="DNI117" s="950"/>
      <c r="DNJ117" s="950"/>
      <c r="DNK117" s="950"/>
      <c r="DNL117" s="950"/>
      <c r="DNM117" s="950"/>
      <c r="DNN117" s="950"/>
      <c r="DNO117" s="950"/>
      <c r="DNP117" s="950"/>
      <c r="DNQ117" s="950"/>
      <c r="DNR117" s="950"/>
      <c r="DNS117" s="950"/>
      <c r="DNT117" s="950"/>
      <c r="DNU117" s="950"/>
      <c r="DNV117" s="950"/>
      <c r="DNW117" s="950"/>
      <c r="DNX117" s="950"/>
      <c r="DNY117" s="950"/>
      <c r="DNZ117" s="950"/>
      <c r="DOA117" s="950"/>
      <c r="DOB117" s="950"/>
      <c r="DOC117" s="950"/>
      <c r="DOD117" s="950"/>
      <c r="DOE117" s="950"/>
      <c r="DOF117" s="950"/>
      <c r="DOG117" s="950"/>
      <c r="DOH117" s="950"/>
      <c r="DOI117" s="950"/>
      <c r="DOJ117" s="950"/>
      <c r="DOK117" s="950"/>
      <c r="DOL117" s="950"/>
      <c r="DOM117" s="950"/>
      <c r="DON117" s="950"/>
      <c r="DOO117" s="950"/>
      <c r="DOP117" s="950"/>
      <c r="DOQ117" s="950"/>
      <c r="DOR117" s="950"/>
      <c r="DOS117" s="950"/>
      <c r="DOT117" s="950"/>
      <c r="DOU117" s="950"/>
      <c r="DOV117" s="950"/>
      <c r="DOW117" s="950"/>
      <c r="DOX117" s="950"/>
      <c r="DOY117" s="950"/>
      <c r="DOZ117" s="950"/>
      <c r="DPA117" s="950"/>
      <c r="DPB117" s="950"/>
      <c r="DPC117" s="950"/>
      <c r="DPD117" s="950"/>
      <c r="DPE117" s="950"/>
      <c r="DPF117" s="950"/>
      <c r="DPG117" s="950"/>
      <c r="DPH117" s="950"/>
      <c r="DPI117" s="950"/>
      <c r="DPJ117" s="950"/>
      <c r="DPK117" s="950"/>
      <c r="DPL117" s="950"/>
      <c r="DPM117" s="950"/>
      <c r="DPN117" s="950"/>
      <c r="DPO117" s="950"/>
      <c r="DPP117" s="950"/>
      <c r="DPQ117" s="950"/>
      <c r="DPR117" s="950"/>
      <c r="DPS117" s="950"/>
      <c r="DPT117" s="950"/>
      <c r="DPU117" s="950"/>
      <c r="DPV117" s="950"/>
      <c r="DPW117" s="950"/>
      <c r="DPX117" s="950"/>
      <c r="DPY117" s="950"/>
      <c r="DPZ117" s="950"/>
      <c r="DQA117" s="950"/>
      <c r="DQB117" s="950"/>
      <c r="DQC117" s="950"/>
      <c r="DQD117" s="950"/>
      <c r="DQE117" s="950"/>
      <c r="DQF117" s="950"/>
      <c r="DQG117" s="950"/>
      <c r="DQH117" s="950"/>
      <c r="DQI117" s="950"/>
      <c r="DQJ117" s="950"/>
      <c r="DQK117" s="950"/>
      <c r="DQL117" s="950"/>
      <c r="DQM117" s="950"/>
      <c r="DQN117" s="950"/>
      <c r="DQO117" s="950"/>
      <c r="DQP117" s="950"/>
      <c r="DQQ117" s="950"/>
      <c r="DQR117" s="950"/>
      <c r="DQS117" s="950"/>
      <c r="DQT117" s="950"/>
      <c r="DQU117" s="950"/>
      <c r="DQV117" s="950"/>
      <c r="DQW117" s="950"/>
      <c r="DQX117" s="950"/>
      <c r="DQY117" s="950"/>
      <c r="DQZ117" s="950"/>
      <c r="DRA117" s="950"/>
      <c r="DRB117" s="950"/>
      <c r="DRC117" s="950"/>
      <c r="DRD117" s="950"/>
      <c r="DRE117" s="950"/>
      <c r="DRF117" s="950"/>
      <c r="DRG117" s="950"/>
      <c r="DRH117" s="950"/>
      <c r="DRI117" s="950"/>
      <c r="DRJ117" s="950"/>
      <c r="DRK117" s="950"/>
      <c r="DRL117" s="950"/>
      <c r="DRM117" s="950"/>
      <c r="DRN117" s="950"/>
      <c r="DRO117" s="950"/>
      <c r="DRP117" s="950"/>
      <c r="DRQ117" s="950"/>
      <c r="DRR117" s="950"/>
      <c r="DRS117" s="950"/>
      <c r="DRT117" s="950"/>
      <c r="DRU117" s="950"/>
      <c r="DRV117" s="950"/>
      <c r="DRW117" s="950"/>
      <c r="DRX117" s="950"/>
      <c r="DRY117" s="950"/>
      <c r="DRZ117" s="950"/>
      <c r="DSA117" s="950"/>
      <c r="DSB117" s="950"/>
      <c r="DSC117" s="950"/>
      <c r="DSD117" s="950"/>
      <c r="DSE117" s="950"/>
      <c r="DSF117" s="950"/>
      <c r="DSG117" s="950"/>
      <c r="DSH117" s="950"/>
      <c r="DSI117" s="950"/>
      <c r="DSJ117" s="950"/>
      <c r="DSK117" s="950"/>
      <c r="DSL117" s="950"/>
      <c r="DSM117" s="950"/>
      <c r="DSN117" s="950"/>
      <c r="DSO117" s="950"/>
      <c r="DSP117" s="950"/>
      <c r="DSQ117" s="950"/>
      <c r="DSR117" s="950"/>
      <c r="DSS117" s="950"/>
      <c r="DST117" s="950"/>
      <c r="DSU117" s="950"/>
      <c r="DSV117" s="950"/>
      <c r="DSW117" s="950"/>
      <c r="DSX117" s="950"/>
      <c r="DSY117" s="950"/>
      <c r="DSZ117" s="950"/>
      <c r="DTA117" s="950"/>
      <c r="DTB117" s="950"/>
      <c r="DTC117" s="950"/>
      <c r="DTD117" s="950"/>
      <c r="DTE117" s="950"/>
      <c r="DTF117" s="950"/>
      <c r="DTG117" s="950"/>
      <c r="DTH117" s="950"/>
      <c r="DTI117" s="950"/>
      <c r="DTJ117" s="950"/>
      <c r="DTK117" s="950"/>
      <c r="DTL117" s="950"/>
      <c r="DTM117" s="950"/>
      <c r="DTN117" s="950"/>
      <c r="DTO117" s="950"/>
      <c r="DTP117" s="950"/>
      <c r="DTQ117" s="950"/>
      <c r="DTR117" s="950"/>
      <c r="DTS117" s="950"/>
      <c r="DTT117" s="950"/>
      <c r="DTU117" s="950"/>
      <c r="DTV117" s="950"/>
      <c r="DTW117" s="950"/>
      <c r="DTX117" s="950"/>
      <c r="DTY117" s="950"/>
      <c r="DTZ117" s="950"/>
      <c r="DUA117" s="950"/>
      <c r="DUB117" s="950"/>
      <c r="DUC117" s="950"/>
      <c r="DUD117" s="950"/>
      <c r="DUE117" s="950"/>
      <c r="DUF117" s="950"/>
      <c r="DUG117" s="950"/>
      <c r="DUH117" s="950"/>
      <c r="DUI117" s="950"/>
      <c r="DUJ117" s="950"/>
      <c r="DUK117" s="950"/>
      <c r="DUL117" s="950"/>
      <c r="DUM117" s="950"/>
      <c r="DUN117" s="950"/>
      <c r="DUO117" s="950"/>
      <c r="DUP117" s="950"/>
      <c r="DUQ117" s="950"/>
      <c r="DUR117" s="950"/>
      <c r="DUS117" s="950"/>
      <c r="DUT117" s="950"/>
      <c r="DUU117" s="950"/>
      <c r="DUV117" s="950"/>
      <c r="DUW117" s="950"/>
      <c r="DUX117" s="950"/>
      <c r="DUY117" s="950"/>
      <c r="DUZ117" s="950"/>
      <c r="DVA117" s="950"/>
      <c r="DVB117" s="950"/>
      <c r="DVC117" s="950"/>
      <c r="DVD117" s="950"/>
      <c r="DVE117" s="950"/>
      <c r="DVF117" s="950"/>
      <c r="DVG117" s="950"/>
      <c r="DVH117" s="950"/>
      <c r="DVI117" s="950"/>
      <c r="DVJ117" s="950"/>
      <c r="DVK117" s="950"/>
      <c r="DVL117" s="950"/>
      <c r="DVM117" s="950"/>
      <c r="DVN117" s="950"/>
      <c r="DVO117" s="950"/>
      <c r="DVP117" s="950"/>
      <c r="DVQ117" s="950"/>
      <c r="DVR117" s="950"/>
      <c r="DVS117" s="950"/>
      <c r="DVT117" s="950"/>
      <c r="DVU117" s="950"/>
      <c r="DVV117" s="950"/>
      <c r="DVW117" s="950"/>
      <c r="DVX117" s="950"/>
      <c r="DVY117" s="950"/>
      <c r="DVZ117" s="950"/>
      <c r="DWA117" s="950"/>
      <c r="DWB117" s="950"/>
      <c r="DWC117" s="950"/>
      <c r="DWD117" s="950"/>
      <c r="DWE117" s="950"/>
      <c r="DWF117" s="950"/>
      <c r="DWG117" s="950"/>
      <c r="DWH117" s="950"/>
      <c r="DWI117" s="950"/>
      <c r="DWJ117" s="950"/>
      <c r="DWK117" s="950"/>
      <c r="DWL117" s="950"/>
      <c r="DWM117" s="950"/>
      <c r="DWN117" s="950"/>
      <c r="DWO117" s="950"/>
      <c r="DWP117" s="950"/>
      <c r="DWQ117" s="950"/>
      <c r="DWR117" s="950"/>
      <c r="DWS117" s="950"/>
      <c r="DWT117" s="950"/>
      <c r="DWU117" s="950"/>
      <c r="DWV117" s="950"/>
      <c r="DWW117" s="950"/>
      <c r="DWX117" s="950"/>
      <c r="DWY117" s="950"/>
      <c r="DWZ117" s="950"/>
      <c r="DXA117" s="950"/>
      <c r="DXB117" s="950"/>
      <c r="DXC117" s="950"/>
      <c r="DXD117" s="950"/>
      <c r="DXE117" s="950"/>
      <c r="DXF117" s="950"/>
      <c r="DXG117" s="950"/>
      <c r="DXH117" s="950"/>
      <c r="DXI117" s="950"/>
      <c r="DXJ117" s="950"/>
      <c r="DXK117" s="950"/>
      <c r="DXL117" s="950"/>
      <c r="DXM117" s="950"/>
      <c r="DXN117" s="950"/>
      <c r="DXO117" s="950"/>
      <c r="DXP117" s="950"/>
      <c r="DXQ117" s="950"/>
      <c r="DXR117" s="950"/>
      <c r="DXS117" s="950"/>
      <c r="DXT117" s="950"/>
      <c r="DXU117" s="950"/>
      <c r="DXV117" s="950"/>
      <c r="DXW117" s="950"/>
      <c r="DXX117" s="950"/>
      <c r="DXY117" s="950"/>
      <c r="DXZ117" s="950"/>
      <c r="DYA117" s="950"/>
      <c r="DYB117" s="950"/>
      <c r="DYC117" s="950"/>
      <c r="DYD117" s="950"/>
      <c r="DYE117" s="950"/>
      <c r="DYF117" s="950"/>
      <c r="DYG117" s="950"/>
      <c r="DYH117" s="950"/>
      <c r="DYI117" s="950"/>
      <c r="DYJ117" s="950"/>
      <c r="DYK117" s="950"/>
      <c r="DYL117" s="950"/>
      <c r="DYM117" s="950"/>
      <c r="DYN117" s="950"/>
      <c r="DYO117" s="950"/>
      <c r="DYP117" s="950"/>
      <c r="DYQ117" s="950"/>
      <c r="DYR117" s="950"/>
      <c r="DYS117" s="950"/>
      <c r="DYT117" s="950"/>
      <c r="DYU117" s="950"/>
      <c r="DYV117" s="950"/>
      <c r="DYW117" s="950"/>
      <c r="DYX117" s="950"/>
      <c r="DYY117" s="950"/>
      <c r="DYZ117" s="950"/>
      <c r="DZA117" s="950"/>
      <c r="DZB117" s="950"/>
      <c r="DZC117" s="950"/>
      <c r="DZD117" s="950"/>
      <c r="DZE117" s="950"/>
      <c r="DZF117" s="950"/>
      <c r="DZG117" s="950"/>
      <c r="DZH117" s="950"/>
      <c r="DZI117" s="950"/>
      <c r="DZJ117" s="950"/>
      <c r="DZK117" s="950"/>
      <c r="DZL117" s="950"/>
      <c r="DZM117" s="950"/>
      <c r="DZN117" s="950"/>
      <c r="DZO117" s="950"/>
      <c r="DZP117" s="950"/>
      <c r="DZQ117" s="950"/>
      <c r="DZR117" s="950"/>
      <c r="DZS117" s="950"/>
      <c r="DZT117" s="950"/>
      <c r="DZU117" s="950"/>
      <c r="DZV117" s="950"/>
      <c r="DZW117" s="950"/>
      <c r="DZX117" s="950"/>
      <c r="DZY117" s="950"/>
      <c r="DZZ117" s="950"/>
      <c r="EAA117" s="950"/>
      <c r="EAB117" s="950"/>
      <c r="EAC117" s="950"/>
      <c r="EAD117" s="950"/>
      <c r="EAE117" s="950"/>
      <c r="EAF117" s="950"/>
      <c r="EAG117" s="950"/>
      <c r="EAH117" s="950"/>
      <c r="EAI117" s="950"/>
      <c r="EAJ117" s="950"/>
      <c r="EAK117" s="950"/>
      <c r="EAL117" s="950"/>
      <c r="EAM117" s="950"/>
      <c r="EAN117" s="950"/>
      <c r="EAO117" s="950"/>
      <c r="EAP117" s="950"/>
      <c r="EAQ117" s="950"/>
      <c r="EAR117" s="950"/>
      <c r="EAS117" s="950"/>
      <c r="EAT117" s="950"/>
      <c r="EAU117" s="950"/>
      <c r="EAV117" s="950"/>
      <c r="EAW117" s="950"/>
      <c r="EAX117" s="950"/>
      <c r="EAY117" s="950"/>
      <c r="EAZ117" s="950"/>
      <c r="EBA117" s="950"/>
      <c r="EBB117" s="950"/>
      <c r="EBC117" s="950"/>
      <c r="EBD117" s="950"/>
      <c r="EBE117" s="950"/>
      <c r="EBF117" s="950"/>
      <c r="EBG117" s="950"/>
      <c r="EBH117" s="950"/>
      <c r="EBI117" s="950"/>
      <c r="EBJ117" s="950"/>
      <c r="EBK117" s="950"/>
      <c r="EBL117" s="950"/>
      <c r="EBM117" s="950"/>
      <c r="EBN117" s="950"/>
      <c r="EBO117" s="950"/>
      <c r="EBP117" s="950"/>
      <c r="EBQ117" s="950"/>
      <c r="EBR117" s="950"/>
      <c r="EBS117" s="950"/>
      <c r="EBT117" s="950"/>
      <c r="EBU117" s="950"/>
      <c r="EBV117" s="950"/>
      <c r="EBW117" s="950"/>
      <c r="EBX117" s="950"/>
      <c r="EBY117" s="950"/>
      <c r="EBZ117" s="950"/>
      <c r="ECA117" s="950"/>
      <c r="ECB117" s="950"/>
      <c r="ECC117" s="950"/>
      <c r="ECD117" s="950"/>
      <c r="ECE117" s="950"/>
      <c r="ECF117" s="950"/>
      <c r="ECG117" s="950"/>
      <c r="ECH117" s="950"/>
      <c r="ECI117" s="950"/>
      <c r="ECJ117" s="950"/>
      <c r="ECK117" s="950"/>
      <c r="ECL117" s="950"/>
      <c r="ECM117" s="950"/>
      <c r="ECN117" s="950"/>
      <c r="ECO117" s="950"/>
      <c r="ECP117" s="950"/>
      <c r="ECQ117" s="950"/>
      <c r="ECR117" s="950"/>
      <c r="ECS117" s="950"/>
      <c r="ECT117" s="950"/>
      <c r="ECU117" s="950"/>
      <c r="ECV117" s="950"/>
      <c r="ECW117" s="950"/>
      <c r="ECX117" s="950"/>
      <c r="ECY117" s="950"/>
      <c r="ECZ117" s="950"/>
      <c r="EDA117" s="950"/>
      <c r="EDB117" s="950"/>
      <c r="EDC117" s="950"/>
      <c r="EDD117" s="950"/>
      <c r="EDE117" s="950"/>
      <c r="EDF117" s="950"/>
      <c r="EDG117" s="950"/>
      <c r="EDH117" s="950"/>
      <c r="EDI117" s="950"/>
      <c r="EDJ117" s="950"/>
      <c r="EDK117" s="950"/>
      <c r="EDL117" s="950"/>
      <c r="EDM117" s="950"/>
      <c r="EDN117" s="950"/>
      <c r="EDO117" s="950"/>
      <c r="EDP117" s="950"/>
      <c r="EDQ117" s="950"/>
      <c r="EDR117" s="950"/>
      <c r="EDS117" s="950"/>
      <c r="EDT117" s="950"/>
      <c r="EDU117" s="950"/>
      <c r="EDV117" s="950"/>
      <c r="EDW117" s="950"/>
      <c r="EDX117" s="950"/>
      <c r="EDY117" s="950"/>
      <c r="EDZ117" s="950"/>
      <c r="EEA117" s="950"/>
      <c r="EEB117" s="950"/>
      <c r="EEC117" s="950"/>
      <c r="EED117" s="950"/>
      <c r="EEE117" s="950"/>
      <c r="EEF117" s="950"/>
      <c r="EEG117" s="950"/>
      <c r="EEH117" s="950"/>
      <c r="EEI117" s="950"/>
      <c r="EEJ117" s="950"/>
      <c r="EEK117" s="950"/>
      <c r="EEL117" s="950"/>
      <c r="EEM117" s="950"/>
      <c r="EEN117" s="950"/>
      <c r="EEO117" s="950"/>
      <c r="EEP117" s="950"/>
      <c r="EEQ117" s="950"/>
      <c r="EER117" s="950"/>
      <c r="EES117" s="950"/>
      <c r="EET117" s="950"/>
      <c r="EEU117" s="950"/>
      <c r="EEV117" s="950"/>
      <c r="EEW117" s="950"/>
      <c r="EEX117" s="950"/>
      <c r="EEY117" s="950"/>
      <c r="EEZ117" s="950"/>
      <c r="EFA117" s="950"/>
      <c r="EFB117" s="950"/>
      <c r="EFC117" s="950"/>
      <c r="EFD117" s="950"/>
      <c r="EFE117" s="950"/>
      <c r="EFF117" s="950"/>
      <c r="EFG117" s="950"/>
      <c r="EFH117" s="950"/>
      <c r="EFI117" s="950"/>
      <c r="EFJ117" s="950"/>
      <c r="EFK117" s="950"/>
      <c r="EFL117" s="950"/>
      <c r="EFM117" s="950"/>
      <c r="EFN117" s="950"/>
      <c r="EFO117" s="950"/>
      <c r="EFP117" s="950"/>
      <c r="EFQ117" s="950"/>
      <c r="EFR117" s="950"/>
      <c r="EFS117" s="950"/>
      <c r="EFT117" s="950"/>
      <c r="EFU117" s="950"/>
      <c r="EFV117" s="950"/>
      <c r="EFW117" s="950"/>
      <c r="EFX117" s="950"/>
      <c r="EFY117" s="950"/>
      <c r="EFZ117" s="950"/>
      <c r="EGA117" s="950"/>
      <c r="EGB117" s="950"/>
      <c r="EGC117" s="950"/>
      <c r="EGD117" s="950"/>
      <c r="EGE117" s="950"/>
      <c r="EGF117" s="950"/>
      <c r="EGG117" s="950"/>
      <c r="EGH117" s="950"/>
      <c r="EGI117" s="950"/>
      <c r="EGJ117" s="950"/>
      <c r="EGK117" s="950"/>
      <c r="EGL117" s="950"/>
      <c r="EGM117" s="950"/>
      <c r="EGN117" s="950"/>
      <c r="EGO117" s="950"/>
      <c r="EGP117" s="950"/>
      <c r="EGQ117" s="950"/>
      <c r="EGR117" s="950"/>
      <c r="EGS117" s="950"/>
      <c r="EGT117" s="950"/>
      <c r="EGU117" s="950"/>
      <c r="EGV117" s="950"/>
      <c r="EGW117" s="950"/>
      <c r="EGX117" s="950"/>
      <c r="EGY117" s="950"/>
      <c r="EGZ117" s="950"/>
      <c r="EHA117" s="950"/>
      <c r="EHB117" s="950"/>
      <c r="EHC117" s="950"/>
      <c r="EHD117" s="950"/>
      <c r="EHE117" s="950"/>
      <c r="EHF117" s="950"/>
      <c r="EHG117" s="950"/>
      <c r="EHH117" s="950"/>
      <c r="EHI117" s="950"/>
      <c r="EHJ117" s="950"/>
      <c r="EHK117" s="950"/>
      <c r="EHL117" s="950"/>
      <c r="EHM117" s="950"/>
      <c r="EHN117" s="950"/>
      <c r="EHO117" s="950"/>
      <c r="EHP117" s="950"/>
      <c r="EHQ117" s="950"/>
      <c r="EHR117" s="950"/>
      <c r="EHS117" s="950"/>
      <c r="EHT117" s="950"/>
      <c r="EHU117" s="950"/>
      <c r="EHV117" s="950"/>
      <c r="EHW117" s="950"/>
      <c r="EHX117" s="950"/>
      <c r="EHY117" s="950"/>
      <c r="EHZ117" s="950"/>
      <c r="EIA117" s="950"/>
      <c r="EIB117" s="950"/>
      <c r="EIC117" s="950"/>
      <c r="EID117" s="950"/>
      <c r="EIE117" s="950"/>
      <c r="EIF117" s="950"/>
      <c r="EIG117" s="950"/>
      <c r="EIH117" s="950"/>
      <c r="EII117" s="950"/>
      <c r="EIJ117" s="950"/>
      <c r="EIK117" s="950"/>
      <c r="EIL117" s="950"/>
      <c r="EIM117" s="950"/>
      <c r="EIN117" s="950"/>
      <c r="EIO117" s="950"/>
      <c r="EIP117" s="950"/>
      <c r="EIQ117" s="950"/>
      <c r="EIR117" s="950"/>
      <c r="EIS117" s="950"/>
      <c r="EIT117" s="950"/>
      <c r="EIU117" s="950"/>
      <c r="EIV117" s="950"/>
      <c r="EIW117" s="950"/>
      <c r="EIX117" s="950"/>
      <c r="EIY117" s="950"/>
      <c r="EIZ117" s="950"/>
      <c r="EJA117" s="950"/>
      <c r="EJB117" s="950"/>
      <c r="EJC117" s="950"/>
      <c r="EJD117" s="950"/>
      <c r="EJE117" s="950"/>
      <c r="EJF117" s="950"/>
      <c r="EJG117" s="950"/>
      <c r="EJH117" s="950"/>
      <c r="EJI117" s="950"/>
      <c r="EJJ117" s="950"/>
      <c r="EJK117" s="950"/>
      <c r="EJL117" s="950"/>
      <c r="EJM117" s="950"/>
      <c r="EJN117" s="950"/>
      <c r="EJO117" s="950"/>
      <c r="EJP117" s="950"/>
      <c r="EJQ117" s="950"/>
      <c r="EJR117" s="950"/>
      <c r="EJS117" s="950"/>
      <c r="EJT117" s="950"/>
      <c r="EJU117" s="950"/>
      <c r="EJV117" s="950"/>
      <c r="EJW117" s="950"/>
      <c r="EJX117" s="950"/>
      <c r="EJY117" s="950"/>
      <c r="EJZ117" s="950"/>
      <c r="EKA117" s="950"/>
      <c r="EKB117" s="950"/>
      <c r="EKC117" s="950"/>
      <c r="EKD117" s="950"/>
      <c r="EKE117" s="950"/>
      <c r="EKF117" s="950"/>
      <c r="EKG117" s="950"/>
      <c r="EKH117" s="950"/>
      <c r="EKI117" s="950"/>
      <c r="EKJ117" s="950"/>
      <c r="EKK117" s="950"/>
      <c r="EKL117" s="950"/>
      <c r="EKM117" s="950"/>
      <c r="EKN117" s="950"/>
      <c r="EKO117" s="950"/>
      <c r="EKP117" s="950"/>
      <c r="EKQ117" s="950"/>
      <c r="EKR117" s="950"/>
      <c r="EKS117" s="950"/>
      <c r="EKT117" s="950"/>
      <c r="EKU117" s="950"/>
      <c r="EKV117" s="950"/>
      <c r="EKW117" s="950"/>
      <c r="EKX117" s="950"/>
      <c r="EKY117" s="950"/>
      <c r="EKZ117" s="950"/>
      <c r="ELA117" s="950"/>
      <c r="ELB117" s="950"/>
      <c r="ELC117" s="950"/>
      <c r="ELD117" s="950"/>
      <c r="ELE117" s="950"/>
      <c r="ELF117" s="950"/>
      <c r="ELG117" s="950"/>
      <c r="ELH117" s="950"/>
      <c r="ELI117" s="950"/>
      <c r="ELJ117" s="950"/>
      <c r="ELK117" s="950"/>
      <c r="ELL117" s="950"/>
      <c r="ELM117" s="950"/>
      <c r="ELN117" s="950"/>
      <c r="ELO117" s="950"/>
      <c r="ELP117" s="950"/>
      <c r="ELQ117" s="950"/>
      <c r="ELR117" s="950"/>
      <c r="ELS117" s="950"/>
      <c r="ELT117" s="950"/>
      <c r="ELU117" s="950"/>
      <c r="ELV117" s="950"/>
      <c r="ELW117" s="950"/>
      <c r="ELX117" s="950"/>
      <c r="ELY117" s="950"/>
      <c r="ELZ117" s="950"/>
      <c r="EMA117" s="950"/>
      <c r="EMB117" s="950"/>
      <c r="EMC117" s="950"/>
      <c r="EMD117" s="950"/>
      <c r="EME117" s="950"/>
      <c r="EMF117" s="950"/>
      <c r="EMG117" s="950"/>
      <c r="EMH117" s="950"/>
      <c r="EMI117" s="950"/>
      <c r="EMJ117" s="950"/>
      <c r="EMK117" s="950"/>
      <c r="EML117" s="950"/>
      <c r="EMM117" s="950"/>
      <c r="EMN117" s="950"/>
      <c r="EMO117" s="950"/>
      <c r="EMP117" s="950"/>
      <c r="EMQ117" s="950"/>
      <c r="EMR117" s="950"/>
      <c r="EMS117" s="950"/>
      <c r="EMT117" s="950"/>
      <c r="EMU117" s="950"/>
      <c r="EMV117" s="950"/>
      <c r="EMW117" s="950"/>
      <c r="EMX117" s="950"/>
      <c r="EMY117" s="950"/>
      <c r="EMZ117" s="950"/>
      <c r="ENA117" s="950"/>
      <c r="ENB117" s="950"/>
      <c r="ENC117" s="950"/>
      <c r="END117" s="950"/>
      <c r="ENE117" s="950"/>
      <c r="ENF117" s="950"/>
      <c r="ENG117" s="950"/>
      <c r="ENH117" s="950"/>
      <c r="ENI117" s="950"/>
      <c r="ENJ117" s="950"/>
      <c r="ENK117" s="950"/>
      <c r="ENL117" s="950"/>
      <c r="ENM117" s="950"/>
      <c r="ENN117" s="950"/>
      <c r="ENO117" s="950"/>
      <c r="ENP117" s="950"/>
      <c r="ENQ117" s="950"/>
      <c r="ENR117" s="950"/>
      <c r="ENS117" s="950"/>
      <c r="ENT117" s="950"/>
      <c r="ENU117" s="950"/>
      <c r="ENV117" s="950"/>
      <c r="ENW117" s="950"/>
      <c r="ENX117" s="950"/>
      <c r="ENY117" s="950"/>
      <c r="ENZ117" s="950"/>
      <c r="EOA117" s="950"/>
      <c r="EOB117" s="950"/>
      <c r="EOC117" s="950"/>
      <c r="EOD117" s="950"/>
      <c r="EOE117" s="950"/>
      <c r="EOF117" s="950"/>
      <c r="EOG117" s="950"/>
      <c r="EOH117" s="950"/>
      <c r="EOI117" s="950"/>
      <c r="EOJ117" s="950"/>
      <c r="EOK117" s="950"/>
      <c r="EOL117" s="950"/>
      <c r="EOM117" s="950"/>
      <c r="EON117" s="950"/>
      <c r="EOO117" s="950"/>
      <c r="EOP117" s="950"/>
      <c r="EOQ117" s="950"/>
      <c r="EOR117" s="950"/>
      <c r="EOS117" s="950"/>
      <c r="EOT117" s="950"/>
      <c r="EOU117" s="950"/>
      <c r="EOV117" s="950"/>
      <c r="EOW117" s="950"/>
      <c r="EOX117" s="950"/>
      <c r="EOY117" s="950"/>
      <c r="EOZ117" s="950"/>
      <c r="EPA117" s="950"/>
      <c r="EPB117" s="950"/>
      <c r="EPC117" s="950"/>
      <c r="EPD117" s="950"/>
      <c r="EPE117" s="950"/>
      <c r="EPF117" s="950"/>
      <c r="EPG117" s="950"/>
      <c r="EPH117" s="950"/>
      <c r="EPI117" s="950"/>
      <c r="EPJ117" s="950"/>
      <c r="EPK117" s="950"/>
      <c r="EPL117" s="950"/>
      <c r="EPM117" s="950"/>
      <c r="EPN117" s="950"/>
      <c r="EPO117" s="950"/>
      <c r="EPP117" s="950"/>
      <c r="EPQ117" s="950"/>
      <c r="EPR117" s="950"/>
      <c r="EPS117" s="950"/>
      <c r="EPT117" s="950"/>
      <c r="EPU117" s="950"/>
      <c r="EPV117" s="950"/>
      <c r="EPW117" s="950"/>
      <c r="EPX117" s="950"/>
      <c r="EPY117" s="950"/>
      <c r="EPZ117" s="950"/>
      <c r="EQA117" s="950"/>
      <c r="EQB117" s="950"/>
      <c r="EQC117" s="950"/>
      <c r="EQD117" s="950"/>
      <c r="EQE117" s="950"/>
      <c r="EQF117" s="950"/>
      <c r="EQG117" s="950"/>
      <c r="EQH117" s="950"/>
      <c r="EQI117" s="950"/>
      <c r="EQJ117" s="950"/>
      <c r="EQK117" s="950"/>
      <c r="EQL117" s="950"/>
      <c r="EQM117" s="950"/>
      <c r="EQN117" s="950"/>
      <c r="EQO117" s="950"/>
      <c r="EQP117" s="950"/>
      <c r="EQQ117" s="950"/>
      <c r="EQR117" s="950"/>
      <c r="EQS117" s="950"/>
      <c r="EQT117" s="950"/>
      <c r="EQU117" s="950"/>
      <c r="EQV117" s="950"/>
      <c r="EQW117" s="950"/>
      <c r="EQX117" s="950"/>
      <c r="EQY117" s="950"/>
      <c r="EQZ117" s="950"/>
      <c r="ERA117" s="950"/>
      <c r="ERB117" s="950"/>
      <c r="ERC117" s="950"/>
      <c r="ERD117" s="950"/>
      <c r="ERE117" s="950"/>
      <c r="ERF117" s="950"/>
      <c r="ERG117" s="950"/>
      <c r="ERH117" s="950"/>
      <c r="ERI117" s="950"/>
      <c r="ERJ117" s="950"/>
      <c r="ERK117" s="950"/>
      <c r="ERL117" s="950"/>
      <c r="ERM117" s="950"/>
      <c r="ERN117" s="950"/>
      <c r="ERO117" s="950"/>
      <c r="ERP117" s="950"/>
      <c r="ERQ117" s="950"/>
      <c r="ERR117" s="950"/>
      <c r="ERS117" s="950"/>
      <c r="ERT117" s="950"/>
      <c r="ERU117" s="950"/>
      <c r="ERV117" s="950"/>
      <c r="ERW117" s="950"/>
      <c r="ERX117" s="950"/>
      <c r="ERY117" s="950"/>
      <c r="ERZ117" s="950"/>
      <c r="ESA117" s="950"/>
      <c r="ESB117" s="950"/>
      <c r="ESC117" s="950"/>
      <c r="ESD117" s="950"/>
      <c r="ESE117" s="950"/>
      <c r="ESF117" s="950"/>
      <c r="ESG117" s="950"/>
      <c r="ESH117" s="950"/>
      <c r="ESI117" s="950"/>
      <c r="ESJ117" s="950"/>
      <c r="ESK117" s="950"/>
      <c r="ESL117" s="950"/>
      <c r="ESM117" s="950"/>
      <c r="ESN117" s="950"/>
      <c r="ESO117" s="950"/>
      <c r="ESP117" s="950"/>
      <c r="ESQ117" s="950"/>
      <c r="ESR117" s="950"/>
      <c r="ESS117" s="950"/>
      <c r="EST117" s="950"/>
      <c r="ESU117" s="950"/>
      <c r="ESV117" s="950"/>
      <c r="ESW117" s="950"/>
      <c r="ESX117" s="950"/>
      <c r="ESY117" s="950"/>
      <c r="ESZ117" s="950"/>
      <c r="ETA117" s="950"/>
      <c r="ETB117" s="950"/>
      <c r="ETC117" s="950"/>
      <c r="ETD117" s="950"/>
      <c r="ETE117" s="950"/>
      <c r="ETF117" s="950"/>
      <c r="ETG117" s="950"/>
      <c r="ETH117" s="950"/>
      <c r="ETI117" s="950"/>
      <c r="ETJ117" s="950"/>
      <c r="ETK117" s="950"/>
      <c r="ETL117" s="950"/>
      <c r="ETM117" s="950"/>
      <c r="ETN117" s="950"/>
      <c r="ETO117" s="950"/>
      <c r="ETP117" s="950"/>
      <c r="ETQ117" s="950"/>
      <c r="ETR117" s="950"/>
      <c r="ETS117" s="950"/>
      <c r="ETT117" s="950"/>
      <c r="ETU117" s="950"/>
      <c r="ETV117" s="950"/>
      <c r="ETW117" s="950"/>
      <c r="ETX117" s="950"/>
      <c r="ETY117" s="950"/>
      <c r="ETZ117" s="950"/>
      <c r="EUA117" s="950"/>
      <c r="EUB117" s="950"/>
      <c r="EUC117" s="950"/>
      <c r="EUD117" s="950"/>
      <c r="EUE117" s="950"/>
      <c r="EUF117" s="950"/>
      <c r="EUG117" s="950"/>
      <c r="EUH117" s="950"/>
      <c r="EUI117" s="950"/>
      <c r="EUJ117" s="950"/>
      <c r="EUK117" s="950"/>
      <c r="EUL117" s="950"/>
      <c r="EUM117" s="950"/>
      <c r="EUN117" s="950"/>
      <c r="EUO117" s="950"/>
      <c r="EUP117" s="950"/>
      <c r="EUQ117" s="950"/>
      <c r="EUR117" s="950"/>
      <c r="EUS117" s="950"/>
      <c r="EUT117" s="950"/>
      <c r="EUU117" s="950"/>
      <c r="EUV117" s="950"/>
      <c r="EUW117" s="950"/>
      <c r="EUX117" s="950"/>
      <c r="EUY117" s="950"/>
      <c r="EUZ117" s="950"/>
      <c r="EVA117" s="950"/>
      <c r="EVB117" s="950"/>
      <c r="EVC117" s="950"/>
      <c r="EVD117" s="950"/>
      <c r="EVE117" s="950"/>
      <c r="EVF117" s="950"/>
      <c r="EVG117" s="950"/>
      <c r="EVH117" s="950"/>
      <c r="EVI117" s="950"/>
      <c r="EVJ117" s="950"/>
      <c r="EVK117" s="950"/>
      <c r="EVL117" s="950"/>
      <c r="EVM117" s="950"/>
      <c r="EVN117" s="950"/>
      <c r="EVO117" s="950"/>
      <c r="EVP117" s="950"/>
      <c r="EVQ117" s="950"/>
      <c r="EVR117" s="950"/>
      <c r="EVS117" s="950"/>
      <c r="EVT117" s="950"/>
      <c r="EVU117" s="950"/>
      <c r="EVV117" s="950"/>
      <c r="EVW117" s="950"/>
      <c r="EVX117" s="950"/>
      <c r="EVY117" s="950"/>
      <c r="EVZ117" s="950"/>
      <c r="EWA117" s="950"/>
      <c r="EWB117" s="950"/>
      <c r="EWC117" s="950"/>
      <c r="EWD117" s="950"/>
      <c r="EWE117" s="950"/>
      <c r="EWF117" s="950"/>
      <c r="EWG117" s="950"/>
      <c r="EWH117" s="950"/>
      <c r="EWI117" s="950"/>
      <c r="EWJ117" s="950"/>
      <c r="EWK117" s="950"/>
      <c r="EWL117" s="950"/>
      <c r="EWM117" s="950"/>
      <c r="EWN117" s="950"/>
      <c r="EWO117" s="950"/>
      <c r="EWP117" s="950"/>
      <c r="EWQ117" s="950"/>
      <c r="EWR117" s="950"/>
      <c r="EWS117" s="950"/>
      <c r="EWT117" s="950"/>
      <c r="EWU117" s="950"/>
      <c r="EWV117" s="950"/>
      <c r="EWW117" s="950"/>
      <c r="EWX117" s="950"/>
      <c r="EWY117" s="950"/>
      <c r="EWZ117" s="950"/>
      <c r="EXA117" s="950"/>
      <c r="EXB117" s="950"/>
      <c r="EXC117" s="950"/>
      <c r="EXD117" s="950"/>
      <c r="EXE117" s="950"/>
      <c r="EXF117" s="950"/>
      <c r="EXG117" s="950"/>
      <c r="EXH117" s="950"/>
      <c r="EXI117" s="950"/>
      <c r="EXJ117" s="950"/>
      <c r="EXK117" s="950"/>
      <c r="EXL117" s="950"/>
      <c r="EXM117" s="950"/>
      <c r="EXN117" s="950"/>
      <c r="EXO117" s="950"/>
      <c r="EXP117" s="950"/>
      <c r="EXQ117" s="950"/>
      <c r="EXR117" s="950"/>
      <c r="EXS117" s="950"/>
      <c r="EXT117" s="950"/>
      <c r="EXU117" s="950"/>
      <c r="EXV117" s="950"/>
      <c r="EXW117" s="950"/>
      <c r="EXX117" s="950"/>
      <c r="EXY117" s="950"/>
      <c r="EXZ117" s="950"/>
      <c r="EYA117" s="950"/>
      <c r="EYB117" s="950"/>
      <c r="EYC117" s="950"/>
      <c r="EYD117" s="950"/>
      <c r="EYE117" s="950"/>
      <c r="EYF117" s="950"/>
      <c r="EYG117" s="950"/>
      <c r="EYH117" s="950"/>
      <c r="EYI117" s="950"/>
      <c r="EYJ117" s="950"/>
      <c r="EYK117" s="950"/>
      <c r="EYL117" s="950"/>
      <c r="EYM117" s="950"/>
      <c r="EYN117" s="950"/>
      <c r="EYO117" s="950"/>
      <c r="EYP117" s="950"/>
      <c r="EYQ117" s="950"/>
      <c r="EYR117" s="950"/>
      <c r="EYS117" s="950"/>
      <c r="EYT117" s="950"/>
      <c r="EYU117" s="950"/>
      <c r="EYV117" s="950"/>
      <c r="EYW117" s="950"/>
      <c r="EYX117" s="950"/>
      <c r="EYY117" s="950"/>
      <c r="EYZ117" s="950"/>
      <c r="EZA117" s="950"/>
      <c r="EZB117" s="950"/>
      <c r="EZC117" s="950"/>
      <c r="EZD117" s="950"/>
      <c r="EZE117" s="950"/>
      <c r="EZF117" s="950"/>
      <c r="EZG117" s="950"/>
      <c r="EZH117" s="950"/>
      <c r="EZI117" s="950"/>
      <c r="EZJ117" s="950"/>
      <c r="EZK117" s="950"/>
      <c r="EZL117" s="950"/>
      <c r="EZM117" s="950"/>
      <c r="EZN117" s="950"/>
      <c r="EZO117" s="950"/>
      <c r="EZP117" s="950"/>
      <c r="EZQ117" s="950"/>
      <c r="EZR117" s="950"/>
      <c r="EZS117" s="950"/>
      <c r="EZT117" s="950"/>
      <c r="EZU117" s="950"/>
      <c r="EZV117" s="950"/>
      <c r="EZW117" s="950"/>
      <c r="EZX117" s="950"/>
      <c r="EZY117" s="950"/>
      <c r="EZZ117" s="950"/>
      <c r="FAA117" s="950"/>
      <c r="FAB117" s="950"/>
      <c r="FAC117" s="950"/>
      <c r="FAD117" s="950"/>
      <c r="FAE117" s="950"/>
      <c r="FAF117" s="950"/>
      <c r="FAG117" s="950"/>
      <c r="FAH117" s="950"/>
      <c r="FAI117" s="950"/>
      <c r="FAJ117" s="950"/>
      <c r="FAK117" s="950"/>
      <c r="FAL117" s="950"/>
      <c r="FAM117" s="950"/>
      <c r="FAN117" s="950"/>
      <c r="FAO117" s="950"/>
      <c r="FAP117" s="950"/>
      <c r="FAQ117" s="950"/>
      <c r="FAR117" s="950"/>
      <c r="FAS117" s="950"/>
      <c r="FAT117" s="950"/>
      <c r="FAU117" s="950"/>
      <c r="FAV117" s="950"/>
      <c r="FAW117" s="950"/>
      <c r="FAX117" s="950"/>
      <c r="FAY117" s="950"/>
      <c r="FAZ117" s="950"/>
      <c r="FBA117" s="950"/>
      <c r="FBB117" s="950"/>
      <c r="FBC117" s="950"/>
      <c r="FBD117" s="950"/>
      <c r="FBE117" s="950"/>
      <c r="FBF117" s="950"/>
      <c r="FBG117" s="950"/>
      <c r="FBH117" s="950"/>
      <c r="FBI117" s="950"/>
      <c r="FBJ117" s="950"/>
      <c r="FBK117" s="950"/>
      <c r="FBL117" s="950"/>
      <c r="FBM117" s="950"/>
      <c r="FBN117" s="950"/>
      <c r="FBO117" s="950"/>
      <c r="FBP117" s="950"/>
      <c r="FBQ117" s="950"/>
      <c r="FBR117" s="950"/>
      <c r="FBS117" s="950"/>
      <c r="FBT117" s="950"/>
      <c r="FBU117" s="950"/>
      <c r="FBV117" s="950"/>
      <c r="FBW117" s="950"/>
      <c r="FBX117" s="950"/>
      <c r="FBY117" s="950"/>
      <c r="FBZ117" s="950"/>
      <c r="FCA117" s="950"/>
      <c r="FCB117" s="950"/>
      <c r="FCC117" s="950"/>
      <c r="FCD117" s="950"/>
      <c r="FCE117" s="950"/>
      <c r="FCF117" s="950"/>
      <c r="FCG117" s="950"/>
      <c r="FCH117" s="950"/>
      <c r="FCI117" s="950"/>
      <c r="FCJ117" s="950"/>
      <c r="FCK117" s="950"/>
      <c r="FCL117" s="950"/>
      <c r="FCM117" s="950"/>
      <c r="FCN117" s="950"/>
      <c r="FCO117" s="950"/>
      <c r="FCP117" s="950"/>
      <c r="FCQ117" s="950"/>
      <c r="FCR117" s="950"/>
      <c r="FCS117" s="950"/>
      <c r="FCT117" s="950"/>
      <c r="FCU117" s="950"/>
      <c r="FCV117" s="950"/>
      <c r="FCW117" s="950"/>
      <c r="FCX117" s="950"/>
      <c r="FCY117" s="950"/>
      <c r="FCZ117" s="950"/>
      <c r="FDA117" s="950"/>
      <c r="FDB117" s="950"/>
      <c r="FDC117" s="950"/>
      <c r="FDD117" s="950"/>
      <c r="FDE117" s="950"/>
      <c r="FDF117" s="950"/>
      <c r="FDG117" s="950"/>
      <c r="FDH117" s="950"/>
      <c r="FDI117" s="950"/>
      <c r="FDJ117" s="950"/>
      <c r="FDK117" s="950"/>
      <c r="FDL117" s="950"/>
      <c r="FDM117" s="950"/>
      <c r="FDN117" s="950"/>
      <c r="FDO117" s="950"/>
      <c r="FDP117" s="950"/>
      <c r="FDQ117" s="950"/>
      <c r="FDR117" s="950"/>
      <c r="FDS117" s="950"/>
      <c r="FDT117" s="950"/>
      <c r="FDU117" s="950"/>
      <c r="FDV117" s="950"/>
      <c r="FDW117" s="950"/>
      <c r="FDX117" s="950"/>
      <c r="FDY117" s="950"/>
      <c r="FDZ117" s="950"/>
      <c r="FEA117" s="950"/>
      <c r="FEB117" s="950"/>
      <c r="FEC117" s="950"/>
      <c r="FED117" s="950"/>
      <c r="FEE117" s="950"/>
      <c r="FEF117" s="950"/>
      <c r="FEG117" s="950"/>
      <c r="FEH117" s="950"/>
      <c r="FEI117" s="950"/>
      <c r="FEJ117" s="950"/>
      <c r="FEK117" s="950"/>
      <c r="FEL117" s="950"/>
      <c r="FEM117" s="950"/>
      <c r="FEN117" s="950"/>
      <c r="FEO117" s="950"/>
      <c r="FEP117" s="950"/>
      <c r="FEQ117" s="950"/>
      <c r="FER117" s="950"/>
      <c r="FES117" s="950"/>
      <c r="FET117" s="950"/>
      <c r="FEU117" s="950"/>
      <c r="FEV117" s="950"/>
      <c r="FEW117" s="950"/>
      <c r="FEX117" s="950"/>
      <c r="FEY117" s="950"/>
      <c r="FEZ117" s="950"/>
      <c r="FFA117" s="950"/>
      <c r="FFB117" s="950"/>
      <c r="FFC117" s="950"/>
      <c r="FFD117" s="950"/>
      <c r="FFE117" s="950"/>
      <c r="FFF117" s="950"/>
      <c r="FFG117" s="950"/>
      <c r="FFH117" s="950"/>
      <c r="FFI117" s="950"/>
      <c r="FFJ117" s="950"/>
      <c r="FFK117" s="950"/>
      <c r="FFL117" s="950"/>
      <c r="FFM117" s="950"/>
      <c r="FFN117" s="950"/>
      <c r="FFO117" s="950"/>
      <c r="FFP117" s="950"/>
      <c r="FFQ117" s="950"/>
      <c r="FFR117" s="950"/>
      <c r="FFS117" s="950"/>
      <c r="FFT117" s="950"/>
      <c r="FFU117" s="950"/>
      <c r="FFV117" s="950"/>
      <c r="FFW117" s="950"/>
      <c r="FFX117" s="950"/>
      <c r="FFY117" s="950"/>
      <c r="FFZ117" s="950"/>
      <c r="FGA117" s="950"/>
      <c r="FGB117" s="950"/>
      <c r="FGC117" s="950"/>
      <c r="FGD117" s="950"/>
      <c r="FGE117" s="950"/>
      <c r="FGF117" s="950"/>
      <c r="FGG117" s="950"/>
      <c r="FGH117" s="950"/>
      <c r="FGI117" s="950"/>
      <c r="FGJ117" s="950"/>
      <c r="FGK117" s="950"/>
      <c r="FGL117" s="950"/>
      <c r="FGM117" s="950"/>
      <c r="FGN117" s="950"/>
      <c r="FGO117" s="950"/>
      <c r="FGP117" s="950"/>
      <c r="FGQ117" s="950"/>
      <c r="FGR117" s="950"/>
      <c r="FGS117" s="950"/>
      <c r="FGT117" s="950"/>
      <c r="FGU117" s="950"/>
      <c r="FGV117" s="950"/>
      <c r="FGW117" s="950"/>
      <c r="FGX117" s="950"/>
      <c r="FGY117" s="950"/>
      <c r="FGZ117" s="950"/>
      <c r="FHA117" s="950"/>
      <c r="FHB117" s="950"/>
      <c r="FHC117" s="950"/>
      <c r="FHD117" s="950"/>
      <c r="FHE117" s="950"/>
      <c r="FHF117" s="950"/>
      <c r="FHG117" s="950"/>
      <c r="FHH117" s="950"/>
      <c r="FHI117" s="950"/>
      <c r="FHJ117" s="950"/>
      <c r="FHK117" s="950"/>
      <c r="FHL117" s="950"/>
      <c r="FHM117" s="950"/>
      <c r="FHN117" s="950"/>
      <c r="FHO117" s="950"/>
      <c r="FHP117" s="950"/>
      <c r="FHQ117" s="950"/>
      <c r="FHR117" s="950"/>
      <c r="FHS117" s="950"/>
      <c r="FHT117" s="950"/>
      <c r="FHU117" s="950"/>
      <c r="FHV117" s="950"/>
      <c r="FHW117" s="950"/>
      <c r="FHX117" s="950"/>
      <c r="FHY117" s="950"/>
      <c r="FHZ117" s="950"/>
      <c r="FIA117" s="950"/>
      <c r="FIB117" s="950"/>
      <c r="FIC117" s="950"/>
      <c r="FID117" s="950"/>
      <c r="FIE117" s="950"/>
      <c r="FIF117" s="950"/>
      <c r="FIG117" s="950"/>
      <c r="FIH117" s="950"/>
      <c r="FII117" s="950"/>
      <c r="FIJ117" s="950"/>
      <c r="FIK117" s="950"/>
      <c r="FIL117" s="950"/>
      <c r="FIM117" s="950"/>
      <c r="FIN117" s="950"/>
      <c r="FIO117" s="950"/>
      <c r="FIP117" s="950"/>
      <c r="FIQ117" s="950"/>
      <c r="FIR117" s="950"/>
      <c r="FIS117" s="950"/>
      <c r="FIT117" s="950"/>
      <c r="FIU117" s="950"/>
      <c r="FIV117" s="950"/>
      <c r="FIW117" s="950"/>
      <c r="FIX117" s="950"/>
      <c r="FIY117" s="950"/>
      <c r="FIZ117" s="950"/>
      <c r="FJA117" s="950"/>
      <c r="FJB117" s="950"/>
      <c r="FJC117" s="950"/>
      <c r="FJD117" s="950"/>
      <c r="FJE117" s="950"/>
      <c r="FJF117" s="950"/>
      <c r="FJG117" s="950"/>
      <c r="FJH117" s="950"/>
      <c r="FJI117" s="950"/>
      <c r="FJJ117" s="950"/>
      <c r="FJK117" s="950"/>
      <c r="FJL117" s="950"/>
      <c r="FJM117" s="950"/>
      <c r="FJN117" s="950"/>
      <c r="FJO117" s="950"/>
      <c r="FJP117" s="950"/>
      <c r="FJQ117" s="950"/>
      <c r="FJR117" s="950"/>
      <c r="FJS117" s="950"/>
      <c r="FJT117" s="950"/>
      <c r="FJU117" s="950"/>
      <c r="FJV117" s="950"/>
      <c r="FJW117" s="950"/>
      <c r="FJX117" s="950"/>
      <c r="FJY117" s="950"/>
      <c r="FJZ117" s="950"/>
      <c r="FKA117" s="950"/>
      <c r="FKB117" s="950"/>
      <c r="FKC117" s="950"/>
      <c r="FKD117" s="950"/>
      <c r="FKE117" s="950"/>
      <c r="FKF117" s="950"/>
      <c r="FKG117" s="950"/>
      <c r="FKH117" s="950"/>
      <c r="FKI117" s="950"/>
      <c r="FKJ117" s="950"/>
      <c r="FKK117" s="950"/>
      <c r="FKL117" s="950"/>
      <c r="FKM117" s="950"/>
      <c r="FKN117" s="950"/>
      <c r="FKO117" s="950"/>
      <c r="FKP117" s="950"/>
      <c r="FKQ117" s="950"/>
      <c r="FKR117" s="950"/>
      <c r="FKS117" s="950"/>
      <c r="FKT117" s="950"/>
      <c r="FKU117" s="950"/>
      <c r="FKV117" s="950"/>
      <c r="FKW117" s="950"/>
      <c r="FKX117" s="950"/>
      <c r="FKY117" s="950"/>
      <c r="FKZ117" s="950"/>
      <c r="FLA117" s="950"/>
      <c r="FLB117" s="950"/>
      <c r="FLC117" s="950"/>
      <c r="FLD117" s="950"/>
      <c r="FLE117" s="950"/>
      <c r="FLF117" s="950"/>
      <c r="FLG117" s="950"/>
      <c r="FLH117" s="950"/>
      <c r="FLI117" s="950"/>
      <c r="FLJ117" s="950"/>
      <c r="FLK117" s="950"/>
      <c r="FLL117" s="950"/>
      <c r="FLM117" s="950"/>
      <c r="FLN117" s="950"/>
      <c r="FLO117" s="950"/>
      <c r="FLP117" s="950"/>
      <c r="FLQ117" s="950"/>
      <c r="FLR117" s="950"/>
      <c r="FLS117" s="950"/>
      <c r="FLT117" s="950"/>
      <c r="FLU117" s="950"/>
      <c r="FLV117" s="950"/>
      <c r="FLW117" s="950"/>
      <c r="FLX117" s="950"/>
      <c r="FLY117" s="950"/>
      <c r="FLZ117" s="950"/>
      <c r="FMA117" s="950"/>
      <c r="FMB117" s="950"/>
      <c r="FMC117" s="950"/>
      <c r="FMD117" s="950"/>
      <c r="FME117" s="950"/>
      <c r="FMF117" s="950"/>
      <c r="FMG117" s="950"/>
      <c r="FMH117" s="950"/>
      <c r="FMI117" s="950"/>
      <c r="FMJ117" s="950"/>
      <c r="FMK117" s="950"/>
      <c r="FML117" s="950"/>
      <c r="FMM117" s="950"/>
      <c r="FMN117" s="950"/>
      <c r="FMO117" s="950"/>
      <c r="FMP117" s="950"/>
      <c r="FMQ117" s="950"/>
      <c r="FMR117" s="950"/>
      <c r="FMS117" s="950"/>
      <c r="FMT117" s="950"/>
      <c r="FMU117" s="950"/>
      <c r="FMV117" s="950"/>
      <c r="FMW117" s="950"/>
      <c r="FMX117" s="950"/>
      <c r="FMY117" s="950"/>
      <c r="FMZ117" s="950"/>
      <c r="FNA117" s="950"/>
      <c r="FNB117" s="950"/>
      <c r="FNC117" s="950"/>
      <c r="FND117" s="950"/>
      <c r="FNE117" s="950"/>
      <c r="FNF117" s="950"/>
      <c r="FNG117" s="950"/>
      <c r="FNH117" s="950"/>
      <c r="FNI117" s="950"/>
      <c r="FNJ117" s="950"/>
      <c r="FNK117" s="950"/>
      <c r="FNL117" s="950"/>
      <c r="FNM117" s="950"/>
      <c r="FNN117" s="950"/>
      <c r="FNO117" s="950"/>
      <c r="FNP117" s="950"/>
      <c r="FNQ117" s="950"/>
      <c r="FNR117" s="950"/>
      <c r="FNS117" s="950"/>
      <c r="FNT117" s="950"/>
      <c r="FNU117" s="950"/>
      <c r="FNV117" s="950"/>
      <c r="FNW117" s="950"/>
      <c r="FNX117" s="950"/>
      <c r="FNY117" s="950"/>
      <c r="FNZ117" s="950"/>
      <c r="FOA117" s="950"/>
      <c r="FOB117" s="950"/>
      <c r="FOC117" s="950"/>
      <c r="FOD117" s="950"/>
      <c r="FOE117" s="950"/>
      <c r="FOF117" s="950"/>
      <c r="FOG117" s="950"/>
      <c r="FOH117" s="950"/>
      <c r="FOI117" s="950"/>
      <c r="FOJ117" s="950"/>
      <c r="FOK117" s="950"/>
      <c r="FOL117" s="950"/>
      <c r="FOM117" s="950"/>
      <c r="FON117" s="950"/>
      <c r="FOO117" s="950"/>
      <c r="FOP117" s="950"/>
      <c r="FOQ117" s="950"/>
      <c r="FOR117" s="950"/>
      <c r="FOS117" s="950"/>
      <c r="FOT117" s="950"/>
      <c r="FOU117" s="950"/>
      <c r="FOV117" s="950"/>
      <c r="FOW117" s="950"/>
      <c r="FOX117" s="950"/>
      <c r="FOY117" s="950"/>
      <c r="FOZ117" s="950"/>
      <c r="FPA117" s="950"/>
      <c r="FPB117" s="950"/>
      <c r="FPC117" s="950"/>
      <c r="FPD117" s="950"/>
      <c r="FPE117" s="950"/>
      <c r="FPF117" s="950"/>
      <c r="FPG117" s="950"/>
      <c r="FPH117" s="950"/>
      <c r="FPI117" s="950"/>
      <c r="FPJ117" s="950"/>
      <c r="FPK117" s="950"/>
      <c r="FPL117" s="950"/>
      <c r="FPM117" s="950"/>
      <c r="FPN117" s="950"/>
      <c r="FPO117" s="950"/>
      <c r="FPP117" s="950"/>
      <c r="FPQ117" s="950"/>
      <c r="FPR117" s="950"/>
      <c r="FPS117" s="950"/>
      <c r="FPT117" s="950"/>
      <c r="FPU117" s="950"/>
      <c r="FPV117" s="950"/>
      <c r="FPW117" s="950"/>
      <c r="FPX117" s="950"/>
      <c r="FPY117" s="950"/>
      <c r="FPZ117" s="950"/>
      <c r="FQA117" s="950"/>
      <c r="FQB117" s="950"/>
      <c r="FQC117" s="950"/>
      <c r="FQD117" s="950"/>
      <c r="FQE117" s="950"/>
      <c r="FQF117" s="950"/>
      <c r="FQG117" s="950"/>
      <c r="FQH117" s="950"/>
      <c r="FQI117" s="950"/>
      <c r="FQJ117" s="950"/>
      <c r="FQK117" s="950"/>
      <c r="FQL117" s="950"/>
      <c r="FQM117" s="950"/>
      <c r="FQN117" s="950"/>
      <c r="FQO117" s="950"/>
      <c r="FQP117" s="950"/>
      <c r="FQQ117" s="950"/>
      <c r="FQR117" s="950"/>
      <c r="FQS117" s="950"/>
      <c r="FQT117" s="950"/>
      <c r="FQU117" s="950"/>
      <c r="FQV117" s="950"/>
      <c r="FQW117" s="950"/>
      <c r="FQX117" s="950"/>
      <c r="FQY117" s="950"/>
      <c r="FQZ117" s="950"/>
      <c r="FRA117" s="950"/>
      <c r="FRB117" s="950"/>
      <c r="FRC117" s="950"/>
      <c r="FRD117" s="950"/>
      <c r="FRE117" s="950"/>
      <c r="FRF117" s="950"/>
      <c r="FRG117" s="950"/>
      <c r="FRH117" s="950"/>
      <c r="FRI117" s="950"/>
      <c r="FRJ117" s="950"/>
      <c r="FRK117" s="950"/>
      <c r="FRL117" s="950"/>
      <c r="FRM117" s="950"/>
      <c r="FRN117" s="950"/>
      <c r="FRO117" s="950"/>
      <c r="FRP117" s="950"/>
      <c r="FRQ117" s="950"/>
      <c r="FRR117" s="950"/>
      <c r="FRS117" s="950"/>
      <c r="FRT117" s="950"/>
      <c r="FRU117" s="950"/>
      <c r="FRV117" s="950"/>
      <c r="FRW117" s="950"/>
      <c r="FRX117" s="950"/>
      <c r="FRY117" s="950"/>
      <c r="FRZ117" s="950"/>
      <c r="FSA117" s="950"/>
      <c r="FSB117" s="950"/>
      <c r="FSC117" s="950"/>
      <c r="FSD117" s="950"/>
      <c r="FSE117" s="950"/>
      <c r="FSF117" s="950"/>
      <c r="FSG117" s="950"/>
      <c r="FSH117" s="950"/>
      <c r="FSI117" s="950"/>
      <c r="FSJ117" s="950"/>
      <c r="FSK117" s="950"/>
      <c r="FSL117" s="950"/>
      <c r="FSM117" s="950"/>
      <c r="FSN117" s="950"/>
      <c r="FSO117" s="950"/>
      <c r="FSP117" s="950"/>
      <c r="FSQ117" s="950"/>
      <c r="FSR117" s="950"/>
      <c r="FSS117" s="950"/>
      <c r="FST117" s="950"/>
      <c r="FSU117" s="950"/>
      <c r="FSV117" s="950"/>
      <c r="FSW117" s="950"/>
      <c r="FSX117" s="950"/>
      <c r="FSY117" s="950"/>
      <c r="FSZ117" s="950"/>
      <c r="FTA117" s="950"/>
      <c r="FTB117" s="950"/>
      <c r="FTC117" s="950"/>
      <c r="FTD117" s="950"/>
      <c r="FTE117" s="950"/>
      <c r="FTF117" s="950"/>
      <c r="FTG117" s="950"/>
      <c r="FTH117" s="950"/>
      <c r="FTI117" s="950"/>
      <c r="FTJ117" s="950"/>
      <c r="FTK117" s="950"/>
      <c r="FTL117" s="950"/>
      <c r="FTM117" s="950"/>
      <c r="FTN117" s="950"/>
      <c r="FTO117" s="950"/>
      <c r="FTP117" s="950"/>
      <c r="FTQ117" s="950"/>
      <c r="FTR117" s="950"/>
      <c r="FTS117" s="950"/>
      <c r="FTT117" s="950"/>
      <c r="FTU117" s="950"/>
      <c r="FTV117" s="950"/>
      <c r="FTW117" s="950"/>
      <c r="FTX117" s="950"/>
      <c r="FTY117" s="950"/>
      <c r="FTZ117" s="950"/>
      <c r="FUA117" s="950"/>
      <c r="FUB117" s="950"/>
      <c r="FUC117" s="950"/>
      <c r="FUD117" s="950"/>
      <c r="FUE117" s="950"/>
      <c r="FUF117" s="950"/>
      <c r="FUG117" s="950"/>
      <c r="FUH117" s="950"/>
      <c r="FUI117" s="950"/>
      <c r="FUJ117" s="950"/>
      <c r="FUK117" s="950"/>
      <c r="FUL117" s="950"/>
      <c r="FUM117" s="950"/>
      <c r="FUN117" s="950"/>
      <c r="FUO117" s="950"/>
      <c r="FUP117" s="950"/>
      <c r="FUQ117" s="950"/>
      <c r="FUR117" s="950"/>
      <c r="FUS117" s="950"/>
      <c r="FUT117" s="950"/>
      <c r="FUU117" s="950"/>
      <c r="FUV117" s="950"/>
      <c r="FUW117" s="950"/>
      <c r="FUX117" s="950"/>
      <c r="FUY117" s="950"/>
      <c r="FUZ117" s="950"/>
      <c r="FVA117" s="950"/>
      <c r="FVB117" s="950"/>
      <c r="FVC117" s="950"/>
      <c r="FVD117" s="950"/>
      <c r="FVE117" s="950"/>
      <c r="FVF117" s="950"/>
      <c r="FVG117" s="950"/>
      <c r="FVH117" s="950"/>
      <c r="FVI117" s="950"/>
      <c r="FVJ117" s="950"/>
      <c r="FVK117" s="950"/>
      <c r="FVL117" s="950"/>
      <c r="FVM117" s="950"/>
      <c r="FVN117" s="950"/>
      <c r="FVO117" s="950"/>
      <c r="FVP117" s="950"/>
      <c r="FVQ117" s="950"/>
      <c r="FVR117" s="950"/>
      <c r="FVS117" s="950"/>
      <c r="FVT117" s="950"/>
      <c r="FVU117" s="950"/>
      <c r="FVV117" s="950"/>
      <c r="FVW117" s="950"/>
      <c r="FVX117" s="950"/>
      <c r="FVY117" s="950"/>
      <c r="FVZ117" s="950"/>
      <c r="FWA117" s="950"/>
      <c r="FWB117" s="950"/>
      <c r="FWC117" s="950"/>
      <c r="FWD117" s="950"/>
      <c r="FWE117" s="950"/>
      <c r="FWF117" s="950"/>
      <c r="FWG117" s="950"/>
      <c r="FWH117" s="950"/>
      <c r="FWI117" s="950"/>
      <c r="FWJ117" s="950"/>
      <c r="FWK117" s="950"/>
      <c r="FWL117" s="950"/>
      <c r="FWM117" s="950"/>
      <c r="FWN117" s="950"/>
      <c r="FWO117" s="950"/>
      <c r="FWP117" s="950"/>
      <c r="FWQ117" s="950"/>
      <c r="FWR117" s="950"/>
      <c r="FWS117" s="950"/>
      <c r="FWT117" s="950"/>
      <c r="FWU117" s="950"/>
      <c r="FWV117" s="950"/>
      <c r="FWW117" s="950"/>
      <c r="FWX117" s="950"/>
      <c r="FWY117" s="950"/>
      <c r="FWZ117" s="950"/>
      <c r="FXA117" s="950"/>
      <c r="FXB117" s="950"/>
      <c r="FXC117" s="950"/>
      <c r="FXD117" s="950"/>
      <c r="FXE117" s="950"/>
      <c r="FXF117" s="950"/>
      <c r="FXG117" s="950"/>
      <c r="FXH117" s="950"/>
      <c r="FXI117" s="950"/>
      <c r="FXJ117" s="950"/>
      <c r="FXK117" s="950"/>
      <c r="FXL117" s="950"/>
      <c r="FXM117" s="950"/>
      <c r="FXN117" s="950"/>
      <c r="FXO117" s="950"/>
      <c r="FXP117" s="950"/>
      <c r="FXQ117" s="950"/>
      <c r="FXR117" s="950"/>
      <c r="FXS117" s="950"/>
      <c r="FXT117" s="950"/>
      <c r="FXU117" s="950"/>
      <c r="FXV117" s="950"/>
      <c r="FXW117" s="950"/>
      <c r="FXX117" s="950"/>
      <c r="FXY117" s="950"/>
      <c r="FXZ117" s="950"/>
      <c r="FYA117" s="950"/>
      <c r="FYB117" s="950"/>
      <c r="FYC117" s="950"/>
      <c r="FYD117" s="950"/>
      <c r="FYE117" s="950"/>
      <c r="FYF117" s="950"/>
      <c r="FYG117" s="950"/>
      <c r="FYH117" s="950"/>
      <c r="FYI117" s="950"/>
      <c r="FYJ117" s="950"/>
      <c r="FYK117" s="950"/>
      <c r="FYL117" s="950"/>
      <c r="FYM117" s="950"/>
      <c r="FYN117" s="950"/>
      <c r="FYO117" s="950"/>
      <c r="FYP117" s="950"/>
      <c r="FYQ117" s="950"/>
      <c r="FYR117" s="950"/>
      <c r="FYS117" s="950"/>
      <c r="FYT117" s="950"/>
      <c r="FYU117" s="950"/>
      <c r="FYV117" s="950"/>
      <c r="FYW117" s="950"/>
      <c r="FYX117" s="950"/>
      <c r="FYY117" s="950"/>
      <c r="FYZ117" s="950"/>
      <c r="FZA117" s="950"/>
      <c r="FZB117" s="950"/>
      <c r="FZC117" s="950"/>
      <c r="FZD117" s="950"/>
      <c r="FZE117" s="950"/>
      <c r="FZF117" s="950"/>
      <c r="FZG117" s="950"/>
      <c r="FZH117" s="950"/>
      <c r="FZI117" s="950"/>
      <c r="FZJ117" s="950"/>
      <c r="FZK117" s="950"/>
      <c r="FZL117" s="950"/>
      <c r="FZM117" s="950"/>
      <c r="FZN117" s="950"/>
      <c r="FZO117" s="950"/>
      <c r="FZP117" s="950"/>
      <c r="FZQ117" s="950"/>
      <c r="FZR117" s="950"/>
      <c r="FZS117" s="950"/>
      <c r="FZT117" s="950"/>
      <c r="FZU117" s="950"/>
      <c r="FZV117" s="950"/>
      <c r="FZW117" s="950"/>
      <c r="FZX117" s="950"/>
      <c r="FZY117" s="950"/>
      <c r="FZZ117" s="950"/>
      <c r="GAA117" s="950"/>
      <c r="GAB117" s="950"/>
      <c r="GAC117" s="950"/>
      <c r="GAD117" s="950"/>
      <c r="GAE117" s="950"/>
      <c r="GAF117" s="950"/>
      <c r="GAG117" s="950"/>
      <c r="GAH117" s="950"/>
      <c r="GAI117" s="950"/>
      <c r="GAJ117" s="950"/>
      <c r="GAK117" s="950"/>
      <c r="GAL117" s="950"/>
      <c r="GAM117" s="950"/>
      <c r="GAN117" s="950"/>
      <c r="GAO117" s="950"/>
      <c r="GAP117" s="950"/>
      <c r="GAQ117" s="950"/>
      <c r="GAR117" s="950"/>
      <c r="GAS117" s="950"/>
      <c r="GAT117" s="950"/>
      <c r="GAU117" s="950"/>
      <c r="GAV117" s="950"/>
      <c r="GAW117" s="950"/>
      <c r="GAX117" s="950"/>
      <c r="GAY117" s="950"/>
      <c r="GAZ117" s="950"/>
      <c r="GBA117" s="950"/>
      <c r="GBB117" s="950"/>
      <c r="GBC117" s="950"/>
      <c r="GBD117" s="950"/>
      <c r="GBE117" s="950"/>
      <c r="GBF117" s="950"/>
      <c r="GBG117" s="950"/>
      <c r="GBH117" s="950"/>
      <c r="GBI117" s="950"/>
      <c r="GBJ117" s="950"/>
      <c r="GBK117" s="950"/>
      <c r="GBL117" s="950"/>
      <c r="GBM117" s="950"/>
      <c r="GBN117" s="950"/>
      <c r="GBO117" s="950"/>
      <c r="GBP117" s="950"/>
      <c r="GBQ117" s="950"/>
      <c r="GBR117" s="950"/>
      <c r="GBS117" s="950"/>
      <c r="GBT117" s="950"/>
      <c r="GBU117" s="950"/>
      <c r="GBV117" s="950"/>
      <c r="GBW117" s="950"/>
      <c r="GBX117" s="950"/>
      <c r="GBY117" s="950"/>
      <c r="GBZ117" s="950"/>
      <c r="GCA117" s="950"/>
      <c r="GCB117" s="950"/>
      <c r="GCC117" s="950"/>
      <c r="GCD117" s="950"/>
      <c r="GCE117" s="950"/>
      <c r="GCF117" s="950"/>
      <c r="GCG117" s="950"/>
      <c r="GCH117" s="950"/>
      <c r="GCI117" s="950"/>
      <c r="GCJ117" s="950"/>
      <c r="GCK117" s="950"/>
      <c r="GCL117" s="950"/>
      <c r="GCM117" s="950"/>
      <c r="GCN117" s="950"/>
      <c r="GCO117" s="950"/>
      <c r="GCP117" s="950"/>
      <c r="GCQ117" s="950"/>
      <c r="GCR117" s="950"/>
      <c r="GCS117" s="950"/>
      <c r="GCT117" s="950"/>
      <c r="GCU117" s="950"/>
      <c r="GCV117" s="950"/>
      <c r="GCW117" s="950"/>
      <c r="GCX117" s="950"/>
      <c r="GCY117" s="950"/>
      <c r="GCZ117" s="950"/>
      <c r="GDA117" s="950"/>
      <c r="GDB117" s="950"/>
      <c r="GDC117" s="950"/>
      <c r="GDD117" s="950"/>
      <c r="GDE117" s="950"/>
      <c r="GDF117" s="950"/>
      <c r="GDG117" s="950"/>
      <c r="GDH117" s="950"/>
      <c r="GDI117" s="950"/>
      <c r="GDJ117" s="950"/>
      <c r="GDK117" s="950"/>
      <c r="GDL117" s="950"/>
      <c r="GDM117" s="950"/>
      <c r="GDN117" s="950"/>
      <c r="GDO117" s="950"/>
      <c r="GDP117" s="950"/>
      <c r="GDQ117" s="950"/>
      <c r="GDR117" s="950"/>
      <c r="GDS117" s="950"/>
      <c r="GDT117" s="950"/>
      <c r="GDU117" s="950"/>
      <c r="GDV117" s="950"/>
      <c r="GDW117" s="950"/>
      <c r="GDX117" s="950"/>
      <c r="GDY117" s="950"/>
      <c r="GDZ117" s="950"/>
      <c r="GEA117" s="950"/>
      <c r="GEB117" s="950"/>
      <c r="GEC117" s="950"/>
      <c r="GED117" s="950"/>
      <c r="GEE117" s="950"/>
      <c r="GEF117" s="950"/>
      <c r="GEG117" s="950"/>
      <c r="GEH117" s="950"/>
      <c r="GEI117" s="950"/>
      <c r="GEJ117" s="950"/>
      <c r="GEK117" s="950"/>
      <c r="GEL117" s="950"/>
      <c r="GEM117" s="950"/>
      <c r="GEN117" s="950"/>
      <c r="GEO117" s="950"/>
      <c r="GEP117" s="950"/>
      <c r="GEQ117" s="950"/>
      <c r="GER117" s="950"/>
      <c r="GES117" s="950"/>
      <c r="GET117" s="950"/>
      <c r="GEU117" s="950"/>
      <c r="GEV117" s="950"/>
      <c r="GEW117" s="950"/>
      <c r="GEX117" s="950"/>
      <c r="GEY117" s="950"/>
      <c r="GEZ117" s="950"/>
      <c r="GFA117" s="950"/>
      <c r="GFB117" s="950"/>
      <c r="GFC117" s="950"/>
      <c r="GFD117" s="950"/>
      <c r="GFE117" s="950"/>
      <c r="GFF117" s="950"/>
      <c r="GFG117" s="950"/>
      <c r="GFH117" s="950"/>
      <c r="GFI117" s="950"/>
      <c r="GFJ117" s="950"/>
      <c r="GFK117" s="950"/>
      <c r="GFL117" s="950"/>
      <c r="GFM117" s="950"/>
      <c r="GFN117" s="950"/>
      <c r="GFO117" s="950"/>
      <c r="GFP117" s="950"/>
      <c r="GFQ117" s="950"/>
      <c r="GFR117" s="950"/>
      <c r="GFS117" s="950"/>
      <c r="GFT117" s="950"/>
      <c r="GFU117" s="950"/>
      <c r="GFV117" s="950"/>
      <c r="GFW117" s="950"/>
      <c r="GFX117" s="950"/>
      <c r="GFY117" s="950"/>
      <c r="GFZ117" s="950"/>
      <c r="GGA117" s="950"/>
      <c r="GGB117" s="950"/>
      <c r="GGC117" s="950"/>
      <c r="GGD117" s="950"/>
      <c r="GGE117" s="950"/>
      <c r="GGF117" s="950"/>
      <c r="GGG117" s="950"/>
      <c r="GGH117" s="950"/>
      <c r="GGI117" s="950"/>
      <c r="GGJ117" s="950"/>
      <c r="GGK117" s="950"/>
      <c r="GGL117" s="950"/>
      <c r="GGM117" s="950"/>
      <c r="GGN117" s="950"/>
      <c r="GGO117" s="950"/>
      <c r="GGP117" s="950"/>
      <c r="GGQ117" s="950"/>
      <c r="GGR117" s="950"/>
      <c r="GGS117" s="950"/>
      <c r="GGT117" s="950"/>
      <c r="GGU117" s="950"/>
      <c r="GGV117" s="950"/>
      <c r="GGW117" s="950"/>
      <c r="GGX117" s="950"/>
      <c r="GGY117" s="950"/>
      <c r="GGZ117" s="950"/>
      <c r="GHA117" s="950"/>
      <c r="GHB117" s="950"/>
      <c r="GHC117" s="950"/>
      <c r="GHD117" s="950"/>
      <c r="GHE117" s="950"/>
      <c r="GHF117" s="950"/>
      <c r="GHG117" s="950"/>
      <c r="GHH117" s="950"/>
      <c r="GHI117" s="950"/>
      <c r="GHJ117" s="950"/>
      <c r="GHK117" s="950"/>
      <c r="GHL117" s="950"/>
      <c r="GHM117" s="950"/>
      <c r="GHN117" s="950"/>
      <c r="GHO117" s="950"/>
      <c r="GHP117" s="950"/>
      <c r="GHQ117" s="950"/>
      <c r="GHR117" s="950"/>
      <c r="GHS117" s="950"/>
      <c r="GHT117" s="950"/>
      <c r="GHU117" s="950"/>
      <c r="GHV117" s="950"/>
      <c r="GHW117" s="950"/>
      <c r="GHX117" s="950"/>
      <c r="GHY117" s="950"/>
      <c r="GHZ117" s="950"/>
      <c r="GIA117" s="950"/>
      <c r="GIB117" s="950"/>
      <c r="GIC117" s="950"/>
      <c r="GID117" s="950"/>
      <c r="GIE117" s="950"/>
      <c r="GIF117" s="950"/>
      <c r="GIG117" s="950"/>
      <c r="GIH117" s="950"/>
      <c r="GII117" s="950"/>
      <c r="GIJ117" s="950"/>
      <c r="GIK117" s="950"/>
      <c r="GIL117" s="950"/>
      <c r="GIM117" s="950"/>
      <c r="GIN117" s="950"/>
      <c r="GIO117" s="950"/>
      <c r="GIP117" s="950"/>
      <c r="GIQ117" s="950"/>
      <c r="GIR117" s="950"/>
      <c r="GIS117" s="950"/>
      <c r="GIT117" s="950"/>
      <c r="GIU117" s="950"/>
      <c r="GIV117" s="950"/>
      <c r="GIW117" s="950"/>
      <c r="GIX117" s="950"/>
      <c r="GIY117" s="950"/>
      <c r="GIZ117" s="950"/>
      <c r="GJA117" s="950"/>
      <c r="GJB117" s="950"/>
      <c r="GJC117" s="950"/>
      <c r="GJD117" s="950"/>
      <c r="GJE117" s="950"/>
      <c r="GJF117" s="950"/>
      <c r="GJG117" s="950"/>
      <c r="GJH117" s="950"/>
      <c r="GJI117" s="950"/>
      <c r="GJJ117" s="950"/>
      <c r="GJK117" s="950"/>
      <c r="GJL117" s="950"/>
      <c r="GJM117" s="950"/>
      <c r="GJN117" s="950"/>
      <c r="GJO117" s="950"/>
      <c r="GJP117" s="950"/>
      <c r="GJQ117" s="950"/>
      <c r="GJR117" s="950"/>
      <c r="GJS117" s="950"/>
      <c r="GJT117" s="950"/>
      <c r="GJU117" s="950"/>
      <c r="GJV117" s="950"/>
      <c r="GJW117" s="950"/>
      <c r="GJX117" s="950"/>
      <c r="GJY117" s="950"/>
      <c r="GJZ117" s="950"/>
      <c r="GKA117" s="950"/>
      <c r="GKB117" s="950"/>
      <c r="GKC117" s="950"/>
      <c r="GKD117" s="950"/>
      <c r="GKE117" s="950"/>
      <c r="GKF117" s="950"/>
      <c r="GKG117" s="950"/>
      <c r="GKH117" s="950"/>
      <c r="GKI117" s="950"/>
      <c r="GKJ117" s="950"/>
      <c r="GKK117" s="950"/>
      <c r="GKL117" s="950"/>
      <c r="GKM117" s="950"/>
      <c r="GKN117" s="950"/>
      <c r="GKO117" s="950"/>
      <c r="GKP117" s="950"/>
      <c r="GKQ117" s="950"/>
      <c r="GKR117" s="950"/>
      <c r="GKS117" s="950"/>
      <c r="GKT117" s="950"/>
      <c r="GKU117" s="950"/>
      <c r="GKV117" s="950"/>
      <c r="GKW117" s="950"/>
      <c r="GKX117" s="950"/>
      <c r="GKY117" s="950"/>
      <c r="GKZ117" s="950"/>
      <c r="GLA117" s="950"/>
      <c r="GLB117" s="950"/>
      <c r="GLC117" s="950"/>
      <c r="GLD117" s="950"/>
      <c r="GLE117" s="950"/>
      <c r="GLF117" s="950"/>
      <c r="GLG117" s="950"/>
      <c r="GLH117" s="950"/>
      <c r="GLI117" s="950"/>
      <c r="GLJ117" s="950"/>
      <c r="GLK117" s="950"/>
      <c r="GLL117" s="950"/>
      <c r="GLM117" s="950"/>
      <c r="GLN117" s="950"/>
      <c r="GLO117" s="950"/>
      <c r="GLP117" s="950"/>
      <c r="GLQ117" s="950"/>
      <c r="GLR117" s="950"/>
      <c r="GLS117" s="950"/>
      <c r="GLT117" s="950"/>
      <c r="GLU117" s="950"/>
      <c r="GLV117" s="950"/>
      <c r="GLW117" s="950"/>
      <c r="GLX117" s="950"/>
      <c r="GLY117" s="950"/>
      <c r="GLZ117" s="950"/>
      <c r="GMA117" s="950"/>
      <c r="GMB117" s="950"/>
      <c r="GMC117" s="950"/>
      <c r="GMD117" s="950"/>
      <c r="GME117" s="950"/>
      <c r="GMF117" s="950"/>
      <c r="GMG117" s="950"/>
      <c r="GMH117" s="950"/>
      <c r="GMI117" s="950"/>
      <c r="GMJ117" s="950"/>
      <c r="GMK117" s="950"/>
      <c r="GML117" s="950"/>
      <c r="GMM117" s="950"/>
      <c r="GMN117" s="950"/>
      <c r="GMO117" s="950"/>
      <c r="GMP117" s="950"/>
      <c r="GMQ117" s="950"/>
      <c r="GMR117" s="950"/>
      <c r="GMS117" s="950"/>
      <c r="GMT117" s="950"/>
      <c r="GMU117" s="950"/>
      <c r="GMV117" s="950"/>
      <c r="GMW117" s="950"/>
      <c r="GMX117" s="950"/>
      <c r="GMY117" s="950"/>
      <c r="GMZ117" s="950"/>
      <c r="GNA117" s="950"/>
      <c r="GNB117" s="950"/>
      <c r="GNC117" s="950"/>
      <c r="GND117" s="950"/>
      <c r="GNE117" s="950"/>
      <c r="GNF117" s="950"/>
      <c r="GNG117" s="950"/>
      <c r="GNH117" s="950"/>
      <c r="GNI117" s="950"/>
      <c r="GNJ117" s="950"/>
      <c r="GNK117" s="950"/>
      <c r="GNL117" s="950"/>
      <c r="GNM117" s="950"/>
      <c r="GNN117" s="950"/>
      <c r="GNO117" s="950"/>
      <c r="GNP117" s="950"/>
      <c r="GNQ117" s="950"/>
      <c r="GNR117" s="950"/>
      <c r="GNS117" s="950"/>
      <c r="GNT117" s="950"/>
      <c r="GNU117" s="950"/>
      <c r="GNV117" s="950"/>
      <c r="GNW117" s="950"/>
      <c r="GNX117" s="950"/>
      <c r="GNY117" s="950"/>
      <c r="GNZ117" s="950"/>
      <c r="GOA117" s="950"/>
      <c r="GOB117" s="950"/>
      <c r="GOC117" s="950"/>
      <c r="GOD117" s="950"/>
      <c r="GOE117" s="950"/>
      <c r="GOF117" s="950"/>
      <c r="GOG117" s="950"/>
      <c r="GOH117" s="950"/>
      <c r="GOI117" s="950"/>
      <c r="GOJ117" s="950"/>
      <c r="GOK117" s="950"/>
      <c r="GOL117" s="950"/>
      <c r="GOM117" s="950"/>
      <c r="GON117" s="950"/>
      <c r="GOO117" s="950"/>
      <c r="GOP117" s="950"/>
      <c r="GOQ117" s="950"/>
      <c r="GOR117" s="950"/>
      <c r="GOS117" s="950"/>
      <c r="GOT117" s="950"/>
      <c r="GOU117" s="950"/>
      <c r="GOV117" s="950"/>
      <c r="GOW117" s="950"/>
      <c r="GOX117" s="950"/>
      <c r="GOY117" s="950"/>
      <c r="GOZ117" s="950"/>
      <c r="GPA117" s="950"/>
      <c r="GPB117" s="950"/>
      <c r="GPC117" s="950"/>
      <c r="GPD117" s="950"/>
      <c r="GPE117" s="950"/>
      <c r="GPF117" s="950"/>
      <c r="GPG117" s="950"/>
      <c r="GPH117" s="950"/>
      <c r="GPI117" s="950"/>
      <c r="GPJ117" s="950"/>
      <c r="GPK117" s="950"/>
      <c r="GPL117" s="950"/>
      <c r="GPM117" s="950"/>
      <c r="GPN117" s="950"/>
      <c r="GPO117" s="950"/>
      <c r="GPP117" s="950"/>
      <c r="GPQ117" s="950"/>
      <c r="GPR117" s="950"/>
      <c r="GPS117" s="950"/>
      <c r="GPT117" s="950"/>
      <c r="GPU117" s="950"/>
      <c r="GPV117" s="950"/>
      <c r="GPW117" s="950"/>
      <c r="GPX117" s="950"/>
      <c r="GPY117" s="950"/>
      <c r="GPZ117" s="950"/>
      <c r="GQA117" s="950"/>
      <c r="GQB117" s="950"/>
      <c r="GQC117" s="950"/>
      <c r="GQD117" s="950"/>
      <c r="GQE117" s="950"/>
      <c r="GQF117" s="950"/>
      <c r="GQG117" s="950"/>
      <c r="GQH117" s="950"/>
      <c r="GQI117" s="950"/>
      <c r="GQJ117" s="950"/>
      <c r="GQK117" s="950"/>
      <c r="GQL117" s="950"/>
      <c r="GQM117" s="950"/>
      <c r="GQN117" s="950"/>
      <c r="GQO117" s="950"/>
      <c r="GQP117" s="950"/>
      <c r="GQQ117" s="950"/>
      <c r="GQR117" s="950"/>
      <c r="GQS117" s="950"/>
      <c r="GQT117" s="950"/>
      <c r="GQU117" s="950"/>
      <c r="GQV117" s="950"/>
      <c r="GQW117" s="950"/>
      <c r="GQX117" s="950"/>
      <c r="GQY117" s="950"/>
      <c r="GQZ117" s="950"/>
      <c r="GRA117" s="950"/>
      <c r="GRB117" s="950"/>
      <c r="GRC117" s="950"/>
      <c r="GRD117" s="950"/>
      <c r="GRE117" s="950"/>
      <c r="GRF117" s="950"/>
      <c r="GRG117" s="950"/>
      <c r="GRH117" s="950"/>
      <c r="GRI117" s="950"/>
      <c r="GRJ117" s="950"/>
      <c r="GRK117" s="950"/>
      <c r="GRL117" s="950"/>
      <c r="GRM117" s="950"/>
      <c r="GRN117" s="950"/>
      <c r="GRO117" s="950"/>
      <c r="GRP117" s="950"/>
      <c r="GRQ117" s="950"/>
      <c r="GRR117" s="950"/>
      <c r="GRS117" s="950"/>
      <c r="GRT117" s="950"/>
      <c r="GRU117" s="950"/>
      <c r="GRV117" s="950"/>
      <c r="GRW117" s="950"/>
      <c r="GRX117" s="950"/>
      <c r="GRY117" s="950"/>
      <c r="GRZ117" s="950"/>
      <c r="GSA117" s="950"/>
      <c r="GSB117" s="950"/>
      <c r="GSC117" s="950"/>
      <c r="GSD117" s="950"/>
      <c r="GSE117" s="950"/>
      <c r="GSF117" s="950"/>
      <c r="GSG117" s="950"/>
      <c r="GSH117" s="950"/>
      <c r="GSI117" s="950"/>
      <c r="GSJ117" s="950"/>
      <c r="GSK117" s="950"/>
      <c r="GSL117" s="950"/>
      <c r="GSM117" s="950"/>
      <c r="GSN117" s="950"/>
      <c r="GSO117" s="950"/>
      <c r="GSP117" s="950"/>
      <c r="GSQ117" s="950"/>
      <c r="GSR117" s="950"/>
      <c r="GSS117" s="950"/>
      <c r="GST117" s="950"/>
      <c r="GSU117" s="950"/>
      <c r="GSV117" s="950"/>
      <c r="GSW117" s="950"/>
      <c r="GSX117" s="950"/>
      <c r="GSY117" s="950"/>
      <c r="GSZ117" s="950"/>
      <c r="GTA117" s="950"/>
      <c r="GTB117" s="950"/>
      <c r="GTC117" s="950"/>
      <c r="GTD117" s="950"/>
      <c r="GTE117" s="950"/>
      <c r="GTF117" s="950"/>
      <c r="GTG117" s="950"/>
      <c r="GTH117" s="950"/>
      <c r="GTI117" s="950"/>
      <c r="GTJ117" s="950"/>
      <c r="GTK117" s="950"/>
      <c r="GTL117" s="950"/>
      <c r="GTM117" s="950"/>
      <c r="GTN117" s="950"/>
      <c r="GTO117" s="950"/>
      <c r="GTP117" s="950"/>
      <c r="GTQ117" s="950"/>
      <c r="GTR117" s="950"/>
      <c r="GTS117" s="950"/>
      <c r="GTT117" s="950"/>
      <c r="GTU117" s="950"/>
      <c r="GTV117" s="950"/>
      <c r="GTW117" s="950"/>
      <c r="GTX117" s="950"/>
      <c r="GTY117" s="950"/>
      <c r="GTZ117" s="950"/>
      <c r="GUA117" s="950"/>
      <c r="GUB117" s="950"/>
      <c r="GUC117" s="950"/>
      <c r="GUD117" s="950"/>
      <c r="GUE117" s="950"/>
      <c r="GUF117" s="950"/>
      <c r="GUG117" s="950"/>
      <c r="GUH117" s="950"/>
      <c r="GUI117" s="950"/>
      <c r="GUJ117" s="950"/>
      <c r="GUK117" s="950"/>
      <c r="GUL117" s="950"/>
      <c r="GUM117" s="950"/>
      <c r="GUN117" s="950"/>
      <c r="GUO117" s="950"/>
      <c r="GUP117" s="950"/>
      <c r="GUQ117" s="950"/>
      <c r="GUR117" s="950"/>
      <c r="GUS117" s="950"/>
      <c r="GUT117" s="950"/>
      <c r="GUU117" s="950"/>
      <c r="GUV117" s="950"/>
      <c r="GUW117" s="950"/>
      <c r="GUX117" s="950"/>
      <c r="GUY117" s="950"/>
      <c r="GUZ117" s="950"/>
      <c r="GVA117" s="950"/>
      <c r="GVB117" s="950"/>
      <c r="GVC117" s="950"/>
      <c r="GVD117" s="950"/>
      <c r="GVE117" s="950"/>
      <c r="GVF117" s="950"/>
      <c r="GVG117" s="950"/>
      <c r="GVH117" s="950"/>
      <c r="GVI117" s="950"/>
      <c r="GVJ117" s="950"/>
      <c r="GVK117" s="950"/>
      <c r="GVL117" s="950"/>
      <c r="GVM117" s="950"/>
      <c r="GVN117" s="950"/>
      <c r="GVO117" s="950"/>
      <c r="GVP117" s="950"/>
      <c r="GVQ117" s="950"/>
      <c r="GVR117" s="950"/>
      <c r="GVS117" s="950"/>
      <c r="GVT117" s="950"/>
      <c r="GVU117" s="950"/>
      <c r="GVV117" s="950"/>
      <c r="GVW117" s="950"/>
      <c r="GVX117" s="950"/>
      <c r="GVY117" s="950"/>
      <c r="GVZ117" s="950"/>
      <c r="GWA117" s="950"/>
      <c r="GWB117" s="950"/>
      <c r="GWC117" s="950"/>
      <c r="GWD117" s="950"/>
      <c r="GWE117" s="950"/>
      <c r="GWF117" s="950"/>
      <c r="GWG117" s="950"/>
      <c r="GWH117" s="950"/>
      <c r="GWI117" s="950"/>
      <c r="GWJ117" s="950"/>
      <c r="GWK117" s="950"/>
      <c r="GWL117" s="950"/>
      <c r="GWM117" s="950"/>
      <c r="GWN117" s="950"/>
      <c r="GWO117" s="950"/>
      <c r="GWP117" s="950"/>
      <c r="GWQ117" s="950"/>
      <c r="GWR117" s="950"/>
      <c r="GWS117" s="950"/>
      <c r="GWT117" s="950"/>
      <c r="GWU117" s="950"/>
      <c r="GWV117" s="950"/>
      <c r="GWW117" s="950"/>
      <c r="GWX117" s="950"/>
      <c r="GWY117" s="950"/>
      <c r="GWZ117" s="950"/>
      <c r="GXA117" s="950"/>
      <c r="GXB117" s="950"/>
      <c r="GXC117" s="950"/>
      <c r="GXD117" s="950"/>
      <c r="GXE117" s="950"/>
      <c r="GXF117" s="950"/>
      <c r="GXG117" s="950"/>
      <c r="GXH117" s="950"/>
      <c r="GXI117" s="950"/>
      <c r="GXJ117" s="950"/>
      <c r="GXK117" s="950"/>
      <c r="GXL117" s="950"/>
      <c r="GXM117" s="950"/>
      <c r="GXN117" s="950"/>
      <c r="GXO117" s="950"/>
      <c r="GXP117" s="950"/>
      <c r="GXQ117" s="950"/>
      <c r="GXR117" s="950"/>
      <c r="GXS117" s="950"/>
      <c r="GXT117" s="950"/>
      <c r="GXU117" s="950"/>
      <c r="GXV117" s="950"/>
      <c r="GXW117" s="950"/>
      <c r="GXX117" s="950"/>
      <c r="GXY117" s="950"/>
      <c r="GXZ117" s="950"/>
      <c r="GYA117" s="950"/>
      <c r="GYB117" s="950"/>
      <c r="GYC117" s="950"/>
      <c r="GYD117" s="950"/>
      <c r="GYE117" s="950"/>
      <c r="GYF117" s="950"/>
      <c r="GYG117" s="950"/>
      <c r="GYH117" s="950"/>
      <c r="GYI117" s="950"/>
      <c r="GYJ117" s="950"/>
      <c r="GYK117" s="950"/>
      <c r="GYL117" s="950"/>
      <c r="GYM117" s="950"/>
      <c r="GYN117" s="950"/>
      <c r="GYO117" s="950"/>
      <c r="GYP117" s="950"/>
      <c r="GYQ117" s="950"/>
      <c r="GYR117" s="950"/>
      <c r="GYS117" s="950"/>
      <c r="GYT117" s="950"/>
      <c r="GYU117" s="950"/>
      <c r="GYV117" s="950"/>
      <c r="GYW117" s="950"/>
      <c r="GYX117" s="950"/>
      <c r="GYY117" s="950"/>
      <c r="GYZ117" s="950"/>
      <c r="GZA117" s="950"/>
      <c r="GZB117" s="950"/>
      <c r="GZC117" s="950"/>
      <c r="GZD117" s="950"/>
      <c r="GZE117" s="950"/>
      <c r="GZF117" s="950"/>
      <c r="GZG117" s="950"/>
      <c r="GZH117" s="950"/>
      <c r="GZI117" s="950"/>
      <c r="GZJ117" s="950"/>
      <c r="GZK117" s="950"/>
      <c r="GZL117" s="950"/>
      <c r="GZM117" s="950"/>
      <c r="GZN117" s="950"/>
      <c r="GZO117" s="950"/>
      <c r="GZP117" s="950"/>
      <c r="GZQ117" s="950"/>
      <c r="GZR117" s="950"/>
      <c r="GZS117" s="950"/>
      <c r="GZT117" s="950"/>
      <c r="GZU117" s="950"/>
      <c r="GZV117" s="950"/>
      <c r="GZW117" s="950"/>
      <c r="GZX117" s="950"/>
      <c r="GZY117" s="950"/>
      <c r="GZZ117" s="950"/>
      <c r="HAA117" s="950"/>
      <c r="HAB117" s="950"/>
      <c r="HAC117" s="950"/>
      <c r="HAD117" s="950"/>
      <c r="HAE117" s="950"/>
      <c r="HAF117" s="950"/>
      <c r="HAG117" s="950"/>
      <c r="HAH117" s="950"/>
      <c r="HAI117" s="950"/>
      <c r="HAJ117" s="950"/>
      <c r="HAK117" s="950"/>
      <c r="HAL117" s="950"/>
      <c r="HAM117" s="950"/>
      <c r="HAN117" s="950"/>
      <c r="HAO117" s="950"/>
      <c r="HAP117" s="950"/>
      <c r="HAQ117" s="950"/>
      <c r="HAR117" s="950"/>
      <c r="HAS117" s="950"/>
      <c r="HAT117" s="950"/>
      <c r="HAU117" s="950"/>
      <c r="HAV117" s="950"/>
      <c r="HAW117" s="950"/>
      <c r="HAX117" s="950"/>
      <c r="HAY117" s="950"/>
      <c r="HAZ117" s="950"/>
      <c r="HBA117" s="950"/>
      <c r="HBB117" s="950"/>
      <c r="HBC117" s="950"/>
      <c r="HBD117" s="950"/>
      <c r="HBE117" s="950"/>
      <c r="HBF117" s="950"/>
      <c r="HBG117" s="950"/>
      <c r="HBH117" s="950"/>
      <c r="HBI117" s="950"/>
      <c r="HBJ117" s="950"/>
      <c r="HBK117" s="950"/>
      <c r="HBL117" s="950"/>
      <c r="HBM117" s="950"/>
      <c r="HBN117" s="950"/>
      <c r="HBO117" s="950"/>
      <c r="HBP117" s="950"/>
      <c r="HBQ117" s="950"/>
      <c r="HBR117" s="950"/>
      <c r="HBS117" s="950"/>
      <c r="HBT117" s="950"/>
      <c r="HBU117" s="950"/>
      <c r="HBV117" s="950"/>
      <c r="HBW117" s="950"/>
      <c r="HBX117" s="950"/>
      <c r="HBY117" s="950"/>
      <c r="HBZ117" s="950"/>
      <c r="HCA117" s="950"/>
      <c r="HCB117" s="950"/>
      <c r="HCC117" s="950"/>
      <c r="HCD117" s="950"/>
      <c r="HCE117" s="950"/>
      <c r="HCF117" s="950"/>
      <c r="HCG117" s="950"/>
      <c r="HCH117" s="950"/>
      <c r="HCI117" s="950"/>
      <c r="HCJ117" s="950"/>
      <c r="HCK117" s="950"/>
      <c r="HCL117" s="950"/>
      <c r="HCM117" s="950"/>
      <c r="HCN117" s="950"/>
      <c r="HCO117" s="950"/>
      <c r="HCP117" s="950"/>
      <c r="HCQ117" s="950"/>
      <c r="HCR117" s="950"/>
      <c r="HCS117" s="950"/>
      <c r="HCT117" s="950"/>
      <c r="HCU117" s="950"/>
      <c r="HCV117" s="950"/>
      <c r="HCW117" s="950"/>
      <c r="HCX117" s="950"/>
      <c r="HCY117" s="950"/>
      <c r="HCZ117" s="950"/>
      <c r="HDA117" s="950"/>
      <c r="HDB117" s="950"/>
      <c r="HDC117" s="950"/>
      <c r="HDD117" s="950"/>
      <c r="HDE117" s="950"/>
      <c r="HDF117" s="950"/>
      <c r="HDG117" s="950"/>
      <c r="HDH117" s="950"/>
      <c r="HDI117" s="950"/>
      <c r="HDJ117" s="950"/>
      <c r="HDK117" s="950"/>
      <c r="HDL117" s="950"/>
      <c r="HDM117" s="950"/>
      <c r="HDN117" s="950"/>
      <c r="HDO117" s="950"/>
      <c r="HDP117" s="950"/>
      <c r="HDQ117" s="950"/>
      <c r="HDR117" s="950"/>
      <c r="HDS117" s="950"/>
      <c r="HDT117" s="950"/>
      <c r="HDU117" s="950"/>
      <c r="HDV117" s="950"/>
      <c r="HDW117" s="950"/>
      <c r="HDX117" s="950"/>
      <c r="HDY117" s="950"/>
      <c r="HDZ117" s="950"/>
      <c r="HEA117" s="950"/>
      <c r="HEB117" s="950"/>
      <c r="HEC117" s="950"/>
      <c r="HED117" s="950"/>
      <c r="HEE117" s="950"/>
      <c r="HEF117" s="950"/>
      <c r="HEG117" s="950"/>
      <c r="HEH117" s="950"/>
      <c r="HEI117" s="950"/>
      <c r="HEJ117" s="950"/>
      <c r="HEK117" s="950"/>
      <c r="HEL117" s="950"/>
      <c r="HEM117" s="950"/>
      <c r="HEN117" s="950"/>
      <c r="HEO117" s="950"/>
      <c r="HEP117" s="950"/>
      <c r="HEQ117" s="950"/>
      <c r="HER117" s="950"/>
      <c r="HES117" s="950"/>
      <c r="HET117" s="950"/>
      <c r="HEU117" s="950"/>
      <c r="HEV117" s="950"/>
      <c r="HEW117" s="950"/>
      <c r="HEX117" s="950"/>
      <c r="HEY117" s="950"/>
      <c r="HEZ117" s="950"/>
      <c r="HFA117" s="950"/>
      <c r="HFB117" s="950"/>
      <c r="HFC117" s="950"/>
      <c r="HFD117" s="950"/>
      <c r="HFE117" s="950"/>
      <c r="HFF117" s="950"/>
      <c r="HFG117" s="950"/>
      <c r="HFH117" s="950"/>
      <c r="HFI117" s="950"/>
      <c r="HFJ117" s="950"/>
      <c r="HFK117" s="950"/>
      <c r="HFL117" s="950"/>
      <c r="HFM117" s="950"/>
      <c r="HFN117" s="950"/>
      <c r="HFO117" s="950"/>
      <c r="HFP117" s="950"/>
      <c r="HFQ117" s="950"/>
      <c r="HFR117" s="950"/>
      <c r="HFS117" s="950"/>
      <c r="HFT117" s="950"/>
      <c r="HFU117" s="950"/>
      <c r="HFV117" s="950"/>
      <c r="HFW117" s="950"/>
      <c r="HFX117" s="950"/>
      <c r="HFY117" s="950"/>
      <c r="HFZ117" s="950"/>
      <c r="HGA117" s="950"/>
      <c r="HGB117" s="950"/>
      <c r="HGC117" s="950"/>
      <c r="HGD117" s="950"/>
      <c r="HGE117" s="950"/>
      <c r="HGF117" s="950"/>
      <c r="HGG117" s="950"/>
      <c r="HGH117" s="950"/>
      <c r="HGI117" s="950"/>
      <c r="HGJ117" s="950"/>
      <c r="HGK117" s="950"/>
      <c r="HGL117" s="950"/>
      <c r="HGM117" s="950"/>
      <c r="HGN117" s="950"/>
      <c r="HGO117" s="950"/>
      <c r="HGP117" s="950"/>
      <c r="HGQ117" s="950"/>
      <c r="HGR117" s="950"/>
      <c r="HGS117" s="950"/>
      <c r="HGT117" s="950"/>
      <c r="HGU117" s="950"/>
      <c r="HGV117" s="950"/>
      <c r="HGW117" s="950"/>
      <c r="HGX117" s="950"/>
      <c r="HGY117" s="950"/>
      <c r="HGZ117" s="950"/>
      <c r="HHA117" s="950"/>
      <c r="HHB117" s="950"/>
      <c r="HHC117" s="950"/>
      <c r="HHD117" s="950"/>
      <c r="HHE117" s="950"/>
      <c r="HHF117" s="950"/>
      <c r="HHG117" s="950"/>
      <c r="HHH117" s="950"/>
      <c r="HHI117" s="950"/>
      <c r="HHJ117" s="950"/>
      <c r="HHK117" s="950"/>
      <c r="HHL117" s="950"/>
      <c r="HHM117" s="950"/>
      <c r="HHN117" s="950"/>
      <c r="HHO117" s="950"/>
      <c r="HHP117" s="950"/>
      <c r="HHQ117" s="950"/>
      <c r="HHR117" s="950"/>
      <c r="HHS117" s="950"/>
      <c r="HHT117" s="950"/>
      <c r="HHU117" s="950"/>
      <c r="HHV117" s="950"/>
      <c r="HHW117" s="950"/>
      <c r="HHX117" s="950"/>
      <c r="HHY117" s="950"/>
      <c r="HHZ117" s="950"/>
      <c r="HIA117" s="950"/>
      <c r="HIB117" s="950"/>
      <c r="HIC117" s="950"/>
      <c r="HID117" s="950"/>
      <c r="HIE117" s="950"/>
      <c r="HIF117" s="950"/>
      <c r="HIG117" s="950"/>
      <c r="HIH117" s="950"/>
      <c r="HII117" s="950"/>
      <c r="HIJ117" s="950"/>
      <c r="HIK117" s="950"/>
      <c r="HIL117" s="950"/>
      <c r="HIM117" s="950"/>
      <c r="HIN117" s="950"/>
      <c r="HIO117" s="950"/>
      <c r="HIP117" s="950"/>
      <c r="HIQ117" s="950"/>
      <c r="HIR117" s="950"/>
      <c r="HIS117" s="950"/>
      <c r="HIT117" s="950"/>
      <c r="HIU117" s="950"/>
      <c r="HIV117" s="950"/>
      <c r="HIW117" s="950"/>
      <c r="HIX117" s="950"/>
      <c r="HIY117" s="950"/>
      <c r="HIZ117" s="950"/>
      <c r="HJA117" s="950"/>
      <c r="HJB117" s="950"/>
      <c r="HJC117" s="950"/>
      <c r="HJD117" s="950"/>
      <c r="HJE117" s="950"/>
      <c r="HJF117" s="950"/>
      <c r="HJG117" s="950"/>
      <c r="HJH117" s="950"/>
      <c r="HJI117" s="950"/>
      <c r="HJJ117" s="950"/>
      <c r="HJK117" s="950"/>
      <c r="HJL117" s="950"/>
      <c r="HJM117" s="950"/>
      <c r="HJN117" s="950"/>
      <c r="HJO117" s="950"/>
      <c r="HJP117" s="950"/>
      <c r="HJQ117" s="950"/>
      <c r="HJR117" s="950"/>
      <c r="HJS117" s="950"/>
      <c r="HJT117" s="950"/>
      <c r="HJU117" s="950"/>
      <c r="HJV117" s="950"/>
      <c r="HJW117" s="950"/>
      <c r="HJX117" s="950"/>
      <c r="HJY117" s="950"/>
      <c r="HJZ117" s="950"/>
      <c r="HKA117" s="950"/>
      <c r="HKB117" s="950"/>
      <c r="HKC117" s="950"/>
      <c r="HKD117" s="950"/>
      <c r="HKE117" s="950"/>
      <c r="HKF117" s="950"/>
      <c r="HKG117" s="950"/>
      <c r="HKH117" s="950"/>
      <c r="HKI117" s="950"/>
      <c r="HKJ117" s="950"/>
      <c r="HKK117" s="950"/>
      <c r="HKL117" s="950"/>
      <c r="HKM117" s="950"/>
      <c r="HKN117" s="950"/>
      <c r="HKO117" s="950"/>
      <c r="HKP117" s="950"/>
      <c r="HKQ117" s="950"/>
      <c r="HKR117" s="950"/>
      <c r="HKS117" s="950"/>
      <c r="HKT117" s="950"/>
      <c r="HKU117" s="950"/>
      <c r="HKV117" s="950"/>
      <c r="HKW117" s="950"/>
      <c r="HKX117" s="950"/>
      <c r="HKY117" s="950"/>
      <c r="HKZ117" s="950"/>
      <c r="HLA117" s="950"/>
      <c r="HLB117" s="950"/>
      <c r="HLC117" s="950"/>
      <c r="HLD117" s="950"/>
      <c r="HLE117" s="950"/>
      <c r="HLF117" s="950"/>
      <c r="HLG117" s="950"/>
      <c r="HLH117" s="950"/>
      <c r="HLI117" s="950"/>
      <c r="HLJ117" s="950"/>
      <c r="HLK117" s="950"/>
      <c r="HLL117" s="950"/>
      <c r="HLM117" s="950"/>
      <c r="HLN117" s="950"/>
      <c r="HLO117" s="950"/>
      <c r="HLP117" s="950"/>
      <c r="HLQ117" s="950"/>
      <c r="HLR117" s="950"/>
      <c r="HLS117" s="950"/>
      <c r="HLT117" s="950"/>
      <c r="HLU117" s="950"/>
      <c r="HLV117" s="950"/>
      <c r="HLW117" s="950"/>
      <c r="HLX117" s="950"/>
      <c r="HLY117" s="950"/>
      <c r="HLZ117" s="950"/>
      <c r="HMA117" s="950"/>
      <c r="HMB117" s="950"/>
      <c r="HMC117" s="950"/>
      <c r="HMD117" s="950"/>
      <c r="HME117" s="950"/>
      <c r="HMF117" s="950"/>
      <c r="HMG117" s="950"/>
      <c r="HMH117" s="950"/>
      <c r="HMI117" s="950"/>
      <c r="HMJ117" s="950"/>
      <c r="HMK117" s="950"/>
      <c r="HML117" s="950"/>
      <c r="HMM117" s="950"/>
      <c r="HMN117" s="950"/>
      <c r="HMO117" s="950"/>
      <c r="HMP117" s="950"/>
      <c r="HMQ117" s="950"/>
      <c r="HMR117" s="950"/>
      <c r="HMS117" s="950"/>
      <c r="HMT117" s="950"/>
      <c r="HMU117" s="950"/>
      <c r="HMV117" s="950"/>
      <c r="HMW117" s="950"/>
      <c r="HMX117" s="950"/>
      <c r="HMY117" s="950"/>
      <c r="HMZ117" s="950"/>
      <c r="HNA117" s="950"/>
      <c r="HNB117" s="950"/>
      <c r="HNC117" s="950"/>
      <c r="HND117" s="950"/>
      <c r="HNE117" s="950"/>
      <c r="HNF117" s="950"/>
      <c r="HNG117" s="950"/>
      <c r="HNH117" s="950"/>
      <c r="HNI117" s="950"/>
      <c r="HNJ117" s="950"/>
      <c r="HNK117" s="950"/>
      <c r="HNL117" s="950"/>
      <c r="HNM117" s="950"/>
      <c r="HNN117" s="950"/>
      <c r="HNO117" s="950"/>
      <c r="HNP117" s="950"/>
      <c r="HNQ117" s="950"/>
      <c r="HNR117" s="950"/>
      <c r="HNS117" s="950"/>
      <c r="HNT117" s="950"/>
      <c r="HNU117" s="950"/>
      <c r="HNV117" s="950"/>
      <c r="HNW117" s="950"/>
      <c r="HNX117" s="950"/>
      <c r="HNY117" s="950"/>
      <c r="HNZ117" s="950"/>
      <c r="HOA117" s="950"/>
      <c r="HOB117" s="950"/>
      <c r="HOC117" s="950"/>
      <c r="HOD117" s="950"/>
      <c r="HOE117" s="950"/>
      <c r="HOF117" s="950"/>
      <c r="HOG117" s="950"/>
      <c r="HOH117" s="950"/>
      <c r="HOI117" s="950"/>
      <c r="HOJ117" s="950"/>
      <c r="HOK117" s="950"/>
      <c r="HOL117" s="950"/>
      <c r="HOM117" s="950"/>
      <c r="HON117" s="950"/>
      <c r="HOO117" s="950"/>
      <c r="HOP117" s="950"/>
      <c r="HOQ117" s="950"/>
      <c r="HOR117" s="950"/>
      <c r="HOS117" s="950"/>
      <c r="HOT117" s="950"/>
      <c r="HOU117" s="950"/>
      <c r="HOV117" s="950"/>
      <c r="HOW117" s="950"/>
      <c r="HOX117" s="950"/>
      <c r="HOY117" s="950"/>
      <c r="HOZ117" s="950"/>
      <c r="HPA117" s="950"/>
      <c r="HPB117" s="950"/>
      <c r="HPC117" s="950"/>
      <c r="HPD117" s="950"/>
      <c r="HPE117" s="950"/>
      <c r="HPF117" s="950"/>
      <c r="HPG117" s="950"/>
      <c r="HPH117" s="950"/>
      <c r="HPI117" s="950"/>
      <c r="HPJ117" s="950"/>
      <c r="HPK117" s="950"/>
      <c r="HPL117" s="950"/>
      <c r="HPM117" s="950"/>
      <c r="HPN117" s="950"/>
      <c r="HPO117" s="950"/>
      <c r="HPP117" s="950"/>
      <c r="HPQ117" s="950"/>
      <c r="HPR117" s="950"/>
      <c r="HPS117" s="950"/>
      <c r="HPT117" s="950"/>
      <c r="HPU117" s="950"/>
      <c r="HPV117" s="950"/>
      <c r="HPW117" s="950"/>
      <c r="HPX117" s="950"/>
      <c r="HPY117" s="950"/>
      <c r="HPZ117" s="950"/>
      <c r="HQA117" s="950"/>
      <c r="HQB117" s="950"/>
      <c r="HQC117" s="950"/>
      <c r="HQD117" s="950"/>
      <c r="HQE117" s="950"/>
      <c r="HQF117" s="950"/>
      <c r="HQG117" s="950"/>
      <c r="HQH117" s="950"/>
      <c r="HQI117" s="950"/>
      <c r="HQJ117" s="950"/>
      <c r="HQK117" s="950"/>
      <c r="HQL117" s="950"/>
      <c r="HQM117" s="950"/>
      <c r="HQN117" s="950"/>
      <c r="HQO117" s="950"/>
      <c r="HQP117" s="950"/>
      <c r="HQQ117" s="950"/>
      <c r="HQR117" s="950"/>
      <c r="HQS117" s="950"/>
      <c r="HQT117" s="950"/>
      <c r="HQU117" s="950"/>
      <c r="HQV117" s="950"/>
      <c r="HQW117" s="950"/>
      <c r="HQX117" s="950"/>
      <c r="HQY117" s="950"/>
      <c r="HQZ117" s="950"/>
      <c r="HRA117" s="950"/>
      <c r="HRB117" s="950"/>
      <c r="HRC117" s="950"/>
      <c r="HRD117" s="950"/>
      <c r="HRE117" s="950"/>
      <c r="HRF117" s="950"/>
      <c r="HRG117" s="950"/>
      <c r="HRH117" s="950"/>
      <c r="HRI117" s="950"/>
      <c r="HRJ117" s="950"/>
      <c r="HRK117" s="950"/>
      <c r="HRL117" s="950"/>
      <c r="HRM117" s="950"/>
      <c r="HRN117" s="950"/>
      <c r="HRO117" s="950"/>
      <c r="HRP117" s="950"/>
      <c r="HRQ117" s="950"/>
      <c r="HRR117" s="950"/>
      <c r="HRS117" s="950"/>
      <c r="HRT117" s="950"/>
      <c r="HRU117" s="950"/>
      <c r="HRV117" s="950"/>
      <c r="HRW117" s="950"/>
      <c r="HRX117" s="950"/>
      <c r="HRY117" s="950"/>
      <c r="HRZ117" s="950"/>
      <c r="HSA117" s="950"/>
      <c r="HSB117" s="950"/>
      <c r="HSC117" s="950"/>
      <c r="HSD117" s="950"/>
      <c r="HSE117" s="950"/>
      <c r="HSF117" s="950"/>
      <c r="HSG117" s="950"/>
      <c r="HSH117" s="950"/>
      <c r="HSI117" s="950"/>
      <c r="HSJ117" s="950"/>
      <c r="HSK117" s="950"/>
      <c r="HSL117" s="950"/>
      <c r="HSM117" s="950"/>
      <c r="HSN117" s="950"/>
      <c r="HSO117" s="950"/>
      <c r="HSP117" s="950"/>
      <c r="HSQ117" s="950"/>
      <c r="HSR117" s="950"/>
      <c r="HSS117" s="950"/>
      <c r="HST117" s="950"/>
      <c r="HSU117" s="950"/>
      <c r="HSV117" s="950"/>
      <c r="HSW117" s="950"/>
      <c r="HSX117" s="950"/>
      <c r="HSY117" s="950"/>
      <c r="HSZ117" s="950"/>
      <c r="HTA117" s="950"/>
      <c r="HTB117" s="950"/>
      <c r="HTC117" s="950"/>
      <c r="HTD117" s="950"/>
      <c r="HTE117" s="950"/>
      <c r="HTF117" s="950"/>
      <c r="HTG117" s="950"/>
      <c r="HTH117" s="950"/>
      <c r="HTI117" s="950"/>
      <c r="HTJ117" s="950"/>
      <c r="HTK117" s="950"/>
      <c r="HTL117" s="950"/>
      <c r="HTM117" s="950"/>
      <c r="HTN117" s="950"/>
      <c r="HTO117" s="950"/>
      <c r="HTP117" s="950"/>
      <c r="HTQ117" s="950"/>
      <c r="HTR117" s="950"/>
      <c r="HTS117" s="950"/>
      <c r="HTT117" s="950"/>
      <c r="HTU117" s="950"/>
      <c r="HTV117" s="950"/>
      <c r="HTW117" s="950"/>
      <c r="HTX117" s="950"/>
      <c r="HTY117" s="950"/>
      <c r="HTZ117" s="950"/>
      <c r="HUA117" s="950"/>
      <c r="HUB117" s="950"/>
      <c r="HUC117" s="950"/>
      <c r="HUD117" s="950"/>
      <c r="HUE117" s="950"/>
      <c r="HUF117" s="950"/>
      <c r="HUG117" s="950"/>
      <c r="HUH117" s="950"/>
      <c r="HUI117" s="950"/>
      <c r="HUJ117" s="950"/>
      <c r="HUK117" s="950"/>
      <c r="HUL117" s="950"/>
      <c r="HUM117" s="950"/>
      <c r="HUN117" s="950"/>
      <c r="HUO117" s="950"/>
      <c r="HUP117" s="950"/>
      <c r="HUQ117" s="950"/>
      <c r="HUR117" s="950"/>
      <c r="HUS117" s="950"/>
      <c r="HUT117" s="950"/>
      <c r="HUU117" s="950"/>
      <c r="HUV117" s="950"/>
      <c r="HUW117" s="950"/>
      <c r="HUX117" s="950"/>
      <c r="HUY117" s="950"/>
      <c r="HUZ117" s="950"/>
      <c r="HVA117" s="950"/>
      <c r="HVB117" s="950"/>
      <c r="HVC117" s="950"/>
      <c r="HVD117" s="950"/>
      <c r="HVE117" s="950"/>
      <c r="HVF117" s="950"/>
      <c r="HVG117" s="950"/>
      <c r="HVH117" s="950"/>
      <c r="HVI117" s="950"/>
      <c r="HVJ117" s="950"/>
      <c r="HVK117" s="950"/>
      <c r="HVL117" s="950"/>
      <c r="HVM117" s="950"/>
      <c r="HVN117" s="950"/>
      <c r="HVO117" s="950"/>
      <c r="HVP117" s="950"/>
      <c r="HVQ117" s="950"/>
      <c r="HVR117" s="950"/>
      <c r="HVS117" s="950"/>
      <c r="HVT117" s="950"/>
      <c r="HVU117" s="950"/>
      <c r="HVV117" s="950"/>
      <c r="HVW117" s="950"/>
      <c r="HVX117" s="950"/>
      <c r="HVY117" s="950"/>
      <c r="HVZ117" s="950"/>
      <c r="HWA117" s="950"/>
      <c r="HWB117" s="950"/>
      <c r="HWC117" s="950"/>
      <c r="HWD117" s="950"/>
      <c r="HWE117" s="950"/>
      <c r="HWF117" s="950"/>
      <c r="HWG117" s="950"/>
      <c r="HWH117" s="950"/>
      <c r="HWI117" s="950"/>
      <c r="HWJ117" s="950"/>
      <c r="HWK117" s="950"/>
      <c r="HWL117" s="950"/>
      <c r="HWM117" s="950"/>
      <c r="HWN117" s="950"/>
      <c r="HWO117" s="950"/>
      <c r="HWP117" s="950"/>
      <c r="HWQ117" s="950"/>
      <c r="HWR117" s="950"/>
      <c r="HWS117" s="950"/>
      <c r="HWT117" s="950"/>
      <c r="HWU117" s="950"/>
      <c r="HWV117" s="950"/>
      <c r="HWW117" s="950"/>
      <c r="HWX117" s="950"/>
      <c r="HWY117" s="950"/>
      <c r="HWZ117" s="950"/>
      <c r="HXA117" s="950"/>
      <c r="HXB117" s="950"/>
      <c r="HXC117" s="950"/>
      <c r="HXD117" s="950"/>
      <c r="HXE117" s="950"/>
      <c r="HXF117" s="950"/>
      <c r="HXG117" s="950"/>
      <c r="HXH117" s="950"/>
      <c r="HXI117" s="950"/>
      <c r="HXJ117" s="950"/>
      <c r="HXK117" s="950"/>
      <c r="HXL117" s="950"/>
      <c r="HXM117" s="950"/>
      <c r="HXN117" s="950"/>
      <c r="HXO117" s="950"/>
      <c r="HXP117" s="950"/>
      <c r="HXQ117" s="950"/>
      <c r="HXR117" s="950"/>
      <c r="HXS117" s="950"/>
      <c r="HXT117" s="950"/>
      <c r="HXU117" s="950"/>
      <c r="HXV117" s="950"/>
      <c r="HXW117" s="950"/>
      <c r="HXX117" s="950"/>
      <c r="HXY117" s="950"/>
      <c r="HXZ117" s="950"/>
      <c r="HYA117" s="950"/>
      <c r="HYB117" s="950"/>
      <c r="HYC117" s="950"/>
      <c r="HYD117" s="950"/>
      <c r="HYE117" s="950"/>
      <c r="HYF117" s="950"/>
      <c r="HYG117" s="950"/>
      <c r="HYH117" s="950"/>
      <c r="HYI117" s="950"/>
      <c r="HYJ117" s="950"/>
      <c r="HYK117" s="950"/>
      <c r="HYL117" s="950"/>
      <c r="HYM117" s="950"/>
      <c r="HYN117" s="950"/>
      <c r="HYO117" s="950"/>
      <c r="HYP117" s="950"/>
      <c r="HYQ117" s="950"/>
      <c r="HYR117" s="950"/>
      <c r="HYS117" s="950"/>
      <c r="HYT117" s="950"/>
      <c r="HYU117" s="950"/>
      <c r="HYV117" s="950"/>
      <c r="HYW117" s="950"/>
      <c r="HYX117" s="950"/>
      <c r="HYY117" s="950"/>
      <c r="HYZ117" s="950"/>
      <c r="HZA117" s="950"/>
      <c r="HZB117" s="950"/>
      <c r="HZC117" s="950"/>
      <c r="HZD117" s="950"/>
      <c r="HZE117" s="950"/>
      <c r="HZF117" s="950"/>
      <c r="HZG117" s="950"/>
      <c r="HZH117" s="950"/>
      <c r="HZI117" s="950"/>
      <c r="HZJ117" s="950"/>
      <c r="HZK117" s="950"/>
      <c r="HZL117" s="950"/>
      <c r="HZM117" s="950"/>
      <c r="HZN117" s="950"/>
      <c r="HZO117" s="950"/>
      <c r="HZP117" s="950"/>
      <c r="HZQ117" s="950"/>
      <c r="HZR117" s="950"/>
      <c r="HZS117" s="950"/>
      <c r="HZT117" s="950"/>
      <c r="HZU117" s="950"/>
      <c r="HZV117" s="950"/>
      <c r="HZW117" s="950"/>
      <c r="HZX117" s="950"/>
      <c r="HZY117" s="950"/>
      <c r="HZZ117" s="950"/>
      <c r="IAA117" s="950"/>
      <c r="IAB117" s="950"/>
      <c r="IAC117" s="950"/>
      <c r="IAD117" s="950"/>
      <c r="IAE117" s="950"/>
      <c r="IAF117" s="950"/>
      <c r="IAG117" s="950"/>
      <c r="IAH117" s="950"/>
      <c r="IAI117" s="950"/>
      <c r="IAJ117" s="950"/>
      <c r="IAK117" s="950"/>
      <c r="IAL117" s="950"/>
      <c r="IAM117" s="950"/>
      <c r="IAN117" s="950"/>
      <c r="IAO117" s="950"/>
      <c r="IAP117" s="950"/>
      <c r="IAQ117" s="950"/>
      <c r="IAR117" s="950"/>
      <c r="IAS117" s="950"/>
      <c r="IAT117" s="950"/>
      <c r="IAU117" s="950"/>
      <c r="IAV117" s="950"/>
      <c r="IAW117" s="950"/>
      <c r="IAX117" s="950"/>
      <c r="IAY117" s="950"/>
      <c r="IAZ117" s="950"/>
      <c r="IBA117" s="950"/>
      <c r="IBB117" s="950"/>
      <c r="IBC117" s="950"/>
      <c r="IBD117" s="950"/>
      <c r="IBE117" s="950"/>
      <c r="IBF117" s="950"/>
      <c r="IBG117" s="950"/>
      <c r="IBH117" s="950"/>
      <c r="IBI117" s="950"/>
      <c r="IBJ117" s="950"/>
      <c r="IBK117" s="950"/>
      <c r="IBL117" s="950"/>
      <c r="IBM117" s="950"/>
      <c r="IBN117" s="950"/>
      <c r="IBO117" s="950"/>
      <c r="IBP117" s="950"/>
      <c r="IBQ117" s="950"/>
      <c r="IBR117" s="950"/>
      <c r="IBS117" s="950"/>
      <c r="IBT117" s="950"/>
      <c r="IBU117" s="950"/>
      <c r="IBV117" s="950"/>
      <c r="IBW117" s="950"/>
      <c r="IBX117" s="950"/>
      <c r="IBY117" s="950"/>
      <c r="IBZ117" s="950"/>
      <c r="ICA117" s="950"/>
      <c r="ICB117" s="950"/>
      <c r="ICC117" s="950"/>
      <c r="ICD117" s="950"/>
      <c r="ICE117" s="950"/>
      <c r="ICF117" s="950"/>
      <c r="ICG117" s="950"/>
      <c r="ICH117" s="950"/>
      <c r="ICI117" s="950"/>
      <c r="ICJ117" s="950"/>
      <c r="ICK117" s="950"/>
      <c r="ICL117" s="950"/>
      <c r="ICM117" s="950"/>
      <c r="ICN117" s="950"/>
      <c r="ICO117" s="950"/>
      <c r="ICP117" s="950"/>
      <c r="ICQ117" s="950"/>
      <c r="ICR117" s="950"/>
      <c r="ICS117" s="950"/>
      <c r="ICT117" s="950"/>
      <c r="ICU117" s="950"/>
      <c r="ICV117" s="950"/>
      <c r="ICW117" s="950"/>
      <c r="ICX117" s="950"/>
      <c r="ICY117" s="950"/>
      <c r="ICZ117" s="950"/>
      <c r="IDA117" s="950"/>
      <c r="IDB117" s="950"/>
      <c r="IDC117" s="950"/>
      <c r="IDD117" s="950"/>
      <c r="IDE117" s="950"/>
      <c r="IDF117" s="950"/>
      <c r="IDG117" s="950"/>
      <c r="IDH117" s="950"/>
      <c r="IDI117" s="950"/>
      <c r="IDJ117" s="950"/>
      <c r="IDK117" s="950"/>
      <c r="IDL117" s="950"/>
      <c r="IDM117" s="950"/>
      <c r="IDN117" s="950"/>
      <c r="IDO117" s="950"/>
      <c r="IDP117" s="950"/>
      <c r="IDQ117" s="950"/>
      <c r="IDR117" s="950"/>
      <c r="IDS117" s="950"/>
      <c r="IDT117" s="950"/>
      <c r="IDU117" s="950"/>
      <c r="IDV117" s="950"/>
      <c r="IDW117" s="950"/>
      <c r="IDX117" s="950"/>
      <c r="IDY117" s="950"/>
      <c r="IDZ117" s="950"/>
      <c r="IEA117" s="950"/>
      <c r="IEB117" s="950"/>
      <c r="IEC117" s="950"/>
      <c r="IED117" s="950"/>
      <c r="IEE117" s="950"/>
      <c r="IEF117" s="950"/>
      <c r="IEG117" s="950"/>
      <c r="IEH117" s="950"/>
      <c r="IEI117" s="950"/>
      <c r="IEJ117" s="950"/>
      <c r="IEK117" s="950"/>
      <c r="IEL117" s="950"/>
      <c r="IEM117" s="950"/>
      <c r="IEN117" s="950"/>
      <c r="IEO117" s="950"/>
      <c r="IEP117" s="950"/>
      <c r="IEQ117" s="950"/>
      <c r="IER117" s="950"/>
      <c r="IES117" s="950"/>
      <c r="IET117" s="950"/>
      <c r="IEU117" s="950"/>
      <c r="IEV117" s="950"/>
      <c r="IEW117" s="950"/>
      <c r="IEX117" s="950"/>
      <c r="IEY117" s="950"/>
      <c r="IEZ117" s="950"/>
      <c r="IFA117" s="950"/>
      <c r="IFB117" s="950"/>
      <c r="IFC117" s="950"/>
      <c r="IFD117" s="950"/>
      <c r="IFE117" s="950"/>
      <c r="IFF117" s="950"/>
      <c r="IFG117" s="950"/>
      <c r="IFH117" s="950"/>
      <c r="IFI117" s="950"/>
      <c r="IFJ117" s="950"/>
      <c r="IFK117" s="950"/>
      <c r="IFL117" s="950"/>
      <c r="IFM117" s="950"/>
      <c r="IFN117" s="950"/>
      <c r="IFO117" s="950"/>
      <c r="IFP117" s="950"/>
      <c r="IFQ117" s="950"/>
      <c r="IFR117" s="950"/>
      <c r="IFS117" s="950"/>
      <c r="IFT117" s="950"/>
      <c r="IFU117" s="950"/>
      <c r="IFV117" s="950"/>
      <c r="IFW117" s="950"/>
      <c r="IFX117" s="950"/>
      <c r="IFY117" s="950"/>
      <c r="IFZ117" s="950"/>
      <c r="IGA117" s="950"/>
      <c r="IGB117" s="950"/>
      <c r="IGC117" s="950"/>
      <c r="IGD117" s="950"/>
      <c r="IGE117" s="950"/>
      <c r="IGF117" s="950"/>
      <c r="IGG117" s="950"/>
      <c r="IGH117" s="950"/>
      <c r="IGI117" s="950"/>
      <c r="IGJ117" s="950"/>
      <c r="IGK117" s="950"/>
      <c r="IGL117" s="950"/>
      <c r="IGM117" s="950"/>
      <c r="IGN117" s="950"/>
      <c r="IGO117" s="950"/>
      <c r="IGP117" s="950"/>
      <c r="IGQ117" s="950"/>
      <c r="IGR117" s="950"/>
      <c r="IGS117" s="950"/>
      <c r="IGT117" s="950"/>
      <c r="IGU117" s="950"/>
      <c r="IGV117" s="950"/>
      <c r="IGW117" s="950"/>
      <c r="IGX117" s="950"/>
      <c r="IGY117" s="950"/>
      <c r="IGZ117" s="950"/>
      <c r="IHA117" s="950"/>
      <c r="IHB117" s="950"/>
      <c r="IHC117" s="950"/>
      <c r="IHD117" s="950"/>
      <c r="IHE117" s="950"/>
      <c r="IHF117" s="950"/>
      <c r="IHG117" s="950"/>
      <c r="IHH117" s="950"/>
      <c r="IHI117" s="950"/>
      <c r="IHJ117" s="950"/>
      <c r="IHK117" s="950"/>
      <c r="IHL117" s="950"/>
      <c r="IHM117" s="950"/>
      <c r="IHN117" s="950"/>
      <c r="IHO117" s="950"/>
      <c r="IHP117" s="950"/>
      <c r="IHQ117" s="950"/>
      <c r="IHR117" s="950"/>
      <c r="IHS117" s="950"/>
      <c r="IHT117" s="950"/>
      <c r="IHU117" s="950"/>
      <c r="IHV117" s="950"/>
      <c r="IHW117" s="950"/>
      <c r="IHX117" s="950"/>
      <c r="IHY117" s="950"/>
      <c r="IHZ117" s="950"/>
      <c r="IIA117" s="950"/>
      <c r="IIB117" s="950"/>
      <c r="IIC117" s="950"/>
      <c r="IID117" s="950"/>
      <c r="IIE117" s="950"/>
      <c r="IIF117" s="950"/>
      <c r="IIG117" s="950"/>
      <c r="IIH117" s="950"/>
      <c r="III117" s="950"/>
      <c r="IIJ117" s="950"/>
      <c r="IIK117" s="950"/>
      <c r="IIL117" s="950"/>
      <c r="IIM117" s="950"/>
      <c r="IIN117" s="950"/>
      <c r="IIO117" s="950"/>
      <c r="IIP117" s="950"/>
      <c r="IIQ117" s="950"/>
      <c r="IIR117" s="950"/>
      <c r="IIS117" s="950"/>
      <c r="IIT117" s="950"/>
      <c r="IIU117" s="950"/>
      <c r="IIV117" s="950"/>
      <c r="IIW117" s="950"/>
      <c r="IIX117" s="950"/>
      <c r="IIY117" s="950"/>
      <c r="IIZ117" s="950"/>
      <c r="IJA117" s="950"/>
      <c r="IJB117" s="950"/>
      <c r="IJC117" s="950"/>
      <c r="IJD117" s="950"/>
      <c r="IJE117" s="950"/>
      <c r="IJF117" s="950"/>
      <c r="IJG117" s="950"/>
      <c r="IJH117" s="950"/>
      <c r="IJI117" s="950"/>
      <c r="IJJ117" s="950"/>
      <c r="IJK117" s="950"/>
      <c r="IJL117" s="950"/>
      <c r="IJM117" s="950"/>
      <c r="IJN117" s="950"/>
      <c r="IJO117" s="950"/>
      <c r="IJP117" s="950"/>
      <c r="IJQ117" s="950"/>
      <c r="IJR117" s="950"/>
      <c r="IJS117" s="950"/>
      <c r="IJT117" s="950"/>
      <c r="IJU117" s="950"/>
      <c r="IJV117" s="950"/>
      <c r="IJW117" s="950"/>
      <c r="IJX117" s="950"/>
      <c r="IJY117" s="950"/>
      <c r="IJZ117" s="950"/>
      <c r="IKA117" s="950"/>
      <c r="IKB117" s="950"/>
      <c r="IKC117" s="950"/>
      <c r="IKD117" s="950"/>
      <c r="IKE117" s="950"/>
      <c r="IKF117" s="950"/>
      <c r="IKG117" s="950"/>
      <c r="IKH117" s="950"/>
      <c r="IKI117" s="950"/>
      <c r="IKJ117" s="950"/>
      <c r="IKK117" s="950"/>
      <c r="IKL117" s="950"/>
      <c r="IKM117" s="950"/>
      <c r="IKN117" s="950"/>
      <c r="IKO117" s="950"/>
      <c r="IKP117" s="950"/>
      <c r="IKQ117" s="950"/>
      <c r="IKR117" s="950"/>
      <c r="IKS117" s="950"/>
      <c r="IKT117" s="950"/>
      <c r="IKU117" s="950"/>
      <c r="IKV117" s="950"/>
      <c r="IKW117" s="950"/>
      <c r="IKX117" s="950"/>
      <c r="IKY117" s="950"/>
      <c r="IKZ117" s="950"/>
      <c r="ILA117" s="950"/>
      <c r="ILB117" s="950"/>
      <c r="ILC117" s="950"/>
      <c r="ILD117" s="950"/>
      <c r="ILE117" s="950"/>
      <c r="ILF117" s="950"/>
      <c r="ILG117" s="950"/>
      <c r="ILH117" s="950"/>
      <c r="ILI117" s="950"/>
      <c r="ILJ117" s="950"/>
      <c r="ILK117" s="950"/>
      <c r="ILL117" s="950"/>
      <c r="ILM117" s="950"/>
      <c r="ILN117" s="950"/>
      <c r="ILO117" s="950"/>
      <c r="ILP117" s="950"/>
      <c r="ILQ117" s="950"/>
      <c r="ILR117" s="950"/>
      <c r="ILS117" s="950"/>
      <c r="ILT117" s="950"/>
      <c r="ILU117" s="950"/>
      <c r="ILV117" s="950"/>
      <c r="ILW117" s="950"/>
      <c r="ILX117" s="950"/>
      <c r="ILY117" s="950"/>
      <c r="ILZ117" s="950"/>
      <c r="IMA117" s="950"/>
      <c r="IMB117" s="950"/>
      <c r="IMC117" s="950"/>
      <c r="IMD117" s="950"/>
      <c r="IME117" s="950"/>
      <c r="IMF117" s="950"/>
      <c r="IMG117" s="950"/>
      <c r="IMH117" s="950"/>
      <c r="IMI117" s="950"/>
      <c r="IMJ117" s="950"/>
      <c r="IMK117" s="950"/>
      <c r="IML117" s="950"/>
      <c r="IMM117" s="950"/>
      <c r="IMN117" s="950"/>
      <c r="IMO117" s="950"/>
      <c r="IMP117" s="950"/>
      <c r="IMQ117" s="950"/>
      <c r="IMR117" s="950"/>
      <c r="IMS117" s="950"/>
      <c r="IMT117" s="950"/>
      <c r="IMU117" s="950"/>
      <c r="IMV117" s="950"/>
      <c r="IMW117" s="950"/>
      <c r="IMX117" s="950"/>
      <c r="IMY117" s="950"/>
      <c r="IMZ117" s="950"/>
      <c r="INA117" s="950"/>
      <c r="INB117" s="950"/>
      <c r="INC117" s="950"/>
      <c r="IND117" s="950"/>
      <c r="INE117" s="950"/>
      <c r="INF117" s="950"/>
      <c r="ING117" s="950"/>
      <c r="INH117" s="950"/>
      <c r="INI117" s="950"/>
      <c r="INJ117" s="950"/>
      <c r="INK117" s="950"/>
      <c r="INL117" s="950"/>
      <c r="INM117" s="950"/>
      <c r="INN117" s="950"/>
      <c r="INO117" s="950"/>
      <c r="INP117" s="950"/>
      <c r="INQ117" s="950"/>
      <c r="INR117" s="950"/>
      <c r="INS117" s="950"/>
      <c r="INT117" s="950"/>
      <c r="INU117" s="950"/>
      <c r="INV117" s="950"/>
      <c r="INW117" s="950"/>
      <c r="INX117" s="950"/>
      <c r="INY117" s="950"/>
      <c r="INZ117" s="950"/>
      <c r="IOA117" s="950"/>
      <c r="IOB117" s="950"/>
      <c r="IOC117" s="950"/>
      <c r="IOD117" s="950"/>
      <c r="IOE117" s="950"/>
      <c r="IOF117" s="950"/>
      <c r="IOG117" s="950"/>
      <c r="IOH117" s="950"/>
      <c r="IOI117" s="950"/>
      <c r="IOJ117" s="950"/>
      <c r="IOK117" s="950"/>
      <c r="IOL117" s="950"/>
      <c r="IOM117" s="950"/>
      <c r="ION117" s="950"/>
      <c r="IOO117" s="950"/>
      <c r="IOP117" s="950"/>
      <c r="IOQ117" s="950"/>
      <c r="IOR117" s="950"/>
      <c r="IOS117" s="950"/>
      <c r="IOT117" s="950"/>
      <c r="IOU117" s="950"/>
      <c r="IOV117" s="950"/>
      <c r="IOW117" s="950"/>
      <c r="IOX117" s="950"/>
      <c r="IOY117" s="950"/>
      <c r="IOZ117" s="950"/>
      <c r="IPA117" s="950"/>
      <c r="IPB117" s="950"/>
      <c r="IPC117" s="950"/>
      <c r="IPD117" s="950"/>
      <c r="IPE117" s="950"/>
      <c r="IPF117" s="950"/>
      <c r="IPG117" s="950"/>
      <c r="IPH117" s="950"/>
      <c r="IPI117" s="950"/>
      <c r="IPJ117" s="950"/>
      <c r="IPK117" s="950"/>
      <c r="IPL117" s="950"/>
      <c r="IPM117" s="950"/>
      <c r="IPN117" s="950"/>
      <c r="IPO117" s="950"/>
      <c r="IPP117" s="950"/>
      <c r="IPQ117" s="950"/>
      <c r="IPR117" s="950"/>
      <c r="IPS117" s="950"/>
      <c r="IPT117" s="950"/>
      <c r="IPU117" s="950"/>
      <c r="IPV117" s="950"/>
      <c r="IPW117" s="950"/>
      <c r="IPX117" s="950"/>
      <c r="IPY117" s="950"/>
      <c r="IPZ117" s="950"/>
      <c r="IQA117" s="950"/>
      <c r="IQB117" s="950"/>
      <c r="IQC117" s="950"/>
      <c r="IQD117" s="950"/>
      <c r="IQE117" s="950"/>
      <c r="IQF117" s="950"/>
      <c r="IQG117" s="950"/>
      <c r="IQH117" s="950"/>
      <c r="IQI117" s="950"/>
      <c r="IQJ117" s="950"/>
      <c r="IQK117" s="950"/>
      <c r="IQL117" s="950"/>
      <c r="IQM117" s="950"/>
      <c r="IQN117" s="950"/>
      <c r="IQO117" s="950"/>
      <c r="IQP117" s="950"/>
      <c r="IQQ117" s="950"/>
      <c r="IQR117" s="950"/>
      <c r="IQS117" s="950"/>
      <c r="IQT117" s="950"/>
      <c r="IQU117" s="950"/>
      <c r="IQV117" s="950"/>
      <c r="IQW117" s="950"/>
      <c r="IQX117" s="950"/>
      <c r="IQY117" s="950"/>
      <c r="IQZ117" s="950"/>
      <c r="IRA117" s="950"/>
      <c r="IRB117" s="950"/>
      <c r="IRC117" s="950"/>
      <c r="IRD117" s="950"/>
      <c r="IRE117" s="950"/>
      <c r="IRF117" s="950"/>
      <c r="IRG117" s="950"/>
      <c r="IRH117" s="950"/>
      <c r="IRI117" s="950"/>
      <c r="IRJ117" s="950"/>
      <c r="IRK117" s="950"/>
      <c r="IRL117" s="950"/>
      <c r="IRM117" s="950"/>
      <c r="IRN117" s="950"/>
      <c r="IRO117" s="950"/>
      <c r="IRP117" s="950"/>
      <c r="IRQ117" s="950"/>
      <c r="IRR117" s="950"/>
      <c r="IRS117" s="950"/>
      <c r="IRT117" s="950"/>
      <c r="IRU117" s="950"/>
      <c r="IRV117" s="950"/>
      <c r="IRW117" s="950"/>
      <c r="IRX117" s="950"/>
      <c r="IRY117" s="950"/>
      <c r="IRZ117" s="950"/>
      <c r="ISA117" s="950"/>
      <c r="ISB117" s="950"/>
      <c r="ISC117" s="950"/>
      <c r="ISD117" s="950"/>
      <c r="ISE117" s="950"/>
      <c r="ISF117" s="950"/>
      <c r="ISG117" s="950"/>
      <c r="ISH117" s="950"/>
      <c r="ISI117" s="950"/>
      <c r="ISJ117" s="950"/>
      <c r="ISK117" s="950"/>
      <c r="ISL117" s="950"/>
      <c r="ISM117" s="950"/>
      <c r="ISN117" s="950"/>
      <c r="ISO117" s="950"/>
      <c r="ISP117" s="950"/>
      <c r="ISQ117" s="950"/>
      <c r="ISR117" s="950"/>
      <c r="ISS117" s="950"/>
      <c r="IST117" s="950"/>
      <c r="ISU117" s="950"/>
      <c r="ISV117" s="950"/>
      <c r="ISW117" s="950"/>
      <c r="ISX117" s="950"/>
      <c r="ISY117" s="950"/>
      <c r="ISZ117" s="950"/>
      <c r="ITA117" s="950"/>
      <c r="ITB117" s="950"/>
      <c r="ITC117" s="950"/>
      <c r="ITD117" s="950"/>
      <c r="ITE117" s="950"/>
      <c r="ITF117" s="950"/>
      <c r="ITG117" s="950"/>
      <c r="ITH117" s="950"/>
      <c r="ITI117" s="950"/>
      <c r="ITJ117" s="950"/>
      <c r="ITK117" s="950"/>
      <c r="ITL117" s="950"/>
      <c r="ITM117" s="950"/>
      <c r="ITN117" s="950"/>
      <c r="ITO117" s="950"/>
      <c r="ITP117" s="950"/>
      <c r="ITQ117" s="950"/>
      <c r="ITR117" s="950"/>
      <c r="ITS117" s="950"/>
      <c r="ITT117" s="950"/>
      <c r="ITU117" s="950"/>
      <c r="ITV117" s="950"/>
      <c r="ITW117" s="950"/>
      <c r="ITX117" s="950"/>
      <c r="ITY117" s="950"/>
      <c r="ITZ117" s="950"/>
      <c r="IUA117" s="950"/>
      <c r="IUB117" s="950"/>
      <c r="IUC117" s="950"/>
      <c r="IUD117" s="950"/>
      <c r="IUE117" s="950"/>
      <c r="IUF117" s="950"/>
      <c r="IUG117" s="950"/>
      <c r="IUH117" s="950"/>
      <c r="IUI117" s="950"/>
      <c r="IUJ117" s="950"/>
      <c r="IUK117" s="950"/>
      <c r="IUL117" s="950"/>
      <c r="IUM117" s="950"/>
      <c r="IUN117" s="950"/>
      <c r="IUO117" s="950"/>
      <c r="IUP117" s="950"/>
      <c r="IUQ117" s="950"/>
      <c r="IUR117" s="950"/>
      <c r="IUS117" s="950"/>
      <c r="IUT117" s="950"/>
      <c r="IUU117" s="950"/>
      <c r="IUV117" s="950"/>
      <c r="IUW117" s="950"/>
      <c r="IUX117" s="950"/>
      <c r="IUY117" s="950"/>
      <c r="IUZ117" s="950"/>
      <c r="IVA117" s="950"/>
      <c r="IVB117" s="950"/>
      <c r="IVC117" s="950"/>
      <c r="IVD117" s="950"/>
      <c r="IVE117" s="950"/>
      <c r="IVF117" s="950"/>
      <c r="IVG117" s="950"/>
      <c r="IVH117" s="950"/>
      <c r="IVI117" s="950"/>
      <c r="IVJ117" s="950"/>
      <c r="IVK117" s="950"/>
      <c r="IVL117" s="950"/>
      <c r="IVM117" s="950"/>
      <c r="IVN117" s="950"/>
      <c r="IVO117" s="950"/>
      <c r="IVP117" s="950"/>
      <c r="IVQ117" s="950"/>
      <c r="IVR117" s="950"/>
      <c r="IVS117" s="950"/>
      <c r="IVT117" s="950"/>
      <c r="IVU117" s="950"/>
      <c r="IVV117" s="950"/>
      <c r="IVW117" s="950"/>
      <c r="IVX117" s="950"/>
      <c r="IVY117" s="950"/>
      <c r="IVZ117" s="950"/>
      <c r="IWA117" s="950"/>
      <c r="IWB117" s="950"/>
      <c r="IWC117" s="950"/>
      <c r="IWD117" s="950"/>
      <c r="IWE117" s="950"/>
      <c r="IWF117" s="950"/>
      <c r="IWG117" s="950"/>
      <c r="IWH117" s="950"/>
      <c r="IWI117" s="950"/>
      <c r="IWJ117" s="950"/>
      <c r="IWK117" s="950"/>
      <c r="IWL117" s="950"/>
      <c r="IWM117" s="950"/>
      <c r="IWN117" s="950"/>
      <c r="IWO117" s="950"/>
      <c r="IWP117" s="950"/>
      <c r="IWQ117" s="950"/>
      <c r="IWR117" s="950"/>
      <c r="IWS117" s="950"/>
      <c r="IWT117" s="950"/>
      <c r="IWU117" s="950"/>
      <c r="IWV117" s="950"/>
      <c r="IWW117" s="950"/>
      <c r="IWX117" s="950"/>
      <c r="IWY117" s="950"/>
      <c r="IWZ117" s="950"/>
      <c r="IXA117" s="950"/>
      <c r="IXB117" s="950"/>
      <c r="IXC117" s="950"/>
      <c r="IXD117" s="950"/>
      <c r="IXE117" s="950"/>
      <c r="IXF117" s="950"/>
      <c r="IXG117" s="950"/>
      <c r="IXH117" s="950"/>
      <c r="IXI117" s="950"/>
      <c r="IXJ117" s="950"/>
      <c r="IXK117" s="950"/>
      <c r="IXL117" s="950"/>
      <c r="IXM117" s="950"/>
      <c r="IXN117" s="950"/>
      <c r="IXO117" s="950"/>
      <c r="IXP117" s="950"/>
      <c r="IXQ117" s="950"/>
      <c r="IXR117" s="950"/>
      <c r="IXS117" s="950"/>
      <c r="IXT117" s="950"/>
      <c r="IXU117" s="950"/>
      <c r="IXV117" s="950"/>
      <c r="IXW117" s="950"/>
      <c r="IXX117" s="950"/>
      <c r="IXY117" s="950"/>
      <c r="IXZ117" s="950"/>
      <c r="IYA117" s="950"/>
      <c r="IYB117" s="950"/>
      <c r="IYC117" s="950"/>
      <c r="IYD117" s="950"/>
      <c r="IYE117" s="950"/>
      <c r="IYF117" s="950"/>
      <c r="IYG117" s="950"/>
      <c r="IYH117" s="950"/>
      <c r="IYI117" s="950"/>
      <c r="IYJ117" s="950"/>
      <c r="IYK117" s="950"/>
      <c r="IYL117" s="950"/>
      <c r="IYM117" s="950"/>
      <c r="IYN117" s="950"/>
      <c r="IYO117" s="950"/>
      <c r="IYP117" s="950"/>
      <c r="IYQ117" s="950"/>
      <c r="IYR117" s="950"/>
      <c r="IYS117" s="950"/>
      <c r="IYT117" s="950"/>
      <c r="IYU117" s="950"/>
      <c r="IYV117" s="950"/>
      <c r="IYW117" s="950"/>
      <c r="IYX117" s="950"/>
      <c r="IYY117" s="950"/>
      <c r="IYZ117" s="950"/>
      <c r="IZA117" s="950"/>
      <c r="IZB117" s="950"/>
      <c r="IZC117" s="950"/>
      <c r="IZD117" s="950"/>
      <c r="IZE117" s="950"/>
      <c r="IZF117" s="950"/>
      <c r="IZG117" s="950"/>
      <c r="IZH117" s="950"/>
      <c r="IZI117" s="950"/>
      <c r="IZJ117" s="950"/>
      <c r="IZK117" s="950"/>
      <c r="IZL117" s="950"/>
      <c r="IZM117" s="950"/>
      <c r="IZN117" s="950"/>
      <c r="IZO117" s="950"/>
      <c r="IZP117" s="950"/>
      <c r="IZQ117" s="950"/>
      <c r="IZR117" s="950"/>
      <c r="IZS117" s="950"/>
      <c r="IZT117" s="950"/>
      <c r="IZU117" s="950"/>
      <c r="IZV117" s="950"/>
      <c r="IZW117" s="950"/>
      <c r="IZX117" s="950"/>
      <c r="IZY117" s="950"/>
      <c r="IZZ117" s="950"/>
      <c r="JAA117" s="950"/>
      <c r="JAB117" s="950"/>
      <c r="JAC117" s="950"/>
      <c r="JAD117" s="950"/>
      <c r="JAE117" s="950"/>
      <c r="JAF117" s="950"/>
      <c r="JAG117" s="950"/>
      <c r="JAH117" s="950"/>
      <c r="JAI117" s="950"/>
      <c r="JAJ117" s="950"/>
      <c r="JAK117" s="950"/>
      <c r="JAL117" s="950"/>
      <c r="JAM117" s="950"/>
      <c r="JAN117" s="950"/>
      <c r="JAO117" s="950"/>
      <c r="JAP117" s="950"/>
      <c r="JAQ117" s="950"/>
      <c r="JAR117" s="950"/>
      <c r="JAS117" s="950"/>
      <c r="JAT117" s="950"/>
      <c r="JAU117" s="950"/>
      <c r="JAV117" s="950"/>
      <c r="JAW117" s="950"/>
      <c r="JAX117" s="950"/>
      <c r="JAY117" s="950"/>
      <c r="JAZ117" s="950"/>
      <c r="JBA117" s="950"/>
      <c r="JBB117" s="950"/>
      <c r="JBC117" s="950"/>
      <c r="JBD117" s="950"/>
      <c r="JBE117" s="950"/>
      <c r="JBF117" s="950"/>
      <c r="JBG117" s="950"/>
      <c r="JBH117" s="950"/>
      <c r="JBI117" s="950"/>
      <c r="JBJ117" s="950"/>
      <c r="JBK117" s="950"/>
      <c r="JBL117" s="950"/>
      <c r="JBM117" s="950"/>
      <c r="JBN117" s="950"/>
      <c r="JBO117" s="950"/>
      <c r="JBP117" s="950"/>
      <c r="JBQ117" s="950"/>
      <c r="JBR117" s="950"/>
      <c r="JBS117" s="950"/>
      <c r="JBT117" s="950"/>
      <c r="JBU117" s="950"/>
      <c r="JBV117" s="950"/>
      <c r="JBW117" s="950"/>
      <c r="JBX117" s="950"/>
      <c r="JBY117" s="950"/>
      <c r="JBZ117" s="950"/>
      <c r="JCA117" s="950"/>
      <c r="JCB117" s="950"/>
      <c r="JCC117" s="950"/>
      <c r="JCD117" s="950"/>
      <c r="JCE117" s="950"/>
      <c r="JCF117" s="950"/>
      <c r="JCG117" s="950"/>
      <c r="JCH117" s="950"/>
      <c r="JCI117" s="950"/>
      <c r="JCJ117" s="950"/>
      <c r="JCK117" s="950"/>
      <c r="JCL117" s="950"/>
      <c r="JCM117" s="950"/>
      <c r="JCN117" s="950"/>
      <c r="JCO117" s="950"/>
      <c r="JCP117" s="950"/>
      <c r="JCQ117" s="950"/>
      <c r="JCR117" s="950"/>
      <c r="JCS117" s="950"/>
      <c r="JCT117" s="950"/>
      <c r="JCU117" s="950"/>
      <c r="JCV117" s="950"/>
      <c r="JCW117" s="950"/>
      <c r="JCX117" s="950"/>
      <c r="JCY117" s="950"/>
      <c r="JCZ117" s="950"/>
      <c r="JDA117" s="950"/>
      <c r="JDB117" s="950"/>
      <c r="JDC117" s="950"/>
      <c r="JDD117" s="950"/>
      <c r="JDE117" s="950"/>
      <c r="JDF117" s="950"/>
      <c r="JDG117" s="950"/>
      <c r="JDH117" s="950"/>
      <c r="JDI117" s="950"/>
      <c r="JDJ117" s="950"/>
      <c r="JDK117" s="950"/>
      <c r="JDL117" s="950"/>
      <c r="JDM117" s="950"/>
      <c r="JDN117" s="950"/>
      <c r="JDO117" s="950"/>
      <c r="JDP117" s="950"/>
      <c r="JDQ117" s="950"/>
      <c r="JDR117" s="950"/>
      <c r="JDS117" s="950"/>
      <c r="JDT117" s="950"/>
      <c r="JDU117" s="950"/>
      <c r="JDV117" s="950"/>
      <c r="JDW117" s="950"/>
      <c r="JDX117" s="950"/>
      <c r="JDY117" s="950"/>
      <c r="JDZ117" s="950"/>
      <c r="JEA117" s="950"/>
      <c r="JEB117" s="950"/>
      <c r="JEC117" s="950"/>
      <c r="JED117" s="950"/>
      <c r="JEE117" s="950"/>
      <c r="JEF117" s="950"/>
      <c r="JEG117" s="950"/>
      <c r="JEH117" s="950"/>
      <c r="JEI117" s="950"/>
      <c r="JEJ117" s="950"/>
      <c r="JEK117" s="950"/>
      <c r="JEL117" s="950"/>
      <c r="JEM117" s="950"/>
      <c r="JEN117" s="950"/>
      <c r="JEO117" s="950"/>
      <c r="JEP117" s="950"/>
      <c r="JEQ117" s="950"/>
      <c r="JER117" s="950"/>
      <c r="JES117" s="950"/>
      <c r="JET117" s="950"/>
      <c r="JEU117" s="950"/>
      <c r="JEV117" s="950"/>
      <c r="JEW117" s="950"/>
      <c r="JEX117" s="950"/>
      <c r="JEY117" s="950"/>
      <c r="JEZ117" s="950"/>
      <c r="JFA117" s="950"/>
      <c r="JFB117" s="950"/>
      <c r="JFC117" s="950"/>
      <c r="JFD117" s="950"/>
      <c r="JFE117" s="950"/>
      <c r="JFF117" s="950"/>
      <c r="JFG117" s="950"/>
      <c r="JFH117" s="950"/>
      <c r="JFI117" s="950"/>
      <c r="JFJ117" s="950"/>
      <c r="JFK117" s="950"/>
      <c r="JFL117" s="950"/>
      <c r="JFM117" s="950"/>
      <c r="JFN117" s="950"/>
      <c r="JFO117" s="950"/>
      <c r="JFP117" s="950"/>
      <c r="JFQ117" s="950"/>
      <c r="JFR117" s="950"/>
      <c r="JFS117" s="950"/>
      <c r="JFT117" s="950"/>
      <c r="JFU117" s="950"/>
      <c r="JFV117" s="950"/>
      <c r="JFW117" s="950"/>
      <c r="JFX117" s="950"/>
      <c r="JFY117" s="950"/>
      <c r="JFZ117" s="950"/>
      <c r="JGA117" s="950"/>
      <c r="JGB117" s="950"/>
      <c r="JGC117" s="950"/>
      <c r="JGD117" s="950"/>
      <c r="JGE117" s="950"/>
      <c r="JGF117" s="950"/>
      <c r="JGG117" s="950"/>
      <c r="JGH117" s="950"/>
      <c r="JGI117" s="950"/>
      <c r="JGJ117" s="950"/>
      <c r="JGK117" s="950"/>
      <c r="JGL117" s="950"/>
      <c r="JGM117" s="950"/>
      <c r="JGN117" s="950"/>
      <c r="JGO117" s="950"/>
      <c r="JGP117" s="950"/>
      <c r="JGQ117" s="950"/>
      <c r="JGR117" s="950"/>
      <c r="JGS117" s="950"/>
      <c r="JGT117" s="950"/>
      <c r="JGU117" s="950"/>
      <c r="JGV117" s="950"/>
      <c r="JGW117" s="950"/>
      <c r="JGX117" s="950"/>
      <c r="JGY117" s="950"/>
      <c r="JGZ117" s="950"/>
      <c r="JHA117" s="950"/>
      <c r="JHB117" s="950"/>
      <c r="JHC117" s="950"/>
      <c r="JHD117" s="950"/>
      <c r="JHE117" s="950"/>
      <c r="JHF117" s="950"/>
      <c r="JHG117" s="950"/>
      <c r="JHH117" s="950"/>
      <c r="JHI117" s="950"/>
      <c r="JHJ117" s="950"/>
      <c r="JHK117" s="950"/>
      <c r="JHL117" s="950"/>
      <c r="JHM117" s="950"/>
      <c r="JHN117" s="950"/>
      <c r="JHO117" s="950"/>
      <c r="JHP117" s="950"/>
      <c r="JHQ117" s="950"/>
      <c r="JHR117" s="950"/>
      <c r="JHS117" s="950"/>
      <c r="JHT117" s="950"/>
      <c r="JHU117" s="950"/>
      <c r="JHV117" s="950"/>
      <c r="JHW117" s="950"/>
      <c r="JHX117" s="950"/>
      <c r="JHY117" s="950"/>
      <c r="JHZ117" s="950"/>
      <c r="JIA117" s="950"/>
      <c r="JIB117" s="950"/>
      <c r="JIC117" s="950"/>
      <c r="JID117" s="950"/>
      <c r="JIE117" s="950"/>
      <c r="JIF117" s="950"/>
      <c r="JIG117" s="950"/>
      <c r="JIH117" s="950"/>
      <c r="JII117" s="950"/>
      <c r="JIJ117" s="950"/>
      <c r="JIK117" s="950"/>
      <c r="JIL117" s="950"/>
      <c r="JIM117" s="950"/>
      <c r="JIN117" s="950"/>
      <c r="JIO117" s="950"/>
      <c r="JIP117" s="950"/>
      <c r="JIQ117" s="950"/>
      <c r="JIR117" s="950"/>
      <c r="JIS117" s="950"/>
      <c r="JIT117" s="950"/>
      <c r="JIU117" s="950"/>
      <c r="JIV117" s="950"/>
      <c r="JIW117" s="950"/>
      <c r="JIX117" s="950"/>
      <c r="JIY117" s="950"/>
      <c r="JIZ117" s="950"/>
      <c r="JJA117" s="950"/>
      <c r="JJB117" s="950"/>
      <c r="JJC117" s="950"/>
      <c r="JJD117" s="950"/>
      <c r="JJE117" s="950"/>
      <c r="JJF117" s="950"/>
      <c r="JJG117" s="950"/>
      <c r="JJH117" s="950"/>
      <c r="JJI117" s="950"/>
      <c r="JJJ117" s="950"/>
      <c r="JJK117" s="950"/>
      <c r="JJL117" s="950"/>
      <c r="JJM117" s="950"/>
      <c r="JJN117" s="950"/>
      <c r="JJO117" s="950"/>
      <c r="JJP117" s="950"/>
      <c r="JJQ117" s="950"/>
      <c r="JJR117" s="950"/>
      <c r="JJS117" s="950"/>
      <c r="JJT117" s="950"/>
      <c r="JJU117" s="950"/>
      <c r="JJV117" s="950"/>
      <c r="JJW117" s="950"/>
      <c r="JJX117" s="950"/>
      <c r="JJY117" s="950"/>
      <c r="JJZ117" s="950"/>
      <c r="JKA117" s="950"/>
      <c r="JKB117" s="950"/>
      <c r="JKC117" s="950"/>
      <c r="JKD117" s="950"/>
      <c r="JKE117" s="950"/>
      <c r="JKF117" s="950"/>
      <c r="JKG117" s="950"/>
      <c r="JKH117" s="950"/>
      <c r="JKI117" s="950"/>
      <c r="JKJ117" s="950"/>
      <c r="JKK117" s="950"/>
      <c r="JKL117" s="950"/>
      <c r="JKM117" s="950"/>
      <c r="JKN117" s="950"/>
      <c r="JKO117" s="950"/>
      <c r="JKP117" s="950"/>
      <c r="JKQ117" s="950"/>
      <c r="JKR117" s="950"/>
      <c r="JKS117" s="950"/>
      <c r="JKT117" s="950"/>
      <c r="JKU117" s="950"/>
      <c r="JKV117" s="950"/>
      <c r="JKW117" s="950"/>
      <c r="JKX117" s="950"/>
      <c r="JKY117" s="950"/>
      <c r="JKZ117" s="950"/>
      <c r="JLA117" s="950"/>
      <c r="JLB117" s="950"/>
      <c r="JLC117" s="950"/>
      <c r="JLD117" s="950"/>
      <c r="JLE117" s="950"/>
      <c r="JLF117" s="950"/>
      <c r="JLG117" s="950"/>
      <c r="JLH117" s="950"/>
      <c r="JLI117" s="950"/>
      <c r="JLJ117" s="950"/>
      <c r="JLK117" s="950"/>
      <c r="JLL117" s="950"/>
      <c r="JLM117" s="950"/>
      <c r="JLN117" s="950"/>
      <c r="JLO117" s="950"/>
      <c r="JLP117" s="950"/>
      <c r="JLQ117" s="950"/>
      <c r="JLR117" s="950"/>
      <c r="JLS117" s="950"/>
      <c r="JLT117" s="950"/>
      <c r="JLU117" s="950"/>
      <c r="JLV117" s="950"/>
      <c r="JLW117" s="950"/>
      <c r="JLX117" s="950"/>
      <c r="JLY117" s="950"/>
      <c r="JLZ117" s="950"/>
      <c r="JMA117" s="950"/>
      <c r="JMB117" s="950"/>
      <c r="JMC117" s="950"/>
      <c r="JMD117" s="950"/>
      <c r="JME117" s="950"/>
      <c r="JMF117" s="950"/>
      <c r="JMG117" s="950"/>
      <c r="JMH117" s="950"/>
      <c r="JMI117" s="950"/>
      <c r="JMJ117" s="950"/>
      <c r="JMK117" s="950"/>
      <c r="JML117" s="950"/>
      <c r="JMM117" s="950"/>
      <c r="JMN117" s="950"/>
      <c r="JMO117" s="950"/>
      <c r="JMP117" s="950"/>
      <c r="JMQ117" s="950"/>
      <c r="JMR117" s="950"/>
      <c r="JMS117" s="950"/>
      <c r="JMT117" s="950"/>
      <c r="JMU117" s="950"/>
      <c r="JMV117" s="950"/>
      <c r="JMW117" s="950"/>
      <c r="JMX117" s="950"/>
      <c r="JMY117" s="950"/>
      <c r="JMZ117" s="950"/>
      <c r="JNA117" s="950"/>
      <c r="JNB117" s="950"/>
      <c r="JNC117" s="950"/>
      <c r="JND117" s="950"/>
      <c r="JNE117" s="950"/>
      <c r="JNF117" s="950"/>
      <c r="JNG117" s="950"/>
      <c r="JNH117" s="950"/>
      <c r="JNI117" s="950"/>
      <c r="JNJ117" s="950"/>
      <c r="JNK117" s="950"/>
      <c r="JNL117" s="950"/>
      <c r="JNM117" s="950"/>
      <c r="JNN117" s="950"/>
      <c r="JNO117" s="950"/>
      <c r="JNP117" s="950"/>
      <c r="JNQ117" s="950"/>
      <c r="JNR117" s="950"/>
      <c r="JNS117" s="950"/>
      <c r="JNT117" s="950"/>
      <c r="JNU117" s="950"/>
      <c r="JNV117" s="950"/>
      <c r="JNW117" s="950"/>
      <c r="JNX117" s="950"/>
      <c r="JNY117" s="950"/>
      <c r="JNZ117" s="950"/>
      <c r="JOA117" s="950"/>
      <c r="JOB117" s="950"/>
      <c r="JOC117" s="950"/>
      <c r="JOD117" s="950"/>
      <c r="JOE117" s="950"/>
      <c r="JOF117" s="950"/>
      <c r="JOG117" s="950"/>
      <c r="JOH117" s="950"/>
      <c r="JOI117" s="950"/>
      <c r="JOJ117" s="950"/>
      <c r="JOK117" s="950"/>
      <c r="JOL117" s="950"/>
      <c r="JOM117" s="950"/>
      <c r="JON117" s="950"/>
      <c r="JOO117" s="950"/>
      <c r="JOP117" s="950"/>
      <c r="JOQ117" s="950"/>
      <c r="JOR117" s="950"/>
      <c r="JOS117" s="950"/>
      <c r="JOT117" s="950"/>
      <c r="JOU117" s="950"/>
      <c r="JOV117" s="950"/>
      <c r="JOW117" s="950"/>
      <c r="JOX117" s="950"/>
      <c r="JOY117" s="950"/>
      <c r="JOZ117" s="950"/>
      <c r="JPA117" s="950"/>
      <c r="JPB117" s="950"/>
      <c r="JPC117" s="950"/>
      <c r="JPD117" s="950"/>
      <c r="JPE117" s="950"/>
      <c r="JPF117" s="950"/>
      <c r="JPG117" s="950"/>
      <c r="JPH117" s="950"/>
      <c r="JPI117" s="950"/>
      <c r="JPJ117" s="950"/>
      <c r="JPK117" s="950"/>
      <c r="JPL117" s="950"/>
      <c r="JPM117" s="950"/>
      <c r="JPN117" s="950"/>
      <c r="JPO117" s="950"/>
      <c r="JPP117" s="950"/>
      <c r="JPQ117" s="950"/>
      <c r="JPR117" s="950"/>
      <c r="JPS117" s="950"/>
      <c r="JPT117" s="950"/>
      <c r="JPU117" s="950"/>
      <c r="JPV117" s="950"/>
      <c r="JPW117" s="950"/>
      <c r="JPX117" s="950"/>
      <c r="JPY117" s="950"/>
      <c r="JPZ117" s="950"/>
      <c r="JQA117" s="950"/>
      <c r="JQB117" s="950"/>
      <c r="JQC117" s="950"/>
      <c r="JQD117" s="950"/>
      <c r="JQE117" s="950"/>
      <c r="JQF117" s="950"/>
      <c r="JQG117" s="950"/>
      <c r="JQH117" s="950"/>
      <c r="JQI117" s="950"/>
      <c r="JQJ117" s="950"/>
      <c r="JQK117" s="950"/>
      <c r="JQL117" s="950"/>
      <c r="JQM117" s="950"/>
      <c r="JQN117" s="950"/>
      <c r="JQO117" s="950"/>
      <c r="JQP117" s="950"/>
      <c r="JQQ117" s="950"/>
      <c r="JQR117" s="950"/>
      <c r="JQS117" s="950"/>
      <c r="JQT117" s="950"/>
      <c r="JQU117" s="950"/>
      <c r="JQV117" s="950"/>
      <c r="JQW117" s="950"/>
      <c r="JQX117" s="950"/>
      <c r="JQY117" s="950"/>
      <c r="JQZ117" s="950"/>
      <c r="JRA117" s="950"/>
      <c r="JRB117" s="950"/>
      <c r="JRC117" s="950"/>
      <c r="JRD117" s="950"/>
      <c r="JRE117" s="950"/>
      <c r="JRF117" s="950"/>
      <c r="JRG117" s="950"/>
      <c r="JRH117" s="950"/>
      <c r="JRI117" s="950"/>
      <c r="JRJ117" s="950"/>
      <c r="JRK117" s="950"/>
      <c r="JRL117" s="950"/>
      <c r="JRM117" s="950"/>
      <c r="JRN117" s="950"/>
      <c r="JRO117" s="950"/>
      <c r="JRP117" s="950"/>
      <c r="JRQ117" s="950"/>
      <c r="JRR117" s="950"/>
      <c r="JRS117" s="950"/>
      <c r="JRT117" s="950"/>
      <c r="JRU117" s="950"/>
      <c r="JRV117" s="950"/>
      <c r="JRW117" s="950"/>
      <c r="JRX117" s="950"/>
      <c r="JRY117" s="950"/>
      <c r="JRZ117" s="950"/>
      <c r="JSA117" s="950"/>
      <c r="JSB117" s="950"/>
      <c r="JSC117" s="950"/>
      <c r="JSD117" s="950"/>
      <c r="JSE117" s="950"/>
      <c r="JSF117" s="950"/>
      <c r="JSG117" s="950"/>
      <c r="JSH117" s="950"/>
      <c r="JSI117" s="950"/>
      <c r="JSJ117" s="950"/>
      <c r="JSK117" s="950"/>
      <c r="JSL117" s="950"/>
      <c r="JSM117" s="950"/>
      <c r="JSN117" s="950"/>
      <c r="JSO117" s="950"/>
      <c r="JSP117" s="950"/>
      <c r="JSQ117" s="950"/>
      <c r="JSR117" s="950"/>
      <c r="JSS117" s="950"/>
      <c r="JST117" s="950"/>
      <c r="JSU117" s="950"/>
      <c r="JSV117" s="950"/>
      <c r="JSW117" s="950"/>
      <c r="JSX117" s="950"/>
      <c r="JSY117" s="950"/>
      <c r="JSZ117" s="950"/>
      <c r="JTA117" s="950"/>
      <c r="JTB117" s="950"/>
      <c r="JTC117" s="950"/>
      <c r="JTD117" s="950"/>
      <c r="JTE117" s="950"/>
      <c r="JTF117" s="950"/>
      <c r="JTG117" s="950"/>
      <c r="JTH117" s="950"/>
      <c r="JTI117" s="950"/>
      <c r="JTJ117" s="950"/>
      <c r="JTK117" s="950"/>
      <c r="JTL117" s="950"/>
      <c r="JTM117" s="950"/>
      <c r="JTN117" s="950"/>
      <c r="JTO117" s="950"/>
      <c r="JTP117" s="950"/>
      <c r="JTQ117" s="950"/>
      <c r="JTR117" s="950"/>
      <c r="JTS117" s="950"/>
      <c r="JTT117" s="950"/>
      <c r="JTU117" s="950"/>
      <c r="JTV117" s="950"/>
      <c r="JTW117" s="950"/>
      <c r="JTX117" s="950"/>
      <c r="JTY117" s="950"/>
      <c r="JTZ117" s="950"/>
      <c r="JUA117" s="950"/>
      <c r="JUB117" s="950"/>
      <c r="JUC117" s="950"/>
      <c r="JUD117" s="950"/>
      <c r="JUE117" s="950"/>
      <c r="JUF117" s="950"/>
      <c r="JUG117" s="950"/>
      <c r="JUH117" s="950"/>
      <c r="JUI117" s="950"/>
      <c r="JUJ117" s="950"/>
      <c r="JUK117" s="950"/>
      <c r="JUL117" s="950"/>
      <c r="JUM117" s="950"/>
      <c r="JUN117" s="950"/>
      <c r="JUO117" s="950"/>
      <c r="JUP117" s="950"/>
      <c r="JUQ117" s="950"/>
      <c r="JUR117" s="950"/>
      <c r="JUS117" s="950"/>
      <c r="JUT117" s="950"/>
      <c r="JUU117" s="950"/>
      <c r="JUV117" s="950"/>
      <c r="JUW117" s="950"/>
      <c r="JUX117" s="950"/>
      <c r="JUY117" s="950"/>
      <c r="JUZ117" s="950"/>
      <c r="JVA117" s="950"/>
      <c r="JVB117" s="950"/>
      <c r="JVC117" s="950"/>
      <c r="JVD117" s="950"/>
      <c r="JVE117" s="950"/>
      <c r="JVF117" s="950"/>
      <c r="JVG117" s="950"/>
      <c r="JVH117" s="950"/>
      <c r="JVI117" s="950"/>
      <c r="JVJ117" s="950"/>
      <c r="JVK117" s="950"/>
      <c r="JVL117" s="950"/>
      <c r="JVM117" s="950"/>
      <c r="JVN117" s="950"/>
      <c r="JVO117" s="950"/>
      <c r="JVP117" s="950"/>
      <c r="JVQ117" s="950"/>
      <c r="JVR117" s="950"/>
      <c r="JVS117" s="950"/>
      <c r="JVT117" s="950"/>
      <c r="JVU117" s="950"/>
      <c r="JVV117" s="950"/>
      <c r="JVW117" s="950"/>
      <c r="JVX117" s="950"/>
      <c r="JVY117" s="950"/>
      <c r="JVZ117" s="950"/>
      <c r="JWA117" s="950"/>
      <c r="JWB117" s="950"/>
      <c r="JWC117" s="950"/>
      <c r="JWD117" s="950"/>
      <c r="JWE117" s="950"/>
      <c r="JWF117" s="950"/>
      <c r="JWG117" s="950"/>
      <c r="JWH117" s="950"/>
      <c r="JWI117" s="950"/>
      <c r="JWJ117" s="950"/>
      <c r="JWK117" s="950"/>
      <c r="JWL117" s="950"/>
      <c r="JWM117" s="950"/>
      <c r="JWN117" s="950"/>
      <c r="JWO117" s="950"/>
      <c r="JWP117" s="950"/>
      <c r="JWQ117" s="950"/>
      <c r="JWR117" s="950"/>
      <c r="JWS117" s="950"/>
      <c r="JWT117" s="950"/>
      <c r="JWU117" s="950"/>
      <c r="JWV117" s="950"/>
      <c r="JWW117" s="950"/>
      <c r="JWX117" s="950"/>
      <c r="JWY117" s="950"/>
      <c r="JWZ117" s="950"/>
      <c r="JXA117" s="950"/>
      <c r="JXB117" s="950"/>
      <c r="JXC117" s="950"/>
      <c r="JXD117" s="950"/>
      <c r="JXE117" s="950"/>
      <c r="JXF117" s="950"/>
      <c r="JXG117" s="950"/>
      <c r="JXH117" s="950"/>
      <c r="JXI117" s="950"/>
      <c r="JXJ117" s="950"/>
      <c r="JXK117" s="950"/>
      <c r="JXL117" s="950"/>
      <c r="JXM117" s="950"/>
      <c r="JXN117" s="950"/>
      <c r="JXO117" s="950"/>
      <c r="JXP117" s="950"/>
      <c r="JXQ117" s="950"/>
      <c r="JXR117" s="950"/>
      <c r="JXS117" s="950"/>
      <c r="JXT117" s="950"/>
      <c r="JXU117" s="950"/>
      <c r="JXV117" s="950"/>
      <c r="JXW117" s="950"/>
      <c r="JXX117" s="950"/>
      <c r="JXY117" s="950"/>
      <c r="JXZ117" s="950"/>
      <c r="JYA117" s="950"/>
      <c r="JYB117" s="950"/>
      <c r="JYC117" s="950"/>
      <c r="JYD117" s="950"/>
      <c r="JYE117" s="950"/>
      <c r="JYF117" s="950"/>
      <c r="JYG117" s="950"/>
      <c r="JYH117" s="950"/>
      <c r="JYI117" s="950"/>
      <c r="JYJ117" s="950"/>
      <c r="JYK117" s="950"/>
      <c r="JYL117" s="950"/>
      <c r="JYM117" s="950"/>
      <c r="JYN117" s="950"/>
      <c r="JYO117" s="950"/>
      <c r="JYP117" s="950"/>
      <c r="JYQ117" s="950"/>
      <c r="JYR117" s="950"/>
      <c r="JYS117" s="950"/>
      <c r="JYT117" s="950"/>
      <c r="JYU117" s="950"/>
      <c r="JYV117" s="950"/>
      <c r="JYW117" s="950"/>
      <c r="JYX117" s="950"/>
      <c r="JYY117" s="950"/>
      <c r="JYZ117" s="950"/>
      <c r="JZA117" s="950"/>
      <c r="JZB117" s="950"/>
      <c r="JZC117" s="950"/>
      <c r="JZD117" s="950"/>
      <c r="JZE117" s="950"/>
      <c r="JZF117" s="950"/>
      <c r="JZG117" s="950"/>
      <c r="JZH117" s="950"/>
      <c r="JZI117" s="950"/>
      <c r="JZJ117" s="950"/>
      <c r="JZK117" s="950"/>
      <c r="JZL117" s="950"/>
      <c r="JZM117" s="950"/>
      <c r="JZN117" s="950"/>
      <c r="JZO117" s="950"/>
      <c r="JZP117" s="950"/>
      <c r="JZQ117" s="950"/>
      <c r="JZR117" s="950"/>
      <c r="JZS117" s="950"/>
      <c r="JZT117" s="950"/>
      <c r="JZU117" s="950"/>
      <c r="JZV117" s="950"/>
      <c r="JZW117" s="950"/>
      <c r="JZX117" s="950"/>
      <c r="JZY117" s="950"/>
      <c r="JZZ117" s="950"/>
      <c r="KAA117" s="950"/>
      <c r="KAB117" s="950"/>
      <c r="KAC117" s="950"/>
      <c r="KAD117" s="950"/>
      <c r="KAE117" s="950"/>
      <c r="KAF117" s="950"/>
      <c r="KAG117" s="950"/>
      <c r="KAH117" s="950"/>
      <c r="KAI117" s="950"/>
      <c r="KAJ117" s="950"/>
      <c r="KAK117" s="950"/>
      <c r="KAL117" s="950"/>
      <c r="KAM117" s="950"/>
      <c r="KAN117" s="950"/>
      <c r="KAO117" s="950"/>
      <c r="KAP117" s="950"/>
      <c r="KAQ117" s="950"/>
      <c r="KAR117" s="950"/>
      <c r="KAS117" s="950"/>
      <c r="KAT117" s="950"/>
      <c r="KAU117" s="950"/>
      <c r="KAV117" s="950"/>
      <c r="KAW117" s="950"/>
      <c r="KAX117" s="950"/>
      <c r="KAY117" s="950"/>
      <c r="KAZ117" s="950"/>
      <c r="KBA117" s="950"/>
      <c r="KBB117" s="950"/>
      <c r="KBC117" s="950"/>
      <c r="KBD117" s="950"/>
      <c r="KBE117" s="950"/>
      <c r="KBF117" s="950"/>
      <c r="KBG117" s="950"/>
      <c r="KBH117" s="950"/>
      <c r="KBI117" s="950"/>
      <c r="KBJ117" s="950"/>
      <c r="KBK117" s="950"/>
      <c r="KBL117" s="950"/>
      <c r="KBM117" s="950"/>
      <c r="KBN117" s="950"/>
      <c r="KBO117" s="950"/>
      <c r="KBP117" s="950"/>
      <c r="KBQ117" s="950"/>
      <c r="KBR117" s="950"/>
      <c r="KBS117" s="950"/>
      <c r="KBT117" s="950"/>
      <c r="KBU117" s="950"/>
      <c r="KBV117" s="950"/>
      <c r="KBW117" s="950"/>
      <c r="KBX117" s="950"/>
      <c r="KBY117" s="950"/>
      <c r="KBZ117" s="950"/>
      <c r="KCA117" s="950"/>
      <c r="KCB117" s="950"/>
      <c r="KCC117" s="950"/>
      <c r="KCD117" s="950"/>
      <c r="KCE117" s="950"/>
      <c r="KCF117" s="950"/>
      <c r="KCG117" s="950"/>
      <c r="KCH117" s="950"/>
      <c r="KCI117" s="950"/>
      <c r="KCJ117" s="950"/>
      <c r="KCK117" s="950"/>
      <c r="KCL117" s="950"/>
      <c r="KCM117" s="950"/>
      <c r="KCN117" s="950"/>
      <c r="KCO117" s="950"/>
      <c r="KCP117" s="950"/>
      <c r="KCQ117" s="950"/>
      <c r="KCR117" s="950"/>
      <c r="KCS117" s="950"/>
      <c r="KCT117" s="950"/>
      <c r="KCU117" s="950"/>
      <c r="KCV117" s="950"/>
      <c r="KCW117" s="950"/>
      <c r="KCX117" s="950"/>
      <c r="KCY117" s="950"/>
      <c r="KCZ117" s="950"/>
      <c r="KDA117" s="950"/>
      <c r="KDB117" s="950"/>
      <c r="KDC117" s="950"/>
      <c r="KDD117" s="950"/>
      <c r="KDE117" s="950"/>
      <c r="KDF117" s="950"/>
      <c r="KDG117" s="950"/>
      <c r="KDH117" s="950"/>
      <c r="KDI117" s="950"/>
      <c r="KDJ117" s="950"/>
      <c r="KDK117" s="950"/>
      <c r="KDL117" s="950"/>
      <c r="KDM117" s="950"/>
      <c r="KDN117" s="950"/>
      <c r="KDO117" s="950"/>
      <c r="KDP117" s="950"/>
      <c r="KDQ117" s="950"/>
      <c r="KDR117" s="950"/>
      <c r="KDS117" s="950"/>
      <c r="KDT117" s="950"/>
      <c r="KDU117" s="950"/>
      <c r="KDV117" s="950"/>
      <c r="KDW117" s="950"/>
      <c r="KDX117" s="950"/>
      <c r="KDY117" s="950"/>
      <c r="KDZ117" s="950"/>
      <c r="KEA117" s="950"/>
      <c r="KEB117" s="950"/>
      <c r="KEC117" s="950"/>
      <c r="KED117" s="950"/>
      <c r="KEE117" s="950"/>
      <c r="KEF117" s="950"/>
      <c r="KEG117" s="950"/>
      <c r="KEH117" s="950"/>
      <c r="KEI117" s="950"/>
      <c r="KEJ117" s="950"/>
      <c r="KEK117" s="950"/>
      <c r="KEL117" s="950"/>
      <c r="KEM117" s="950"/>
      <c r="KEN117" s="950"/>
      <c r="KEO117" s="950"/>
      <c r="KEP117" s="950"/>
      <c r="KEQ117" s="950"/>
      <c r="KER117" s="950"/>
      <c r="KES117" s="950"/>
      <c r="KET117" s="950"/>
      <c r="KEU117" s="950"/>
      <c r="KEV117" s="950"/>
      <c r="KEW117" s="950"/>
      <c r="KEX117" s="950"/>
      <c r="KEY117" s="950"/>
      <c r="KEZ117" s="950"/>
      <c r="KFA117" s="950"/>
      <c r="KFB117" s="950"/>
      <c r="KFC117" s="950"/>
      <c r="KFD117" s="950"/>
      <c r="KFE117" s="950"/>
      <c r="KFF117" s="950"/>
      <c r="KFG117" s="950"/>
      <c r="KFH117" s="950"/>
      <c r="KFI117" s="950"/>
      <c r="KFJ117" s="950"/>
      <c r="KFK117" s="950"/>
      <c r="KFL117" s="950"/>
      <c r="KFM117" s="950"/>
      <c r="KFN117" s="950"/>
      <c r="KFO117" s="950"/>
      <c r="KFP117" s="950"/>
      <c r="KFQ117" s="950"/>
      <c r="KFR117" s="950"/>
      <c r="KFS117" s="950"/>
      <c r="KFT117" s="950"/>
      <c r="KFU117" s="950"/>
      <c r="KFV117" s="950"/>
      <c r="KFW117" s="950"/>
      <c r="KFX117" s="950"/>
      <c r="KFY117" s="950"/>
      <c r="KFZ117" s="950"/>
      <c r="KGA117" s="950"/>
      <c r="KGB117" s="950"/>
      <c r="KGC117" s="950"/>
      <c r="KGD117" s="950"/>
      <c r="KGE117" s="950"/>
      <c r="KGF117" s="950"/>
      <c r="KGG117" s="950"/>
      <c r="KGH117" s="950"/>
      <c r="KGI117" s="950"/>
      <c r="KGJ117" s="950"/>
      <c r="KGK117" s="950"/>
      <c r="KGL117" s="950"/>
      <c r="KGM117" s="950"/>
      <c r="KGN117" s="950"/>
      <c r="KGO117" s="950"/>
      <c r="KGP117" s="950"/>
      <c r="KGQ117" s="950"/>
      <c r="KGR117" s="950"/>
      <c r="KGS117" s="950"/>
      <c r="KGT117" s="950"/>
      <c r="KGU117" s="950"/>
      <c r="KGV117" s="950"/>
      <c r="KGW117" s="950"/>
      <c r="KGX117" s="950"/>
      <c r="KGY117" s="950"/>
      <c r="KGZ117" s="950"/>
      <c r="KHA117" s="950"/>
      <c r="KHB117" s="950"/>
      <c r="KHC117" s="950"/>
      <c r="KHD117" s="950"/>
      <c r="KHE117" s="950"/>
      <c r="KHF117" s="950"/>
      <c r="KHG117" s="950"/>
      <c r="KHH117" s="950"/>
      <c r="KHI117" s="950"/>
      <c r="KHJ117" s="950"/>
      <c r="KHK117" s="950"/>
      <c r="KHL117" s="950"/>
      <c r="KHM117" s="950"/>
      <c r="KHN117" s="950"/>
      <c r="KHO117" s="950"/>
      <c r="KHP117" s="950"/>
      <c r="KHQ117" s="950"/>
      <c r="KHR117" s="950"/>
      <c r="KHS117" s="950"/>
      <c r="KHT117" s="950"/>
      <c r="KHU117" s="950"/>
      <c r="KHV117" s="950"/>
      <c r="KHW117" s="950"/>
      <c r="KHX117" s="950"/>
      <c r="KHY117" s="950"/>
      <c r="KHZ117" s="950"/>
      <c r="KIA117" s="950"/>
      <c r="KIB117" s="950"/>
      <c r="KIC117" s="950"/>
      <c r="KID117" s="950"/>
      <c r="KIE117" s="950"/>
      <c r="KIF117" s="950"/>
      <c r="KIG117" s="950"/>
      <c r="KIH117" s="950"/>
      <c r="KII117" s="950"/>
      <c r="KIJ117" s="950"/>
      <c r="KIK117" s="950"/>
      <c r="KIL117" s="950"/>
      <c r="KIM117" s="950"/>
      <c r="KIN117" s="950"/>
      <c r="KIO117" s="950"/>
      <c r="KIP117" s="950"/>
      <c r="KIQ117" s="950"/>
      <c r="KIR117" s="950"/>
      <c r="KIS117" s="950"/>
      <c r="KIT117" s="950"/>
      <c r="KIU117" s="950"/>
      <c r="KIV117" s="950"/>
      <c r="KIW117" s="950"/>
      <c r="KIX117" s="950"/>
      <c r="KIY117" s="950"/>
      <c r="KIZ117" s="950"/>
      <c r="KJA117" s="950"/>
      <c r="KJB117" s="950"/>
      <c r="KJC117" s="950"/>
      <c r="KJD117" s="950"/>
      <c r="KJE117" s="950"/>
      <c r="KJF117" s="950"/>
      <c r="KJG117" s="950"/>
      <c r="KJH117" s="950"/>
      <c r="KJI117" s="950"/>
      <c r="KJJ117" s="950"/>
      <c r="KJK117" s="950"/>
      <c r="KJL117" s="950"/>
      <c r="KJM117" s="950"/>
      <c r="KJN117" s="950"/>
      <c r="KJO117" s="950"/>
      <c r="KJP117" s="950"/>
      <c r="KJQ117" s="950"/>
      <c r="KJR117" s="950"/>
      <c r="KJS117" s="950"/>
      <c r="KJT117" s="950"/>
      <c r="KJU117" s="950"/>
      <c r="KJV117" s="950"/>
      <c r="KJW117" s="950"/>
      <c r="KJX117" s="950"/>
      <c r="KJY117" s="950"/>
      <c r="KJZ117" s="950"/>
      <c r="KKA117" s="950"/>
      <c r="KKB117" s="950"/>
      <c r="KKC117" s="950"/>
      <c r="KKD117" s="950"/>
      <c r="KKE117" s="950"/>
      <c r="KKF117" s="950"/>
      <c r="KKG117" s="950"/>
      <c r="KKH117" s="950"/>
      <c r="KKI117" s="950"/>
      <c r="KKJ117" s="950"/>
      <c r="KKK117" s="950"/>
      <c r="KKL117" s="950"/>
      <c r="KKM117" s="950"/>
      <c r="KKN117" s="950"/>
      <c r="KKO117" s="950"/>
      <c r="KKP117" s="950"/>
      <c r="KKQ117" s="950"/>
      <c r="KKR117" s="950"/>
      <c r="KKS117" s="950"/>
      <c r="KKT117" s="950"/>
      <c r="KKU117" s="950"/>
      <c r="KKV117" s="950"/>
      <c r="KKW117" s="950"/>
      <c r="KKX117" s="950"/>
      <c r="KKY117" s="950"/>
      <c r="KKZ117" s="950"/>
      <c r="KLA117" s="950"/>
      <c r="KLB117" s="950"/>
      <c r="KLC117" s="950"/>
      <c r="KLD117" s="950"/>
      <c r="KLE117" s="950"/>
      <c r="KLF117" s="950"/>
      <c r="KLG117" s="950"/>
      <c r="KLH117" s="950"/>
      <c r="KLI117" s="950"/>
      <c r="KLJ117" s="950"/>
      <c r="KLK117" s="950"/>
      <c r="KLL117" s="950"/>
      <c r="KLM117" s="950"/>
      <c r="KLN117" s="950"/>
      <c r="KLO117" s="950"/>
      <c r="KLP117" s="950"/>
      <c r="KLQ117" s="950"/>
      <c r="KLR117" s="950"/>
      <c r="KLS117" s="950"/>
      <c r="KLT117" s="950"/>
      <c r="KLU117" s="950"/>
      <c r="KLV117" s="950"/>
      <c r="KLW117" s="950"/>
      <c r="KLX117" s="950"/>
      <c r="KLY117" s="950"/>
      <c r="KLZ117" s="950"/>
      <c r="KMA117" s="950"/>
      <c r="KMB117" s="950"/>
      <c r="KMC117" s="950"/>
      <c r="KMD117" s="950"/>
      <c r="KME117" s="950"/>
      <c r="KMF117" s="950"/>
      <c r="KMG117" s="950"/>
      <c r="KMH117" s="950"/>
      <c r="KMI117" s="950"/>
      <c r="KMJ117" s="950"/>
      <c r="KMK117" s="950"/>
      <c r="KML117" s="950"/>
      <c r="KMM117" s="950"/>
      <c r="KMN117" s="950"/>
      <c r="KMO117" s="950"/>
      <c r="KMP117" s="950"/>
      <c r="KMQ117" s="950"/>
      <c r="KMR117" s="950"/>
      <c r="KMS117" s="950"/>
      <c r="KMT117" s="950"/>
      <c r="KMU117" s="950"/>
      <c r="KMV117" s="950"/>
      <c r="KMW117" s="950"/>
      <c r="KMX117" s="950"/>
      <c r="KMY117" s="950"/>
      <c r="KMZ117" s="950"/>
      <c r="KNA117" s="950"/>
      <c r="KNB117" s="950"/>
      <c r="KNC117" s="950"/>
      <c r="KND117" s="950"/>
      <c r="KNE117" s="950"/>
      <c r="KNF117" s="950"/>
      <c r="KNG117" s="950"/>
      <c r="KNH117" s="950"/>
      <c r="KNI117" s="950"/>
      <c r="KNJ117" s="950"/>
      <c r="KNK117" s="950"/>
      <c r="KNL117" s="950"/>
      <c r="KNM117" s="950"/>
      <c r="KNN117" s="950"/>
      <c r="KNO117" s="950"/>
      <c r="KNP117" s="950"/>
      <c r="KNQ117" s="950"/>
      <c r="KNR117" s="950"/>
      <c r="KNS117" s="950"/>
      <c r="KNT117" s="950"/>
      <c r="KNU117" s="950"/>
      <c r="KNV117" s="950"/>
      <c r="KNW117" s="950"/>
      <c r="KNX117" s="950"/>
      <c r="KNY117" s="950"/>
      <c r="KNZ117" s="950"/>
      <c r="KOA117" s="950"/>
      <c r="KOB117" s="950"/>
      <c r="KOC117" s="950"/>
      <c r="KOD117" s="950"/>
      <c r="KOE117" s="950"/>
      <c r="KOF117" s="950"/>
      <c r="KOG117" s="950"/>
      <c r="KOH117" s="950"/>
      <c r="KOI117" s="950"/>
      <c r="KOJ117" s="950"/>
      <c r="KOK117" s="950"/>
      <c r="KOL117" s="950"/>
      <c r="KOM117" s="950"/>
      <c r="KON117" s="950"/>
      <c r="KOO117" s="950"/>
      <c r="KOP117" s="950"/>
      <c r="KOQ117" s="950"/>
      <c r="KOR117" s="950"/>
      <c r="KOS117" s="950"/>
      <c r="KOT117" s="950"/>
      <c r="KOU117" s="950"/>
      <c r="KOV117" s="950"/>
      <c r="KOW117" s="950"/>
      <c r="KOX117" s="950"/>
      <c r="KOY117" s="950"/>
      <c r="KOZ117" s="950"/>
      <c r="KPA117" s="950"/>
      <c r="KPB117" s="950"/>
      <c r="KPC117" s="950"/>
      <c r="KPD117" s="950"/>
      <c r="KPE117" s="950"/>
      <c r="KPF117" s="950"/>
      <c r="KPG117" s="950"/>
      <c r="KPH117" s="950"/>
      <c r="KPI117" s="950"/>
      <c r="KPJ117" s="950"/>
      <c r="KPK117" s="950"/>
      <c r="KPL117" s="950"/>
      <c r="KPM117" s="950"/>
      <c r="KPN117" s="950"/>
      <c r="KPO117" s="950"/>
      <c r="KPP117" s="950"/>
      <c r="KPQ117" s="950"/>
      <c r="KPR117" s="950"/>
      <c r="KPS117" s="950"/>
      <c r="KPT117" s="950"/>
      <c r="KPU117" s="950"/>
      <c r="KPV117" s="950"/>
      <c r="KPW117" s="950"/>
      <c r="KPX117" s="950"/>
      <c r="KPY117" s="950"/>
      <c r="KPZ117" s="950"/>
      <c r="KQA117" s="950"/>
      <c r="KQB117" s="950"/>
      <c r="KQC117" s="950"/>
      <c r="KQD117" s="950"/>
      <c r="KQE117" s="950"/>
      <c r="KQF117" s="950"/>
      <c r="KQG117" s="950"/>
      <c r="KQH117" s="950"/>
      <c r="KQI117" s="950"/>
      <c r="KQJ117" s="950"/>
      <c r="KQK117" s="950"/>
      <c r="KQL117" s="950"/>
      <c r="KQM117" s="950"/>
      <c r="KQN117" s="950"/>
      <c r="KQO117" s="950"/>
      <c r="KQP117" s="950"/>
      <c r="KQQ117" s="950"/>
      <c r="KQR117" s="950"/>
      <c r="KQS117" s="950"/>
      <c r="KQT117" s="950"/>
      <c r="KQU117" s="950"/>
      <c r="KQV117" s="950"/>
      <c r="KQW117" s="950"/>
      <c r="KQX117" s="950"/>
      <c r="KQY117" s="950"/>
      <c r="KQZ117" s="950"/>
      <c r="KRA117" s="950"/>
      <c r="KRB117" s="950"/>
      <c r="KRC117" s="950"/>
      <c r="KRD117" s="950"/>
      <c r="KRE117" s="950"/>
      <c r="KRF117" s="950"/>
      <c r="KRG117" s="950"/>
      <c r="KRH117" s="950"/>
      <c r="KRI117" s="950"/>
      <c r="KRJ117" s="950"/>
      <c r="KRK117" s="950"/>
      <c r="KRL117" s="950"/>
      <c r="KRM117" s="950"/>
      <c r="KRN117" s="950"/>
      <c r="KRO117" s="950"/>
      <c r="KRP117" s="950"/>
      <c r="KRQ117" s="950"/>
      <c r="KRR117" s="950"/>
      <c r="KRS117" s="950"/>
      <c r="KRT117" s="950"/>
      <c r="KRU117" s="950"/>
      <c r="KRV117" s="950"/>
      <c r="KRW117" s="950"/>
      <c r="KRX117" s="950"/>
      <c r="KRY117" s="950"/>
      <c r="KRZ117" s="950"/>
      <c r="KSA117" s="950"/>
      <c r="KSB117" s="950"/>
      <c r="KSC117" s="950"/>
      <c r="KSD117" s="950"/>
      <c r="KSE117" s="950"/>
      <c r="KSF117" s="950"/>
      <c r="KSG117" s="950"/>
      <c r="KSH117" s="950"/>
      <c r="KSI117" s="950"/>
      <c r="KSJ117" s="950"/>
      <c r="KSK117" s="950"/>
      <c r="KSL117" s="950"/>
      <c r="KSM117" s="950"/>
      <c r="KSN117" s="950"/>
      <c r="KSO117" s="950"/>
      <c r="KSP117" s="950"/>
      <c r="KSQ117" s="950"/>
      <c r="KSR117" s="950"/>
      <c r="KSS117" s="950"/>
      <c r="KST117" s="950"/>
      <c r="KSU117" s="950"/>
      <c r="KSV117" s="950"/>
      <c r="KSW117" s="950"/>
      <c r="KSX117" s="950"/>
      <c r="KSY117" s="950"/>
      <c r="KSZ117" s="950"/>
      <c r="KTA117" s="950"/>
      <c r="KTB117" s="950"/>
      <c r="KTC117" s="950"/>
      <c r="KTD117" s="950"/>
      <c r="KTE117" s="950"/>
      <c r="KTF117" s="950"/>
      <c r="KTG117" s="950"/>
      <c r="KTH117" s="950"/>
      <c r="KTI117" s="950"/>
      <c r="KTJ117" s="950"/>
      <c r="KTK117" s="950"/>
      <c r="KTL117" s="950"/>
      <c r="KTM117" s="950"/>
      <c r="KTN117" s="950"/>
      <c r="KTO117" s="950"/>
      <c r="KTP117" s="950"/>
      <c r="KTQ117" s="950"/>
      <c r="KTR117" s="950"/>
      <c r="KTS117" s="950"/>
      <c r="KTT117" s="950"/>
      <c r="KTU117" s="950"/>
      <c r="KTV117" s="950"/>
      <c r="KTW117" s="950"/>
      <c r="KTX117" s="950"/>
      <c r="KTY117" s="950"/>
      <c r="KTZ117" s="950"/>
      <c r="KUA117" s="950"/>
      <c r="KUB117" s="950"/>
      <c r="KUC117" s="950"/>
      <c r="KUD117" s="950"/>
      <c r="KUE117" s="950"/>
      <c r="KUF117" s="950"/>
      <c r="KUG117" s="950"/>
      <c r="KUH117" s="950"/>
      <c r="KUI117" s="950"/>
      <c r="KUJ117" s="950"/>
      <c r="KUK117" s="950"/>
      <c r="KUL117" s="950"/>
      <c r="KUM117" s="950"/>
      <c r="KUN117" s="950"/>
      <c r="KUO117" s="950"/>
      <c r="KUP117" s="950"/>
      <c r="KUQ117" s="950"/>
      <c r="KUR117" s="950"/>
      <c r="KUS117" s="950"/>
      <c r="KUT117" s="950"/>
      <c r="KUU117" s="950"/>
      <c r="KUV117" s="950"/>
      <c r="KUW117" s="950"/>
      <c r="KUX117" s="950"/>
      <c r="KUY117" s="950"/>
      <c r="KUZ117" s="950"/>
      <c r="KVA117" s="950"/>
      <c r="KVB117" s="950"/>
      <c r="KVC117" s="950"/>
      <c r="KVD117" s="950"/>
      <c r="KVE117" s="950"/>
      <c r="KVF117" s="950"/>
      <c r="KVG117" s="950"/>
      <c r="KVH117" s="950"/>
      <c r="KVI117" s="950"/>
      <c r="KVJ117" s="950"/>
      <c r="KVK117" s="950"/>
      <c r="KVL117" s="950"/>
      <c r="KVM117" s="950"/>
      <c r="KVN117" s="950"/>
      <c r="KVO117" s="950"/>
      <c r="KVP117" s="950"/>
      <c r="KVQ117" s="950"/>
      <c r="KVR117" s="950"/>
      <c r="KVS117" s="950"/>
      <c r="KVT117" s="950"/>
      <c r="KVU117" s="950"/>
      <c r="KVV117" s="950"/>
      <c r="KVW117" s="950"/>
      <c r="KVX117" s="950"/>
      <c r="KVY117" s="950"/>
      <c r="KVZ117" s="950"/>
      <c r="KWA117" s="950"/>
      <c r="KWB117" s="950"/>
      <c r="KWC117" s="950"/>
      <c r="KWD117" s="950"/>
      <c r="KWE117" s="950"/>
      <c r="KWF117" s="950"/>
      <c r="KWG117" s="950"/>
      <c r="KWH117" s="950"/>
      <c r="KWI117" s="950"/>
      <c r="KWJ117" s="950"/>
      <c r="KWK117" s="950"/>
      <c r="KWL117" s="950"/>
      <c r="KWM117" s="950"/>
      <c r="KWN117" s="950"/>
      <c r="KWO117" s="950"/>
      <c r="KWP117" s="950"/>
      <c r="KWQ117" s="950"/>
      <c r="KWR117" s="950"/>
      <c r="KWS117" s="950"/>
      <c r="KWT117" s="950"/>
      <c r="KWU117" s="950"/>
      <c r="KWV117" s="950"/>
      <c r="KWW117" s="950"/>
      <c r="KWX117" s="950"/>
      <c r="KWY117" s="950"/>
      <c r="KWZ117" s="950"/>
      <c r="KXA117" s="950"/>
      <c r="KXB117" s="950"/>
      <c r="KXC117" s="950"/>
      <c r="KXD117" s="950"/>
      <c r="KXE117" s="950"/>
      <c r="KXF117" s="950"/>
      <c r="KXG117" s="950"/>
      <c r="KXH117" s="950"/>
      <c r="KXI117" s="950"/>
      <c r="KXJ117" s="950"/>
      <c r="KXK117" s="950"/>
      <c r="KXL117" s="950"/>
      <c r="KXM117" s="950"/>
      <c r="KXN117" s="950"/>
      <c r="KXO117" s="950"/>
      <c r="KXP117" s="950"/>
      <c r="KXQ117" s="950"/>
      <c r="KXR117" s="950"/>
      <c r="KXS117" s="950"/>
      <c r="KXT117" s="950"/>
      <c r="KXU117" s="950"/>
      <c r="KXV117" s="950"/>
      <c r="KXW117" s="950"/>
      <c r="KXX117" s="950"/>
      <c r="KXY117" s="950"/>
      <c r="KXZ117" s="950"/>
      <c r="KYA117" s="950"/>
      <c r="KYB117" s="950"/>
      <c r="KYC117" s="950"/>
      <c r="KYD117" s="950"/>
      <c r="KYE117" s="950"/>
      <c r="KYF117" s="950"/>
      <c r="KYG117" s="950"/>
      <c r="KYH117" s="950"/>
      <c r="KYI117" s="950"/>
      <c r="KYJ117" s="950"/>
      <c r="KYK117" s="950"/>
      <c r="KYL117" s="950"/>
      <c r="KYM117" s="950"/>
      <c r="KYN117" s="950"/>
      <c r="KYO117" s="950"/>
      <c r="KYP117" s="950"/>
      <c r="KYQ117" s="950"/>
      <c r="KYR117" s="950"/>
      <c r="KYS117" s="950"/>
      <c r="KYT117" s="950"/>
      <c r="KYU117" s="950"/>
      <c r="KYV117" s="950"/>
      <c r="KYW117" s="950"/>
      <c r="KYX117" s="950"/>
      <c r="KYY117" s="950"/>
      <c r="KYZ117" s="950"/>
      <c r="KZA117" s="950"/>
      <c r="KZB117" s="950"/>
      <c r="KZC117" s="950"/>
      <c r="KZD117" s="950"/>
      <c r="KZE117" s="950"/>
      <c r="KZF117" s="950"/>
      <c r="KZG117" s="950"/>
      <c r="KZH117" s="950"/>
      <c r="KZI117" s="950"/>
      <c r="KZJ117" s="950"/>
      <c r="KZK117" s="950"/>
      <c r="KZL117" s="950"/>
      <c r="KZM117" s="950"/>
      <c r="KZN117" s="950"/>
      <c r="KZO117" s="950"/>
      <c r="KZP117" s="950"/>
      <c r="KZQ117" s="950"/>
      <c r="KZR117" s="950"/>
      <c r="KZS117" s="950"/>
      <c r="KZT117" s="950"/>
      <c r="KZU117" s="950"/>
      <c r="KZV117" s="950"/>
      <c r="KZW117" s="950"/>
      <c r="KZX117" s="950"/>
      <c r="KZY117" s="950"/>
      <c r="KZZ117" s="950"/>
      <c r="LAA117" s="950"/>
      <c r="LAB117" s="950"/>
      <c r="LAC117" s="950"/>
      <c r="LAD117" s="950"/>
      <c r="LAE117" s="950"/>
      <c r="LAF117" s="950"/>
      <c r="LAG117" s="950"/>
      <c r="LAH117" s="950"/>
      <c r="LAI117" s="950"/>
      <c r="LAJ117" s="950"/>
      <c r="LAK117" s="950"/>
      <c r="LAL117" s="950"/>
      <c r="LAM117" s="950"/>
      <c r="LAN117" s="950"/>
      <c r="LAO117" s="950"/>
      <c r="LAP117" s="950"/>
      <c r="LAQ117" s="950"/>
      <c r="LAR117" s="950"/>
      <c r="LAS117" s="950"/>
      <c r="LAT117" s="950"/>
      <c r="LAU117" s="950"/>
      <c r="LAV117" s="950"/>
      <c r="LAW117" s="950"/>
      <c r="LAX117" s="950"/>
      <c r="LAY117" s="950"/>
      <c r="LAZ117" s="950"/>
      <c r="LBA117" s="950"/>
      <c r="LBB117" s="950"/>
      <c r="LBC117" s="950"/>
      <c r="LBD117" s="950"/>
      <c r="LBE117" s="950"/>
      <c r="LBF117" s="950"/>
      <c r="LBG117" s="950"/>
      <c r="LBH117" s="950"/>
      <c r="LBI117" s="950"/>
      <c r="LBJ117" s="950"/>
      <c r="LBK117" s="950"/>
      <c r="LBL117" s="950"/>
      <c r="LBM117" s="950"/>
      <c r="LBN117" s="950"/>
      <c r="LBO117" s="950"/>
      <c r="LBP117" s="950"/>
      <c r="LBQ117" s="950"/>
      <c r="LBR117" s="950"/>
      <c r="LBS117" s="950"/>
      <c r="LBT117" s="950"/>
      <c r="LBU117" s="950"/>
      <c r="LBV117" s="950"/>
      <c r="LBW117" s="950"/>
      <c r="LBX117" s="950"/>
      <c r="LBY117" s="950"/>
      <c r="LBZ117" s="950"/>
      <c r="LCA117" s="950"/>
      <c r="LCB117" s="950"/>
      <c r="LCC117" s="950"/>
      <c r="LCD117" s="950"/>
      <c r="LCE117" s="950"/>
      <c r="LCF117" s="950"/>
      <c r="LCG117" s="950"/>
      <c r="LCH117" s="950"/>
      <c r="LCI117" s="950"/>
      <c r="LCJ117" s="950"/>
      <c r="LCK117" s="950"/>
      <c r="LCL117" s="950"/>
      <c r="LCM117" s="950"/>
      <c r="LCN117" s="950"/>
      <c r="LCO117" s="950"/>
      <c r="LCP117" s="950"/>
      <c r="LCQ117" s="950"/>
      <c r="LCR117" s="950"/>
      <c r="LCS117" s="950"/>
      <c r="LCT117" s="950"/>
      <c r="LCU117" s="950"/>
      <c r="LCV117" s="950"/>
      <c r="LCW117" s="950"/>
      <c r="LCX117" s="950"/>
      <c r="LCY117" s="950"/>
      <c r="LCZ117" s="950"/>
      <c r="LDA117" s="950"/>
      <c r="LDB117" s="950"/>
      <c r="LDC117" s="950"/>
      <c r="LDD117" s="950"/>
      <c r="LDE117" s="950"/>
      <c r="LDF117" s="950"/>
      <c r="LDG117" s="950"/>
      <c r="LDH117" s="950"/>
      <c r="LDI117" s="950"/>
      <c r="LDJ117" s="950"/>
      <c r="LDK117" s="950"/>
      <c r="LDL117" s="950"/>
      <c r="LDM117" s="950"/>
      <c r="LDN117" s="950"/>
      <c r="LDO117" s="950"/>
      <c r="LDP117" s="950"/>
      <c r="LDQ117" s="950"/>
      <c r="LDR117" s="950"/>
      <c r="LDS117" s="950"/>
      <c r="LDT117" s="950"/>
      <c r="LDU117" s="950"/>
      <c r="LDV117" s="950"/>
      <c r="LDW117" s="950"/>
      <c r="LDX117" s="950"/>
      <c r="LDY117" s="950"/>
      <c r="LDZ117" s="950"/>
      <c r="LEA117" s="950"/>
      <c r="LEB117" s="950"/>
      <c r="LEC117" s="950"/>
      <c r="LED117" s="950"/>
      <c r="LEE117" s="950"/>
      <c r="LEF117" s="950"/>
      <c r="LEG117" s="950"/>
      <c r="LEH117" s="950"/>
      <c r="LEI117" s="950"/>
      <c r="LEJ117" s="950"/>
      <c r="LEK117" s="950"/>
      <c r="LEL117" s="950"/>
      <c r="LEM117" s="950"/>
      <c r="LEN117" s="950"/>
      <c r="LEO117" s="950"/>
      <c r="LEP117" s="950"/>
      <c r="LEQ117" s="950"/>
      <c r="LER117" s="950"/>
      <c r="LES117" s="950"/>
      <c r="LET117" s="950"/>
      <c r="LEU117" s="950"/>
      <c r="LEV117" s="950"/>
      <c r="LEW117" s="950"/>
      <c r="LEX117" s="950"/>
      <c r="LEY117" s="950"/>
      <c r="LEZ117" s="950"/>
      <c r="LFA117" s="950"/>
      <c r="LFB117" s="950"/>
      <c r="LFC117" s="950"/>
      <c r="LFD117" s="950"/>
      <c r="LFE117" s="950"/>
      <c r="LFF117" s="950"/>
      <c r="LFG117" s="950"/>
      <c r="LFH117" s="950"/>
      <c r="LFI117" s="950"/>
      <c r="LFJ117" s="950"/>
      <c r="LFK117" s="950"/>
      <c r="LFL117" s="950"/>
      <c r="LFM117" s="950"/>
      <c r="LFN117" s="950"/>
      <c r="LFO117" s="950"/>
      <c r="LFP117" s="950"/>
      <c r="LFQ117" s="950"/>
      <c r="LFR117" s="950"/>
      <c r="LFS117" s="950"/>
      <c r="LFT117" s="950"/>
      <c r="LFU117" s="950"/>
      <c r="LFV117" s="950"/>
      <c r="LFW117" s="950"/>
      <c r="LFX117" s="950"/>
      <c r="LFY117" s="950"/>
      <c r="LFZ117" s="950"/>
      <c r="LGA117" s="950"/>
      <c r="LGB117" s="950"/>
      <c r="LGC117" s="950"/>
      <c r="LGD117" s="950"/>
      <c r="LGE117" s="950"/>
      <c r="LGF117" s="950"/>
      <c r="LGG117" s="950"/>
      <c r="LGH117" s="950"/>
      <c r="LGI117" s="950"/>
      <c r="LGJ117" s="950"/>
      <c r="LGK117" s="950"/>
      <c r="LGL117" s="950"/>
      <c r="LGM117" s="950"/>
      <c r="LGN117" s="950"/>
      <c r="LGO117" s="950"/>
      <c r="LGP117" s="950"/>
      <c r="LGQ117" s="950"/>
      <c r="LGR117" s="950"/>
      <c r="LGS117" s="950"/>
      <c r="LGT117" s="950"/>
      <c r="LGU117" s="950"/>
      <c r="LGV117" s="950"/>
      <c r="LGW117" s="950"/>
      <c r="LGX117" s="950"/>
      <c r="LGY117" s="950"/>
      <c r="LGZ117" s="950"/>
      <c r="LHA117" s="950"/>
      <c r="LHB117" s="950"/>
      <c r="LHC117" s="950"/>
      <c r="LHD117" s="950"/>
      <c r="LHE117" s="950"/>
      <c r="LHF117" s="950"/>
      <c r="LHG117" s="950"/>
      <c r="LHH117" s="950"/>
      <c r="LHI117" s="950"/>
      <c r="LHJ117" s="950"/>
      <c r="LHK117" s="950"/>
      <c r="LHL117" s="950"/>
      <c r="LHM117" s="950"/>
      <c r="LHN117" s="950"/>
      <c r="LHO117" s="950"/>
      <c r="LHP117" s="950"/>
      <c r="LHQ117" s="950"/>
      <c r="LHR117" s="950"/>
      <c r="LHS117" s="950"/>
      <c r="LHT117" s="950"/>
      <c r="LHU117" s="950"/>
      <c r="LHV117" s="950"/>
      <c r="LHW117" s="950"/>
      <c r="LHX117" s="950"/>
      <c r="LHY117" s="950"/>
      <c r="LHZ117" s="950"/>
      <c r="LIA117" s="950"/>
      <c r="LIB117" s="950"/>
      <c r="LIC117" s="950"/>
      <c r="LID117" s="950"/>
      <c r="LIE117" s="950"/>
      <c r="LIF117" s="950"/>
      <c r="LIG117" s="950"/>
      <c r="LIH117" s="950"/>
      <c r="LII117" s="950"/>
      <c r="LIJ117" s="950"/>
      <c r="LIK117" s="950"/>
      <c r="LIL117" s="950"/>
      <c r="LIM117" s="950"/>
      <c r="LIN117" s="950"/>
      <c r="LIO117" s="950"/>
      <c r="LIP117" s="950"/>
      <c r="LIQ117" s="950"/>
      <c r="LIR117" s="950"/>
      <c r="LIS117" s="950"/>
      <c r="LIT117" s="950"/>
      <c r="LIU117" s="950"/>
      <c r="LIV117" s="950"/>
      <c r="LIW117" s="950"/>
      <c r="LIX117" s="950"/>
      <c r="LIY117" s="950"/>
      <c r="LIZ117" s="950"/>
      <c r="LJA117" s="950"/>
      <c r="LJB117" s="950"/>
      <c r="LJC117" s="950"/>
      <c r="LJD117" s="950"/>
      <c r="LJE117" s="950"/>
      <c r="LJF117" s="950"/>
      <c r="LJG117" s="950"/>
      <c r="LJH117" s="950"/>
      <c r="LJI117" s="950"/>
      <c r="LJJ117" s="950"/>
      <c r="LJK117" s="950"/>
      <c r="LJL117" s="950"/>
      <c r="LJM117" s="950"/>
      <c r="LJN117" s="950"/>
      <c r="LJO117" s="950"/>
      <c r="LJP117" s="950"/>
      <c r="LJQ117" s="950"/>
      <c r="LJR117" s="950"/>
      <c r="LJS117" s="950"/>
      <c r="LJT117" s="950"/>
      <c r="LJU117" s="950"/>
      <c r="LJV117" s="950"/>
      <c r="LJW117" s="950"/>
      <c r="LJX117" s="950"/>
      <c r="LJY117" s="950"/>
      <c r="LJZ117" s="950"/>
      <c r="LKA117" s="950"/>
      <c r="LKB117" s="950"/>
      <c r="LKC117" s="950"/>
      <c r="LKD117" s="950"/>
      <c r="LKE117" s="950"/>
      <c r="LKF117" s="950"/>
      <c r="LKG117" s="950"/>
      <c r="LKH117" s="950"/>
      <c r="LKI117" s="950"/>
      <c r="LKJ117" s="950"/>
      <c r="LKK117" s="950"/>
      <c r="LKL117" s="950"/>
      <c r="LKM117" s="950"/>
      <c r="LKN117" s="950"/>
      <c r="LKO117" s="950"/>
      <c r="LKP117" s="950"/>
      <c r="LKQ117" s="950"/>
      <c r="LKR117" s="950"/>
      <c r="LKS117" s="950"/>
      <c r="LKT117" s="950"/>
      <c r="LKU117" s="950"/>
      <c r="LKV117" s="950"/>
      <c r="LKW117" s="950"/>
      <c r="LKX117" s="950"/>
      <c r="LKY117" s="950"/>
      <c r="LKZ117" s="950"/>
      <c r="LLA117" s="950"/>
      <c r="LLB117" s="950"/>
      <c r="LLC117" s="950"/>
      <c r="LLD117" s="950"/>
      <c r="LLE117" s="950"/>
      <c r="LLF117" s="950"/>
      <c r="LLG117" s="950"/>
      <c r="LLH117" s="950"/>
      <c r="LLI117" s="950"/>
      <c r="LLJ117" s="950"/>
      <c r="LLK117" s="950"/>
      <c r="LLL117" s="950"/>
      <c r="LLM117" s="950"/>
      <c r="LLN117" s="950"/>
      <c r="LLO117" s="950"/>
      <c r="LLP117" s="950"/>
      <c r="LLQ117" s="950"/>
      <c r="LLR117" s="950"/>
      <c r="LLS117" s="950"/>
      <c r="LLT117" s="950"/>
      <c r="LLU117" s="950"/>
      <c r="LLV117" s="950"/>
      <c r="LLW117" s="950"/>
      <c r="LLX117" s="950"/>
      <c r="LLY117" s="950"/>
      <c r="LLZ117" s="950"/>
      <c r="LMA117" s="950"/>
      <c r="LMB117" s="950"/>
      <c r="LMC117" s="950"/>
      <c r="LMD117" s="950"/>
      <c r="LME117" s="950"/>
      <c r="LMF117" s="950"/>
      <c r="LMG117" s="950"/>
      <c r="LMH117" s="950"/>
      <c r="LMI117" s="950"/>
      <c r="LMJ117" s="950"/>
      <c r="LMK117" s="950"/>
      <c r="LML117" s="950"/>
      <c r="LMM117" s="950"/>
      <c r="LMN117" s="950"/>
      <c r="LMO117" s="950"/>
      <c r="LMP117" s="950"/>
      <c r="LMQ117" s="950"/>
      <c r="LMR117" s="950"/>
      <c r="LMS117" s="950"/>
      <c r="LMT117" s="950"/>
      <c r="LMU117" s="950"/>
      <c r="LMV117" s="950"/>
      <c r="LMW117" s="950"/>
      <c r="LMX117" s="950"/>
      <c r="LMY117" s="950"/>
      <c r="LMZ117" s="950"/>
      <c r="LNA117" s="950"/>
      <c r="LNB117" s="950"/>
      <c r="LNC117" s="950"/>
      <c r="LND117" s="950"/>
      <c r="LNE117" s="950"/>
      <c r="LNF117" s="950"/>
      <c r="LNG117" s="950"/>
      <c r="LNH117" s="950"/>
      <c r="LNI117" s="950"/>
      <c r="LNJ117" s="950"/>
      <c r="LNK117" s="950"/>
      <c r="LNL117" s="950"/>
      <c r="LNM117" s="950"/>
      <c r="LNN117" s="950"/>
      <c r="LNO117" s="950"/>
      <c r="LNP117" s="950"/>
      <c r="LNQ117" s="950"/>
      <c r="LNR117" s="950"/>
      <c r="LNS117" s="950"/>
      <c r="LNT117" s="950"/>
      <c r="LNU117" s="950"/>
      <c r="LNV117" s="950"/>
      <c r="LNW117" s="950"/>
      <c r="LNX117" s="950"/>
      <c r="LNY117" s="950"/>
      <c r="LNZ117" s="950"/>
      <c r="LOA117" s="950"/>
      <c r="LOB117" s="950"/>
      <c r="LOC117" s="950"/>
      <c r="LOD117" s="950"/>
      <c r="LOE117" s="950"/>
      <c r="LOF117" s="950"/>
      <c r="LOG117" s="950"/>
      <c r="LOH117" s="950"/>
      <c r="LOI117" s="950"/>
      <c r="LOJ117" s="950"/>
      <c r="LOK117" s="950"/>
      <c r="LOL117" s="950"/>
      <c r="LOM117" s="950"/>
      <c r="LON117" s="950"/>
      <c r="LOO117" s="950"/>
      <c r="LOP117" s="950"/>
      <c r="LOQ117" s="950"/>
      <c r="LOR117" s="950"/>
      <c r="LOS117" s="950"/>
      <c r="LOT117" s="950"/>
      <c r="LOU117" s="950"/>
      <c r="LOV117" s="950"/>
      <c r="LOW117" s="950"/>
      <c r="LOX117" s="950"/>
      <c r="LOY117" s="950"/>
      <c r="LOZ117" s="950"/>
      <c r="LPA117" s="950"/>
      <c r="LPB117" s="950"/>
      <c r="LPC117" s="950"/>
      <c r="LPD117" s="950"/>
      <c r="LPE117" s="950"/>
      <c r="LPF117" s="950"/>
      <c r="LPG117" s="950"/>
      <c r="LPH117" s="950"/>
      <c r="LPI117" s="950"/>
      <c r="LPJ117" s="950"/>
      <c r="LPK117" s="950"/>
      <c r="LPL117" s="950"/>
      <c r="LPM117" s="950"/>
      <c r="LPN117" s="950"/>
      <c r="LPO117" s="950"/>
      <c r="LPP117" s="950"/>
      <c r="LPQ117" s="950"/>
      <c r="LPR117" s="950"/>
      <c r="LPS117" s="950"/>
      <c r="LPT117" s="950"/>
      <c r="LPU117" s="950"/>
      <c r="LPV117" s="950"/>
      <c r="LPW117" s="950"/>
      <c r="LPX117" s="950"/>
      <c r="LPY117" s="950"/>
      <c r="LPZ117" s="950"/>
      <c r="LQA117" s="950"/>
      <c r="LQB117" s="950"/>
      <c r="LQC117" s="950"/>
      <c r="LQD117" s="950"/>
      <c r="LQE117" s="950"/>
      <c r="LQF117" s="950"/>
      <c r="LQG117" s="950"/>
      <c r="LQH117" s="950"/>
      <c r="LQI117" s="950"/>
      <c r="LQJ117" s="950"/>
      <c r="LQK117" s="950"/>
      <c r="LQL117" s="950"/>
      <c r="LQM117" s="950"/>
      <c r="LQN117" s="950"/>
      <c r="LQO117" s="950"/>
      <c r="LQP117" s="950"/>
      <c r="LQQ117" s="950"/>
      <c r="LQR117" s="950"/>
      <c r="LQS117" s="950"/>
      <c r="LQT117" s="950"/>
      <c r="LQU117" s="950"/>
      <c r="LQV117" s="950"/>
      <c r="LQW117" s="950"/>
      <c r="LQX117" s="950"/>
      <c r="LQY117" s="950"/>
      <c r="LQZ117" s="950"/>
      <c r="LRA117" s="950"/>
      <c r="LRB117" s="950"/>
      <c r="LRC117" s="950"/>
      <c r="LRD117" s="950"/>
      <c r="LRE117" s="950"/>
      <c r="LRF117" s="950"/>
      <c r="LRG117" s="950"/>
      <c r="LRH117" s="950"/>
      <c r="LRI117" s="950"/>
      <c r="LRJ117" s="950"/>
      <c r="LRK117" s="950"/>
      <c r="LRL117" s="950"/>
      <c r="LRM117" s="950"/>
      <c r="LRN117" s="950"/>
      <c r="LRO117" s="950"/>
      <c r="LRP117" s="950"/>
      <c r="LRQ117" s="950"/>
      <c r="LRR117" s="950"/>
      <c r="LRS117" s="950"/>
      <c r="LRT117" s="950"/>
      <c r="LRU117" s="950"/>
      <c r="LRV117" s="950"/>
      <c r="LRW117" s="950"/>
      <c r="LRX117" s="950"/>
      <c r="LRY117" s="950"/>
      <c r="LRZ117" s="950"/>
      <c r="LSA117" s="950"/>
      <c r="LSB117" s="950"/>
      <c r="LSC117" s="950"/>
      <c r="LSD117" s="950"/>
      <c r="LSE117" s="950"/>
      <c r="LSF117" s="950"/>
      <c r="LSG117" s="950"/>
      <c r="LSH117" s="950"/>
      <c r="LSI117" s="950"/>
      <c r="LSJ117" s="950"/>
      <c r="LSK117" s="950"/>
      <c r="LSL117" s="950"/>
      <c r="LSM117" s="950"/>
      <c r="LSN117" s="950"/>
      <c r="LSO117" s="950"/>
      <c r="LSP117" s="950"/>
      <c r="LSQ117" s="950"/>
      <c r="LSR117" s="950"/>
      <c r="LSS117" s="950"/>
      <c r="LST117" s="950"/>
      <c r="LSU117" s="950"/>
      <c r="LSV117" s="950"/>
      <c r="LSW117" s="950"/>
      <c r="LSX117" s="950"/>
      <c r="LSY117" s="950"/>
      <c r="LSZ117" s="950"/>
      <c r="LTA117" s="950"/>
      <c r="LTB117" s="950"/>
      <c r="LTC117" s="950"/>
      <c r="LTD117" s="950"/>
      <c r="LTE117" s="950"/>
      <c r="LTF117" s="950"/>
      <c r="LTG117" s="950"/>
      <c r="LTH117" s="950"/>
      <c r="LTI117" s="950"/>
      <c r="LTJ117" s="950"/>
      <c r="LTK117" s="950"/>
      <c r="LTL117" s="950"/>
      <c r="LTM117" s="950"/>
      <c r="LTN117" s="950"/>
      <c r="LTO117" s="950"/>
      <c r="LTP117" s="950"/>
      <c r="LTQ117" s="950"/>
      <c r="LTR117" s="950"/>
      <c r="LTS117" s="950"/>
      <c r="LTT117" s="950"/>
      <c r="LTU117" s="950"/>
      <c r="LTV117" s="950"/>
      <c r="LTW117" s="950"/>
      <c r="LTX117" s="950"/>
      <c r="LTY117" s="950"/>
      <c r="LTZ117" s="950"/>
      <c r="LUA117" s="950"/>
      <c r="LUB117" s="950"/>
      <c r="LUC117" s="950"/>
      <c r="LUD117" s="950"/>
      <c r="LUE117" s="950"/>
      <c r="LUF117" s="950"/>
      <c r="LUG117" s="950"/>
      <c r="LUH117" s="950"/>
      <c r="LUI117" s="950"/>
      <c r="LUJ117" s="950"/>
      <c r="LUK117" s="950"/>
      <c r="LUL117" s="950"/>
      <c r="LUM117" s="950"/>
      <c r="LUN117" s="950"/>
      <c r="LUO117" s="950"/>
      <c r="LUP117" s="950"/>
      <c r="LUQ117" s="950"/>
      <c r="LUR117" s="950"/>
      <c r="LUS117" s="950"/>
      <c r="LUT117" s="950"/>
      <c r="LUU117" s="950"/>
      <c r="LUV117" s="950"/>
      <c r="LUW117" s="950"/>
      <c r="LUX117" s="950"/>
      <c r="LUY117" s="950"/>
      <c r="LUZ117" s="950"/>
      <c r="LVA117" s="950"/>
      <c r="LVB117" s="950"/>
      <c r="LVC117" s="950"/>
      <c r="LVD117" s="950"/>
      <c r="LVE117" s="950"/>
      <c r="LVF117" s="950"/>
      <c r="LVG117" s="950"/>
      <c r="LVH117" s="950"/>
      <c r="LVI117" s="950"/>
      <c r="LVJ117" s="950"/>
      <c r="LVK117" s="950"/>
      <c r="LVL117" s="950"/>
      <c r="LVM117" s="950"/>
      <c r="LVN117" s="950"/>
      <c r="LVO117" s="950"/>
      <c r="LVP117" s="950"/>
      <c r="LVQ117" s="950"/>
      <c r="LVR117" s="950"/>
      <c r="LVS117" s="950"/>
      <c r="LVT117" s="950"/>
      <c r="LVU117" s="950"/>
      <c r="LVV117" s="950"/>
      <c r="LVW117" s="950"/>
      <c r="LVX117" s="950"/>
      <c r="LVY117" s="950"/>
      <c r="LVZ117" s="950"/>
      <c r="LWA117" s="950"/>
      <c r="LWB117" s="950"/>
      <c r="LWC117" s="950"/>
      <c r="LWD117" s="950"/>
      <c r="LWE117" s="950"/>
      <c r="LWF117" s="950"/>
      <c r="LWG117" s="950"/>
      <c r="LWH117" s="950"/>
      <c r="LWI117" s="950"/>
      <c r="LWJ117" s="950"/>
      <c r="LWK117" s="950"/>
      <c r="LWL117" s="950"/>
      <c r="LWM117" s="950"/>
      <c r="LWN117" s="950"/>
      <c r="LWO117" s="950"/>
      <c r="LWP117" s="950"/>
      <c r="LWQ117" s="950"/>
      <c r="LWR117" s="950"/>
      <c r="LWS117" s="950"/>
      <c r="LWT117" s="950"/>
      <c r="LWU117" s="950"/>
      <c r="LWV117" s="950"/>
      <c r="LWW117" s="950"/>
      <c r="LWX117" s="950"/>
      <c r="LWY117" s="950"/>
      <c r="LWZ117" s="950"/>
      <c r="LXA117" s="950"/>
      <c r="LXB117" s="950"/>
      <c r="LXC117" s="950"/>
      <c r="LXD117" s="950"/>
      <c r="LXE117" s="950"/>
      <c r="LXF117" s="950"/>
      <c r="LXG117" s="950"/>
      <c r="LXH117" s="950"/>
      <c r="LXI117" s="950"/>
      <c r="LXJ117" s="950"/>
      <c r="LXK117" s="950"/>
      <c r="LXL117" s="950"/>
      <c r="LXM117" s="950"/>
      <c r="LXN117" s="950"/>
      <c r="LXO117" s="950"/>
      <c r="LXP117" s="950"/>
      <c r="LXQ117" s="950"/>
      <c r="LXR117" s="950"/>
      <c r="LXS117" s="950"/>
      <c r="LXT117" s="950"/>
      <c r="LXU117" s="950"/>
      <c r="LXV117" s="950"/>
      <c r="LXW117" s="950"/>
      <c r="LXX117" s="950"/>
      <c r="LXY117" s="950"/>
      <c r="LXZ117" s="950"/>
      <c r="LYA117" s="950"/>
      <c r="LYB117" s="950"/>
      <c r="LYC117" s="950"/>
      <c r="LYD117" s="950"/>
      <c r="LYE117" s="950"/>
      <c r="LYF117" s="950"/>
      <c r="LYG117" s="950"/>
      <c r="LYH117" s="950"/>
      <c r="LYI117" s="950"/>
      <c r="LYJ117" s="950"/>
      <c r="LYK117" s="950"/>
      <c r="LYL117" s="950"/>
      <c r="LYM117" s="950"/>
      <c r="LYN117" s="950"/>
      <c r="LYO117" s="950"/>
      <c r="LYP117" s="950"/>
      <c r="LYQ117" s="950"/>
      <c r="LYR117" s="950"/>
      <c r="LYS117" s="950"/>
      <c r="LYT117" s="950"/>
      <c r="LYU117" s="950"/>
      <c r="LYV117" s="950"/>
      <c r="LYW117" s="950"/>
      <c r="LYX117" s="950"/>
      <c r="LYY117" s="950"/>
      <c r="LYZ117" s="950"/>
      <c r="LZA117" s="950"/>
      <c r="LZB117" s="950"/>
      <c r="LZC117" s="950"/>
      <c r="LZD117" s="950"/>
      <c r="LZE117" s="950"/>
      <c r="LZF117" s="950"/>
      <c r="LZG117" s="950"/>
      <c r="LZH117" s="950"/>
      <c r="LZI117" s="950"/>
      <c r="LZJ117" s="950"/>
      <c r="LZK117" s="950"/>
      <c r="LZL117" s="950"/>
      <c r="LZM117" s="950"/>
      <c r="LZN117" s="950"/>
      <c r="LZO117" s="950"/>
      <c r="LZP117" s="950"/>
      <c r="LZQ117" s="950"/>
      <c r="LZR117" s="950"/>
      <c r="LZS117" s="950"/>
      <c r="LZT117" s="950"/>
      <c r="LZU117" s="950"/>
      <c r="LZV117" s="950"/>
      <c r="LZW117" s="950"/>
      <c r="LZX117" s="950"/>
      <c r="LZY117" s="950"/>
      <c r="LZZ117" s="950"/>
      <c r="MAA117" s="950"/>
      <c r="MAB117" s="950"/>
      <c r="MAC117" s="950"/>
      <c r="MAD117" s="950"/>
      <c r="MAE117" s="950"/>
      <c r="MAF117" s="950"/>
      <c r="MAG117" s="950"/>
      <c r="MAH117" s="950"/>
      <c r="MAI117" s="950"/>
      <c r="MAJ117" s="950"/>
      <c r="MAK117" s="950"/>
      <c r="MAL117" s="950"/>
      <c r="MAM117" s="950"/>
      <c r="MAN117" s="950"/>
      <c r="MAO117" s="950"/>
      <c r="MAP117" s="950"/>
      <c r="MAQ117" s="950"/>
      <c r="MAR117" s="950"/>
      <c r="MAS117" s="950"/>
      <c r="MAT117" s="950"/>
      <c r="MAU117" s="950"/>
      <c r="MAV117" s="950"/>
      <c r="MAW117" s="950"/>
      <c r="MAX117" s="950"/>
      <c r="MAY117" s="950"/>
      <c r="MAZ117" s="950"/>
      <c r="MBA117" s="950"/>
      <c r="MBB117" s="950"/>
      <c r="MBC117" s="950"/>
      <c r="MBD117" s="950"/>
      <c r="MBE117" s="950"/>
      <c r="MBF117" s="950"/>
      <c r="MBG117" s="950"/>
      <c r="MBH117" s="950"/>
      <c r="MBI117" s="950"/>
      <c r="MBJ117" s="950"/>
      <c r="MBK117" s="950"/>
      <c r="MBL117" s="950"/>
      <c r="MBM117" s="950"/>
      <c r="MBN117" s="950"/>
      <c r="MBO117" s="950"/>
      <c r="MBP117" s="950"/>
      <c r="MBQ117" s="950"/>
      <c r="MBR117" s="950"/>
      <c r="MBS117" s="950"/>
      <c r="MBT117" s="950"/>
      <c r="MBU117" s="950"/>
      <c r="MBV117" s="950"/>
      <c r="MBW117" s="950"/>
      <c r="MBX117" s="950"/>
      <c r="MBY117" s="950"/>
      <c r="MBZ117" s="950"/>
      <c r="MCA117" s="950"/>
      <c r="MCB117" s="950"/>
      <c r="MCC117" s="950"/>
      <c r="MCD117" s="950"/>
      <c r="MCE117" s="950"/>
      <c r="MCF117" s="950"/>
      <c r="MCG117" s="950"/>
      <c r="MCH117" s="950"/>
      <c r="MCI117" s="950"/>
      <c r="MCJ117" s="950"/>
      <c r="MCK117" s="950"/>
      <c r="MCL117" s="950"/>
      <c r="MCM117" s="950"/>
      <c r="MCN117" s="950"/>
      <c r="MCO117" s="950"/>
      <c r="MCP117" s="950"/>
      <c r="MCQ117" s="950"/>
      <c r="MCR117" s="950"/>
      <c r="MCS117" s="950"/>
      <c r="MCT117" s="950"/>
      <c r="MCU117" s="950"/>
      <c r="MCV117" s="950"/>
      <c r="MCW117" s="950"/>
      <c r="MCX117" s="950"/>
      <c r="MCY117" s="950"/>
      <c r="MCZ117" s="950"/>
      <c r="MDA117" s="950"/>
      <c r="MDB117" s="950"/>
      <c r="MDC117" s="950"/>
      <c r="MDD117" s="950"/>
      <c r="MDE117" s="950"/>
      <c r="MDF117" s="950"/>
      <c r="MDG117" s="950"/>
      <c r="MDH117" s="950"/>
      <c r="MDI117" s="950"/>
      <c r="MDJ117" s="950"/>
      <c r="MDK117" s="950"/>
      <c r="MDL117" s="950"/>
      <c r="MDM117" s="950"/>
      <c r="MDN117" s="950"/>
      <c r="MDO117" s="950"/>
      <c r="MDP117" s="950"/>
      <c r="MDQ117" s="950"/>
      <c r="MDR117" s="950"/>
      <c r="MDS117" s="950"/>
      <c r="MDT117" s="950"/>
      <c r="MDU117" s="950"/>
      <c r="MDV117" s="950"/>
      <c r="MDW117" s="950"/>
      <c r="MDX117" s="950"/>
      <c r="MDY117" s="950"/>
      <c r="MDZ117" s="950"/>
      <c r="MEA117" s="950"/>
      <c r="MEB117" s="950"/>
      <c r="MEC117" s="950"/>
      <c r="MED117" s="950"/>
      <c r="MEE117" s="950"/>
      <c r="MEF117" s="950"/>
      <c r="MEG117" s="950"/>
      <c r="MEH117" s="950"/>
      <c r="MEI117" s="950"/>
      <c r="MEJ117" s="950"/>
      <c r="MEK117" s="950"/>
      <c r="MEL117" s="950"/>
      <c r="MEM117" s="950"/>
      <c r="MEN117" s="950"/>
      <c r="MEO117" s="950"/>
      <c r="MEP117" s="950"/>
      <c r="MEQ117" s="950"/>
      <c r="MER117" s="950"/>
      <c r="MES117" s="950"/>
      <c r="MET117" s="950"/>
      <c r="MEU117" s="950"/>
      <c r="MEV117" s="950"/>
      <c r="MEW117" s="950"/>
      <c r="MEX117" s="950"/>
      <c r="MEY117" s="950"/>
      <c r="MEZ117" s="950"/>
      <c r="MFA117" s="950"/>
      <c r="MFB117" s="950"/>
      <c r="MFC117" s="950"/>
      <c r="MFD117" s="950"/>
      <c r="MFE117" s="950"/>
      <c r="MFF117" s="950"/>
      <c r="MFG117" s="950"/>
      <c r="MFH117" s="950"/>
      <c r="MFI117" s="950"/>
      <c r="MFJ117" s="950"/>
      <c r="MFK117" s="950"/>
      <c r="MFL117" s="950"/>
      <c r="MFM117" s="950"/>
      <c r="MFN117" s="950"/>
      <c r="MFO117" s="950"/>
      <c r="MFP117" s="950"/>
      <c r="MFQ117" s="950"/>
      <c r="MFR117" s="950"/>
      <c r="MFS117" s="950"/>
      <c r="MFT117" s="950"/>
      <c r="MFU117" s="950"/>
      <c r="MFV117" s="950"/>
      <c r="MFW117" s="950"/>
      <c r="MFX117" s="950"/>
      <c r="MFY117" s="950"/>
      <c r="MFZ117" s="950"/>
      <c r="MGA117" s="950"/>
      <c r="MGB117" s="950"/>
      <c r="MGC117" s="950"/>
      <c r="MGD117" s="950"/>
      <c r="MGE117" s="950"/>
      <c r="MGF117" s="950"/>
      <c r="MGG117" s="950"/>
      <c r="MGH117" s="950"/>
      <c r="MGI117" s="950"/>
      <c r="MGJ117" s="950"/>
      <c r="MGK117" s="950"/>
      <c r="MGL117" s="950"/>
      <c r="MGM117" s="950"/>
      <c r="MGN117" s="950"/>
      <c r="MGO117" s="950"/>
      <c r="MGP117" s="950"/>
      <c r="MGQ117" s="950"/>
      <c r="MGR117" s="950"/>
      <c r="MGS117" s="950"/>
      <c r="MGT117" s="950"/>
      <c r="MGU117" s="950"/>
      <c r="MGV117" s="950"/>
      <c r="MGW117" s="950"/>
      <c r="MGX117" s="950"/>
      <c r="MGY117" s="950"/>
      <c r="MGZ117" s="950"/>
      <c r="MHA117" s="950"/>
      <c r="MHB117" s="950"/>
      <c r="MHC117" s="950"/>
      <c r="MHD117" s="950"/>
      <c r="MHE117" s="950"/>
      <c r="MHF117" s="950"/>
      <c r="MHG117" s="950"/>
      <c r="MHH117" s="950"/>
      <c r="MHI117" s="950"/>
      <c r="MHJ117" s="950"/>
      <c r="MHK117" s="950"/>
      <c r="MHL117" s="950"/>
      <c r="MHM117" s="950"/>
      <c r="MHN117" s="950"/>
      <c r="MHO117" s="950"/>
      <c r="MHP117" s="950"/>
      <c r="MHQ117" s="950"/>
      <c r="MHR117" s="950"/>
      <c r="MHS117" s="950"/>
      <c r="MHT117" s="950"/>
      <c r="MHU117" s="950"/>
      <c r="MHV117" s="950"/>
      <c r="MHW117" s="950"/>
      <c r="MHX117" s="950"/>
      <c r="MHY117" s="950"/>
      <c r="MHZ117" s="950"/>
      <c r="MIA117" s="950"/>
      <c r="MIB117" s="950"/>
      <c r="MIC117" s="950"/>
      <c r="MID117" s="950"/>
      <c r="MIE117" s="950"/>
      <c r="MIF117" s="950"/>
      <c r="MIG117" s="950"/>
      <c r="MIH117" s="950"/>
      <c r="MII117" s="950"/>
      <c r="MIJ117" s="950"/>
      <c r="MIK117" s="950"/>
      <c r="MIL117" s="950"/>
      <c r="MIM117" s="950"/>
      <c r="MIN117" s="950"/>
      <c r="MIO117" s="950"/>
      <c r="MIP117" s="950"/>
      <c r="MIQ117" s="950"/>
      <c r="MIR117" s="950"/>
      <c r="MIS117" s="950"/>
      <c r="MIT117" s="950"/>
      <c r="MIU117" s="950"/>
      <c r="MIV117" s="950"/>
      <c r="MIW117" s="950"/>
      <c r="MIX117" s="950"/>
      <c r="MIY117" s="950"/>
      <c r="MIZ117" s="950"/>
      <c r="MJA117" s="950"/>
      <c r="MJB117" s="950"/>
      <c r="MJC117" s="950"/>
      <c r="MJD117" s="950"/>
      <c r="MJE117" s="950"/>
      <c r="MJF117" s="950"/>
      <c r="MJG117" s="950"/>
      <c r="MJH117" s="950"/>
      <c r="MJI117" s="950"/>
      <c r="MJJ117" s="950"/>
      <c r="MJK117" s="950"/>
      <c r="MJL117" s="950"/>
      <c r="MJM117" s="950"/>
      <c r="MJN117" s="950"/>
      <c r="MJO117" s="950"/>
      <c r="MJP117" s="950"/>
      <c r="MJQ117" s="950"/>
      <c r="MJR117" s="950"/>
      <c r="MJS117" s="950"/>
      <c r="MJT117" s="950"/>
      <c r="MJU117" s="950"/>
      <c r="MJV117" s="950"/>
      <c r="MJW117" s="950"/>
      <c r="MJX117" s="950"/>
      <c r="MJY117" s="950"/>
      <c r="MJZ117" s="950"/>
      <c r="MKA117" s="950"/>
      <c r="MKB117" s="950"/>
      <c r="MKC117" s="950"/>
      <c r="MKD117" s="950"/>
      <c r="MKE117" s="950"/>
      <c r="MKF117" s="950"/>
      <c r="MKG117" s="950"/>
      <c r="MKH117" s="950"/>
      <c r="MKI117" s="950"/>
      <c r="MKJ117" s="950"/>
      <c r="MKK117" s="950"/>
      <c r="MKL117" s="950"/>
      <c r="MKM117" s="950"/>
      <c r="MKN117" s="950"/>
      <c r="MKO117" s="950"/>
      <c r="MKP117" s="950"/>
      <c r="MKQ117" s="950"/>
      <c r="MKR117" s="950"/>
      <c r="MKS117" s="950"/>
      <c r="MKT117" s="950"/>
      <c r="MKU117" s="950"/>
      <c r="MKV117" s="950"/>
      <c r="MKW117" s="950"/>
      <c r="MKX117" s="950"/>
      <c r="MKY117" s="950"/>
      <c r="MKZ117" s="950"/>
      <c r="MLA117" s="950"/>
      <c r="MLB117" s="950"/>
      <c r="MLC117" s="950"/>
      <c r="MLD117" s="950"/>
      <c r="MLE117" s="950"/>
      <c r="MLF117" s="950"/>
      <c r="MLG117" s="950"/>
      <c r="MLH117" s="950"/>
      <c r="MLI117" s="950"/>
      <c r="MLJ117" s="950"/>
      <c r="MLK117" s="950"/>
      <c r="MLL117" s="950"/>
      <c r="MLM117" s="950"/>
      <c r="MLN117" s="950"/>
      <c r="MLO117" s="950"/>
      <c r="MLP117" s="950"/>
      <c r="MLQ117" s="950"/>
      <c r="MLR117" s="950"/>
      <c r="MLS117" s="950"/>
      <c r="MLT117" s="950"/>
      <c r="MLU117" s="950"/>
      <c r="MLV117" s="950"/>
      <c r="MLW117" s="950"/>
      <c r="MLX117" s="950"/>
      <c r="MLY117" s="950"/>
      <c r="MLZ117" s="950"/>
      <c r="MMA117" s="950"/>
      <c r="MMB117" s="950"/>
      <c r="MMC117" s="950"/>
      <c r="MMD117" s="950"/>
      <c r="MME117" s="950"/>
      <c r="MMF117" s="950"/>
      <c r="MMG117" s="950"/>
      <c r="MMH117" s="950"/>
      <c r="MMI117" s="950"/>
      <c r="MMJ117" s="950"/>
      <c r="MMK117" s="950"/>
      <c r="MML117" s="950"/>
      <c r="MMM117" s="950"/>
      <c r="MMN117" s="950"/>
      <c r="MMO117" s="950"/>
      <c r="MMP117" s="950"/>
      <c r="MMQ117" s="950"/>
      <c r="MMR117" s="950"/>
      <c r="MMS117" s="950"/>
      <c r="MMT117" s="950"/>
      <c r="MMU117" s="950"/>
      <c r="MMV117" s="950"/>
      <c r="MMW117" s="950"/>
      <c r="MMX117" s="950"/>
      <c r="MMY117" s="950"/>
      <c r="MMZ117" s="950"/>
      <c r="MNA117" s="950"/>
      <c r="MNB117" s="950"/>
      <c r="MNC117" s="950"/>
      <c r="MND117" s="950"/>
      <c r="MNE117" s="950"/>
      <c r="MNF117" s="950"/>
      <c r="MNG117" s="950"/>
      <c r="MNH117" s="950"/>
      <c r="MNI117" s="950"/>
      <c r="MNJ117" s="950"/>
      <c r="MNK117" s="950"/>
      <c r="MNL117" s="950"/>
      <c r="MNM117" s="950"/>
      <c r="MNN117" s="950"/>
      <c r="MNO117" s="950"/>
      <c r="MNP117" s="950"/>
      <c r="MNQ117" s="950"/>
      <c r="MNR117" s="950"/>
      <c r="MNS117" s="950"/>
      <c r="MNT117" s="950"/>
      <c r="MNU117" s="950"/>
      <c r="MNV117" s="950"/>
      <c r="MNW117" s="950"/>
      <c r="MNX117" s="950"/>
      <c r="MNY117" s="950"/>
      <c r="MNZ117" s="950"/>
      <c r="MOA117" s="950"/>
      <c r="MOB117" s="950"/>
      <c r="MOC117" s="950"/>
      <c r="MOD117" s="950"/>
      <c r="MOE117" s="950"/>
      <c r="MOF117" s="950"/>
      <c r="MOG117" s="950"/>
      <c r="MOH117" s="950"/>
      <c r="MOI117" s="950"/>
      <c r="MOJ117" s="950"/>
      <c r="MOK117" s="950"/>
      <c r="MOL117" s="950"/>
      <c r="MOM117" s="950"/>
      <c r="MON117" s="950"/>
      <c r="MOO117" s="950"/>
      <c r="MOP117" s="950"/>
      <c r="MOQ117" s="950"/>
      <c r="MOR117" s="950"/>
      <c r="MOS117" s="950"/>
      <c r="MOT117" s="950"/>
      <c r="MOU117" s="950"/>
      <c r="MOV117" s="950"/>
      <c r="MOW117" s="950"/>
      <c r="MOX117" s="950"/>
      <c r="MOY117" s="950"/>
      <c r="MOZ117" s="950"/>
      <c r="MPA117" s="950"/>
      <c r="MPB117" s="950"/>
      <c r="MPC117" s="950"/>
      <c r="MPD117" s="950"/>
      <c r="MPE117" s="950"/>
      <c r="MPF117" s="950"/>
      <c r="MPG117" s="950"/>
      <c r="MPH117" s="950"/>
      <c r="MPI117" s="950"/>
      <c r="MPJ117" s="950"/>
      <c r="MPK117" s="950"/>
      <c r="MPL117" s="950"/>
      <c r="MPM117" s="950"/>
      <c r="MPN117" s="950"/>
      <c r="MPO117" s="950"/>
      <c r="MPP117" s="950"/>
      <c r="MPQ117" s="950"/>
      <c r="MPR117" s="950"/>
      <c r="MPS117" s="950"/>
      <c r="MPT117" s="950"/>
      <c r="MPU117" s="950"/>
      <c r="MPV117" s="950"/>
      <c r="MPW117" s="950"/>
      <c r="MPX117" s="950"/>
      <c r="MPY117" s="950"/>
      <c r="MPZ117" s="950"/>
      <c r="MQA117" s="950"/>
      <c r="MQB117" s="950"/>
      <c r="MQC117" s="950"/>
      <c r="MQD117" s="950"/>
      <c r="MQE117" s="950"/>
      <c r="MQF117" s="950"/>
      <c r="MQG117" s="950"/>
      <c r="MQH117" s="950"/>
      <c r="MQI117" s="950"/>
      <c r="MQJ117" s="950"/>
      <c r="MQK117" s="950"/>
      <c r="MQL117" s="950"/>
      <c r="MQM117" s="950"/>
      <c r="MQN117" s="950"/>
      <c r="MQO117" s="950"/>
      <c r="MQP117" s="950"/>
      <c r="MQQ117" s="950"/>
      <c r="MQR117" s="950"/>
      <c r="MQS117" s="950"/>
      <c r="MQT117" s="950"/>
      <c r="MQU117" s="950"/>
      <c r="MQV117" s="950"/>
      <c r="MQW117" s="950"/>
      <c r="MQX117" s="950"/>
      <c r="MQY117" s="950"/>
      <c r="MQZ117" s="950"/>
      <c r="MRA117" s="950"/>
      <c r="MRB117" s="950"/>
      <c r="MRC117" s="950"/>
      <c r="MRD117" s="950"/>
      <c r="MRE117" s="950"/>
      <c r="MRF117" s="950"/>
      <c r="MRG117" s="950"/>
      <c r="MRH117" s="950"/>
      <c r="MRI117" s="950"/>
      <c r="MRJ117" s="950"/>
      <c r="MRK117" s="950"/>
      <c r="MRL117" s="950"/>
      <c r="MRM117" s="950"/>
      <c r="MRN117" s="950"/>
      <c r="MRO117" s="950"/>
      <c r="MRP117" s="950"/>
      <c r="MRQ117" s="950"/>
      <c r="MRR117" s="950"/>
      <c r="MRS117" s="950"/>
      <c r="MRT117" s="950"/>
      <c r="MRU117" s="950"/>
      <c r="MRV117" s="950"/>
      <c r="MRW117" s="950"/>
      <c r="MRX117" s="950"/>
      <c r="MRY117" s="950"/>
      <c r="MRZ117" s="950"/>
      <c r="MSA117" s="950"/>
      <c r="MSB117" s="950"/>
      <c r="MSC117" s="950"/>
      <c r="MSD117" s="950"/>
      <c r="MSE117" s="950"/>
      <c r="MSF117" s="950"/>
      <c r="MSG117" s="950"/>
      <c r="MSH117" s="950"/>
      <c r="MSI117" s="950"/>
      <c r="MSJ117" s="950"/>
      <c r="MSK117" s="950"/>
      <c r="MSL117" s="950"/>
      <c r="MSM117" s="950"/>
      <c r="MSN117" s="950"/>
      <c r="MSO117" s="950"/>
      <c r="MSP117" s="950"/>
      <c r="MSQ117" s="950"/>
      <c r="MSR117" s="950"/>
      <c r="MSS117" s="950"/>
      <c r="MST117" s="950"/>
      <c r="MSU117" s="950"/>
      <c r="MSV117" s="950"/>
      <c r="MSW117" s="950"/>
      <c r="MSX117" s="950"/>
      <c r="MSY117" s="950"/>
      <c r="MSZ117" s="950"/>
      <c r="MTA117" s="950"/>
      <c r="MTB117" s="950"/>
      <c r="MTC117" s="950"/>
      <c r="MTD117" s="950"/>
      <c r="MTE117" s="950"/>
      <c r="MTF117" s="950"/>
      <c r="MTG117" s="950"/>
      <c r="MTH117" s="950"/>
      <c r="MTI117" s="950"/>
      <c r="MTJ117" s="950"/>
      <c r="MTK117" s="950"/>
      <c r="MTL117" s="950"/>
      <c r="MTM117" s="950"/>
      <c r="MTN117" s="950"/>
      <c r="MTO117" s="950"/>
      <c r="MTP117" s="950"/>
      <c r="MTQ117" s="950"/>
      <c r="MTR117" s="950"/>
      <c r="MTS117" s="950"/>
      <c r="MTT117" s="950"/>
      <c r="MTU117" s="950"/>
      <c r="MTV117" s="950"/>
      <c r="MTW117" s="950"/>
      <c r="MTX117" s="950"/>
      <c r="MTY117" s="950"/>
      <c r="MTZ117" s="950"/>
      <c r="MUA117" s="950"/>
      <c r="MUB117" s="950"/>
      <c r="MUC117" s="950"/>
      <c r="MUD117" s="950"/>
      <c r="MUE117" s="950"/>
      <c r="MUF117" s="950"/>
      <c r="MUG117" s="950"/>
      <c r="MUH117" s="950"/>
      <c r="MUI117" s="950"/>
      <c r="MUJ117" s="950"/>
      <c r="MUK117" s="950"/>
      <c r="MUL117" s="950"/>
      <c r="MUM117" s="950"/>
      <c r="MUN117" s="950"/>
      <c r="MUO117" s="950"/>
      <c r="MUP117" s="950"/>
      <c r="MUQ117" s="950"/>
      <c r="MUR117" s="950"/>
      <c r="MUS117" s="950"/>
      <c r="MUT117" s="950"/>
      <c r="MUU117" s="950"/>
      <c r="MUV117" s="950"/>
      <c r="MUW117" s="950"/>
      <c r="MUX117" s="950"/>
      <c r="MUY117" s="950"/>
      <c r="MUZ117" s="950"/>
      <c r="MVA117" s="950"/>
      <c r="MVB117" s="950"/>
      <c r="MVC117" s="950"/>
      <c r="MVD117" s="950"/>
      <c r="MVE117" s="950"/>
      <c r="MVF117" s="950"/>
      <c r="MVG117" s="950"/>
      <c r="MVH117" s="950"/>
      <c r="MVI117" s="950"/>
      <c r="MVJ117" s="950"/>
      <c r="MVK117" s="950"/>
      <c r="MVL117" s="950"/>
      <c r="MVM117" s="950"/>
      <c r="MVN117" s="950"/>
      <c r="MVO117" s="950"/>
      <c r="MVP117" s="950"/>
      <c r="MVQ117" s="950"/>
      <c r="MVR117" s="950"/>
      <c r="MVS117" s="950"/>
      <c r="MVT117" s="950"/>
      <c r="MVU117" s="950"/>
      <c r="MVV117" s="950"/>
      <c r="MVW117" s="950"/>
      <c r="MVX117" s="950"/>
      <c r="MVY117" s="950"/>
      <c r="MVZ117" s="950"/>
      <c r="MWA117" s="950"/>
      <c r="MWB117" s="950"/>
      <c r="MWC117" s="950"/>
      <c r="MWD117" s="950"/>
      <c r="MWE117" s="950"/>
      <c r="MWF117" s="950"/>
      <c r="MWG117" s="950"/>
      <c r="MWH117" s="950"/>
      <c r="MWI117" s="950"/>
      <c r="MWJ117" s="950"/>
      <c r="MWK117" s="950"/>
      <c r="MWL117" s="950"/>
      <c r="MWM117" s="950"/>
      <c r="MWN117" s="950"/>
      <c r="MWO117" s="950"/>
      <c r="MWP117" s="950"/>
      <c r="MWQ117" s="950"/>
      <c r="MWR117" s="950"/>
      <c r="MWS117" s="950"/>
      <c r="MWT117" s="950"/>
      <c r="MWU117" s="950"/>
      <c r="MWV117" s="950"/>
      <c r="MWW117" s="950"/>
      <c r="MWX117" s="950"/>
      <c r="MWY117" s="950"/>
      <c r="MWZ117" s="950"/>
      <c r="MXA117" s="950"/>
      <c r="MXB117" s="950"/>
      <c r="MXC117" s="950"/>
      <c r="MXD117" s="950"/>
      <c r="MXE117" s="950"/>
      <c r="MXF117" s="950"/>
      <c r="MXG117" s="950"/>
      <c r="MXH117" s="950"/>
      <c r="MXI117" s="950"/>
      <c r="MXJ117" s="950"/>
      <c r="MXK117" s="950"/>
      <c r="MXL117" s="950"/>
      <c r="MXM117" s="950"/>
      <c r="MXN117" s="950"/>
      <c r="MXO117" s="950"/>
      <c r="MXP117" s="950"/>
      <c r="MXQ117" s="950"/>
      <c r="MXR117" s="950"/>
      <c r="MXS117" s="950"/>
      <c r="MXT117" s="950"/>
      <c r="MXU117" s="950"/>
      <c r="MXV117" s="950"/>
      <c r="MXW117" s="950"/>
      <c r="MXX117" s="950"/>
      <c r="MXY117" s="950"/>
      <c r="MXZ117" s="950"/>
      <c r="MYA117" s="950"/>
      <c r="MYB117" s="950"/>
      <c r="MYC117" s="950"/>
      <c r="MYD117" s="950"/>
      <c r="MYE117" s="950"/>
      <c r="MYF117" s="950"/>
      <c r="MYG117" s="950"/>
      <c r="MYH117" s="950"/>
      <c r="MYI117" s="950"/>
      <c r="MYJ117" s="950"/>
      <c r="MYK117" s="950"/>
      <c r="MYL117" s="950"/>
      <c r="MYM117" s="950"/>
      <c r="MYN117" s="950"/>
      <c r="MYO117" s="950"/>
      <c r="MYP117" s="950"/>
      <c r="MYQ117" s="950"/>
      <c r="MYR117" s="950"/>
      <c r="MYS117" s="950"/>
      <c r="MYT117" s="950"/>
      <c r="MYU117" s="950"/>
      <c r="MYV117" s="950"/>
      <c r="MYW117" s="950"/>
      <c r="MYX117" s="950"/>
      <c r="MYY117" s="950"/>
      <c r="MYZ117" s="950"/>
      <c r="MZA117" s="950"/>
      <c r="MZB117" s="950"/>
      <c r="MZC117" s="950"/>
      <c r="MZD117" s="950"/>
      <c r="MZE117" s="950"/>
      <c r="MZF117" s="950"/>
      <c r="MZG117" s="950"/>
      <c r="MZH117" s="950"/>
      <c r="MZI117" s="950"/>
      <c r="MZJ117" s="950"/>
      <c r="MZK117" s="950"/>
      <c r="MZL117" s="950"/>
      <c r="MZM117" s="950"/>
      <c r="MZN117" s="950"/>
      <c r="MZO117" s="950"/>
      <c r="MZP117" s="950"/>
      <c r="MZQ117" s="950"/>
      <c r="MZR117" s="950"/>
      <c r="MZS117" s="950"/>
      <c r="MZT117" s="950"/>
      <c r="MZU117" s="950"/>
      <c r="MZV117" s="950"/>
      <c r="MZW117" s="950"/>
      <c r="MZX117" s="950"/>
      <c r="MZY117" s="950"/>
      <c r="MZZ117" s="950"/>
      <c r="NAA117" s="950"/>
      <c r="NAB117" s="950"/>
      <c r="NAC117" s="950"/>
      <c r="NAD117" s="950"/>
      <c r="NAE117" s="950"/>
      <c r="NAF117" s="950"/>
      <c r="NAG117" s="950"/>
      <c r="NAH117" s="950"/>
      <c r="NAI117" s="950"/>
      <c r="NAJ117" s="950"/>
      <c r="NAK117" s="950"/>
      <c r="NAL117" s="950"/>
      <c r="NAM117" s="950"/>
      <c r="NAN117" s="950"/>
      <c r="NAO117" s="950"/>
      <c r="NAP117" s="950"/>
      <c r="NAQ117" s="950"/>
      <c r="NAR117" s="950"/>
      <c r="NAS117" s="950"/>
      <c r="NAT117" s="950"/>
      <c r="NAU117" s="950"/>
      <c r="NAV117" s="950"/>
      <c r="NAW117" s="950"/>
      <c r="NAX117" s="950"/>
      <c r="NAY117" s="950"/>
      <c r="NAZ117" s="950"/>
      <c r="NBA117" s="950"/>
      <c r="NBB117" s="950"/>
      <c r="NBC117" s="950"/>
      <c r="NBD117" s="950"/>
      <c r="NBE117" s="950"/>
      <c r="NBF117" s="950"/>
      <c r="NBG117" s="950"/>
      <c r="NBH117" s="950"/>
      <c r="NBI117" s="950"/>
      <c r="NBJ117" s="950"/>
      <c r="NBK117" s="950"/>
      <c r="NBL117" s="950"/>
      <c r="NBM117" s="950"/>
      <c r="NBN117" s="950"/>
      <c r="NBO117" s="950"/>
      <c r="NBP117" s="950"/>
      <c r="NBQ117" s="950"/>
      <c r="NBR117" s="950"/>
      <c r="NBS117" s="950"/>
      <c r="NBT117" s="950"/>
      <c r="NBU117" s="950"/>
      <c r="NBV117" s="950"/>
      <c r="NBW117" s="950"/>
      <c r="NBX117" s="950"/>
      <c r="NBY117" s="950"/>
      <c r="NBZ117" s="950"/>
      <c r="NCA117" s="950"/>
      <c r="NCB117" s="950"/>
      <c r="NCC117" s="950"/>
      <c r="NCD117" s="950"/>
      <c r="NCE117" s="950"/>
      <c r="NCF117" s="950"/>
      <c r="NCG117" s="950"/>
      <c r="NCH117" s="950"/>
      <c r="NCI117" s="950"/>
      <c r="NCJ117" s="950"/>
      <c r="NCK117" s="950"/>
      <c r="NCL117" s="950"/>
      <c r="NCM117" s="950"/>
      <c r="NCN117" s="950"/>
      <c r="NCO117" s="950"/>
      <c r="NCP117" s="950"/>
      <c r="NCQ117" s="950"/>
      <c r="NCR117" s="950"/>
      <c r="NCS117" s="950"/>
      <c r="NCT117" s="950"/>
      <c r="NCU117" s="950"/>
      <c r="NCV117" s="950"/>
      <c r="NCW117" s="950"/>
      <c r="NCX117" s="950"/>
      <c r="NCY117" s="950"/>
      <c r="NCZ117" s="950"/>
      <c r="NDA117" s="950"/>
      <c r="NDB117" s="950"/>
      <c r="NDC117" s="950"/>
      <c r="NDD117" s="950"/>
      <c r="NDE117" s="950"/>
      <c r="NDF117" s="950"/>
      <c r="NDG117" s="950"/>
      <c r="NDH117" s="950"/>
      <c r="NDI117" s="950"/>
      <c r="NDJ117" s="950"/>
      <c r="NDK117" s="950"/>
      <c r="NDL117" s="950"/>
      <c r="NDM117" s="950"/>
      <c r="NDN117" s="950"/>
      <c r="NDO117" s="950"/>
      <c r="NDP117" s="950"/>
      <c r="NDQ117" s="950"/>
      <c r="NDR117" s="950"/>
      <c r="NDS117" s="950"/>
      <c r="NDT117" s="950"/>
      <c r="NDU117" s="950"/>
      <c r="NDV117" s="950"/>
      <c r="NDW117" s="950"/>
      <c r="NDX117" s="950"/>
      <c r="NDY117" s="950"/>
      <c r="NDZ117" s="950"/>
      <c r="NEA117" s="950"/>
      <c r="NEB117" s="950"/>
      <c r="NEC117" s="950"/>
      <c r="NED117" s="950"/>
      <c r="NEE117" s="950"/>
      <c r="NEF117" s="950"/>
      <c r="NEG117" s="950"/>
      <c r="NEH117" s="950"/>
      <c r="NEI117" s="950"/>
      <c r="NEJ117" s="950"/>
      <c r="NEK117" s="950"/>
      <c r="NEL117" s="950"/>
      <c r="NEM117" s="950"/>
      <c r="NEN117" s="950"/>
      <c r="NEO117" s="950"/>
      <c r="NEP117" s="950"/>
      <c r="NEQ117" s="950"/>
      <c r="NER117" s="950"/>
      <c r="NES117" s="950"/>
      <c r="NET117" s="950"/>
      <c r="NEU117" s="950"/>
      <c r="NEV117" s="950"/>
      <c r="NEW117" s="950"/>
      <c r="NEX117" s="950"/>
      <c r="NEY117" s="950"/>
      <c r="NEZ117" s="950"/>
      <c r="NFA117" s="950"/>
      <c r="NFB117" s="950"/>
      <c r="NFC117" s="950"/>
      <c r="NFD117" s="950"/>
      <c r="NFE117" s="950"/>
      <c r="NFF117" s="950"/>
      <c r="NFG117" s="950"/>
      <c r="NFH117" s="950"/>
      <c r="NFI117" s="950"/>
      <c r="NFJ117" s="950"/>
      <c r="NFK117" s="950"/>
      <c r="NFL117" s="950"/>
      <c r="NFM117" s="950"/>
      <c r="NFN117" s="950"/>
      <c r="NFO117" s="950"/>
      <c r="NFP117" s="950"/>
      <c r="NFQ117" s="950"/>
      <c r="NFR117" s="950"/>
      <c r="NFS117" s="950"/>
      <c r="NFT117" s="950"/>
      <c r="NFU117" s="950"/>
      <c r="NFV117" s="950"/>
      <c r="NFW117" s="950"/>
      <c r="NFX117" s="950"/>
      <c r="NFY117" s="950"/>
      <c r="NFZ117" s="950"/>
      <c r="NGA117" s="950"/>
      <c r="NGB117" s="950"/>
      <c r="NGC117" s="950"/>
      <c r="NGD117" s="950"/>
      <c r="NGE117" s="950"/>
      <c r="NGF117" s="950"/>
      <c r="NGG117" s="950"/>
      <c r="NGH117" s="950"/>
      <c r="NGI117" s="950"/>
      <c r="NGJ117" s="950"/>
      <c r="NGK117" s="950"/>
      <c r="NGL117" s="950"/>
      <c r="NGM117" s="950"/>
      <c r="NGN117" s="950"/>
      <c r="NGO117" s="950"/>
      <c r="NGP117" s="950"/>
      <c r="NGQ117" s="950"/>
      <c r="NGR117" s="950"/>
      <c r="NGS117" s="950"/>
      <c r="NGT117" s="950"/>
      <c r="NGU117" s="950"/>
      <c r="NGV117" s="950"/>
      <c r="NGW117" s="950"/>
      <c r="NGX117" s="950"/>
      <c r="NGY117" s="950"/>
      <c r="NGZ117" s="950"/>
      <c r="NHA117" s="950"/>
      <c r="NHB117" s="950"/>
      <c r="NHC117" s="950"/>
      <c r="NHD117" s="950"/>
      <c r="NHE117" s="950"/>
      <c r="NHF117" s="950"/>
      <c r="NHG117" s="950"/>
      <c r="NHH117" s="950"/>
      <c r="NHI117" s="950"/>
      <c r="NHJ117" s="950"/>
      <c r="NHK117" s="950"/>
      <c r="NHL117" s="950"/>
      <c r="NHM117" s="950"/>
      <c r="NHN117" s="950"/>
      <c r="NHO117" s="950"/>
      <c r="NHP117" s="950"/>
      <c r="NHQ117" s="950"/>
      <c r="NHR117" s="950"/>
      <c r="NHS117" s="950"/>
      <c r="NHT117" s="950"/>
      <c r="NHU117" s="950"/>
      <c r="NHV117" s="950"/>
      <c r="NHW117" s="950"/>
      <c r="NHX117" s="950"/>
      <c r="NHY117" s="950"/>
      <c r="NHZ117" s="950"/>
      <c r="NIA117" s="950"/>
      <c r="NIB117" s="950"/>
      <c r="NIC117" s="950"/>
      <c r="NID117" s="950"/>
      <c r="NIE117" s="950"/>
      <c r="NIF117" s="950"/>
      <c r="NIG117" s="950"/>
      <c r="NIH117" s="950"/>
      <c r="NII117" s="950"/>
      <c r="NIJ117" s="950"/>
      <c r="NIK117" s="950"/>
      <c r="NIL117" s="950"/>
      <c r="NIM117" s="950"/>
      <c r="NIN117" s="950"/>
      <c r="NIO117" s="950"/>
      <c r="NIP117" s="950"/>
      <c r="NIQ117" s="950"/>
      <c r="NIR117" s="950"/>
      <c r="NIS117" s="950"/>
      <c r="NIT117" s="950"/>
      <c r="NIU117" s="950"/>
      <c r="NIV117" s="950"/>
      <c r="NIW117" s="950"/>
      <c r="NIX117" s="950"/>
      <c r="NIY117" s="950"/>
      <c r="NIZ117" s="950"/>
      <c r="NJA117" s="950"/>
      <c r="NJB117" s="950"/>
      <c r="NJC117" s="950"/>
      <c r="NJD117" s="950"/>
      <c r="NJE117" s="950"/>
      <c r="NJF117" s="950"/>
      <c r="NJG117" s="950"/>
      <c r="NJH117" s="950"/>
      <c r="NJI117" s="950"/>
      <c r="NJJ117" s="950"/>
      <c r="NJK117" s="950"/>
      <c r="NJL117" s="950"/>
      <c r="NJM117" s="950"/>
      <c r="NJN117" s="950"/>
      <c r="NJO117" s="950"/>
      <c r="NJP117" s="950"/>
      <c r="NJQ117" s="950"/>
      <c r="NJR117" s="950"/>
      <c r="NJS117" s="950"/>
      <c r="NJT117" s="950"/>
      <c r="NJU117" s="950"/>
      <c r="NJV117" s="950"/>
      <c r="NJW117" s="950"/>
      <c r="NJX117" s="950"/>
      <c r="NJY117" s="950"/>
      <c r="NJZ117" s="950"/>
      <c r="NKA117" s="950"/>
      <c r="NKB117" s="950"/>
      <c r="NKC117" s="950"/>
      <c r="NKD117" s="950"/>
      <c r="NKE117" s="950"/>
      <c r="NKF117" s="950"/>
      <c r="NKG117" s="950"/>
      <c r="NKH117" s="950"/>
      <c r="NKI117" s="950"/>
      <c r="NKJ117" s="950"/>
      <c r="NKK117" s="950"/>
      <c r="NKL117" s="950"/>
      <c r="NKM117" s="950"/>
      <c r="NKN117" s="950"/>
      <c r="NKO117" s="950"/>
      <c r="NKP117" s="950"/>
      <c r="NKQ117" s="950"/>
      <c r="NKR117" s="950"/>
      <c r="NKS117" s="950"/>
      <c r="NKT117" s="950"/>
      <c r="NKU117" s="950"/>
      <c r="NKV117" s="950"/>
      <c r="NKW117" s="950"/>
      <c r="NKX117" s="950"/>
      <c r="NKY117" s="950"/>
      <c r="NKZ117" s="950"/>
      <c r="NLA117" s="950"/>
      <c r="NLB117" s="950"/>
      <c r="NLC117" s="950"/>
      <c r="NLD117" s="950"/>
      <c r="NLE117" s="950"/>
      <c r="NLF117" s="950"/>
      <c r="NLG117" s="950"/>
      <c r="NLH117" s="950"/>
      <c r="NLI117" s="950"/>
      <c r="NLJ117" s="950"/>
      <c r="NLK117" s="950"/>
      <c r="NLL117" s="950"/>
      <c r="NLM117" s="950"/>
      <c r="NLN117" s="950"/>
      <c r="NLO117" s="950"/>
      <c r="NLP117" s="950"/>
      <c r="NLQ117" s="950"/>
      <c r="NLR117" s="950"/>
      <c r="NLS117" s="950"/>
      <c r="NLT117" s="950"/>
      <c r="NLU117" s="950"/>
      <c r="NLV117" s="950"/>
      <c r="NLW117" s="950"/>
      <c r="NLX117" s="950"/>
      <c r="NLY117" s="950"/>
      <c r="NLZ117" s="950"/>
      <c r="NMA117" s="950"/>
      <c r="NMB117" s="950"/>
      <c r="NMC117" s="950"/>
      <c r="NMD117" s="950"/>
      <c r="NME117" s="950"/>
      <c r="NMF117" s="950"/>
      <c r="NMG117" s="950"/>
      <c r="NMH117" s="950"/>
      <c r="NMI117" s="950"/>
      <c r="NMJ117" s="950"/>
      <c r="NMK117" s="950"/>
      <c r="NML117" s="950"/>
      <c r="NMM117" s="950"/>
      <c r="NMN117" s="950"/>
      <c r="NMO117" s="950"/>
      <c r="NMP117" s="950"/>
      <c r="NMQ117" s="950"/>
      <c r="NMR117" s="950"/>
      <c r="NMS117" s="950"/>
      <c r="NMT117" s="950"/>
      <c r="NMU117" s="950"/>
      <c r="NMV117" s="950"/>
      <c r="NMW117" s="950"/>
      <c r="NMX117" s="950"/>
      <c r="NMY117" s="950"/>
      <c r="NMZ117" s="950"/>
      <c r="NNA117" s="950"/>
      <c r="NNB117" s="950"/>
      <c r="NNC117" s="950"/>
      <c r="NND117" s="950"/>
      <c r="NNE117" s="950"/>
      <c r="NNF117" s="950"/>
      <c r="NNG117" s="950"/>
      <c r="NNH117" s="950"/>
      <c r="NNI117" s="950"/>
      <c r="NNJ117" s="950"/>
      <c r="NNK117" s="950"/>
      <c r="NNL117" s="950"/>
      <c r="NNM117" s="950"/>
      <c r="NNN117" s="950"/>
      <c r="NNO117" s="950"/>
      <c r="NNP117" s="950"/>
      <c r="NNQ117" s="950"/>
      <c r="NNR117" s="950"/>
      <c r="NNS117" s="950"/>
      <c r="NNT117" s="950"/>
      <c r="NNU117" s="950"/>
      <c r="NNV117" s="950"/>
      <c r="NNW117" s="950"/>
      <c r="NNX117" s="950"/>
      <c r="NNY117" s="950"/>
      <c r="NNZ117" s="950"/>
      <c r="NOA117" s="950"/>
      <c r="NOB117" s="950"/>
      <c r="NOC117" s="950"/>
      <c r="NOD117" s="950"/>
      <c r="NOE117" s="950"/>
      <c r="NOF117" s="950"/>
      <c r="NOG117" s="950"/>
      <c r="NOH117" s="950"/>
      <c r="NOI117" s="950"/>
      <c r="NOJ117" s="950"/>
      <c r="NOK117" s="950"/>
      <c r="NOL117" s="950"/>
      <c r="NOM117" s="950"/>
      <c r="NON117" s="950"/>
      <c r="NOO117" s="950"/>
      <c r="NOP117" s="950"/>
      <c r="NOQ117" s="950"/>
      <c r="NOR117" s="950"/>
      <c r="NOS117" s="950"/>
      <c r="NOT117" s="950"/>
      <c r="NOU117" s="950"/>
      <c r="NOV117" s="950"/>
      <c r="NOW117" s="950"/>
      <c r="NOX117" s="950"/>
      <c r="NOY117" s="950"/>
      <c r="NOZ117" s="950"/>
      <c r="NPA117" s="950"/>
      <c r="NPB117" s="950"/>
      <c r="NPC117" s="950"/>
      <c r="NPD117" s="950"/>
      <c r="NPE117" s="950"/>
      <c r="NPF117" s="950"/>
      <c r="NPG117" s="950"/>
      <c r="NPH117" s="950"/>
      <c r="NPI117" s="950"/>
      <c r="NPJ117" s="950"/>
      <c r="NPK117" s="950"/>
      <c r="NPL117" s="950"/>
      <c r="NPM117" s="950"/>
      <c r="NPN117" s="950"/>
      <c r="NPO117" s="950"/>
      <c r="NPP117" s="950"/>
      <c r="NPQ117" s="950"/>
      <c r="NPR117" s="950"/>
      <c r="NPS117" s="950"/>
      <c r="NPT117" s="950"/>
      <c r="NPU117" s="950"/>
      <c r="NPV117" s="950"/>
      <c r="NPW117" s="950"/>
      <c r="NPX117" s="950"/>
      <c r="NPY117" s="950"/>
      <c r="NPZ117" s="950"/>
      <c r="NQA117" s="950"/>
      <c r="NQB117" s="950"/>
      <c r="NQC117" s="950"/>
      <c r="NQD117" s="950"/>
      <c r="NQE117" s="950"/>
      <c r="NQF117" s="950"/>
      <c r="NQG117" s="950"/>
      <c r="NQH117" s="950"/>
      <c r="NQI117" s="950"/>
      <c r="NQJ117" s="950"/>
      <c r="NQK117" s="950"/>
      <c r="NQL117" s="950"/>
      <c r="NQM117" s="950"/>
      <c r="NQN117" s="950"/>
      <c r="NQO117" s="950"/>
      <c r="NQP117" s="950"/>
      <c r="NQQ117" s="950"/>
      <c r="NQR117" s="950"/>
      <c r="NQS117" s="950"/>
      <c r="NQT117" s="950"/>
      <c r="NQU117" s="950"/>
      <c r="NQV117" s="950"/>
      <c r="NQW117" s="950"/>
      <c r="NQX117" s="950"/>
      <c r="NQY117" s="950"/>
      <c r="NQZ117" s="950"/>
      <c r="NRA117" s="950"/>
      <c r="NRB117" s="950"/>
      <c r="NRC117" s="950"/>
      <c r="NRD117" s="950"/>
      <c r="NRE117" s="950"/>
      <c r="NRF117" s="950"/>
      <c r="NRG117" s="950"/>
      <c r="NRH117" s="950"/>
      <c r="NRI117" s="950"/>
      <c r="NRJ117" s="950"/>
      <c r="NRK117" s="950"/>
      <c r="NRL117" s="950"/>
      <c r="NRM117" s="950"/>
      <c r="NRN117" s="950"/>
      <c r="NRO117" s="950"/>
      <c r="NRP117" s="950"/>
      <c r="NRQ117" s="950"/>
      <c r="NRR117" s="950"/>
      <c r="NRS117" s="950"/>
      <c r="NRT117" s="950"/>
      <c r="NRU117" s="950"/>
      <c r="NRV117" s="950"/>
      <c r="NRW117" s="950"/>
      <c r="NRX117" s="950"/>
      <c r="NRY117" s="950"/>
      <c r="NRZ117" s="950"/>
      <c r="NSA117" s="950"/>
      <c r="NSB117" s="950"/>
      <c r="NSC117" s="950"/>
      <c r="NSD117" s="950"/>
      <c r="NSE117" s="950"/>
      <c r="NSF117" s="950"/>
      <c r="NSG117" s="950"/>
      <c r="NSH117" s="950"/>
      <c r="NSI117" s="950"/>
      <c r="NSJ117" s="950"/>
      <c r="NSK117" s="950"/>
      <c r="NSL117" s="950"/>
      <c r="NSM117" s="950"/>
      <c r="NSN117" s="950"/>
      <c r="NSO117" s="950"/>
      <c r="NSP117" s="950"/>
      <c r="NSQ117" s="950"/>
      <c r="NSR117" s="950"/>
      <c r="NSS117" s="950"/>
      <c r="NST117" s="950"/>
      <c r="NSU117" s="950"/>
      <c r="NSV117" s="950"/>
      <c r="NSW117" s="950"/>
      <c r="NSX117" s="950"/>
      <c r="NSY117" s="950"/>
      <c r="NSZ117" s="950"/>
      <c r="NTA117" s="950"/>
      <c r="NTB117" s="950"/>
      <c r="NTC117" s="950"/>
      <c r="NTD117" s="950"/>
      <c r="NTE117" s="950"/>
      <c r="NTF117" s="950"/>
      <c r="NTG117" s="950"/>
      <c r="NTH117" s="950"/>
      <c r="NTI117" s="950"/>
      <c r="NTJ117" s="950"/>
      <c r="NTK117" s="950"/>
      <c r="NTL117" s="950"/>
      <c r="NTM117" s="950"/>
      <c r="NTN117" s="950"/>
      <c r="NTO117" s="950"/>
      <c r="NTP117" s="950"/>
      <c r="NTQ117" s="950"/>
      <c r="NTR117" s="950"/>
      <c r="NTS117" s="950"/>
      <c r="NTT117" s="950"/>
      <c r="NTU117" s="950"/>
      <c r="NTV117" s="950"/>
      <c r="NTW117" s="950"/>
      <c r="NTX117" s="950"/>
      <c r="NTY117" s="950"/>
      <c r="NTZ117" s="950"/>
      <c r="NUA117" s="950"/>
      <c r="NUB117" s="950"/>
      <c r="NUC117" s="950"/>
      <c r="NUD117" s="950"/>
      <c r="NUE117" s="950"/>
      <c r="NUF117" s="950"/>
      <c r="NUG117" s="950"/>
      <c r="NUH117" s="950"/>
      <c r="NUI117" s="950"/>
      <c r="NUJ117" s="950"/>
      <c r="NUK117" s="950"/>
      <c r="NUL117" s="950"/>
      <c r="NUM117" s="950"/>
      <c r="NUN117" s="950"/>
      <c r="NUO117" s="950"/>
      <c r="NUP117" s="950"/>
      <c r="NUQ117" s="950"/>
      <c r="NUR117" s="950"/>
      <c r="NUS117" s="950"/>
      <c r="NUT117" s="950"/>
      <c r="NUU117" s="950"/>
      <c r="NUV117" s="950"/>
      <c r="NUW117" s="950"/>
      <c r="NUX117" s="950"/>
      <c r="NUY117" s="950"/>
      <c r="NUZ117" s="950"/>
      <c r="NVA117" s="950"/>
      <c r="NVB117" s="950"/>
      <c r="NVC117" s="950"/>
      <c r="NVD117" s="950"/>
      <c r="NVE117" s="950"/>
      <c r="NVF117" s="950"/>
      <c r="NVG117" s="950"/>
      <c r="NVH117" s="950"/>
      <c r="NVI117" s="950"/>
      <c r="NVJ117" s="950"/>
      <c r="NVK117" s="950"/>
      <c r="NVL117" s="950"/>
      <c r="NVM117" s="950"/>
      <c r="NVN117" s="950"/>
      <c r="NVO117" s="950"/>
      <c r="NVP117" s="950"/>
      <c r="NVQ117" s="950"/>
      <c r="NVR117" s="950"/>
      <c r="NVS117" s="950"/>
      <c r="NVT117" s="950"/>
      <c r="NVU117" s="950"/>
      <c r="NVV117" s="950"/>
      <c r="NVW117" s="950"/>
      <c r="NVX117" s="950"/>
      <c r="NVY117" s="950"/>
      <c r="NVZ117" s="950"/>
      <c r="NWA117" s="950"/>
      <c r="NWB117" s="950"/>
      <c r="NWC117" s="950"/>
      <c r="NWD117" s="950"/>
      <c r="NWE117" s="950"/>
      <c r="NWF117" s="950"/>
      <c r="NWG117" s="950"/>
      <c r="NWH117" s="950"/>
      <c r="NWI117" s="950"/>
      <c r="NWJ117" s="950"/>
      <c r="NWK117" s="950"/>
      <c r="NWL117" s="950"/>
      <c r="NWM117" s="950"/>
      <c r="NWN117" s="950"/>
      <c r="NWO117" s="950"/>
      <c r="NWP117" s="950"/>
      <c r="NWQ117" s="950"/>
      <c r="NWR117" s="950"/>
      <c r="NWS117" s="950"/>
      <c r="NWT117" s="950"/>
      <c r="NWU117" s="950"/>
      <c r="NWV117" s="950"/>
      <c r="NWW117" s="950"/>
      <c r="NWX117" s="950"/>
      <c r="NWY117" s="950"/>
      <c r="NWZ117" s="950"/>
      <c r="NXA117" s="950"/>
      <c r="NXB117" s="950"/>
      <c r="NXC117" s="950"/>
      <c r="NXD117" s="950"/>
      <c r="NXE117" s="950"/>
      <c r="NXF117" s="950"/>
      <c r="NXG117" s="950"/>
      <c r="NXH117" s="950"/>
      <c r="NXI117" s="950"/>
      <c r="NXJ117" s="950"/>
      <c r="NXK117" s="950"/>
      <c r="NXL117" s="950"/>
      <c r="NXM117" s="950"/>
      <c r="NXN117" s="950"/>
      <c r="NXO117" s="950"/>
      <c r="NXP117" s="950"/>
      <c r="NXQ117" s="950"/>
      <c r="NXR117" s="950"/>
      <c r="NXS117" s="950"/>
      <c r="NXT117" s="950"/>
      <c r="NXU117" s="950"/>
      <c r="NXV117" s="950"/>
      <c r="NXW117" s="950"/>
      <c r="NXX117" s="950"/>
      <c r="NXY117" s="950"/>
      <c r="NXZ117" s="950"/>
      <c r="NYA117" s="950"/>
      <c r="NYB117" s="950"/>
      <c r="NYC117" s="950"/>
      <c r="NYD117" s="950"/>
      <c r="NYE117" s="950"/>
      <c r="NYF117" s="950"/>
      <c r="NYG117" s="950"/>
      <c r="NYH117" s="950"/>
      <c r="NYI117" s="950"/>
      <c r="NYJ117" s="950"/>
      <c r="NYK117" s="950"/>
      <c r="NYL117" s="950"/>
      <c r="NYM117" s="950"/>
      <c r="NYN117" s="950"/>
      <c r="NYO117" s="950"/>
      <c r="NYP117" s="950"/>
      <c r="NYQ117" s="950"/>
      <c r="NYR117" s="950"/>
      <c r="NYS117" s="950"/>
      <c r="NYT117" s="950"/>
      <c r="NYU117" s="950"/>
      <c r="NYV117" s="950"/>
      <c r="NYW117" s="950"/>
      <c r="NYX117" s="950"/>
      <c r="NYY117" s="950"/>
      <c r="NYZ117" s="950"/>
      <c r="NZA117" s="950"/>
      <c r="NZB117" s="950"/>
      <c r="NZC117" s="950"/>
      <c r="NZD117" s="950"/>
      <c r="NZE117" s="950"/>
      <c r="NZF117" s="950"/>
      <c r="NZG117" s="950"/>
      <c r="NZH117" s="950"/>
      <c r="NZI117" s="950"/>
      <c r="NZJ117" s="950"/>
      <c r="NZK117" s="950"/>
      <c r="NZL117" s="950"/>
      <c r="NZM117" s="950"/>
      <c r="NZN117" s="950"/>
      <c r="NZO117" s="950"/>
      <c r="NZP117" s="950"/>
      <c r="NZQ117" s="950"/>
      <c r="NZR117" s="950"/>
      <c r="NZS117" s="950"/>
      <c r="NZT117" s="950"/>
      <c r="NZU117" s="950"/>
      <c r="NZV117" s="950"/>
      <c r="NZW117" s="950"/>
      <c r="NZX117" s="950"/>
      <c r="NZY117" s="950"/>
      <c r="NZZ117" s="950"/>
      <c r="OAA117" s="950"/>
      <c r="OAB117" s="950"/>
      <c r="OAC117" s="950"/>
      <c r="OAD117" s="950"/>
      <c r="OAE117" s="950"/>
      <c r="OAF117" s="950"/>
      <c r="OAG117" s="950"/>
      <c r="OAH117" s="950"/>
      <c r="OAI117" s="950"/>
      <c r="OAJ117" s="950"/>
      <c r="OAK117" s="950"/>
      <c r="OAL117" s="950"/>
      <c r="OAM117" s="950"/>
      <c r="OAN117" s="950"/>
      <c r="OAO117" s="950"/>
      <c r="OAP117" s="950"/>
      <c r="OAQ117" s="950"/>
      <c r="OAR117" s="950"/>
      <c r="OAS117" s="950"/>
      <c r="OAT117" s="950"/>
      <c r="OAU117" s="950"/>
      <c r="OAV117" s="950"/>
      <c r="OAW117" s="950"/>
      <c r="OAX117" s="950"/>
      <c r="OAY117" s="950"/>
      <c r="OAZ117" s="950"/>
      <c r="OBA117" s="950"/>
      <c r="OBB117" s="950"/>
      <c r="OBC117" s="950"/>
      <c r="OBD117" s="950"/>
      <c r="OBE117" s="950"/>
      <c r="OBF117" s="950"/>
      <c r="OBG117" s="950"/>
      <c r="OBH117" s="950"/>
      <c r="OBI117" s="950"/>
      <c r="OBJ117" s="950"/>
      <c r="OBK117" s="950"/>
      <c r="OBL117" s="950"/>
      <c r="OBM117" s="950"/>
      <c r="OBN117" s="950"/>
      <c r="OBO117" s="950"/>
      <c r="OBP117" s="950"/>
      <c r="OBQ117" s="950"/>
      <c r="OBR117" s="950"/>
      <c r="OBS117" s="950"/>
      <c r="OBT117" s="950"/>
      <c r="OBU117" s="950"/>
      <c r="OBV117" s="950"/>
      <c r="OBW117" s="950"/>
      <c r="OBX117" s="950"/>
      <c r="OBY117" s="950"/>
      <c r="OBZ117" s="950"/>
      <c r="OCA117" s="950"/>
      <c r="OCB117" s="950"/>
      <c r="OCC117" s="950"/>
      <c r="OCD117" s="950"/>
      <c r="OCE117" s="950"/>
      <c r="OCF117" s="950"/>
      <c r="OCG117" s="950"/>
      <c r="OCH117" s="950"/>
      <c r="OCI117" s="950"/>
      <c r="OCJ117" s="950"/>
      <c r="OCK117" s="950"/>
      <c r="OCL117" s="950"/>
      <c r="OCM117" s="950"/>
      <c r="OCN117" s="950"/>
      <c r="OCO117" s="950"/>
      <c r="OCP117" s="950"/>
      <c r="OCQ117" s="950"/>
      <c r="OCR117" s="950"/>
      <c r="OCS117" s="950"/>
      <c r="OCT117" s="950"/>
      <c r="OCU117" s="950"/>
      <c r="OCV117" s="950"/>
      <c r="OCW117" s="950"/>
      <c r="OCX117" s="950"/>
      <c r="OCY117" s="950"/>
      <c r="OCZ117" s="950"/>
      <c r="ODA117" s="950"/>
      <c r="ODB117" s="950"/>
      <c r="ODC117" s="950"/>
      <c r="ODD117" s="950"/>
      <c r="ODE117" s="950"/>
      <c r="ODF117" s="950"/>
      <c r="ODG117" s="950"/>
      <c r="ODH117" s="950"/>
      <c r="ODI117" s="950"/>
      <c r="ODJ117" s="950"/>
      <c r="ODK117" s="950"/>
      <c r="ODL117" s="950"/>
      <c r="ODM117" s="950"/>
      <c r="ODN117" s="950"/>
      <c r="ODO117" s="950"/>
      <c r="ODP117" s="950"/>
      <c r="ODQ117" s="950"/>
      <c r="ODR117" s="950"/>
      <c r="ODS117" s="950"/>
      <c r="ODT117" s="950"/>
      <c r="ODU117" s="950"/>
      <c r="ODV117" s="950"/>
      <c r="ODW117" s="950"/>
      <c r="ODX117" s="950"/>
      <c r="ODY117" s="950"/>
      <c r="ODZ117" s="950"/>
      <c r="OEA117" s="950"/>
      <c r="OEB117" s="950"/>
      <c r="OEC117" s="950"/>
      <c r="OED117" s="950"/>
      <c r="OEE117" s="950"/>
      <c r="OEF117" s="950"/>
      <c r="OEG117" s="950"/>
      <c r="OEH117" s="950"/>
      <c r="OEI117" s="950"/>
      <c r="OEJ117" s="950"/>
      <c r="OEK117" s="950"/>
      <c r="OEL117" s="950"/>
      <c r="OEM117" s="950"/>
      <c r="OEN117" s="950"/>
      <c r="OEO117" s="950"/>
      <c r="OEP117" s="950"/>
      <c r="OEQ117" s="950"/>
      <c r="OER117" s="950"/>
      <c r="OES117" s="950"/>
      <c r="OET117" s="950"/>
      <c r="OEU117" s="950"/>
      <c r="OEV117" s="950"/>
      <c r="OEW117" s="950"/>
      <c r="OEX117" s="950"/>
      <c r="OEY117" s="950"/>
      <c r="OEZ117" s="950"/>
      <c r="OFA117" s="950"/>
      <c r="OFB117" s="950"/>
      <c r="OFC117" s="950"/>
      <c r="OFD117" s="950"/>
      <c r="OFE117" s="950"/>
      <c r="OFF117" s="950"/>
      <c r="OFG117" s="950"/>
      <c r="OFH117" s="950"/>
      <c r="OFI117" s="950"/>
      <c r="OFJ117" s="950"/>
      <c r="OFK117" s="950"/>
      <c r="OFL117" s="950"/>
      <c r="OFM117" s="950"/>
      <c r="OFN117" s="950"/>
      <c r="OFO117" s="950"/>
      <c r="OFP117" s="950"/>
      <c r="OFQ117" s="950"/>
      <c r="OFR117" s="950"/>
      <c r="OFS117" s="950"/>
      <c r="OFT117" s="950"/>
      <c r="OFU117" s="950"/>
      <c r="OFV117" s="950"/>
      <c r="OFW117" s="950"/>
      <c r="OFX117" s="950"/>
      <c r="OFY117" s="950"/>
      <c r="OFZ117" s="950"/>
      <c r="OGA117" s="950"/>
      <c r="OGB117" s="950"/>
      <c r="OGC117" s="950"/>
      <c r="OGD117" s="950"/>
      <c r="OGE117" s="950"/>
      <c r="OGF117" s="950"/>
      <c r="OGG117" s="950"/>
      <c r="OGH117" s="950"/>
      <c r="OGI117" s="950"/>
      <c r="OGJ117" s="950"/>
      <c r="OGK117" s="950"/>
      <c r="OGL117" s="950"/>
      <c r="OGM117" s="950"/>
      <c r="OGN117" s="950"/>
      <c r="OGO117" s="950"/>
      <c r="OGP117" s="950"/>
      <c r="OGQ117" s="950"/>
      <c r="OGR117" s="950"/>
      <c r="OGS117" s="950"/>
      <c r="OGT117" s="950"/>
      <c r="OGU117" s="950"/>
      <c r="OGV117" s="950"/>
      <c r="OGW117" s="950"/>
      <c r="OGX117" s="950"/>
      <c r="OGY117" s="950"/>
      <c r="OGZ117" s="950"/>
      <c r="OHA117" s="950"/>
      <c r="OHB117" s="950"/>
      <c r="OHC117" s="950"/>
      <c r="OHD117" s="950"/>
      <c r="OHE117" s="950"/>
      <c r="OHF117" s="950"/>
      <c r="OHG117" s="950"/>
      <c r="OHH117" s="950"/>
      <c r="OHI117" s="950"/>
      <c r="OHJ117" s="950"/>
      <c r="OHK117" s="950"/>
      <c r="OHL117" s="950"/>
      <c r="OHM117" s="950"/>
      <c r="OHN117" s="950"/>
      <c r="OHO117" s="950"/>
      <c r="OHP117" s="950"/>
      <c r="OHQ117" s="950"/>
      <c r="OHR117" s="950"/>
      <c r="OHS117" s="950"/>
      <c r="OHT117" s="950"/>
      <c r="OHU117" s="950"/>
      <c r="OHV117" s="950"/>
      <c r="OHW117" s="950"/>
      <c r="OHX117" s="950"/>
      <c r="OHY117" s="950"/>
      <c r="OHZ117" s="950"/>
      <c r="OIA117" s="950"/>
      <c r="OIB117" s="950"/>
      <c r="OIC117" s="950"/>
      <c r="OID117" s="950"/>
      <c r="OIE117" s="950"/>
      <c r="OIF117" s="950"/>
      <c r="OIG117" s="950"/>
      <c r="OIH117" s="950"/>
      <c r="OII117" s="950"/>
      <c r="OIJ117" s="950"/>
      <c r="OIK117" s="950"/>
      <c r="OIL117" s="950"/>
      <c r="OIM117" s="950"/>
      <c r="OIN117" s="950"/>
      <c r="OIO117" s="950"/>
      <c r="OIP117" s="950"/>
      <c r="OIQ117" s="950"/>
      <c r="OIR117" s="950"/>
      <c r="OIS117" s="950"/>
      <c r="OIT117" s="950"/>
      <c r="OIU117" s="950"/>
      <c r="OIV117" s="950"/>
      <c r="OIW117" s="950"/>
      <c r="OIX117" s="950"/>
      <c r="OIY117" s="950"/>
      <c r="OIZ117" s="950"/>
      <c r="OJA117" s="950"/>
      <c r="OJB117" s="950"/>
      <c r="OJC117" s="950"/>
      <c r="OJD117" s="950"/>
      <c r="OJE117" s="950"/>
      <c r="OJF117" s="950"/>
      <c r="OJG117" s="950"/>
      <c r="OJH117" s="950"/>
      <c r="OJI117" s="950"/>
      <c r="OJJ117" s="950"/>
      <c r="OJK117" s="950"/>
      <c r="OJL117" s="950"/>
      <c r="OJM117" s="950"/>
      <c r="OJN117" s="950"/>
      <c r="OJO117" s="950"/>
      <c r="OJP117" s="950"/>
      <c r="OJQ117" s="950"/>
      <c r="OJR117" s="950"/>
      <c r="OJS117" s="950"/>
      <c r="OJT117" s="950"/>
      <c r="OJU117" s="950"/>
      <c r="OJV117" s="950"/>
      <c r="OJW117" s="950"/>
      <c r="OJX117" s="950"/>
      <c r="OJY117" s="950"/>
      <c r="OJZ117" s="950"/>
      <c r="OKA117" s="950"/>
      <c r="OKB117" s="950"/>
      <c r="OKC117" s="950"/>
      <c r="OKD117" s="950"/>
      <c r="OKE117" s="950"/>
      <c r="OKF117" s="950"/>
      <c r="OKG117" s="950"/>
      <c r="OKH117" s="950"/>
      <c r="OKI117" s="950"/>
      <c r="OKJ117" s="950"/>
      <c r="OKK117" s="950"/>
      <c r="OKL117" s="950"/>
      <c r="OKM117" s="950"/>
      <c r="OKN117" s="950"/>
      <c r="OKO117" s="950"/>
      <c r="OKP117" s="950"/>
      <c r="OKQ117" s="950"/>
      <c r="OKR117" s="950"/>
      <c r="OKS117" s="950"/>
      <c r="OKT117" s="950"/>
      <c r="OKU117" s="950"/>
      <c r="OKV117" s="950"/>
      <c r="OKW117" s="950"/>
      <c r="OKX117" s="950"/>
      <c r="OKY117" s="950"/>
      <c r="OKZ117" s="950"/>
      <c r="OLA117" s="950"/>
      <c r="OLB117" s="950"/>
      <c r="OLC117" s="950"/>
      <c r="OLD117" s="950"/>
      <c r="OLE117" s="950"/>
      <c r="OLF117" s="950"/>
      <c r="OLG117" s="950"/>
      <c r="OLH117" s="950"/>
      <c r="OLI117" s="950"/>
      <c r="OLJ117" s="950"/>
      <c r="OLK117" s="950"/>
      <c r="OLL117" s="950"/>
      <c r="OLM117" s="950"/>
      <c r="OLN117" s="950"/>
      <c r="OLO117" s="950"/>
      <c r="OLP117" s="950"/>
      <c r="OLQ117" s="950"/>
      <c r="OLR117" s="950"/>
      <c r="OLS117" s="950"/>
      <c r="OLT117" s="950"/>
      <c r="OLU117" s="950"/>
      <c r="OLV117" s="950"/>
      <c r="OLW117" s="950"/>
      <c r="OLX117" s="950"/>
      <c r="OLY117" s="950"/>
      <c r="OLZ117" s="950"/>
      <c r="OMA117" s="950"/>
      <c r="OMB117" s="950"/>
      <c r="OMC117" s="950"/>
      <c r="OMD117" s="950"/>
      <c r="OME117" s="950"/>
      <c r="OMF117" s="950"/>
      <c r="OMG117" s="950"/>
      <c r="OMH117" s="950"/>
      <c r="OMI117" s="950"/>
      <c r="OMJ117" s="950"/>
      <c r="OMK117" s="950"/>
      <c r="OML117" s="950"/>
      <c r="OMM117" s="950"/>
      <c r="OMN117" s="950"/>
      <c r="OMO117" s="950"/>
      <c r="OMP117" s="950"/>
      <c r="OMQ117" s="950"/>
      <c r="OMR117" s="950"/>
      <c r="OMS117" s="950"/>
      <c r="OMT117" s="950"/>
      <c r="OMU117" s="950"/>
      <c r="OMV117" s="950"/>
      <c r="OMW117" s="950"/>
      <c r="OMX117" s="950"/>
      <c r="OMY117" s="950"/>
      <c r="OMZ117" s="950"/>
      <c r="ONA117" s="950"/>
      <c r="ONB117" s="950"/>
      <c r="ONC117" s="950"/>
      <c r="OND117" s="950"/>
      <c r="ONE117" s="950"/>
      <c r="ONF117" s="950"/>
      <c r="ONG117" s="950"/>
      <c r="ONH117" s="950"/>
      <c r="ONI117" s="950"/>
      <c r="ONJ117" s="950"/>
      <c r="ONK117" s="950"/>
      <c r="ONL117" s="950"/>
      <c r="ONM117" s="950"/>
      <c r="ONN117" s="950"/>
      <c r="ONO117" s="950"/>
      <c r="ONP117" s="950"/>
      <c r="ONQ117" s="950"/>
      <c r="ONR117" s="950"/>
      <c r="ONS117" s="950"/>
      <c r="ONT117" s="950"/>
      <c r="ONU117" s="950"/>
      <c r="ONV117" s="950"/>
      <c r="ONW117" s="950"/>
      <c r="ONX117" s="950"/>
      <c r="ONY117" s="950"/>
      <c r="ONZ117" s="950"/>
      <c r="OOA117" s="950"/>
      <c r="OOB117" s="950"/>
      <c r="OOC117" s="950"/>
      <c r="OOD117" s="950"/>
      <c r="OOE117" s="950"/>
      <c r="OOF117" s="950"/>
      <c r="OOG117" s="950"/>
      <c r="OOH117" s="950"/>
      <c r="OOI117" s="950"/>
      <c r="OOJ117" s="950"/>
      <c r="OOK117" s="950"/>
      <c r="OOL117" s="950"/>
      <c r="OOM117" s="950"/>
      <c r="OON117" s="950"/>
      <c r="OOO117" s="950"/>
      <c r="OOP117" s="950"/>
      <c r="OOQ117" s="950"/>
      <c r="OOR117" s="950"/>
      <c r="OOS117" s="950"/>
      <c r="OOT117" s="950"/>
      <c r="OOU117" s="950"/>
      <c r="OOV117" s="950"/>
      <c r="OOW117" s="950"/>
      <c r="OOX117" s="950"/>
      <c r="OOY117" s="950"/>
      <c r="OOZ117" s="950"/>
      <c r="OPA117" s="950"/>
      <c r="OPB117" s="950"/>
      <c r="OPC117" s="950"/>
      <c r="OPD117" s="950"/>
      <c r="OPE117" s="950"/>
      <c r="OPF117" s="950"/>
      <c r="OPG117" s="950"/>
      <c r="OPH117" s="950"/>
      <c r="OPI117" s="950"/>
      <c r="OPJ117" s="950"/>
      <c r="OPK117" s="950"/>
      <c r="OPL117" s="950"/>
      <c r="OPM117" s="950"/>
      <c r="OPN117" s="950"/>
      <c r="OPO117" s="950"/>
      <c r="OPP117" s="950"/>
      <c r="OPQ117" s="950"/>
      <c r="OPR117" s="950"/>
      <c r="OPS117" s="950"/>
      <c r="OPT117" s="950"/>
      <c r="OPU117" s="950"/>
      <c r="OPV117" s="950"/>
      <c r="OPW117" s="950"/>
      <c r="OPX117" s="950"/>
      <c r="OPY117" s="950"/>
      <c r="OPZ117" s="950"/>
      <c r="OQA117" s="950"/>
      <c r="OQB117" s="950"/>
      <c r="OQC117" s="950"/>
      <c r="OQD117" s="950"/>
      <c r="OQE117" s="950"/>
      <c r="OQF117" s="950"/>
      <c r="OQG117" s="950"/>
      <c r="OQH117" s="950"/>
      <c r="OQI117" s="950"/>
      <c r="OQJ117" s="950"/>
      <c r="OQK117" s="950"/>
      <c r="OQL117" s="950"/>
      <c r="OQM117" s="950"/>
      <c r="OQN117" s="950"/>
      <c r="OQO117" s="950"/>
      <c r="OQP117" s="950"/>
      <c r="OQQ117" s="950"/>
      <c r="OQR117" s="950"/>
      <c r="OQS117" s="950"/>
      <c r="OQT117" s="950"/>
      <c r="OQU117" s="950"/>
      <c r="OQV117" s="950"/>
      <c r="OQW117" s="950"/>
      <c r="OQX117" s="950"/>
      <c r="OQY117" s="950"/>
      <c r="OQZ117" s="950"/>
      <c r="ORA117" s="950"/>
      <c r="ORB117" s="950"/>
      <c r="ORC117" s="950"/>
      <c r="ORD117" s="950"/>
      <c r="ORE117" s="950"/>
      <c r="ORF117" s="950"/>
      <c r="ORG117" s="950"/>
      <c r="ORH117" s="950"/>
      <c r="ORI117" s="950"/>
      <c r="ORJ117" s="950"/>
      <c r="ORK117" s="950"/>
      <c r="ORL117" s="950"/>
      <c r="ORM117" s="950"/>
      <c r="ORN117" s="950"/>
      <c r="ORO117" s="950"/>
      <c r="ORP117" s="950"/>
      <c r="ORQ117" s="950"/>
      <c r="ORR117" s="950"/>
      <c r="ORS117" s="950"/>
      <c r="ORT117" s="950"/>
      <c r="ORU117" s="950"/>
      <c r="ORV117" s="950"/>
      <c r="ORW117" s="950"/>
      <c r="ORX117" s="950"/>
      <c r="ORY117" s="950"/>
      <c r="ORZ117" s="950"/>
      <c r="OSA117" s="950"/>
      <c r="OSB117" s="950"/>
      <c r="OSC117" s="950"/>
      <c r="OSD117" s="950"/>
      <c r="OSE117" s="950"/>
      <c r="OSF117" s="950"/>
      <c r="OSG117" s="950"/>
      <c r="OSH117" s="950"/>
      <c r="OSI117" s="950"/>
      <c r="OSJ117" s="950"/>
      <c r="OSK117" s="950"/>
      <c r="OSL117" s="950"/>
      <c r="OSM117" s="950"/>
      <c r="OSN117" s="950"/>
      <c r="OSO117" s="950"/>
      <c r="OSP117" s="950"/>
      <c r="OSQ117" s="950"/>
      <c r="OSR117" s="950"/>
      <c r="OSS117" s="950"/>
      <c r="OST117" s="950"/>
      <c r="OSU117" s="950"/>
      <c r="OSV117" s="950"/>
      <c r="OSW117" s="950"/>
      <c r="OSX117" s="950"/>
      <c r="OSY117" s="950"/>
      <c r="OSZ117" s="950"/>
      <c r="OTA117" s="950"/>
      <c r="OTB117" s="950"/>
      <c r="OTC117" s="950"/>
      <c r="OTD117" s="950"/>
      <c r="OTE117" s="950"/>
      <c r="OTF117" s="950"/>
      <c r="OTG117" s="950"/>
      <c r="OTH117" s="950"/>
      <c r="OTI117" s="950"/>
      <c r="OTJ117" s="950"/>
      <c r="OTK117" s="950"/>
      <c r="OTL117" s="950"/>
      <c r="OTM117" s="950"/>
      <c r="OTN117" s="950"/>
      <c r="OTO117" s="950"/>
      <c r="OTP117" s="950"/>
      <c r="OTQ117" s="950"/>
      <c r="OTR117" s="950"/>
      <c r="OTS117" s="950"/>
      <c r="OTT117" s="950"/>
      <c r="OTU117" s="950"/>
      <c r="OTV117" s="950"/>
      <c r="OTW117" s="950"/>
      <c r="OTX117" s="950"/>
      <c r="OTY117" s="950"/>
      <c r="OTZ117" s="950"/>
      <c r="OUA117" s="950"/>
      <c r="OUB117" s="950"/>
      <c r="OUC117" s="950"/>
      <c r="OUD117" s="950"/>
      <c r="OUE117" s="950"/>
      <c r="OUF117" s="950"/>
      <c r="OUG117" s="950"/>
      <c r="OUH117" s="950"/>
      <c r="OUI117" s="950"/>
      <c r="OUJ117" s="950"/>
      <c r="OUK117" s="950"/>
      <c r="OUL117" s="950"/>
      <c r="OUM117" s="950"/>
      <c r="OUN117" s="950"/>
      <c r="OUO117" s="950"/>
      <c r="OUP117" s="950"/>
      <c r="OUQ117" s="950"/>
      <c r="OUR117" s="950"/>
      <c r="OUS117" s="950"/>
      <c r="OUT117" s="950"/>
      <c r="OUU117" s="950"/>
      <c r="OUV117" s="950"/>
      <c r="OUW117" s="950"/>
      <c r="OUX117" s="950"/>
      <c r="OUY117" s="950"/>
      <c r="OUZ117" s="950"/>
      <c r="OVA117" s="950"/>
      <c r="OVB117" s="950"/>
      <c r="OVC117" s="950"/>
      <c r="OVD117" s="950"/>
      <c r="OVE117" s="950"/>
      <c r="OVF117" s="950"/>
      <c r="OVG117" s="950"/>
      <c r="OVH117" s="950"/>
      <c r="OVI117" s="950"/>
      <c r="OVJ117" s="950"/>
      <c r="OVK117" s="950"/>
      <c r="OVL117" s="950"/>
      <c r="OVM117" s="950"/>
      <c r="OVN117" s="950"/>
      <c r="OVO117" s="950"/>
      <c r="OVP117" s="950"/>
      <c r="OVQ117" s="950"/>
      <c r="OVR117" s="950"/>
      <c r="OVS117" s="950"/>
      <c r="OVT117" s="950"/>
      <c r="OVU117" s="950"/>
      <c r="OVV117" s="950"/>
      <c r="OVW117" s="950"/>
      <c r="OVX117" s="950"/>
      <c r="OVY117" s="950"/>
      <c r="OVZ117" s="950"/>
      <c r="OWA117" s="950"/>
      <c r="OWB117" s="950"/>
      <c r="OWC117" s="950"/>
      <c r="OWD117" s="950"/>
      <c r="OWE117" s="950"/>
      <c r="OWF117" s="950"/>
      <c r="OWG117" s="950"/>
      <c r="OWH117" s="950"/>
      <c r="OWI117" s="950"/>
      <c r="OWJ117" s="950"/>
      <c r="OWK117" s="950"/>
      <c r="OWL117" s="950"/>
      <c r="OWM117" s="950"/>
      <c r="OWN117" s="950"/>
      <c r="OWO117" s="950"/>
      <c r="OWP117" s="950"/>
      <c r="OWQ117" s="950"/>
      <c r="OWR117" s="950"/>
      <c r="OWS117" s="950"/>
      <c r="OWT117" s="950"/>
      <c r="OWU117" s="950"/>
      <c r="OWV117" s="950"/>
      <c r="OWW117" s="950"/>
      <c r="OWX117" s="950"/>
      <c r="OWY117" s="950"/>
      <c r="OWZ117" s="950"/>
      <c r="OXA117" s="950"/>
      <c r="OXB117" s="950"/>
      <c r="OXC117" s="950"/>
      <c r="OXD117" s="950"/>
      <c r="OXE117" s="950"/>
      <c r="OXF117" s="950"/>
      <c r="OXG117" s="950"/>
      <c r="OXH117" s="950"/>
      <c r="OXI117" s="950"/>
      <c r="OXJ117" s="950"/>
      <c r="OXK117" s="950"/>
      <c r="OXL117" s="950"/>
      <c r="OXM117" s="950"/>
      <c r="OXN117" s="950"/>
      <c r="OXO117" s="950"/>
      <c r="OXP117" s="950"/>
      <c r="OXQ117" s="950"/>
      <c r="OXR117" s="950"/>
      <c r="OXS117" s="950"/>
      <c r="OXT117" s="950"/>
      <c r="OXU117" s="950"/>
      <c r="OXV117" s="950"/>
      <c r="OXW117" s="950"/>
      <c r="OXX117" s="950"/>
      <c r="OXY117" s="950"/>
      <c r="OXZ117" s="950"/>
      <c r="OYA117" s="950"/>
      <c r="OYB117" s="950"/>
      <c r="OYC117" s="950"/>
      <c r="OYD117" s="950"/>
      <c r="OYE117" s="950"/>
      <c r="OYF117" s="950"/>
      <c r="OYG117" s="950"/>
      <c r="OYH117" s="950"/>
      <c r="OYI117" s="950"/>
      <c r="OYJ117" s="950"/>
      <c r="OYK117" s="950"/>
      <c r="OYL117" s="950"/>
      <c r="OYM117" s="950"/>
      <c r="OYN117" s="950"/>
      <c r="OYO117" s="950"/>
      <c r="OYP117" s="950"/>
      <c r="OYQ117" s="950"/>
      <c r="OYR117" s="950"/>
      <c r="OYS117" s="950"/>
      <c r="OYT117" s="950"/>
      <c r="OYU117" s="950"/>
      <c r="OYV117" s="950"/>
      <c r="OYW117" s="950"/>
      <c r="OYX117" s="950"/>
      <c r="OYY117" s="950"/>
      <c r="OYZ117" s="950"/>
      <c r="OZA117" s="950"/>
      <c r="OZB117" s="950"/>
      <c r="OZC117" s="950"/>
      <c r="OZD117" s="950"/>
      <c r="OZE117" s="950"/>
      <c r="OZF117" s="950"/>
      <c r="OZG117" s="950"/>
      <c r="OZH117" s="950"/>
      <c r="OZI117" s="950"/>
      <c r="OZJ117" s="950"/>
      <c r="OZK117" s="950"/>
      <c r="OZL117" s="950"/>
      <c r="OZM117" s="950"/>
      <c r="OZN117" s="950"/>
      <c r="OZO117" s="950"/>
      <c r="OZP117" s="950"/>
      <c r="OZQ117" s="950"/>
      <c r="OZR117" s="950"/>
      <c r="OZS117" s="950"/>
      <c r="OZT117" s="950"/>
      <c r="OZU117" s="950"/>
      <c r="OZV117" s="950"/>
      <c r="OZW117" s="950"/>
      <c r="OZX117" s="950"/>
      <c r="OZY117" s="950"/>
      <c r="OZZ117" s="950"/>
      <c r="PAA117" s="950"/>
      <c r="PAB117" s="950"/>
      <c r="PAC117" s="950"/>
      <c r="PAD117" s="950"/>
      <c r="PAE117" s="950"/>
      <c r="PAF117" s="950"/>
      <c r="PAG117" s="950"/>
      <c r="PAH117" s="950"/>
      <c r="PAI117" s="950"/>
      <c r="PAJ117" s="950"/>
      <c r="PAK117" s="950"/>
      <c r="PAL117" s="950"/>
      <c r="PAM117" s="950"/>
      <c r="PAN117" s="950"/>
      <c r="PAO117" s="950"/>
      <c r="PAP117" s="950"/>
      <c r="PAQ117" s="950"/>
      <c r="PAR117" s="950"/>
      <c r="PAS117" s="950"/>
      <c r="PAT117" s="950"/>
      <c r="PAU117" s="950"/>
      <c r="PAV117" s="950"/>
      <c r="PAW117" s="950"/>
      <c r="PAX117" s="950"/>
      <c r="PAY117" s="950"/>
      <c r="PAZ117" s="950"/>
      <c r="PBA117" s="950"/>
      <c r="PBB117" s="950"/>
      <c r="PBC117" s="950"/>
      <c r="PBD117" s="950"/>
      <c r="PBE117" s="950"/>
      <c r="PBF117" s="950"/>
      <c r="PBG117" s="950"/>
      <c r="PBH117" s="950"/>
      <c r="PBI117" s="950"/>
      <c r="PBJ117" s="950"/>
      <c r="PBK117" s="950"/>
      <c r="PBL117" s="950"/>
      <c r="PBM117" s="950"/>
      <c r="PBN117" s="950"/>
      <c r="PBO117" s="950"/>
      <c r="PBP117" s="950"/>
      <c r="PBQ117" s="950"/>
      <c r="PBR117" s="950"/>
      <c r="PBS117" s="950"/>
      <c r="PBT117" s="950"/>
      <c r="PBU117" s="950"/>
      <c r="PBV117" s="950"/>
      <c r="PBW117" s="950"/>
      <c r="PBX117" s="950"/>
      <c r="PBY117" s="950"/>
      <c r="PBZ117" s="950"/>
      <c r="PCA117" s="950"/>
      <c r="PCB117" s="950"/>
      <c r="PCC117" s="950"/>
      <c r="PCD117" s="950"/>
      <c r="PCE117" s="950"/>
      <c r="PCF117" s="950"/>
      <c r="PCG117" s="950"/>
      <c r="PCH117" s="950"/>
      <c r="PCI117" s="950"/>
      <c r="PCJ117" s="950"/>
      <c r="PCK117" s="950"/>
      <c r="PCL117" s="950"/>
      <c r="PCM117" s="950"/>
      <c r="PCN117" s="950"/>
      <c r="PCO117" s="950"/>
      <c r="PCP117" s="950"/>
      <c r="PCQ117" s="950"/>
      <c r="PCR117" s="950"/>
      <c r="PCS117" s="950"/>
      <c r="PCT117" s="950"/>
      <c r="PCU117" s="950"/>
      <c r="PCV117" s="950"/>
      <c r="PCW117" s="950"/>
      <c r="PCX117" s="950"/>
      <c r="PCY117" s="950"/>
      <c r="PCZ117" s="950"/>
      <c r="PDA117" s="950"/>
      <c r="PDB117" s="950"/>
      <c r="PDC117" s="950"/>
      <c r="PDD117" s="950"/>
      <c r="PDE117" s="950"/>
      <c r="PDF117" s="950"/>
      <c r="PDG117" s="950"/>
      <c r="PDH117" s="950"/>
      <c r="PDI117" s="950"/>
      <c r="PDJ117" s="950"/>
      <c r="PDK117" s="950"/>
      <c r="PDL117" s="950"/>
      <c r="PDM117" s="950"/>
      <c r="PDN117" s="950"/>
      <c r="PDO117" s="950"/>
      <c r="PDP117" s="950"/>
      <c r="PDQ117" s="950"/>
      <c r="PDR117" s="950"/>
      <c r="PDS117" s="950"/>
      <c r="PDT117" s="950"/>
      <c r="PDU117" s="950"/>
      <c r="PDV117" s="950"/>
      <c r="PDW117" s="950"/>
      <c r="PDX117" s="950"/>
      <c r="PDY117" s="950"/>
      <c r="PDZ117" s="950"/>
      <c r="PEA117" s="950"/>
      <c r="PEB117" s="950"/>
      <c r="PEC117" s="950"/>
      <c r="PED117" s="950"/>
      <c r="PEE117" s="950"/>
      <c r="PEF117" s="950"/>
      <c r="PEG117" s="950"/>
      <c r="PEH117" s="950"/>
      <c r="PEI117" s="950"/>
      <c r="PEJ117" s="950"/>
      <c r="PEK117" s="950"/>
      <c r="PEL117" s="950"/>
      <c r="PEM117" s="950"/>
      <c r="PEN117" s="950"/>
      <c r="PEO117" s="950"/>
      <c r="PEP117" s="950"/>
      <c r="PEQ117" s="950"/>
      <c r="PER117" s="950"/>
      <c r="PES117" s="950"/>
      <c r="PET117" s="950"/>
      <c r="PEU117" s="950"/>
      <c r="PEV117" s="950"/>
      <c r="PEW117" s="950"/>
      <c r="PEX117" s="950"/>
      <c r="PEY117" s="950"/>
      <c r="PEZ117" s="950"/>
      <c r="PFA117" s="950"/>
      <c r="PFB117" s="950"/>
      <c r="PFC117" s="950"/>
      <c r="PFD117" s="950"/>
      <c r="PFE117" s="950"/>
      <c r="PFF117" s="950"/>
      <c r="PFG117" s="950"/>
      <c r="PFH117" s="950"/>
      <c r="PFI117" s="950"/>
      <c r="PFJ117" s="950"/>
      <c r="PFK117" s="950"/>
      <c r="PFL117" s="950"/>
      <c r="PFM117" s="950"/>
      <c r="PFN117" s="950"/>
      <c r="PFO117" s="950"/>
      <c r="PFP117" s="950"/>
      <c r="PFQ117" s="950"/>
      <c r="PFR117" s="950"/>
      <c r="PFS117" s="950"/>
      <c r="PFT117" s="950"/>
      <c r="PFU117" s="950"/>
      <c r="PFV117" s="950"/>
      <c r="PFW117" s="950"/>
      <c r="PFX117" s="950"/>
      <c r="PFY117" s="950"/>
      <c r="PFZ117" s="950"/>
      <c r="PGA117" s="950"/>
      <c r="PGB117" s="950"/>
      <c r="PGC117" s="950"/>
      <c r="PGD117" s="950"/>
      <c r="PGE117" s="950"/>
      <c r="PGF117" s="950"/>
      <c r="PGG117" s="950"/>
      <c r="PGH117" s="950"/>
      <c r="PGI117" s="950"/>
      <c r="PGJ117" s="950"/>
      <c r="PGK117" s="950"/>
      <c r="PGL117" s="950"/>
      <c r="PGM117" s="950"/>
      <c r="PGN117" s="950"/>
      <c r="PGO117" s="950"/>
      <c r="PGP117" s="950"/>
      <c r="PGQ117" s="950"/>
      <c r="PGR117" s="950"/>
      <c r="PGS117" s="950"/>
      <c r="PGT117" s="950"/>
      <c r="PGU117" s="950"/>
      <c r="PGV117" s="950"/>
      <c r="PGW117" s="950"/>
      <c r="PGX117" s="950"/>
      <c r="PGY117" s="950"/>
      <c r="PGZ117" s="950"/>
      <c r="PHA117" s="950"/>
      <c r="PHB117" s="950"/>
      <c r="PHC117" s="950"/>
      <c r="PHD117" s="950"/>
      <c r="PHE117" s="950"/>
      <c r="PHF117" s="950"/>
      <c r="PHG117" s="950"/>
      <c r="PHH117" s="950"/>
      <c r="PHI117" s="950"/>
      <c r="PHJ117" s="950"/>
      <c r="PHK117" s="950"/>
      <c r="PHL117" s="950"/>
      <c r="PHM117" s="950"/>
      <c r="PHN117" s="950"/>
      <c r="PHO117" s="950"/>
      <c r="PHP117" s="950"/>
      <c r="PHQ117" s="950"/>
      <c r="PHR117" s="950"/>
      <c r="PHS117" s="950"/>
      <c r="PHT117" s="950"/>
      <c r="PHU117" s="950"/>
      <c r="PHV117" s="950"/>
      <c r="PHW117" s="950"/>
      <c r="PHX117" s="950"/>
      <c r="PHY117" s="950"/>
      <c r="PHZ117" s="950"/>
      <c r="PIA117" s="950"/>
      <c r="PIB117" s="950"/>
      <c r="PIC117" s="950"/>
      <c r="PID117" s="950"/>
      <c r="PIE117" s="950"/>
      <c r="PIF117" s="950"/>
      <c r="PIG117" s="950"/>
      <c r="PIH117" s="950"/>
      <c r="PII117" s="950"/>
      <c r="PIJ117" s="950"/>
      <c r="PIK117" s="950"/>
      <c r="PIL117" s="950"/>
      <c r="PIM117" s="950"/>
      <c r="PIN117" s="950"/>
      <c r="PIO117" s="950"/>
      <c r="PIP117" s="950"/>
      <c r="PIQ117" s="950"/>
      <c r="PIR117" s="950"/>
      <c r="PIS117" s="950"/>
      <c r="PIT117" s="950"/>
      <c r="PIU117" s="950"/>
      <c r="PIV117" s="950"/>
      <c r="PIW117" s="950"/>
      <c r="PIX117" s="950"/>
      <c r="PIY117" s="950"/>
      <c r="PIZ117" s="950"/>
      <c r="PJA117" s="950"/>
      <c r="PJB117" s="950"/>
      <c r="PJC117" s="950"/>
      <c r="PJD117" s="950"/>
      <c r="PJE117" s="950"/>
      <c r="PJF117" s="950"/>
      <c r="PJG117" s="950"/>
      <c r="PJH117" s="950"/>
      <c r="PJI117" s="950"/>
      <c r="PJJ117" s="950"/>
      <c r="PJK117" s="950"/>
      <c r="PJL117" s="950"/>
      <c r="PJM117" s="950"/>
      <c r="PJN117" s="950"/>
      <c r="PJO117" s="950"/>
      <c r="PJP117" s="950"/>
      <c r="PJQ117" s="950"/>
      <c r="PJR117" s="950"/>
      <c r="PJS117" s="950"/>
      <c r="PJT117" s="950"/>
      <c r="PJU117" s="950"/>
      <c r="PJV117" s="950"/>
      <c r="PJW117" s="950"/>
      <c r="PJX117" s="950"/>
      <c r="PJY117" s="950"/>
      <c r="PJZ117" s="950"/>
      <c r="PKA117" s="950"/>
      <c r="PKB117" s="950"/>
      <c r="PKC117" s="950"/>
      <c r="PKD117" s="950"/>
      <c r="PKE117" s="950"/>
      <c r="PKF117" s="950"/>
      <c r="PKG117" s="950"/>
      <c r="PKH117" s="950"/>
      <c r="PKI117" s="950"/>
      <c r="PKJ117" s="950"/>
      <c r="PKK117" s="950"/>
      <c r="PKL117" s="950"/>
      <c r="PKM117" s="950"/>
      <c r="PKN117" s="950"/>
      <c r="PKO117" s="950"/>
      <c r="PKP117" s="950"/>
      <c r="PKQ117" s="950"/>
      <c r="PKR117" s="950"/>
      <c r="PKS117" s="950"/>
      <c r="PKT117" s="950"/>
      <c r="PKU117" s="950"/>
      <c r="PKV117" s="950"/>
      <c r="PKW117" s="950"/>
      <c r="PKX117" s="950"/>
      <c r="PKY117" s="950"/>
      <c r="PKZ117" s="950"/>
      <c r="PLA117" s="950"/>
      <c r="PLB117" s="950"/>
      <c r="PLC117" s="950"/>
      <c r="PLD117" s="950"/>
      <c r="PLE117" s="950"/>
      <c r="PLF117" s="950"/>
      <c r="PLG117" s="950"/>
      <c r="PLH117" s="950"/>
      <c r="PLI117" s="950"/>
      <c r="PLJ117" s="950"/>
      <c r="PLK117" s="950"/>
      <c r="PLL117" s="950"/>
      <c r="PLM117" s="950"/>
      <c r="PLN117" s="950"/>
      <c r="PLO117" s="950"/>
      <c r="PLP117" s="950"/>
      <c r="PLQ117" s="950"/>
      <c r="PLR117" s="950"/>
      <c r="PLS117" s="950"/>
      <c r="PLT117" s="950"/>
      <c r="PLU117" s="950"/>
      <c r="PLV117" s="950"/>
      <c r="PLW117" s="950"/>
      <c r="PLX117" s="950"/>
      <c r="PLY117" s="950"/>
      <c r="PLZ117" s="950"/>
      <c r="PMA117" s="950"/>
      <c r="PMB117" s="950"/>
      <c r="PMC117" s="950"/>
      <c r="PMD117" s="950"/>
      <c r="PME117" s="950"/>
      <c r="PMF117" s="950"/>
      <c r="PMG117" s="950"/>
      <c r="PMH117" s="950"/>
      <c r="PMI117" s="950"/>
      <c r="PMJ117" s="950"/>
      <c r="PMK117" s="950"/>
      <c r="PML117" s="950"/>
      <c r="PMM117" s="950"/>
      <c r="PMN117" s="950"/>
      <c r="PMO117" s="950"/>
      <c r="PMP117" s="950"/>
      <c r="PMQ117" s="950"/>
      <c r="PMR117" s="950"/>
      <c r="PMS117" s="950"/>
      <c r="PMT117" s="950"/>
      <c r="PMU117" s="950"/>
      <c r="PMV117" s="950"/>
      <c r="PMW117" s="950"/>
      <c r="PMX117" s="950"/>
      <c r="PMY117" s="950"/>
      <c r="PMZ117" s="950"/>
      <c r="PNA117" s="950"/>
      <c r="PNB117" s="950"/>
      <c r="PNC117" s="950"/>
      <c r="PND117" s="950"/>
      <c r="PNE117" s="950"/>
      <c r="PNF117" s="950"/>
      <c r="PNG117" s="950"/>
      <c r="PNH117" s="950"/>
      <c r="PNI117" s="950"/>
      <c r="PNJ117" s="950"/>
      <c r="PNK117" s="950"/>
      <c r="PNL117" s="950"/>
      <c r="PNM117" s="950"/>
      <c r="PNN117" s="950"/>
      <c r="PNO117" s="950"/>
      <c r="PNP117" s="950"/>
      <c r="PNQ117" s="950"/>
      <c r="PNR117" s="950"/>
      <c r="PNS117" s="950"/>
      <c r="PNT117" s="950"/>
      <c r="PNU117" s="950"/>
      <c r="PNV117" s="950"/>
      <c r="PNW117" s="950"/>
      <c r="PNX117" s="950"/>
      <c r="PNY117" s="950"/>
      <c r="PNZ117" s="950"/>
      <c r="POA117" s="950"/>
      <c r="POB117" s="950"/>
      <c r="POC117" s="950"/>
      <c r="POD117" s="950"/>
      <c r="POE117" s="950"/>
      <c r="POF117" s="950"/>
      <c r="POG117" s="950"/>
      <c r="POH117" s="950"/>
      <c r="POI117" s="950"/>
      <c r="POJ117" s="950"/>
      <c r="POK117" s="950"/>
      <c r="POL117" s="950"/>
      <c r="POM117" s="950"/>
      <c r="PON117" s="950"/>
      <c r="POO117" s="950"/>
      <c r="POP117" s="950"/>
      <c r="POQ117" s="950"/>
      <c r="POR117" s="950"/>
      <c r="POS117" s="950"/>
      <c r="POT117" s="950"/>
      <c r="POU117" s="950"/>
      <c r="POV117" s="950"/>
      <c r="POW117" s="950"/>
      <c r="POX117" s="950"/>
      <c r="POY117" s="950"/>
      <c r="POZ117" s="950"/>
      <c r="PPA117" s="950"/>
      <c r="PPB117" s="950"/>
      <c r="PPC117" s="950"/>
      <c r="PPD117" s="950"/>
      <c r="PPE117" s="950"/>
      <c r="PPF117" s="950"/>
      <c r="PPG117" s="950"/>
      <c r="PPH117" s="950"/>
      <c r="PPI117" s="950"/>
      <c r="PPJ117" s="950"/>
      <c r="PPK117" s="950"/>
      <c r="PPL117" s="950"/>
      <c r="PPM117" s="950"/>
      <c r="PPN117" s="950"/>
      <c r="PPO117" s="950"/>
      <c r="PPP117" s="950"/>
      <c r="PPQ117" s="950"/>
      <c r="PPR117" s="950"/>
      <c r="PPS117" s="950"/>
      <c r="PPT117" s="950"/>
      <c r="PPU117" s="950"/>
      <c r="PPV117" s="950"/>
      <c r="PPW117" s="950"/>
      <c r="PPX117" s="950"/>
      <c r="PPY117" s="950"/>
      <c r="PPZ117" s="950"/>
      <c r="PQA117" s="950"/>
      <c r="PQB117" s="950"/>
      <c r="PQC117" s="950"/>
      <c r="PQD117" s="950"/>
      <c r="PQE117" s="950"/>
      <c r="PQF117" s="950"/>
      <c r="PQG117" s="950"/>
      <c r="PQH117" s="950"/>
      <c r="PQI117" s="950"/>
      <c r="PQJ117" s="950"/>
      <c r="PQK117" s="950"/>
      <c r="PQL117" s="950"/>
      <c r="PQM117" s="950"/>
      <c r="PQN117" s="950"/>
      <c r="PQO117" s="950"/>
      <c r="PQP117" s="950"/>
      <c r="PQQ117" s="950"/>
      <c r="PQR117" s="950"/>
      <c r="PQS117" s="950"/>
      <c r="PQT117" s="950"/>
      <c r="PQU117" s="950"/>
      <c r="PQV117" s="950"/>
      <c r="PQW117" s="950"/>
      <c r="PQX117" s="950"/>
      <c r="PQY117" s="950"/>
      <c r="PQZ117" s="950"/>
      <c r="PRA117" s="950"/>
      <c r="PRB117" s="950"/>
      <c r="PRC117" s="950"/>
      <c r="PRD117" s="950"/>
      <c r="PRE117" s="950"/>
      <c r="PRF117" s="950"/>
      <c r="PRG117" s="950"/>
      <c r="PRH117" s="950"/>
      <c r="PRI117" s="950"/>
      <c r="PRJ117" s="950"/>
      <c r="PRK117" s="950"/>
      <c r="PRL117" s="950"/>
      <c r="PRM117" s="950"/>
      <c r="PRN117" s="950"/>
      <c r="PRO117" s="950"/>
      <c r="PRP117" s="950"/>
      <c r="PRQ117" s="950"/>
      <c r="PRR117" s="950"/>
      <c r="PRS117" s="950"/>
      <c r="PRT117" s="950"/>
      <c r="PRU117" s="950"/>
      <c r="PRV117" s="950"/>
      <c r="PRW117" s="950"/>
      <c r="PRX117" s="950"/>
      <c r="PRY117" s="950"/>
      <c r="PRZ117" s="950"/>
      <c r="PSA117" s="950"/>
      <c r="PSB117" s="950"/>
      <c r="PSC117" s="950"/>
      <c r="PSD117" s="950"/>
      <c r="PSE117" s="950"/>
      <c r="PSF117" s="950"/>
      <c r="PSG117" s="950"/>
      <c r="PSH117" s="950"/>
      <c r="PSI117" s="950"/>
      <c r="PSJ117" s="950"/>
      <c r="PSK117" s="950"/>
      <c r="PSL117" s="950"/>
      <c r="PSM117" s="950"/>
      <c r="PSN117" s="950"/>
      <c r="PSO117" s="950"/>
      <c r="PSP117" s="950"/>
      <c r="PSQ117" s="950"/>
      <c r="PSR117" s="950"/>
      <c r="PSS117" s="950"/>
      <c r="PST117" s="950"/>
      <c r="PSU117" s="950"/>
      <c r="PSV117" s="950"/>
      <c r="PSW117" s="950"/>
      <c r="PSX117" s="950"/>
      <c r="PSY117" s="950"/>
      <c r="PSZ117" s="950"/>
      <c r="PTA117" s="950"/>
      <c r="PTB117" s="950"/>
      <c r="PTC117" s="950"/>
      <c r="PTD117" s="950"/>
      <c r="PTE117" s="950"/>
      <c r="PTF117" s="950"/>
      <c r="PTG117" s="950"/>
      <c r="PTH117" s="950"/>
      <c r="PTI117" s="950"/>
      <c r="PTJ117" s="950"/>
      <c r="PTK117" s="950"/>
      <c r="PTL117" s="950"/>
      <c r="PTM117" s="950"/>
      <c r="PTN117" s="950"/>
      <c r="PTO117" s="950"/>
      <c r="PTP117" s="950"/>
      <c r="PTQ117" s="950"/>
      <c r="PTR117" s="950"/>
      <c r="PTS117" s="950"/>
      <c r="PTT117" s="950"/>
      <c r="PTU117" s="950"/>
      <c r="PTV117" s="950"/>
      <c r="PTW117" s="950"/>
      <c r="PTX117" s="950"/>
      <c r="PTY117" s="950"/>
      <c r="PTZ117" s="950"/>
      <c r="PUA117" s="950"/>
      <c r="PUB117" s="950"/>
      <c r="PUC117" s="950"/>
      <c r="PUD117" s="950"/>
      <c r="PUE117" s="950"/>
      <c r="PUF117" s="950"/>
      <c r="PUG117" s="950"/>
      <c r="PUH117" s="950"/>
      <c r="PUI117" s="950"/>
      <c r="PUJ117" s="950"/>
      <c r="PUK117" s="950"/>
      <c r="PUL117" s="950"/>
      <c r="PUM117" s="950"/>
      <c r="PUN117" s="950"/>
      <c r="PUO117" s="950"/>
      <c r="PUP117" s="950"/>
      <c r="PUQ117" s="950"/>
      <c r="PUR117" s="950"/>
      <c r="PUS117" s="950"/>
      <c r="PUT117" s="950"/>
      <c r="PUU117" s="950"/>
      <c r="PUV117" s="950"/>
      <c r="PUW117" s="950"/>
      <c r="PUX117" s="950"/>
      <c r="PUY117" s="950"/>
      <c r="PUZ117" s="950"/>
      <c r="PVA117" s="950"/>
      <c r="PVB117" s="950"/>
      <c r="PVC117" s="950"/>
      <c r="PVD117" s="950"/>
      <c r="PVE117" s="950"/>
      <c r="PVF117" s="950"/>
      <c r="PVG117" s="950"/>
      <c r="PVH117" s="950"/>
      <c r="PVI117" s="950"/>
      <c r="PVJ117" s="950"/>
      <c r="PVK117" s="950"/>
      <c r="PVL117" s="950"/>
      <c r="PVM117" s="950"/>
      <c r="PVN117" s="950"/>
      <c r="PVO117" s="950"/>
      <c r="PVP117" s="950"/>
      <c r="PVQ117" s="950"/>
      <c r="PVR117" s="950"/>
      <c r="PVS117" s="950"/>
      <c r="PVT117" s="950"/>
      <c r="PVU117" s="950"/>
      <c r="PVV117" s="950"/>
      <c r="PVW117" s="950"/>
      <c r="PVX117" s="950"/>
      <c r="PVY117" s="950"/>
      <c r="PVZ117" s="950"/>
      <c r="PWA117" s="950"/>
      <c r="PWB117" s="950"/>
      <c r="PWC117" s="950"/>
      <c r="PWD117" s="950"/>
      <c r="PWE117" s="950"/>
      <c r="PWF117" s="950"/>
      <c r="PWG117" s="950"/>
      <c r="PWH117" s="950"/>
      <c r="PWI117" s="950"/>
      <c r="PWJ117" s="950"/>
      <c r="PWK117" s="950"/>
      <c r="PWL117" s="950"/>
      <c r="PWM117" s="950"/>
      <c r="PWN117" s="950"/>
      <c r="PWO117" s="950"/>
      <c r="PWP117" s="950"/>
      <c r="PWQ117" s="950"/>
      <c r="PWR117" s="950"/>
      <c r="PWS117" s="950"/>
      <c r="PWT117" s="950"/>
      <c r="PWU117" s="950"/>
      <c r="PWV117" s="950"/>
      <c r="PWW117" s="950"/>
      <c r="PWX117" s="950"/>
      <c r="PWY117" s="950"/>
      <c r="PWZ117" s="950"/>
      <c r="PXA117" s="950"/>
      <c r="PXB117" s="950"/>
      <c r="PXC117" s="950"/>
      <c r="PXD117" s="950"/>
      <c r="PXE117" s="950"/>
      <c r="PXF117" s="950"/>
      <c r="PXG117" s="950"/>
      <c r="PXH117" s="950"/>
      <c r="PXI117" s="950"/>
      <c r="PXJ117" s="950"/>
      <c r="PXK117" s="950"/>
      <c r="PXL117" s="950"/>
      <c r="PXM117" s="950"/>
      <c r="PXN117" s="950"/>
      <c r="PXO117" s="950"/>
      <c r="PXP117" s="950"/>
      <c r="PXQ117" s="950"/>
      <c r="PXR117" s="950"/>
      <c r="PXS117" s="950"/>
      <c r="PXT117" s="950"/>
      <c r="PXU117" s="950"/>
      <c r="PXV117" s="950"/>
      <c r="PXW117" s="950"/>
      <c r="PXX117" s="950"/>
      <c r="PXY117" s="950"/>
      <c r="PXZ117" s="950"/>
      <c r="PYA117" s="950"/>
      <c r="PYB117" s="950"/>
      <c r="PYC117" s="950"/>
      <c r="PYD117" s="950"/>
      <c r="PYE117" s="950"/>
      <c r="PYF117" s="950"/>
      <c r="PYG117" s="950"/>
      <c r="PYH117" s="950"/>
      <c r="PYI117" s="950"/>
      <c r="PYJ117" s="950"/>
      <c r="PYK117" s="950"/>
      <c r="PYL117" s="950"/>
      <c r="PYM117" s="950"/>
      <c r="PYN117" s="950"/>
      <c r="PYO117" s="950"/>
      <c r="PYP117" s="950"/>
      <c r="PYQ117" s="950"/>
      <c r="PYR117" s="950"/>
      <c r="PYS117" s="950"/>
      <c r="PYT117" s="950"/>
      <c r="PYU117" s="950"/>
      <c r="PYV117" s="950"/>
      <c r="PYW117" s="950"/>
      <c r="PYX117" s="950"/>
      <c r="PYY117" s="950"/>
      <c r="PYZ117" s="950"/>
      <c r="PZA117" s="950"/>
      <c r="PZB117" s="950"/>
      <c r="PZC117" s="950"/>
      <c r="PZD117" s="950"/>
      <c r="PZE117" s="950"/>
      <c r="PZF117" s="950"/>
      <c r="PZG117" s="950"/>
      <c r="PZH117" s="950"/>
      <c r="PZI117" s="950"/>
      <c r="PZJ117" s="950"/>
      <c r="PZK117" s="950"/>
      <c r="PZL117" s="950"/>
      <c r="PZM117" s="950"/>
      <c r="PZN117" s="950"/>
      <c r="PZO117" s="950"/>
      <c r="PZP117" s="950"/>
      <c r="PZQ117" s="950"/>
      <c r="PZR117" s="950"/>
      <c r="PZS117" s="950"/>
      <c r="PZT117" s="950"/>
      <c r="PZU117" s="950"/>
      <c r="PZV117" s="950"/>
      <c r="PZW117" s="950"/>
      <c r="PZX117" s="950"/>
      <c r="PZY117" s="950"/>
      <c r="PZZ117" s="950"/>
      <c r="QAA117" s="950"/>
      <c r="QAB117" s="950"/>
      <c r="QAC117" s="950"/>
      <c r="QAD117" s="950"/>
      <c r="QAE117" s="950"/>
      <c r="QAF117" s="950"/>
      <c r="QAG117" s="950"/>
      <c r="QAH117" s="950"/>
      <c r="QAI117" s="950"/>
      <c r="QAJ117" s="950"/>
      <c r="QAK117" s="950"/>
      <c r="QAL117" s="950"/>
      <c r="QAM117" s="950"/>
      <c r="QAN117" s="950"/>
      <c r="QAO117" s="950"/>
      <c r="QAP117" s="950"/>
      <c r="QAQ117" s="950"/>
      <c r="QAR117" s="950"/>
      <c r="QAS117" s="950"/>
      <c r="QAT117" s="950"/>
      <c r="QAU117" s="950"/>
      <c r="QAV117" s="950"/>
      <c r="QAW117" s="950"/>
      <c r="QAX117" s="950"/>
      <c r="QAY117" s="950"/>
      <c r="QAZ117" s="950"/>
      <c r="QBA117" s="950"/>
      <c r="QBB117" s="950"/>
      <c r="QBC117" s="950"/>
      <c r="QBD117" s="950"/>
      <c r="QBE117" s="950"/>
      <c r="QBF117" s="950"/>
      <c r="QBG117" s="950"/>
      <c r="QBH117" s="950"/>
      <c r="QBI117" s="950"/>
      <c r="QBJ117" s="950"/>
      <c r="QBK117" s="950"/>
      <c r="QBL117" s="950"/>
      <c r="QBM117" s="950"/>
      <c r="QBN117" s="950"/>
      <c r="QBO117" s="950"/>
      <c r="QBP117" s="950"/>
      <c r="QBQ117" s="950"/>
      <c r="QBR117" s="950"/>
      <c r="QBS117" s="950"/>
      <c r="QBT117" s="950"/>
      <c r="QBU117" s="950"/>
      <c r="QBV117" s="950"/>
      <c r="QBW117" s="950"/>
      <c r="QBX117" s="950"/>
      <c r="QBY117" s="950"/>
      <c r="QBZ117" s="950"/>
      <c r="QCA117" s="950"/>
      <c r="QCB117" s="950"/>
      <c r="QCC117" s="950"/>
      <c r="QCD117" s="950"/>
      <c r="QCE117" s="950"/>
      <c r="QCF117" s="950"/>
      <c r="QCG117" s="950"/>
      <c r="QCH117" s="950"/>
      <c r="QCI117" s="950"/>
      <c r="QCJ117" s="950"/>
      <c r="QCK117" s="950"/>
      <c r="QCL117" s="950"/>
      <c r="QCM117" s="950"/>
      <c r="QCN117" s="950"/>
      <c r="QCO117" s="950"/>
      <c r="QCP117" s="950"/>
      <c r="QCQ117" s="950"/>
      <c r="QCR117" s="950"/>
      <c r="QCS117" s="950"/>
      <c r="QCT117" s="950"/>
      <c r="QCU117" s="950"/>
      <c r="QCV117" s="950"/>
      <c r="QCW117" s="950"/>
      <c r="QCX117" s="950"/>
      <c r="QCY117" s="950"/>
      <c r="QCZ117" s="950"/>
      <c r="QDA117" s="950"/>
      <c r="QDB117" s="950"/>
      <c r="QDC117" s="950"/>
      <c r="QDD117" s="950"/>
      <c r="QDE117" s="950"/>
      <c r="QDF117" s="950"/>
      <c r="QDG117" s="950"/>
      <c r="QDH117" s="950"/>
      <c r="QDI117" s="950"/>
      <c r="QDJ117" s="950"/>
      <c r="QDK117" s="950"/>
      <c r="QDL117" s="950"/>
      <c r="QDM117" s="950"/>
      <c r="QDN117" s="950"/>
      <c r="QDO117" s="950"/>
      <c r="QDP117" s="950"/>
      <c r="QDQ117" s="950"/>
      <c r="QDR117" s="950"/>
      <c r="QDS117" s="950"/>
      <c r="QDT117" s="950"/>
      <c r="QDU117" s="950"/>
      <c r="QDV117" s="950"/>
      <c r="QDW117" s="950"/>
      <c r="QDX117" s="950"/>
      <c r="QDY117" s="950"/>
      <c r="QDZ117" s="950"/>
      <c r="QEA117" s="950"/>
      <c r="QEB117" s="950"/>
      <c r="QEC117" s="950"/>
      <c r="QED117" s="950"/>
      <c r="QEE117" s="950"/>
      <c r="QEF117" s="950"/>
      <c r="QEG117" s="950"/>
      <c r="QEH117" s="950"/>
      <c r="QEI117" s="950"/>
      <c r="QEJ117" s="950"/>
      <c r="QEK117" s="950"/>
      <c r="QEL117" s="950"/>
      <c r="QEM117" s="950"/>
      <c r="QEN117" s="950"/>
      <c r="QEO117" s="950"/>
      <c r="QEP117" s="950"/>
      <c r="QEQ117" s="950"/>
      <c r="QER117" s="950"/>
      <c r="QES117" s="950"/>
      <c r="QET117" s="950"/>
      <c r="QEU117" s="950"/>
      <c r="QEV117" s="950"/>
      <c r="QEW117" s="950"/>
      <c r="QEX117" s="950"/>
      <c r="QEY117" s="950"/>
      <c r="QEZ117" s="950"/>
      <c r="QFA117" s="950"/>
      <c r="QFB117" s="950"/>
      <c r="QFC117" s="950"/>
      <c r="QFD117" s="950"/>
      <c r="QFE117" s="950"/>
      <c r="QFF117" s="950"/>
      <c r="QFG117" s="950"/>
      <c r="QFH117" s="950"/>
      <c r="QFI117" s="950"/>
      <c r="QFJ117" s="950"/>
      <c r="QFK117" s="950"/>
      <c r="QFL117" s="950"/>
      <c r="QFM117" s="950"/>
      <c r="QFN117" s="950"/>
      <c r="QFO117" s="950"/>
      <c r="QFP117" s="950"/>
      <c r="QFQ117" s="950"/>
      <c r="QFR117" s="950"/>
      <c r="QFS117" s="950"/>
      <c r="QFT117" s="950"/>
      <c r="QFU117" s="950"/>
      <c r="QFV117" s="950"/>
      <c r="QFW117" s="950"/>
      <c r="QFX117" s="950"/>
      <c r="QFY117" s="950"/>
      <c r="QFZ117" s="950"/>
      <c r="QGA117" s="950"/>
      <c r="QGB117" s="950"/>
      <c r="QGC117" s="950"/>
      <c r="QGD117" s="950"/>
      <c r="QGE117" s="950"/>
      <c r="QGF117" s="950"/>
      <c r="QGG117" s="950"/>
      <c r="QGH117" s="950"/>
      <c r="QGI117" s="950"/>
      <c r="QGJ117" s="950"/>
      <c r="QGK117" s="950"/>
      <c r="QGL117" s="950"/>
      <c r="QGM117" s="950"/>
      <c r="QGN117" s="950"/>
      <c r="QGO117" s="950"/>
      <c r="QGP117" s="950"/>
      <c r="QGQ117" s="950"/>
      <c r="QGR117" s="950"/>
      <c r="QGS117" s="950"/>
      <c r="QGT117" s="950"/>
      <c r="QGU117" s="950"/>
      <c r="QGV117" s="950"/>
      <c r="QGW117" s="950"/>
      <c r="QGX117" s="950"/>
      <c r="QGY117" s="950"/>
      <c r="QGZ117" s="950"/>
      <c r="QHA117" s="950"/>
      <c r="QHB117" s="950"/>
      <c r="QHC117" s="950"/>
      <c r="QHD117" s="950"/>
      <c r="QHE117" s="950"/>
      <c r="QHF117" s="950"/>
      <c r="QHG117" s="950"/>
      <c r="QHH117" s="950"/>
      <c r="QHI117" s="950"/>
      <c r="QHJ117" s="950"/>
      <c r="QHK117" s="950"/>
      <c r="QHL117" s="950"/>
      <c r="QHM117" s="950"/>
      <c r="QHN117" s="950"/>
      <c r="QHO117" s="950"/>
      <c r="QHP117" s="950"/>
      <c r="QHQ117" s="950"/>
      <c r="QHR117" s="950"/>
      <c r="QHS117" s="950"/>
      <c r="QHT117" s="950"/>
      <c r="QHU117" s="950"/>
      <c r="QHV117" s="950"/>
      <c r="QHW117" s="950"/>
      <c r="QHX117" s="950"/>
      <c r="QHY117" s="950"/>
      <c r="QHZ117" s="950"/>
      <c r="QIA117" s="950"/>
      <c r="QIB117" s="950"/>
      <c r="QIC117" s="950"/>
      <c r="QID117" s="950"/>
      <c r="QIE117" s="950"/>
      <c r="QIF117" s="950"/>
      <c r="QIG117" s="950"/>
      <c r="QIH117" s="950"/>
      <c r="QII117" s="950"/>
      <c r="QIJ117" s="950"/>
      <c r="QIK117" s="950"/>
      <c r="QIL117" s="950"/>
      <c r="QIM117" s="950"/>
      <c r="QIN117" s="950"/>
      <c r="QIO117" s="950"/>
      <c r="QIP117" s="950"/>
      <c r="QIQ117" s="950"/>
      <c r="QIR117" s="950"/>
      <c r="QIS117" s="950"/>
      <c r="QIT117" s="950"/>
      <c r="QIU117" s="950"/>
      <c r="QIV117" s="950"/>
      <c r="QIW117" s="950"/>
      <c r="QIX117" s="950"/>
      <c r="QIY117" s="950"/>
      <c r="QIZ117" s="950"/>
      <c r="QJA117" s="950"/>
      <c r="QJB117" s="950"/>
      <c r="QJC117" s="950"/>
      <c r="QJD117" s="950"/>
      <c r="QJE117" s="950"/>
      <c r="QJF117" s="950"/>
      <c r="QJG117" s="950"/>
      <c r="QJH117" s="950"/>
      <c r="QJI117" s="950"/>
      <c r="QJJ117" s="950"/>
      <c r="QJK117" s="950"/>
      <c r="QJL117" s="950"/>
      <c r="QJM117" s="950"/>
      <c r="QJN117" s="950"/>
      <c r="QJO117" s="950"/>
      <c r="QJP117" s="950"/>
      <c r="QJQ117" s="950"/>
      <c r="QJR117" s="950"/>
      <c r="QJS117" s="950"/>
      <c r="QJT117" s="950"/>
      <c r="QJU117" s="950"/>
      <c r="QJV117" s="950"/>
      <c r="QJW117" s="950"/>
      <c r="QJX117" s="950"/>
      <c r="QJY117" s="950"/>
      <c r="QJZ117" s="950"/>
      <c r="QKA117" s="950"/>
      <c r="QKB117" s="950"/>
      <c r="QKC117" s="950"/>
      <c r="QKD117" s="950"/>
      <c r="QKE117" s="950"/>
      <c r="QKF117" s="950"/>
      <c r="QKG117" s="950"/>
      <c r="QKH117" s="950"/>
      <c r="QKI117" s="950"/>
      <c r="QKJ117" s="950"/>
      <c r="QKK117" s="950"/>
      <c r="QKL117" s="950"/>
      <c r="QKM117" s="950"/>
      <c r="QKN117" s="950"/>
      <c r="QKO117" s="950"/>
      <c r="QKP117" s="950"/>
      <c r="QKQ117" s="950"/>
      <c r="QKR117" s="950"/>
      <c r="QKS117" s="950"/>
      <c r="QKT117" s="950"/>
      <c r="QKU117" s="950"/>
      <c r="QKV117" s="950"/>
      <c r="QKW117" s="950"/>
      <c r="QKX117" s="950"/>
      <c r="QKY117" s="950"/>
      <c r="QKZ117" s="950"/>
      <c r="QLA117" s="950"/>
      <c r="QLB117" s="950"/>
      <c r="QLC117" s="950"/>
      <c r="QLD117" s="950"/>
      <c r="QLE117" s="950"/>
      <c r="QLF117" s="950"/>
      <c r="QLG117" s="950"/>
      <c r="QLH117" s="950"/>
      <c r="QLI117" s="950"/>
      <c r="QLJ117" s="950"/>
      <c r="QLK117" s="950"/>
      <c r="QLL117" s="950"/>
      <c r="QLM117" s="950"/>
      <c r="QLN117" s="950"/>
      <c r="QLO117" s="950"/>
      <c r="QLP117" s="950"/>
      <c r="QLQ117" s="950"/>
      <c r="QLR117" s="950"/>
      <c r="QLS117" s="950"/>
      <c r="QLT117" s="950"/>
      <c r="QLU117" s="950"/>
      <c r="QLV117" s="950"/>
      <c r="QLW117" s="950"/>
      <c r="QLX117" s="950"/>
      <c r="QLY117" s="950"/>
      <c r="QLZ117" s="950"/>
      <c r="QMA117" s="950"/>
      <c r="QMB117" s="950"/>
      <c r="QMC117" s="950"/>
      <c r="QMD117" s="950"/>
      <c r="QME117" s="950"/>
      <c r="QMF117" s="950"/>
      <c r="QMG117" s="950"/>
      <c r="QMH117" s="950"/>
      <c r="QMI117" s="950"/>
      <c r="QMJ117" s="950"/>
      <c r="QMK117" s="950"/>
      <c r="QML117" s="950"/>
      <c r="QMM117" s="950"/>
      <c r="QMN117" s="950"/>
      <c r="QMO117" s="950"/>
      <c r="QMP117" s="950"/>
      <c r="QMQ117" s="950"/>
      <c r="QMR117" s="950"/>
      <c r="QMS117" s="950"/>
      <c r="QMT117" s="950"/>
      <c r="QMU117" s="950"/>
      <c r="QMV117" s="950"/>
      <c r="QMW117" s="950"/>
      <c r="QMX117" s="950"/>
      <c r="QMY117" s="950"/>
      <c r="QMZ117" s="950"/>
      <c r="QNA117" s="950"/>
      <c r="QNB117" s="950"/>
      <c r="QNC117" s="950"/>
      <c r="QND117" s="950"/>
      <c r="QNE117" s="950"/>
      <c r="QNF117" s="950"/>
      <c r="QNG117" s="950"/>
      <c r="QNH117" s="950"/>
      <c r="QNI117" s="950"/>
      <c r="QNJ117" s="950"/>
      <c r="QNK117" s="950"/>
      <c r="QNL117" s="950"/>
      <c r="QNM117" s="950"/>
      <c r="QNN117" s="950"/>
      <c r="QNO117" s="950"/>
      <c r="QNP117" s="950"/>
      <c r="QNQ117" s="950"/>
      <c r="QNR117" s="950"/>
      <c r="QNS117" s="950"/>
      <c r="QNT117" s="950"/>
      <c r="QNU117" s="950"/>
      <c r="QNV117" s="950"/>
      <c r="QNW117" s="950"/>
      <c r="QNX117" s="950"/>
      <c r="QNY117" s="950"/>
      <c r="QNZ117" s="950"/>
      <c r="QOA117" s="950"/>
      <c r="QOB117" s="950"/>
      <c r="QOC117" s="950"/>
      <c r="QOD117" s="950"/>
      <c r="QOE117" s="950"/>
      <c r="QOF117" s="950"/>
      <c r="QOG117" s="950"/>
      <c r="QOH117" s="950"/>
      <c r="QOI117" s="950"/>
      <c r="QOJ117" s="950"/>
      <c r="QOK117" s="950"/>
      <c r="QOL117" s="950"/>
      <c r="QOM117" s="950"/>
      <c r="QON117" s="950"/>
      <c r="QOO117" s="950"/>
      <c r="QOP117" s="950"/>
      <c r="QOQ117" s="950"/>
      <c r="QOR117" s="950"/>
      <c r="QOS117" s="950"/>
      <c r="QOT117" s="950"/>
      <c r="QOU117" s="950"/>
      <c r="QOV117" s="950"/>
      <c r="QOW117" s="950"/>
      <c r="QOX117" s="950"/>
      <c r="QOY117" s="950"/>
      <c r="QOZ117" s="950"/>
      <c r="QPA117" s="950"/>
      <c r="QPB117" s="950"/>
      <c r="QPC117" s="950"/>
      <c r="QPD117" s="950"/>
      <c r="QPE117" s="950"/>
      <c r="QPF117" s="950"/>
      <c r="QPG117" s="950"/>
      <c r="QPH117" s="950"/>
      <c r="QPI117" s="950"/>
      <c r="QPJ117" s="950"/>
      <c r="QPK117" s="950"/>
      <c r="QPL117" s="950"/>
      <c r="QPM117" s="950"/>
      <c r="QPN117" s="950"/>
      <c r="QPO117" s="950"/>
      <c r="QPP117" s="950"/>
      <c r="QPQ117" s="950"/>
      <c r="QPR117" s="950"/>
      <c r="QPS117" s="950"/>
      <c r="QPT117" s="950"/>
      <c r="QPU117" s="950"/>
      <c r="QPV117" s="950"/>
      <c r="QPW117" s="950"/>
      <c r="QPX117" s="950"/>
      <c r="QPY117" s="950"/>
      <c r="QPZ117" s="950"/>
      <c r="QQA117" s="950"/>
      <c r="QQB117" s="950"/>
      <c r="QQC117" s="950"/>
      <c r="QQD117" s="950"/>
      <c r="QQE117" s="950"/>
      <c r="QQF117" s="950"/>
      <c r="QQG117" s="950"/>
      <c r="QQH117" s="950"/>
      <c r="QQI117" s="950"/>
      <c r="QQJ117" s="950"/>
      <c r="QQK117" s="950"/>
      <c r="QQL117" s="950"/>
      <c r="QQM117" s="950"/>
      <c r="QQN117" s="950"/>
      <c r="QQO117" s="950"/>
      <c r="QQP117" s="950"/>
      <c r="QQQ117" s="950"/>
      <c r="QQR117" s="950"/>
      <c r="QQS117" s="950"/>
      <c r="QQT117" s="950"/>
      <c r="QQU117" s="950"/>
      <c r="QQV117" s="950"/>
      <c r="QQW117" s="950"/>
      <c r="QQX117" s="950"/>
      <c r="QQY117" s="950"/>
      <c r="QQZ117" s="950"/>
      <c r="QRA117" s="950"/>
      <c r="QRB117" s="950"/>
      <c r="QRC117" s="950"/>
      <c r="QRD117" s="950"/>
      <c r="QRE117" s="950"/>
      <c r="QRF117" s="950"/>
      <c r="QRG117" s="950"/>
      <c r="QRH117" s="950"/>
      <c r="QRI117" s="950"/>
      <c r="QRJ117" s="950"/>
      <c r="QRK117" s="950"/>
      <c r="QRL117" s="950"/>
      <c r="QRM117" s="950"/>
      <c r="QRN117" s="950"/>
      <c r="QRO117" s="950"/>
      <c r="QRP117" s="950"/>
      <c r="QRQ117" s="950"/>
      <c r="QRR117" s="950"/>
      <c r="QRS117" s="950"/>
      <c r="QRT117" s="950"/>
      <c r="QRU117" s="950"/>
      <c r="QRV117" s="950"/>
      <c r="QRW117" s="950"/>
      <c r="QRX117" s="950"/>
      <c r="QRY117" s="950"/>
      <c r="QRZ117" s="950"/>
      <c r="QSA117" s="950"/>
      <c r="QSB117" s="950"/>
      <c r="QSC117" s="950"/>
      <c r="QSD117" s="950"/>
      <c r="QSE117" s="950"/>
      <c r="QSF117" s="950"/>
      <c r="QSG117" s="950"/>
      <c r="QSH117" s="950"/>
      <c r="QSI117" s="950"/>
      <c r="QSJ117" s="950"/>
      <c r="QSK117" s="950"/>
      <c r="QSL117" s="950"/>
      <c r="QSM117" s="950"/>
      <c r="QSN117" s="950"/>
      <c r="QSO117" s="950"/>
      <c r="QSP117" s="950"/>
      <c r="QSQ117" s="950"/>
      <c r="QSR117" s="950"/>
      <c r="QSS117" s="950"/>
      <c r="QST117" s="950"/>
      <c r="QSU117" s="950"/>
      <c r="QSV117" s="950"/>
      <c r="QSW117" s="950"/>
      <c r="QSX117" s="950"/>
      <c r="QSY117" s="950"/>
      <c r="QSZ117" s="950"/>
      <c r="QTA117" s="950"/>
      <c r="QTB117" s="950"/>
      <c r="QTC117" s="950"/>
      <c r="QTD117" s="950"/>
      <c r="QTE117" s="950"/>
      <c r="QTF117" s="950"/>
      <c r="QTG117" s="950"/>
      <c r="QTH117" s="950"/>
      <c r="QTI117" s="950"/>
      <c r="QTJ117" s="950"/>
      <c r="QTK117" s="950"/>
      <c r="QTL117" s="950"/>
      <c r="QTM117" s="950"/>
      <c r="QTN117" s="950"/>
      <c r="QTO117" s="950"/>
      <c r="QTP117" s="950"/>
      <c r="QTQ117" s="950"/>
      <c r="QTR117" s="950"/>
      <c r="QTS117" s="950"/>
      <c r="QTT117" s="950"/>
      <c r="QTU117" s="950"/>
      <c r="QTV117" s="950"/>
      <c r="QTW117" s="950"/>
      <c r="QTX117" s="950"/>
      <c r="QTY117" s="950"/>
      <c r="QTZ117" s="950"/>
      <c r="QUA117" s="950"/>
      <c r="QUB117" s="950"/>
      <c r="QUC117" s="950"/>
      <c r="QUD117" s="950"/>
      <c r="QUE117" s="950"/>
      <c r="QUF117" s="950"/>
      <c r="QUG117" s="950"/>
      <c r="QUH117" s="950"/>
      <c r="QUI117" s="950"/>
      <c r="QUJ117" s="950"/>
      <c r="QUK117" s="950"/>
      <c r="QUL117" s="950"/>
      <c r="QUM117" s="950"/>
      <c r="QUN117" s="950"/>
      <c r="QUO117" s="950"/>
      <c r="QUP117" s="950"/>
      <c r="QUQ117" s="950"/>
      <c r="QUR117" s="950"/>
      <c r="QUS117" s="950"/>
      <c r="QUT117" s="950"/>
      <c r="QUU117" s="950"/>
      <c r="QUV117" s="950"/>
      <c r="QUW117" s="950"/>
      <c r="QUX117" s="950"/>
      <c r="QUY117" s="950"/>
      <c r="QUZ117" s="950"/>
      <c r="QVA117" s="950"/>
      <c r="QVB117" s="950"/>
      <c r="QVC117" s="950"/>
      <c r="QVD117" s="950"/>
      <c r="QVE117" s="950"/>
      <c r="QVF117" s="950"/>
      <c r="QVG117" s="950"/>
      <c r="QVH117" s="950"/>
      <c r="QVI117" s="950"/>
      <c r="QVJ117" s="950"/>
      <c r="QVK117" s="950"/>
      <c r="QVL117" s="950"/>
      <c r="QVM117" s="950"/>
      <c r="QVN117" s="950"/>
      <c r="QVO117" s="950"/>
      <c r="QVP117" s="950"/>
      <c r="QVQ117" s="950"/>
      <c r="QVR117" s="950"/>
      <c r="QVS117" s="950"/>
      <c r="QVT117" s="950"/>
      <c r="QVU117" s="950"/>
      <c r="QVV117" s="950"/>
      <c r="QVW117" s="950"/>
      <c r="QVX117" s="950"/>
      <c r="QVY117" s="950"/>
      <c r="QVZ117" s="950"/>
      <c r="QWA117" s="950"/>
      <c r="QWB117" s="950"/>
      <c r="QWC117" s="950"/>
      <c r="QWD117" s="950"/>
      <c r="QWE117" s="950"/>
      <c r="QWF117" s="950"/>
      <c r="QWG117" s="950"/>
      <c r="QWH117" s="950"/>
      <c r="QWI117" s="950"/>
      <c r="QWJ117" s="950"/>
      <c r="QWK117" s="950"/>
      <c r="QWL117" s="950"/>
      <c r="QWM117" s="950"/>
      <c r="QWN117" s="950"/>
      <c r="QWO117" s="950"/>
      <c r="QWP117" s="950"/>
      <c r="QWQ117" s="950"/>
      <c r="QWR117" s="950"/>
      <c r="QWS117" s="950"/>
      <c r="QWT117" s="950"/>
      <c r="QWU117" s="950"/>
      <c r="QWV117" s="950"/>
      <c r="QWW117" s="950"/>
      <c r="QWX117" s="950"/>
      <c r="QWY117" s="950"/>
      <c r="QWZ117" s="950"/>
      <c r="QXA117" s="950"/>
      <c r="QXB117" s="950"/>
      <c r="QXC117" s="950"/>
      <c r="QXD117" s="950"/>
      <c r="QXE117" s="950"/>
      <c r="QXF117" s="950"/>
      <c r="QXG117" s="950"/>
      <c r="QXH117" s="950"/>
      <c r="QXI117" s="950"/>
      <c r="QXJ117" s="950"/>
      <c r="QXK117" s="950"/>
      <c r="QXL117" s="950"/>
      <c r="QXM117" s="950"/>
      <c r="QXN117" s="950"/>
      <c r="QXO117" s="950"/>
      <c r="QXP117" s="950"/>
      <c r="QXQ117" s="950"/>
      <c r="QXR117" s="950"/>
      <c r="QXS117" s="950"/>
      <c r="QXT117" s="950"/>
      <c r="QXU117" s="950"/>
      <c r="QXV117" s="950"/>
      <c r="QXW117" s="950"/>
      <c r="QXX117" s="950"/>
      <c r="QXY117" s="950"/>
      <c r="QXZ117" s="950"/>
      <c r="QYA117" s="950"/>
      <c r="QYB117" s="950"/>
      <c r="QYC117" s="950"/>
      <c r="QYD117" s="950"/>
      <c r="QYE117" s="950"/>
      <c r="QYF117" s="950"/>
      <c r="QYG117" s="950"/>
      <c r="QYH117" s="950"/>
      <c r="QYI117" s="950"/>
      <c r="QYJ117" s="950"/>
      <c r="QYK117" s="950"/>
      <c r="QYL117" s="950"/>
      <c r="QYM117" s="950"/>
      <c r="QYN117" s="950"/>
      <c r="QYO117" s="950"/>
      <c r="QYP117" s="950"/>
      <c r="QYQ117" s="950"/>
      <c r="QYR117" s="950"/>
      <c r="QYS117" s="950"/>
      <c r="QYT117" s="950"/>
      <c r="QYU117" s="950"/>
      <c r="QYV117" s="950"/>
      <c r="QYW117" s="950"/>
      <c r="QYX117" s="950"/>
      <c r="QYY117" s="950"/>
      <c r="QYZ117" s="950"/>
      <c r="QZA117" s="950"/>
      <c r="QZB117" s="950"/>
      <c r="QZC117" s="950"/>
      <c r="QZD117" s="950"/>
      <c r="QZE117" s="950"/>
      <c r="QZF117" s="950"/>
      <c r="QZG117" s="950"/>
      <c r="QZH117" s="950"/>
      <c r="QZI117" s="950"/>
      <c r="QZJ117" s="950"/>
      <c r="QZK117" s="950"/>
      <c r="QZL117" s="950"/>
      <c r="QZM117" s="950"/>
      <c r="QZN117" s="950"/>
      <c r="QZO117" s="950"/>
      <c r="QZP117" s="950"/>
      <c r="QZQ117" s="950"/>
      <c r="QZR117" s="950"/>
      <c r="QZS117" s="950"/>
      <c r="QZT117" s="950"/>
      <c r="QZU117" s="950"/>
      <c r="QZV117" s="950"/>
      <c r="QZW117" s="950"/>
      <c r="QZX117" s="950"/>
      <c r="QZY117" s="950"/>
      <c r="QZZ117" s="950"/>
      <c r="RAA117" s="950"/>
      <c r="RAB117" s="950"/>
      <c r="RAC117" s="950"/>
      <c r="RAD117" s="950"/>
      <c r="RAE117" s="950"/>
      <c r="RAF117" s="950"/>
      <c r="RAG117" s="950"/>
      <c r="RAH117" s="950"/>
      <c r="RAI117" s="950"/>
      <c r="RAJ117" s="950"/>
      <c r="RAK117" s="950"/>
      <c r="RAL117" s="950"/>
      <c r="RAM117" s="950"/>
      <c r="RAN117" s="950"/>
      <c r="RAO117" s="950"/>
      <c r="RAP117" s="950"/>
      <c r="RAQ117" s="950"/>
      <c r="RAR117" s="950"/>
      <c r="RAS117" s="950"/>
      <c r="RAT117" s="950"/>
      <c r="RAU117" s="950"/>
      <c r="RAV117" s="950"/>
      <c r="RAW117" s="950"/>
      <c r="RAX117" s="950"/>
      <c r="RAY117" s="950"/>
      <c r="RAZ117" s="950"/>
      <c r="RBA117" s="950"/>
      <c r="RBB117" s="950"/>
      <c r="RBC117" s="950"/>
      <c r="RBD117" s="950"/>
      <c r="RBE117" s="950"/>
      <c r="RBF117" s="950"/>
      <c r="RBG117" s="950"/>
      <c r="RBH117" s="950"/>
      <c r="RBI117" s="950"/>
      <c r="RBJ117" s="950"/>
      <c r="RBK117" s="950"/>
      <c r="RBL117" s="950"/>
      <c r="RBM117" s="950"/>
      <c r="RBN117" s="950"/>
      <c r="RBO117" s="950"/>
      <c r="RBP117" s="950"/>
      <c r="RBQ117" s="950"/>
      <c r="RBR117" s="950"/>
      <c r="RBS117" s="950"/>
      <c r="RBT117" s="950"/>
      <c r="RBU117" s="950"/>
      <c r="RBV117" s="950"/>
      <c r="RBW117" s="950"/>
      <c r="RBX117" s="950"/>
      <c r="RBY117" s="950"/>
      <c r="RBZ117" s="950"/>
      <c r="RCA117" s="950"/>
      <c r="RCB117" s="950"/>
      <c r="RCC117" s="950"/>
      <c r="RCD117" s="950"/>
      <c r="RCE117" s="950"/>
      <c r="RCF117" s="950"/>
      <c r="RCG117" s="950"/>
      <c r="RCH117" s="950"/>
      <c r="RCI117" s="950"/>
      <c r="RCJ117" s="950"/>
      <c r="RCK117" s="950"/>
      <c r="RCL117" s="950"/>
      <c r="RCM117" s="950"/>
      <c r="RCN117" s="950"/>
      <c r="RCO117" s="950"/>
      <c r="RCP117" s="950"/>
      <c r="RCQ117" s="950"/>
      <c r="RCR117" s="950"/>
      <c r="RCS117" s="950"/>
      <c r="RCT117" s="950"/>
      <c r="RCU117" s="950"/>
      <c r="RCV117" s="950"/>
      <c r="RCW117" s="950"/>
      <c r="RCX117" s="950"/>
      <c r="RCY117" s="950"/>
      <c r="RCZ117" s="950"/>
      <c r="RDA117" s="950"/>
      <c r="RDB117" s="950"/>
      <c r="RDC117" s="950"/>
      <c r="RDD117" s="950"/>
      <c r="RDE117" s="950"/>
      <c r="RDF117" s="950"/>
      <c r="RDG117" s="950"/>
      <c r="RDH117" s="950"/>
      <c r="RDI117" s="950"/>
      <c r="RDJ117" s="950"/>
      <c r="RDK117" s="950"/>
      <c r="RDL117" s="950"/>
      <c r="RDM117" s="950"/>
      <c r="RDN117" s="950"/>
      <c r="RDO117" s="950"/>
      <c r="RDP117" s="950"/>
      <c r="RDQ117" s="950"/>
      <c r="RDR117" s="950"/>
      <c r="RDS117" s="950"/>
      <c r="RDT117" s="950"/>
      <c r="RDU117" s="950"/>
      <c r="RDV117" s="950"/>
      <c r="RDW117" s="950"/>
      <c r="RDX117" s="950"/>
      <c r="RDY117" s="950"/>
      <c r="RDZ117" s="950"/>
      <c r="REA117" s="950"/>
      <c r="REB117" s="950"/>
      <c r="REC117" s="950"/>
      <c r="RED117" s="950"/>
      <c r="REE117" s="950"/>
      <c r="REF117" s="950"/>
      <c r="REG117" s="950"/>
      <c r="REH117" s="950"/>
      <c r="REI117" s="950"/>
      <c r="REJ117" s="950"/>
      <c r="REK117" s="950"/>
      <c r="REL117" s="950"/>
      <c r="REM117" s="950"/>
      <c r="REN117" s="950"/>
      <c r="REO117" s="950"/>
      <c r="REP117" s="950"/>
      <c r="REQ117" s="950"/>
      <c r="RER117" s="950"/>
      <c r="RES117" s="950"/>
      <c r="RET117" s="950"/>
      <c r="REU117" s="950"/>
      <c r="REV117" s="950"/>
      <c r="REW117" s="950"/>
      <c r="REX117" s="950"/>
      <c r="REY117" s="950"/>
      <c r="REZ117" s="950"/>
      <c r="RFA117" s="950"/>
      <c r="RFB117" s="950"/>
      <c r="RFC117" s="950"/>
      <c r="RFD117" s="950"/>
      <c r="RFE117" s="950"/>
      <c r="RFF117" s="950"/>
      <c r="RFG117" s="950"/>
      <c r="RFH117" s="950"/>
      <c r="RFI117" s="950"/>
      <c r="RFJ117" s="950"/>
      <c r="RFK117" s="950"/>
      <c r="RFL117" s="950"/>
      <c r="RFM117" s="950"/>
      <c r="RFN117" s="950"/>
      <c r="RFO117" s="950"/>
      <c r="RFP117" s="950"/>
      <c r="RFQ117" s="950"/>
      <c r="RFR117" s="950"/>
      <c r="RFS117" s="950"/>
      <c r="RFT117" s="950"/>
      <c r="RFU117" s="950"/>
      <c r="RFV117" s="950"/>
      <c r="RFW117" s="950"/>
      <c r="RFX117" s="950"/>
      <c r="RFY117" s="950"/>
      <c r="RFZ117" s="950"/>
      <c r="RGA117" s="950"/>
      <c r="RGB117" s="950"/>
      <c r="RGC117" s="950"/>
      <c r="RGD117" s="950"/>
      <c r="RGE117" s="950"/>
      <c r="RGF117" s="950"/>
      <c r="RGG117" s="950"/>
      <c r="RGH117" s="950"/>
      <c r="RGI117" s="950"/>
      <c r="RGJ117" s="950"/>
      <c r="RGK117" s="950"/>
      <c r="RGL117" s="950"/>
      <c r="RGM117" s="950"/>
      <c r="RGN117" s="950"/>
      <c r="RGO117" s="950"/>
      <c r="RGP117" s="950"/>
      <c r="RGQ117" s="950"/>
      <c r="RGR117" s="950"/>
      <c r="RGS117" s="950"/>
      <c r="RGT117" s="950"/>
      <c r="RGU117" s="950"/>
      <c r="RGV117" s="950"/>
      <c r="RGW117" s="950"/>
      <c r="RGX117" s="950"/>
      <c r="RGY117" s="950"/>
      <c r="RGZ117" s="950"/>
      <c r="RHA117" s="950"/>
      <c r="RHB117" s="950"/>
      <c r="RHC117" s="950"/>
      <c r="RHD117" s="950"/>
      <c r="RHE117" s="950"/>
      <c r="RHF117" s="950"/>
      <c r="RHG117" s="950"/>
      <c r="RHH117" s="950"/>
      <c r="RHI117" s="950"/>
      <c r="RHJ117" s="950"/>
      <c r="RHK117" s="950"/>
      <c r="RHL117" s="950"/>
      <c r="RHM117" s="950"/>
      <c r="RHN117" s="950"/>
      <c r="RHO117" s="950"/>
      <c r="RHP117" s="950"/>
      <c r="RHQ117" s="950"/>
      <c r="RHR117" s="950"/>
      <c r="RHS117" s="950"/>
      <c r="RHT117" s="950"/>
      <c r="RHU117" s="950"/>
      <c r="RHV117" s="950"/>
      <c r="RHW117" s="950"/>
      <c r="RHX117" s="950"/>
      <c r="RHY117" s="950"/>
      <c r="RHZ117" s="950"/>
      <c r="RIA117" s="950"/>
      <c r="RIB117" s="950"/>
      <c r="RIC117" s="950"/>
      <c r="RID117" s="950"/>
      <c r="RIE117" s="950"/>
      <c r="RIF117" s="950"/>
      <c r="RIG117" s="950"/>
      <c r="RIH117" s="950"/>
      <c r="RII117" s="950"/>
      <c r="RIJ117" s="950"/>
      <c r="RIK117" s="950"/>
      <c r="RIL117" s="950"/>
      <c r="RIM117" s="950"/>
      <c r="RIN117" s="950"/>
      <c r="RIO117" s="950"/>
      <c r="RIP117" s="950"/>
      <c r="RIQ117" s="950"/>
      <c r="RIR117" s="950"/>
      <c r="RIS117" s="950"/>
      <c r="RIT117" s="950"/>
      <c r="RIU117" s="950"/>
      <c r="RIV117" s="950"/>
      <c r="RIW117" s="950"/>
      <c r="RIX117" s="950"/>
      <c r="RIY117" s="950"/>
      <c r="RIZ117" s="950"/>
      <c r="RJA117" s="950"/>
      <c r="RJB117" s="950"/>
      <c r="RJC117" s="950"/>
      <c r="RJD117" s="950"/>
      <c r="RJE117" s="950"/>
      <c r="RJF117" s="950"/>
      <c r="RJG117" s="950"/>
      <c r="RJH117" s="950"/>
      <c r="RJI117" s="950"/>
      <c r="RJJ117" s="950"/>
      <c r="RJK117" s="950"/>
      <c r="RJL117" s="950"/>
      <c r="RJM117" s="950"/>
      <c r="RJN117" s="950"/>
      <c r="RJO117" s="950"/>
      <c r="RJP117" s="950"/>
      <c r="RJQ117" s="950"/>
      <c r="RJR117" s="950"/>
      <c r="RJS117" s="950"/>
      <c r="RJT117" s="950"/>
      <c r="RJU117" s="950"/>
      <c r="RJV117" s="950"/>
      <c r="RJW117" s="950"/>
      <c r="RJX117" s="950"/>
      <c r="RJY117" s="950"/>
      <c r="RJZ117" s="950"/>
      <c r="RKA117" s="950"/>
      <c r="RKB117" s="950"/>
      <c r="RKC117" s="950"/>
      <c r="RKD117" s="950"/>
      <c r="RKE117" s="950"/>
      <c r="RKF117" s="950"/>
      <c r="RKG117" s="950"/>
      <c r="RKH117" s="950"/>
      <c r="RKI117" s="950"/>
      <c r="RKJ117" s="950"/>
      <c r="RKK117" s="950"/>
      <c r="RKL117" s="950"/>
      <c r="RKM117" s="950"/>
      <c r="RKN117" s="950"/>
      <c r="RKO117" s="950"/>
      <c r="RKP117" s="950"/>
      <c r="RKQ117" s="950"/>
      <c r="RKR117" s="950"/>
      <c r="RKS117" s="950"/>
      <c r="RKT117" s="950"/>
      <c r="RKU117" s="950"/>
      <c r="RKV117" s="950"/>
      <c r="RKW117" s="950"/>
      <c r="RKX117" s="950"/>
      <c r="RKY117" s="950"/>
      <c r="RKZ117" s="950"/>
      <c r="RLA117" s="950"/>
      <c r="RLB117" s="950"/>
      <c r="RLC117" s="950"/>
      <c r="RLD117" s="950"/>
      <c r="RLE117" s="950"/>
      <c r="RLF117" s="950"/>
      <c r="RLG117" s="950"/>
      <c r="RLH117" s="950"/>
      <c r="RLI117" s="950"/>
      <c r="RLJ117" s="950"/>
      <c r="RLK117" s="950"/>
      <c r="RLL117" s="950"/>
      <c r="RLM117" s="950"/>
      <c r="RLN117" s="950"/>
      <c r="RLO117" s="950"/>
      <c r="RLP117" s="950"/>
      <c r="RLQ117" s="950"/>
      <c r="RLR117" s="950"/>
      <c r="RLS117" s="950"/>
      <c r="RLT117" s="950"/>
      <c r="RLU117" s="950"/>
      <c r="RLV117" s="950"/>
      <c r="RLW117" s="950"/>
      <c r="RLX117" s="950"/>
      <c r="RLY117" s="950"/>
      <c r="RLZ117" s="950"/>
      <c r="RMA117" s="950"/>
      <c r="RMB117" s="950"/>
      <c r="RMC117" s="950"/>
      <c r="RMD117" s="950"/>
      <c r="RME117" s="950"/>
      <c r="RMF117" s="950"/>
      <c r="RMG117" s="950"/>
      <c r="RMH117" s="950"/>
      <c r="RMI117" s="950"/>
      <c r="RMJ117" s="950"/>
      <c r="RMK117" s="950"/>
      <c r="RML117" s="950"/>
      <c r="RMM117" s="950"/>
      <c r="RMN117" s="950"/>
      <c r="RMO117" s="950"/>
      <c r="RMP117" s="950"/>
      <c r="RMQ117" s="950"/>
      <c r="RMR117" s="950"/>
      <c r="RMS117" s="950"/>
      <c r="RMT117" s="950"/>
      <c r="RMU117" s="950"/>
      <c r="RMV117" s="950"/>
      <c r="RMW117" s="950"/>
      <c r="RMX117" s="950"/>
      <c r="RMY117" s="950"/>
      <c r="RMZ117" s="950"/>
      <c r="RNA117" s="950"/>
      <c r="RNB117" s="950"/>
      <c r="RNC117" s="950"/>
      <c r="RND117" s="950"/>
      <c r="RNE117" s="950"/>
      <c r="RNF117" s="950"/>
      <c r="RNG117" s="950"/>
      <c r="RNH117" s="950"/>
      <c r="RNI117" s="950"/>
      <c r="RNJ117" s="950"/>
      <c r="RNK117" s="950"/>
      <c r="RNL117" s="950"/>
      <c r="RNM117" s="950"/>
      <c r="RNN117" s="950"/>
      <c r="RNO117" s="950"/>
      <c r="RNP117" s="950"/>
      <c r="RNQ117" s="950"/>
      <c r="RNR117" s="950"/>
      <c r="RNS117" s="950"/>
      <c r="RNT117" s="950"/>
      <c r="RNU117" s="950"/>
      <c r="RNV117" s="950"/>
      <c r="RNW117" s="950"/>
      <c r="RNX117" s="950"/>
      <c r="RNY117" s="950"/>
      <c r="RNZ117" s="950"/>
      <c r="ROA117" s="950"/>
      <c r="ROB117" s="950"/>
      <c r="ROC117" s="950"/>
      <c r="ROD117" s="950"/>
      <c r="ROE117" s="950"/>
      <c r="ROF117" s="950"/>
      <c r="ROG117" s="950"/>
      <c r="ROH117" s="950"/>
      <c r="ROI117" s="950"/>
      <c r="ROJ117" s="950"/>
      <c r="ROK117" s="950"/>
      <c r="ROL117" s="950"/>
      <c r="ROM117" s="950"/>
      <c r="RON117" s="950"/>
      <c r="ROO117" s="950"/>
      <c r="ROP117" s="950"/>
      <c r="ROQ117" s="950"/>
      <c r="ROR117" s="950"/>
      <c r="ROS117" s="950"/>
      <c r="ROT117" s="950"/>
      <c r="ROU117" s="950"/>
      <c r="ROV117" s="950"/>
      <c r="ROW117" s="950"/>
      <c r="ROX117" s="950"/>
      <c r="ROY117" s="950"/>
      <c r="ROZ117" s="950"/>
      <c r="RPA117" s="950"/>
      <c r="RPB117" s="950"/>
      <c r="RPC117" s="950"/>
      <c r="RPD117" s="950"/>
      <c r="RPE117" s="950"/>
      <c r="RPF117" s="950"/>
      <c r="RPG117" s="950"/>
      <c r="RPH117" s="950"/>
      <c r="RPI117" s="950"/>
      <c r="RPJ117" s="950"/>
      <c r="RPK117" s="950"/>
      <c r="RPL117" s="950"/>
      <c r="RPM117" s="950"/>
      <c r="RPN117" s="950"/>
      <c r="RPO117" s="950"/>
      <c r="RPP117" s="950"/>
      <c r="RPQ117" s="950"/>
      <c r="RPR117" s="950"/>
      <c r="RPS117" s="950"/>
      <c r="RPT117" s="950"/>
      <c r="RPU117" s="950"/>
      <c r="RPV117" s="950"/>
      <c r="RPW117" s="950"/>
      <c r="RPX117" s="950"/>
      <c r="RPY117" s="950"/>
      <c r="RPZ117" s="950"/>
      <c r="RQA117" s="950"/>
      <c r="RQB117" s="950"/>
      <c r="RQC117" s="950"/>
      <c r="RQD117" s="950"/>
      <c r="RQE117" s="950"/>
      <c r="RQF117" s="950"/>
      <c r="RQG117" s="950"/>
      <c r="RQH117" s="950"/>
      <c r="RQI117" s="950"/>
      <c r="RQJ117" s="950"/>
      <c r="RQK117" s="950"/>
      <c r="RQL117" s="950"/>
      <c r="RQM117" s="950"/>
      <c r="RQN117" s="950"/>
      <c r="RQO117" s="950"/>
      <c r="RQP117" s="950"/>
      <c r="RQQ117" s="950"/>
      <c r="RQR117" s="950"/>
      <c r="RQS117" s="950"/>
      <c r="RQT117" s="950"/>
      <c r="RQU117" s="950"/>
      <c r="RQV117" s="950"/>
      <c r="RQW117" s="950"/>
      <c r="RQX117" s="950"/>
      <c r="RQY117" s="950"/>
      <c r="RQZ117" s="950"/>
      <c r="RRA117" s="950"/>
      <c r="RRB117" s="950"/>
      <c r="RRC117" s="950"/>
      <c r="RRD117" s="950"/>
      <c r="RRE117" s="950"/>
      <c r="RRF117" s="950"/>
      <c r="RRG117" s="950"/>
      <c r="RRH117" s="950"/>
      <c r="RRI117" s="950"/>
      <c r="RRJ117" s="950"/>
      <c r="RRK117" s="950"/>
      <c r="RRL117" s="950"/>
      <c r="RRM117" s="950"/>
      <c r="RRN117" s="950"/>
      <c r="RRO117" s="950"/>
      <c r="RRP117" s="950"/>
      <c r="RRQ117" s="950"/>
      <c r="RRR117" s="950"/>
      <c r="RRS117" s="950"/>
      <c r="RRT117" s="950"/>
      <c r="RRU117" s="950"/>
      <c r="RRV117" s="950"/>
      <c r="RRW117" s="950"/>
      <c r="RRX117" s="950"/>
      <c r="RRY117" s="950"/>
      <c r="RRZ117" s="950"/>
      <c r="RSA117" s="950"/>
      <c r="RSB117" s="950"/>
      <c r="RSC117" s="950"/>
      <c r="RSD117" s="950"/>
      <c r="RSE117" s="950"/>
      <c r="RSF117" s="950"/>
      <c r="RSG117" s="950"/>
      <c r="RSH117" s="950"/>
      <c r="RSI117" s="950"/>
      <c r="RSJ117" s="950"/>
      <c r="RSK117" s="950"/>
      <c r="RSL117" s="950"/>
      <c r="RSM117" s="950"/>
      <c r="RSN117" s="950"/>
      <c r="RSO117" s="950"/>
      <c r="RSP117" s="950"/>
      <c r="RSQ117" s="950"/>
      <c r="RSR117" s="950"/>
      <c r="RSS117" s="950"/>
      <c r="RST117" s="950"/>
      <c r="RSU117" s="950"/>
      <c r="RSV117" s="950"/>
      <c r="RSW117" s="950"/>
      <c r="RSX117" s="950"/>
      <c r="RSY117" s="950"/>
      <c r="RSZ117" s="950"/>
      <c r="RTA117" s="950"/>
      <c r="RTB117" s="950"/>
      <c r="RTC117" s="950"/>
      <c r="RTD117" s="950"/>
      <c r="RTE117" s="950"/>
      <c r="RTF117" s="950"/>
      <c r="RTG117" s="950"/>
      <c r="RTH117" s="950"/>
      <c r="RTI117" s="950"/>
      <c r="RTJ117" s="950"/>
      <c r="RTK117" s="950"/>
      <c r="RTL117" s="950"/>
      <c r="RTM117" s="950"/>
      <c r="RTN117" s="950"/>
      <c r="RTO117" s="950"/>
      <c r="RTP117" s="950"/>
      <c r="RTQ117" s="950"/>
      <c r="RTR117" s="950"/>
      <c r="RTS117" s="950"/>
      <c r="RTT117" s="950"/>
      <c r="RTU117" s="950"/>
      <c r="RTV117" s="950"/>
      <c r="RTW117" s="950"/>
      <c r="RTX117" s="950"/>
      <c r="RTY117" s="950"/>
      <c r="RTZ117" s="950"/>
      <c r="RUA117" s="950"/>
      <c r="RUB117" s="950"/>
      <c r="RUC117" s="950"/>
      <c r="RUD117" s="950"/>
      <c r="RUE117" s="950"/>
      <c r="RUF117" s="950"/>
      <c r="RUG117" s="950"/>
      <c r="RUH117" s="950"/>
      <c r="RUI117" s="950"/>
      <c r="RUJ117" s="950"/>
      <c r="RUK117" s="950"/>
      <c r="RUL117" s="950"/>
      <c r="RUM117" s="950"/>
      <c r="RUN117" s="950"/>
      <c r="RUO117" s="950"/>
      <c r="RUP117" s="950"/>
      <c r="RUQ117" s="950"/>
      <c r="RUR117" s="950"/>
      <c r="RUS117" s="950"/>
      <c r="RUT117" s="950"/>
      <c r="RUU117" s="950"/>
      <c r="RUV117" s="950"/>
      <c r="RUW117" s="950"/>
      <c r="RUX117" s="950"/>
      <c r="RUY117" s="950"/>
      <c r="RUZ117" s="950"/>
      <c r="RVA117" s="950"/>
      <c r="RVB117" s="950"/>
      <c r="RVC117" s="950"/>
      <c r="RVD117" s="950"/>
      <c r="RVE117" s="950"/>
      <c r="RVF117" s="950"/>
      <c r="RVG117" s="950"/>
      <c r="RVH117" s="950"/>
      <c r="RVI117" s="950"/>
      <c r="RVJ117" s="950"/>
      <c r="RVK117" s="950"/>
      <c r="RVL117" s="950"/>
      <c r="RVM117" s="950"/>
      <c r="RVN117" s="950"/>
      <c r="RVO117" s="950"/>
      <c r="RVP117" s="950"/>
      <c r="RVQ117" s="950"/>
      <c r="RVR117" s="950"/>
      <c r="RVS117" s="950"/>
      <c r="RVT117" s="950"/>
      <c r="RVU117" s="950"/>
      <c r="RVV117" s="950"/>
      <c r="RVW117" s="950"/>
      <c r="RVX117" s="950"/>
      <c r="RVY117" s="950"/>
      <c r="RVZ117" s="950"/>
      <c r="RWA117" s="950"/>
      <c r="RWB117" s="950"/>
      <c r="RWC117" s="950"/>
      <c r="RWD117" s="950"/>
      <c r="RWE117" s="950"/>
      <c r="RWF117" s="950"/>
      <c r="RWG117" s="950"/>
      <c r="RWH117" s="950"/>
      <c r="RWI117" s="950"/>
      <c r="RWJ117" s="950"/>
      <c r="RWK117" s="950"/>
      <c r="RWL117" s="950"/>
      <c r="RWM117" s="950"/>
      <c r="RWN117" s="950"/>
      <c r="RWO117" s="950"/>
      <c r="RWP117" s="950"/>
      <c r="RWQ117" s="950"/>
      <c r="RWR117" s="950"/>
      <c r="RWS117" s="950"/>
      <c r="RWT117" s="950"/>
      <c r="RWU117" s="950"/>
      <c r="RWV117" s="950"/>
      <c r="RWW117" s="950"/>
      <c r="RWX117" s="950"/>
      <c r="RWY117" s="950"/>
      <c r="RWZ117" s="950"/>
      <c r="RXA117" s="950"/>
      <c r="RXB117" s="950"/>
      <c r="RXC117" s="950"/>
      <c r="RXD117" s="950"/>
      <c r="RXE117" s="950"/>
      <c r="RXF117" s="950"/>
      <c r="RXG117" s="950"/>
      <c r="RXH117" s="950"/>
      <c r="RXI117" s="950"/>
      <c r="RXJ117" s="950"/>
      <c r="RXK117" s="950"/>
      <c r="RXL117" s="950"/>
      <c r="RXM117" s="950"/>
      <c r="RXN117" s="950"/>
      <c r="RXO117" s="950"/>
      <c r="RXP117" s="950"/>
      <c r="RXQ117" s="950"/>
      <c r="RXR117" s="950"/>
      <c r="RXS117" s="950"/>
      <c r="RXT117" s="950"/>
      <c r="RXU117" s="950"/>
      <c r="RXV117" s="950"/>
      <c r="RXW117" s="950"/>
      <c r="RXX117" s="950"/>
      <c r="RXY117" s="950"/>
      <c r="RXZ117" s="950"/>
      <c r="RYA117" s="950"/>
      <c r="RYB117" s="950"/>
      <c r="RYC117" s="950"/>
      <c r="RYD117" s="950"/>
      <c r="RYE117" s="950"/>
      <c r="RYF117" s="950"/>
      <c r="RYG117" s="950"/>
      <c r="RYH117" s="950"/>
      <c r="RYI117" s="950"/>
      <c r="RYJ117" s="950"/>
      <c r="RYK117" s="950"/>
      <c r="RYL117" s="950"/>
      <c r="RYM117" s="950"/>
      <c r="RYN117" s="950"/>
      <c r="RYO117" s="950"/>
      <c r="RYP117" s="950"/>
      <c r="RYQ117" s="950"/>
      <c r="RYR117" s="950"/>
      <c r="RYS117" s="950"/>
      <c r="RYT117" s="950"/>
      <c r="RYU117" s="950"/>
      <c r="RYV117" s="950"/>
      <c r="RYW117" s="950"/>
      <c r="RYX117" s="950"/>
      <c r="RYY117" s="950"/>
      <c r="RYZ117" s="950"/>
      <c r="RZA117" s="950"/>
      <c r="RZB117" s="950"/>
      <c r="RZC117" s="950"/>
      <c r="RZD117" s="950"/>
      <c r="RZE117" s="950"/>
      <c r="RZF117" s="950"/>
      <c r="RZG117" s="950"/>
      <c r="RZH117" s="950"/>
      <c r="RZI117" s="950"/>
      <c r="RZJ117" s="950"/>
      <c r="RZK117" s="950"/>
      <c r="RZL117" s="950"/>
      <c r="RZM117" s="950"/>
      <c r="RZN117" s="950"/>
      <c r="RZO117" s="950"/>
      <c r="RZP117" s="950"/>
      <c r="RZQ117" s="950"/>
      <c r="RZR117" s="950"/>
      <c r="RZS117" s="950"/>
      <c r="RZT117" s="950"/>
      <c r="RZU117" s="950"/>
      <c r="RZV117" s="950"/>
      <c r="RZW117" s="950"/>
      <c r="RZX117" s="950"/>
      <c r="RZY117" s="950"/>
      <c r="RZZ117" s="950"/>
      <c r="SAA117" s="950"/>
      <c r="SAB117" s="950"/>
      <c r="SAC117" s="950"/>
      <c r="SAD117" s="950"/>
      <c r="SAE117" s="950"/>
      <c r="SAF117" s="950"/>
      <c r="SAG117" s="950"/>
      <c r="SAH117" s="950"/>
      <c r="SAI117" s="950"/>
      <c r="SAJ117" s="950"/>
      <c r="SAK117" s="950"/>
      <c r="SAL117" s="950"/>
      <c r="SAM117" s="950"/>
      <c r="SAN117" s="950"/>
      <c r="SAO117" s="950"/>
      <c r="SAP117" s="950"/>
      <c r="SAQ117" s="950"/>
      <c r="SAR117" s="950"/>
      <c r="SAS117" s="950"/>
      <c r="SAT117" s="950"/>
      <c r="SAU117" s="950"/>
      <c r="SAV117" s="950"/>
      <c r="SAW117" s="950"/>
      <c r="SAX117" s="950"/>
      <c r="SAY117" s="950"/>
      <c r="SAZ117" s="950"/>
      <c r="SBA117" s="950"/>
      <c r="SBB117" s="950"/>
      <c r="SBC117" s="950"/>
      <c r="SBD117" s="950"/>
      <c r="SBE117" s="950"/>
      <c r="SBF117" s="950"/>
      <c r="SBG117" s="950"/>
      <c r="SBH117" s="950"/>
      <c r="SBI117" s="950"/>
      <c r="SBJ117" s="950"/>
      <c r="SBK117" s="950"/>
      <c r="SBL117" s="950"/>
      <c r="SBM117" s="950"/>
      <c r="SBN117" s="950"/>
      <c r="SBO117" s="950"/>
      <c r="SBP117" s="950"/>
      <c r="SBQ117" s="950"/>
      <c r="SBR117" s="950"/>
      <c r="SBS117" s="950"/>
      <c r="SBT117" s="950"/>
      <c r="SBU117" s="950"/>
      <c r="SBV117" s="950"/>
      <c r="SBW117" s="950"/>
      <c r="SBX117" s="950"/>
      <c r="SBY117" s="950"/>
      <c r="SBZ117" s="950"/>
      <c r="SCA117" s="950"/>
      <c r="SCB117" s="950"/>
      <c r="SCC117" s="950"/>
      <c r="SCD117" s="950"/>
      <c r="SCE117" s="950"/>
      <c r="SCF117" s="950"/>
      <c r="SCG117" s="950"/>
      <c r="SCH117" s="950"/>
      <c r="SCI117" s="950"/>
      <c r="SCJ117" s="950"/>
      <c r="SCK117" s="950"/>
      <c r="SCL117" s="950"/>
      <c r="SCM117" s="950"/>
      <c r="SCN117" s="950"/>
      <c r="SCO117" s="950"/>
      <c r="SCP117" s="950"/>
      <c r="SCQ117" s="950"/>
      <c r="SCR117" s="950"/>
      <c r="SCS117" s="950"/>
      <c r="SCT117" s="950"/>
      <c r="SCU117" s="950"/>
      <c r="SCV117" s="950"/>
      <c r="SCW117" s="950"/>
      <c r="SCX117" s="950"/>
      <c r="SCY117" s="950"/>
      <c r="SCZ117" s="950"/>
      <c r="SDA117" s="950"/>
      <c r="SDB117" s="950"/>
      <c r="SDC117" s="950"/>
      <c r="SDD117" s="950"/>
      <c r="SDE117" s="950"/>
      <c r="SDF117" s="950"/>
      <c r="SDG117" s="950"/>
      <c r="SDH117" s="950"/>
      <c r="SDI117" s="950"/>
      <c r="SDJ117" s="950"/>
      <c r="SDK117" s="950"/>
      <c r="SDL117" s="950"/>
      <c r="SDM117" s="950"/>
      <c r="SDN117" s="950"/>
      <c r="SDO117" s="950"/>
      <c r="SDP117" s="950"/>
      <c r="SDQ117" s="950"/>
      <c r="SDR117" s="950"/>
      <c r="SDS117" s="950"/>
      <c r="SDT117" s="950"/>
      <c r="SDU117" s="950"/>
      <c r="SDV117" s="950"/>
      <c r="SDW117" s="950"/>
      <c r="SDX117" s="950"/>
      <c r="SDY117" s="950"/>
      <c r="SDZ117" s="950"/>
      <c r="SEA117" s="950"/>
      <c r="SEB117" s="950"/>
      <c r="SEC117" s="950"/>
      <c r="SED117" s="950"/>
      <c r="SEE117" s="950"/>
      <c r="SEF117" s="950"/>
      <c r="SEG117" s="950"/>
      <c r="SEH117" s="950"/>
      <c r="SEI117" s="950"/>
      <c r="SEJ117" s="950"/>
      <c r="SEK117" s="950"/>
      <c r="SEL117" s="950"/>
      <c r="SEM117" s="950"/>
      <c r="SEN117" s="950"/>
      <c r="SEO117" s="950"/>
      <c r="SEP117" s="950"/>
      <c r="SEQ117" s="950"/>
      <c r="SER117" s="950"/>
      <c r="SES117" s="950"/>
      <c r="SET117" s="950"/>
      <c r="SEU117" s="950"/>
      <c r="SEV117" s="950"/>
      <c r="SEW117" s="950"/>
      <c r="SEX117" s="950"/>
      <c r="SEY117" s="950"/>
      <c r="SEZ117" s="950"/>
      <c r="SFA117" s="950"/>
      <c r="SFB117" s="950"/>
      <c r="SFC117" s="950"/>
      <c r="SFD117" s="950"/>
      <c r="SFE117" s="950"/>
      <c r="SFF117" s="950"/>
      <c r="SFG117" s="950"/>
      <c r="SFH117" s="950"/>
      <c r="SFI117" s="950"/>
      <c r="SFJ117" s="950"/>
      <c r="SFK117" s="950"/>
      <c r="SFL117" s="950"/>
      <c r="SFM117" s="950"/>
      <c r="SFN117" s="950"/>
      <c r="SFO117" s="950"/>
      <c r="SFP117" s="950"/>
      <c r="SFQ117" s="950"/>
      <c r="SFR117" s="950"/>
      <c r="SFS117" s="950"/>
      <c r="SFT117" s="950"/>
      <c r="SFU117" s="950"/>
      <c r="SFV117" s="950"/>
      <c r="SFW117" s="950"/>
      <c r="SFX117" s="950"/>
      <c r="SFY117" s="950"/>
      <c r="SFZ117" s="950"/>
      <c r="SGA117" s="950"/>
      <c r="SGB117" s="950"/>
      <c r="SGC117" s="950"/>
      <c r="SGD117" s="950"/>
      <c r="SGE117" s="950"/>
      <c r="SGF117" s="950"/>
      <c r="SGG117" s="950"/>
      <c r="SGH117" s="950"/>
      <c r="SGI117" s="950"/>
      <c r="SGJ117" s="950"/>
      <c r="SGK117" s="950"/>
      <c r="SGL117" s="950"/>
      <c r="SGM117" s="950"/>
      <c r="SGN117" s="950"/>
      <c r="SGO117" s="950"/>
      <c r="SGP117" s="950"/>
      <c r="SGQ117" s="950"/>
      <c r="SGR117" s="950"/>
      <c r="SGS117" s="950"/>
      <c r="SGT117" s="950"/>
      <c r="SGU117" s="950"/>
      <c r="SGV117" s="950"/>
      <c r="SGW117" s="950"/>
      <c r="SGX117" s="950"/>
      <c r="SGY117" s="950"/>
      <c r="SGZ117" s="950"/>
      <c r="SHA117" s="950"/>
      <c r="SHB117" s="950"/>
      <c r="SHC117" s="950"/>
      <c r="SHD117" s="950"/>
      <c r="SHE117" s="950"/>
      <c r="SHF117" s="950"/>
      <c r="SHG117" s="950"/>
      <c r="SHH117" s="950"/>
      <c r="SHI117" s="950"/>
      <c r="SHJ117" s="950"/>
      <c r="SHK117" s="950"/>
      <c r="SHL117" s="950"/>
      <c r="SHM117" s="950"/>
      <c r="SHN117" s="950"/>
      <c r="SHO117" s="950"/>
      <c r="SHP117" s="950"/>
      <c r="SHQ117" s="950"/>
      <c r="SHR117" s="950"/>
      <c r="SHS117" s="950"/>
      <c r="SHT117" s="950"/>
      <c r="SHU117" s="950"/>
      <c r="SHV117" s="950"/>
      <c r="SHW117" s="950"/>
      <c r="SHX117" s="950"/>
      <c r="SHY117" s="950"/>
      <c r="SHZ117" s="950"/>
      <c r="SIA117" s="950"/>
      <c r="SIB117" s="950"/>
      <c r="SIC117" s="950"/>
      <c r="SID117" s="950"/>
      <c r="SIE117" s="950"/>
      <c r="SIF117" s="950"/>
      <c r="SIG117" s="950"/>
      <c r="SIH117" s="950"/>
      <c r="SII117" s="950"/>
      <c r="SIJ117" s="950"/>
      <c r="SIK117" s="950"/>
      <c r="SIL117" s="950"/>
      <c r="SIM117" s="950"/>
      <c r="SIN117" s="950"/>
      <c r="SIO117" s="950"/>
      <c r="SIP117" s="950"/>
      <c r="SIQ117" s="950"/>
      <c r="SIR117" s="950"/>
      <c r="SIS117" s="950"/>
      <c r="SIT117" s="950"/>
      <c r="SIU117" s="950"/>
      <c r="SIV117" s="950"/>
      <c r="SIW117" s="950"/>
      <c r="SIX117" s="950"/>
      <c r="SIY117" s="950"/>
      <c r="SIZ117" s="950"/>
      <c r="SJA117" s="950"/>
      <c r="SJB117" s="950"/>
      <c r="SJC117" s="950"/>
      <c r="SJD117" s="950"/>
      <c r="SJE117" s="950"/>
      <c r="SJF117" s="950"/>
      <c r="SJG117" s="950"/>
      <c r="SJH117" s="950"/>
      <c r="SJI117" s="950"/>
      <c r="SJJ117" s="950"/>
      <c r="SJK117" s="950"/>
      <c r="SJL117" s="950"/>
      <c r="SJM117" s="950"/>
      <c r="SJN117" s="950"/>
      <c r="SJO117" s="950"/>
      <c r="SJP117" s="950"/>
      <c r="SJQ117" s="950"/>
      <c r="SJR117" s="950"/>
      <c r="SJS117" s="950"/>
      <c r="SJT117" s="950"/>
      <c r="SJU117" s="950"/>
      <c r="SJV117" s="950"/>
      <c r="SJW117" s="950"/>
      <c r="SJX117" s="950"/>
      <c r="SJY117" s="950"/>
      <c r="SJZ117" s="950"/>
      <c r="SKA117" s="950"/>
      <c r="SKB117" s="950"/>
      <c r="SKC117" s="950"/>
      <c r="SKD117" s="950"/>
      <c r="SKE117" s="950"/>
      <c r="SKF117" s="950"/>
      <c r="SKG117" s="950"/>
      <c r="SKH117" s="950"/>
      <c r="SKI117" s="950"/>
      <c r="SKJ117" s="950"/>
      <c r="SKK117" s="950"/>
      <c r="SKL117" s="950"/>
      <c r="SKM117" s="950"/>
      <c r="SKN117" s="950"/>
      <c r="SKO117" s="950"/>
      <c r="SKP117" s="950"/>
      <c r="SKQ117" s="950"/>
      <c r="SKR117" s="950"/>
      <c r="SKS117" s="950"/>
      <c r="SKT117" s="950"/>
      <c r="SKU117" s="950"/>
      <c r="SKV117" s="950"/>
      <c r="SKW117" s="950"/>
      <c r="SKX117" s="950"/>
      <c r="SKY117" s="950"/>
      <c r="SKZ117" s="950"/>
      <c r="SLA117" s="950"/>
      <c r="SLB117" s="950"/>
      <c r="SLC117" s="950"/>
      <c r="SLD117" s="950"/>
      <c r="SLE117" s="950"/>
      <c r="SLF117" s="950"/>
      <c r="SLG117" s="950"/>
      <c r="SLH117" s="950"/>
      <c r="SLI117" s="950"/>
      <c r="SLJ117" s="950"/>
      <c r="SLK117" s="950"/>
      <c r="SLL117" s="950"/>
      <c r="SLM117" s="950"/>
      <c r="SLN117" s="950"/>
      <c r="SLO117" s="950"/>
      <c r="SLP117" s="950"/>
      <c r="SLQ117" s="950"/>
      <c r="SLR117" s="950"/>
      <c r="SLS117" s="950"/>
      <c r="SLT117" s="950"/>
      <c r="SLU117" s="950"/>
      <c r="SLV117" s="950"/>
      <c r="SLW117" s="950"/>
      <c r="SLX117" s="950"/>
      <c r="SLY117" s="950"/>
      <c r="SLZ117" s="950"/>
      <c r="SMA117" s="950"/>
      <c r="SMB117" s="950"/>
      <c r="SMC117" s="950"/>
      <c r="SMD117" s="950"/>
      <c r="SME117" s="950"/>
      <c r="SMF117" s="950"/>
      <c r="SMG117" s="950"/>
      <c r="SMH117" s="950"/>
      <c r="SMI117" s="950"/>
      <c r="SMJ117" s="950"/>
      <c r="SMK117" s="950"/>
      <c r="SML117" s="950"/>
      <c r="SMM117" s="950"/>
      <c r="SMN117" s="950"/>
      <c r="SMO117" s="950"/>
      <c r="SMP117" s="950"/>
      <c r="SMQ117" s="950"/>
      <c r="SMR117" s="950"/>
      <c r="SMS117" s="950"/>
      <c r="SMT117" s="950"/>
      <c r="SMU117" s="950"/>
      <c r="SMV117" s="950"/>
      <c r="SMW117" s="950"/>
      <c r="SMX117" s="950"/>
      <c r="SMY117" s="950"/>
      <c r="SMZ117" s="950"/>
      <c r="SNA117" s="950"/>
      <c r="SNB117" s="950"/>
      <c r="SNC117" s="950"/>
      <c r="SND117" s="950"/>
      <c r="SNE117" s="950"/>
      <c r="SNF117" s="950"/>
      <c r="SNG117" s="950"/>
      <c r="SNH117" s="950"/>
      <c r="SNI117" s="950"/>
      <c r="SNJ117" s="950"/>
      <c r="SNK117" s="950"/>
      <c r="SNL117" s="950"/>
      <c r="SNM117" s="950"/>
      <c r="SNN117" s="950"/>
      <c r="SNO117" s="950"/>
      <c r="SNP117" s="950"/>
      <c r="SNQ117" s="950"/>
      <c r="SNR117" s="950"/>
      <c r="SNS117" s="950"/>
      <c r="SNT117" s="950"/>
      <c r="SNU117" s="950"/>
      <c r="SNV117" s="950"/>
      <c r="SNW117" s="950"/>
      <c r="SNX117" s="950"/>
      <c r="SNY117" s="950"/>
      <c r="SNZ117" s="950"/>
      <c r="SOA117" s="950"/>
      <c r="SOB117" s="950"/>
      <c r="SOC117" s="950"/>
      <c r="SOD117" s="950"/>
      <c r="SOE117" s="950"/>
      <c r="SOF117" s="950"/>
      <c r="SOG117" s="950"/>
      <c r="SOH117" s="950"/>
      <c r="SOI117" s="950"/>
      <c r="SOJ117" s="950"/>
      <c r="SOK117" s="950"/>
      <c r="SOL117" s="950"/>
      <c r="SOM117" s="950"/>
      <c r="SON117" s="950"/>
      <c r="SOO117" s="950"/>
      <c r="SOP117" s="950"/>
      <c r="SOQ117" s="950"/>
      <c r="SOR117" s="950"/>
      <c r="SOS117" s="950"/>
      <c r="SOT117" s="950"/>
      <c r="SOU117" s="950"/>
      <c r="SOV117" s="950"/>
      <c r="SOW117" s="950"/>
      <c r="SOX117" s="950"/>
      <c r="SOY117" s="950"/>
      <c r="SOZ117" s="950"/>
      <c r="SPA117" s="950"/>
      <c r="SPB117" s="950"/>
      <c r="SPC117" s="950"/>
      <c r="SPD117" s="950"/>
      <c r="SPE117" s="950"/>
      <c r="SPF117" s="950"/>
      <c r="SPG117" s="950"/>
      <c r="SPH117" s="950"/>
      <c r="SPI117" s="950"/>
      <c r="SPJ117" s="950"/>
      <c r="SPK117" s="950"/>
      <c r="SPL117" s="950"/>
      <c r="SPM117" s="950"/>
      <c r="SPN117" s="950"/>
      <c r="SPO117" s="950"/>
      <c r="SPP117" s="950"/>
      <c r="SPQ117" s="950"/>
      <c r="SPR117" s="950"/>
      <c r="SPS117" s="950"/>
      <c r="SPT117" s="950"/>
      <c r="SPU117" s="950"/>
      <c r="SPV117" s="950"/>
      <c r="SPW117" s="950"/>
      <c r="SPX117" s="950"/>
      <c r="SPY117" s="950"/>
      <c r="SPZ117" s="950"/>
      <c r="SQA117" s="950"/>
      <c r="SQB117" s="950"/>
      <c r="SQC117" s="950"/>
      <c r="SQD117" s="950"/>
      <c r="SQE117" s="950"/>
      <c r="SQF117" s="950"/>
      <c r="SQG117" s="950"/>
      <c r="SQH117" s="950"/>
      <c r="SQI117" s="950"/>
      <c r="SQJ117" s="950"/>
      <c r="SQK117" s="950"/>
      <c r="SQL117" s="950"/>
      <c r="SQM117" s="950"/>
      <c r="SQN117" s="950"/>
      <c r="SQO117" s="950"/>
      <c r="SQP117" s="950"/>
      <c r="SQQ117" s="950"/>
      <c r="SQR117" s="950"/>
      <c r="SQS117" s="950"/>
      <c r="SQT117" s="950"/>
      <c r="SQU117" s="950"/>
      <c r="SQV117" s="950"/>
      <c r="SQW117" s="950"/>
      <c r="SQX117" s="950"/>
      <c r="SQY117" s="950"/>
      <c r="SQZ117" s="950"/>
      <c r="SRA117" s="950"/>
      <c r="SRB117" s="950"/>
      <c r="SRC117" s="950"/>
      <c r="SRD117" s="950"/>
      <c r="SRE117" s="950"/>
      <c r="SRF117" s="950"/>
      <c r="SRG117" s="950"/>
      <c r="SRH117" s="950"/>
      <c r="SRI117" s="950"/>
      <c r="SRJ117" s="950"/>
      <c r="SRK117" s="950"/>
      <c r="SRL117" s="950"/>
      <c r="SRM117" s="950"/>
      <c r="SRN117" s="950"/>
      <c r="SRO117" s="950"/>
      <c r="SRP117" s="950"/>
      <c r="SRQ117" s="950"/>
      <c r="SRR117" s="950"/>
      <c r="SRS117" s="950"/>
      <c r="SRT117" s="950"/>
      <c r="SRU117" s="950"/>
      <c r="SRV117" s="950"/>
      <c r="SRW117" s="950"/>
      <c r="SRX117" s="950"/>
      <c r="SRY117" s="950"/>
      <c r="SRZ117" s="950"/>
      <c r="SSA117" s="950"/>
      <c r="SSB117" s="950"/>
      <c r="SSC117" s="950"/>
      <c r="SSD117" s="950"/>
      <c r="SSE117" s="950"/>
      <c r="SSF117" s="950"/>
      <c r="SSG117" s="950"/>
      <c r="SSH117" s="950"/>
      <c r="SSI117" s="950"/>
      <c r="SSJ117" s="950"/>
      <c r="SSK117" s="950"/>
      <c r="SSL117" s="950"/>
      <c r="SSM117" s="950"/>
      <c r="SSN117" s="950"/>
      <c r="SSO117" s="950"/>
      <c r="SSP117" s="950"/>
      <c r="SSQ117" s="950"/>
      <c r="SSR117" s="950"/>
      <c r="SSS117" s="950"/>
      <c r="SST117" s="950"/>
      <c r="SSU117" s="950"/>
      <c r="SSV117" s="950"/>
      <c r="SSW117" s="950"/>
      <c r="SSX117" s="950"/>
      <c r="SSY117" s="950"/>
      <c r="SSZ117" s="950"/>
      <c r="STA117" s="950"/>
      <c r="STB117" s="950"/>
      <c r="STC117" s="950"/>
      <c r="STD117" s="950"/>
      <c r="STE117" s="950"/>
      <c r="STF117" s="950"/>
      <c r="STG117" s="950"/>
      <c r="STH117" s="950"/>
      <c r="STI117" s="950"/>
      <c r="STJ117" s="950"/>
      <c r="STK117" s="950"/>
      <c r="STL117" s="950"/>
      <c r="STM117" s="950"/>
      <c r="STN117" s="950"/>
      <c r="STO117" s="950"/>
      <c r="STP117" s="950"/>
      <c r="STQ117" s="950"/>
      <c r="STR117" s="950"/>
      <c r="STS117" s="950"/>
      <c r="STT117" s="950"/>
      <c r="STU117" s="950"/>
      <c r="STV117" s="950"/>
      <c r="STW117" s="950"/>
      <c r="STX117" s="950"/>
      <c r="STY117" s="950"/>
      <c r="STZ117" s="950"/>
      <c r="SUA117" s="950"/>
      <c r="SUB117" s="950"/>
      <c r="SUC117" s="950"/>
      <c r="SUD117" s="950"/>
      <c r="SUE117" s="950"/>
      <c r="SUF117" s="950"/>
      <c r="SUG117" s="950"/>
      <c r="SUH117" s="950"/>
      <c r="SUI117" s="950"/>
      <c r="SUJ117" s="950"/>
      <c r="SUK117" s="950"/>
      <c r="SUL117" s="950"/>
      <c r="SUM117" s="950"/>
      <c r="SUN117" s="950"/>
      <c r="SUO117" s="950"/>
      <c r="SUP117" s="950"/>
      <c r="SUQ117" s="950"/>
      <c r="SUR117" s="950"/>
      <c r="SUS117" s="950"/>
      <c r="SUT117" s="950"/>
      <c r="SUU117" s="950"/>
      <c r="SUV117" s="950"/>
      <c r="SUW117" s="950"/>
      <c r="SUX117" s="950"/>
      <c r="SUY117" s="950"/>
      <c r="SUZ117" s="950"/>
      <c r="SVA117" s="950"/>
      <c r="SVB117" s="950"/>
      <c r="SVC117" s="950"/>
      <c r="SVD117" s="950"/>
      <c r="SVE117" s="950"/>
      <c r="SVF117" s="950"/>
      <c r="SVG117" s="950"/>
      <c r="SVH117" s="950"/>
      <c r="SVI117" s="950"/>
      <c r="SVJ117" s="950"/>
      <c r="SVK117" s="950"/>
      <c r="SVL117" s="950"/>
      <c r="SVM117" s="950"/>
      <c r="SVN117" s="950"/>
      <c r="SVO117" s="950"/>
      <c r="SVP117" s="950"/>
      <c r="SVQ117" s="950"/>
      <c r="SVR117" s="950"/>
      <c r="SVS117" s="950"/>
      <c r="SVT117" s="950"/>
      <c r="SVU117" s="950"/>
      <c r="SVV117" s="950"/>
      <c r="SVW117" s="950"/>
      <c r="SVX117" s="950"/>
      <c r="SVY117" s="950"/>
      <c r="SVZ117" s="950"/>
      <c r="SWA117" s="950"/>
      <c r="SWB117" s="950"/>
      <c r="SWC117" s="950"/>
      <c r="SWD117" s="950"/>
      <c r="SWE117" s="950"/>
      <c r="SWF117" s="950"/>
      <c r="SWG117" s="950"/>
      <c r="SWH117" s="950"/>
      <c r="SWI117" s="950"/>
      <c r="SWJ117" s="950"/>
      <c r="SWK117" s="950"/>
      <c r="SWL117" s="950"/>
      <c r="SWM117" s="950"/>
      <c r="SWN117" s="950"/>
      <c r="SWO117" s="950"/>
      <c r="SWP117" s="950"/>
      <c r="SWQ117" s="950"/>
      <c r="SWR117" s="950"/>
      <c r="SWS117" s="950"/>
      <c r="SWT117" s="950"/>
      <c r="SWU117" s="950"/>
      <c r="SWV117" s="950"/>
      <c r="SWW117" s="950"/>
      <c r="SWX117" s="950"/>
      <c r="SWY117" s="950"/>
      <c r="SWZ117" s="950"/>
      <c r="SXA117" s="950"/>
      <c r="SXB117" s="950"/>
      <c r="SXC117" s="950"/>
      <c r="SXD117" s="950"/>
      <c r="SXE117" s="950"/>
      <c r="SXF117" s="950"/>
      <c r="SXG117" s="950"/>
      <c r="SXH117" s="950"/>
      <c r="SXI117" s="950"/>
      <c r="SXJ117" s="950"/>
      <c r="SXK117" s="950"/>
      <c r="SXL117" s="950"/>
      <c r="SXM117" s="950"/>
      <c r="SXN117" s="950"/>
      <c r="SXO117" s="950"/>
      <c r="SXP117" s="950"/>
      <c r="SXQ117" s="950"/>
      <c r="SXR117" s="950"/>
      <c r="SXS117" s="950"/>
      <c r="SXT117" s="950"/>
      <c r="SXU117" s="950"/>
      <c r="SXV117" s="950"/>
      <c r="SXW117" s="950"/>
      <c r="SXX117" s="950"/>
      <c r="SXY117" s="950"/>
      <c r="SXZ117" s="950"/>
      <c r="SYA117" s="950"/>
      <c r="SYB117" s="950"/>
      <c r="SYC117" s="950"/>
      <c r="SYD117" s="950"/>
      <c r="SYE117" s="950"/>
      <c r="SYF117" s="950"/>
      <c r="SYG117" s="950"/>
      <c r="SYH117" s="950"/>
      <c r="SYI117" s="950"/>
      <c r="SYJ117" s="950"/>
      <c r="SYK117" s="950"/>
      <c r="SYL117" s="950"/>
      <c r="SYM117" s="950"/>
      <c r="SYN117" s="950"/>
      <c r="SYO117" s="950"/>
      <c r="SYP117" s="950"/>
      <c r="SYQ117" s="950"/>
      <c r="SYR117" s="950"/>
      <c r="SYS117" s="950"/>
      <c r="SYT117" s="950"/>
      <c r="SYU117" s="950"/>
      <c r="SYV117" s="950"/>
      <c r="SYW117" s="950"/>
      <c r="SYX117" s="950"/>
      <c r="SYY117" s="950"/>
      <c r="SYZ117" s="950"/>
      <c r="SZA117" s="950"/>
      <c r="SZB117" s="950"/>
      <c r="SZC117" s="950"/>
      <c r="SZD117" s="950"/>
      <c r="SZE117" s="950"/>
      <c r="SZF117" s="950"/>
      <c r="SZG117" s="950"/>
      <c r="SZH117" s="950"/>
      <c r="SZI117" s="950"/>
      <c r="SZJ117" s="950"/>
      <c r="SZK117" s="950"/>
      <c r="SZL117" s="950"/>
      <c r="SZM117" s="950"/>
      <c r="SZN117" s="950"/>
      <c r="SZO117" s="950"/>
      <c r="SZP117" s="950"/>
      <c r="SZQ117" s="950"/>
      <c r="SZR117" s="950"/>
      <c r="SZS117" s="950"/>
      <c r="SZT117" s="950"/>
      <c r="SZU117" s="950"/>
      <c r="SZV117" s="950"/>
      <c r="SZW117" s="950"/>
      <c r="SZX117" s="950"/>
      <c r="SZY117" s="950"/>
      <c r="SZZ117" s="950"/>
      <c r="TAA117" s="950"/>
      <c r="TAB117" s="950"/>
      <c r="TAC117" s="950"/>
      <c r="TAD117" s="950"/>
      <c r="TAE117" s="950"/>
      <c r="TAF117" s="950"/>
      <c r="TAG117" s="950"/>
      <c r="TAH117" s="950"/>
      <c r="TAI117" s="950"/>
      <c r="TAJ117" s="950"/>
      <c r="TAK117" s="950"/>
      <c r="TAL117" s="950"/>
      <c r="TAM117" s="950"/>
      <c r="TAN117" s="950"/>
      <c r="TAO117" s="950"/>
      <c r="TAP117" s="950"/>
      <c r="TAQ117" s="950"/>
      <c r="TAR117" s="950"/>
      <c r="TAS117" s="950"/>
      <c r="TAT117" s="950"/>
      <c r="TAU117" s="950"/>
      <c r="TAV117" s="950"/>
      <c r="TAW117" s="950"/>
      <c r="TAX117" s="950"/>
      <c r="TAY117" s="950"/>
      <c r="TAZ117" s="950"/>
      <c r="TBA117" s="950"/>
      <c r="TBB117" s="950"/>
      <c r="TBC117" s="950"/>
      <c r="TBD117" s="950"/>
      <c r="TBE117" s="950"/>
      <c r="TBF117" s="950"/>
      <c r="TBG117" s="950"/>
      <c r="TBH117" s="950"/>
      <c r="TBI117" s="950"/>
      <c r="TBJ117" s="950"/>
      <c r="TBK117" s="950"/>
      <c r="TBL117" s="950"/>
      <c r="TBM117" s="950"/>
      <c r="TBN117" s="950"/>
      <c r="TBO117" s="950"/>
      <c r="TBP117" s="950"/>
      <c r="TBQ117" s="950"/>
      <c r="TBR117" s="950"/>
      <c r="TBS117" s="950"/>
      <c r="TBT117" s="950"/>
      <c r="TBU117" s="950"/>
      <c r="TBV117" s="950"/>
      <c r="TBW117" s="950"/>
      <c r="TBX117" s="950"/>
      <c r="TBY117" s="950"/>
      <c r="TBZ117" s="950"/>
      <c r="TCA117" s="950"/>
      <c r="TCB117" s="950"/>
      <c r="TCC117" s="950"/>
      <c r="TCD117" s="950"/>
      <c r="TCE117" s="950"/>
      <c r="TCF117" s="950"/>
      <c r="TCG117" s="950"/>
      <c r="TCH117" s="950"/>
      <c r="TCI117" s="950"/>
      <c r="TCJ117" s="950"/>
      <c r="TCK117" s="950"/>
      <c r="TCL117" s="950"/>
      <c r="TCM117" s="950"/>
      <c r="TCN117" s="950"/>
      <c r="TCO117" s="950"/>
      <c r="TCP117" s="950"/>
      <c r="TCQ117" s="950"/>
      <c r="TCR117" s="950"/>
      <c r="TCS117" s="950"/>
      <c r="TCT117" s="950"/>
      <c r="TCU117" s="950"/>
      <c r="TCV117" s="950"/>
      <c r="TCW117" s="950"/>
      <c r="TCX117" s="950"/>
      <c r="TCY117" s="950"/>
      <c r="TCZ117" s="950"/>
      <c r="TDA117" s="950"/>
      <c r="TDB117" s="950"/>
      <c r="TDC117" s="950"/>
      <c r="TDD117" s="950"/>
      <c r="TDE117" s="950"/>
      <c r="TDF117" s="950"/>
      <c r="TDG117" s="950"/>
      <c r="TDH117" s="950"/>
      <c r="TDI117" s="950"/>
      <c r="TDJ117" s="950"/>
      <c r="TDK117" s="950"/>
      <c r="TDL117" s="950"/>
      <c r="TDM117" s="950"/>
      <c r="TDN117" s="950"/>
      <c r="TDO117" s="950"/>
      <c r="TDP117" s="950"/>
      <c r="TDQ117" s="950"/>
      <c r="TDR117" s="950"/>
      <c r="TDS117" s="950"/>
      <c r="TDT117" s="950"/>
      <c r="TDU117" s="950"/>
      <c r="TDV117" s="950"/>
      <c r="TDW117" s="950"/>
      <c r="TDX117" s="950"/>
      <c r="TDY117" s="950"/>
      <c r="TDZ117" s="950"/>
      <c r="TEA117" s="950"/>
      <c r="TEB117" s="950"/>
      <c r="TEC117" s="950"/>
      <c r="TED117" s="950"/>
      <c r="TEE117" s="950"/>
      <c r="TEF117" s="950"/>
      <c r="TEG117" s="950"/>
      <c r="TEH117" s="950"/>
      <c r="TEI117" s="950"/>
      <c r="TEJ117" s="950"/>
      <c r="TEK117" s="950"/>
      <c r="TEL117" s="950"/>
      <c r="TEM117" s="950"/>
      <c r="TEN117" s="950"/>
      <c r="TEO117" s="950"/>
      <c r="TEP117" s="950"/>
      <c r="TEQ117" s="950"/>
      <c r="TER117" s="950"/>
      <c r="TES117" s="950"/>
      <c r="TET117" s="950"/>
      <c r="TEU117" s="950"/>
      <c r="TEV117" s="950"/>
      <c r="TEW117" s="950"/>
      <c r="TEX117" s="950"/>
      <c r="TEY117" s="950"/>
      <c r="TEZ117" s="950"/>
      <c r="TFA117" s="950"/>
      <c r="TFB117" s="950"/>
      <c r="TFC117" s="950"/>
      <c r="TFD117" s="950"/>
      <c r="TFE117" s="950"/>
      <c r="TFF117" s="950"/>
      <c r="TFG117" s="950"/>
      <c r="TFH117" s="950"/>
      <c r="TFI117" s="950"/>
      <c r="TFJ117" s="950"/>
      <c r="TFK117" s="950"/>
      <c r="TFL117" s="950"/>
      <c r="TFM117" s="950"/>
      <c r="TFN117" s="950"/>
      <c r="TFO117" s="950"/>
      <c r="TFP117" s="950"/>
      <c r="TFQ117" s="950"/>
      <c r="TFR117" s="950"/>
      <c r="TFS117" s="950"/>
      <c r="TFT117" s="950"/>
      <c r="TFU117" s="950"/>
      <c r="TFV117" s="950"/>
      <c r="TFW117" s="950"/>
      <c r="TFX117" s="950"/>
      <c r="TFY117" s="950"/>
      <c r="TFZ117" s="950"/>
      <c r="TGA117" s="950"/>
      <c r="TGB117" s="950"/>
      <c r="TGC117" s="950"/>
      <c r="TGD117" s="950"/>
      <c r="TGE117" s="950"/>
      <c r="TGF117" s="950"/>
      <c r="TGG117" s="950"/>
      <c r="TGH117" s="950"/>
      <c r="TGI117" s="950"/>
      <c r="TGJ117" s="950"/>
      <c r="TGK117" s="950"/>
      <c r="TGL117" s="950"/>
      <c r="TGM117" s="950"/>
      <c r="TGN117" s="950"/>
      <c r="TGO117" s="950"/>
      <c r="TGP117" s="950"/>
      <c r="TGQ117" s="950"/>
      <c r="TGR117" s="950"/>
      <c r="TGS117" s="950"/>
      <c r="TGT117" s="950"/>
      <c r="TGU117" s="950"/>
      <c r="TGV117" s="950"/>
      <c r="TGW117" s="950"/>
      <c r="TGX117" s="950"/>
      <c r="TGY117" s="950"/>
      <c r="TGZ117" s="950"/>
      <c r="THA117" s="950"/>
      <c r="THB117" s="950"/>
      <c r="THC117" s="950"/>
      <c r="THD117" s="950"/>
      <c r="THE117" s="950"/>
      <c r="THF117" s="950"/>
      <c r="THG117" s="950"/>
      <c r="THH117" s="950"/>
      <c r="THI117" s="950"/>
      <c r="THJ117" s="950"/>
      <c r="THK117" s="950"/>
      <c r="THL117" s="950"/>
      <c r="THM117" s="950"/>
      <c r="THN117" s="950"/>
      <c r="THO117" s="950"/>
      <c r="THP117" s="950"/>
      <c r="THQ117" s="950"/>
      <c r="THR117" s="950"/>
      <c r="THS117" s="950"/>
      <c r="THT117" s="950"/>
      <c r="THU117" s="950"/>
      <c r="THV117" s="950"/>
      <c r="THW117" s="950"/>
      <c r="THX117" s="950"/>
      <c r="THY117" s="950"/>
      <c r="THZ117" s="950"/>
      <c r="TIA117" s="950"/>
      <c r="TIB117" s="950"/>
      <c r="TIC117" s="950"/>
      <c r="TID117" s="950"/>
      <c r="TIE117" s="950"/>
      <c r="TIF117" s="950"/>
      <c r="TIG117" s="950"/>
      <c r="TIH117" s="950"/>
      <c r="TII117" s="950"/>
      <c r="TIJ117" s="950"/>
      <c r="TIK117" s="950"/>
      <c r="TIL117" s="950"/>
      <c r="TIM117" s="950"/>
      <c r="TIN117" s="950"/>
      <c r="TIO117" s="950"/>
      <c r="TIP117" s="950"/>
      <c r="TIQ117" s="950"/>
      <c r="TIR117" s="950"/>
      <c r="TIS117" s="950"/>
      <c r="TIT117" s="950"/>
      <c r="TIU117" s="950"/>
      <c r="TIV117" s="950"/>
      <c r="TIW117" s="950"/>
      <c r="TIX117" s="950"/>
      <c r="TIY117" s="950"/>
      <c r="TIZ117" s="950"/>
      <c r="TJA117" s="950"/>
      <c r="TJB117" s="950"/>
      <c r="TJC117" s="950"/>
      <c r="TJD117" s="950"/>
      <c r="TJE117" s="950"/>
      <c r="TJF117" s="950"/>
      <c r="TJG117" s="950"/>
      <c r="TJH117" s="950"/>
      <c r="TJI117" s="950"/>
      <c r="TJJ117" s="950"/>
      <c r="TJK117" s="950"/>
      <c r="TJL117" s="950"/>
      <c r="TJM117" s="950"/>
      <c r="TJN117" s="950"/>
      <c r="TJO117" s="950"/>
      <c r="TJP117" s="950"/>
      <c r="TJQ117" s="950"/>
      <c r="TJR117" s="950"/>
      <c r="TJS117" s="950"/>
      <c r="TJT117" s="950"/>
      <c r="TJU117" s="950"/>
      <c r="TJV117" s="950"/>
      <c r="TJW117" s="950"/>
      <c r="TJX117" s="950"/>
      <c r="TJY117" s="950"/>
      <c r="TJZ117" s="950"/>
      <c r="TKA117" s="950"/>
      <c r="TKB117" s="950"/>
      <c r="TKC117" s="950"/>
      <c r="TKD117" s="950"/>
      <c r="TKE117" s="950"/>
      <c r="TKF117" s="950"/>
      <c r="TKG117" s="950"/>
      <c r="TKH117" s="950"/>
      <c r="TKI117" s="950"/>
      <c r="TKJ117" s="950"/>
      <c r="TKK117" s="950"/>
      <c r="TKL117" s="950"/>
      <c r="TKM117" s="950"/>
      <c r="TKN117" s="950"/>
      <c r="TKO117" s="950"/>
      <c r="TKP117" s="950"/>
      <c r="TKQ117" s="950"/>
      <c r="TKR117" s="950"/>
      <c r="TKS117" s="950"/>
      <c r="TKT117" s="950"/>
      <c r="TKU117" s="950"/>
      <c r="TKV117" s="950"/>
      <c r="TKW117" s="950"/>
      <c r="TKX117" s="950"/>
      <c r="TKY117" s="950"/>
      <c r="TKZ117" s="950"/>
      <c r="TLA117" s="950"/>
      <c r="TLB117" s="950"/>
      <c r="TLC117" s="950"/>
      <c r="TLD117" s="950"/>
      <c r="TLE117" s="950"/>
      <c r="TLF117" s="950"/>
      <c r="TLG117" s="950"/>
      <c r="TLH117" s="950"/>
      <c r="TLI117" s="950"/>
      <c r="TLJ117" s="950"/>
      <c r="TLK117" s="950"/>
      <c r="TLL117" s="950"/>
      <c r="TLM117" s="950"/>
      <c r="TLN117" s="950"/>
      <c r="TLO117" s="950"/>
      <c r="TLP117" s="950"/>
      <c r="TLQ117" s="950"/>
      <c r="TLR117" s="950"/>
      <c r="TLS117" s="950"/>
      <c r="TLT117" s="950"/>
      <c r="TLU117" s="950"/>
      <c r="TLV117" s="950"/>
      <c r="TLW117" s="950"/>
      <c r="TLX117" s="950"/>
      <c r="TLY117" s="950"/>
      <c r="TLZ117" s="950"/>
      <c r="TMA117" s="950"/>
      <c r="TMB117" s="950"/>
      <c r="TMC117" s="950"/>
      <c r="TMD117" s="950"/>
      <c r="TME117" s="950"/>
      <c r="TMF117" s="950"/>
      <c r="TMG117" s="950"/>
      <c r="TMH117" s="950"/>
      <c r="TMI117" s="950"/>
      <c r="TMJ117" s="950"/>
      <c r="TMK117" s="950"/>
      <c r="TML117" s="950"/>
      <c r="TMM117" s="950"/>
      <c r="TMN117" s="950"/>
      <c r="TMO117" s="950"/>
      <c r="TMP117" s="950"/>
      <c r="TMQ117" s="950"/>
      <c r="TMR117" s="950"/>
      <c r="TMS117" s="950"/>
      <c r="TMT117" s="950"/>
      <c r="TMU117" s="950"/>
      <c r="TMV117" s="950"/>
      <c r="TMW117" s="950"/>
      <c r="TMX117" s="950"/>
      <c r="TMY117" s="950"/>
      <c r="TMZ117" s="950"/>
      <c r="TNA117" s="950"/>
      <c r="TNB117" s="950"/>
      <c r="TNC117" s="950"/>
      <c r="TND117" s="950"/>
      <c r="TNE117" s="950"/>
      <c r="TNF117" s="950"/>
      <c r="TNG117" s="950"/>
      <c r="TNH117" s="950"/>
      <c r="TNI117" s="950"/>
      <c r="TNJ117" s="950"/>
      <c r="TNK117" s="950"/>
      <c r="TNL117" s="950"/>
      <c r="TNM117" s="950"/>
      <c r="TNN117" s="950"/>
      <c r="TNO117" s="950"/>
      <c r="TNP117" s="950"/>
      <c r="TNQ117" s="950"/>
      <c r="TNR117" s="950"/>
      <c r="TNS117" s="950"/>
      <c r="TNT117" s="950"/>
      <c r="TNU117" s="950"/>
      <c r="TNV117" s="950"/>
      <c r="TNW117" s="950"/>
      <c r="TNX117" s="950"/>
      <c r="TNY117" s="950"/>
      <c r="TNZ117" s="950"/>
      <c r="TOA117" s="950"/>
      <c r="TOB117" s="950"/>
      <c r="TOC117" s="950"/>
      <c r="TOD117" s="950"/>
      <c r="TOE117" s="950"/>
      <c r="TOF117" s="950"/>
      <c r="TOG117" s="950"/>
      <c r="TOH117" s="950"/>
      <c r="TOI117" s="950"/>
      <c r="TOJ117" s="950"/>
      <c r="TOK117" s="950"/>
      <c r="TOL117" s="950"/>
      <c r="TOM117" s="950"/>
      <c r="TON117" s="950"/>
      <c r="TOO117" s="950"/>
      <c r="TOP117" s="950"/>
      <c r="TOQ117" s="950"/>
      <c r="TOR117" s="950"/>
      <c r="TOS117" s="950"/>
      <c r="TOT117" s="950"/>
      <c r="TOU117" s="950"/>
      <c r="TOV117" s="950"/>
      <c r="TOW117" s="950"/>
      <c r="TOX117" s="950"/>
      <c r="TOY117" s="950"/>
      <c r="TOZ117" s="950"/>
      <c r="TPA117" s="950"/>
      <c r="TPB117" s="950"/>
      <c r="TPC117" s="950"/>
      <c r="TPD117" s="950"/>
      <c r="TPE117" s="950"/>
      <c r="TPF117" s="950"/>
      <c r="TPG117" s="950"/>
      <c r="TPH117" s="950"/>
      <c r="TPI117" s="950"/>
      <c r="TPJ117" s="950"/>
      <c r="TPK117" s="950"/>
      <c r="TPL117" s="950"/>
      <c r="TPM117" s="950"/>
      <c r="TPN117" s="950"/>
      <c r="TPO117" s="950"/>
      <c r="TPP117" s="950"/>
      <c r="TPQ117" s="950"/>
      <c r="TPR117" s="950"/>
      <c r="TPS117" s="950"/>
      <c r="TPT117" s="950"/>
      <c r="TPU117" s="950"/>
      <c r="TPV117" s="950"/>
      <c r="TPW117" s="950"/>
      <c r="TPX117" s="950"/>
      <c r="TPY117" s="950"/>
      <c r="TPZ117" s="950"/>
      <c r="TQA117" s="950"/>
      <c r="TQB117" s="950"/>
      <c r="TQC117" s="950"/>
      <c r="TQD117" s="950"/>
      <c r="TQE117" s="950"/>
      <c r="TQF117" s="950"/>
      <c r="TQG117" s="950"/>
      <c r="TQH117" s="950"/>
      <c r="TQI117" s="950"/>
      <c r="TQJ117" s="950"/>
      <c r="TQK117" s="950"/>
      <c r="TQL117" s="950"/>
      <c r="TQM117" s="950"/>
      <c r="TQN117" s="950"/>
      <c r="TQO117" s="950"/>
      <c r="TQP117" s="950"/>
      <c r="TQQ117" s="950"/>
      <c r="TQR117" s="950"/>
      <c r="TQS117" s="950"/>
      <c r="TQT117" s="950"/>
      <c r="TQU117" s="950"/>
      <c r="TQV117" s="950"/>
      <c r="TQW117" s="950"/>
      <c r="TQX117" s="950"/>
      <c r="TQY117" s="950"/>
      <c r="TQZ117" s="950"/>
      <c r="TRA117" s="950"/>
      <c r="TRB117" s="950"/>
      <c r="TRC117" s="950"/>
      <c r="TRD117" s="950"/>
      <c r="TRE117" s="950"/>
      <c r="TRF117" s="950"/>
      <c r="TRG117" s="950"/>
      <c r="TRH117" s="950"/>
      <c r="TRI117" s="950"/>
      <c r="TRJ117" s="950"/>
      <c r="TRK117" s="950"/>
      <c r="TRL117" s="950"/>
      <c r="TRM117" s="950"/>
      <c r="TRN117" s="950"/>
      <c r="TRO117" s="950"/>
      <c r="TRP117" s="950"/>
      <c r="TRQ117" s="950"/>
      <c r="TRR117" s="950"/>
      <c r="TRS117" s="950"/>
      <c r="TRT117" s="950"/>
      <c r="TRU117" s="950"/>
      <c r="TRV117" s="950"/>
      <c r="TRW117" s="950"/>
      <c r="TRX117" s="950"/>
      <c r="TRY117" s="950"/>
      <c r="TRZ117" s="950"/>
      <c r="TSA117" s="950"/>
      <c r="TSB117" s="950"/>
      <c r="TSC117" s="950"/>
      <c r="TSD117" s="950"/>
      <c r="TSE117" s="950"/>
      <c r="TSF117" s="950"/>
      <c r="TSG117" s="950"/>
      <c r="TSH117" s="950"/>
      <c r="TSI117" s="950"/>
      <c r="TSJ117" s="950"/>
      <c r="TSK117" s="950"/>
      <c r="TSL117" s="950"/>
      <c r="TSM117" s="950"/>
      <c r="TSN117" s="950"/>
      <c r="TSO117" s="950"/>
      <c r="TSP117" s="950"/>
      <c r="TSQ117" s="950"/>
      <c r="TSR117" s="950"/>
      <c r="TSS117" s="950"/>
      <c r="TST117" s="950"/>
      <c r="TSU117" s="950"/>
      <c r="TSV117" s="950"/>
      <c r="TSW117" s="950"/>
      <c r="TSX117" s="950"/>
      <c r="TSY117" s="950"/>
      <c r="TSZ117" s="950"/>
      <c r="TTA117" s="950"/>
      <c r="TTB117" s="950"/>
      <c r="TTC117" s="950"/>
      <c r="TTD117" s="950"/>
      <c r="TTE117" s="950"/>
      <c r="TTF117" s="950"/>
      <c r="TTG117" s="950"/>
      <c r="TTH117" s="950"/>
      <c r="TTI117" s="950"/>
      <c r="TTJ117" s="950"/>
      <c r="TTK117" s="950"/>
      <c r="TTL117" s="950"/>
      <c r="TTM117" s="950"/>
      <c r="TTN117" s="950"/>
      <c r="TTO117" s="950"/>
      <c r="TTP117" s="950"/>
      <c r="TTQ117" s="950"/>
      <c r="TTR117" s="950"/>
      <c r="TTS117" s="950"/>
      <c r="TTT117" s="950"/>
      <c r="TTU117" s="950"/>
      <c r="TTV117" s="950"/>
      <c r="TTW117" s="950"/>
      <c r="TTX117" s="950"/>
      <c r="TTY117" s="950"/>
      <c r="TTZ117" s="950"/>
      <c r="TUA117" s="950"/>
      <c r="TUB117" s="950"/>
      <c r="TUC117" s="950"/>
      <c r="TUD117" s="950"/>
      <c r="TUE117" s="950"/>
      <c r="TUF117" s="950"/>
      <c r="TUG117" s="950"/>
      <c r="TUH117" s="950"/>
      <c r="TUI117" s="950"/>
      <c r="TUJ117" s="950"/>
      <c r="TUK117" s="950"/>
      <c r="TUL117" s="950"/>
      <c r="TUM117" s="950"/>
      <c r="TUN117" s="950"/>
      <c r="TUO117" s="950"/>
      <c r="TUP117" s="950"/>
      <c r="TUQ117" s="950"/>
      <c r="TUR117" s="950"/>
      <c r="TUS117" s="950"/>
      <c r="TUT117" s="950"/>
      <c r="TUU117" s="950"/>
      <c r="TUV117" s="950"/>
      <c r="TUW117" s="950"/>
      <c r="TUX117" s="950"/>
      <c r="TUY117" s="950"/>
      <c r="TUZ117" s="950"/>
      <c r="TVA117" s="950"/>
      <c r="TVB117" s="950"/>
      <c r="TVC117" s="950"/>
      <c r="TVD117" s="950"/>
      <c r="TVE117" s="950"/>
      <c r="TVF117" s="950"/>
      <c r="TVG117" s="950"/>
      <c r="TVH117" s="950"/>
      <c r="TVI117" s="950"/>
      <c r="TVJ117" s="950"/>
      <c r="TVK117" s="950"/>
      <c r="TVL117" s="950"/>
      <c r="TVM117" s="950"/>
      <c r="TVN117" s="950"/>
      <c r="TVO117" s="950"/>
      <c r="TVP117" s="950"/>
      <c r="TVQ117" s="950"/>
      <c r="TVR117" s="950"/>
      <c r="TVS117" s="950"/>
      <c r="TVT117" s="950"/>
      <c r="TVU117" s="950"/>
      <c r="TVV117" s="950"/>
      <c r="TVW117" s="950"/>
      <c r="TVX117" s="950"/>
      <c r="TVY117" s="950"/>
      <c r="TVZ117" s="950"/>
      <c r="TWA117" s="950"/>
      <c r="TWB117" s="950"/>
      <c r="TWC117" s="950"/>
      <c r="TWD117" s="950"/>
      <c r="TWE117" s="950"/>
      <c r="TWF117" s="950"/>
      <c r="TWG117" s="950"/>
      <c r="TWH117" s="950"/>
      <c r="TWI117" s="950"/>
      <c r="TWJ117" s="950"/>
      <c r="TWK117" s="950"/>
      <c r="TWL117" s="950"/>
      <c r="TWM117" s="950"/>
      <c r="TWN117" s="950"/>
      <c r="TWO117" s="950"/>
      <c r="TWP117" s="950"/>
      <c r="TWQ117" s="950"/>
      <c r="TWR117" s="950"/>
      <c r="TWS117" s="950"/>
      <c r="TWT117" s="950"/>
      <c r="TWU117" s="950"/>
      <c r="TWV117" s="950"/>
      <c r="TWW117" s="950"/>
      <c r="TWX117" s="950"/>
      <c r="TWY117" s="950"/>
      <c r="TWZ117" s="950"/>
      <c r="TXA117" s="950"/>
      <c r="TXB117" s="950"/>
      <c r="TXC117" s="950"/>
      <c r="TXD117" s="950"/>
      <c r="TXE117" s="950"/>
      <c r="TXF117" s="950"/>
      <c r="TXG117" s="950"/>
      <c r="TXH117" s="950"/>
      <c r="TXI117" s="950"/>
      <c r="TXJ117" s="950"/>
      <c r="TXK117" s="950"/>
      <c r="TXL117" s="950"/>
      <c r="TXM117" s="950"/>
      <c r="TXN117" s="950"/>
      <c r="TXO117" s="950"/>
      <c r="TXP117" s="950"/>
      <c r="TXQ117" s="950"/>
      <c r="TXR117" s="950"/>
      <c r="TXS117" s="950"/>
      <c r="TXT117" s="950"/>
      <c r="TXU117" s="950"/>
      <c r="TXV117" s="950"/>
      <c r="TXW117" s="950"/>
      <c r="TXX117" s="950"/>
      <c r="TXY117" s="950"/>
      <c r="TXZ117" s="950"/>
      <c r="TYA117" s="950"/>
      <c r="TYB117" s="950"/>
      <c r="TYC117" s="950"/>
      <c r="TYD117" s="950"/>
      <c r="TYE117" s="950"/>
      <c r="TYF117" s="950"/>
      <c r="TYG117" s="950"/>
      <c r="TYH117" s="950"/>
      <c r="TYI117" s="950"/>
      <c r="TYJ117" s="950"/>
      <c r="TYK117" s="950"/>
      <c r="TYL117" s="950"/>
      <c r="TYM117" s="950"/>
      <c r="TYN117" s="950"/>
      <c r="TYO117" s="950"/>
      <c r="TYP117" s="950"/>
      <c r="TYQ117" s="950"/>
      <c r="TYR117" s="950"/>
      <c r="TYS117" s="950"/>
      <c r="TYT117" s="950"/>
      <c r="TYU117" s="950"/>
      <c r="TYV117" s="950"/>
      <c r="TYW117" s="950"/>
      <c r="TYX117" s="950"/>
      <c r="TYY117" s="950"/>
      <c r="TYZ117" s="950"/>
      <c r="TZA117" s="950"/>
      <c r="TZB117" s="950"/>
      <c r="TZC117" s="950"/>
      <c r="TZD117" s="950"/>
      <c r="TZE117" s="950"/>
      <c r="TZF117" s="950"/>
      <c r="TZG117" s="950"/>
      <c r="TZH117" s="950"/>
      <c r="TZI117" s="950"/>
      <c r="TZJ117" s="950"/>
      <c r="TZK117" s="950"/>
      <c r="TZL117" s="950"/>
      <c r="TZM117" s="950"/>
      <c r="TZN117" s="950"/>
      <c r="TZO117" s="950"/>
      <c r="TZP117" s="950"/>
      <c r="TZQ117" s="950"/>
      <c r="TZR117" s="950"/>
      <c r="TZS117" s="950"/>
      <c r="TZT117" s="950"/>
      <c r="TZU117" s="950"/>
      <c r="TZV117" s="950"/>
      <c r="TZW117" s="950"/>
      <c r="TZX117" s="950"/>
      <c r="TZY117" s="950"/>
      <c r="TZZ117" s="950"/>
      <c r="UAA117" s="950"/>
      <c r="UAB117" s="950"/>
      <c r="UAC117" s="950"/>
      <c r="UAD117" s="950"/>
      <c r="UAE117" s="950"/>
      <c r="UAF117" s="950"/>
      <c r="UAG117" s="950"/>
      <c r="UAH117" s="950"/>
      <c r="UAI117" s="950"/>
      <c r="UAJ117" s="950"/>
      <c r="UAK117" s="950"/>
      <c r="UAL117" s="950"/>
      <c r="UAM117" s="950"/>
      <c r="UAN117" s="950"/>
      <c r="UAO117" s="950"/>
      <c r="UAP117" s="950"/>
      <c r="UAQ117" s="950"/>
      <c r="UAR117" s="950"/>
      <c r="UAS117" s="950"/>
      <c r="UAT117" s="950"/>
      <c r="UAU117" s="950"/>
      <c r="UAV117" s="950"/>
      <c r="UAW117" s="950"/>
      <c r="UAX117" s="950"/>
      <c r="UAY117" s="950"/>
      <c r="UAZ117" s="950"/>
      <c r="UBA117" s="950"/>
      <c r="UBB117" s="950"/>
      <c r="UBC117" s="950"/>
      <c r="UBD117" s="950"/>
      <c r="UBE117" s="950"/>
      <c r="UBF117" s="950"/>
      <c r="UBG117" s="950"/>
      <c r="UBH117" s="950"/>
      <c r="UBI117" s="950"/>
      <c r="UBJ117" s="950"/>
      <c r="UBK117" s="950"/>
      <c r="UBL117" s="950"/>
      <c r="UBM117" s="950"/>
      <c r="UBN117" s="950"/>
      <c r="UBO117" s="950"/>
      <c r="UBP117" s="950"/>
      <c r="UBQ117" s="950"/>
      <c r="UBR117" s="950"/>
      <c r="UBS117" s="950"/>
      <c r="UBT117" s="950"/>
      <c r="UBU117" s="950"/>
      <c r="UBV117" s="950"/>
      <c r="UBW117" s="950"/>
      <c r="UBX117" s="950"/>
      <c r="UBY117" s="950"/>
      <c r="UBZ117" s="950"/>
      <c r="UCA117" s="950"/>
      <c r="UCB117" s="950"/>
      <c r="UCC117" s="950"/>
      <c r="UCD117" s="950"/>
      <c r="UCE117" s="950"/>
      <c r="UCF117" s="950"/>
      <c r="UCG117" s="950"/>
      <c r="UCH117" s="950"/>
      <c r="UCI117" s="950"/>
      <c r="UCJ117" s="950"/>
      <c r="UCK117" s="950"/>
      <c r="UCL117" s="950"/>
      <c r="UCM117" s="950"/>
      <c r="UCN117" s="950"/>
      <c r="UCO117" s="950"/>
      <c r="UCP117" s="950"/>
      <c r="UCQ117" s="950"/>
      <c r="UCR117" s="950"/>
      <c r="UCS117" s="950"/>
      <c r="UCT117" s="950"/>
      <c r="UCU117" s="950"/>
      <c r="UCV117" s="950"/>
      <c r="UCW117" s="950"/>
      <c r="UCX117" s="950"/>
      <c r="UCY117" s="950"/>
      <c r="UCZ117" s="950"/>
      <c r="UDA117" s="950"/>
      <c r="UDB117" s="950"/>
      <c r="UDC117" s="950"/>
      <c r="UDD117" s="950"/>
      <c r="UDE117" s="950"/>
      <c r="UDF117" s="950"/>
      <c r="UDG117" s="950"/>
      <c r="UDH117" s="950"/>
      <c r="UDI117" s="950"/>
      <c r="UDJ117" s="950"/>
      <c r="UDK117" s="950"/>
      <c r="UDL117" s="950"/>
      <c r="UDM117" s="950"/>
      <c r="UDN117" s="950"/>
      <c r="UDO117" s="950"/>
      <c r="UDP117" s="950"/>
      <c r="UDQ117" s="950"/>
      <c r="UDR117" s="950"/>
      <c r="UDS117" s="950"/>
      <c r="UDT117" s="950"/>
      <c r="UDU117" s="950"/>
      <c r="UDV117" s="950"/>
      <c r="UDW117" s="950"/>
      <c r="UDX117" s="950"/>
      <c r="UDY117" s="950"/>
      <c r="UDZ117" s="950"/>
      <c r="UEA117" s="950"/>
      <c r="UEB117" s="950"/>
      <c r="UEC117" s="950"/>
      <c r="UED117" s="950"/>
      <c r="UEE117" s="950"/>
      <c r="UEF117" s="950"/>
      <c r="UEG117" s="950"/>
      <c r="UEH117" s="950"/>
      <c r="UEI117" s="950"/>
      <c r="UEJ117" s="950"/>
      <c r="UEK117" s="950"/>
      <c r="UEL117" s="950"/>
      <c r="UEM117" s="950"/>
      <c r="UEN117" s="950"/>
      <c r="UEO117" s="950"/>
      <c r="UEP117" s="950"/>
      <c r="UEQ117" s="950"/>
      <c r="UER117" s="950"/>
      <c r="UES117" s="950"/>
      <c r="UET117" s="950"/>
      <c r="UEU117" s="950"/>
      <c r="UEV117" s="950"/>
      <c r="UEW117" s="950"/>
      <c r="UEX117" s="950"/>
      <c r="UEY117" s="950"/>
      <c r="UEZ117" s="950"/>
      <c r="UFA117" s="950"/>
      <c r="UFB117" s="950"/>
      <c r="UFC117" s="950"/>
      <c r="UFD117" s="950"/>
      <c r="UFE117" s="950"/>
      <c r="UFF117" s="950"/>
      <c r="UFG117" s="950"/>
      <c r="UFH117" s="950"/>
      <c r="UFI117" s="950"/>
      <c r="UFJ117" s="950"/>
      <c r="UFK117" s="950"/>
      <c r="UFL117" s="950"/>
      <c r="UFM117" s="950"/>
      <c r="UFN117" s="950"/>
      <c r="UFO117" s="950"/>
      <c r="UFP117" s="950"/>
      <c r="UFQ117" s="950"/>
      <c r="UFR117" s="950"/>
      <c r="UFS117" s="950"/>
      <c r="UFT117" s="950"/>
      <c r="UFU117" s="950"/>
      <c r="UFV117" s="950"/>
      <c r="UFW117" s="950"/>
      <c r="UFX117" s="950"/>
      <c r="UFY117" s="950"/>
      <c r="UFZ117" s="950"/>
      <c r="UGA117" s="950"/>
      <c r="UGB117" s="950"/>
      <c r="UGC117" s="950"/>
      <c r="UGD117" s="950"/>
      <c r="UGE117" s="950"/>
      <c r="UGF117" s="950"/>
      <c r="UGG117" s="950"/>
      <c r="UGH117" s="950"/>
      <c r="UGI117" s="950"/>
      <c r="UGJ117" s="950"/>
      <c r="UGK117" s="950"/>
      <c r="UGL117" s="950"/>
      <c r="UGM117" s="950"/>
      <c r="UGN117" s="950"/>
      <c r="UGO117" s="950"/>
      <c r="UGP117" s="950"/>
      <c r="UGQ117" s="950"/>
      <c r="UGR117" s="950"/>
      <c r="UGS117" s="950"/>
      <c r="UGT117" s="950"/>
      <c r="UGU117" s="950"/>
      <c r="UGV117" s="950"/>
      <c r="UGW117" s="950"/>
      <c r="UGX117" s="950"/>
      <c r="UGY117" s="950"/>
      <c r="UGZ117" s="950"/>
      <c r="UHA117" s="950"/>
      <c r="UHB117" s="950"/>
      <c r="UHC117" s="950"/>
      <c r="UHD117" s="950"/>
      <c r="UHE117" s="950"/>
      <c r="UHF117" s="950"/>
      <c r="UHG117" s="950"/>
      <c r="UHH117" s="950"/>
      <c r="UHI117" s="950"/>
      <c r="UHJ117" s="950"/>
      <c r="UHK117" s="950"/>
      <c r="UHL117" s="950"/>
      <c r="UHM117" s="950"/>
      <c r="UHN117" s="950"/>
      <c r="UHO117" s="950"/>
      <c r="UHP117" s="950"/>
      <c r="UHQ117" s="950"/>
      <c r="UHR117" s="950"/>
      <c r="UHS117" s="950"/>
      <c r="UHT117" s="950"/>
      <c r="UHU117" s="950"/>
      <c r="UHV117" s="950"/>
      <c r="UHW117" s="950"/>
      <c r="UHX117" s="950"/>
      <c r="UHY117" s="950"/>
      <c r="UHZ117" s="950"/>
      <c r="UIA117" s="950"/>
      <c r="UIB117" s="950"/>
      <c r="UIC117" s="950"/>
      <c r="UID117" s="950"/>
      <c r="UIE117" s="950"/>
      <c r="UIF117" s="950"/>
      <c r="UIG117" s="950"/>
      <c r="UIH117" s="950"/>
      <c r="UII117" s="950"/>
      <c r="UIJ117" s="950"/>
      <c r="UIK117" s="950"/>
      <c r="UIL117" s="950"/>
      <c r="UIM117" s="950"/>
      <c r="UIN117" s="950"/>
      <c r="UIO117" s="950"/>
      <c r="UIP117" s="950"/>
      <c r="UIQ117" s="950"/>
      <c r="UIR117" s="950"/>
      <c r="UIS117" s="950"/>
      <c r="UIT117" s="950"/>
      <c r="UIU117" s="950"/>
      <c r="UIV117" s="950"/>
      <c r="UIW117" s="950"/>
      <c r="UIX117" s="950"/>
      <c r="UIY117" s="950"/>
      <c r="UIZ117" s="950"/>
      <c r="UJA117" s="950"/>
      <c r="UJB117" s="950"/>
      <c r="UJC117" s="950"/>
      <c r="UJD117" s="950"/>
      <c r="UJE117" s="950"/>
      <c r="UJF117" s="950"/>
      <c r="UJG117" s="950"/>
      <c r="UJH117" s="950"/>
      <c r="UJI117" s="950"/>
      <c r="UJJ117" s="950"/>
      <c r="UJK117" s="950"/>
      <c r="UJL117" s="950"/>
      <c r="UJM117" s="950"/>
      <c r="UJN117" s="950"/>
      <c r="UJO117" s="950"/>
      <c r="UJP117" s="950"/>
      <c r="UJQ117" s="950"/>
      <c r="UJR117" s="950"/>
      <c r="UJS117" s="950"/>
      <c r="UJT117" s="950"/>
      <c r="UJU117" s="950"/>
      <c r="UJV117" s="950"/>
      <c r="UJW117" s="950"/>
      <c r="UJX117" s="950"/>
      <c r="UJY117" s="950"/>
      <c r="UJZ117" s="950"/>
      <c r="UKA117" s="950"/>
      <c r="UKB117" s="950"/>
      <c r="UKC117" s="950"/>
      <c r="UKD117" s="950"/>
      <c r="UKE117" s="950"/>
      <c r="UKF117" s="950"/>
      <c r="UKG117" s="950"/>
      <c r="UKH117" s="950"/>
      <c r="UKI117" s="950"/>
      <c r="UKJ117" s="950"/>
      <c r="UKK117" s="950"/>
      <c r="UKL117" s="950"/>
      <c r="UKM117" s="950"/>
      <c r="UKN117" s="950"/>
      <c r="UKO117" s="950"/>
      <c r="UKP117" s="950"/>
      <c r="UKQ117" s="950"/>
      <c r="UKR117" s="950"/>
      <c r="UKS117" s="950"/>
      <c r="UKT117" s="950"/>
      <c r="UKU117" s="950"/>
      <c r="UKV117" s="950"/>
      <c r="UKW117" s="950"/>
      <c r="UKX117" s="950"/>
      <c r="UKY117" s="950"/>
      <c r="UKZ117" s="950"/>
      <c r="ULA117" s="950"/>
      <c r="ULB117" s="950"/>
      <c r="ULC117" s="950"/>
      <c r="ULD117" s="950"/>
      <c r="ULE117" s="950"/>
      <c r="ULF117" s="950"/>
      <c r="ULG117" s="950"/>
      <c r="ULH117" s="950"/>
      <c r="ULI117" s="950"/>
      <c r="ULJ117" s="950"/>
      <c r="ULK117" s="950"/>
      <c r="ULL117" s="950"/>
      <c r="ULM117" s="950"/>
      <c r="ULN117" s="950"/>
      <c r="ULO117" s="950"/>
      <c r="ULP117" s="950"/>
      <c r="ULQ117" s="950"/>
      <c r="ULR117" s="950"/>
      <c r="ULS117" s="950"/>
      <c r="ULT117" s="950"/>
      <c r="ULU117" s="950"/>
      <c r="ULV117" s="950"/>
      <c r="ULW117" s="950"/>
      <c r="ULX117" s="950"/>
      <c r="ULY117" s="950"/>
      <c r="ULZ117" s="950"/>
      <c r="UMA117" s="950"/>
      <c r="UMB117" s="950"/>
      <c r="UMC117" s="950"/>
      <c r="UMD117" s="950"/>
      <c r="UME117" s="950"/>
      <c r="UMF117" s="950"/>
      <c r="UMG117" s="950"/>
      <c r="UMH117" s="950"/>
      <c r="UMI117" s="950"/>
      <c r="UMJ117" s="950"/>
      <c r="UMK117" s="950"/>
      <c r="UML117" s="950"/>
      <c r="UMM117" s="950"/>
      <c r="UMN117" s="950"/>
      <c r="UMO117" s="950"/>
      <c r="UMP117" s="950"/>
      <c r="UMQ117" s="950"/>
      <c r="UMR117" s="950"/>
      <c r="UMS117" s="950"/>
      <c r="UMT117" s="950"/>
      <c r="UMU117" s="950"/>
      <c r="UMV117" s="950"/>
      <c r="UMW117" s="950"/>
      <c r="UMX117" s="950"/>
      <c r="UMY117" s="950"/>
      <c r="UMZ117" s="950"/>
      <c r="UNA117" s="950"/>
      <c r="UNB117" s="950"/>
      <c r="UNC117" s="950"/>
      <c r="UND117" s="950"/>
      <c r="UNE117" s="950"/>
      <c r="UNF117" s="950"/>
      <c r="UNG117" s="950"/>
      <c r="UNH117" s="950"/>
      <c r="UNI117" s="950"/>
      <c r="UNJ117" s="950"/>
      <c r="UNK117" s="950"/>
      <c r="UNL117" s="950"/>
      <c r="UNM117" s="950"/>
      <c r="UNN117" s="950"/>
      <c r="UNO117" s="950"/>
      <c r="UNP117" s="950"/>
      <c r="UNQ117" s="950"/>
      <c r="UNR117" s="950"/>
      <c r="UNS117" s="950"/>
      <c r="UNT117" s="950"/>
      <c r="UNU117" s="950"/>
      <c r="UNV117" s="950"/>
      <c r="UNW117" s="950"/>
      <c r="UNX117" s="950"/>
      <c r="UNY117" s="950"/>
      <c r="UNZ117" s="950"/>
      <c r="UOA117" s="950"/>
      <c r="UOB117" s="950"/>
      <c r="UOC117" s="950"/>
      <c r="UOD117" s="950"/>
      <c r="UOE117" s="950"/>
      <c r="UOF117" s="950"/>
      <c r="UOG117" s="950"/>
      <c r="UOH117" s="950"/>
      <c r="UOI117" s="950"/>
      <c r="UOJ117" s="950"/>
      <c r="UOK117" s="950"/>
      <c r="UOL117" s="950"/>
      <c r="UOM117" s="950"/>
      <c r="UON117" s="950"/>
      <c r="UOO117" s="950"/>
      <c r="UOP117" s="950"/>
      <c r="UOQ117" s="950"/>
      <c r="UOR117" s="950"/>
      <c r="UOS117" s="950"/>
      <c r="UOT117" s="950"/>
      <c r="UOU117" s="950"/>
      <c r="UOV117" s="950"/>
      <c r="UOW117" s="950"/>
      <c r="UOX117" s="950"/>
      <c r="UOY117" s="950"/>
      <c r="UOZ117" s="950"/>
      <c r="UPA117" s="950"/>
      <c r="UPB117" s="950"/>
      <c r="UPC117" s="950"/>
      <c r="UPD117" s="950"/>
      <c r="UPE117" s="950"/>
      <c r="UPF117" s="950"/>
      <c r="UPG117" s="950"/>
      <c r="UPH117" s="950"/>
      <c r="UPI117" s="950"/>
      <c r="UPJ117" s="950"/>
      <c r="UPK117" s="950"/>
      <c r="UPL117" s="950"/>
      <c r="UPM117" s="950"/>
      <c r="UPN117" s="950"/>
      <c r="UPO117" s="950"/>
      <c r="UPP117" s="950"/>
      <c r="UPQ117" s="950"/>
      <c r="UPR117" s="950"/>
      <c r="UPS117" s="950"/>
      <c r="UPT117" s="950"/>
      <c r="UPU117" s="950"/>
      <c r="UPV117" s="950"/>
      <c r="UPW117" s="950"/>
      <c r="UPX117" s="950"/>
      <c r="UPY117" s="950"/>
      <c r="UPZ117" s="950"/>
      <c r="UQA117" s="950"/>
      <c r="UQB117" s="950"/>
      <c r="UQC117" s="950"/>
      <c r="UQD117" s="950"/>
      <c r="UQE117" s="950"/>
      <c r="UQF117" s="950"/>
      <c r="UQG117" s="950"/>
      <c r="UQH117" s="950"/>
      <c r="UQI117" s="950"/>
      <c r="UQJ117" s="950"/>
      <c r="UQK117" s="950"/>
      <c r="UQL117" s="950"/>
      <c r="UQM117" s="950"/>
      <c r="UQN117" s="950"/>
      <c r="UQO117" s="950"/>
      <c r="UQP117" s="950"/>
      <c r="UQQ117" s="950"/>
      <c r="UQR117" s="950"/>
      <c r="UQS117" s="950"/>
      <c r="UQT117" s="950"/>
      <c r="UQU117" s="950"/>
      <c r="UQV117" s="950"/>
      <c r="UQW117" s="950"/>
      <c r="UQX117" s="950"/>
      <c r="UQY117" s="950"/>
      <c r="UQZ117" s="950"/>
      <c r="URA117" s="950"/>
      <c r="URB117" s="950"/>
      <c r="URC117" s="950"/>
      <c r="URD117" s="950"/>
      <c r="URE117" s="950"/>
      <c r="URF117" s="950"/>
      <c r="URG117" s="950"/>
      <c r="URH117" s="950"/>
      <c r="URI117" s="950"/>
      <c r="URJ117" s="950"/>
      <c r="URK117" s="950"/>
      <c r="URL117" s="950"/>
      <c r="URM117" s="950"/>
      <c r="URN117" s="950"/>
      <c r="URO117" s="950"/>
      <c r="URP117" s="950"/>
      <c r="URQ117" s="950"/>
      <c r="URR117" s="950"/>
      <c r="URS117" s="950"/>
      <c r="URT117" s="950"/>
      <c r="URU117" s="950"/>
      <c r="URV117" s="950"/>
      <c r="URW117" s="950"/>
      <c r="URX117" s="950"/>
      <c r="URY117" s="950"/>
      <c r="URZ117" s="950"/>
      <c r="USA117" s="950"/>
      <c r="USB117" s="950"/>
      <c r="USC117" s="950"/>
      <c r="USD117" s="950"/>
      <c r="USE117" s="950"/>
      <c r="USF117" s="950"/>
      <c r="USG117" s="950"/>
      <c r="USH117" s="950"/>
      <c r="USI117" s="950"/>
      <c r="USJ117" s="950"/>
      <c r="USK117" s="950"/>
      <c r="USL117" s="950"/>
      <c r="USM117" s="950"/>
      <c r="USN117" s="950"/>
      <c r="USO117" s="950"/>
      <c r="USP117" s="950"/>
      <c r="USQ117" s="950"/>
      <c r="USR117" s="950"/>
      <c r="USS117" s="950"/>
      <c r="UST117" s="950"/>
      <c r="USU117" s="950"/>
      <c r="USV117" s="950"/>
      <c r="USW117" s="950"/>
      <c r="USX117" s="950"/>
      <c r="USY117" s="950"/>
      <c r="USZ117" s="950"/>
      <c r="UTA117" s="950"/>
      <c r="UTB117" s="950"/>
      <c r="UTC117" s="950"/>
      <c r="UTD117" s="950"/>
      <c r="UTE117" s="950"/>
      <c r="UTF117" s="950"/>
      <c r="UTG117" s="950"/>
      <c r="UTH117" s="950"/>
      <c r="UTI117" s="950"/>
      <c r="UTJ117" s="950"/>
      <c r="UTK117" s="950"/>
      <c r="UTL117" s="950"/>
      <c r="UTM117" s="950"/>
      <c r="UTN117" s="950"/>
      <c r="UTO117" s="950"/>
      <c r="UTP117" s="950"/>
      <c r="UTQ117" s="950"/>
      <c r="UTR117" s="950"/>
      <c r="UTS117" s="950"/>
      <c r="UTT117" s="950"/>
      <c r="UTU117" s="950"/>
      <c r="UTV117" s="950"/>
      <c r="UTW117" s="950"/>
      <c r="UTX117" s="950"/>
      <c r="UTY117" s="950"/>
      <c r="UTZ117" s="950"/>
      <c r="UUA117" s="950"/>
      <c r="UUB117" s="950"/>
      <c r="UUC117" s="950"/>
      <c r="UUD117" s="950"/>
      <c r="UUE117" s="950"/>
      <c r="UUF117" s="950"/>
      <c r="UUG117" s="950"/>
      <c r="UUH117" s="950"/>
      <c r="UUI117" s="950"/>
      <c r="UUJ117" s="950"/>
      <c r="UUK117" s="950"/>
      <c r="UUL117" s="950"/>
      <c r="UUM117" s="950"/>
      <c r="UUN117" s="950"/>
      <c r="UUO117" s="950"/>
      <c r="UUP117" s="950"/>
      <c r="UUQ117" s="950"/>
      <c r="UUR117" s="950"/>
      <c r="UUS117" s="950"/>
      <c r="UUT117" s="950"/>
      <c r="UUU117" s="950"/>
      <c r="UUV117" s="950"/>
      <c r="UUW117" s="950"/>
      <c r="UUX117" s="950"/>
      <c r="UUY117" s="950"/>
      <c r="UUZ117" s="950"/>
      <c r="UVA117" s="950"/>
      <c r="UVB117" s="950"/>
      <c r="UVC117" s="950"/>
      <c r="UVD117" s="950"/>
      <c r="UVE117" s="950"/>
      <c r="UVF117" s="950"/>
      <c r="UVG117" s="950"/>
      <c r="UVH117" s="950"/>
      <c r="UVI117" s="950"/>
      <c r="UVJ117" s="950"/>
      <c r="UVK117" s="950"/>
      <c r="UVL117" s="950"/>
      <c r="UVM117" s="950"/>
      <c r="UVN117" s="950"/>
      <c r="UVO117" s="950"/>
      <c r="UVP117" s="950"/>
      <c r="UVQ117" s="950"/>
      <c r="UVR117" s="950"/>
      <c r="UVS117" s="950"/>
      <c r="UVT117" s="950"/>
      <c r="UVU117" s="950"/>
      <c r="UVV117" s="950"/>
      <c r="UVW117" s="950"/>
      <c r="UVX117" s="950"/>
      <c r="UVY117" s="950"/>
      <c r="UVZ117" s="950"/>
      <c r="UWA117" s="950"/>
      <c r="UWB117" s="950"/>
      <c r="UWC117" s="950"/>
      <c r="UWD117" s="950"/>
      <c r="UWE117" s="950"/>
      <c r="UWF117" s="950"/>
      <c r="UWG117" s="950"/>
      <c r="UWH117" s="950"/>
      <c r="UWI117" s="950"/>
      <c r="UWJ117" s="950"/>
      <c r="UWK117" s="950"/>
      <c r="UWL117" s="950"/>
      <c r="UWM117" s="950"/>
      <c r="UWN117" s="950"/>
      <c r="UWO117" s="950"/>
      <c r="UWP117" s="950"/>
      <c r="UWQ117" s="950"/>
      <c r="UWR117" s="950"/>
      <c r="UWS117" s="950"/>
      <c r="UWT117" s="950"/>
      <c r="UWU117" s="950"/>
      <c r="UWV117" s="950"/>
      <c r="UWW117" s="950"/>
      <c r="UWX117" s="950"/>
      <c r="UWY117" s="950"/>
      <c r="UWZ117" s="950"/>
      <c r="UXA117" s="950"/>
      <c r="UXB117" s="950"/>
      <c r="UXC117" s="950"/>
      <c r="UXD117" s="950"/>
      <c r="UXE117" s="950"/>
      <c r="UXF117" s="950"/>
      <c r="UXG117" s="950"/>
      <c r="UXH117" s="950"/>
      <c r="UXI117" s="950"/>
      <c r="UXJ117" s="950"/>
      <c r="UXK117" s="950"/>
      <c r="UXL117" s="950"/>
      <c r="UXM117" s="950"/>
      <c r="UXN117" s="950"/>
      <c r="UXO117" s="950"/>
      <c r="UXP117" s="950"/>
      <c r="UXQ117" s="950"/>
      <c r="UXR117" s="950"/>
      <c r="UXS117" s="950"/>
      <c r="UXT117" s="950"/>
      <c r="UXU117" s="950"/>
      <c r="UXV117" s="950"/>
      <c r="UXW117" s="950"/>
      <c r="UXX117" s="950"/>
      <c r="UXY117" s="950"/>
      <c r="UXZ117" s="950"/>
      <c r="UYA117" s="950"/>
      <c r="UYB117" s="950"/>
      <c r="UYC117" s="950"/>
      <c r="UYD117" s="950"/>
      <c r="UYE117" s="950"/>
      <c r="UYF117" s="950"/>
      <c r="UYG117" s="950"/>
      <c r="UYH117" s="950"/>
      <c r="UYI117" s="950"/>
      <c r="UYJ117" s="950"/>
      <c r="UYK117" s="950"/>
      <c r="UYL117" s="950"/>
      <c r="UYM117" s="950"/>
      <c r="UYN117" s="950"/>
      <c r="UYO117" s="950"/>
      <c r="UYP117" s="950"/>
      <c r="UYQ117" s="950"/>
      <c r="UYR117" s="950"/>
      <c r="UYS117" s="950"/>
      <c r="UYT117" s="950"/>
      <c r="UYU117" s="950"/>
      <c r="UYV117" s="950"/>
      <c r="UYW117" s="950"/>
      <c r="UYX117" s="950"/>
      <c r="UYY117" s="950"/>
      <c r="UYZ117" s="950"/>
      <c r="UZA117" s="950"/>
      <c r="UZB117" s="950"/>
      <c r="UZC117" s="950"/>
      <c r="UZD117" s="950"/>
      <c r="UZE117" s="950"/>
      <c r="UZF117" s="950"/>
      <c r="UZG117" s="950"/>
      <c r="UZH117" s="950"/>
      <c r="UZI117" s="950"/>
      <c r="UZJ117" s="950"/>
      <c r="UZK117" s="950"/>
      <c r="UZL117" s="950"/>
      <c r="UZM117" s="950"/>
      <c r="UZN117" s="950"/>
      <c r="UZO117" s="950"/>
      <c r="UZP117" s="950"/>
      <c r="UZQ117" s="950"/>
      <c r="UZR117" s="950"/>
      <c r="UZS117" s="950"/>
      <c r="UZT117" s="950"/>
      <c r="UZU117" s="950"/>
      <c r="UZV117" s="950"/>
      <c r="UZW117" s="950"/>
      <c r="UZX117" s="950"/>
      <c r="UZY117" s="950"/>
      <c r="UZZ117" s="950"/>
      <c r="VAA117" s="950"/>
      <c r="VAB117" s="950"/>
      <c r="VAC117" s="950"/>
      <c r="VAD117" s="950"/>
      <c r="VAE117" s="950"/>
      <c r="VAF117" s="950"/>
      <c r="VAG117" s="950"/>
      <c r="VAH117" s="950"/>
      <c r="VAI117" s="950"/>
      <c r="VAJ117" s="950"/>
      <c r="VAK117" s="950"/>
      <c r="VAL117" s="950"/>
      <c r="VAM117" s="950"/>
      <c r="VAN117" s="950"/>
      <c r="VAO117" s="950"/>
      <c r="VAP117" s="950"/>
      <c r="VAQ117" s="950"/>
      <c r="VAR117" s="950"/>
      <c r="VAS117" s="950"/>
      <c r="VAT117" s="950"/>
      <c r="VAU117" s="950"/>
      <c r="VAV117" s="950"/>
      <c r="VAW117" s="950"/>
      <c r="VAX117" s="950"/>
      <c r="VAY117" s="950"/>
      <c r="VAZ117" s="950"/>
      <c r="VBA117" s="950"/>
      <c r="VBB117" s="950"/>
      <c r="VBC117" s="950"/>
      <c r="VBD117" s="950"/>
      <c r="VBE117" s="950"/>
      <c r="VBF117" s="950"/>
      <c r="VBG117" s="950"/>
      <c r="VBH117" s="950"/>
      <c r="VBI117" s="950"/>
      <c r="VBJ117" s="950"/>
      <c r="VBK117" s="950"/>
      <c r="VBL117" s="950"/>
      <c r="VBM117" s="950"/>
      <c r="VBN117" s="950"/>
      <c r="VBO117" s="950"/>
      <c r="VBP117" s="950"/>
      <c r="VBQ117" s="950"/>
      <c r="VBR117" s="950"/>
      <c r="VBS117" s="950"/>
      <c r="VBT117" s="950"/>
      <c r="VBU117" s="950"/>
      <c r="VBV117" s="950"/>
      <c r="VBW117" s="950"/>
      <c r="VBX117" s="950"/>
      <c r="VBY117" s="950"/>
      <c r="VBZ117" s="950"/>
      <c r="VCA117" s="950"/>
      <c r="VCB117" s="950"/>
      <c r="VCC117" s="950"/>
      <c r="VCD117" s="950"/>
      <c r="VCE117" s="950"/>
      <c r="VCF117" s="950"/>
      <c r="VCG117" s="950"/>
      <c r="VCH117" s="950"/>
      <c r="VCI117" s="950"/>
      <c r="VCJ117" s="950"/>
      <c r="VCK117" s="950"/>
      <c r="VCL117" s="950"/>
      <c r="VCM117" s="950"/>
      <c r="VCN117" s="950"/>
      <c r="VCO117" s="950"/>
      <c r="VCP117" s="950"/>
      <c r="VCQ117" s="950"/>
      <c r="VCR117" s="950"/>
      <c r="VCS117" s="950"/>
      <c r="VCT117" s="950"/>
      <c r="VCU117" s="950"/>
      <c r="VCV117" s="950"/>
      <c r="VCW117" s="950"/>
      <c r="VCX117" s="950"/>
      <c r="VCY117" s="950"/>
      <c r="VCZ117" s="950"/>
      <c r="VDA117" s="950"/>
      <c r="VDB117" s="950"/>
      <c r="VDC117" s="950"/>
      <c r="VDD117" s="950"/>
      <c r="VDE117" s="950"/>
      <c r="VDF117" s="950"/>
      <c r="VDG117" s="950"/>
      <c r="VDH117" s="950"/>
      <c r="VDI117" s="950"/>
      <c r="VDJ117" s="950"/>
      <c r="VDK117" s="950"/>
      <c r="VDL117" s="950"/>
      <c r="VDM117" s="950"/>
      <c r="VDN117" s="950"/>
      <c r="VDO117" s="950"/>
      <c r="VDP117" s="950"/>
      <c r="VDQ117" s="950"/>
      <c r="VDR117" s="950"/>
      <c r="VDS117" s="950"/>
      <c r="VDT117" s="950"/>
      <c r="VDU117" s="950"/>
      <c r="VDV117" s="950"/>
      <c r="VDW117" s="950"/>
      <c r="VDX117" s="950"/>
      <c r="VDY117" s="950"/>
      <c r="VDZ117" s="950"/>
      <c r="VEA117" s="950"/>
      <c r="VEB117" s="950"/>
      <c r="VEC117" s="950"/>
      <c r="VED117" s="950"/>
      <c r="VEE117" s="950"/>
      <c r="VEF117" s="950"/>
      <c r="VEG117" s="950"/>
      <c r="VEH117" s="950"/>
      <c r="VEI117" s="950"/>
      <c r="VEJ117" s="950"/>
      <c r="VEK117" s="950"/>
      <c r="VEL117" s="950"/>
      <c r="VEM117" s="950"/>
      <c r="VEN117" s="950"/>
      <c r="VEO117" s="950"/>
      <c r="VEP117" s="950"/>
      <c r="VEQ117" s="950"/>
      <c r="VER117" s="950"/>
      <c r="VES117" s="950"/>
      <c r="VET117" s="950"/>
      <c r="VEU117" s="950"/>
      <c r="VEV117" s="950"/>
      <c r="VEW117" s="950"/>
      <c r="VEX117" s="950"/>
      <c r="VEY117" s="950"/>
      <c r="VEZ117" s="950"/>
      <c r="VFA117" s="950"/>
      <c r="VFB117" s="950"/>
      <c r="VFC117" s="950"/>
      <c r="VFD117" s="950"/>
      <c r="VFE117" s="950"/>
      <c r="VFF117" s="950"/>
      <c r="VFG117" s="950"/>
      <c r="VFH117" s="950"/>
      <c r="VFI117" s="950"/>
      <c r="VFJ117" s="950"/>
      <c r="VFK117" s="950"/>
      <c r="VFL117" s="950"/>
      <c r="VFM117" s="950"/>
      <c r="VFN117" s="950"/>
      <c r="VFO117" s="950"/>
      <c r="VFP117" s="950"/>
      <c r="VFQ117" s="950"/>
      <c r="VFR117" s="950"/>
      <c r="VFS117" s="950"/>
      <c r="VFT117" s="950"/>
      <c r="VFU117" s="950"/>
      <c r="VFV117" s="950"/>
      <c r="VFW117" s="950"/>
      <c r="VFX117" s="950"/>
      <c r="VFY117" s="950"/>
      <c r="VFZ117" s="950"/>
      <c r="VGA117" s="950"/>
      <c r="VGB117" s="950"/>
      <c r="VGC117" s="950"/>
      <c r="VGD117" s="950"/>
      <c r="VGE117" s="950"/>
      <c r="VGF117" s="950"/>
      <c r="VGG117" s="950"/>
      <c r="VGH117" s="950"/>
      <c r="VGI117" s="950"/>
      <c r="VGJ117" s="950"/>
      <c r="VGK117" s="950"/>
      <c r="VGL117" s="950"/>
      <c r="VGM117" s="950"/>
      <c r="VGN117" s="950"/>
      <c r="VGO117" s="950"/>
      <c r="VGP117" s="950"/>
      <c r="VGQ117" s="950"/>
      <c r="VGR117" s="950"/>
      <c r="VGS117" s="950"/>
      <c r="VGT117" s="950"/>
      <c r="VGU117" s="950"/>
      <c r="VGV117" s="950"/>
      <c r="VGW117" s="950"/>
      <c r="VGX117" s="950"/>
      <c r="VGY117" s="950"/>
      <c r="VGZ117" s="950"/>
      <c r="VHA117" s="950"/>
      <c r="VHB117" s="950"/>
      <c r="VHC117" s="950"/>
      <c r="VHD117" s="950"/>
      <c r="VHE117" s="950"/>
      <c r="VHF117" s="950"/>
      <c r="VHG117" s="950"/>
      <c r="VHH117" s="950"/>
      <c r="VHI117" s="950"/>
      <c r="VHJ117" s="950"/>
      <c r="VHK117" s="950"/>
      <c r="VHL117" s="950"/>
      <c r="VHM117" s="950"/>
      <c r="VHN117" s="950"/>
      <c r="VHO117" s="950"/>
      <c r="VHP117" s="950"/>
      <c r="VHQ117" s="950"/>
      <c r="VHR117" s="950"/>
      <c r="VHS117" s="950"/>
      <c r="VHT117" s="950"/>
      <c r="VHU117" s="950"/>
      <c r="VHV117" s="950"/>
      <c r="VHW117" s="950"/>
      <c r="VHX117" s="950"/>
      <c r="VHY117" s="950"/>
      <c r="VHZ117" s="950"/>
      <c r="VIA117" s="950"/>
      <c r="VIB117" s="950"/>
      <c r="VIC117" s="950"/>
      <c r="VID117" s="950"/>
      <c r="VIE117" s="950"/>
      <c r="VIF117" s="950"/>
      <c r="VIG117" s="950"/>
      <c r="VIH117" s="950"/>
      <c r="VII117" s="950"/>
      <c r="VIJ117" s="950"/>
      <c r="VIK117" s="950"/>
      <c r="VIL117" s="950"/>
      <c r="VIM117" s="950"/>
      <c r="VIN117" s="950"/>
      <c r="VIO117" s="950"/>
      <c r="VIP117" s="950"/>
      <c r="VIQ117" s="950"/>
      <c r="VIR117" s="950"/>
      <c r="VIS117" s="950"/>
      <c r="VIT117" s="950"/>
      <c r="VIU117" s="950"/>
      <c r="VIV117" s="950"/>
      <c r="VIW117" s="950"/>
      <c r="VIX117" s="950"/>
      <c r="VIY117" s="950"/>
      <c r="VIZ117" s="950"/>
      <c r="VJA117" s="950"/>
      <c r="VJB117" s="950"/>
      <c r="VJC117" s="950"/>
      <c r="VJD117" s="950"/>
      <c r="VJE117" s="950"/>
      <c r="VJF117" s="950"/>
      <c r="VJG117" s="950"/>
      <c r="VJH117" s="950"/>
      <c r="VJI117" s="950"/>
      <c r="VJJ117" s="950"/>
      <c r="VJK117" s="950"/>
      <c r="VJL117" s="950"/>
      <c r="VJM117" s="950"/>
      <c r="VJN117" s="950"/>
      <c r="VJO117" s="950"/>
      <c r="VJP117" s="950"/>
      <c r="VJQ117" s="950"/>
      <c r="VJR117" s="950"/>
      <c r="VJS117" s="950"/>
      <c r="VJT117" s="950"/>
      <c r="VJU117" s="950"/>
      <c r="VJV117" s="950"/>
      <c r="VJW117" s="950"/>
      <c r="VJX117" s="950"/>
      <c r="VJY117" s="950"/>
      <c r="VJZ117" s="950"/>
      <c r="VKA117" s="950"/>
      <c r="VKB117" s="950"/>
      <c r="VKC117" s="950"/>
      <c r="VKD117" s="950"/>
      <c r="VKE117" s="950"/>
      <c r="VKF117" s="950"/>
      <c r="VKG117" s="950"/>
      <c r="VKH117" s="950"/>
      <c r="VKI117" s="950"/>
      <c r="VKJ117" s="950"/>
      <c r="VKK117" s="950"/>
      <c r="VKL117" s="950"/>
      <c r="VKM117" s="950"/>
      <c r="VKN117" s="950"/>
      <c r="VKO117" s="950"/>
      <c r="VKP117" s="950"/>
      <c r="VKQ117" s="950"/>
      <c r="VKR117" s="950"/>
      <c r="VKS117" s="950"/>
      <c r="VKT117" s="950"/>
      <c r="VKU117" s="950"/>
      <c r="VKV117" s="950"/>
      <c r="VKW117" s="950"/>
      <c r="VKX117" s="950"/>
      <c r="VKY117" s="950"/>
      <c r="VKZ117" s="950"/>
      <c r="VLA117" s="950"/>
      <c r="VLB117" s="950"/>
      <c r="VLC117" s="950"/>
      <c r="VLD117" s="950"/>
      <c r="VLE117" s="950"/>
      <c r="VLF117" s="950"/>
      <c r="VLG117" s="950"/>
      <c r="VLH117" s="950"/>
      <c r="VLI117" s="950"/>
      <c r="VLJ117" s="950"/>
      <c r="VLK117" s="950"/>
      <c r="VLL117" s="950"/>
      <c r="VLM117" s="950"/>
      <c r="VLN117" s="950"/>
      <c r="VLO117" s="950"/>
      <c r="VLP117" s="950"/>
      <c r="VLQ117" s="950"/>
      <c r="VLR117" s="950"/>
      <c r="VLS117" s="950"/>
      <c r="VLT117" s="950"/>
      <c r="VLU117" s="950"/>
      <c r="VLV117" s="950"/>
      <c r="VLW117" s="950"/>
      <c r="VLX117" s="950"/>
      <c r="VLY117" s="950"/>
      <c r="VLZ117" s="950"/>
      <c r="VMA117" s="950"/>
      <c r="VMB117" s="950"/>
      <c r="VMC117" s="950"/>
      <c r="VMD117" s="950"/>
      <c r="VME117" s="950"/>
      <c r="VMF117" s="950"/>
      <c r="VMG117" s="950"/>
      <c r="VMH117" s="950"/>
      <c r="VMI117" s="950"/>
      <c r="VMJ117" s="950"/>
      <c r="VMK117" s="950"/>
      <c r="VML117" s="950"/>
      <c r="VMM117" s="950"/>
      <c r="VMN117" s="950"/>
      <c r="VMO117" s="950"/>
      <c r="VMP117" s="950"/>
      <c r="VMQ117" s="950"/>
      <c r="VMR117" s="950"/>
      <c r="VMS117" s="950"/>
      <c r="VMT117" s="950"/>
      <c r="VMU117" s="950"/>
      <c r="VMV117" s="950"/>
      <c r="VMW117" s="950"/>
      <c r="VMX117" s="950"/>
      <c r="VMY117" s="950"/>
      <c r="VMZ117" s="950"/>
      <c r="VNA117" s="950"/>
      <c r="VNB117" s="950"/>
      <c r="VNC117" s="950"/>
      <c r="VND117" s="950"/>
      <c r="VNE117" s="950"/>
      <c r="VNF117" s="950"/>
      <c r="VNG117" s="950"/>
      <c r="VNH117" s="950"/>
      <c r="VNI117" s="950"/>
      <c r="VNJ117" s="950"/>
      <c r="VNK117" s="950"/>
      <c r="VNL117" s="950"/>
      <c r="VNM117" s="950"/>
      <c r="VNN117" s="950"/>
      <c r="VNO117" s="950"/>
      <c r="VNP117" s="950"/>
      <c r="VNQ117" s="950"/>
      <c r="VNR117" s="950"/>
      <c r="VNS117" s="950"/>
      <c r="VNT117" s="950"/>
      <c r="VNU117" s="950"/>
      <c r="VNV117" s="950"/>
      <c r="VNW117" s="950"/>
      <c r="VNX117" s="950"/>
      <c r="VNY117" s="950"/>
      <c r="VNZ117" s="950"/>
      <c r="VOA117" s="950"/>
      <c r="VOB117" s="950"/>
      <c r="VOC117" s="950"/>
      <c r="VOD117" s="950"/>
      <c r="VOE117" s="950"/>
      <c r="VOF117" s="950"/>
      <c r="VOG117" s="950"/>
      <c r="VOH117" s="950"/>
      <c r="VOI117" s="950"/>
      <c r="VOJ117" s="950"/>
      <c r="VOK117" s="950"/>
      <c r="VOL117" s="950"/>
      <c r="VOM117" s="950"/>
      <c r="VON117" s="950"/>
      <c r="VOO117" s="950"/>
      <c r="VOP117" s="950"/>
      <c r="VOQ117" s="950"/>
      <c r="VOR117" s="950"/>
      <c r="VOS117" s="950"/>
      <c r="VOT117" s="950"/>
      <c r="VOU117" s="950"/>
      <c r="VOV117" s="950"/>
      <c r="VOW117" s="950"/>
      <c r="VOX117" s="950"/>
      <c r="VOY117" s="950"/>
      <c r="VOZ117" s="950"/>
      <c r="VPA117" s="950"/>
      <c r="VPB117" s="950"/>
      <c r="VPC117" s="950"/>
      <c r="VPD117" s="950"/>
      <c r="VPE117" s="950"/>
      <c r="VPF117" s="950"/>
      <c r="VPG117" s="950"/>
      <c r="VPH117" s="950"/>
      <c r="VPI117" s="950"/>
      <c r="VPJ117" s="950"/>
      <c r="VPK117" s="950"/>
      <c r="VPL117" s="950"/>
      <c r="VPM117" s="950"/>
      <c r="VPN117" s="950"/>
      <c r="VPO117" s="950"/>
      <c r="VPP117" s="950"/>
      <c r="VPQ117" s="950"/>
      <c r="VPR117" s="950"/>
      <c r="VPS117" s="950"/>
      <c r="VPT117" s="950"/>
      <c r="VPU117" s="950"/>
      <c r="VPV117" s="950"/>
      <c r="VPW117" s="950"/>
      <c r="VPX117" s="950"/>
      <c r="VPY117" s="950"/>
      <c r="VPZ117" s="950"/>
      <c r="VQA117" s="950"/>
      <c r="VQB117" s="950"/>
      <c r="VQC117" s="950"/>
      <c r="VQD117" s="950"/>
      <c r="VQE117" s="950"/>
      <c r="VQF117" s="950"/>
      <c r="VQG117" s="950"/>
      <c r="VQH117" s="950"/>
      <c r="VQI117" s="950"/>
      <c r="VQJ117" s="950"/>
      <c r="VQK117" s="950"/>
      <c r="VQL117" s="950"/>
      <c r="VQM117" s="950"/>
      <c r="VQN117" s="950"/>
      <c r="VQO117" s="950"/>
      <c r="VQP117" s="950"/>
      <c r="VQQ117" s="950"/>
      <c r="VQR117" s="950"/>
      <c r="VQS117" s="950"/>
      <c r="VQT117" s="950"/>
      <c r="VQU117" s="950"/>
      <c r="VQV117" s="950"/>
      <c r="VQW117" s="950"/>
      <c r="VQX117" s="950"/>
      <c r="VQY117" s="950"/>
      <c r="VQZ117" s="950"/>
      <c r="VRA117" s="950"/>
      <c r="VRB117" s="950"/>
      <c r="VRC117" s="950"/>
      <c r="VRD117" s="950"/>
      <c r="VRE117" s="950"/>
      <c r="VRF117" s="950"/>
      <c r="VRG117" s="950"/>
      <c r="VRH117" s="950"/>
      <c r="VRI117" s="950"/>
      <c r="VRJ117" s="950"/>
      <c r="VRK117" s="950"/>
      <c r="VRL117" s="950"/>
      <c r="VRM117" s="950"/>
      <c r="VRN117" s="950"/>
      <c r="VRO117" s="950"/>
      <c r="VRP117" s="950"/>
      <c r="VRQ117" s="950"/>
      <c r="VRR117" s="950"/>
      <c r="VRS117" s="950"/>
      <c r="VRT117" s="950"/>
      <c r="VRU117" s="950"/>
      <c r="VRV117" s="950"/>
      <c r="VRW117" s="950"/>
      <c r="VRX117" s="950"/>
      <c r="VRY117" s="950"/>
      <c r="VRZ117" s="950"/>
      <c r="VSA117" s="950"/>
      <c r="VSB117" s="950"/>
      <c r="VSC117" s="950"/>
      <c r="VSD117" s="950"/>
      <c r="VSE117" s="950"/>
      <c r="VSF117" s="950"/>
      <c r="VSG117" s="950"/>
      <c r="VSH117" s="950"/>
      <c r="VSI117" s="950"/>
      <c r="VSJ117" s="950"/>
      <c r="VSK117" s="950"/>
      <c r="VSL117" s="950"/>
      <c r="VSM117" s="950"/>
      <c r="VSN117" s="950"/>
      <c r="VSO117" s="950"/>
      <c r="VSP117" s="950"/>
      <c r="VSQ117" s="950"/>
      <c r="VSR117" s="950"/>
      <c r="VSS117" s="950"/>
      <c r="VST117" s="950"/>
      <c r="VSU117" s="950"/>
      <c r="VSV117" s="950"/>
      <c r="VSW117" s="950"/>
      <c r="VSX117" s="950"/>
      <c r="VSY117" s="950"/>
      <c r="VSZ117" s="950"/>
      <c r="VTA117" s="950"/>
      <c r="VTB117" s="950"/>
      <c r="VTC117" s="950"/>
      <c r="VTD117" s="950"/>
      <c r="VTE117" s="950"/>
      <c r="VTF117" s="950"/>
      <c r="VTG117" s="950"/>
      <c r="VTH117" s="950"/>
      <c r="VTI117" s="950"/>
      <c r="VTJ117" s="950"/>
      <c r="VTK117" s="950"/>
      <c r="VTL117" s="950"/>
      <c r="VTM117" s="950"/>
      <c r="VTN117" s="950"/>
      <c r="VTO117" s="950"/>
      <c r="VTP117" s="950"/>
      <c r="VTQ117" s="950"/>
      <c r="VTR117" s="950"/>
      <c r="VTS117" s="950"/>
      <c r="VTT117" s="950"/>
      <c r="VTU117" s="950"/>
      <c r="VTV117" s="950"/>
      <c r="VTW117" s="950"/>
      <c r="VTX117" s="950"/>
      <c r="VTY117" s="950"/>
      <c r="VTZ117" s="950"/>
      <c r="VUA117" s="950"/>
      <c r="VUB117" s="950"/>
      <c r="VUC117" s="950"/>
      <c r="VUD117" s="950"/>
      <c r="VUE117" s="950"/>
      <c r="VUF117" s="950"/>
      <c r="VUG117" s="950"/>
      <c r="VUH117" s="950"/>
      <c r="VUI117" s="950"/>
      <c r="VUJ117" s="950"/>
      <c r="VUK117" s="950"/>
      <c r="VUL117" s="950"/>
      <c r="VUM117" s="950"/>
      <c r="VUN117" s="950"/>
      <c r="VUO117" s="950"/>
      <c r="VUP117" s="950"/>
      <c r="VUQ117" s="950"/>
      <c r="VUR117" s="950"/>
      <c r="VUS117" s="950"/>
      <c r="VUT117" s="950"/>
      <c r="VUU117" s="950"/>
      <c r="VUV117" s="950"/>
      <c r="VUW117" s="950"/>
      <c r="VUX117" s="950"/>
      <c r="VUY117" s="950"/>
      <c r="VUZ117" s="950"/>
      <c r="VVA117" s="950"/>
      <c r="VVB117" s="950"/>
      <c r="VVC117" s="950"/>
      <c r="VVD117" s="950"/>
      <c r="VVE117" s="950"/>
      <c r="VVF117" s="950"/>
      <c r="VVG117" s="950"/>
      <c r="VVH117" s="950"/>
      <c r="VVI117" s="950"/>
      <c r="VVJ117" s="950"/>
      <c r="VVK117" s="950"/>
      <c r="VVL117" s="950"/>
      <c r="VVM117" s="950"/>
      <c r="VVN117" s="950"/>
      <c r="VVO117" s="950"/>
      <c r="VVP117" s="950"/>
      <c r="VVQ117" s="950"/>
      <c r="VVR117" s="950"/>
      <c r="VVS117" s="950"/>
      <c r="VVT117" s="950"/>
      <c r="VVU117" s="950"/>
      <c r="VVV117" s="950"/>
      <c r="VVW117" s="950"/>
      <c r="VVX117" s="950"/>
      <c r="VVY117" s="950"/>
      <c r="VVZ117" s="950"/>
      <c r="VWA117" s="950"/>
      <c r="VWB117" s="950"/>
      <c r="VWC117" s="950"/>
      <c r="VWD117" s="950"/>
      <c r="VWE117" s="950"/>
      <c r="VWF117" s="950"/>
      <c r="VWG117" s="950"/>
      <c r="VWH117" s="950"/>
      <c r="VWI117" s="950"/>
      <c r="VWJ117" s="950"/>
      <c r="VWK117" s="950"/>
      <c r="VWL117" s="950"/>
      <c r="VWM117" s="950"/>
      <c r="VWN117" s="950"/>
      <c r="VWO117" s="950"/>
      <c r="VWP117" s="950"/>
      <c r="VWQ117" s="950"/>
      <c r="VWR117" s="950"/>
      <c r="VWS117" s="950"/>
      <c r="VWT117" s="950"/>
      <c r="VWU117" s="950"/>
      <c r="VWV117" s="950"/>
      <c r="VWW117" s="950"/>
      <c r="VWX117" s="950"/>
      <c r="VWY117" s="950"/>
      <c r="VWZ117" s="950"/>
      <c r="VXA117" s="950"/>
      <c r="VXB117" s="950"/>
      <c r="VXC117" s="950"/>
      <c r="VXD117" s="950"/>
      <c r="VXE117" s="950"/>
      <c r="VXF117" s="950"/>
      <c r="VXG117" s="950"/>
      <c r="VXH117" s="950"/>
      <c r="VXI117" s="950"/>
      <c r="VXJ117" s="950"/>
      <c r="VXK117" s="950"/>
      <c r="VXL117" s="950"/>
      <c r="VXM117" s="950"/>
      <c r="VXN117" s="950"/>
      <c r="VXO117" s="950"/>
      <c r="VXP117" s="950"/>
      <c r="VXQ117" s="950"/>
      <c r="VXR117" s="950"/>
      <c r="VXS117" s="950"/>
      <c r="VXT117" s="950"/>
      <c r="VXU117" s="950"/>
      <c r="VXV117" s="950"/>
      <c r="VXW117" s="950"/>
      <c r="VXX117" s="950"/>
      <c r="VXY117" s="950"/>
      <c r="VXZ117" s="950"/>
      <c r="VYA117" s="950"/>
      <c r="VYB117" s="950"/>
      <c r="VYC117" s="950"/>
      <c r="VYD117" s="950"/>
      <c r="VYE117" s="950"/>
      <c r="VYF117" s="950"/>
      <c r="VYG117" s="950"/>
      <c r="VYH117" s="950"/>
      <c r="VYI117" s="950"/>
      <c r="VYJ117" s="950"/>
      <c r="VYK117" s="950"/>
      <c r="VYL117" s="950"/>
      <c r="VYM117" s="950"/>
      <c r="VYN117" s="950"/>
      <c r="VYO117" s="950"/>
      <c r="VYP117" s="950"/>
      <c r="VYQ117" s="950"/>
      <c r="VYR117" s="950"/>
      <c r="VYS117" s="950"/>
      <c r="VYT117" s="950"/>
      <c r="VYU117" s="950"/>
      <c r="VYV117" s="950"/>
      <c r="VYW117" s="950"/>
      <c r="VYX117" s="950"/>
      <c r="VYY117" s="950"/>
      <c r="VYZ117" s="950"/>
      <c r="VZA117" s="950"/>
      <c r="VZB117" s="950"/>
      <c r="VZC117" s="950"/>
      <c r="VZD117" s="950"/>
      <c r="VZE117" s="950"/>
      <c r="VZF117" s="950"/>
      <c r="VZG117" s="950"/>
      <c r="VZH117" s="950"/>
      <c r="VZI117" s="950"/>
      <c r="VZJ117" s="950"/>
      <c r="VZK117" s="950"/>
      <c r="VZL117" s="950"/>
      <c r="VZM117" s="950"/>
      <c r="VZN117" s="950"/>
      <c r="VZO117" s="950"/>
      <c r="VZP117" s="950"/>
      <c r="VZQ117" s="950"/>
      <c r="VZR117" s="950"/>
      <c r="VZS117" s="950"/>
      <c r="VZT117" s="950"/>
      <c r="VZU117" s="950"/>
      <c r="VZV117" s="950"/>
      <c r="VZW117" s="950"/>
      <c r="VZX117" s="950"/>
      <c r="VZY117" s="950"/>
      <c r="VZZ117" s="950"/>
      <c r="WAA117" s="950"/>
      <c r="WAB117" s="950"/>
      <c r="WAC117" s="950"/>
      <c r="WAD117" s="950"/>
      <c r="WAE117" s="950"/>
      <c r="WAF117" s="950"/>
      <c r="WAG117" s="950"/>
      <c r="WAH117" s="950"/>
      <c r="WAI117" s="950"/>
      <c r="WAJ117" s="950"/>
      <c r="WAK117" s="950"/>
      <c r="WAL117" s="950"/>
      <c r="WAM117" s="950"/>
      <c r="WAN117" s="950"/>
      <c r="WAO117" s="950"/>
      <c r="WAP117" s="950"/>
      <c r="WAQ117" s="950"/>
      <c r="WAR117" s="950"/>
      <c r="WAS117" s="950"/>
      <c r="WAT117" s="950"/>
      <c r="WAU117" s="950"/>
      <c r="WAV117" s="950"/>
      <c r="WAW117" s="950"/>
      <c r="WAX117" s="950"/>
      <c r="WAY117" s="950"/>
      <c r="WAZ117" s="950"/>
      <c r="WBA117" s="950"/>
      <c r="WBB117" s="950"/>
      <c r="WBC117" s="950"/>
      <c r="WBD117" s="950"/>
      <c r="WBE117" s="950"/>
      <c r="WBF117" s="950"/>
      <c r="WBG117" s="950"/>
      <c r="WBH117" s="950"/>
      <c r="WBI117" s="950"/>
      <c r="WBJ117" s="950"/>
      <c r="WBK117" s="950"/>
      <c r="WBL117" s="950"/>
      <c r="WBM117" s="950"/>
      <c r="WBN117" s="950"/>
      <c r="WBO117" s="950"/>
      <c r="WBP117" s="950"/>
      <c r="WBQ117" s="950"/>
      <c r="WBR117" s="950"/>
      <c r="WBS117" s="950"/>
      <c r="WBT117" s="950"/>
      <c r="WBU117" s="950"/>
      <c r="WBV117" s="950"/>
      <c r="WBW117" s="950"/>
      <c r="WBX117" s="950"/>
      <c r="WBY117" s="950"/>
      <c r="WBZ117" s="950"/>
      <c r="WCA117" s="950"/>
      <c r="WCB117" s="950"/>
      <c r="WCC117" s="950"/>
      <c r="WCD117" s="950"/>
      <c r="WCE117" s="950"/>
      <c r="WCF117" s="950"/>
      <c r="WCG117" s="950"/>
      <c r="WCH117" s="950"/>
      <c r="WCI117" s="950"/>
      <c r="WCJ117" s="950"/>
      <c r="WCK117" s="950"/>
      <c r="WCL117" s="950"/>
      <c r="WCM117" s="950"/>
      <c r="WCN117" s="950"/>
      <c r="WCO117" s="950"/>
      <c r="WCP117" s="950"/>
      <c r="WCQ117" s="950"/>
      <c r="WCR117" s="950"/>
      <c r="WCS117" s="950"/>
      <c r="WCT117" s="950"/>
      <c r="WCU117" s="950"/>
      <c r="WCV117" s="950"/>
      <c r="WCW117" s="950"/>
      <c r="WCX117" s="950"/>
      <c r="WCY117" s="950"/>
      <c r="WCZ117" s="950"/>
      <c r="WDA117" s="950"/>
      <c r="WDB117" s="950"/>
      <c r="WDC117" s="950"/>
      <c r="WDD117" s="950"/>
      <c r="WDE117" s="950"/>
      <c r="WDF117" s="950"/>
      <c r="WDG117" s="950"/>
      <c r="WDH117" s="950"/>
      <c r="WDI117" s="950"/>
      <c r="WDJ117" s="950"/>
      <c r="WDK117" s="950"/>
      <c r="WDL117" s="950"/>
      <c r="WDM117" s="950"/>
      <c r="WDN117" s="950"/>
      <c r="WDO117" s="950"/>
      <c r="WDP117" s="950"/>
      <c r="WDQ117" s="950"/>
      <c r="WDR117" s="950"/>
      <c r="WDS117" s="950"/>
      <c r="WDT117" s="950"/>
      <c r="WDU117" s="950"/>
      <c r="WDV117" s="950"/>
      <c r="WDW117" s="950"/>
      <c r="WDX117" s="950"/>
      <c r="WDY117" s="950"/>
      <c r="WDZ117" s="950"/>
      <c r="WEA117" s="950"/>
      <c r="WEB117" s="950"/>
      <c r="WEC117" s="950"/>
      <c r="WED117" s="950"/>
      <c r="WEE117" s="950"/>
      <c r="WEF117" s="950"/>
      <c r="WEG117" s="950"/>
      <c r="WEH117" s="950"/>
      <c r="WEI117" s="950"/>
      <c r="WEJ117" s="950"/>
      <c r="WEK117" s="950"/>
      <c r="WEL117" s="950"/>
      <c r="WEM117" s="950"/>
      <c r="WEN117" s="950"/>
      <c r="WEO117" s="950"/>
      <c r="WEP117" s="950"/>
      <c r="WEQ117" s="950"/>
      <c r="WER117" s="950"/>
      <c r="WES117" s="950"/>
      <c r="WET117" s="950"/>
      <c r="WEU117" s="950"/>
      <c r="WEV117" s="950"/>
      <c r="WEW117" s="950"/>
      <c r="WEX117" s="950"/>
      <c r="WEY117" s="950"/>
      <c r="WEZ117" s="950"/>
      <c r="WFA117" s="950"/>
      <c r="WFB117" s="950"/>
      <c r="WFC117" s="950"/>
      <c r="WFD117" s="950"/>
      <c r="WFE117" s="950"/>
      <c r="WFF117" s="950"/>
      <c r="WFG117" s="950"/>
      <c r="WFH117" s="950"/>
      <c r="WFI117" s="950"/>
      <c r="WFJ117" s="950"/>
      <c r="WFK117" s="950"/>
      <c r="WFL117" s="950"/>
      <c r="WFM117" s="950"/>
      <c r="WFN117" s="950"/>
      <c r="WFO117" s="950"/>
      <c r="WFP117" s="950"/>
      <c r="WFQ117" s="950"/>
      <c r="WFR117" s="950"/>
      <c r="WFS117" s="950"/>
      <c r="WFT117" s="950"/>
      <c r="WFU117" s="950"/>
      <c r="WFV117" s="950"/>
      <c r="WFW117" s="950"/>
      <c r="WFX117" s="950"/>
      <c r="WFY117" s="950"/>
      <c r="WFZ117" s="950"/>
      <c r="WGA117" s="950"/>
      <c r="WGB117" s="950"/>
      <c r="WGC117" s="950"/>
      <c r="WGD117" s="950"/>
      <c r="WGE117" s="950"/>
      <c r="WGF117" s="950"/>
      <c r="WGG117" s="950"/>
      <c r="WGH117" s="950"/>
      <c r="WGI117" s="950"/>
      <c r="WGJ117" s="950"/>
      <c r="WGK117" s="950"/>
      <c r="WGL117" s="950"/>
      <c r="WGM117" s="950"/>
      <c r="WGN117" s="950"/>
      <c r="WGO117" s="950"/>
      <c r="WGP117" s="950"/>
      <c r="WGQ117" s="950"/>
      <c r="WGR117" s="950"/>
      <c r="WGS117" s="950"/>
      <c r="WGT117" s="950"/>
      <c r="WGU117" s="950"/>
      <c r="WGV117" s="950"/>
      <c r="WGW117" s="950"/>
      <c r="WGX117" s="950"/>
      <c r="WGY117" s="950"/>
      <c r="WGZ117" s="950"/>
      <c r="WHA117" s="950"/>
      <c r="WHB117" s="950"/>
      <c r="WHC117" s="950"/>
      <c r="WHD117" s="950"/>
      <c r="WHE117" s="950"/>
      <c r="WHF117" s="950"/>
      <c r="WHG117" s="950"/>
      <c r="WHH117" s="950"/>
      <c r="WHI117" s="950"/>
      <c r="WHJ117" s="950"/>
      <c r="WHK117" s="950"/>
      <c r="WHL117" s="950"/>
      <c r="WHM117" s="950"/>
      <c r="WHN117" s="950"/>
      <c r="WHO117" s="950"/>
      <c r="WHP117" s="950"/>
      <c r="WHQ117" s="950"/>
      <c r="WHR117" s="950"/>
      <c r="WHS117" s="950"/>
      <c r="WHT117" s="950"/>
      <c r="WHU117" s="950"/>
      <c r="WHV117" s="950"/>
      <c r="WHW117" s="950"/>
      <c r="WHX117" s="950"/>
      <c r="WHY117" s="950"/>
      <c r="WHZ117" s="950"/>
      <c r="WIA117" s="950"/>
      <c r="WIB117" s="950"/>
      <c r="WIC117" s="950"/>
      <c r="WID117" s="950"/>
      <c r="WIE117" s="950"/>
      <c r="WIF117" s="950"/>
      <c r="WIG117" s="950"/>
      <c r="WIH117" s="950"/>
      <c r="WII117" s="950"/>
      <c r="WIJ117" s="950"/>
      <c r="WIK117" s="950"/>
      <c r="WIL117" s="950"/>
      <c r="WIM117" s="950"/>
      <c r="WIN117" s="950"/>
      <c r="WIO117" s="950"/>
      <c r="WIP117" s="950"/>
      <c r="WIQ117" s="950"/>
      <c r="WIR117" s="950"/>
      <c r="WIS117" s="950"/>
      <c r="WIT117" s="950"/>
      <c r="WIU117" s="950"/>
      <c r="WIV117" s="950"/>
      <c r="WIW117" s="950"/>
      <c r="WIX117" s="950"/>
      <c r="WIY117" s="950"/>
      <c r="WIZ117" s="950"/>
      <c r="WJA117" s="950"/>
      <c r="WJB117" s="950"/>
      <c r="WJC117" s="950"/>
      <c r="WJD117" s="950"/>
      <c r="WJE117" s="950"/>
      <c r="WJF117" s="950"/>
      <c r="WJG117" s="950"/>
      <c r="WJH117" s="950"/>
      <c r="WJI117" s="950"/>
      <c r="WJJ117" s="950"/>
      <c r="WJK117" s="950"/>
      <c r="WJL117" s="950"/>
      <c r="WJM117" s="950"/>
      <c r="WJN117" s="950"/>
      <c r="WJO117" s="950"/>
      <c r="WJP117" s="950"/>
      <c r="WJQ117" s="950"/>
      <c r="WJR117" s="950"/>
      <c r="WJS117" s="950"/>
      <c r="WJT117" s="950"/>
      <c r="WJU117" s="950"/>
      <c r="WJV117" s="950"/>
      <c r="WJW117" s="950"/>
      <c r="WJX117" s="950"/>
      <c r="WJY117" s="950"/>
      <c r="WJZ117" s="950"/>
      <c r="WKA117" s="950"/>
      <c r="WKB117" s="950"/>
      <c r="WKC117" s="950"/>
      <c r="WKD117" s="950"/>
      <c r="WKE117" s="950"/>
      <c r="WKF117" s="950"/>
      <c r="WKG117" s="950"/>
      <c r="WKH117" s="950"/>
      <c r="WKI117" s="950"/>
      <c r="WKJ117" s="950"/>
      <c r="WKK117" s="950"/>
      <c r="WKL117" s="950"/>
      <c r="WKM117" s="950"/>
      <c r="WKN117" s="950"/>
      <c r="WKO117" s="950"/>
      <c r="WKP117" s="950"/>
      <c r="WKQ117" s="950"/>
      <c r="WKR117" s="950"/>
      <c r="WKS117" s="950"/>
      <c r="WKT117" s="950"/>
      <c r="WKU117" s="950"/>
      <c r="WKV117" s="950"/>
      <c r="WKW117" s="950"/>
      <c r="WKX117" s="950"/>
      <c r="WKY117" s="950"/>
      <c r="WKZ117" s="950"/>
      <c r="WLA117" s="950"/>
      <c r="WLB117" s="950"/>
      <c r="WLC117" s="950"/>
      <c r="WLD117" s="950"/>
      <c r="WLE117" s="950"/>
      <c r="WLF117" s="950"/>
      <c r="WLG117" s="950"/>
      <c r="WLH117" s="950"/>
      <c r="WLI117" s="950"/>
      <c r="WLJ117" s="950"/>
      <c r="WLK117" s="950"/>
      <c r="WLL117" s="950"/>
      <c r="WLM117" s="950"/>
      <c r="WLN117" s="950"/>
      <c r="WLO117" s="950"/>
      <c r="WLP117" s="950"/>
      <c r="WLQ117" s="950"/>
      <c r="WLR117" s="950"/>
      <c r="WLS117" s="950"/>
      <c r="WLT117" s="950"/>
      <c r="WLU117" s="950"/>
      <c r="WLV117" s="950"/>
      <c r="WLW117" s="950"/>
      <c r="WLX117" s="950"/>
      <c r="WLY117" s="950"/>
      <c r="WLZ117" s="950"/>
      <c r="WMA117" s="950"/>
      <c r="WMB117" s="950"/>
      <c r="WMC117" s="950"/>
      <c r="WMD117" s="950"/>
      <c r="WME117" s="950"/>
      <c r="WMF117" s="950"/>
      <c r="WMG117" s="950"/>
      <c r="WMH117" s="950"/>
      <c r="WMI117" s="950"/>
      <c r="WMJ117" s="950"/>
      <c r="WMK117" s="950"/>
      <c r="WML117" s="950"/>
      <c r="WMM117" s="950"/>
      <c r="WMN117" s="950"/>
      <c r="WMO117" s="950"/>
      <c r="WMP117" s="950"/>
      <c r="WMQ117" s="950"/>
      <c r="WMR117" s="950"/>
      <c r="WMS117" s="950"/>
      <c r="WMT117" s="950"/>
      <c r="WMU117" s="950"/>
      <c r="WMV117" s="950"/>
      <c r="WMW117" s="950"/>
      <c r="WMX117" s="950"/>
      <c r="WMY117" s="950"/>
      <c r="WMZ117" s="950"/>
      <c r="WNA117" s="950"/>
      <c r="WNB117" s="950"/>
      <c r="WNC117" s="950"/>
      <c r="WND117" s="950"/>
      <c r="WNE117" s="950"/>
      <c r="WNF117" s="950"/>
      <c r="WNG117" s="950"/>
      <c r="WNH117" s="950"/>
      <c r="WNI117" s="950"/>
      <c r="WNJ117" s="950"/>
      <c r="WNK117" s="950"/>
      <c r="WNL117" s="950"/>
      <c r="WNM117" s="950"/>
      <c r="WNN117" s="950"/>
      <c r="WNO117" s="950"/>
      <c r="WNP117" s="950"/>
      <c r="WNQ117" s="950"/>
      <c r="WNR117" s="950"/>
      <c r="WNS117" s="950"/>
      <c r="WNT117" s="950"/>
      <c r="WNU117" s="950"/>
      <c r="WNV117" s="950"/>
      <c r="WNW117" s="950"/>
      <c r="WNX117" s="950"/>
      <c r="WNY117" s="950"/>
      <c r="WNZ117" s="950"/>
      <c r="WOA117" s="950"/>
      <c r="WOB117" s="950"/>
      <c r="WOC117" s="950"/>
      <c r="WOD117" s="950"/>
      <c r="WOE117" s="950"/>
      <c r="WOF117" s="950"/>
      <c r="WOG117" s="950"/>
      <c r="WOH117" s="950"/>
      <c r="WOI117" s="950"/>
      <c r="WOJ117" s="950"/>
      <c r="WOK117" s="950"/>
      <c r="WOL117" s="950"/>
      <c r="WOM117" s="950"/>
      <c r="WON117" s="950"/>
      <c r="WOO117" s="950"/>
      <c r="WOP117" s="950"/>
      <c r="WOQ117" s="950"/>
      <c r="WOR117" s="950"/>
      <c r="WOS117" s="950"/>
      <c r="WOT117" s="950"/>
      <c r="WOU117" s="950"/>
      <c r="WOV117" s="950"/>
      <c r="WOW117" s="950"/>
      <c r="WOX117" s="950"/>
      <c r="WOY117" s="950"/>
      <c r="WOZ117" s="950"/>
      <c r="WPA117" s="950"/>
      <c r="WPB117" s="950"/>
      <c r="WPC117" s="950"/>
      <c r="WPD117" s="950"/>
      <c r="WPE117" s="950"/>
      <c r="WPF117" s="950"/>
      <c r="WPG117" s="950"/>
      <c r="WPH117" s="950"/>
      <c r="WPI117" s="950"/>
      <c r="WPJ117" s="950"/>
      <c r="WPK117" s="950"/>
      <c r="WPL117" s="950"/>
      <c r="WPM117" s="950"/>
      <c r="WPN117" s="950"/>
      <c r="WPO117" s="950"/>
      <c r="WPP117" s="950"/>
      <c r="WPQ117" s="950"/>
      <c r="WPR117" s="950"/>
      <c r="WPS117" s="950"/>
      <c r="WPT117" s="950"/>
      <c r="WPU117" s="950"/>
      <c r="WPV117" s="950"/>
      <c r="WPW117" s="950"/>
      <c r="WPX117" s="950"/>
      <c r="WPY117" s="950"/>
      <c r="WPZ117" s="950"/>
      <c r="WQA117" s="950"/>
      <c r="WQB117" s="950"/>
      <c r="WQC117" s="950"/>
      <c r="WQD117" s="950"/>
      <c r="WQE117" s="950"/>
      <c r="WQF117" s="950"/>
      <c r="WQG117" s="950"/>
      <c r="WQH117" s="950"/>
      <c r="WQI117" s="950"/>
      <c r="WQJ117" s="950"/>
      <c r="WQK117" s="950"/>
      <c r="WQL117" s="950"/>
      <c r="WQM117" s="950"/>
      <c r="WQN117" s="950"/>
      <c r="WQO117" s="950"/>
      <c r="WQP117" s="950"/>
      <c r="WQQ117" s="950"/>
      <c r="WQR117" s="950"/>
      <c r="WQS117" s="950"/>
      <c r="WQT117" s="950"/>
      <c r="WQU117" s="950"/>
      <c r="WQV117" s="950"/>
      <c r="WQW117" s="950"/>
      <c r="WQX117" s="950"/>
      <c r="WQY117" s="950"/>
      <c r="WQZ117" s="950"/>
      <c r="WRA117" s="950"/>
      <c r="WRB117" s="950"/>
      <c r="WRC117" s="950"/>
      <c r="WRD117" s="950"/>
      <c r="WRE117" s="950"/>
      <c r="WRF117" s="950"/>
      <c r="WRG117" s="950"/>
      <c r="WRH117" s="950"/>
      <c r="WRI117" s="950"/>
      <c r="WRJ117" s="950"/>
      <c r="WRK117" s="950"/>
      <c r="WRL117" s="950"/>
      <c r="WRM117" s="950"/>
      <c r="WRN117" s="950"/>
      <c r="WRO117" s="950"/>
      <c r="WRP117" s="950"/>
      <c r="WRQ117" s="950"/>
      <c r="WRR117" s="950"/>
      <c r="WRS117" s="950"/>
      <c r="WRT117" s="950"/>
      <c r="WRU117" s="950"/>
      <c r="WRV117" s="950"/>
      <c r="WRW117" s="950"/>
      <c r="WRX117" s="950"/>
      <c r="WRY117" s="950"/>
      <c r="WRZ117" s="950"/>
      <c r="WSA117" s="950"/>
      <c r="WSB117" s="950"/>
      <c r="WSC117" s="950"/>
      <c r="WSD117" s="950"/>
      <c r="WSE117" s="950"/>
      <c r="WSF117" s="950"/>
      <c r="WSG117" s="950"/>
      <c r="WSH117" s="950"/>
      <c r="WSI117" s="950"/>
      <c r="WSJ117" s="950"/>
      <c r="WSK117" s="950"/>
      <c r="WSL117" s="950"/>
      <c r="WSM117" s="950"/>
      <c r="WSN117" s="950"/>
      <c r="WSO117" s="950"/>
      <c r="WSP117" s="950"/>
      <c r="WSQ117" s="950"/>
      <c r="WSR117" s="950"/>
      <c r="WSS117" s="950"/>
      <c r="WST117" s="950"/>
      <c r="WSU117" s="950"/>
      <c r="WSV117" s="950"/>
      <c r="WSW117" s="950"/>
      <c r="WSX117" s="950"/>
      <c r="WSY117" s="950"/>
      <c r="WSZ117" s="950"/>
      <c r="WTA117" s="950"/>
      <c r="WTB117" s="950"/>
      <c r="WTC117" s="950"/>
      <c r="WTD117" s="950"/>
      <c r="WTE117" s="950"/>
      <c r="WTF117" s="950"/>
      <c r="WTG117" s="950"/>
      <c r="WTH117" s="950"/>
      <c r="WTI117" s="950"/>
      <c r="WTJ117" s="950"/>
      <c r="WTK117" s="950"/>
      <c r="WTL117" s="950"/>
      <c r="WTM117" s="950"/>
      <c r="WTN117" s="950"/>
      <c r="WTO117" s="950"/>
      <c r="WTP117" s="950"/>
      <c r="WTQ117" s="950"/>
      <c r="WTR117" s="950"/>
      <c r="WTS117" s="950"/>
      <c r="WTT117" s="950"/>
      <c r="WTU117" s="950"/>
      <c r="WTV117" s="950"/>
      <c r="WTW117" s="950"/>
      <c r="WTX117" s="950"/>
      <c r="WTY117" s="950"/>
      <c r="WTZ117" s="950"/>
      <c r="WUA117" s="950"/>
      <c r="WUB117" s="950"/>
      <c r="WUC117" s="950"/>
      <c r="WUD117" s="950"/>
      <c r="WUE117" s="950"/>
      <c r="WUF117" s="950"/>
      <c r="WUG117" s="950"/>
      <c r="WUH117" s="950"/>
      <c r="WUI117" s="950"/>
      <c r="WUJ117" s="950"/>
      <c r="WUK117" s="950"/>
      <c r="WUL117" s="950"/>
      <c r="WUM117" s="950"/>
      <c r="WUN117" s="950"/>
      <c r="WUO117" s="950"/>
      <c r="WUP117" s="950"/>
      <c r="WUQ117" s="950"/>
      <c r="WUR117" s="950"/>
      <c r="WUS117" s="950"/>
      <c r="WUT117" s="950"/>
      <c r="WUU117" s="950"/>
      <c r="WUV117" s="950"/>
      <c r="WUW117" s="950"/>
      <c r="WUX117" s="950"/>
      <c r="WUY117" s="950"/>
      <c r="WUZ117" s="950"/>
      <c r="WVA117" s="950"/>
      <c r="WVB117" s="950"/>
      <c r="WVC117" s="950"/>
      <c r="WVD117" s="950"/>
      <c r="WVE117" s="950"/>
      <c r="WVF117" s="950"/>
      <c r="WVG117" s="950"/>
      <c r="WVH117" s="950"/>
      <c r="WVI117" s="950"/>
      <c r="WVJ117" s="950"/>
      <c r="WVK117" s="950"/>
      <c r="WVL117" s="950"/>
      <c r="WVM117" s="950"/>
      <c r="WVN117" s="950"/>
      <c r="WVO117" s="950"/>
      <c r="WVP117" s="950"/>
      <c r="WVQ117" s="950"/>
      <c r="WVR117" s="950"/>
      <c r="WVS117" s="950"/>
      <c r="WVT117" s="950"/>
      <c r="WVU117" s="950"/>
      <c r="WVV117" s="950"/>
      <c r="WVW117" s="950"/>
      <c r="WVX117" s="950"/>
      <c r="WVY117" s="950"/>
      <c r="WVZ117" s="950"/>
      <c r="WWA117" s="950"/>
      <c r="WWB117" s="950"/>
      <c r="WWC117" s="950"/>
      <c r="WWD117" s="950"/>
      <c r="WWE117" s="950"/>
      <c r="WWF117" s="950"/>
      <c r="WWG117" s="950"/>
      <c r="WWH117" s="950"/>
      <c r="WWI117" s="950"/>
      <c r="WWJ117" s="950"/>
      <c r="WWK117" s="950"/>
      <c r="WWL117" s="950"/>
      <c r="WWM117" s="950"/>
      <c r="WWN117" s="950"/>
      <c r="WWO117" s="950"/>
      <c r="WWP117" s="950"/>
      <c r="WWQ117" s="950"/>
      <c r="WWR117" s="950"/>
      <c r="WWS117" s="950"/>
      <c r="WWT117" s="950"/>
      <c r="WWU117" s="950"/>
      <c r="WWV117" s="950"/>
      <c r="WWW117" s="950"/>
      <c r="WWX117" s="950"/>
      <c r="WWY117" s="950"/>
      <c r="WWZ117" s="950"/>
      <c r="WXA117" s="950"/>
      <c r="WXB117" s="950"/>
      <c r="WXC117" s="950"/>
      <c r="WXD117" s="950"/>
      <c r="WXE117" s="950"/>
      <c r="WXF117" s="950"/>
      <c r="WXG117" s="950"/>
      <c r="WXH117" s="950"/>
      <c r="WXI117" s="950"/>
      <c r="WXJ117" s="950"/>
      <c r="WXK117" s="950"/>
      <c r="WXL117" s="950"/>
      <c r="WXM117" s="950"/>
      <c r="WXN117" s="950"/>
      <c r="WXO117" s="950"/>
      <c r="WXP117" s="950"/>
      <c r="WXQ117" s="950"/>
      <c r="WXR117" s="950"/>
      <c r="WXS117" s="950"/>
      <c r="WXT117" s="950"/>
      <c r="WXU117" s="950"/>
      <c r="WXV117" s="950"/>
      <c r="WXW117" s="950"/>
      <c r="WXX117" s="950"/>
      <c r="WXY117" s="950"/>
      <c r="WXZ117" s="950"/>
      <c r="WYA117" s="950"/>
      <c r="WYB117" s="950"/>
      <c r="WYC117" s="950"/>
      <c r="WYD117" s="950"/>
      <c r="WYE117" s="950"/>
      <c r="WYF117" s="950"/>
      <c r="WYG117" s="950"/>
      <c r="WYH117" s="950"/>
      <c r="WYI117" s="950"/>
      <c r="WYJ117" s="950"/>
      <c r="WYK117" s="950"/>
      <c r="WYL117" s="950"/>
      <c r="WYM117" s="950"/>
      <c r="WYN117" s="950"/>
      <c r="WYO117" s="950"/>
      <c r="WYP117" s="950"/>
      <c r="WYQ117" s="950"/>
      <c r="WYR117" s="950"/>
      <c r="WYS117" s="950"/>
      <c r="WYT117" s="950"/>
      <c r="WYU117" s="950"/>
      <c r="WYV117" s="950"/>
      <c r="WYW117" s="950"/>
      <c r="WYX117" s="950"/>
      <c r="WYY117" s="950"/>
      <c r="WYZ117" s="950"/>
      <c r="WZA117" s="950"/>
      <c r="WZB117" s="950"/>
      <c r="WZC117" s="950"/>
      <c r="WZD117" s="950"/>
      <c r="WZE117" s="950"/>
      <c r="WZF117" s="950"/>
      <c r="WZG117" s="950"/>
      <c r="WZH117" s="950"/>
      <c r="WZI117" s="950"/>
      <c r="WZJ117" s="950"/>
      <c r="WZK117" s="950"/>
      <c r="WZL117" s="950"/>
      <c r="WZM117" s="950"/>
      <c r="WZN117" s="950"/>
      <c r="WZO117" s="950"/>
      <c r="WZP117" s="950"/>
      <c r="WZQ117" s="950"/>
      <c r="WZR117" s="950"/>
      <c r="WZS117" s="950"/>
      <c r="WZT117" s="950"/>
      <c r="WZU117" s="950"/>
      <c r="WZV117" s="950"/>
      <c r="WZW117" s="950"/>
      <c r="WZX117" s="950"/>
      <c r="WZY117" s="950"/>
      <c r="WZZ117" s="950"/>
      <c r="XAA117" s="950"/>
      <c r="XAB117" s="950"/>
      <c r="XAC117" s="950"/>
      <c r="XAD117" s="950"/>
      <c r="XAE117" s="950"/>
      <c r="XAF117" s="950"/>
      <c r="XAG117" s="950"/>
      <c r="XAH117" s="950"/>
      <c r="XAI117" s="950"/>
      <c r="XAJ117" s="950"/>
      <c r="XAK117" s="950"/>
      <c r="XAL117" s="950"/>
      <c r="XAM117" s="950"/>
      <c r="XAN117" s="950"/>
      <c r="XAO117" s="950"/>
      <c r="XAP117" s="950"/>
      <c r="XAQ117" s="950"/>
      <c r="XAR117" s="950"/>
      <c r="XAS117" s="950"/>
      <c r="XAT117" s="950"/>
      <c r="XAU117" s="950"/>
      <c r="XAV117" s="950"/>
      <c r="XAW117" s="950"/>
      <c r="XAX117" s="950"/>
      <c r="XAY117" s="950"/>
      <c r="XAZ117" s="950"/>
      <c r="XBA117" s="950"/>
      <c r="XBB117" s="950"/>
      <c r="XBC117" s="950"/>
      <c r="XBD117" s="950"/>
      <c r="XBE117" s="950"/>
      <c r="XBF117" s="950"/>
      <c r="XBG117" s="950"/>
      <c r="XBH117" s="950"/>
      <c r="XBI117" s="950"/>
      <c r="XBJ117" s="950"/>
      <c r="XBK117" s="950"/>
      <c r="XBL117" s="950"/>
      <c r="XBM117" s="950"/>
      <c r="XBN117" s="950"/>
      <c r="XBO117" s="950"/>
      <c r="XBP117" s="950"/>
      <c r="XBQ117" s="950"/>
      <c r="XBR117" s="950"/>
      <c r="XBS117" s="950"/>
      <c r="XBT117" s="950"/>
      <c r="XBU117" s="950"/>
      <c r="XBV117" s="950"/>
      <c r="XBW117" s="950"/>
      <c r="XBX117" s="950"/>
      <c r="XBY117" s="950"/>
      <c r="XBZ117" s="950"/>
      <c r="XCA117" s="950"/>
      <c r="XCB117" s="950"/>
      <c r="XCC117" s="950"/>
      <c r="XCD117" s="950"/>
      <c r="XCE117" s="950"/>
      <c r="XCF117" s="950"/>
      <c r="XCG117" s="950"/>
      <c r="XCH117" s="950"/>
      <c r="XCI117" s="950"/>
      <c r="XCJ117" s="950"/>
      <c r="XCK117" s="950"/>
      <c r="XCL117" s="950"/>
      <c r="XCM117" s="950"/>
      <c r="XCN117" s="950"/>
      <c r="XCO117" s="950"/>
      <c r="XCP117" s="950"/>
      <c r="XCQ117" s="950"/>
      <c r="XCR117" s="950"/>
      <c r="XCS117" s="950"/>
      <c r="XCT117" s="950"/>
      <c r="XCU117" s="950"/>
      <c r="XCV117" s="950"/>
      <c r="XCW117" s="950"/>
      <c r="XCX117" s="950"/>
      <c r="XCY117" s="950"/>
      <c r="XCZ117" s="950"/>
      <c r="XDA117" s="950"/>
      <c r="XDB117" s="950"/>
      <c r="XDC117" s="950"/>
      <c r="XDD117" s="950"/>
      <c r="XDE117" s="950"/>
      <c r="XDF117" s="950"/>
      <c r="XDG117" s="950"/>
      <c r="XDH117" s="950"/>
      <c r="XDI117" s="950"/>
      <c r="XDJ117" s="950"/>
      <c r="XDK117" s="950"/>
      <c r="XDL117" s="950"/>
      <c r="XDM117" s="950"/>
      <c r="XDN117" s="950"/>
      <c r="XDO117" s="950"/>
      <c r="XDP117" s="950"/>
      <c r="XDQ117" s="950"/>
      <c r="XDR117" s="950"/>
      <c r="XDS117" s="950"/>
      <c r="XDT117" s="950"/>
      <c r="XDU117" s="950"/>
      <c r="XDV117" s="950"/>
      <c r="XDW117" s="950"/>
      <c r="XDX117" s="950"/>
      <c r="XDY117" s="950"/>
      <c r="XDZ117" s="950"/>
      <c r="XEA117" s="950"/>
      <c r="XEB117" s="950"/>
      <c r="XEC117" s="950"/>
      <c r="XED117" s="950"/>
      <c r="XEE117" s="950"/>
      <c r="XEF117" s="950"/>
      <c r="XEG117" s="950"/>
      <c r="XEH117" s="950"/>
      <c r="XEI117" s="950"/>
      <c r="XEJ117" s="950"/>
      <c r="XEK117" s="950"/>
      <c r="XEL117" s="950"/>
      <c r="XEM117" s="950"/>
      <c r="XEN117" s="950"/>
      <c r="XEO117" s="950"/>
      <c r="XEP117" s="950"/>
      <c r="XEQ117" s="950"/>
      <c r="XER117" s="950"/>
      <c r="XES117" s="950"/>
      <c r="XET117" s="950"/>
      <c r="XEU117" s="950"/>
      <c r="XEV117" s="950"/>
      <c r="XEW117" s="950"/>
      <c r="XEX117" s="950"/>
      <c r="XEY117" s="950"/>
      <c r="XEZ117" s="950"/>
      <c r="XFA117" s="950"/>
      <c r="XFB117" s="950"/>
    </row>
    <row r="118" spans="1:16382" s="925" customFormat="1" ht="12" customHeight="1">
      <c r="A118" s="914" t="s">
        <v>1646</v>
      </c>
      <c r="B118" s="914" t="s">
        <v>1647</v>
      </c>
      <c r="C118" s="926">
        <f>2.3*4.33</f>
        <v>9.9589999999999996</v>
      </c>
      <c r="D118" s="926">
        <f>2.31*4.33</f>
        <v>10.0023</v>
      </c>
      <c r="E118" s="951"/>
      <c r="F118" s="951"/>
      <c r="G118" s="927">
        <v>11791.71</v>
      </c>
      <c r="H118" s="927">
        <v>13153.91</v>
      </c>
      <c r="I118" s="927">
        <v>13350.81</v>
      </c>
      <c r="J118" s="927">
        <v>13586.26</v>
      </c>
      <c r="K118" s="927">
        <v>13876.929999999998</v>
      </c>
      <c r="L118" s="927">
        <v>13932.330000000002</v>
      </c>
      <c r="M118" s="927">
        <v>13936.91</v>
      </c>
      <c r="N118" s="927">
        <v>14036.529999999999</v>
      </c>
      <c r="O118" s="927">
        <v>13912.6</v>
      </c>
      <c r="P118" s="927">
        <v>13790.970000000001</v>
      </c>
      <c r="Q118" s="927">
        <v>13815.49</v>
      </c>
      <c r="R118" s="927">
        <v>13874.3</v>
      </c>
      <c r="S118" s="927">
        <v>163058.75</v>
      </c>
      <c r="T118" s="951"/>
      <c r="U118" s="934">
        <f t="shared" si="56"/>
        <v>1184.0255045687318</v>
      </c>
      <c r="V118" s="934">
        <f t="shared" si="57"/>
        <v>1320.8063058540015</v>
      </c>
      <c r="W118" s="934">
        <f t="shared" si="58"/>
        <v>1340.5773672055427</v>
      </c>
      <c r="X118" s="934">
        <f t="shared" si="59"/>
        <v>1364.2192991264185</v>
      </c>
      <c r="Y118" s="934">
        <f t="shared" si="60"/>
        <v>1393.4059644542624</v>
      </c>
      <c r="Z118" s="934">
        <f t="shared" si="61"/>
        <v>1392.9126300950784</v>
      </c>
      <c r="AA118" s="934">
        <f t="shared" si="62"/>
        <v>1393.3705247793007</v>
      </c>
      <c r="AB118" s="934">
        <f t="shared" si="63"/>
        <v>1403.3302340461694</v>
      </c>
      <c r="AC118" s="934">
        <f t="shared" si="64"/>
        <v>1390.9400837807304</v>
      </c>
      <c r="AD118" s="934">
        <f t="shared" si="65"/>
        <v>1378.7798806274559</v>
      </c>
      <c r="AE118" s="934">
        <f t="shared" si="66"/>
        <v>1381.2313167971367</v>
      </c>
      <c r="AF118" s="934">
        <f t="shared" si="67"/>
        <v>1387.11096447817</v>
      </c>
      <c r="AG118" s="934">
        <f t="shared" si="51"/>
        <v>16330.710075812998</v>
      </c>
      <c r="AH118" s="939">
        <f t="shared" si="52"/>
        <v>1360.8925063177498</v>
      </c>
      <c r="AI118" s="950"/>
      <c r="AK118" s="950"/>
      <c r="AL118" s="950"/>
      <c r="AM118" s="950"/>
      <c r="AN118" s="950"/>
      <c r="AO118" s="950"/>
      <c r="AP118" s="950"/>
      <c r="AQ118" s="928">
        <v>1360.8925063177498</v>
      </c>
      <c r="AR118" s="950"/>
      <c r="AS118" s="938">
        <f t="shared" ca="1" si="53"/>
        <v>10.58869903536379</v>
      </c>
      <c r="AT118" s="937">
        <f t="shared" ca="1" si="54"/>
        <v>172920.97402656681</v>
      </c>
      <c r="AU118" s="937"/>
      <c r="AV118" s="936">
        <f t="shared" ca="1" si="55"/>
        <v>9862.2240265668079</v>
      </c>
      <c r="AW118" s="950"/>
      <c r="AX118" s="950"/>
      <c r="AY118" s="950"/>
      <c r="AZ118" s="950"/>
      <c r="BA118" s="950"/>
      <c r="BB118" s="950"/>
      <c r="BC118" s="950"/>
      <c r="BD118" s="950"/>
      <c r="BE118" s="928">
        <f t="shared" si="48"/>
        <v>0</v>
      </c>
      <c r="BF118" s="950"/>
      <c r="BG118" s="928">
        <f t="shared" si="49"/>
        <v>0</v>
      </c>
      <c r="BH118" s="950"/>
      <c r="BI118" s="928">
        <f t="shared" si="50"/>
        <v>0</v>
      </c>
      <c r="BJ118" s="950"/>
      <c r="BK118" s="950"/>
      <c r="BL118" s="950"/>
      <c r="BM118" s="950"/>
      <c r="BN118" s="950"/>
      <c r="BO118" s="950"/>
      <c r="BP118" s="950"/>
      <c r="BQ118" s="950"/>
      <c r="BR118" s="950"/>
      <c r="BS118" s="950"/>
      <c r="BT118" s="950"/>
      <c r="BU118" s="950"/>
      <c r="BV118" s="950"/>
      <c r="BW118" s="950"/>
      <c r="BX118" s="950"/>
      <c r="BY118" s="950"/>
      <c r="BZ118" s="950"/>
      <c r="CA118" s="950"/>
      <c r="CB118" s="950"/>
      <c r="CC118" s="950"/>
      <c r="CD118" s="950"/>
      <c r="CE118" s="950"/>
      <c r="CF118" s="950"/>
      <c r="CG118" s="950"/>
      <c r="CH118" s="950"/>
      <c r="CI118" s="950"/>
      <c r="CJ118" s="950"/>
      <c r="CK118" s="950"/>
      <c r="CL118" s="950"/>
      <c r="CM118" s="950"/>
      <c r="CN118" s="950"/>
      <c r="CO118" s="950"/>
      <c r="CP118" s="950"/>
      <c r="CQ118" s="950"/>
      <c r="CR118" s="950"/>
      <c r="CS118" s="950"/>
      <c r="CT118" s="950"/>
      <c r="CU118" s="950"/>
      <c r="CV118" s="950"/>
      <c r="CW118" s="950"/>
      <c r="CX118" s="950"/>
      <c r="CY118" s="950"/>
      <c r="CZ118" s="950"/>
      <c r="DA118" s="950"/>
      <c r="DB118" s="950"/>
      <c r="DC118" s="950"/>
      <c r="DD118" s="950"/>
      <c r="DE118" s="950"/>
      <c r="DF118" s="950"/>
      <c r="DG118" s="950"/>
      <c r="DH118" s="950"/>
      <c r="DI118" s="950"/>
      <c r="DJ118" s="950"/>
      <c r="DK118" s="950"/>
      <c r="DL118" s="950"/>
      <c r="DM118" s="950"/>
      <c r="DN118" s="950"/>
      <c r="DO118" s="950"/>
      <c r="DP118" s="950"/>
      <c r="DQ118" s="950"/>
      <c r="DR118" s="950"/>
      <c r="DS118" s="950"/>
      <c r="DT118" s="950"/>
      <c r="DU118" s="950"/>
      <c r="DV118" s="950"/>
      <c r="DW118" s="950"/>
      <c r="DX118" s="950"/>
      <c r="DY118" s="950"/>
      <c r="DZ118" s="950"/>
      <c r="EA118" s="950"/>
      <c r="EB118" s="950"/>
      <c r="EC118" s="950"/>
      <c r="ED118" s="950"/>
      <c r="EE118" s="950"/>
      <c r="EF118" s="950"/>
      <c r="EG118" s="950"/>
      <c r="EH118" s="950"/>
      <c r="EI118" s="950"/>
      <c r="EJ118" s="950"/>
      <c r="EK118" s="950"/>
      <c r="EL118" s="950"/>
      <c r="EM118" s="950"/>
      <c r="EN118" s="950"/>
      <c r="EO118" s="950"/>
      <c r="EP118" s="950"/>
      <c r="EQ118" s="950"/>
      <c r="ER118" s="950"/>
      <c r="ES118" s="950"/>
      <c r="ET118" s="950"/>
      <c r="EU118" s="950"/>
      <c r="EV118" s="950"/>
      <c r="EW118" s="950"/>
      <c r="EX118" s="950"/>
      <c r="EY118" s="950"/>
      <c r="EZ118" s="950"/>
      <c r="FA118" s="950"/>
      <c r="FB118" s="950"/>
      <c r="FC118" s="950"/>
      <c r="FD118" s="950"/>
      <c r="FE118" s="950"/>
      <c r="FF118" s="950"/>
      <c r="FG118" s="950"/>
      <c r="FH118" s="950"/>
      <c r="FI118" s="950"/>
      <c r="FJ118" s="950"/>
      <c r="FK118" s="950"/>
      <c r="FL118" s="950"/>
      <c r="FM118" s="950"/>
      <c r="FN118" s="950"/>
      <c r="FO118" s="950"/>
      <c r="FP118" s="950"/>
      <c r="FQ118" s="950"/>
      <c r="FR118" s="950"/>
      <c r="FS118" s="950"/>
      <c r="FT118" s="950"/>
      <c r="FU118" s="950"/>
      <c r="FV118" s="950"/>
      <c r="FW118" s="950"/>
      <c r="FX118" s="950"/>
      <c r="FY118" s="950"/>
      <c r="FZ118" s="950"/>
      <c r="GA118" s="950"/>
      <c r="GB118" s="950"/>
      <c r="GC118" s="950"/>
      <c r="GD118" s="950"/>
      <c r="GE118" s="950"/>
      <c r="GF118" s="950"/>
      <c r="GG118" s="950"/>
      <c r="GH118" s="950"/>
      <c r="GI118" s="950"/>
      <c r="GJ118" s="950"/>
      <c r="GK118" s="950"/>
      <c r="GL118" s="950"/>
      <c r="GM118" s="950"/>
      <c r="GN118" s="950"/>
      <c r="GO118" s="950"/>
      <c r="GP118" s="950"/>
      <c r="GQ118" s="950"/>
      <c r="GR118" s="950"/>
      <c r="GS118" s="950"/>
      <c r="GT118" s="950"/>
      <c r="GU118" s="950"/>
      <c r="GV118" s="950"/>
      <c r="GW118" s="950"/>
      <c r="GX118" s="950"/>
      <c r="GY118" s="950"/>
      <c r="GZ118" s="950"/>
      <c r="HA118" s="950"/>
      <c r="HB118" s="950"/>
      <c r="HC118" s="950"/>
      <c r="HD118" s="950"/>
      <c r="HE118" s="950"/>
      <c r="HF118" s="950"/>
      <c r="HG118" s="950"/>
      <c r="HH118" s="950"/>
      <c r="HI118" s="950"/>
      <c r="HJ118" s="950"/>
      <c r="HK118" s="950"/>
      <c r="HL118" s="950"/>
      <c r="HM118" s="950"/>
      <c r="HN118" s="950"/>
      <c r="HO118" s="950"/>
      <c r="HP118" s="950"/>
      <c r="HQ118" s="950"/>
      <c r="HR118" s="950"/>
      <c r="HS118" s="950"/>
      <c r="HT118" s="950"/>
      <c r="HU118" s="950"/>
      <c r="HV118" s="950"/>
      <c r="HW118" s="950"/>
      <c r="HX118" s="950"/>
      <c r="HY118" s="950"/>
      <c r="HZ118" s="950"/>
      <c r="IA118" s="950"/>
      <c r="IB118" s="950"/>
      <c r="IC118" s="950"/>
      <c r="ID118" s="950"/>
      <c r="IE118" s="950"/>
      <c r="IF118" s="950"/>
      <c r="IG118" s="950"/>
      <c r="IH118" s="950"/>
      <c r="II118" s="950"/>
      <c r="IJ118" s="950"/>
      <c r="IK118" s="950"/>
      <c r="IL118" s="950"/>
      <c r="IM118" s="950"/>
      <c r="IN118" s="950"/>
      <c r="IO118" s="950"/>
      <c r="IP118" s="950"/>
      <c r="IQ118" s="950"/>
      <c r="IR118" s="950"/>
      <c r="IS118" s="950"/>
      <c r="IT118" s="950"/>
      <c r="IU118" s="950"/>
      <c r="IV118" s="950"/>
      <c r="IW118" s="950"/>
      <c r="IX118" s="950"/>
      <c r="IY118" s="950"/>
      <c r="IZ118" s="950"/>
      <c r="JA118" s="950"/>
      <c r="JB118" s="950"/>
      <c r="JC118" s="950"/>
      <c r="JD118" s="950"/>
      <c r="JE118" s="950"/>
      <c r="JF118" s="950"/>
      <c r="JG118" s="950"/>
      <c r="JH118" s="950"/>
      <c r="JI118" s="950"/>
      <c r="JJ118" s="950"/>
      <c r="JK118" s="950"/>
      <c r="JL118" s="950"/>
      <c r="JM118" s="950"/>
      <c r="JN118" s="950"/>
      <c r="JO118" s="950"/>
      <c r="JP118" s="950"/>
      <c r="JQ118" s="950"/>
      <c r="JR118" s="950"/>
      <c r="JS118" s="950"/>
      <c r="JT118" s="950"/>
      <c r="JU118" s="950"/>
      <c r="JV118" s="950"/>
      <c r="JW118" s="950"/>
      <c r="JX118" s="950"/>
      <c r="JY118" s="950"/>
      <c r="JZ118" s="950"/>
      <c r="KA118" s="950"/>
      <c r="KB118" s="950"/>
      <c r="KC118" s="950"/>
      <c r="KD118" s="950"/>
      <c r="KE118" s="950"/>
      <c r="KF118" s="950"/>
      <c r="KG118" s="950"/>
      <c r="KH118" s="950"/>
      <c r="KI118" s="950"/>
      <c r="KJ118" s="950"/>
      <c r="KK118" s="950"/>
      <c r="KL118" s="950"/>
      <c r="KM118" s="950"/>
      <c r="KN118" s="950"/>
      <c r="KO118" s="950"/>
      <c r="KP118" s="950"/>
      <c r="KQ118" s="950"/>
      <c r="KR118" s="950"/>
      <c r="KS118" s="950"/>
      <c r="KT118" s="950"/>
      <c r="KU118" s="950"/>
      <c r="KV118" s="950"/>
      <c r="KW118" s="950"/>
      <c r="KX118" s="950"/>
      <c r="KY118" s="950"/>
      <c r="KZ118" s="950"/>
      <c r="LA118" s="950"/>
      <c r="LB118" s="950"/>
      <c r="LC118" s="950"/>
      <c r="LD118" s="950"/>
      <c r="LE118" s="950"/>
      <c r="LF118" s="950"/>
      <c r="LG118" s="950"/>
      <c r="LH118" s="950"/>
      <c r="LI118" s="950"/>
      <c r="LJ118" s="950"/>
      <c r="LK118" s="950"/>
      <c r="LL118" s="950"/>
      <c r="LM118" s="950"/>
      <c r="LN118" s="950"/>
      <c r="LO118" s="950"/>
      <c r="LP118" s="950"/>
      <c r="LQ118" s="950"/>
      <c r="LR118" s="950"/>
      <c r="LS118" s="950"/>
      <c r="LT118" s="950"/>
      <c r="LU118" s="950"/>
      <c r="LV118" s="950"/>
      <c r="LW118" s="950"/>
      <c r="LX118" s="950"/>
      <c r="LY118" s="950"/>
      <c r="LZ118" s="950"/>
      <c r="MA118" s="950"/>
      <c r="MB118" s="950"/>
      <c r="MC118" s="950"/>
      <c r="MD118" s="950"/>
      <c r="ME118" s="950"/>
      <c r="MF118" s="950"/>
      <c r="MG118" s="950"/>
      <c r="MH118" s="950"/>
      <c r="MI118" s="950"/>
      <c r="MJ118" s="950"/>
      <c r="MK118" s="950"/>
      <c r="ML118" s="950"/>
      <c r="MM118" s="950"/>
      <c r="MN118" s="950"/>
      <c r="MO118" s="950"/>
      <c r="MP118" s="950"/>
      <c r="MQ118" s="950"/>
      <c r="MR118" s="950"/>
      <c r="MS118" s="950"/>
      <c r="MT118" s="950"/>
      <c r="MU118" s="950"/>
      <c r="MV118" s="950"/>
      <c r="MW118" s="950"/>
      <c r="MX118" s="950"/>
      <c r="MY118" s="950"/>
      <c r="MZ118" s="950"/>
      <c r="NA118" s="950"/>
      <c r="NB118" s="950"/>
      <c r="NC118" s="950"/>
      <c r="ND118" s="950"/>
      <c r="NE118" s="950"/>
      <c r="NF118" s="950"/>
      <c r="NG118" s="950"/>
      <c r="NH118" s="950"/>
      <c r="NI118" s="950"/>
      <c r="NJ118" s="950"/>
      <c r="NK118" s="950"/>
      <c r="NL118" s="950"/>
      <c r="NM118" s="950"/>
      <c r="NN118" s="950"/>
      <c r="NO118" s="950"/>
      <c r="NP118" s="950"/>
      <c r="NQ118" s="950"/>
      <c r="NR118" s="950"/>
      <c r="NS118" s="950"/>
      <c r="NT118" s="950"/>
      <c r="NU118" s="950"/>
      <c r="NV118" s="950"/>
      <c r="NW118" s="950"/>
      <c r="NX118" s="950"/>
      <c r="NY118" s="950"/>
      <c r="NZ118" s="950"/>
      <c r="OA118" s="950"/>
      <c r="OB118" s="950"/>
      <c r="OC118" s="950"/>
      <c r="OD118" s="950"/>
      <c r="OE118" s="950"/>
      <c r="OF118" s="950"/>
      <c r="OG118" s="950"/>
      <c r="OH118" s="950"/>
      <c r="OI118" s="950"/>
      <c r="OJ118" s="950"/>
      <c r="OK118" s="950"/>
      <c r="OL118" s="950"/>
      <c r="OM118" s="950"/>
      <c r="ON118" s="950"/>
      <c r="OO118" s="950"/>
      <c r="OP118" s="950"/>
      <c r="OQ118" s="950"/>
      <c r="OR118" s="950"/>
      <c r="OS118" s="950"/>
      <c r="OT118" s="950"/>
      <c r="OU118" s="950"/>
      <c r="OV118" s="950"/>
      <c r="OW118" s="950"/>
      <c r="OX118" s="950"/>
      <c r="OY118" s="950"/>
      <c r="OZ118" s="950"/>
      <c r="PA118" s="950"/>
      <c r="PB118" s="950"/>
      <c r="PC118" s="950"/>
      <c r="PD118" s="950"/>
      <c r="PE118" s="950"/>
      <c r="PF118" s="950"/>
      <c r="PG118" s="950"/>
      <c r="PH118" s="950"/>
      <c r="PI118" s="950"/>
      <c r="PJ118" s="950"/>
      <c r="PK118" s="950"/>
      <c r="PL118" s="950"/>
      <c r="PM118" s="950"/>
      <c r="PN118" s="950"/>
      <c r="PO118" s="950"/>
      <c r="PP118" s="950"/>
      <c r="PQ118" s="950"/>
      <c r="PR118" s="950"/>
      <c r="PS118" s="950"/>
      <c r="PT118" s="950"/>
      <c r="PU118" s="950"/>
      <c r="PV118" s="950"/>
      <c r="PW118" s="950"/>
      <c r="PX118" s="950"/>
      <c r="PY118" s="950"/>
      <c r="PZ118" s="950"/>
      <c r="QA118" s="950"/>
      <c r="QB118" s="950"/>
      <c r="QC118" s="950"/>
      <c r="QD118" s="950"/>
      <c r="QE118" s="950"/>
      <c r="QF118" s="950"/>
      <c r="QG118" s="950"/>
      <c r="QH118" s="950"/>
      <c r="QI118" s="950"/>
      <c r="QJ118" s="950"/>
      <c r="QK118" s="950"/>
      <c r="QL118" s="950"/>
      <c r="QM118" s="950"/>
      <c r="QN118" s="950"/>
      <c r="QO118" s="950"/>
      <c r="QP118" s="950"/>
      <c r="QQ118" s="950"/>
      <c r="QR118" s="950"/>
      <c r="QS118" s="950"/>
      <c r="QT118" s="950"/>
      <c r="QU118" s="950"/>
      <c r="QV118" s="950"/>
      <c r="QW118" s="950"/>
      <c r="QX118" s="950"/>
      <c r="QY118" s="950"/>
      <c r="QZ118" s="950"/>
      <c r="RA118" s="950"/>
      <c r="RB118" s="950"/>
      <c r="RC118" s="950"/>
      <c r="RD118" s="950"/>
      <c r="RE118" s="950"/>
      <c r="RF118" s="950"/>
      <c r="RG118" s="950"/>
      <c r="RH118" s="950"/>
      <c r="RI118" s="950"/>
      <c r="RJ118" s="950"/>
      <c r="RK118" s="950"/>
      <c r="RL118" s="950"/>
      <c r="RM118" s="950"/>
      <c r="RN118" s="950"/>
      <c r="RO118" s="950"/>
      <c r="RP118" s="950"/>
      <c r="RQ118" s="950"/>
      <c r="RR118" s="950"/>
      <c r="RS118" s="950"/>
      <c r="RT118" s="950"/>
      <c r="RU118" s="950"/>
      <c r="RV118" s="950"/>
      <c r="RW118" s="950"/>
      <c r="RX118" s="950"/>
      <c r="RY118" s="950"/>
      <c r="RZ118" s="950"/>
      <c r="SA118" s="950"/>
      <c r="SB118" s="950"/>
      <c r="SC118" s="950"/>
      <c r="SD118" s="950"/>
      <c r="SE118" s="950"/>
      <c r="SF118" s="950"/>
      <c r="SG118" s="950"/>
      <c r="SH118" s="950"/>
      <c r="SI118" s="950"/>
      <c r="SJ118" s="950"/>
      <c r="SK118" s="950"/>
      <c r="SL118" s="950"/>
      <c r="SM118" s="950"/>
      <c r="SN118" s="950"/>
      <c r="SO118" s="950"/>
      <c r="SP118" s="950"/>
      <c r="SQ118" s="950"/>
      <c r="SR118" s="950"/>
      <c r="SS118" s="950"/>
      <c r="ST118" s="950"/>
      <c r="SU118" s="950"/>
      <c r="SV118" s="950"/>
      <c r="SW118" s="950"/>
      <c r="SX118" s="950"/>
      <c r="SY118" s="950"/>
      <c r="SZ118" s="950"/>
      <c r="TA118" s="950"/>
      <c r="TB118" s="950"/>
      <c r="TC118" s="950"/>
      <c r="TD118" s="950"/>
      <c r="TE118" s="950"/>
      <c r="TF118" s="950"/>
      <c r="TG118" s="950"/>
      <c r="TH118" s="950"/>
      <c r="TI118" s="950"/>
      <c r="TJ118" s="950"/>
      <c r="TK118" s="950"/>
      <c r="TL118" s="950"/>
      <c r="TM118" s="950"/>
      <c r="TN118" s="950"/>
      <c r="TO118" s="950"/>
      <c r="TP118" s="950"/>
      <c r="TQ118" s="950"/>
      <c r="TR118" s="950"/>
      <c r="TS118" s="950"/>
      <c r="TT118" s="950"/>
      <c r="TU118" s="950"/>
      <c r="TV118" s="950"/>
      <c r="TW118" s="950"/>
      <c r="TX118" s="950"/>
      <c r="TY118" s="950"/>
      <c r="TZ118" s="950"/>
      <c r="UA118" s="950"/>
      <c r="UB118" s="950"/>
      <c r="UC118" s="950"/>
      <c r="UD118" s="950"/>
      <c r="UE118" s="950"/>
      <c r="UF118" s="950"/>
      <c r="UG118" s="950"/>
      <c r="UH118" s="950"/>
      <c r="UI118" s="950"/>
      <c r="UJ118" s="950"/>
      <c r="UK118" s="950"/>
      <c r="UL118" s="950"/>
      <c r="UM118" s="950"/>
      <c r="UN118" s="950"/>
      <c r="UO118" s="950"/>
      <c r="UP118" s="950"/>
      <c r="UQ118" s="950"/>
      <c r="UR118" s="950"/>
      <c r="US118" s="950"/>
      <c r="UT118" s="950"/>
      <c r="UU118" s="950"/>
      <c r="UV118" s="950"/>
      <c r="UW118" s="950"/>
      <c r="UX118" s="950"/>
      <c r="UY118" s="950"/>
      <c r="UZ118" s="950"/>
      <c r="VA118" s="950"/>
      <c r="VB118" s="950"/>
      <c r="VC118" s="950"/>
      <c r="VD118" s="950"/>
      <c r="VE118" s="950"/>
      <c r="VF118" s="950"/>
      <c r="VG118" s="950"/>
      <c r="VH118" s="950"/>
      <c r="VI118" s="950"/>
      <c r="VJ118" s="950"/>
      <c r="VK118" s="950"/>
      <c r="VL118" s="950"/>
      <c r="VM118" s="950"/>
      <c r="VN118" s="950"/>
      <c r="VO118" s="950"/>
      <c r="VP118" s="950"/>
      <c r="VQ118" s="950"/>
      <c r="VR118" s="950"/>
      <c r="VS118" s="950"/>
      <c r="VT118" s="950"/>
      <c r="VU118" s="950"/>
      <c r="VV118" s="950"/>
      <c r="VW118" s="950"/>
      <c r="VX118" s="950"/>
      <c r="VY118" s="950"/>
      <c r="VZ118" s="950"/>
      <c r="WA118" s="950"/>
      <c r="WB118" s="950"/>
      <c r="WC118" s="950"/>
      <c r="WD118" s="950"/>
      <c r="WE118" s="950"/>
      <c r="WF118" s="950"/>
      <c r="WG118" s="950"/>
      <c r="WH118" s="950"/>
      <c r="WI118" s="950"/>
      <c r="WJ118" s="950"/>
      <c r="WK118" s="950"/>
      <c r="WL118" s="950"/>
      <c r="WM118" s="950"/>
      <c r="WN118" s="950"/>
      <c r="WO118" s="950"/>
      <c r="WP118" s="950"/>
      <c r="WQ118" s="950"/>
      <c r="WR118" s="950"/>
      <c r="WS118" s="950"/>
      <c r="WT118" s="950"/>
      <c r="WU118" s="950"/>
      <c r="WV118" s="950"/>
      <c r="WW118" s="950"/>
      <c r="WX118" s="950"/>
      <c r="WY118" s="950"/>
      <c r="WZ118" s="950"/>
      <c r="XA118" s="950"/>
      <c r="XB118" s="950"/>
      <c r="XC118" s="950"/>
      <c r="XD118" s="950"/>
      <c r="XE118" s="950"/>
      <c r="XF118" s="950"/>
      <c r="XG118" s="950"/>
      <c r="XH118" s="950"/>
      <c r="XI118" s="950"/>
      <c r="XJ118" s="950"/>
      <c r="XK118" s="950"/>
      <c r="XL118" s="950"/>
      <c r="XM118" s="950"/>
      <c r="XN118" s="950"/>
      <c r="XO118" s="950"/>
      <c r="XP118" s="950"/>
      <c r="XQ118" s="950"/>
      <c r="XR118" s="950"/>
      <c r="XS118" s="950"/>
      <c r="XT118" s="950"/>
      <c r="XU118" s="950"/>
      <c r="XV118" s="950"/>
      <c r="XW118" s="950"/>
      <c r="XX118" s="950"/>
      <c r="XY118" s="950"/>
      <c r="XZ118" s="950"/>
      <c r="YA118" s="950"/>
      <c r="YB118" s="950"/>
      <c r="YC118" s="950"/>
      <c r="YD118" s="950"/>
      <c r="YE118" s="950"/>
      <c r="YF118" s="950"/>
      <c r="YG118" s="950"/>
      <c r="YH118" s="950"/>
      <c r="YI118" s="950"/>
      <c r="YJ118" s="950"/>
      <c r="YK118" s="950"/>
      <c r="YL118" s="950"/>
      <c r="YM118" s="950"/>
      <c r="YN118" s="950"/>
      <c r="YO118" s="950"/>
      <c r="YP118" s="950"/>
      <c r="YQ118" s="950"/>
      <c r="YR118" s="950"/>
      <c r="YS118" s="950"/>
      <c r="YT118" s="950"/>
      <c r="YU118" s="950"/>
      <c r="YV118" s="950"/>
      <c r="YW118" s="950"/>
      <c r="YX118" s="950"/>
      <c r="YY118" s="950"/>
      <c r="YZ118" s="950"/>
      <c r="ZA118" s="950"/>
      <c r="ZB118" s="950"/>
      <c r="ZC118" s="950"/>
      <c r="ZD118" s="950"/>
      <c r="ZE118" s="950"/>
      <c r="ZF118" s="950"/>
      <c r="ZG118" s="950"/>
      <c r="ZH118" s="950"/>
      <c r="ZI118" s="950"/>
      <c r="ZJ118" s="950"/>
      <c r="ZK118" s="950"/>
      <c r="ZL118" s="950"/>
      <c r="ZM118" s="950"/>
      <c r="ZN118" s="950"/>
      <c r="ZO118" s="950"/>
      <c r="ZP118" s="950"/>
      <c r="ZQ118" s="950"/>
      <c r="ZR118" s="950"/>
      <c r="ZS118" s="950"/>
      <c r="ZT118" s="950"/>
      <c r="ZU118" s="950"/>
      <c r="ZV118" s="950"/>
      <c r="ZW118" s="950"/>
      <c r="ZX118" s="950"/>
      <c r="ZY118" s="950"/>
      <c r="ZZ118" s="950"/>
      <c r="AAA118" s="950"/>
      <c r="AAB118" s="950"/>
      <c r="AAC118" s="950"/>
      <c r="AAD118" s="950"/>
      <c r="AAE118" s="950"/>
      <c r="AAF118" s="950"/>
      <c r="AAG118" s="950"/>
      <c r="AAH118" s="950"/>
      <c r="AAI118" s="950"/>
      <c r="AAJ118" s="950"/>
      <c r="AAK118" s="950"/>
      <c r="AAL118" s="950"/>
      <c r="AAM118" s="950"/>
      <c r="AAN118" s="950"/>
      <c r="AAO118" s="950"/>
      <c r="AAP118" s="950"/>
      <c r="AAQ118" s="950"/>
      <c r="AAR118" s="950"/>
      <c r="AAS118" s="950"/>
      <c r="AAT118" s="950"/>
      <c r="AAU118" s="950"/>
      <c r="AAV118" s="950"/>
      <c r="AAW118" s="950"/>
      <c r="AAX118" s="950"/>
      <c r="AAY118" s="950"/>
      <c r="AAZ118" s="950"/>
      <c r="ABA118" s="950"/>
      <c r="ABB118" s="950"/>
      <c r="ABC118" s="950"/>
      <c r="ABD118" s="950"/>
      <c r="ABE118" s="950"/>
      <c r="ABF118" s="950"/>
      <c r="ABG118" s="950"/>
      <c r="ABH118" s="950"/>
      <c r="ABI118" s="950"/>
      <c r="ABJ118" s="950"/>
      <c r="ABK118" s="950"/>
      <c r="ABL118" s="950"/>
      <c r="ABM118" s="950"/>
      <c r="ABN118" s="950"/>
      <c r="ABO118" s="950"/>
      <c r="ABP118" s="950"/>
      <c r="ABQ118" s="950"/>
      <c r="ABR118" s="950"/>
      <c r="ABS118" s="950"/>
      <c r="ABT118" s="950"/>
      <c r="ABU118" s="950"/>
      <c r="ABV118" s="950"/>
      <c r="ABW118" s="950"/>
      <c r="ABX118" s="950"/>
      <c r="ABY118" s="950"/>
      <c r="ABZ118" s="950"/>
      <c r="ACA118" s="950"/>
      <c r="ACB118" s="950"/>
      <c r="ACC118" s="950"/>
      <c r="ACD118" s="950"/>
      <c r="ACE118" s="950"/>
      <c r="ACF118" s="950"/>
      <c r="ACG118" s="950"/>
      <c r="ACH118" s="950"/>
      <c r="ACI118" s="950"/>
      <c r="ACJ118" s="950"/>
      <c r="ACK118" s="950"/>
      <c r="ACL118" s="950"/>
      <c r="ACM118" s="950"/>
      <c r="ACN118" s="950"/>
      <c r="ACO118" s="950"/>
      <c r="ACP118" s="950"/>
      <c r="ACQ118" s="950"/>
      <c r="ACR118" s="950"/>
      <c r="ACS118" s="950"/>
      <c r="ACT118" s="950"/>
      <c r="ACU118" s="950"/>
      <c r="ACV118" s="950"/>
      <c r="ACW118" s="950"/>
      <c r="ACX118" s="950"/>
      <c r="ACY118" s="950"/>
      <c r="ACZ118" s="950"/>
      <c r="ADA118" s="950"/>
      <c r="ADB118" s="950"/>
      <c r="ADC118" s="950"/>
      <c r="ADD118" s="950"/>
      <c r="ADE118" s="950"/>
      <c r="ADF118" s="950"/>
      <c r="ADG118" s="950"/>
      <c r="ADH118" s="950"/>
      <c r="ADI118" s="950"/>
      <c r="ADJ118" s="950"/>
      <c r="ADK118" s="950"/>
      <c r="ADL118" s="950"/>
      <c r="ADM118" s="950"/>
      <c r="ADN118" s="950"/>
      <c r="ADO118" s="950"/>
      <c r="ADP118" s="950"/>
      <c r="ADQ118" s="950"/>
      <c r="ADR118" s="950"/>
      <c r="ADS118" s="950"/>
      <c r="ADT118" s="950"/>
      <c r="ADU118" s="950"/>
      <c r="ADV118" s="950"/>
      <c r="ADW118" s="950"/>
      <c r="ADX118" s="950"/>
      <c r="ADY118" s="950"/>
      <c r="ADZ118" s="950"/>
      <c r="AEA118" s="950"/>
      <c r="AEB118" s="950"/>
      <c r="AEC118" s="950"/>
      <c r="AED118" s="950"/>
      <c r="AEE118" s="950"/>
      <c r="AEF118" s="950"/>
      <c r="AEG118" s="950"/>
      <c r="AEH118" s="950"/>
      <c r="AEI118" s="950"/>
      <c r="AEJ118" s="950"/>
      <c r="AEK118" s="950"/>
      <c r="AEL118" s="950"/>
      <c r="AEM118" s="950"/>
      <c r="AEN118" s="950"/>
      <c r="AEO118" s="950"/>
      <c r="AEP118" s="950"/>
      <c r="AEQ118" s="950"/>
      <c r="AER118" s="950"/>
      <c r="AES118" s="950"/>
      <c r="AET118" s="950"/>
      <c r="AEU118" s="950"/>
      <c r="AEV118" s="950"/>
      <c r="AEW118" s="950"/>
      <c r="AEX118" s="950"/>
      <c r="AEY118" s="950"/>
      <c r="AEZ118" s="950"/>
      <c r="AFA118" s="950"/>
      <c r="AFB118" s="950"/>
      <c r="AFC118" s="950"/>
      <c r="AFD118" s="950"/>
      <c r="AFE118" s="950"/>
      <c r="AFF118" s="950"/>
      <c r="AFG118" s="950"/>
      <c r="AFH118" s="950"/>
      <c r="AFI118" s="950"/>
      <c r="AFJ118" s="950"/>
      <c r="AFK118" s="950"/>
      <c r="AFL118" s="950"/>
      <c r="AFM118" s="950"/>
      <c r="AFN118" s="950"/>
      <c r="AFO118" s="950"/>
      <c r="AFP118" s="950"/>
      <c r="AFQ118" s="950"/>
      <c r="AFR118" s="950"/>
      <c r="AFS118" s="950"/>
      <c r="AFT118" s="950"/>
      <c r="AFU118" s="950"/>
      <c r="AFV118" s="950"/>
      <c r="AFW118" s="950"/>
      <c r="AFX118" s="950"/>
      <c r="AFY118" s="950"/>
      <c r="AFZ118" s="950"/>
      <c r="AGA118" s="950"/>
      <c r="AGB118" s="950"/>
      <c r="AGC118" s="950"/>
      <c r="AGD118" s="950"/>
      <c r="AGE118" s="950"/>
      <c r="AGF118" s="950"/>
      <c r="AGG118" s="950"/>
      <c r="AGH118" s="950"/>
      <c r="AGI118" s="950"/>
      <c r="AGJ118" s="950"/>
      <c r="AGK118" s="950"/>
      <c r="AGL118" s="950"/>
      <c r="AGM118" s="950"/>
      <c r="AGN118" s="950"/>
      <c r="AGO118" s="950"/>
      <c r="AGP118" s="950"/>
      <c r="AGQ118" s="950"/>
      <c r="AGR118" s="950"/>
      <c r="AGS118" s="950"/>
      <c r="AGT118" s="950"/>
      <c r="AGU118" s="950"/>
      <c r="AGV118" s="950"/>
      <c r="AGW118" s="950"/>
      <c r="AGX118" s="950"/>
      <c r="AGY118" s="950"/>
      <c r="AGZ118" s="950"/>
      <c r="AHA118" s="950"/>
      <c r="AHB118" s="950"/>
      <c r="AHC118" s="950"/>
      <c r="AHD118" s="950"/>
      <c r="AHE118" s="950"/>
      <c r="AHF118" s="950"/>
      <c r="AHG118" s="950"/>
      <c r="AHH118" s="950"/>
      <c r="AHI118" s="950"/>
      <c r="AHJ118" s="950"/>
      <c r="AHK118" s="950"/>
      <c r="AHL118" s="950"/>
      <c r="AHM118" s="950"/>
      <c r="AHN118" s="950"/>
      <c r="AHO118" s="950"/>
      <c r="AHP118" s="950"/>
      <c r="AHQ118" s="950"/>
      <c r="AHR118" s="950"/>
      <c r="AHS118" s="950"/>
      <c r="AHT118" s="950"/>
      <c r="AHU118" s="950"/>
      <c r="AHV118" s="950"/>
      <c r="AHW118" s="950"/>
      <c r="AHX118" s="950"/>
      <c r="AHY118" s="950"/>
      <c r="AHZ118" s="950"/>
      <c r="AIA118" s="950"/>
      <c r="AIB118" s="950"/>
      <c r="AIC118" s="950"/>
      <c r="AID118" s="950"/>
      <c r="AIE118" s="950"/>
      <c r="AIF118" s="950"/>
      <c r="AIG118" s="950"/>
      <c r="AIH118" s="950"/>
      <c r="AII118" s="950"/>
      <c r="AIJ118" s="950"/>
      <c r="AIK118" s="950"/>
      <c r="AIL118" s="950"/>
      <c r="AIM118" s="950"/>
      <c r="AIN118" s="950"/>
      <c r="AIO118" s="950"/>
      <c r="AIP118" s="950"/>
      <c r="AIQ118" s="950"/>
      <c r="AIR118" s="950"/>
      <c r="AIS118" s="950"/>
      <c r="AIT118" s="950"/>
      <c r="AIU118" s="950"/>
      <c r="AIV118" s="950"/>
      <c r="AIW118" s="950"/>
      <c r="AIX118" s="950"/>
      <c r="AIY118" s="950"/>
      <c r="AIZ118" s="950"/>
      <c r="AJA118" s="950"/>
      <c r="AJB118" s="950"/>
      <c r="AJC118" s="950"/>
      <c r="AJD118" s="950"/>
      <c r="AJE118" s="950"/>
      <c r="AJF118" s="950"/>
      <c r="AJG118" s="950"/>
      <c r="AJH118" s="950"/>
      <c r="AJI118" s="950"/>
      <c r="AJJ118" s="950"/>
      <c r="AJK118" s="950"/>
      <c r="AJL118" s="950"/>
      <c r="AJM118" s="950"/>
      <c r="AJN118" s="950"/>
      <c r="AJO118" s="950"/>
      <c r="AJP118" s="950"/>
      <c r="AJQ118" s="950"/>
      <c r="AJR118" s="950"/>
      <c r="AJS118" s="950"/>
      <c r="AJT118" s="950"/>
      <c r="AJU118" s="950"/>
      <c r="AJV118" s="950"/>
      <c r="AJW118" s="950"/>
      <c r="AJX118" s="950"/>
      <c r="AJY118" s="950"/>
      <c r="AJZ118" s="950"/>
      <c r="AKA118" s="950"/>
      <c r="AKB118" s="950"/>
      <c r="AKC118" s="950"/>
      <c r="AKD118" s="950"/>
      <c r="AKE118" s="950"/>
      <c r="AKF118" s="950"/>
      <c r="AKG118" s="950"/>
      <c r="AKH118" s="950"/>
      <c r="AKI118" s="950"/>
      <c r="AKJ118" s="950"/>
      <c r="AKK118" s="950"/>
      <c r="AKL118" s="950"/>
      <c r="AKM118" s="950"/>
      <c r="AKN118" s="950"/>
      <c r="AKO118" s="950"/>
      <c r="AKP118" s="950"/>
      <c r="AKQ118" s="950"/>
      <c r="AKR118" s="950"/>
      <c r="AKS118" s="950"/>
      <c r="AKT118" s="950"/>
      <c r="AKU118" s="950"/>
      <c r="AKV118" s="950"/>
      <c r="AKW118" s="950"/>
      <c r="AKX118" s="950"/>
      <c r="AKY118" s="950"/>
      <c r="AKZ118" s="950"/>
      <c r="ALA118" s="950"/>
      <c r="ALB118" s="950"/>
      <c r="ALC118" s="950"/>
      <c r="ALD118" s="950"/>
      <c r="ALE118" s="950"/>
      <c r="ALF118" s="950"/>
      <c r="ALG118" s="950"/>
      <c r="ALH118" s="950"/>
      <c r="ALI118" s="950"/>
      <c r="ALJ118" s="950"/>
      <c r="ALK118" s="950"/>
      <c r="ALL118" s="950"/>
      <c r="ALM118" s="950"/>
      <c r="ALN118" s="950"/>
      <c r="ALO118" s="950"/>
      <c r="ALP118" s="950"/>
      <c r="ALQ118" s="950"/>
      <c r="ALR118" s="950"/>
      <c r="ALS118" s="950"/>
      <c r="ALT118" s="950"/>
      <c r="ALU118" s="950"/>
      <c r="ALV118" s="950"/>
      <c r="ALW118" s="950"/>
      <c r="ALX118" s="950"/>
      <c r="ALY118" s="950"/>
      <c r="ALZ118" s="950"/>
      <c r="AMA118" s="950"/>
      <c r="AMB118" s="950"/>
      <c r="AMC118" s="950"/>
      <c r="AMD118" s="950"/>
      <c r="AME118" s="950"/>
      <c r="AMF118" s="950"/>
      <c r="AMG118" s="950"/>
      <c r="AMH118" s="950"/>
      <c r="AMI118" s="950"/>
      <c r="AMJ118" s="950"/>
      <c r="AMK118" s="950"/>
      <c r="AML118" s="950"/>
      <c r="AMM118" s="950"/>
      <c r="AMN118" s="950"/>
      <c r="AMO118" s="950"/>
      <c r="AMP118" s="950"/>
      <c r="AMQ118" s="950"/>
      <c r="AMR118" s="950"/>
      <c r="AMS118" s="950"/>
      <c r="AMT118" s="950"/>
      <c r="AMU118" s="950"/>
      <c r="AMV118" s="950"/>
      <c r="AMW118" s="950"/>
      <c r="AMX118" s="950"/>
      <c r="AMY118" s="950"/>
      <c r="AMZ118" s="950"/>
      <c r="ANA118" s="950"/>
      <c r="ANB118" s="950"/>
      <c r="ANC118" s="950"/>
      <c r="AND118" s="950"/>
      <c r="ANE118" s="950"/>
      <c r="ANF118" s="950"/>
      <c r="ANG118" s="950"/>
      <c r="ANH118" s="950"/>
      <c r="ANI118" s="950"/>
      <c r="ANJ118" s="950"/>
      <c r="ANK118" s="950"/>
      <c r="ANL118" s="950"/>
      <c r="ANM118" s="950"/>
      <c r="ANN118" s="950"/>
      <c r="ANO118" s="950"/>
      <c r="ANP118" s="950"/>
      <c r="ANQ118" s="950"/>
      <c r="ANR118" s="950"/>
      <c r="ANS118" s="950"/>
      <c r="ANT118" s="950"/>
      <c r="ANU118" s="950"/>
      <c r="ANV118" s="950"/>
      <c r="ANW118" s="950"/>
      <c r="ANX118" s="950"/>
      <c r="ANY118" s="950"/>
      <c r="ANZ118" s="950"/>
      <c r="AOA118" s="950"/>
      <c r="AOB118" s="950"/>
      <c r="AOC118" s="950"/>
      <c r="AOD118" s="950"/>
      <c r="AOE118" s="950"/>
      <c r="AOF118" s="950"/>
      <c r="AOG118" s="950"/>
      <c r="AOH118" s="950"/>
      <c r="AOI118" s="950"/>
      <c r="AOJ118" s="950"/>
      <c r="AOK118" s="950"/>
      <c r="AOL118" s="950"/>
      <c r="AOM118" s="950"/>
      <c r="AON118" s="950"/>
      <c r="AOO118" s="950"/>
      <c r="AOP118" s="950"/>
      <c r="AOQ118" s="950"/>
      <c r="AOR118" s="950"/>
      <c r="AOS118" s="950"/>
      <c r="AOT118" s="950"/>
      <c r="AOU118" s="950"/>
      <c r="AOV118" s="950"/>
      <c r="AOW118" s="950"/>
      <c r="AOX118" s="950"/>
      <c r="AOY118" s="950"/>
      <c r="AOZ118" s="950"/>
      <c r="APA118" s="950"/>
      <c r="APB118" s="950"/>
      <c r="APC118" s="950"/>
      <c r="APD118" s="950"/>
      <c r="APE118" s="950"/>
      <c r="APF118" s="950"/>
      <c r="APG118" s="950"/>
      <c r="APH118" s="950"/>
      <c r="API118" s="950"/>
      <c r="APJ118" s="950"/>
      <c r="APK118" s="950"/>
      <c r="APL118" s="950"/>
      <c r="APM118" s="950"/>
      <c r="APN118" s="950"/>
      <c r="APO118" s="950"/>
      <c r="APP118" s="950"/>
      <c r="APQ118" s="950"/>
      <c r="APR118" s="950"/>
      <c r="APS118" s="950"/>
      <c r="APT118" s="950"/>
      <c r="APU118" s="950"/>
      <c r="APV118" s="950"/>
      <c r="APW118" s="950"/>
      <c r="APX118" s="950"/>
      <c r="APY118" s="950"/>
      <c r="APZ118" s="950"/>
      <c r="AQA118" s="950"/>
      <c r="AQB118" s="950"/>
      <c r="AQC118" s="950"/>
      <c r="AQD118" s="950"/>
      <c r="AQE118" s="950"/>
      <c r="AQF118" s="950"/>
      <c r="AQG118" s="950"/>
      <c r="AQH118" s="950"/>
      <c r="AQI118" s="950"/>
      <c r="AQJ118" s="950"/>
      <c r="AQK118" s="950"/>
      <c r="AQL118" s="950"/>
      <c r="AQM118" s="950"/>
      <c r="AQN118" s="950"/>
      <c r="AQO118" s="950"/>
      <c r="AQP118" s="950"/>
      <c r="AQQ118" s="950"/>
      <c r="AQR118" s="950"/>
      <c r="AQS118" s="950"/>
      <c r="AQT118" s="950"/>
      <c r="AQU118" s="950"/>
      <c r="AQV118" s="950"/>
      <c r="AQW118" s="950"/>
      <c r="AQX118" s="950"/>
      <c r="AQY118" s="950"/>
      <c r="AQZ118" s="950"/>
      <c r="ARA118" s="950"/>
      <c r="ARB118" s="950"/>
      <c r="ARC118" s="950"/>
      <c r="ARD118" s="950"/>
      <c r="ARE118" s="950"/>
      <c r="ARF118" s="950"/>
      <c r="ARG118" s="950"/>
      <c r="ARH118" s="950"/>
      <c r="ARI118" s="950"/>
      <c r="ARJ118" s="950"/>
      <c r="ARK118" s="950"/>
      <c r="ARL118" s="950"/>
      <c r="ARM118" s="950"/>
      <c r="ARN118" s="950"/>
      <c r="ARO118" s="950"/>
      <c r="ARP118" s="950"/>
      <c r="ARQ118" s="950"/>
      <c r="ARR118" s="950"/>
      <c r="ARS118" s="950"/>
      <c r="ART118" s="950"/>
      <c r="ARU118" s="950"/>
      <c r="ARV118" s="950"/>
      <c r="ARW118" s="950"/>
      <c r="ARX118" s="950"/>
      <c r="ARY118" s="950"/>
      <c r="ARZ118" s="950"/>
      <c r="ASA118" s="950"/>
      <c r="ASB118" s="950"/>
      <c r="ASC118" s="950"/>
      <c r="ASD118" s="950"/>
      <c r="ASE118" s="950"/>
      <c r="ASF118" s="950"/>
      <c r="ASG118" s="950"/>
      <c r="ASH118" s="950"/>
      <c r="ASI118" s="950"/>
      <c r="ASJ118" s="950"/>
      <c r="ASK118" s="950"/>
      <c r="ASL118" s="950"/>
      <c r="ASM118" s="950"/>
      <c r="ASN118" s="950"/>
      <c r="ASO118" s="950"/>
      <c r="ASP118" s="950"/>
      <c r="ASQ118" s="950"/>
      <c r="ASR118" s="950"/>
      <c r="ASS118" s="950"/>
      <c r="AST118" s="950"/>
      <c r="ASU118" s="950"/>
      <c r="ASV118" s="950"/>
      <c r="ASW118" s="950"/>
      <c r="ASX118" s="950"/>
      <c r="ASY118" s="950"/>
      <c r="ASZ118" s="950"/>
      <c r="ATA118" s="950"/>
      <c r="ATB118" s="950"/>
      <c r="ATC118" s="950"/>
      <c r="ATD118" s="950"/>
      <c r="ATE118" s="950"/>
      <c r="ATF118" s="950"/>
      <c r="ATG118" s="950"/>
      <c r="ATH118" s="950"/>
      <c r="ATI118" s="950"/>
      <c r="ATJ118" s="950"/>
      <c r="ATK118" s="950"/>
      <c r="ATL118" s="950"/>
      <c r="ATM118" s="950"/>
      <c r="ATN118" s="950"/>
      <c r="ATO118" s="950"/>
      <c r="ATP118" s="950"/>
      <c r="ATQ118" s="950"/>
      <c r="ATR118" s="950"/>
      <c r="ATS118" s="950"/>
      <c r="ATT118" s="950"/>
      <c r="ATU118" s="950"/>
      <c r="ATV118" s="950"/>
      <c r="ATW118" s="950"/>
      <c r="ATX118" s="950"/>
      <c r="ATY118" s="950"/>
      <c r="ATZ118" s="950"/>
      <c r="AUA118" s="950"/>
      <c r="AUB118" s="950"/>
      <c r="AUC118" s="950"/>
      <c r="AUD118" s="950"/>
      <c r="AUE118" s="950"/>
      <c r="AUF118" s="950"/>
      <c r="AUG118" s="950"/>
      <c r="AUH118" s="950"/>
      <c r="AUI118" s="950"/>
      <c r="AUJ118" s="950"/>
      <c r="AUK118" s="950"/>
      <c r="AUL118" s="950"/>
      <c r="AUM118" s="950"/>
      <c r="AUN118" s="950"/>
      <c r="AUO118" s="950"/>
      <c r="AUP118" s="950"/>
      <c r="AUQ118" s="950"/>
      <c r="AUR118" s="950"/>
      <c r="AUS118" s="950"/>
      <c r="AUT118" s="950"/>
      <c r="AUU118" s="950"/>
      <c r="AUV118" s="950"/>
      <c r="AUW118" s="950"/>
      <c r="AUX118" s="950"/>
      <c r="AUY118" s="950"/>
      <c r="AUZ118" s="950"/>
      <c r="AVA118" s="950"/>
      <c r="AVB118" s="950"/>
      <c r="AVC118" s="950"/>
      <c r="AVD118" s="950"/>
      <c r="AVE118" s="950"/>
      <c r="AVF118" s="950"/>
      <c r="AVG118" s="950"/>
      <c r="AVH118" s="950"/>
      <c r="AVI118" s="950"/>
      <c r="AVJ118" s="950"/>
      <c r="AVK118" s="950"/>
      <c r="AVL118" s="950"/>
      <c r="AVM118" s="950"/>
      <c r="AVN118" s="950"/>
      <c r="AVO118" s="950"/>
      <c r="AVP118" s="950"/>
      <c r="AVQ118" s="950"/>
      <c r="AVR118" s="950"/>
      <c r="AVS118" s="950"/>
      <c r="AVT118" s="950"/>
      <c r="AVU118" s="950"/>
      <c r="AVV118" s="950"/>
      <c r="AVW118" s="950"/>
      <c r="AVX118" s="950"/>
      <c r="AVY118" s="950"/>
      <c r="AVZ118" s="950"/>
      <c r="AWA118" s="950"/>
      <c r="AWB118" s="950"/>
      <c r="AWC118" s="950"/>
      <c r="AWD118" s="950"/>
      <c r="AWE118" s="950"/>
      <c r="AWF118" s="950"/>
      <c r="AWG118" s="950"/>
      <c r="AWH118" s="950"/>
      <c r="AWI118" s="950"/>
      <c r="AWJ118" s="950"/>
      <c r="AWK118" s="950"/>
      <c r="AWL118" s="950"/>
      <c r="AWM118" s="950"/>
      <c r="AWN118" s="950"/>
      <c r="AWO118" s="950"/>
      <c r="AWP118" s="950"/>
      <c r="AWQ118" s="950"/>
      <c r="AWR118" s="950"/>
      <c r="AWS118" s="950"/>
      <c r="AWT118" s="950"/>
      <c r="AWU118" s="950"/>
      <c r="AWV118" s="950"/>
      <c r="AWW118" s="950"/>
      <c r="AWX118" s="950"/>
      <c r="AWY118" s="950"/>
      <c r="AWZ118" s="950"/>
      <c r="AXA118" s="950"/>
      <c r="AXB118" s="950"/>
      <c r="AXC118" s="950"/>
      <c r="AXD118" s="950"/>
      <c r="AXE118" s="950"/>
      <c r="AXF118" s="950"/>
      <c r="AXG118" s="950"/>
      <c r="AXH118" s="950"/>
      <c r="AXI118" s="950"/>
      <c r="AXJ118" s="950"/>
      <c r="AXK118" s="950"/>
      <c r="AXL118" s="950"/>
      <c r="AXM118" s="950"/>
      <c r="AXN118" s="950"/>
      <c r="AXO118" s="950"/>
      <c r="AXP118" s="950"/>
      <c r="AXQ118" s="950"/>
      <c r="AXR118" s="950"/>
      <c r="AXS118" s="950"/>
      <c r="AXT118" s="950"/>
      <c r="AXU118" s="950"/>
      <c r="AXV118" s="950"/>
      <c r="AXW118" s="950"/>
      <c r="AXX118" s="950"/>
      <c r="AXY118" s="950"/>
      <c r="AXZ118" s="950"/>
      <c r="AYA118" s="950"/>
      <c r="AYB118" s="950"/>
      <c r="AYC118" s="950"/>
      <c r="AYD118" s="950"/>
      <c r="AYE118" s="950"/>
      <c r="AYF118" s="950"/>
      <c r="AYG118" s="950"/>
      <c r="AYH118" s="950"/>
      <c r="AYI118" s="950"/>
      <c r="AYJ118" s="950"/>
      <c r="AYK118" s="950"/>
      <c r="AYL118" s="950"/>
      <c r="AYM118" s="950"/>
      <c r="AYN118" s="950"/>
      <c r="AYO118" s="950"/>
      <c r="AYP118" s="950"/>
      <c r="AYQ118" s="950"/>
      <c r="AYR118" s="950"/>
      <c r="AYS118" s="950"/>
      <c r="AYT118" s="950"/>
      <c r="AYU118" s="950"/>
      <c r="AYV118" s="950"/>
      <c r="AYW118" s="950"/>
      <c r="AYX118" s="950"/>
      <c r="AYY118" s="950"/>
      <c r="AYZ118" s="950"/>
      <c r="AZA118" s="950"/>
      <c r="AZB118" s="950"/>
      <c r="AZC118" s="950"/>
      <c r="AZD118" s="950"/>
      <c r="AZE118" s="950"/>
      <c r="AZF118" s="950"/>
      <c r="AZG118" s="950"/>
      <c r="AZH118" s="950"/>
      <c r="AZI118" s="950"/>
      <c r="AZJ118" s="950"/>
      <c r="AZK118" s="950"/>
      <c r="AZL118" s="950"/>
      <c r="AZM118" s="950"/>
      <c r="AZN118" s="950"/>
      <c r="AZO118" s="950"/>
      <c r="AZP118" s="950"/>
      <c r="AZQ118" s="950"/>
      <c r="AZR118" s="950"/>
      <c r="AZS118" s="950"/>
      <c r="AZT118" s="950"/>
      <c r="AZU118" s="950"/>
      <c r="AZV118" s="950"/>
      <c r="AZW118" s="950"/>
      <c r="AZX118" s="950"/>
      <c r="AZY118" s="950"/>
      <c r="AZZ118" s="950"/>
      <c r="BAA118" s="950"/>
      <c r="BAB118" s="950"/>
      <c r="BAC118" s="950"/>
      <c r="BAD118" s="950"/>
      <c r="BAE118" s="950"/>
      <c r="BAF118" s="950"/>
      <c r="BAG118" s="950"/>
      <c r="BAH118" s="950"/>
      <c r="BAI118" s="950"/>
      <c r="BAJ118" s="950"/>
      <c r="BAK118" s="950"/>
      <c r="BAL118" s="950"/>
      <c r="BAM118" s="950"/>
      <c r="BAN118" s="950"/>
      <c r="BAO118" s="950"/>
      <c r="BAP118" s="950"/>
      <c r="BAQ118" s="950"/>
      <c r="BAR118" s="950"/>
      <c r="BAS118" s="950"/>
      <c r="BAT118" s="950"/>
      <c r="BAU118" s="950"/>
      <c r="BAV118" s="950"/>
      <c r="BAW118" s="950"/>
      <c r="BAX118" s="950"/>
      <c r="BAY118" s="950"/>
      <c r="BAZ118" s="950"/>
      <c r="BBA118" s="950"/>
      <c r="BBB118" s="950"/>
      <c r="BBC118" s="950"/>
      <c r="BBD118" s="950"/>
      <c r="BBE118" s="950"/>
      <c r="BBF118" s="950"/>
      <c r="BBG118" s="950"/>
      <c r="BBH118" s="950"/>
      <c r="BBI118" s="950"/>
      <c r="BBJ118" s="950"/>
      <c r="BBK118" s="950"/>
      <c r="BBL118" s="950"/>
      <c r="BBM118" s="950"/>
      <c r="BBN118" s="950"/>
      <c r="BBO118" s="950"/>
      <c r="BBP118" s="950"/>
      <c r="BBQ118" s="950"/>
      <c r="BBR118" s="950"/>
      <c r="BBS118" s="950"/>
      <c r="BBT118" s="950"/>
      <c r="BBU118" s="950"/>
      <c r="BBV118" s="950"/>
      <c r="BBW118" s="950"/>
      <c r="BBX118" s="950"/>
      <c r="BBY118" s="950"/>
      <c r="BBZ118" s="950"/>
      <c r="BCA118" s="950"/>
      <c r="BCB118" s="950"/>
      <c r="BCC118" s="950"/>
      <c r="BCD118" s="950"/>
      <c r="BCE118" s="950"/>
      <c r="BCF118" s="950"/>
      <c r="BCG118" s="950"/>
      <c r="BCH118" s="950"/>
      <c r="BCI118" s="950"/>
      <c r="BCJ118" s="950"/>
      <c r="BCK118" s="950"/>
      <c r="BCL118" s="950"/>
      <c r="BCM118" s="950"/>
      <c r="BCN118" s="950"/>
      <c r="BCO118" s="950"/>
      <c r="BCP118" s="950"/>
      <c r="BCQ118" s="950"/>
      <c r="BCR118" s="950"/>
      <c r="BCS118" s="950"/>
      <c r="BCT118" s="950"/>
      <c r="BCU118" s="950"/>
      <c r="BCV118" s="950"/>
      <c r="BCW118" s="950"/>
      <c r="BCX118" s="950"/>
      <c r="BCY118" s="950"/>
      <c r="BCZ118" s="950"/>
      <c r="BDA118" s="950"/>
      <c r="BDB118" s="950"/>
      <c r="BDC118" s="950"/>
      <c r="BDD118" s="950"/>
      <c r="BDE118" s="950"/>
      <c r="BDF118" s="950"/>
      <c r="BDG118" s="950"/>
      <c r="BDH118" s="950"/>
      <c r="BDI118" s="950"/>
      <c r="BDJ118" s="950"/>
      <c r="BDK118" s="950"/>
      <c r="BDL118" s="950"/>
      <c r="BDM118" s="950"/>
      <c r="BDN118" s="950"/>
      <c r="BDO118" s="950"/>
      <c r="BDP118" s="950"/>
      <c r="BDQ118" s="950"/>
      <c r="BDR118" s="950"/>
      <c r="BDS118" s="950"/>
      <c r="BDT118" s="950"/>
      <c r="BDU118" s="950"/>
      <c r="BDV118" s="950"/>
      <c r="BDW118" s="950"/>
      <c r="BDX118" s="950"/>
      <c r="BDY118" s="950"/>
      <c r="BDZ118" s="950"/>
      <c r="BEA118" s="950"/>
      <c r="BEB118" s="950"/>
      <c r="BEC118" s="950"/>
      <c r="BED118" s="950"/>
      <c r="BEE118" s="950"/>
      <c r="BEF118" s="950"/>
      <c r="BEG118" s="950"/>
      <c r="BEH118" s="950"/>
      <c r="BEI118" s="950"/>
      <c r="BEJ118" s="950"/>
      <c r="BEK118" s="950"/>
      <c r="BEL118" s="950"/>
      <c r="BEM118" s="950"/>
      <c r="BEN118" s="950"/>
      <c r="BEO118" s="950"/>
      <c r="BEP118" s="950"/>
      <c r="BEQ118" s="950"/>
      <c r="BER118" s="950"/>
      <c r="BES118" s="950"/>
      <c r="BET118" s="950"/>
      <c r="BEU118" s="950"/>
      <c r="BEV118" s="950"/>
      <c r="BEW118" s="950"/>
      <c r="BEX118" s="950"/>
      <c r="BEY118" s="950"/>
      <c r="BEZ118" s="950"/>
      <c r="BFA118" s="950"/>
      <c r="BFB118" s="950"/>
      <c r="BFC118" s="950"/>
      <c r="BFD118" s="950"/>
      <c r="BFE118" s="950"/>
      <c r="BFF118" s="950"/>
      <c r="BFG118" s="950"/>
      <c r="BFH118" s="950"/>
      <c r="BFI118" s="950"/>
      <c r="BFJ118" s="950"/>
      <c r="BFK118" s="950"/>
      <c r="BFL118" s="950"/>
      <c r="BFM118" s="950"/>
      <c r="BFN118" s="950"/>
      <c r="BFO118" s="950"/>
      <c r="BFP118" s="950"/>
      <c r="BFQ118" s="950"/>
      <c r="BFR118" s="950"/>
      <c r="BFS118" s="950"/>
      <c r="BFT118" s="950"/>
      <c r="BFU118" s="950"/>
      <c r="BFV118" s="950"/>
      <c r="BFW118" s="950"/>
      <c r="BFX118" s="950"/>
      <c r="BFY118" s="950"/>
      <c r="BFZ118" s="950"/>
      <c r="BGA118" s="950"/>
      <c r="BGB118" s="950"/>
      <c r="BGC118" s="950"/>
      <c r="BGD118" s="950"/>
      <c r="BGE118" s="950"/>
      <c r="BGF118" s="950"/>
      <c r="BGG118" s="950"/>
      <c r="BGH118" s="950"/>
      <c r="BGI118" s="950"/>
      <c r="BGJ118" s="950"/>
      <c r="BGK118" s="950"/>
      <c r="BGL118" s="950"/>
      <c r="BGM118" s="950"/>
      <c r="BGN118" s="950"/>
      <c r="BGO118" s="950"/>
      <c r="BGP118" s="950"/>
      <c r="BGQ118" s="950"/>
      <c r="BGR118" s="950"/>
      <c r="BGS118" s="950"/>
      <c r="BGT118" s="950"/>
      <c r="BGU118" s="950"/>
      <c r="BGV118" s="950"/>
      <c r="BGW118" s="950"/>
      <c r="BGX118" s="950"/>
      <c r="BGY118" s="950"/>
      <c r="BGZ118" s="950"/>
      <c r="BHA118" s="950"/>
      <c r="BHB118" s="950"/>
      <c r="BHC118" s="950"/>
      <c r="BHD118" s="950"/>
      <c r="BHE118" s="950"/>
      <c r="BHF118" s="950"/>
      <c r="BHG118" s="950"/>
      <c r="BHH118" s="950"/>
      <c r="BHI118" s="950"/>
      <c r="BHJ118" s="950"/>
      <c r="BHK118" s="950"/>
      <c r="BHL118" s="950"/>
      <c r="BHM118" s="950"/>
      <c r="BHN118" s="950"/>
      <c r="BHO118" s="950"/>
      <c r="BHP118" s="950"/>
      <c r="BHQ118" s="950"/>
      <c r="BHR118" s="950"/>
      <c r="BHS118" s="950"/>
      <c r="BHT118" s="950"/>
      <c r="BHU118" s="950"/>
      <c r="BHV118" s="950"/>
      <c r="BHW118" s="950"/>
      <c r="BHX118" s="950"/>
      <c r="BHY118" s="950"/>
      <c r="BHZ118" s="950"/>
      <c r="BIA118" s="950"/>
      <c r="BIB118" s="950"/>
      <c r="BIC118" s="950"/>
      <c r="BID118" s="950"/>
      <c r="BIE118" s="950"/>
      <c r="BIF118" s="950"/>
      <c r="BIG118" s="950"/>
      <c r="BIH118" s="950"/>
      <c r="BII118" s="950"/>
      <c r="BIJ118" s="950"/>
      <c r="BIK118" s="950"/>
      <c r="BIL118" s="950"/>
      <c r="BIM118" s="950"/>
      <c r="BIN118" s="950"/>
      <c r="BIO118" s="950"/>
      <c r="BIP118" s="950"/>
      <c r="BIQ118" s="950"/>
      <c r="BIR118" s="950"/>
      <c r="BIS118" s="950"/>
      <c r="BIT118" s="950"/>
      <c r="BIU118" s="950"/>
      <c r="BIV118" s="950"/>
      <c r="BIW118" s="950"/>
      <c r="BIX118" s="950"/>
      <c r="BIY118" s="950"/>
      <c r="BIZ118" s="950"/>
      <c r="BJA118" s="950"/>
      <c r="BJB118" s="950"/>
      <c r="BJC118" s="950"/>
      <c r="BJD118" s="950"/>
      <c r="BJE118" s="950"/>
      <c r="BJF118" s="950"/>
      <c r="BJG118" s="950"/>
      <c r="BJH118" s="950"/>
      <c r="BJI118" s="950"/>
      <c r="BJJ118" s="950"/>
      <c r="BJK118" s="950"/>
      <c r="BJL118" s="950"/>
      <c r="BJM118" s="950"/>
      <c r="BJN118" s="950"/>
      <c r="BJO118" s="950"/>
      <c r="BJP118" s="950"/>
      <c r="BJQ118" s="950"/>
      <c r="BJR118" s="950"/>
      <c r="BJS118" s="950"/>
      <c r="BJT118" s="950"/>
      <c r="BJU118" s="950"/>
      <c r="BJV118" s="950"/>
      <c r="BJW118" s="950"/>
      <c r="BJX118" s="950"/>
      <c r="BJY118" s="950"/>
      <c r="BJZ118" s="950"/>
      <c r="BKA118" s="950"/>
      <c r="BKB118" s="950"/>
      <c r="BKC118" s="950"/>
      <c r="BKD118" s="950"/>
      <c r="BKE118" s="950"/>
      <c r="BKF118" s="950"/>
      <c r="BKG118" s="950"/>
      <c r="BKH118" s="950"/>
      <c r="BKI118" s="950"/>
      <c r="BKJ118" s="950"/>
      <c r="BKK118" s="950"/>
      <c r="BKL118" s="950"/>
      <c r="BKM118" s="950"/>
      <c r="BKN118" s="950"/>
      <c r="BKO118" s="950"/>
      <c r="BKP118" s="950"/>
      <c r="BKQ118" s="950"/>
      <c r="BKR118" s="950"/>
      <c r="BKS118" s="950"/>
      <c r="BKT118" s="950"/>
      <c r="BKU118" s="950"/>
      <c r="BKV118" s="950"/>
      <c r="BKW118" s="950"/>
      <c r="BKX118" s="950"/>
      <c r="BKY118" s="950"/>
      <c r="BKZ118" s="950"/>
      <c r="BLA118" s="950"/>
      <c r="BLB118" s="950"/>
      <c r="BLC118" s="950"/>
      <c r="BLD118" s="950"/>
      <c r="BLE118" s="950"/>
      <c r="BLF118" s="950"/>
      <c r="BLG118" s="950"/>
      <c r="BLH118" s="950"/>
      <c r="BLI118" s="950"/>
      <c r="BLJ118" s="950"/>
      <c r="BLK118" s="950"/>
      <c r="BLL118" s="950"/>
      <c r="BLM118" s="950"/>
      <c r="BLN118" s="950"/>
      <c r="BLO118" s="950"/>
      <c r="BLP118" s="950"/>
      <c r="BLQ118" s="950"/>
      <c r="BLR118" s="950"/>
      <c r="BLS118" s="950"/>
      <c r="BLT118" s="950"/>
      <c r="BLU118" s="950"/>
      <c r="BLV118" s="950"/>
      <c r="BLW118" s="950"/>
      <c r="BLX118" s="950"/>
      <c r="BLY118" s="950"/>
      <c r="BLZ118" s="950"/>
      <c r="BMA118" s="950"/>
      <c r="BMB118" s="950"/>
      <c r="BMC118" s="950"/>
      <c r="BMD118" s="950"/>
      <c r="BME118" s="950"/>
      <c r="BMF118" s="950"/>
      <c r="BMG118" s="950"/>
      <c r="BMH118" s="950"/>
      <c r="BMI118" s="950"/>
      <c r="BMJ118" s="950"/>
      <c r="BMK118" s="950"/>
      <c r="BML118" s="950"/>
      <c r="BMM118" s="950"/>
      <c r="BMN118" s="950"/>
      <c r="BMO118" s="950"/>
      <c r="BMP118" s="950"/>
      <c r="BMQ118" s="950"/>
      <c r="BMR118" s="950"/>
      <c r="BMS118" s="950"/>
      <c r="BMT118" s="950"/>
      <c r="BMU118" s="950"/>
      <c r="BMV118" s="950"/>
      <c r="BMW118" s="950"/>
      <c r="BMX118" s="950"/>
      <c r="BMY118" s="950"/>
      <c r="BMZ118" s="950"/>
      <c r="BNA118" s="950"/>
      <c r="BNB118" s="950"/>
      <c r="BNC118" s="950"/>
      <c r="BND118" s="950"/>
      <c r="BNE118" s="950"/>
      <c r="BNF118" s="950"/>
      <c r="BNG118" s="950"/>
      <c r="BNH118" s="950"/>
      <c r="BNI118" s="950"/>
      <c r="BNJ118" s="950"/>
      <c r="BNK118" s="950"/>
      <c r="BNL118" s="950"/>
      <c r="BNM118" s="950"/>
      <c r="BNN118" s="950"/>
      <c r="BNO118" s="950"/>
      <c r="BNP118" s="950"/>
      <c r="BNQ118" s="950"/>
      <c r="BNR118" s="950"/>
      <c r="BNS118" s="950"/>
      <c r="BNT118" s="950"/>
      <c r="BNU118" s="950"/>
      <c r="BNV118" s="950"/>
      <c r="BNW118" s="950"/>
      <c r="BNX118" s="950"/>
      <c r="BNY118" s="950"/>
      <c r="BNZ118" s="950"/>
      <c r="BOA118" s="950"/>
      <c r="BOB118" s="950"/>
      <c r="BOC118" s="950"/>
      <c r="BOD118" s="950"/>
      <c r="BOE118" s="950"/>
      <c r="BOF118" s="950"/>
      <c r="BOG118" s="950"/>
      <c r="BOH118" s="950"/>
      <c r="BOI118" s="950"/>
      <c r="BOJ118" s="950"/>
      <c r="BOK118" s="950"/>
      <c r="BOL118" s="950"/>
      <c r="BOM118" s="950"/>
      <c r="BON118" s="950"/>
      <c r="BOO118" s="950"/>
      <c r="BOP118" s="950"/>
      <c r="BOQ118" s="950"/>
      <c r="BOR118" s="950"/>
      <c r="BOS118" s="950"/>
      <c r="BOT118" s="950"/>
      <c r="BOU118" s="950"/>
      <c r="BOV118" s="950"/>
      <c r="BOW118" s="950"/>
      <c r="BOX118" s="950"/>
      <c r="BOY118" s="950"/>
      <c r="BOZ118" s="950"/>
      <c r="BPA118" s="950"/>
      <c r="BPB118" s="950"/>
      <c r="BPC118" s="950"/>
      <c r="BPD118" s="950"/>
      <c r="BPE118" s="950"/>
      <c r="BPF118" s="950"/>
      <c r="BPG118" s="950"/>
      <c r="BPH118" s="950"/>
      <c r="BPI118" s="950"/>
      <c r="BPJ118" s="950"/>
      <c r="BPK118" s="950"/>
      <c r="BPL118" s="950"/>
      <c r="BPM118" s="950"/>
      <c r="BPN118" s="950"/>
      <c r="BPO118" s="950"/>
      <c r="BPP118" s="950"/>
      <c r="BPQ118" s="950"/>
      <c r="BPR118" s="950"/>
      <c r="BPS118" s="950"/>
      <c r="BPT118" s="950"/>
      <c r="BPU118" s="950"/>
      <c r="BPV118" s="950"/>
      <c r="BPW118" s="950"/>
      <c r="BPX118" s="950"/>
      <c r="BPY118" s="950"/>
      <c r="BPZ118" s="950"/>
      <c r="BQA118" s="950"/>
      <c r="BQB118" s="950"/>
      <c r="BQC118" s="950"/>
      <c r="BQD118" s="950"/>
      <c r="BQE118" s="950"/>
      <c r="BQF118" s="950"/>
      <c r="BQG118" s="950"/>
      <c r="BQH118" s="950"/>
      <c r="BQI118" s="950"/>
      <c r="BQJ118" s="950"/>
      <c r="BQK118" s="950"/>
      <c r="BQL118" s="950"/>
      <c r="BQM118" s="950"/>
      <c r="BQN118" s="950"/>
      <c r="BQO118" s="950"/>
      <c r="BQP118" s="950"/>
      <c r="BQQ118" s="950"/>
      <c r="BQR118" s="950"/>
      <c r="BQS118" s="950"/>
      <c r="BQT118" s="950"/>
      <c r="BQU118" s="950"/>
      <c r="BQV118" s="950"/>
      <c r="BQW118" s="950"/>
      <c r="BQX118" s="950"/>
      <c r="BQY118" s="950"/>
      <c r="BQZ118" s="950"/>
      <c r="BRA118" s="950"/>
      <c r="BRB118" s="950"/>
      <c r="BRC118" s="950"/>
      <c r="BRD118" s="950"/>
      <c r="BRE118" s="950"/>
      <c r="BRF118" s="950"/>
      <c r="BRG118" s="950"/>
      <c r="BRH118" s="950"/>
      <c r="BRI118" s="950"/>
      <c r="BRJ118" s="950"/>
      <c r="BRK118" s="950"/>
      <c r="BRL118" s="950"/>
      <c r="BRM118" s="950"/>
      <c r="BRN118" s="950"/>
      <c r="BRO118" s="950"/>
      <c r="BRP118" s="950"/>
      <c r="BRQ118" s="950"/>
      <c r="BRR118" s="950"/>
      <c r="BRS118" s="950"/>
      <c r="BRT118" s="950"/>
      <c r="BRU118" s="950"/>
      <c r="BRV118" s="950"/>
      <c r="BRW118" s="950"/>
      <c r="BRX118" s="950"/>
      <c r="BRY118" s="950"/>
      <c r="BRZ118" s="950"/>
      <c r="BSA118" s="950"/>
      <c r="BSB118" s="950"/>
      <c r="BSC118" s="950"/>
      <c r="BSD118" s="950"/>
      <c r="BSE118" s="950"/>
      <c r="BSF118" s="950"/>
      <c r="BSG118" s="950"/>
      <c r="BSH118" s="950"/>
      <c r="BSI118" s="950"/>
      <c r="BSJ118" s="950"/>
      <c r="BSK118" s="950"/>
      <c r="BSL118" s="950"/>
      <c r="BSM118" s="950"/>
      <c r="BSN118" s="950"/>
      <c r="BSO118" s="950"/>
      <c r="BSP118" s="950"/>
      <c r="BSQ118" s="950"/>
      <c r="BSR118" s="950"/>
      <c r="BSS118" s="950"/>
      <c r="BST118" s="950"/>
      <c r="BSU118" s="950"/>
      <c r="BSV118" s="950"/>
      <c r="BSW118" s="950"/>
      <c r="BSX118" s="950"/>
      <c r="BSY118" s="950"/>
      <c r="BSZ118" s="950"/>
      <c r="BTA118" s="950"/>
      <c r="BTB118" s="950"/>
      <c r="BTC118" s="950"/>
      <c r="BTD118" s="950"/>
      <c r="BTE118" s="950"/>
      <c r="BTF118" s="950"/>
      <c r="BTG118" s="950"/>
      <c r="BTH118" s="950"/>
      <c r="BTI118" s="950"/>
      <c r="BTJ118" s="950"/>
      <c r="BTK118" s="950"/>
      <c r="BTL118" s="950"/>
      <c r="BTM118" s="950"/>
      <c r="BTN118" s="950"/>
      <c r="BTO118" s="950"/>
      <c r="BTP118" s="950"/>
      <c r="BTQ118" s="950"/>
      <c r="BTR118" s="950"/>
      <c r="BTS118" s="950"/>
      <c r="BTT118" s="950"/>
      <c r="BTU118" s="950"/>
      <c r="BTV118" s="950"/>
      <c r="BTW118" s="950"/>
      <c r="BTX118" s="950"/>
      <c r="BTY118" s="950"/>
      <c r="BTZ118" s="950"/>
      <c r="BUA118" s="950"/>
      <c r="BUB118" s="950"/>
      <c r="BUC118" s="950"/>
      <c r="BUD118" s="950"/>
      <c r="BUE118" s="950"/>
      <c r="BUF118" s="950"/>
      <c r="BUG118" s="950"/>
      <c r="BUH118" s="950"/>
      <c r="BUI118" s="950"/>
      <c r="BUJ118" s="950"/>
      <c r="BUK118" s="950"/>
      <c r="BUL118" s="950"/>
      <c r="BUM118" s="950"/>
      <c r="BUN118" s="950"/>
      <c r="BUO118" s="950"/>
      <c r="BUP118" s="950"/>
      <c r="BUQ118" s="950"/>
      <c r="BUR118" s="950"/>
      <c r="BUS118" s="950"/>
      <c r="BUT118" s="950"/>
      <c r="BUU118" s="950"/>
      <c r="BUV118" s="950"/>
      <c r="BUW118" s="950"/>
      <c r="BUX118" s="950"/>
      <c r="BUY118" s="950"/>
      <c r="BUZ118" s="950"/>
      <c r="BVA118" s="950"/>
      <c r="BVB118" s="950"/>
      <c r="BVC118" s="950"/>
      <c r="BVD118" s="950"/>
      <c r="BVE118" s="950"/>
      <c r="BVF118" s="950"/>
      <c r="BVG118" s="950"/>
      <c r="BVH118" s="950"/>
      <c r="BVI118" s="950"/>
      <c r="BVJ118" s="950"/>
      <c r="BVK118" s="950"/>
      <c r="BVL118" s="950"/>
      <c r="BVM118" s="950"/>
      <c r="BVN118" s="950"/>
      <c r="BVO118" s="950"/>
      <c r="BVP118" s="950"/>
      <c r="BVQ118" s="950"/>
      <c r="BVR118" s="950"/>
      <c r="BVS118" s="950"/>
      <c r="BVT118" s="950"/>
      <c r="BVU118" s="950"/>
      <c r="BVV118" s="950"/>
      <c r="BVW118" s="950"/>
      <c r="BVX118" s="950"/>
      <c r="BVY118" s="950"/>
      <c r="BVZ118" s="950"/>
      <c r="BWA118" s="950"/>
      <c r="BWB118" s="950"/>
      <c r="BWC118" s="950"/>
      <c r="BWD118" s="950"/>
      <c r="BWE118" s="950"/>
      <c r="BWF118" s="950"/>
      <c r="BWG118" s="950"/>
      <c r="BWH118" s="950"/>
      <c r="BWI118" s="950"/>
      <c r="BWJ118" s="950"/>
      <c r="BWK118" s="950"/>
      <c r="BWL118" s="950"/>
      <c r="BWM118" s="950"/>
      <c r="BWN118" s="950"/>
      <c r="BWO118" s="950"/>
      <c r="BWP118" s="950"/>
      <c r="BWQ118" s="950"/>
      <c r="BWR118" s="950"/>
      <c r="BWS118" s="950"/>
      <c r="BWT118" s="950"/>
      <c r="BWU118" s="950"/>
      <c r="BWV118" s="950"/>
      <c r="BWW118" s="950"/>
      <c r="BWX118" s="950"/>
      <c r="BWY118" s="950"/>
      <c r="BWZ118" s="950"/>
      <c r="BXA118" s="950"/>
      <c r="BXB118" s="950"/>
      <c r="BXC118" s="950"/>
      <c r="BXD118" s="950"/>
      <c r="BXE118" s="950"/>
      <c r="BXF118" s="950"/>
      <c r="BXG118" s="950"/>
      <c r="BXH118" s="950"/>
      <c r="BXI118" s="950"/>
      <c r="BXJ118" s="950"/>
      <c r="BXK118" s="950"/>
      <c r="BXL118" s="950"/>
      <c r="BXM118" s="950"/>
      <c r="BXN118" s="950"/>
      <c r="BXO118" s="950"/>
      <c r="BXP118" s="950"/>
      <c r="BXQ118" s="950"/>
      <c r="BXR118" s="950"/>
      <c r="BXS118" s="950"/>
      <c r="BXT118" s="950"/>
      <c r="BXU118" s="950"/>
      <c r="BXV118" s="950"/>
      <c r="BXW118" s="950"/>
      <c r="BXX118" s="950"/>
      <c r="BXY118" s="950"/>
      <c r="BXZ118" s="950"/>
      <c r="BYA118" s="950"/>
      <c r="BYB118" s="950"/>
      <c r="BYC118" s="950"/>
      <c r="BYD118" s="950"/>
      <c r="BYE118" s="950"/>
      <c r="BYF118" s="950"/>
      <c r="BYG118" s="950"/>
      <c r="BYH118" s="950"/>
      <c r="BYI118" s="950"/>
      <c r="BYJ118" s="950"/>
      <c r="BYK118" s="950"/>
      <c r="BYL118" s="950"/>
      <c r="BYM118" s="950"/>
      <c r="BYN118" s="950"/>
      <c r="BYO118" s="950"/>
      <c r="BYP118" s="950"/>
      <c r="BYQ118" s="950"/>
      <c r="BYR118" s="950"/>
      <c r="BYS118" s="950"/>
      <c r="BYT118" s="950"/>
      <c r="BYU118" s="950"/>
      <c r="BYV118" s="950"/>
      <c r="BYW118" s="950"/>
      <c r="BYX118" s="950"/>
      <c r="BYY118" s="950"/>
      <c r="BYZ118" s="950"/>
      <c r="BZA118" s="950"/>
      <c r="BZB118" s="950"/>
      <c r="BZC118" s="950"/>
      <c r="BZD118" s="950"/>
      <c r="BZE118" s="950"/>
      <c r="BZF118" s="950"/>
      <c r="BZG118" s="950"/>
      <c r="BZH118" s="950"/>
      <c r="BZI118" s="950"/>
      <c r="BZJ118" s="950"/>
      <c r="BZK118" s="950"/>
      <c r="BZL118" s="950"/>
      <c r="BZM118" s="950"/>
      <c r="BZN118" s="950"/>
      <c r="BZO118" s="950"/>
      <c r="BZP118" s="950"/>
      <c r="BZQ118" s="950"/>
      <c r="BZR118" s="950"/>
      <c r="BZS118" s="950"/>
      <c r="BZT118" s="950"/>
      <c r="BZU118" s="950"/>
      <c r="BZV118" s="950"/>
      <c r="BZW118" s="950"/>
      <c r="BZX118" s="950"/>
      <c r="BZY118" s="950"/>
      <c r="BZZ118" s="950"/>
      <c r="CAA118" s="950"/>
      <c r="CAB118" s="950"/>
      <c r="CAC118" s="950"/>
      <c r="CAD118" s="950"/>
      <c r="CAE118" s="950"/>
      <c r="CAF118" s="950"/>
      <c r="CAG118" s="950"/>
      <c r="CAH118" s="950"/>
      <c r="CAI118" s="950"/>
      <c r="CAJ118" s="950"/>
      <c r="CAK118" s="950"/>
      <c r="CAL118" s="950"/>
      <c r="CAM118" s="950"/>
      <c r="CAN118" s="950"/>
      <c r="CAO118" s="950"/>
      <c r="CAP118" s="950"/>
      <c r="CAQ118" s="950"/>
      <c r="CAR118" s="950"/>
      <c r="CAS118" s="950"/>
      <c r="CAT118" s="950"/>
      <c r="CAU118" s="950"/>
      <c r="CAV118" s="950"/>
      <c r="CAW118" s="950"/>
      <c r="CAX118" s="950"/>
      <c r="CAY118" s="950"/>
      <c r="CAZ118" s="950"/>
      <c r="CBA118" s="950"/>
      <c r="CBB118" s="950"/>
      <c r="CBC118" s="950"/>
      <c r="CBD118" s="950"/>
      <c r="CBE118" s="950"/>
      <c r="CBF118" s="950"/>
      <c r="CBG118" s="950"/>
      <c r="CBH118" s="950"/>
      <c r="CBI118" s="950"/>
      <c r="CBJ118" s="950"/>
      <c r="CBK118" s="950"/>
      <c r="CBL118" s="950"/>
      <c r="CBM118" s="950"/>
      <c r="CBN118" s="950"/>
      <c r="CBO118" s="950"/>
      <c r="CBP118" s="950"/>
      <c r="CBQ118" s="950"/>
      <c r="CBR118" s="950"/>
      <c r="CBS118" s="950"/>
      <c r="CBT118" s="950"/>
      <c r="CBU118" s="950"/>
      <c r="CBV118" s="950"/>
      <c r="CBW118" s="950"/>
      <c r="CBX118" s="950"/>
      <c r="CBY118" s="950"/>
      <c r="CBZ118" s="950"/>
      <c r="CCA118" s="950"/>
      <c r="CCB118" s="950"/>
      <c r="CCC118" s="950"/>
      <c r="CCD118" s="950"/>
      <c r="CCE118" s="950"/>
      <c r="CCF118" s="950"/>
      <c r="CCG118" s="950"/>
      <c r="CCH118" s="950"/>
      <c r="CCI118" s="950"/>
      <c r="CCJ118" s="950"/>
      <c r="CCK118" s="950"/>
      <c r="CCL118" s="950"/>
      <c r="CCM118" s="950"/>
      <c r="CCN118" s="950"/>
      <c r="CCO118" s="950"/>
      <c r="CCP118" s="950"/>
      <c r="CCQ118" s="950"/>
      <c r="CCR118" s="950"/>
      <c r="CCS118" s="950"/>
      <c r="CCT118" s="950"/>
      <c r="CCU118" s="950"/>
      <c r="CCV118" s="950"/>
      <c r="CCW118" s="950"/>
      <c r="CCX118" s="950"/>
      <c r="CCY118" s="950"/>
      <c r="CCZ118" s="950"/>
      <c r="CDA118" s="950"/>
      <c r="CDB118" s="950"/>
      <c r="CDC118" s="950"/>
      <c r="CDD118" s="950"/>
      <c r="CDE118" s="950"/>
      <c r="CDF118" s="950"/>
      <c r="CDG118" s="950"/>
      <c r="CDH118" s="950"/>
      <c r="CDI118" s="950"/>
      <c r="CDJ118" s="950"/>
      <c r="CDK118" s="950"/>
      <c r="CDL118" s="950"/>
      <c r="CDM118" s="950"/>
      <c r="CDN118" s="950"/>
      <c r="CDO118" s="950"/>
      <c r="CDP118" s="950"/>
      <c r="CDQ118" s="950"/>
      <c r="CDR118" s="950"/>
      <c r="CDS118" s="950"/>
      <c r="CDT118" s="950"/>
      <c r="CDU118" s="950"/>
      <c r="CDV118" s="950"/>
      <c r="CDW118" s="950"/>
      <c r="CDX118" s="950"/>
      <c r="CDY118" s="950"/>
      <c r="CDZ118" s="950"/>
      <c r="CEA118" s="950"/>
      <c r="CEB118" s="950"/>
      <c r="CEC118" s="950"/>
      <c r="CED118" s="950"/>
      <c r="CEE118" s="950"/>
      <c r="CEF118" s="950"/>
      <c r="CEG118" s="950"/>
      <c r="CEH118" s="950"/>
      <c r="CEI118" s="950"/>
      <c r="CEJ118" s="950"/>
      <c r="CEK118" s="950"/>
      <c r="CEL118" s="950"/>
      <c r="CEM118" s="950"/>
      <c r="CEN118" s="950"/>
      <c r="CEO118" s="950"/>
      <c r="CEP118" s="950"/>
      <c r="CEQ118" s="950"/>
      <c r="CER118" s="950"/>
      <c r="CES118" s="950"/>
      <c r="CET118" s="950"/>
      <c r="CEU118" s="950"/>
      <c r="CEV118" s="950"/>
      <c r="CEW118" s="950"/>
      <c r="CEX118" s="950"/>
      <c r="CEY118" s="950"/>
      <c r="CEZ118" s="950"/>
      <c r="CFA118" s="950"/>
      <c r="CFB118" s="950"/>
      <c r="CFC118" s="950"/>
      <c r="CFD118" s="950"/>
      <c r="CFE118" s="950"/>
      <c r="CFF118" s="950"/>
      <c r="CFG118" s="950"/>
      <c r="CFH118" s="950"/>
      <c r="CFI118" s="950"/>
      <c r="CFJ118" s="950"/>
      <c r="CFK118" s="950"/>
      <c r="CFL118" s="950"/>
      <c r="CFM118" s="950"/>
      <c r="CFN118" s="950"/>
      <c r="CFO118" s="950"/>
      <c r="CFP118" s="950"/>
      <c r="CFQ118" s="950"/>
      <c r="CFR118" s="950"/>
      <c r="CFS118" s="950"/>
      <c r="CFT118" s="950"/>
      <c r="CFU118" s="950"/>
      <c r="CFV118" s="950"/>
      <c r="CFW118" s="950"/>
      <c r="CFX118" s="950"/>
      <c r="CFY118" s="950"/>
      <c r="CFZ118" s="950"/>
      <c r="CGA118" s="950"/>
      <c r="CGB118" s="950"/>
      <c r="CGC118" s="950"/>
      <c r="CGD118" s="950"/>
      <c r="CGE118" s="950"/>
      <c r="CGF118" s="950"/>
      <c r="CGG118" s="950"/>
      <c r="CGH118" s="950"/>
      <c r="CGI118" s="950"/>
      <c r="CGJ118" s="950"/>
      <c r="CGK118" s="950"/>
      <c r="CGL118" s="950"/>
      <c r="CGM118" s="950"/>
      <c r="CGN118" s="950"/>
      <c r="CGO118" s="950"/>
      <c r="CGP118" s="950"/>
      <c r="CGQ118" s="950"/>
      <c r="CGR118" s="950"/>
      <c r="CGS118" s="950"/>
      <c r="CGT118" s="950"/>
      <c r="CGU118" s="950"/>
      <c r="CGV118" s="950"/>
      <c r="CGW118" s="950"/>
      <c r="CGX118" s="950"/>
      <c r="CGY118" s="950"/>
      <c r="CGZ118" s="950"/>
      <c r="CHA118" s="950"/>
      <c r="CHB118" s="950"/>
      <c r="CHC118" s="950"/>
      <c r="CHD118" s="950"/>
      <c r="CHE118" s="950"/>
      <c r="CHF118" s="950"/>
      <c r="CHG118" s="950"/>
      <c r="CHH118" s="950"/>
      <c r="CHI118" s="950"/>
      <c r="CHJ118" s="950"/>
      <c r="CHK118" s="950"/>
      <c r="CHL118" s="950"/>
      <c r="CHM118" s="950"/>
      <c r="CHN118" s="950"/>
      <c r="CHO118" s="950"/>
      <c r="CHP118" s="950"/>
      <c r="CHQ118" s="950"/>
      <c r="CHR118" s="950"/>
      <c r="CHS118" s="950"/>
      <c r="CHT118" s="950"/>
      <c r="CHU118" s="950"/>
      <c r="CHV118" s="950"/>
      <c r="CHW118" s="950"/>
      <c r="CHX118" s="950"/>
      <c r="CHY118" s="950"/>
      <c r="CHZ118" s="950"/>
      <c r="CIA118" s="950"/>
      <c r="CIB118" s="950"/>
      <c r="CIC118" s="950"/>
      <c r="CID118" s="950"/>
      <c r="CIE118" s="950"/>
      <c r="CIF118" s="950"/>
      <c r="CIG118" s="950"/>
      <c r="CIH118" s="950"/>
      <c r="CII118" s="950"/>
      <c r="CIJ118" s="950"/>
      <c r="CIK118" s="950"/>
      <c r="CIL118" s="950"/>
      <c r="CIM118" s="950"/>
      <c r="CIN118" s="950"/>
      <c r="CIO118" s="950"/>
      <c r="CIP118" s="950"/>
      <c r="CIQ118" s="950"/>
      <c r="CIR118" s="950"/>
      <c r="CIS118" s="950"/>
      <c r="CIT118" s="950"/>
      <c r="CIU118" s="950"/>
      <c r="CIV118" s="950"/>
      <c r="CIW118" s="950"/>
      <c r="CIX118" s="950"/>
      <c r="CIY118" s="950"/>
      <c r="CIZ118" s="950"/>
      <c r="CJA118" s="950"/>
      <c r="CJB118" s="950"/>
      <c r="CJC118" s="950"/>
      <c r="CJD118" s="950"/>
      <c r="CJE118" s="950"/>
      <c r="CJF118" s="950"/>
      <c r="CJG118" s="950"/>
      <c r="CJH118" s="950"/>
      <c r="CJI118" s="950"/>
      <c r="CJJ118" s="950"/>
      <c r="CJK118" s="950"/>
      <c r="CJL118" s="950"/>
      <c r="CJM118" s="950"/>
      <c r="CJN118" s="950"/>
      <c r="CJO118" s="950"/>
      <c r="CJP118" s="950"/>
      <c r="CJQ118" s="950"/>
      <c r="CJR118" s="950"/>
      <c r="CJS118" s="950"/>
      <c r="CJT118" s="950"/>
      <c r="CJU118" s="950"/>
      <c r="CJV118" s="950"/>
      <c r="CJW118" s="950"/>
      <c r="CJX118" s="950"/>
      <c r="CJY118" s="950"/>
      <c r="CJZ118" s="950"/>
      <c r="CKA118" s="950"/>
      <c r="CKB118" s="950"/>
      <c r="CKC118" s="950"/>
      <c r="CKD118" s="950"/>
      <c r="CKE118" s="950"/>
      <c r="CKF118" s="950"/>
      <c r="CKG118" s="950"/>
      <c r="CKH118" s="950"/>
      <c r="CKI118" s="950"/>
      <c r="CKJ118" s="950"/>
      <c r="CKK118" s="950"/>
      <c r="CKL118" s="950"/>
      <c r="CKM118" s="950"/>
      <c r="CKN118" s="950"/>
      <c r="CKO118" s="950"/>
      <c r="CKP118" s="950"/>
      <c r="CKQ118" s="950"/>
      <c r="CKR118" s="950"/>
      <c r="CKS118" s="950"/>
      <c r="CKT118" s="950"/>
      <c r="CKU118" s="950"/>
      <c r="CKV118" s="950"/>
      <c r="CKW118" s="950"/>
      <c r="CKX118" s="950"/>
      <c r="CKY118" s="950"/>
      <c r="CKZ118" s="950"/>
      <c r="CLA118" s="950"/>
      <c r="CLB118" s="950"/>
      <c r="CLC118" s="950"/>
      <c r="CLD118" s="950"/>
      <c r="CLE118" s="950"/>
      <c r="CLF118" s="950"/>
      <c r="CLG118" s="950"/>
      <c r="CLH118" s="950"/>
      <c r="CLI118" s="950"/>
      <c r="CLJ118" s="950"/>
      <c r="CLK118" s="950"/>
      <c r="CLL118" s="950"/>
      <c r="CLM118" s="950"/>
      <c r="CLN118" s="950"/>
      <c r="CLO118" s="950"/>
      <c r="CLP118" s="950"/>
      <c r="CLQ118" s="950"/>
      <c r="CLR118" s="950"/>
      <c r="CLS118" s="950"/>
      <c r="CLT118" s="950"/>
      <c r="CLU118" s="950"/>
      <c r="CLV118" s="950"/>
      <c r="CLW118" s="950"/>
      <c r="CLX118" s="950"/>
      <c r="CLY118" s="950"/>
      <c r="CLZ118" s="950"/>
      <c r="CMA118" s="950"/>
      <c r="CMB118" s="950"/>
      <c r="CMC118" s="950"/>
      <c r="CMD118" s="950"/>
      <c r="CME118" s="950"/>
      <c r="CMF118" s="950"/>
      <c r="CMG118" s="950"/>
      <c r="CMH118" s="950"/>
      <c r="CMI118" s="950"/>
      <c r="CMJ118" s="950"/>
      <c r="CMK118" s="950"/>
      <c r="CML118" s="950"/>
      <c r="CMM118" s="950"/>
      <c r="CMN118" s="950"/>
      <c r="CMO118" s="950"/>
      <c r="CMP118" s="950"/>
      <c r="CMQ118" s="950"/>
      <c r="CMR118" s="950"/>
      <c r="CMS118" s="950"/>
      <c r="CMT118" s="950"/>
      <c r="CMU118" s="950"/>
      <c r="CMV118" s="950"/>
      <c r="CMW118" s="950"/>
      <c r="CMX118" s="950"/>
      <c r="CMY118" s="950"/>
      <c r="CMZ118" s="950"/>
      <c r="CNA118" s="950"/>
      <c r="CNB118" s="950"/>
      <c r="CNC118" s="950"/>
      <c r="CND118" s="950"/>
      <c r="CNE118" s="950"/>
      <c r="CNF118" s="950"/>
      <c r="CNG118" s="950"/>
      <c r="CNH118" s="950"/>
      <c r="CNI118" s="950"/>
      <c r="CNJ118" s="950"/>
      <c r="CNK118" s="950"/>
      <c r="CNL118" s="950"/>
      <c r="CNM118" s="950"/>
      <c r="CNN118" s="950"/>
      <c r="CNO118" s="950"/>
      <c r="CNP118" s="950"/>
      <c r="CNQ118" s="950"/>
      <c r="CNR118" s="950"/>
      <c r="CNS118" s="950"/>
      <c r="CNT118" s="950"/>
      <c r="CNU118" s="950"/>
      <c r="CNV118" s="950"/>
      <c r="CNW118" s="950"/>
      <c r="CNX118" s="950"/>
      <c r="CNY118" s="950"/>
      <c r="CNZ118" s="950"/>
      <c r="COA118" s="950"/>
      <c r="COB118" s="950"/>
      <c r="COC118" s="950"/>
      <c r="COD118" s="950"/>
      <c r="COE118" s="950"/>
      <c r="COF118" s="950"/>
      <c r="COG118" s="950"/>
      <c r="COH118" s="950"/>
      <c r="COI118" s="950"/>
      <c r="COJ118" s="950"/>
      <c r="COK118" s="950"/>
      <c r="COL118" s="950"/>
      <c r="COM118" s="950"/>
      <c r="CON118" s="950"/>
      <c r="COO118" s="950"/>
      <c r="COP118" s="950"/>
      <c r="COQ118" s="950"/>
      <c r="COR118" s="950"/>
      <c r="COS118" s="950"/>
      <c r="COT118" s="950"/>
      <c r="COU118" s="950"/>
      <c r="COV118" s="950"/>
      <c r="COW118" s="950"/>
      <c r="COX118" s="950"/>
      <c r="COY118" s="950"/>
      <c r="COZ118" s="950"/>
      <c r="CPA118" s="950"/>
      <c r="CPB118" s="950"/>
      <c r="CPC118" s="950"/>
      <c r="CPD118" s="950"/>
      <c r="CPE118" s="950"/>
      <c r="CPF118" s="950"/>
      <c r="CPG118" s="950"/>
      <c r="CPH118" s="950"/>
      <c r="CPI118" s="950"/>
      <c r="CPJ118" s="950"/>
      <c r="CPK118" s="950"/>
      <c r="CPL118" s="950"/>
      <c r="CPM118" s="950"/>
      <c r="CPN118" s="950"/>
      <c r="CPO118" s="950"/>
      <c r="CPP118" s="950"/>
      <c r="CPQ118" s="950"/>
      <c r="CPR118" s="950"/>
      <c r="CPS118" s="950"/>
      <c r="CPT118" s="950"/>
      <c r="CPU118" s="950"/>
      <c r="CPV118" s="950"/>
      <c r="CPW118" s="950"/>
      <c r="CPX118" s="950"/>
      <c r="CPY118" s="950"/>
      <c r="CPZ118" s="950"/>
      <c r="CQA118" s="950"/>
      <c r="CQB118" s="950"/>
      <c r="CQC118" s="950"/>
      <c r="CQD118" s="950"/>
      <c r="CQE118" s="950"/>
      <c r="CQF118" s="950"/>
      <c r="CQG118" s="950"/>
      <c r="CQH118" s="950"/>
      <c r="CQI118" s="950"/>
      <c r="CQJ118" s="950"/>
      <c r="CQK118" s="950"/>
      <c r="CQL118" s="950"/>
      <c r="CQM118" s="950"/>
      <c r="CQN118" s="950"/>
      <c r="CQO118" s="950"/>
      <c r="CQP118" s="950"/>
      <c r="CQQ118" s="950"/>
      <c r="CQR118" s="950"/>
      <c r="CQS118" s="950"/>
      <c r="CQT118" s="950"/>
      <c r="CQU118" s="950"/>
      <c r="CQV118" s="950"/>
      <c r="CQW118" s="950"/>
      <c r="CQX118" s="950"/>
      <c r="CQY118" s="950"/>
      <c r="CQZ118" s="950"/>
      <c r="CRA118" s="950"/>
      <c r="CRB118" s="950"/>
      <c r="CRC118" s="950"/>
      <c r="CRD118" s="950"/>
      <c r="CRE118" s="950"/>
      <c r="CRF118" s="950"/>
      <c r="CRG118" s="950"/>
      <c r="CRH118" s="950"/>
      <c r="CRI118" s="950"/>
      <c r="CRJ118" s="950"/>
      <c r="CRK118" s="950"/>
      <c r="CRL118" s="950"/>
      <c r="CRM118" s="950"/>
      <c r="CRN118" s="950"/>
      <c r="CRO118" s="950"/>
      <c r="CRP118" s="950"/>
      <c r="CRQ118" s="950"/>
      <c r="CRR118" s="950"/>
      <c r="CRS118" s="950"/>
      <c r="CRT118" s="950"/>
      <c r="CRU118" s="950"/>
      <c r="CRV118" s="950"/>
      <c r="CRW118" s="950"/>
      <c r="CRX118" s="950"/>
      <c r="CRY118" s="950"/>
      <c r="CRZ118" s="950"/>
      <c r="CSA118" s="950"/>
      <c r="CSB118" s="950"/>
      <c r="CSC118" s="950"/>
      <c r="CSD118" s="950"/>
      <c r="CSE118" s="950"/>
      <c r="CSF118" s="950"/>
      <c r="CSG118" s="950"/>
      <c r="CSH118" s="950"/>
      <c r="CSI118" s="950"/>
      <c r="CSJ118" s="950"/>
      <c r="CSK118" s="950"/>
      <c r="CSL118" s="950"/>
      <c r="CSM118" s="950"/>
      <c r="CSN118" s="950"/>
      <c r="CSO118" s="950"/>
      <c r="CSP118" s="950"/>
      <c r="CSQ118" s="950"/>
      <c r="CSR118" s="950"/>
      <c r="CSS118" s="950"/>
      <c r="CST118" s="950"/>
      <c r="CSU118" s="950"/>
      <c r="CSV118" s="950"/>
      <c r="CSW118" s="950"/>
      <c r="CSX118" s="950"/>
      <c r="CSY118" s="950"/>
      <c r="CSZ118" s="950"/>
      <c r="CTA118" s="950"/>
      <c r="CTB118" s="950"/>
      <c r="CTC118" s="950"/>
      <c r="CTD118" s="950"/>
      <c r="CTE118" s="950"/>
      <c r="CTF118" s="950"/>
      <c r="CTG118" s="950"/>
      <c r="CTH118" s="950"/>
      <c r="CTI118" s="950"/>
      <c r="CTJ118" s="950"/>
      <c r="CTK118" s="950"/>
      <c r="CTL118" s="950"/>
      <c r="CTM118" s="950"/>
      <c r="CTN118" s="950"/>
      <c r="CTO118" s="950"/>
      <c r="CTP118" s="950"/>
      <c r="CTQ118" s="950"/>
      <c r="CTR118" s="950"/>
      <c r="CTS118" s="950"/>
      <c r="CTT118" s="950"/>
      <c r="CTU118" s="950"/>
      <c r="CTV118" s="950"/>
      <c r="CTW118" s="950"/>
      <c r="CTX118" s="950"/>
      <c r="CTY118" s="950"/>
      <c r="CTZ118" s="950"/>
      <c r="CUA118" s="950"/>
      <c r="CUB118" s="950"/>
      <c r="CUC118" s="950"/>
      <c r="CUD118" s="950"/>
      <c r="CUE118" s="950"/>
      <c r="CUF118" s="950"/>
      <c r="CUG118" s="950"/>
      <c r="CUH118" s="950"/>
      <c r="CUI118" s="950"/>
      <c r="CUJ118" s="950"/>
      <c r="CUK118" s="950"/>
      <c r="CUL118" s="950"/>
      <c r="CUM118" s="950"/>
      <c r="CUN118" s="950"/>
      <c r="CUO118" s="950"/>
      <c r="CUP118" s="950"/>
      <c r="CUQ118" s="950"/>
      <c r="CUR118" s="950"/>
      <c r="CUS118" s="950"/>
      <c r="CUT118" s="950"/>
      <c r="CUU118" s="950"/>
      <c r="CUV118" s="950"/>
      <c r="CUW118" s="950"/>
      <c r="CUX118" s="950"/>
      <c r="CUY118" s="950"/>
      <c r="CUZ118" s="950"/>
      <c r="CVA118" s="950"/>
      <c r="CVB118" s="950"/>
      <c r="CVC118" s="950"/>
      <c r="CVD118" s="950"/>
      <c r="CVE118" s="950"/>
      <c r="CVF118" s="950"/>
      <c r="CVG118" s="950"/>
      <c r="CVH118" s="950"/>
      <c r="CVI118" s="950"/>
      <c r="CVJ118" s="950"/>
      <c r="CVK118" s="950"/>
      <c r="CVL118" s="950"/>
      <c r="CVM118" s="950"/>
      <c r="CVN118" s="950"/>
      <c r="CVO118" s="950"/>
      <c r="CVP118" s="950"/>
      <c r="CVQ118" s="950"/>
      <c r="CVR118" s="950"/>
      <c r="CVS118" s="950"/>
      <c r="CVT118" s="950"/>
      <c r="CVU118" s="950"/>
      <c r="CVV118" s="950"/>
      <c r="CVW118" s="950"/>
      <c r="CVX118" s="950"/>
      <c r="CVY118" s="950"/>
      <c r="CVZ118" s="950"/>
      <c r="CWA118" s="950"/>
      <c r="CWB118" s="950"/>
      <c r="CWC118" s="950"/>
      <c r="CWD118" s="950"/>
      <c r="CWE118" s="950"/>
      <c r="CWF118" s="950"/>
      <c r="CWG118" s="950"/>
      <c r="CWH118" s="950"/>
      <c r="CWI118" s="950"/>
      <c r="CWJ118" s="950"/>
      <c r="CWK118" s="950"/>
      <c r="CWL118" s="950"/>
      <c r="CWM118" s="950"/>
      <c r="CWN118" s="950"/>
      <c r="CWO118" s="950"/>
      <c r="CWP118" s="950"/>
      <c r="CWQ118" s="950"/>
      <c r="CWR118" s="950"/>
      <c r="CWS118" s="950"/>
      <c r="CWT118" s="950"/>
      <c r="CWU118" s="950"/>
      <c r="CWV118" s="950"/>
      <c r="CWW118" s="950"/>
      <c r="CWX118" s="950"/>
      <c r="CWY118" s="950"/>
      <c r="CWZ118" s="950"/>
      <c r="CXA118" s="950"/>
      <c r="CXB118" s="950"/>
      <c r="CXC118" s="950"/>
      <c r="CXD118" s="950"/>
      <c r="CXE118" s="950"/>
      <c r="CXF118" s="950"/>
      <c r="CXG118" s="950"/>
      <c r="CXH118" s="950"/>
      <c r="CXI118" s="950"/>
      <c r="CXJ118" s="950"/>
      <c r="CXK118" s="950"/>
      <c r="CXL118" s="950"/>
      <c r="CXM118" s="950"/>
      <c r="CXN118" s="950"/>
      <c r="CXO118" s="950"/>
      <c r="CXP118" s="950"/>
      <c r="CXQ118" s="950"/>
      <c r="CXR118" s="950"/>
      <c r="CXS118" s="950"/>
      <c r="CXT118" s="950"/>
      <c r="CXU118" s="950"/>
      <c r="CXV118" s="950"/>
      <c r="CXW118" s="950"/>
      <c r="CXX118" s="950"/>
      <c r="CXY118" s="950"/>
      <c r="CXZ118" s="950"/>
      <c r="CYA118" s="950"/>
      <c r="CYB118" s="950"/>
      <c r="CYC118" s="950"/>
      <c r="CYD118" s="950"/>
      <c r="CYE118" s="950"/>
      <c r="CYF118" s="950"/>
      <c r="CYG118" s="950"/>
      <c r="CYH118" s="950"/>
      <c r="CYI118" s="950"/>
      <c r="CYJ118" s="950"/>
      <c r="CYK118" s="950"/>
      <c r="CYL118" s="950"/>
      <c r="CYM118" s="950"/>
      <c r="CYN118" s="950"/>
      <c r="CYO118" s="950"/>
      <c r="CYP118" s="950"/>
      <c r="CYQ118" s="950"/>
      <c r="CYR118" s="950"/>
      <c r="CYS118" s="950"/>
      <c r="CYT118" s="950"/>
      <c r="CYU118" s="950"/>
      <c r="CYV118" s="950"/>
      <c r="CYW118" s="950"/>
      <c r="CYX118" s="950"/>
      <c r="CYY118" s="950"/>
      <c r="CYZ118" s="950"/>
      <c r="CZA118" s="950"/>
      <c r="CZB118" s="950"/>
      <c r="CZC118" s="950"/>
      <c r="CZD118" s="950"/>
      <c r="CZE118" s="950"/>
      <c r="CZF118" s="950"/>
      <c r="CZG118" s="950"/>
      <c r="CZH118" s="950"/>
      <c r="CZI118" s="950"/>
      <c r="CZJ118" s="950"/>
      <c r="CZK118" s="950"/>
      <c r="CZL118" s="950"/>
      <c r="CZM118" s="950"/>
      <c r="CZN118" s="950"/>
      <c r="CZO118" s="950"/>
      <c r="CZP118" s="950"/>
      <c r="CZQ118" s="950"/>
      <c r="CZR118" s="950"/>
      <c r="CZS118" s="950"/>
      <c r="CZT118" s="950"/>
      <c r="CZU118" s="950"/>
      <c r="CZV118" s="950"/>
      <c r="CZW118" s="950"/>
      <c r="CZX118" s="950"/>
      <c r="CZY118" s="950"/>
      <c r="CZZ118" s="950"/>
      <c r="DAA118" s="950"/>
      <c r="DAB118" s="950"/>
      <c r="DAC118" s="950"/>
      <c r="DAD118" s="950"/>
      <c r="DAE118" s="950"/>
      <c r="DAF118" s="950"/>
      <c r="DAG118" s="950"/>
      <c r="DAH118" s="950"/>
      <c r="DAI118" s="950"/>
      <c r="DAJ118" s="950"/>
      <c r="DAK118" s="950"/>
      <c r="DAL118" s="950"/>
      <c r="DAM118" s="950"/>
      <c r="DAN118" s="950"/>
      <c r="DAO118" s="950"/>
      <c r="DAP118" s="950"/>
      <c r="DAQ118" s="950"/>
      <c r="DAR118" s="950"/>
      <c r="DAS118" s="950"/>
      <c r="DAT118" s="950"/>
      <c r="DAU118" s="950"/>
      <c r="DAV118" s="950"/>
      <c r="DAW118" s="950"/>
      <c r="DAX118" s="950"/>
      <c r="DAY118" s="950"/>
      <c r="DAZ118" s="950"/>
      <c r="DBA118" s="950"/>
      <c r="DBB118" s="950"/>
      <c r="DBC118" s="950"/>
      <c r="DBD118" s="950"/>
      <c r="DBE118" s="950"/>
      <c r="DBF118" s="950"/>
      <c r="DBG118" s="950"/>
      <c r="DBH118" s="950"/>
      <c r="DBI118" s="950"/>
      <c r="DBJ118" s="950"/>
      <c r="DBK118" s="950"/>
      <c r="DBL118" s="950"/>
      <c r="DBM118" s="950"/>
      <c r="DBN118" s="950"/>
      <c r="DBO118" s="950"/>
      <c r="DBP118" s="950"/>
      <c r="DBQ118" s="950"/>
      <c r="DBR118" s="950"/>
      <c r="DBS118" s="950"/>
      <c r="DBT118" s="950"/>
      <c r="DBU118" s="950"/>
      <c r="DBV118" s="950"/>
      <c r="DBW118" s="950"/>
      <c r="DBX118" s="950"/>
      <c r="DBY118" s="950"/>
      <c r="DBZ118" s="950"/>
      <c r="DCA118" s="950"/>
      <c r="DCB118" s="950"/>
      <c r="DCC118" s="950"/>
      <c r="DCD118" s="950"/>
      <c r="DCE118" s="950"/>
      <c r="DCF118" s="950"/>
      <c r="DCG118" s="950"/>
      <c r="DCH118" s="950"/>
      <c r="DCI118" s="950"/>
      <c r="DCJ118" s="950"/>
      <c r="DCK118" s="950"/>
      <c r="DCL118" s="950"/>
      <c r="DCM118" s="950"/>
      <c r="DCN118" s="950"/>
      <c r="DCO118" s="950"/>
      <c r="DCP118" s="950"/>
      <c r="DCQ118" s="950"/>
      <c r="DCR118" s="950"/>
      <c r="DCS118" s="950"/>
      <c r="DCT118" s="950"/>
      <c r="DCU118" s="950"/>
      <c r="DCV118" s="950"/>
      <c r="DCW118" s="950"/>
      <c r="DCX118" s="950"/>
      <c r="DCY118" s="950"/>
      <c r="DCZ118" s="950"/>
      <c r="DDA118" s="950"/>
      <c r="DDB118" s="950"/>
      <c r="DDC118" s="950"/>
      <c r="DDD118" s="950"/>
      <c r="DDE118" s="950"/>
      <c r="DDF118" s="950"/>
      <c r="DDG118" s="950"/>
      <c r="DDH118" s="950"/>
      <c r="DDI118" s="950"/>
      <c r="DDJ118" s="950"/>
      <c r="DDK118" s="950"/>
      <c r="DDL118" s="950"/>
      <c r="DDM118" s="950"/>
      <c r="DDN118" s="950"/>
      <c r="DDO118" s="950"/>
      <c r="DDP118" s="950"/>
      <c r="DDQ118" s="950"/>
      <c r="DDR118" s="950"/>
      <c r="DDS118" s="950"/>
      <c r="DDT118" s="950"/>
      <c r="DDU118" s="950"/>
      <c r="DDV118" s="950"/>
      <c r="DDW118" s="950"/>
      <c r="DDX118" s="950"/>
      <c r="DDY118" s="950"/>
      <c r="DDZ118" s="950"/>
      <c r="DEA118" s="950"/>
      <c r="DEB118" s="950"/>
      <c r="DEC118" s="950"/>
      <c r="DED118" s="950"/>
      <c r="DEE118" s="950"/>
      <c r="DEF118" s="950"/>
      <c r="DEG118" s="950"/>
      <c r="DEH118" s="950"/>
      <c r="DEI118" s="950"/>
      <c r="DEJ118" s="950"/>
      <c r="DEK118" s="950"/>
      <c r="DEL118" s="950"/>
      <c r="DEM118" s="950"/>
      <c r="DEN118" s="950"/>
      <c r="DEO118" s="950"/>
      <c r="DEP118" s="950"/>
      <c r="DEQ118" s="950"/>
      <c r="DER118" s="950"/>
      <c r="DES118" s="950"/>
      <c r="DET118" s="950"/>
      <c r="DEU118" s="950"/>
      <c r="DEV118" s="950"/>
      <c r="DEW118" s="950"/>
      <c r="DEX118" s="950"/>
      <c r="DEY118" s="950"/>
      <c r="DEZ118" s="950"/>
      <c r="DFA118" s="950"/>
      <c r="DFB118" s="950"/>
      <c r="DFC118" s="950"/>
      <c r="DFD118" s="950"/>
      <c r="DFE118" s="950"/>
      <c r="DFF118" s="950"/>
      <c r="DFG118" s="950"/>
      <c r="DFH118" s="950"/>
      <c r="DFI118" s="950"/>
      <c r="DFJ118" s="950"/>
      <c r="DFK118" s="950"/>
      <c r="DFL118" s="950"/>
      <c r="DFM118" s="950"/>
      <c r="DFN118" s="950"/>
      <c r="DFO118" s="950"/>
      <c r="DFP118" s="950"/>
      <c r="DFQ118" s="950"/>
      <c r="DFR118" s="950"/>
      <c r="DFS118" s="950"/>
      <c r="DFT118" s="950"/>
      <c r="DFU118" s="950"/>
      <c r="DFV118" s="950"/>
      <c r="DFW118" s="950"/>
      <c r="DFX118" s="950"/>
      <c r="DFY118" s="950"/>
      <c r="DFZ118" s="950"/>
      <c r="DGA118" s="950"/>
      <c r="DGB118" s="950"/>
      <c r="DGC118" s="950"/>
      <c r="DGD118" s="950"/>
      <c r="DGE118" s="950"/>
      <c r="DGF118" s="950"/>
      <c r="DGG118" s="950"/>
      <c r="DGH118" s="950"/>
      <c r="DGI118" s="950"/>
      <c r="DGJ118" s="950"/>
      <c r="DGK118" s="950"/>
      <c r="DGL118" s="950"/>
      <c r="DGM118" s="950"/>
      <c r="DGN118" s="950"/>
      <c r="DGO118" s="950"/>
      <c r="DGP118" s="950"/>
      <c r="DGQ118" s="950"/>
      <c r="DGR118" s="950"/>
      <c r="DGS118" s="950"/>
      <c r="DGT118" s="950"/>
      <c r="DGU118" s="950"/>
      <c r="DGV118" s="950"/>
      <c r="DGW118" s="950"/>
      <c r="DGX118" s="950"/>
      <c r="DGY118" s="950"/>
      <c r="DGZ118" s="950"/>
      <c r="DHA118" s="950"/>
      <c r="DHB118" s="950"/>
      <c r="DHC118" s="950"/>
      <c r="DHD118" s="950"/>
      <c r="DHE118" s="950"/>
      <c r="DHF118" s="950"/>
      <c r="DHG118" s="950"/>
      <c r="DHH118" s="950"/>
      <c r="DHI118" s="950"/>
      <c r="DHJ118" s="950"/>
      <c r="DHK118" s="950"/>
      <c r="DHL118" s="950"/>
      <c r="DHM118" s="950"/>
      <c r="DHN118" s="950"/>
      <c r="DHO118" s="950"/>
      <c r="DHP118" s="950"/>
      <c r="DHQ118" s="950"/>
      <c r="DHR118" s="950"/>
      <c r="DHS118" s="950"/>
      <c r="DHT118" s="950"/>
      <c r="DHU118" s="950"/>
      <c r="DHV118" s="950"/>
      <c r="DHW118" s="950"/>
      <c r="DHX118" s="950"/>
      <c r="DHY118" s="950"/>
      <c r="DHZ118" s="950"/>
      <c r="DIA118" s="950"/>
      <c r="DIB118" s="950"/>
      <c r="DIC118" s="950"/>
      <c r="DID118" s="950"/>
      <c r="DIE118" s="950"/>
      <c r="DIF118" s="950"/>
      <c r="DIG118" s="950"/>
      <c r="DIH118" s="950"/>
      <c r="DII118" s="950"/>
      <c r="DIJ118" s="950"/>
      <c r="DIK118" s="950"/>
      <c r="DIL118" s="950"/>
      <c r="DIM118" s="950"/>
      <c r="DIN118" s="950"/>
      <c r="DIO118" s="950"/>
      <c r="DIP118" s="950"/>
      <c r="DIQ118" s="950"/>
      <c r="DIR118" s="950"/>
      <c r="DIS118" s="950"/>
      <c r="DIT118" s="950"/>
      <c r="DIU118" s="950"/>
      <c r="DIV118" s="950"/>
      <c r="DIW118" s="950"/>
      <c r="DIX118" s="950"/>
      <c r="DIY118" s="950"/>
      <c r="DIZ118" s="950"/>
      <c r="DJA118" s="950"/>
      <c r="DJB118" s="950"/>
      <c r="DJC118" s="950"/>
      <c r="DJD118" s="950"/>
      <c r="DJE118" s="950"/>
      <c r="DJF118" s="950"/>
      <c r="DJG118" s="950"/>
      <c r="DJH118" s="950"/>
      <c r="DJI118" s="950"/>
      <c r="DJJ118" s="950"/>
      <c r="DJK118" s="950"/>
      <c r="DJL118" s="950"/>
      <c r="DJM118" s="950"/>
      <c r="DJN118" s="950"/>
      <c r="DJO118" s="950"/>
      <c r="DJP118" s="950"/>
      <c r="DJQ118" s="950"/>
      <c r="DJR118" s="950"/>
      <c r="DJS118" s="950"/>
      <c r="DJT118" s="950"/>
      <c r="DJU118" s="950"/>
      <c r="DJV118" s="950"/>
      <c r="DJW118" s="950"/>
      <c r="DJX118" s="950"/>
      <c r="DJY118" s="950"/>
      <c r="DJZ118" s="950"/>
      <c r="DKA118" s="950"/>
      <c r="DKB118" s="950"/>
      <c r="DKC118" s="950"/>
      <c r="DKD118" s="950"/>
      <c r="DKE118" s="950"/>
      <c r="DKF118" s="950"/>
      <c r="DKG118" s="950"/>
      <c r="DKH118" s="950"/>
      <c r="DKI118" s="950"/>
      <c r="DKJ118" s="950"/>
      <c r="DKK118" s="950"/>
      <c r="DKL118" s="950"/>
      <c r="DKM118" s="950"/>
      <c r="DKN118" s="950"/>
      <c r="DKO118" s="950"/>
      <c r="DKP118" s="950"/>
      <c r="DKQ118" s="950"/>
      <c r="DKR118" s="950"/>
      <c r="DKS118" s="950"/>
      <c r="DKT118" s="950"/>
      <c r="DKU118" s="950"/>
      <c r="DKV118" s="950"/>
      <c r="DKW118" s="950"/>
      <c r="DKX118" s="950"/>
      <c r="DKY118" s="950"/>
      <c r="DKZ118" s="950"/>
      <c r="DLA118" s="950"/>
      <c r="DLB118" s="950"/>
      <c r="DLC118" s="950"/>
      <c r="DLD118" s="950"/>
      <c r="DLE118" s="950"/>
      <c r="DLF118" s="950"/>
      <c r="DLG118" s="950"/>
      <c r="DLH118" s="950"/>
      <c r="DLI118" s="950"/>
      <c r="DLJ118" s="950"/>
      <c r="DLK118" s="950"/>
      <c r="DLL118" s="950"/>
      <c r="DLM118" s="950"/>
      <c r="DLN118" s="950"/>
      <c r="DLO118" s="950"/>
      <c r="DLP118" s="950"/>
      <c r="DLQ118" s="950"/>
      <c r="DLR118" s="950"/>
      <c r="DLS118" s="950"/>
      <c r="DLT118" s="950"/>
      <c r="DLU118" s="950"/>
      <c r="DLV118" s="950"/>
      <c r="DLW118" s="950"/>
      <c r="DLX118" s="950"/>
      <c r="DLY118" s="950"/>
      <c r="DLZ118" s="950"/>
      <c r="DMA118" s="950"/>
      <c r="DMB118" s="950"/>
      <c r="DMC118" s="950"/>
      <c r="DMD118" s="950"/>
      <c r="DME118" s="950"/>
      <c r="DMF118" s="950"/>
      <c r="DMG118" s="950"/>
      <c r="DMH118" s="950"/>
      <c r="DMI118" s="950"/>
      <c r="DMJ118" s="950"/>
      <c r="DMK118" s="950"/>
      <c r="DML118" s="950"/>
      <c r="DMM118" s="950"/>
      <c r="DMN118" s="950"/>
      <c r="DMO118" s="950"/>
      <c r="DMP118" s="950"/>
      <c r="DMQ118" s="950"/>
      <c r="DMR118" s="950"/>
      <c r="DMS118" s="950"/>
      <c r="DMT118" s="950"/>
      <c r="DMU118" s="950"/>
      <c r="DMV118" s="950"/>
      <c r="DMW118" s="950"/>
      <c r="DMX118" s="950"/>
      <c r="DMY118" s="950"/>
      <c r="DMZ118" s="950"/>
      <c r="DNA118" s="950"/>
      <c r="DNB118" s="950"/>
      <c r="DNC118" s="950"/>
      <c r="DND118" s="950"/>
      <c r="DNE118" s="950"/>
      <c r="DNF118" s="950"/>
      <c r="DNG118" s="950"/>
      <c r="DNH118" s="950"/>
      <c r="DNI118" s="950"/>
      <c r="DNJ118" s="950"/>
      <c r="DNK118" s="950"/>
      <c r="DNL118" s="950"/>
      <c r="DNM118" s="950"/>
      <c r="DNN118" s="950"/>
      <c r="DNO118" s="950"/>
      <c r="DNP118" s="950"/>
      <c r="DNQ118" s="950"/>
      <c r="DNR118" s="950"/>
      <c r="DNS118" s="950"/>
      <c r="DNT118" s="950"/>
      <c r="DNU118" s="950"/>
      <c r="DNV118" s="950"/>
      <c r="DNW118" s="950"/>
      <c r="DNX118" s="950"/>
      <c r="DNY118" s="950"/>
      <c r="DNZ118" s="950"/>
      <c r="DOA118" s="950"/>
      <c r="DOB118" s="950"/>
      <c r="DOC118" s="950"/>
      <c r="DOD118" s="950"/>
      <c r="DOE118" s="950"/>
      <c r="DOF118" s="950"/>
      <c r="DOG118" s="950"/>
      <c r="DOH118" s="950"/>
      <c r="DOI118" s="950"/>
      <c r="DOJ118" s="950"/>
      <c r="DOK118" s="950"/>
      <c r="DOL118" s="950"/>
      <c r="DOM118" s="950"/>
      <c r="DON118" s="950"/>
      <c r="DOO118" s="950"/>
      <c r="DOP118" s="950"/>
      <c r="DOQ118" s="950"/>
      <c r="DOR118" s="950"/>
      <c r="DOS118" s="950"/>
      <c r="DOT118" s="950"/>
      <c r="DOU118" s="950"/>
      <c r="DOV118" s="950"/>
      <c r="DOW118" s="950"/>
      <c r="DOX118" s="950"/>
      <c r="DOY118" s="950"/>
      <c r="DOZ118" s="950"/>
      <c r="DPA118" s="950"/>
      <c r="DPB118" s="950"/>
      <c r="DPC118" s="950"/>
      <c r="DPD118" s="950"/>
      <c r="DPE118" s="950"/>
      <c r="DPF118" s="950"/>
      <c r="DPG118" s="950"/>
      <c r="DPH118" s="950"/>
      <c r="DPI118" s="950"/>
      <c r="DPJ118" s="950"/>
      <c r="DPK118" s="950"/>
      <c r="DPL118" s="950"/>
      <c r="DPM118" s="950"/>
      <c r="DPN118" s="950"/>
      <c r="DPO118" s="950"/>
      <c r="DPP118" s="950"/>
      <c r="DPQ118" s="950"/>
      <c r="DPR118" s="950"/>
      <c r="DPS118" s="950"/>
      <c r="DPT118" s="950"/>
      <c r="DPU118" s="950"/>
      <c r="DPV118" s="950"/>
      <c r="DPW118" s="950"/>
      <c r="DPX118" s="950"/>
      <c r="DPY118" s="950"/>
      <c r="DPZ118" s="950"/>
      <c r="DQA118" s="950"/>
      <c r="DQB118" s="950"/>
      <c r="DQC118" s="950"/>
      <c r="DQD118" s="950"/>
      <c r="DQE118" s="950"/>
      <c r="DQF118" s="950"/>
      <c r="DQG118" s="950"/>
      <c r="DQH118" s="950"/>
      <c r="DQI118" s="950"/>
      <c r="DQJ118" s="950"/>
      <c r="DQK118" s="950"/>
      <c r="DQL118" s="950"/>
      <c r="DQM118" s="950"/>
      <c r="DQN118" s="950"/>
      <c r="DQO118" s="950"/>
      <c r="DQP118" s="950"/>
      <c r="DQQ118" s="950"/>
      <c r="DQR118" s="950"/>
      <c r="DQS118" s="950"/>
      <c r="DQT118" s="950"/>
      <c r="DQU118" s="950"/>
      <c r="DQV118" s="950"/>
      <c r="DQW118" s="950"/>
      <c r="DQX118" s="950"/>
      <c r="DQY118" s="950"/>
      <c r="DQZ118" s="950"/>
      <c r="DRA118" s="950"/>
      <c r="DRB118" s="950"/>
      <c r="DRC118" s="950"/>
      <c r="DRD118" s="950"/>
      <c r="DRE118" s="950"/>
      <c r="DRF118" s="950"/>
      <c r="DRG118" s="950"/>
      <c r="DRH118" s="950"/>
      <c r="DRI118" s="950"/>
      <c r="DRJ118" s="950"/>
      <c r="DRK118" s="950"/>
      <c r="DRL118" s="950"/>
      <c r="DRM118" s="950"/>
      <c r="DRN118" s="950"/>
      <c r="DRO118" s="950"/>
      <c r="DRP118" s="950"/>
      <c r="DRQ118" s="950"/>
      <c r="DRR118" s="950"/>
      <c r="DRS118" s="950"/>
      <c r="DRT118" s="950"/>
      <c r="DRU118" s="950"/>
      <c r="DRV118" s="950"/>
      <c r="DRW118" s="950"/>
      <c r="DRX118" s="950"/>
      <c r="DRY118" s="950"/>
      <c r="DRZ118" s="950"/>
      <c r="DSA118" s="950"/>
      <c r="DSB118" s="950"/>
      <c r="DSC118" s="950"/>
      <c r="DSD118" s="950"/>
      <c r="DSE118" s="950"/>
      <c r="DSF118" s="950"/>
      <c r="DSG118" s="950"/>
      <c r="DSH118" s="950"/>
      <c r="DSI118" s="950"/>
      <c r="DSJ118" s="950"/>
      <c r="DSK118" s="950"/>
      <c r="DSL118" s="950"/>
      <c r="DSM118" s="950"/>
      <c r="DSN118" s="950"/>
      <c r="DSO118" s="950"/>
      <c r="DSP118" s="950"/>
      <c r="DSQ118" s="950"/>
      <c r="DSR118" s="950"/>
      <c r="DSS118" s="950"/>
      <c r="DST118" s="950"/>
      <c r="DSU118" s="950"/>
      <c r="DSV118" s="950"/>
      <c r="DSW118" s="950"/>
      <c r="DSX118" s="950"/>
      <c r="DSY118" s="950"/>
      <c r="DSZ118" s="950"/>
      <c r="DTA118" s="950"/>
      <c r="DTB118" s="950"/>
      <c r="DTC118" s="950"/>
      <c r="DTD118" s="950"/>
      <c r="DTE118" s="950"/>
      <c r="DTF118" s="950"/>
      <c r="DTG118" s="950"/>
      <c r="DTH118" s="950"/>
      <c r="DTI118" s="950"/>
      <c r="DTJ118" s="950"/>
      <c r="DTK118" s="950"/>
      <c r="DTL118" s="950"/>
      <c r="DTM118" s="950"/>
      <c r="DTN118" s="950"/>
      <c r="DTO118" s="950"/>
      <c r="DTP118" s="950"/>
      <c r="DTQ118" s="950"/>
      <c r="DTR118" s="950"/>
      <c r="DTS118" s="950"/>
      <c r="DTT118" s="950"/>
      <c r="DTU118" s="950"/>
      <c r="DTV118" s="950"/>
      <c r="DTW118" s="950"/>
      <c r="DTX118" s="950"/>
      <c r="DTY118" s="950"/>
      <c r="DTZ118" s="950"/>
      <c r="DUA118" s="950"/>
      <c r="DUB118" s="950"/>
      <c r="DUC118" s="950"/>
      <c r="DUD118" s="950"/>
      <c r="DUE118" s="950"/>
      <c r="DUF118" s="950"/>
      <c r="DUG118" s="950"/>
      <c r="DUH118" s="950"/>
      <c r="DUI118" s="950"/>
      <c r="DUJ118" s="950"/>
      <c r="DUK118" s="950"/>
      <c r="DUL118" s="950"/>
      <c r="DUM118" s="950"/>
      <c r="DUN118" s="950"/>
      <c r="DUO118" s="950"/>
      <c r="DUP118" s="950"/>
      <c r="DUQ118" s="950"/>
      <c r="DUR118" s="950"/>
      <c r="DUS118" s="950"/>
      <c r="DUT118" s="950"/>
      <c r="DUU118" s="950"/>
      <c r="DUV118" s="950"/>
      <c r="DUW118" s="950"/>
      <c r="DUX118" s="950"/>
      <c r="DUY118" s="950"/>
      <c r="DUZ118" s="950"/>
      <c r="DVA118" s="950"/>
      <c r="DVB118" s="950"/>
      <c r="DVC118" s="950"/>
      <c r="DVD118" s="950"/>
      <c r="DVE118" s="950"/>
      <c r="DVF118" s="950"/>
      <c r="DVG118" s="950"/>
      <c r="DVH118" s="950"/>
      <c r="DVI118" s="950"/>
      <c r="DVJ118" s="950"/>
      <c r="DVK118" s="950"/>
      <c r="DVL118" s="950"/>
      <c r="DVM118" s="950"/>
      <c r="DVN118" s="950"/>
      <c r="DVO118" s="950"/>
      <c r="DVP118" s="950"/>
      <c r="DVQ118" s="950"/>
      <c r="DVR118" s="950"/>
      <c r="DVS118" s="950"/>
      <c r="DVT118" s="950"/>
      <c r="DVU118" s="950"/>
      <c r="DVV118" s="950"/>
      <c r="DVW118" s="950"/>
      <c r="DVX118" s="950"/>
      <c r="DVY118" s="950"/>
      <c r="DVZ118" s="950"/>
      <c r="DWA118" s="950"/>
      <c r="DWB118" s="950"/>
      <c r="DWC118" s="950"/>
      <c r="DWD118" s="950"/>
      <c r="DWE118" s="950"/>
      <c r="DWF118" s="950"/>
      <c r="DWG118" s="950"/>
      <c r="DWH118" s="950"/>
      <c r="DWI118" s="950"/>
      <c r="DWJ118" s="950"/>
      <c r="DWK118" s="950"/>
      <c r="DWL118" s="950"/>
      <c r="DWM118" s="950"/>
      <c r="DWN118" s="950"/>
      <c r="DWO118" s="950"/>
      <c r="DWP118" s="950"/>
      <c r="DWQ118" s="950"/>
      <c r="DWR118" s="950"/>
      <c r="DWS118" s="950"/>
      <c r="DWT118" s="950"/>
      <c r="DWU118" s="950"/>
      <c r="DWV118" s="950"/>
      <c r="DWW118" s="950"/>
      <c r="DWX118" s="950"/>
      <c r="DWY118" s="950"/>
      <c r="DWZ118" s="950"/>
      <c r="DXA118" s="950"/>
      <c r="DXB118" s="950"/>
      <c r="DXC118" s="950"/>
      <c r="DXD118" s="950"/>
      <c r="DXE118" s="950"/>
      <c r="DXF118" s="950"/>
      <c r="DXG118" s="950"/>
      <c r="DXH118" s="950"/>
      <c r="DXI118" s="950"/>
      <c r="DXJ118" s="950"/>
      <c r="DXK118" s="950"/>
      <c r="DXL118" s="950"/>
      <c r="DXM118" s="950"/>
      <c r="DXN118" s="950"/>
      <c r="DXO118" s="950"/>
      <c r="DXP118" s="950"/>
      <c r="DXQ118" s="950"/>
      <c r="DXR118" s="950"/>
      <c r="DXS118" s="950"/>
      <c r="DXT118" s="950"/>
      <c r="DXU118" s="950"/>
      <c r="DXV118" s="950"/>
      <c r="DXW118" s="950"/>
      <c r="DXX118" s="950"/>
      <c r="DXY118" s="950"/>
      <c r="DXZ118" s="950"/>
      <c r="DYA118" s="950"/>
      <c r="DYB118" s="950"/>
      <c r="DYC118" s="950"/>
      <c r="DYD118" s="950"/>
      <c r="DYE118" s="950"/>
      <c r="DYF118" s="950"/>
      <c r="DYG118" s="950"/>
      <c r="DYH118" s="950"/>
      <c r="DYI118" s="950"/>
      <c r="DYJ118" s="950"/>
      <c r="DYK118" s="950"/>
      <c r="DYL118" s="950"/>
      <c r="DYM118" s="950"/>
      <c r="DYN118" s="950"/>
      <c r="DYO118" s="950"/>
      <c r="DYP118" s="950"/>
      <c r="DYQ118" s="950"/>
      <c r="DYR118" s="950"/>
      <c r="DYS118" s="950"/>
      <c r="DYT118" s="950"/>
      <c r="DYU118" s="950"/>
      <c r="DYV118" s="950"/>
      <c r="DYW118" s="950"/>
      <c r="DYX118" s="950"/>
      <c r="DYY118" s="950"/>
      <c r="DYZ118" s="950"/>
      <c r="DZA118" s="950"/>
      <c r="DZB118" s="950"/>
      <c r="DZC118" s="950"/>
      <c r="DZD118" s="950"/>
      <c r="DZE118" s="950"/>
      <c r="DZF118" s="950"/>
      <c r="DZG118" s="950"/>
      <c r="DZH118" s="950"/>
      <c r="DZI118" s="950"/>
      <c r="DZJ118" s="950"/>
      <c r="DZK118" s="950"/>
      <c r="DZL118" s="950"/>
      <c r="DZM118" s="950"/>
      <c r="DZN118" s="950"/>
      <c r="DZO118" s="950"/>
      <c r="DZP118" s="950"/>
      <c r="DZQ118" s="950"/>
      <c r="DZR118" s="950"/>
      <c r="DZS118" s="950"/>
      <c r="DZT118" s="950"/>
      <c r="DZU118" s="950"/>
      <c r="DZV118" s="950"/>
      <c r="DZW118" s="950"/>
      <c r="DZX118" s="950"/>
      <c r="DZY118" s="950"/>
      <c r="DZZ118" s="950"/>
      <c r="EAA118" s="950"/>
      <c r="EAB118" s="950"/>
      <c r="EAC118" s="950"/>
      <c r="EAD118" s="950"/>
      <c r="EAE118" s="950"/>
      <c r="EAF118" s="950"/>
      <c r="EAG118" s="950"/>
      <c r="EAH118" s="950"/>
      <c r="EAI118" s="950"/>
      <c r="EAJ118" s="950"/>
      <c r="EAK118" s="950"/>
      <c r="EAL118" s="950"/>
      <c r="EAM118" s="950"/>
      <c r="EAN118" s="950"/>
      <c r="EAO118" s="950"/>
      <c r="EAP118" s="950"/>
      <c r="EAQ118" s="950"/>
      <c r="EAR118" s="950"/>
      <c r="EAS118" s="950"/>
      <c r="EAT118" s="950"/>
      <c r="EAU118" s="950"/>
      <c r="EAV118" s="950"/>
      <c r="EAW118" s="950"/>
      <c r="EAX118" s="950"/>
      <c r="EAY118" s="950"/>
      <c r="EAZ118" s="950"/>
      <c r="EBA118" s="950"/>
      <c r="EBB118" s="950"/>
      <c r="EBC118" s="950"/>
      <c r="EBD118" s="950"/>
      <c r="EBE118" s="950"/>
      <c r="EBF118" s="950"/>
      <c r="EBG118" s="950"/>
      <c r="EBH118" s="950"/>
      <c r="EBI118" s="950"/>
      <c r="EBJ118" s="950"/>
      <c r="EBK118" s="950"/>
      <c r="EBL118" s="950"/>
      <c r="EBM118" s="950"/>
      <c r="EBN118" s="950"/>
      <c r="EBO118" s="950"/>
      <c r="EBP118" s="950"/>
      <c r="EBQ118" s="950"/>
      <c r="EBR118" s="950"/>
      <c r="EBS118" s="950"/>
      <c r="EBT118" s="950"/>
      <c r="EBU118" s="950"/>
      <c r="EBV118" s="950"/>
      <c r="EBW118" s="950"/>
      <c r="EBX118" s="950"/>
      <c r="EBY118" s="950"/>
      <c r="EBZ118" s="950"/>
      <c r="ECA118" s="950"/>
      <c r="ECB118" s="950"/>
      <c r="ECC118" s="950"/>
      <c r="ECD118" s="950"/>
      <c r="ECE118" s="950"/>
      <c r="ECF118" s="950"/>
      <c r="ECG118" s="950"/>
      <c r="ECH118" s="950"/>
      <c r="ECI118" s="950"/>
      <c r="ECJ118" s="950"/>
      <c r="ECK118" s="950"/>
      <c r="ECL118" s="950"/>
      <c r="ECM118" s="950"/>
      <c r="ECN118" s="950"/>
      <c r="ECO118" s="950"/>
      <c r="ECP118" s="950"/>
      <c r="ECQ118" s="950"/>
      <c r="ECR118" s="950"/>
      <c r="ECS118" s="950"/>
      <c r="ECT118" s="950"/>
      <c r="ECU118" s="950"/>
      <c r="ECV118" s="950"/>
      <c r="ECW118" s="950"/>
      <c r="ECX118" s="950"/>
      <c r="ECY118" s="950"/>
      <c r="ECZ118" s="950"/>
      <c r="EDA118" s="950"/>
      <c r="EDB118" s="950"/>
      <c r="EDC118" s="950"/>
      <c r="EDD118" s="950"/>
      <c r="EDE118" s="950"/>
      <c r="EDF118" s="950"/>
      <c r="EDG118" s="950"/>
      <c r="EDH118" s="950"/>
      <c r="EDI118" s="950"/>
      <c r="EDJ118" s="950"/>
      <c r="EDK118" s="950"/>
      <c r="EDL118" s="950"/>
      <c r="EDM118" s="950"/>
      <c r="EDN118" s="950"/>
      <c r="EDO118" s="950"/>
      <c r="EDP118" s="950"/>
      <c r="EDQ118" s="950"/>
      <c r="EDR118" s="950"/>
      <c r="EDS118" s="950"/>
      <c r="EDT118" s="950"/>
      <c r="EDU118" s="950"/>
      <c r="EDV118" s="950"/>
      <c r="EDW118" s="950"/>
      <c r="EDX118" s="950"/>
      <c r="EDY118" s="950"/>
      <c r="EDZ118" s="950"/>
      <c r="EEA118" s="950"/>
      <c r="EEB118" s="950"/>
      <c r="EEC118" s="950"/>
      <c r="EED118" s="950"/>
      <c r="EEE118" s="950"/>
      <c r="EEF118" s="950"/>
      <c r="EEG118" s="950"/>
      <c r="EEH118" s="950"/>
      <c r="EEI118" s="950"/>
      <c r="EEJ118" s="950"/>
      <c r="EEK118" s="950"/>
      <c r="EEL118" s="950"/>
      <c r="EEM118" s="950"/>
      <c r="EEN118" s="950"/>
      <c r="EEO118" s="950"/>
      <c r="EEP118" s="950"/>
      <c r="EEQ118" s="950"/>
      <c r="EER118" s="950"/>
      <c r="EES118" s="950"/>
      <c r="EET118" s="950"/>
      <c r="EEU118" s="950"/>
      <c r="EEV118" s="950"/>
      <c r="EEW118" s="950"/>
      <c r="EEX118" s="950"/>
      <c r="EEY118" s="950"/>
      <c r="EEZ118" s="950"/>
      <c r="EFA118" s="950"/>
      <c r="EFB118" s="950"/>
      <c r="EFC118" s="950"/>
      <c r="EFD118" s="950"/>
      <c r="EFE118" s="950"/>
      <c r="EFF118" s="950"/>
      <c r="EFG118" s="950"/>
      <c r="EFH118" s="950"/>
      <c r="EFI118" s="950"/>
      <c r="EFJ118" s="950"/>
      <c r="EFK118" s="950"/>
      <c r="EFL118" s="950"/>
      <c r="EFM118" s="950"/>
      <c r="EFN118" s="950"/>
      <c r="EFO118" s="950"/>
      <c r="EFP118" s="950"/>
      <c r="EFQ118" s="950"/>
      <c r="EFR118" s="950"/>
      <c r="EFS118" s="950"/>
      <c r="EFT118" s="950"/>
      <c r="EFU118" s="950"/>
      <c r="EFV118" s="950"/>
      <c r="EFW118" s="950"/>
      <c r="EFX118" s="950"/>
      <c r="EFY118" s="950"/>
      <c r="EFZ118" s="950"/>
      <c r="EGA118" s="950"/>
      <c r="EGB118" s="950"/>
      <c r="EGC118" s="950"/>
      <c r="EGD118" s="950"/>
      <c r="EGE118" s="950"/>
      <c r="EGF118" s="950"/>
      <c r="EGG118" s="950"/>
      <c r="EGH118" s="950"/>
      <c r="EGI118" s="950"/>
      <c r="EGJ118" s="950"/>
      <c r="EGK118" s="950"/>
      <c r="EGL118" s="950"/>
      <c r="EGM118" s="950"/>
      <c r="EGN118" s="950"/>
      <c r="EGO118" s="950"/>
      <c r="EGP118" s="950"/>
      <c r="EGQ118" s="950"/>
      <c r="EGR118" s="950"/>
      <c r="EGS118" s="950"/>
      <c r="EGT118" s="950"/>
      <c r="EGU118" s="950"/>
      <c r="EGV118" s="950"/>
      <c r="EGW118" s="950"/>
      <c r="EGX118" s="950"/>
      <c r="EGY118" s="950"/>
      <c r="EGZ118" s="950"/>
      <c r="EHA118" s="950"/>
      <c r="EHB118" s="950"/>
      <c r="EHC118" s="950"/>
      <c r="EHD118" s="950"/>
      <c r="EHE118" s="950"/>
      <c r="EHF118" s="950"/>
      <c r="EHG118" s="950"/>
      <c r="EHH118" s="950"/>
      <c r="EHI118" s="950"/>
      <c r="EHJ118" s="950"/>
      <c r="EHK118" s="950"/>
      <c r="EHL118" s="950"/>
      <c r="EHM118" s="950"/>
      <c r="EHN118" s="950"/>
      <c r="EHO118" s="950"/>
      <c r="EHP118" s="950"/>
      <c r="EHQ118" s="950"/>
      <c r="EHR118" s="950"/>
      <c r="EHS118" s="950"/>
      <c r="EHT118" s="950"/>
      <c r="EHU118" s="950"/>
      <c r="EHV118" s="950"/>
      <c r="EHW118" s="950"/>
      <c r="EHX118" s="950"/>
      <c r="EHY118" s="950"/>
      <c r="EHZ118" s="950"/>
      <c r="EIA118" s="950"/>
      <c r="EIB118" s="950"/>
      <c r="EIC118" s="950"/>
      <c r="EID118" s="950"/>
      <c r="EIE118" s="950"/>
      <c r="EIF118" s="950"/>
      <c r="EIG118" s="950"/>
      <c r="EIH118" s="950"/>
      <c r="EII118" s="950"/>
      <c r="EIJ118" s="950"/>
      <c r="EIK118" s="950"/>
      <c r="EIL118" s="950"/>
      <c r="EIM118" s="950"/>
      <c r="EIN118" s="950"/>
      <c r="EIO118" s="950"/>
      <c r="EIP118" s="950"/>
      <c r="EIQ118" s="950"/>
      <c r="EIR118" s="950"/>
      <c r="EIS118" s="950"/>
      <c r="EIT118" s="950"/>
      <c r="EIU118" s="950"/>
      <c r="EIV118" s="950"/>
      <c r="EIW118" s="950"/>
      <c r="EIX118" s="950"/>
      <c r="EIY118" s="950"/>
      <c r="EIZ118" s="950"/>
      <c r="EJA118" s="950"/>
      <c r="EJB118" s="950"/>
      <c r="EJC118" s="950"/>
      <c r="EJD118" s="950"/>
      <c r="EJE118" s="950"/>
      <c r="EJF118" s="950"/>
      <c r="EJG118" s="950"/>
      <c r="EJH118" s="950"/>
      <c r="EJI118" s="950"/>
      <c r="EJJ118" s="950"/>
      <c r="EJK118" s="950"/>
      <c r="EJL118" s="950"/>
      <c r="EJM118" s="950"/>
      <c r="EJN118" s="950"/>
      <c r="EJO118" s="950"/>
      <c r="EJP118" s="950"/>
      <c r="EJQ118" s="950"/>
      <c r="EJR118" s="950"/>
      <c r="EJS118" s="950"/>
      <c r="EJT118" s="950"/>
      <c r="EJU118" s="950"/>
      <c r="EJV118" s="950"/>
      <c r="EJW118" s="950"/>
      <c r="EJX118" s="950"/>
      <c r="EJY118" s="950"/>
      <c r="EJZ118" s="950"/>
      <c r="EKA118" s="950"/>
      <c r="EKB118" s="950"/>
      <c r="EKC118" s="950"/>
      <c r="EKD118" s="950"/>
      <c r="EKE118" s="950"/>
      <c r="EKF118" s="950"/>
      <c r="EKG118" s="950"/>
      <c r="EKH118" s="950"/>
      <c r="EKI118" s="950"/>
      <c r="EKJ118" s="950"/>
      <c r="EKK118" s="950"/>
      <c r="EKL118" s="950"/>
      <c r="EKM118" s="950"/>
      <c r="EKN118" s="950"/>
      <c r="EKO118" s="950"/>
      <c r="EKP118" s="950"/>
      <c r="EKQ118" s="950"/>
      <c r="EKR118" s="950"/>
      <c r="EKS118" s="950"/>
      <c r="EKT118" s="950"/>
      <c r="EKU118" s="950"/>
      <c r="EKV118" s="950"/>
      <c r="EKW118" s="950"/>
      <c r="EKX118" s="950"/>
      <c r="EKY118" s="950"/>
      <c r="EKZ118" s="950"/>
      <c r="ELA118" s="950"/>
      <c r="ELB118" s="950"/>
      <c r="ELC118" s="950"/>
      <c r="ELD118" s="950"/>
      <c r="ELE118" s="950"/>
      <c r="ELF118" s="950"/>
      <c r="ELG118" s="950"/>
      <c r="ELH118" s="950"/>
      <c r="ELI118" s="950"/>
      <c r="ELJ118" s="950"/>
      <c r="ELK118" s="950"/>
      <c r="ELL118" s="950"/>
      <c r="ELM118" s="950"/>
      <c r="ELN118" s="950"/>
      <c r="ELO118" s="950"/>
      <c r="ELP118" s="950"/>
      <c r="ELQ118" s="950"/>
      <c r="ELR118" s="950"/>
      <c r="ELS118" s="950"/>
      <c r="ELT118" s="950"/>
      <c r="ELU118" s="950"/>
      <c r="ELV118" s="950"/>
      <c r="ELW118" s="950"/>
      <c r="ELX118" s="950"/>
      <c r="ELY118" s="950"/>
      <c r="ELZ118" s="950"/>
      <c r="EMA118" s="950"/>
      <c r="EMB118" s="950"/>
      <c r="EMC118" s="950"/>
      <c r="EMD118" s="950"/>
      <c r="EME118" s="950"/>
      <c r="EMF118" s="950"/>
      <c r="EMG118" s="950"/>
      <c r="EMH118" s="950"/>
      <c r="EMI118" s="950"/>
      <c r="EMJ118" s="950"/>
      <c r="EMK118" s="950"/>
      <c r="EML118" s="950"/>
      <c r="EMM118" s="950"/>
      <c r="EMN118" s="950"/>
      <c r="EMO118" s="950"/>
      <c r="EMP118" s="950"/>
      <c r="EMQ118" s="950"/>
      <c r="EMR118" s="950"/>
      <c r="EMS118" s="950"/>
      <c r="EMT118" s="950"/>
      <c r="EMU118" s="950"/>
      <c r="EMV118" s="950"/>
      <c r="EMW118" s="950"/>
      <c r="EMX118" s="950"/>
      <c r="EMY118" s="950"/>
      <c r="EMZ118" s="950"/>
      <c r="ENA118" s="950"/>
      <c r="ENB118" s="950"/>
      <c r="ENC118" s="950"/>
      <c r="END118" s="950"/>
      <c r="ENE118" s="950"/>
      <c r="ENF118" s="950"/>
      <c r="ENG118" s="950"/>
      <c r="ENH118" s="950"/>
      <c r="ENI118" s="950"/>
      <c r="ENJ118" s="950"/>
      <c r="ENK118" s="950"/>
      <c r="ENL118" s="950"/>
      <c r="ENM118" s="950"/>
      <c r="ENN118" s="950"/>
      <c r="ENO118" s="950"/>
      <c r="ENP118" s="950"/>
      <c r="ENQ118" s="950"/>
      <c r="ENR118" s="950"/>
      <c r="ENS118" s="950"/>
      <c r="ENT118" s="950"/>
      <c r="ENU118" s="950"/>
      <c r="ENV118" s="950"/>
      <c r="ENW118" s="950"/>
      <c r="ENX118" s="950"/>
      <c r="ENY118" s="950"/>
      <c r="ENZ118" s="950"/>
      <c r="EOA118" s="950"/>
      <c r="EOB118" s="950"/>
      <c r="EOC118" s="950"/>
      <c r="EOD118" s="950"/>
      <c r="EOE118" s="950"/>
      <c r="EOF118" s="950"/>
      <c r="EOG118" s="950"/>
      <c r="EOH118" s="950"/>
      <c r="EOI118" s="950"/>
      <c r="EOJ118" s="950"/>
      <c r="EOK118" s="950"/>
      <c r="EOL118" s="950"/>
      <c r="EOM118" s="950"/>
      <c r="EON118" s="950"/>
      <c r="EOO118" s="950"/>
      <c r="EOP118" s="950"/>
      <c r="EOQ118" s="950"/>
      <c r="EOR118" s="950"/>
      <c r="EOS118" s="950"/>
      <c r="EOT118" s="950"/>
      <c r="EOU118" s="950"/>
      <c r="EOV118" s="950"/>
      <c r="EOW118" s="950"/>
      <c r="EOX118" s="950"/>
      <c r="EOY118" s="950"/>
      <c r="EOZ118" s="950"/>
      <c r="EPA118" s="950"/>
      <c r="EPB118" s="950"/>
      <c r="EPC118" s="950"/>
      <c r="EPD118" s="950"/>
      <c r="EPE118" s="950"/>
      <c r="EPF118" s="950"/>
      <c r="EPG118" s="950"/>
      <c r="EPH118" s="950"/>
      <c r="EPI118" s="950"/>
      <c r="EPJ118" s="950"/>
      <c r="EPK118" s="950"/>
      <c r="EPL118" s="950"/>
      <c r="EPM118" s="950"/>
      <c r="EPN118" s="950"/>
      <c r="EPO118" s="950"/>
      <c r="EPP118" s="950"/>
      <c r="EPQ118" s="950"/>
      <c r="EPR118" s="950"/>
      <c r="EPS118" s="950"/>
      <c r="EPT118" s="950"/>
      <c r="EPU118" s="950"/>
      <c r="EPV118" s="950"/>
      <c r="EPW118" s="950"/>
      <c r="EPX118" s="950"/>
      <c r="EPY118" s="950"/>
      <c r="EPZ118" s="950"/>
      <c r="EQA118" s="950"/>
      <c r="EQB118" s="950"/>
      <c r="EQC118" s="950"/>
      <c r="EQD118" s="950"/>
      <c r="EQE118" s="950"/>
      <c r="EQF118" s="950"/>
      <c r="EQG118" s="950"/>
      <c r="EQH118" s="950"/>
      <c r="EQI118" s="950"/>
      <c r="EQJ118" s="950"/>
      <c r="EQK118" s="950"/>
      <c r="EQL118" s="950"/>
      <c r="EQM118" s="950"/>
      <c r="EQN118" s="950"/>
      <c r="EQO118" s="950"/>
      <c r="EQP118" s="950"/>
      <c r="EQQ118" s="950"/>
      <c r="EQR118" s="950"/>
      <c r="EQS118" s="950"/>
      <c r="EQT118" s="950"/>
      <c r="EQU118" s="950"/>
      <c r="EQV118" s="950"/>
      <c r="EQW118" s="950"/>
      <c r="EQX118" s="950"/>
      <c r="EQY118" s="950"/>
      <c r="EQZ118" s="950"/>
      <c r="ERA118" s="950"/>
      <c r="ERB118" s="950"/>
      <c r="ERC118" s="950"/>
      <c r="ERD118" s="950"/>
      <c r="ERE118" s="950"/>
      <c r="ERF118" s="950"/>
      <c r="ERG118" s="950"/>
      <c r="ERH118" s="950"/>
      <c r="ERI118" s="950"/>
      <c r="ERJ118" s="950"/>
      <c r="ERK118" s="950"/>
      <c r="ERL118" s="950"/>
      <c r="ERM118" s="950"/>
      <c r="ERN118" s="950"/>
      <c r="ERO118" s="950"/>
      <c r="ERP118" s="950"/>
      <c r="ERQ118" s="950"/>
      <c r="ERR118" s="950"/>
      <c r="ERS118" s="950"/>
      <c r="ERT118" s="950"/>
      <c r="ERU118" s="950"/>
      <c r="ERV118" s="950"/>
      <c r="ERW118" s="950"/>
      <c r="ERX118" s="950"/>
      <c r="ERY118" s="950"/>
      <c r="ERZ118" s="950"/>
      <c r="ESA118" s="950"/>
      <c r="ESB118" s="950"/>
      <c r="ESC118" s="950"/>
      <c r="ESD118" s="950"/>
      <c r="ESE118" s="950"/>
      <c r="ESF118" s="950"/>
      <c r="ESG118" s="950"/>
      <c r="ESH118" s="950"/>
      <c r="ESI118" s="950"/>
      <c r="ESJ118" s="950"/>
      <c r="ESK118" s="950"/>
      <c r="ESL118" s="950"/>
      <c r="ESM118" s="950"/>
      <c r="ESN118" s="950"/>
      <c r="ESO118" s="950"/>
      <c r="ESP118" s="950"/>
      <c r="ESQ118" s="950"/>
      <c r="ESR118" s="950"/>
      <c r="ESS118" s="950"/>
      <c r="EST118" s="950"/>
      <c r="ESU118" s="950"/>
      <c r="ESV118" s="950"/>
      <c r="ESW118" s="950"/>
      <c r="ESX118" s="950"/>
      <c r="ESY118" s="950"/>
      <c r="ESZ118" s="950"/>
      <c r="ETA118" s="950"/>
      <c r="ETB118" s="950"/>
      <c r="ETC118" s="950"/>
      <c r="ETD118" s="950"/>
      <c r="ETE118" s="950"/>
      <c r="ETF118" s="950"/>
      <c r="ETG118" s="950"/>
      <c r="ETH118" s="950"/>
      <c r="ETI118" s="950"/>
      <c r="ETJ118" s="950"/>
      <c r="ETK118" s="950"/>
      <c r="ETL118" s="950"/>
      <c r="ETM118" s="950"/>
      <c r="ETN118" s="950"/>
      <c r="ETO118" s="950"/>
      <c r="ETP118" s="950"/>
      <c r="ETQ118" s="950"/>
      <c r="ETR118" s="950"/>
      <c r="ETS118" s="950"/>
      <c r="ETT118" s="950"/>
      <c r="ETU118" s="950"/>
      <c r="ETV118" s="950"/>
      <c r="ETW118" s="950"/>
      <c r="ETX118" s="950"/>
      <c r="ETY118" s="950"/>
      <c r="ETZ118" s="950"/>
      <c r="EUA118" s="950"/>
      <c r="EUB118" s="950"/>
      <c r="EUC118" s="950"/>
      <c r="EUD118" s="950"/>
      <c r="EUE118" s="950"/>
      <c r="EUF118" s="950"/>
      <c r="EUG118" s="950"/>
      <c r="EUH118" s="950"/>
      <c r="EUI118" s="950"/>
      <c r="EUJ118" s="950"/>
      <c r="EUK118" s="950"/>
      <c r="EUL118" s="950"/>
      <c r="EUM118" s="950"/>
      <c r="EUN118" s="950"/>
      <c r="EUO118" s="950"/>
      <c r="EUP118" s="950"/>
      <c r="EUQ118" s="950"/>
      <c r="EUR118" s="950"/>
      <c r="EUS118" s="950"/>
      <c r="EUT118" s="950"/>
      <c r="EUU118" s="950"/>
      <c r="EUV118" s="950"/>
      <c r="EUW118" s="950"/>
      <c r="EUX118" s="950"/>
      <c r="EUY118" s="950"/>
      <c r="EUZ118" s="950"/>
      <c r="EVA118" s="950"/>
      <c r="EVB118" s="950"/>
      <c r="EVC118" s="950"/>
      <c r="EVD118" s="950"/>
      <c r="EVE118" s="950"/>
      <c r="EVF118" s="950"/>
      <c r="EVG118" s="950"/>
      <c r="EVH118" s="950"/>
      <c r="EVI118" s="950"/>
      <c r="EVJ118" s="950"/>
      <c r="EVK118" s="950"/>
      <c r="EVL118" s="950"/>
      <c r="EVM118" s="950"/>
      <c r="EVN118" s="950"/>
      <c r="EVO118" s="950"/>
      <c r="EVP118" s="950"/>
      <c r="EVQ118" s="950"/>
      <c r="EVR118" s="950"/>
      <c r="EVS118" s="950"/>
      <c r="EVT118" s="950"/>
      <c r="EVU118" s="950"/>
      <c r="EVV118" s="950"/>
      <c r="EVW118" s="950"/>
      <c r="EVX118" s="950"/>
      <c r="EVY118" s="950"/>
      <c r="EVZ118" s="950"/>
      <c r="EWA118" s="950"/>
      <c r="EWB118" s="950"/>
      <c r="EWC118" s="950"/>
      <c r="EWD118" s="950"/>
      <c r="EWE118" s="950"/>
      <c r="EWF118" s="950"/>
      <c r="EWG118" s="950"/>
      <c r="EWH118" s="950"/>
      <c r="EWI118" s="950"/>
      <c r="EWJ118" s="950"/>
      <c r="EWK118" s="950"/>
      <c r="EWL118" s="950"/>
      <c r="EWM118" s="950"/>
      <c r="EWN118" s="950"/>
      <c r="EWO118" s="950"/>
      <c r="EWP118" s="950"/>
      <c r="EWQ118" s="950"/>
      <c r="EWR118" s="950"/>
      <c r="EWS118" s="950"/>
      <c r="EWT118" s="950"/>
      <c r="EWU118" s="950"/>
      <c r="EWV118" s="950"/>
      <c r="EWW118" s="950"/>
      <c r="EWX118" s="950"/>
      <c r="EWY118" s="950"/>
      <c r="EWZ118" s="950"/>
      <c r="EXA118" s="950"/>
      <c r="EXB118" s="950"/>
      <c r="EXC118" s="950"/>
      <c r="EXD118" s="950"/>
      <c r="EXE118" s="950"/>
      <c r="EXF118" s="950"/>
      <c r="EXG118" s="950"/>
      <c r="EXH118" s="950"/>
      <c r="EXI118" s="950"/>
      <c r="EXJ118" s="950"/>
      <c r="EXK118" s="950"/>
      <c r="EXL118" s="950"/>
      <c r="EXM118" s="950"/>
      <c r="EXN118" s="950"/>
      <c r="EXO118" s="950"/>
      <c r="EXP118" s="950"/>
      <c r="EXQ118" s="950"/>
      <c r="EXR118" s="950"/>
      <c r="EXS118" s="950"/>
      <c r="EXT118" s="950"/>
      <c r="EXU118" s="950"/>
      <c r="EXV118" s="950"/>
      <c r="EXW118" s="950"/>
      <c r="EXX118" s="950"/>
      <c r="EXY118" s="950"/>
      <c r="EXZ118" s="950"/>
      <c r="EYA118" s="950"/>
      <c r="EYB118" s="950"/>
      <c r="EYC118" s="950"/>
      <c r="EYD118" s="950"/>
      <c r="EYE118" s="950"/>
      <c r="EYF118" s="950"/>
      <c r="EYG118" s="950"/>
      <c r="EYH118" s="950"/>
      <c r="EYI118" s="950"/>
      <c r="EYJ118" s="950"/>
      <c r="EYK118" s="950"/>
      <c r="EYL118" s="950"/>
      <c r="EYM118" s="950"/>
      <c r="EYN118" s="950"/>
      <c r="EYO118" s="950"/>
      <c r="EYP118" s="950"/>
      <c r="EYQ118" s="950"/>
      <c r="EYR118" s="950"/>
      <c r="EYS118" s="950"/>
      <c r="EYT118" s="950"/>
      <c r="EYU118" s="950"/>
      <c r="EYV118" s="950"/>
      <c r="EYW118" s="950"/>
      <c r="EYX118" s="950"/>
      <c r="EYY118" s="950"/>
      <c r="EYZ118" s="950"/>
      <c r="EZA118" s="950"/>
      <c r="EZB118" s="950"/>
      <c r="EZC118" s="950"/>
      <c r="EZD118" s="950"/>
      <c r="EZE118" s="950"/>
      <c r="EZF118" s="950"/>
      <c r="EZG118" s="950"/>
      <c r="EZH118" s="950"/>
      <c r="EZI118" s="950"/>
      <c r="EZJ118" s="950"/>
      <c r="EZK118" s="950"/>
      <c r="EZL118" s="950"/>
      <c r="EZM118" s="950"/>
      <c r="EZN118" s="950"/>
      <c r="EZO118" s="950"/>
      <c r="EZP118" s="950"/>
      <c r="EZQ118" s="950"/>
      <c r="EZR118" s="950"/>
      <c r="EZS118" s="950"/>
      <c r="EZT118" s="950"/>
      <c r="EZU118" s="950"/>
      <c r="EZV118" s="950"/>
      <c r="EZW118" s="950"/>
      <c r="EZX118" s="950"/>
      <c r="EZY118" s="950"/>
      <c r="EZZ118" s="950"/>
      <c r="FAA118" s="950"/>
      <c r="FAB118" s="950"/>
      <c r="FAC118" s="950"/>
      <c r="FAD118" s="950"/>
      <c r="FAE118" s="950"/>
      <c r="FAF118" s="950"/>
      <c r="FAG118" s="950"/>
      <c r="FAH118" s="950"/>
      <c r="FAI118" s="950"/>
      <c r="FAJ118" s="950"/>
      <c r="FAK118" s="950"/>
      <c r="FAL118" s="950"/>
      <c r="FAM118" s="950"/>
      <c r="FAN118" s="950"/>
      <c r="FAO118" s="950"/>
      <c r="FAP118" s="950"/>
      <c r="FAQ118" s="950"/>
      <c r="FAR118" s="950"/>
      <c r="FAS118" s="950"/>
      <c r="FAT118" s="950"/>
      <c r="FAU118" s="950"/>
      <c r="FAV118" s="950"/>
      <c r="FAW118" s="950"/>
      <c r="FAX118" s="950"/>
      <c r="FAY118" s="950"/>
      <c r="FAZ118" s="950"/>
      <c r="FBA118" s="950"/>
      <c r="FBB118" s="950"/>
      <c r="FBC118" s="950"/>
      <c r="FBD118" s="950"/>
      <c r="FBE118" s="950"/>
      <c r="FBF118" s="950"/>
      <c r="FBG118" s="950"/>
      <c r="FBH118" s="950"/>
      <c r="FBI118" s="950"/>
      <c r="FBJ118" s="950"/>
      <c r="FBK118" s="950"/>
      <c r="FBL118" s="950"/>
      <c r="FBM118" s="950"/>
      <c r="FBN118" s="950"/>
      <c r="FBO118" s="950"/>
      <c r="FBP118" s="950"/>
      <c r="FBQ118" s="950"/>
      <c r="FBR118" s="950"/>
      <c r="FBS118" s="950"/>
      <c r="FBT118" s="950"/>
      <c r="FBU118" s="950"/>
      <c r="FBV118" s="950"/>
      <c r="FBW118" s="950"/>
      <c r="FBX118" s="950"/>
      <c r="FBY118" s="950"/>
      <c r="FBZ118" s="950"/>
      <c r="FCA118" s="950"/>
      <c r="FCB118" s="950"/>
      <c r="FCC118" s="950"/>
      <c r="FCD118" s="950"/>
      <c r="FCE118" s="950"/>
      <c r="FCF118" s="950"/>
      <c r="FCG118" s="950"/>
      <c r="FCH118" s="950"/>
      <c r="FCI118" s="950"/>
      <c r="FCJ118" s="950"/>
      <c r="FCK118" s="950"/>
      <c r="FCL118" s="950"/>
      <c r="FCM118" s="950"/>
      <c r="FCN118" s="950"/>
      <c r="FCO118" s="950"/>
      <c r="FCP118" s="950"/>
      <c r="FCQ118" s="950"/>
      <c r="FCR118" s="950"/>
      <c r="FCS118" s="950"/>
      <c r="FCT118" s="950"/>
      <c r="FCU118" s="950"/>
      <c r="FCV118" s="950"/>
      <c r="FCW118" s="950"/>
      <c r="FCX118" s="950"/>
      <c r="FCY118" s="950"/>
      <c r="FCZ118" s="950"/>
      <c r="FDA118" s="950"/>
      <c r="FDB118" s="950"/>
      <c r="FDC118" s="950"/>
      <c r="FDD118" s="950"/>
      <c r="FDE118" s="950"/>
      <c r="FDF118" s="950"/>
      <c r="FDG118" s="950"/>
      <c r="FDH118" s="950"/>
      <c r="FDI118" s="950"/>
      <c r="FDJ118" s="950"/>
      <c r="FDK118" s="950"/>
      <c r="FDL118" s="950"/>
      <c r="FDM118" s="950"/>
      <c r="FDN118" s="950"/>
      <c r="FDO118" s="950"/>
      <c r="FDP118" s="950"/>
      <c r="FDQ118" s="950"/>
      <c r="FDR118" s="950"/>
      <c r="FDS118" s="950"/>
      <c r="FDT118" s="950"/>
      <c r="FDU118" s="950"/>
      <c r="FDV118" s="950"/>
      <c r="FDW118" s="950"/>
      <c r="FDX118" s="950"/>
      <c r="FDY118" s="950"/>
      <c r="FDZ118" s="950"/>
      <c r="FEA118" s="950"/>
      <c r="FEB118" s="950"/>
      <c r="FEC118" s="950"/>
      <c r="FED118" s="950"/>
      <c r="FEE118" s="950"/>
      <c r="FEF118" s="950"/>
      <c r="FEG118" s="950"/>
      <c r="FEH118" s="950"/>
      <c r="FEI118" s="950"/>
      <c r="FEJ118" s="950"/>
      <c r="FEK118" s="950"/>
      <c r="FEL118" s="950"/>
      <c r="FEM118" s="950"/>
      <c r="FEN118" s="950"/>
      <c r="FEO118" s="950"/>
      <c r="FEP118" s="950"/>
      <c r="FEQ118" s="950"/>
      <c r="FER118" s="950"/>
      <c r="FES118" s="950"/>
      <c r="FET118" s="950"/>
      <c r="FEU118" s="950"/>
      <c r="FEV118" s="950"/>
      <c r="FEW118" s="950"/>
      <c r="FEX118" s="950"/>
      <c r="FEY118" s="950"/>
      <c r="FEZ118" s="950"/>
      <c r="FFA118" s="950"/>
      <c r="FFB118" s="950"/>
      <c r="FFC118" s="950"/>
      <c r="FFD118" s="950"/>
      <c r="FFE118" s="950"/>
      <c r="FFF118" s="950"/>
      <c r="FFG118" s="950"/>
      <c r="FFH118" s="950"/>
      <c r="FFI118" s="950"/>
      <c r="FFJ118" s="950"/>
      <c r="FFK118" s="950"/>
      <c r="FFL118" s="950"/>
      <c r="FFM118" s="950"/>
      <c r="FFN118" s="950"/>
      <c r="FFO118" s="950"/>
      <c r="FFP118" s="950"/>
      <c r="FFQ118" s="950"/>
      <c r="FFR118" s="950"/>
      <c r="FFS118" s="950"/>
      <c r="FFT118" s="950"/>
      <c r="FFU118" s="950"/>
      <c r="FFV118" s="950"/>
      <c r="FFW118" s="950"/>
      <c r="FFX118" s="950"/>
      <c r="FFY118" s="950"/>
      <c r="FFZ118" s="950"/>
      <c r="FGA118" s="950"/>
      <c r="FGB118" s="950"/>
      <c r="FGC118" s="950"/>
      <c r="FGD118" s="950"/>
      <c r="FGE118" s="950"/>
      <c r="FGF118" s="950"/>
      <c r="FGG118" s="950"/>
      <c r="FGH118" s="950"/>
      <c r="FGI118" s="950"/>
      <c r="FGJ118" s="950"/>
      <c r="FGK118" s="950"/>
      <c r="FGL118" s="950"/>
      <c r="FGM118" s="950"/>
      <c r="FGN118" s="950"/>
      <c r="FGO118" s="950"/>
      <c r="FGP118" s="950"/>
      <c r="FGQ118" s="950"/>
      <c r="FGR118" s="950"/>
      <c r="FGS118" s="950"/>
      <c r="FGT118" s="950"/>
      <c r="FGU118" s="950"/>
      <c r="FGV118" s="950"/>
      <c r="FGW118" s="950"/>
      <c r="FGX118" s="950"/>
      <c r="FGY118" s="950"/>
      <c r="FGZ118" s="950"/>
      <c r="FHA118" s="950"/>
      <c r="FHB118" s="950"/>
      <c r="FHC118" s="950"/>
      <c r="FHD118" s="950"/>
      <c r="FHE118" s="950"/>
      <c r="FHF118" s="950"/>
      <c r="FHG118" s="950"/>
      <c r="FHH118" s="950"/>
      <c r="FHI118" s="950"/>
      <c r="FHJ118" s="950"/>
      <c r="FHK118" s="950"/>
      <c r="FHL118" s="950"/>
      <c r="FHM118" s="950"/>
      <c r="FHN118" s="950"/>
      <c r="FHO118" s="950"/>
      <c r="FHP118" s="950"/>
      <c r="FHQ118" s="950"/>
      <c r="FHR118" s="950"/>
      <c r="FHS118" s="950"/>
      <c r="FHT118" s="950"/>
      <c r="FHU118" s="950"/>
      <c r="FHV118" s="950"/>
      <c r="FHW118" s="950"/>
      <c r="FHX118" s="950"/>
      <c r="FHY118" s="950"/>
      <c r="FHZ118" s="950"/>
      <c r="FIA118" s="950"/>
      <c r="FIB118" s="950"/>
      <c r="FIC118" s="950"/>
      <c r="FID118" s="950"/>
      <c r="FIE118" s="950"/>
      <c r="FIF118" s="950"/>
      <c r="FIG118" s="950"/>
      <c r="FIH118" s="950"/>
      <c r="FII118" s="950"/>
      <c r="FIJ118" s="950"/>
      <c r="FIK118" s="950"/>
      <c r="FIL118" s="950"/>
      <c r="FIM118" s="950"/>
      <c r="FIN118" s="950"/>
      <c r="FIO118" s="950"/>
      <c r="FIP118" s="950"/>
      <c r="FIQ118" s="950"/>
      <c r="FIR118" s="950"/>
      <c r="FIS118" s="950"/>
      <c r="FIT118" s="950"/>
      <c r="FIU118" s="950"/>
      <c r="FIV118" s="950"/>
      <c r="FIW118" s="950"/>
      <c r="FIX118" s="950"/>
      <c r="FIY118" s="950"/>
      <c r="FIZ118" s="950"/>
      <c r="FJA118" s="950"/>
      <c r="FJB118" s="950"/>
      <c r="FJC118" s="950"/>
      <c r="FJD118" s="950"/>
      <c r="FJE118" s="950"/>
      <c r="FJF118" s="950"/>
      <c r="FJG118" s="950"/>
      <c r="FJH118" s="950"/>
      <c r="FJI118" s="950"/>
      <c r="FJJ118" s="950"/>
      <c r="FJK118" s="950"/>
      <c r="FJL118" s="950"/>
      <c r="FJM118" s="950"/>
      <c r="FJN118" s="950"/>
      <c r="FJO118" s="950"/>
      <c r="FJP118" s="950"/>
      <c r="FJQ118" s="950"/>
      <c r="FJR118" s="950"/>
      <c r="FJS118" s="950"/>
      <c r="FJT118" s="950"/>
      <c r="FJU118" s="950"/>
      <c r="FJV118" s="950"/>
      <c r="FJW118" s="950"/>
      <c r="FJX118" s="950"/>
      <c r="FJY118" s="950"/>
      <c r="FJZ118" s="950"/>
      <c r="FKA118" s="950"/>
      <c r="FKB118" s="950"/>
      <c r="FKC118" s="950"/>
      <c r="FKD118" s="950"/>
      <c r="FKE118" s="950"/>
      <c r="FKF118" s="950"/>
      <c r="FKG118" s="950"/>
      <c r="FKH118" s="950"/>
      <c r="FKI118" s="950"/>
      <c r="FKJ118" s="950"/>
      <c r="FKK118" s="950"/>
      <c r="FKL118" s="950"/>
      <c r="FKM118" s="950"/>
      <c r="FKN118" s="950"/>
      <c r="FKO118" s="950"/>
      <c r="FKP118" s="950"/>
      <c r="FKQ118" s="950"/>
      <c r="FKR118" s="950"/>
      <c r="FKS118" s="950"/>
      <c r="FKT118" s="950"/>
      <c r="FKU118" s="950"/>
      <c r="FKV118" s="950"/>
      <c r="FKW118" s="950"/>
      <c r="FKX118" s="950"/>
      <c r="FKY118" s="950"/>
      <c r="FKZ118" s="950"/>
      <c r="FLA118" s="950"/>
      <c r="FLB118" s="950"/>
      <c r="FLC118" s="950"/>
      <c r="FLD118" s="950"/>
      <c r="FLE118" s="950"/>
      <c r="FLF118" s="950"/>
      <c r="FLG118" s="950"/>
      <c r="FLH118" s="950"/>
      <c r="FLI118" s="950"/>
      <c r="FLJ118" s="950"/>
      <c r="FLK118" s="950"/>
      <c r="FLL118" s="950"/>
      <c r="FLM118" s="950"/>
      <c r="FLN118" s="950"/>
      <c r="FLO118" s="950"/>
      <c r="FLP118" s="950"/>
      <c r="FLQ118" s="950"/>
      <c r="FLR118" s="950"/>
      <c r="FLS118" s="950"/>
      <c r="FLT118" s="950"/>
      <c r="FLU118" s="950"/>
      <c r="FLV118" s="950"/>
      <c r="FLW118" s="950"/>
      <c r="FLX118" s="950"/>
      <c r="FLY118" s="950"/>
      <c r="FLZ118" s="950"/>
      <c r="FMA118" s="950"/>
      <c r="FMB118" s="950"/>
      <c r="FMC118" s="950"/>
      <c r="FMD118" s="950"/>
      <c r="FME118" s="950"/>
      <c r="FMF118" s="950"/>
      <c r="FMG118" s="950"/>
      <c r="FMH118" s="950"/>
      <c r="FMI118" s="950"/>
      <c r="FMJ118" s="950"/>
      <c r="FMK118" s="950"/>
      <c r="FML118" s="950"/>
      <c r="FMM118" s="950"/>
      <c r="FMN118" s="950"/>
      <c r="FMO118" s="950"/>
      <c r="FMP118" s="950"/>
      <c r="FMQ118" s="950"/>
      <c r="FMR118" s="950"/>
      <c r="FMS118" s="950"/>
      <c r="FMT118" s="950"/>
      <c r="FMU118" s="950"/>
      <c r="FMV118" s="950"/>
      <c r="FMW118" s="950"/>
      <c r="FMX118" s="950"/>
      <c r="FMY118" s="950"/>
      <c r="FMZ118" s="950"/>
      <c r="FNA118" s="950"/>
      <c r="FNB118" s="950"/>
      <c r="FNC118" s="950"/>
      <c r="FND118" s="950"/>
      <c r="FNE118" s="950"/>
      <c r="FNF118" s="950"/>
      <c r="FNG118" s="950"/>
      <c r="FNH118" s="950"/>
      <c r="FNI118" s="950"/>
      <c r="FNJ118" s="950"/>
      <c r="FNK118" s="950"/>
      <c r="FNL118" s="950"/>
      <c r="FNM118" s="950"/>
      <c r="FNN118" s="950"/>
      <c r="FNO118" s="950"/>
      <c r="FNP118" s="950"/>
      <c r="FNQ118" s="950"/>
      <c r="FNR118" s="950"/>
      <c r="FNS118" s="950"/>
      <c r="FNT118" s="950"/>
      <c r="FNU118" s="950"/>
      <c r="FNV118" s="950"/>
      <c r="FNW118" s="950"/>
      <c r="FNX118" s="950"/>
      <c r="FNY118" s="950"/>
      <c r="FNZ118" s="950"/>
      <c r="FOA118" s="950"/>
      <c r="FOB118" s="950"/>
      <c r="FOC118" s="950"/>
      <c r="FOD118" s="950"/>
      <c r="FOE118" s="950"/>
      <c r="FOF118" s="950"/>
      <c r="FOG118" s="950"/>
      <c r="FOH118" s="950"/>
      <c r="FOI118" s="950"/>
      <c r="FOJ118" s="950"/>
      <c r="FOK118" s="950"/>
      <c r="FOL118" s="950"/>
      <c r="FOM118" s="950"/>
      <c r="FON118" s="950"/>
      <c r="FOO118" s="950"/>
      <c r="FOP118" s="950"/>
      <c r="FOQ118" s="950"/>
      <c r="FOR118" s="950"/>
      <c r="FOS118" s="950"/>
      <c r="FOT118" s="950"/>
      <c r="FOU118" s="950"/>
      <c r="FOV118" s="950"/>
      <c r="FOW118" s="950"/>
      <c r="FOX118" s="950"/>
      <c r="FOY118" s="950"/>
      <c r="FOZ118" s="950"/>
      <c r="FPA118" s="950"/>
      <c r="FPB118" s="950"/>
      <c r="FPC118" s="950"/>
      <c r="FPD118" s="950"/>
      <c r="FPE118" s="950"/>
      <c r="FPF118" s="950"/>
      <c r="FPG118" s="950"/>
      <c r="FPH118" s="950"/>
      <c r="FPI118" s="950"/>
      <c r="FPJ118" s="950"/>
      <c r="FPK118" s="950"/>
      <c r="FPL118" s="950"/>
      <c r="FPM118" s="950"/>
      <c r="FPN118" s="950"/>
      <c r="FPO118" s="950"/>
      <c r="FPP118" s="950"/>
      <c r="FPQ118" s="950"/>
      <c r="FPR118" s="950"/>
      <c r="FPS118" s="950"/>
      <c r="FPT118" s="950"/>
      <c r="FPU118" s="950"/>
      <c r="FPV118" s="950"/>
      <c r="FPW118" s="950"/>
      <c r="FPX118" s="950"/>
      <c r="FPY118" s="950"/>
      <c r="FPZ118" s="950"/>
      <c r="FQA118" s="950"/>
      <c r="FQB118" s="950"/>
      <c r="FQC118" s="950"/>
      <c r="FQD118" s="950"/>
      <c r="FQE118" s="950"/>
      <c r="FQF118" s="950"/>
      <c r="FQG118" s="950"/>
      <c r="FQH118" s="950"/>
      <c r="FQI118" s="950"/>
      <c r="FQJ118" s="950"/>
      <c r="FQK118" s="950"/>
      <c r="FQL118" s="950"/>
      <c r="FQM118" s="950"/>
      <c r="FQN118" s="950"/>
      <c r="FQO118" s="950"/>
      <c r="FQP118" s="950"/>
      <c r="FQQ118" s="950"/>
      <c r="FQR118" s="950"/>
      <c r="FQS118" s="950"/>
      <c r="FQT118" s="950"/>
      <c r="FQU118" s="950"/>
      <c r="FQV118" s="950"/>
      <c r="FQW118" s="950"/>
      <c r="FQX118" s="950"/>
      <c r="FQY118" s="950"/>
      <c r="FQZ118" s="950"/>
      <c r="FRA118" s="950"/>
      <c r="FRB118" s="950"/>
      <c r="FRC118" s="950"/>
      <c r="FRD118" s="950"/>
      <c r="FRE118" s="950"/>
      <c r="FRF118" s="950"/>
      <c r="FRG118" s="950"/>
      <c r="FRH118" s="950"/>
      <c r="FRI118" s="950"/>
      <c r="FRJ118" s="950"/>
      <c r="FRK118" s="950"/>
      <c r="FRL118" s="950"/>
      <c r="FRM118" s="950"/>
      <c r="FRN118" s="950"/>
      <c r="FRO118" s="950"/>
      <c r="FRP118" s="950"/>
      <c r="FRQ118" s="950"/>
      <c r="FRR118" s="950"/>
      <c r="FRS118" s="950"/>
      <c r="FRT118" s="950"/>
      <c r="FRU118" s="950"/>
      <c r="FRV118" s="950"/>
      <c r="FRW118" s="950"/>
      <c r="FRX118" s="950"/>
      <c r="FRY118" s="950"/>
      <c r="FRZ118" s="950"/>
      <c r="FSA118" s="950"/>
      <c r="FSB118" s="950"/>
      <c r="FSC118" s="950"/>
      <c r="FSD118" s="950"/>
      <c r="FSE118" s="950"/>
      <c r="FSF118" s="950"/>
      <c r="FSG118" s="950"/>
      <c r="FSH118" s="950"/>
      <c r="FSI118" s="950"/>
      <c r="FSJ118" s="950"/>
      <c r="FSK118" s="950"/>
      <c r="FSL118" s="950"/>
      <c r="FSM118" s="950"/>
      <c r="FSN118" s="950"/>
      <c r="FSO118" s="950"/>
      <c r="FSP118" s="950"/>
      <c r="FSQ118" s="950"/>
      <c r="FSR118" s="950"/>
      <c r="FSS118" s="950"/>
      <c r="FST118" s="950"/>
      <c r="FSU118" s="950"/>
      <c r="FSV118" s="950"/>
      <c r="FSW118" s="950"/>
      <c r="FSX118" s="950"/>
      <c r="FSY118" s="950"/>
      <c r="FSZ118" s="950"/>
      <c r="FTA118" s="950"/>
      <c r="FTB118" s="950"/>
      <c r="FTC118" s="950"/>
      <c r="FTD118" s="950"/>
      <c r="FTE118" s="950"/>
      <c r="FTF118" s="950"/>
      <c r="FTG118" s="950"/>
      <c r="FTH118" s="950"/>
      <c r="FTI118" s="950"/>
      <c r="FTJ118" s="950"/>
      <c r="FTK118" s="950"/>
      <c r="FTL118" s="950"/>
      <c r="FTM118" s="950"/>
      <c r="FTN118" s="950"/>
      <c r="FTO118" s="950"/>
      <c r="FTP118" s="950"/>
      <c r="FTQ118" s="950"/>
      <c r="FTR118" s="950"/>
      <c r="FTS118" s="950"/>
      <c r="FTT118" s="950"/>
      <c r="FTU118" s="950"/>
      <c r="FTV118" s="950"/>
      <c r="FTW118" s="950"/>
      <c r="FTX118" s="950"/>
      <c r="FTY118" s="950"/>
      <c r="FTZ118" s="950"/>
      <c r="FUA118" s="950"/>
      <c r="FUB118" s="950"/>
      <c r="FUC118" s="950"/>
      <c r="FUD118" s="950"/>
      <c r="FUE118" s="950"/>
      <c r="FUF118" s="950"/>
      <c r="FUG118" s="950"/>
      <c r="FUH118" s="950"/>
      <c r="FUI118" s="950"/>
      <c r="FUJ118" s="950"/>
      <c r="FUK118" s="950"/>
      <c r="FUL118" s="950"/>
      <c r="FUM118" s="950"/>
      <c r="FUN118" s="950"/>
      <c r="FUO118" s="950"/>
      <c r="FUP118" s="950"/>
      <c r="FUQ118" s="950"/>
      <c r="FUR118" s="950"/>
      <c r="FUS118" s="950"/>
      <c r="FUT118" s="950"/>
      <c r="FUU118" s="950"/>
      <c r="FUV118" s="950"/>
      <c r="FUW118" s="950"/>
      <c r="FUX118" s="950"/>
      <c r="FUY118" s="950"/>
      <c r="FUZ118" s="950"/>
      <c r="FVA118" s="950"/>
      <c r="FVB118" s="950"/>
      <c r="FVC118" s="950"/>
      <c r="FVD118" s="950"/>
      <c r="FVE118" s="950"/>
      <c r="FVF118" s="950"/>
      <c r="FVG118" s="950"/>
      <c r="FVH118" s="950"/>
      <c r="FVI118" s="950"/>
      <c r="FVJ118" s="950"/>
      <c r="FVK118" s="950"/>
      <c r="FVL118" s="950"/>
      <c r="FVM118" s="950"/>
      <c r="FVN118" s="950"/>
      <c r="FVO118" s="950"/>
      <c r="FVP118" s="950"/>
      <c r="FVQ118" s="950"/>
      <c r="FVR118" s="950"/>
      <c r="FVS118" s="950"/>
      <c r="FVT118" s="950"/>
      <c r="FVU118" s="950"/>
      <c r="FVV118" s="950"/>
      <c r="FVW118" s="950"/>
      <c r="FVX118" s="950"/>
      <c r="FVY118" s="950"/>
      <c r="FVZ118" s="950"/>
      <c r="FWA118" s="950"/>
      <c r="FWB118" s="950"/>
      <c r="FWC118" s="950"/>
      <c r="FWD118" s="950"/>
      <c r="FWE118" s="950"/>
      <c r="FWF118" s="950"/>
      <c r="FWG118" s="950"/>
      <c r="FWH118" s="950"/>
      <c r="FWI118" s="950"/>
      <c r="FWJ118" s="950"/>
      <c r="FWK118" s="950"/>
      <c r="FWL118" s="950"/>
      <c r="FWM118" s="950"/>
      <c r="FWN118" s="950"/>
      <c r="FWO118" s="950"/>
      <c r="FWP118" s="950"/>
      <c r="FWQ118" s="950"/>
      <c r="FWR118" s="950"/>
      <c r="FWS118" s="950"/>
      <c r="FWT118" s="950"/>
      <c r="FWU118" s="950"/>
      <c r="FWV118" s="950"/>
      <c r="FWW118" s="950"/>
      <c r="FWX118" s="950"/>
      <c r="FWY118" s="950"/>
      <c r="FWZ118" s="950"/>
      <c r="FXA118" s="950"/>
      <c r="FXB118" s="950"/>
      <c r="FXC118" s="950"/>
      <c r="FXD118" s="950"/>
      <c r="FXE118" s="950"/>
      <c r="FXF118" s="950"/>
      <c r="FXG118" s="950"/>
      <c r="FXH118" s="950"/>
      <c r="FXI118" s="950"/>
      <c r="FXJ118" s="950"/>
      <c r="FXK118" s="950"/>
      <c r="FXL118" s="950"/>
      <c r="FXM118" s="950"/>
      <c r="FXN118" s="950"/>
      <c r="FXO118" s="950"/>
      <c r="FXP118" s="950"/>
      <c r="FXQ118" s="950"/>
      <c r="FXR118" s="950"/>
      <c r="FXS118" s="950"/>
      <c r="FXT118" s="950"/>
      <c r="FXU118" s="950"/>
      <c r="FXV118" s="950"/>
      <c r="FXW118" s="950"/>
      <c r="FXX118" s="950"/>
      <c r="FXY118" s="950"/>
      <c r="FXZ118" s="950"/>
      <c r="FYA118" s="950"/>
      <c r="FYB118" s="950"/>
      <c r="FYC118" s="950"/>
      <c r="FYD118" s="950"/>
      <c r="FYE118" s="950"/>
      <c r="FYF118" s="950"/>
      <c r="FYG118" s="950"/>
      <c r="FYH118" s="950"/>
      <c r="FYI118" s="950"/>
      <c r="FYJ118" s="950"/>
      <c r="FYK118" s="950"/>
      <c r="FYL118" s="950"/>
      <c r="FYM118" s="950"/>
      <c r="FYN118" s="950"/>
      <c r="FYO118" s="950"/>
      <c r="FYP118" s="950"/>
      <c r="FYQ118" s="950"/>
      <c r="FYR118" s="950"/>
      <c r="FYS118" s="950"/>
      <c r="FYT118" s="950"/>
      <c r="FYU118" s="950"/>
      <c r="FYV118" s="950"/>
      <c r="FYW118" s="950"/>
      <c r="FYX118" s="950"/>
      <c r="FYY118" s="950"/>
      <c r="FYZ118" s="950"/>
      <c r="FZA118" s="950"/>
      <c r="FZB118" s="950"/>
      <c r="FZC118" s="950"/>
      <c r="FZD118" s="950"/>
      <c r="FZE118" s="950"/>
      <c r="FZF118" s="950"/>
      <c r="FZG118" s="950"/>
      <c r="FZH118" s="950"/>
      <c r="FZI118" s="950"/>
      <c r="FZJ118" s="950"/>
      <c r="FZK118" s="950"/>
      <c r="FZL118" s="950"/>
      <c r="FZM118" s="950"/>
      <c r="FZN118" s="950"/>
      <c r="FZO118" s="950"/>
      <c r="FZP118" s="950"/>
      <c r="FZQ118" s="950"/>
      <c r="FZR118" s="950"/>
      <c r="FZS118" s="950"/>
      <c r="FZT118" s="950"/>
      <c r="FZU118" s="950"/>
      <c r="FZV118" s="950"/>
      <c r="FZW118" s="950"/>
      <c r="FZX118" s="950"/>
      <c r="FZY118" s="950"/>
      <c r="FZZ118" s="950"/>
      <c r="GAA118" s="950"/>
      <c r="GAB118" s="950"/>
      <c r="GAC118" s="950"/>
      <c r="GAD118" s="950"/>
      <c r="GAE118" s="950"/>
      <c r="GAF118" s="950"/>
      <c r="GAG118" s="950"/>
      <c r="GAH118" s="950"/>
      <c r="GAI118" s="950"/>
      <c r="GAJ118" s="950"/>
      <c r="GAK118" s="950"/>
      <c r="GAL118" s="950"/>
      <c r="GAM118" s="950"/>
      <c r="GAN118" s="950"/>
      <c r="GAO118" s="950"/>
      <c r="GAP118" s="950"/>
      <c r="GAQ118" s="950"/>
      <c r="GAR118" s="950"/>
      <c r="GAS118" s="950"/>
      <c r="GAT118" s="950"/>
      <c r="GAU118" s="950"/>
      <c r="GAV118" s="950"/>
      <c r="GAW118" s="950"/>
      <c r="GAX118" s="950"/>
      <c r="GAY118" s="950"/>
      <c r="GAZ118" s="950"/>
      <c r="GBA118" s="950"/>
      <c r="GBB118" s="950"/>
      <c r="GBC118" s="950"/>
      <c r="GBD118" s="950"/>
      <c r="GBE118" s="950"/>
      <c r="GBF118" s="950"/>
      <c r="GBG118" s="950"/>
      <c r="GBH118" s="950"/>
      <c r="GBI118" s="950"/>
      <c r="GBJ118" s="950"/>
      <c r="GBK118" s="950"/>
      <c r="GBL118" s="950"/>
      <c r="GBM118" s="950"/>
      <c r="GBN118" s="950"/>
      <c r="GBO118" s="950"/>
      <c r="GBP118" s="950"/>
      <c r="GBQ118" s="950"/>
      <c r="GBR118" s="950"/>
      <c r="GBS118" s="950"/>
      <c r="GBT118" s="950"/>
      <c r="GBU118" s="950"/>
      <c r="GBV118" s="950"/>
      <c r="GBW118" s="950"/>
      <c r="GBX118" s="950"/>
      <c r="GBY118" s="950"/>
      <c r="GBZ118" s="950"/>
      <c r="GCA118" s="950"/>
      <c r="GCB118" s="950"/>
      <c r="GCC118" s="950"/>
      <c r="GCD118" s="950"/>
      <c r="GCE118" s="950"/>
      <c r="GCF118" s="950"/>
      <c r="GCG118" s="950"/>
      <c r="GCH118" s="950"/>
      <c r="GCI118" s="950"/>
      <c r="GCJ118" s="950"/>
      <c r="GCK118" s="950"/>
      <c r="GCL118" s="950"/>
      <c r="GCM118" s="950"/>
      <c r="GCN118" s="950"/>
      <c r="GCO118" s="950"/>
      <c r="GCP118" s="950"/>
      <c r="GCQ118" s="950"/>
      <c r="GCR118" s="950"/>
      <c r="GCS118" s="950"/>
      <c r="GCT118" s="950"/>
      <c r="GCU118" s="950"/>
      <c r="GCV118" s="950"/>
      <c r="GCW118" s="950"/>
      <c r="GCX118" s="950"/>
      <c r="GCY118" s="950"/>
      <c r="GCZ118" s="950"/>
      <c r="GDA118" s="950"/>
      <c r="GDB118" s="950"/>
      <c r="GDC118" s="950"/>
      <c r="GDD118" s="950"/>
      <c r="GDE118" s="950"/>
      <c r="GDF118" s="950"/>
      <c r="GDG118" s="950"/>
      <c r="GDH118" s="950"/>
      <c r="GDI118" s="950"/>
      <c r="GDJ118" s="950"/>
      <c r="GDK118" s="950"/>
      <c r="GDL118" s="950"/>
      <c r="GDM118" s="950"/>
      <c r="GDN118" s="950"/>
      <c r="GDO118" s="950"/>
      <c r="GDP118" s="950"/>
      <c r="GDQ118" s="950"/>
      <c r="GDR118" s="950"/>
      <c r="GDS118" s="950"/>
      <c r="GDT118" s="950"/>
      <c r="GDU118" s="950"/>
      <c r="GDV118" s="950"/>
      <c r="GDW118" s="950"/>
      <c r="GDX118" s="950"/>
      <c r="GDY118" s="950"/>
      <c r="GDZ118" s="950"/>
      <c r="GEA118" s="950"/>
      <c r="GEB118" s="950"/>
      <c r="GEC118" s="950"/>
      <c r="GED118" s="950"/>
      <c r="GEE118" s="950"/>
      <c r="GEF118" s="950"/>
      <c r="GEG118" s="950"/>
      <c r="GEH118" s="950"/>
      <c r="GEI118" s="950"/>
      <c r="GEJ118" s="950"/>
      <c r="GEK118" s="950"/>
      <c r="GEL118" s="950"/>
      <c r="GEM118" s="950"/>
      <c r="GEN118" s="950"/>
      <c r="GEO118" s="950"/>
      <c r="GEP118" s="950"/>
      <c r="GEQ118" s="950"/>
      <c r="GER118" s="950"/>
      <c r="GES118" s="950"/>
      <c r="GET118" s="950"/>
      <c r="GEU118" s="950"/>
      <c r="GEV118" s="950"/>
      <c r="GEW118" s="950"/>
      <c r="GEX118" s="950"/>
      <c r="GEY118" s="950"/>
      <c r="GEZ118" s="950"/>
      <c r="GFA118" s="950"/>
      <c r="GFB118" s="950"/>
      <c r="GFC118" s="950"/>
      <c r="GFD118" s="950"/>
      <c r="GFE118" s="950"/>
      <c r="GFF118" s="950"/>
      <c r="GFG118" s="950"/>
      <c r="GFH118" s="950"/>
      <c r="GFI118" s="950"/>
      <c r="GFJ118" s="950"/>
      <c r="GFK118" s="950"/>
      <c r="GFL118" s="950"/>
      <c r="GFM118" s="950"/>
      <c r="GFN118" s="950"/>
      <c r="GFO118" s="950"/>
      <c r="GFP118" s="950"/>
      <c r="GFQ118" s="950"/>
      <c r="GFR118" s="950"/>
      <c r="GFS118" s="950"/>
      <c r="GFT118" s="950"/>
      <c r="GFU118" s="950"/>
      <c r="GFV118" s="950"/>
      <c r="GFW118" s="950"/>
      <c r="GFX118" s="950"/>
      <c r="GFY118" s="950"/>
      <c r="GFZ118" s="950"/>
      <c r="GGA118" s="950"/>
      <c r="GGB118" s="950"/>
      <c r="GGC118" s="950"/>
      <c r="GGD118" s="950"/>
      <c r="GGE118" s="950"/>
      <c r="GGF118" s="950"/>
      <c r="GGG118" s="950"/>
      <c r="GGH118" s="950"/>
      <c r="GGI118" s="950"/>
      <c r="GGJ118" s="950"/>
      <c r="GGK118" s="950"/>
      <c r="GGL118" s="950"/>
      <c r="GGM118" s="950"/>
      <c r="GGN118" s="950"/>
      <c r="GGO118" s="950"/>
      <c r="GGP118" s="950"/>
      <c r="GGQ118" s="950"/>
      <c r="GGR118" s="950"/>
      <c r="GGS118" s="950"/>
      <c r="GGT118" s="950"/>
      <c r="GGU118" s="950"/>
      <c r="GGV118" s="950"/>
      <c r="GGW118" s="950"/>
      <c r="GGX118" s="950"/>
      <c r="GGY118" s="950"/>
      <c r="GGZ118" s="950"/>
      <c r="GHA118" s="950"/>
      <c r="GHB118" s="950"/>
      <c r="GHC118" s="950"/>
      <c r="GHD118" s="950"/>
      <c r="GHE118" s="950"/>
      <c r="GHF118" s="950"/>
      <c r="GHG118" s="950"/>
      <c r="GHH118" s="950"/>
      <c r="GHI118" s="950"/>
      <c r="GHJ118" s="950"/>
      <c r="GHK118" s="950"/>
      <c r="GHL118" s="950"/>
      <c r="GHM118" s="950"/>
      <c r="GHN118" s="950"/>
      <c r="GHO118" s="950"/>
      <c r="GHP118" s="950"/>
      <c r="GHQ118" s="950"/>
      <c r="GHR118" s="950"/>
      <c r="GHS118" s="950"/>
      <c r="GHT118" s="950"/>
      <c r="GHU118" s="950"/>
      <c r="GHV118" s="950"/>
      <c r="GHW118" s="950"/>
      <c r="GHX118" s="950"/>
      <c r="GHY118" s="950"/>
      <c r="GHZ118" s="950"/>
      <c r="GIA118" s="950"/>
      <c r="GIB118" s="950"/>
      <c r="GIC118" s="950"/>
      <c r="GID118" s="950"/>
      <c r="GIE118" s="950"/>
      <c r="GIF118" s="950"/>
      <c r="GIG118" s="950"/>
      <c r="GIH118" s="950"/>
      <c r="GII118" s="950"/>
      <c r="GIJ118" s="950"/>
      <c r="GIK118" s="950"/>
      <c r="GIL118" s="950"/>
      <c r="GIM118" s="950"/>
      <c r="GIN118" s="950"/>
      <c r="GIO118" s="950"/>
      <c r="GIP118" s="950"/>
      <c r="GIQ118" s="950"/>
      <c r="GIR118" s="950"/>
      <c r="GIS118" s="950"/>
      <c r="GIT118" s="950"/>
      <c r="GIU118" s="950"/>
      <c r="GIV118" s="950"/>
      <c r="GIW118" s="950"/>
      <c r="GIX118" s="950"/>
      <c r="GIY118" s="950"/>
      <c r="GIZ118" s="950"/>
      <c r="GJA118" s="950"/>
      <c r="GJB118" s="950"/>
      <c r="GJC118" s="950"/>
      <c r="GJD118" s="950"/>
      <c r="GJE118" s="950"/>
      <c r="GJF118" s="950"/>
      <c r="GJG118" s="950"/>
      <c r="GJH118" s="950"/>
      <c r="GJI118" s="950"/>
      <c r="GJJ118" s="950"/>
      <c r="GJK118" s="950"/>
      <c r="GJL118" s="950"/>
      <c r="GJM118" s="950"/>
      <c r="GJN118" s="950"/>
      <c r="GJO118" s="950"/>
      <c r="GJP118" s="950"/>
      <c r="GJQ118" s="950"/>
      <c r="GJR118" s="950"/>
      <c r="GJS118" s="950"/>
      <c r="GJT118" s="950"/>
      <c r="GJU118" s="950"/>
      <c r="GJV118" s="950"/>
      <c r="GJW118" s="950"/>
      <c r="GJX118" s="950"/>
      <c r="GJY118" s="950"/>
      <c r="GJZ118" s="950"/>
      <c r="GKA118" s="950"/>
      <c r="GKB118" s="950"/>
      <c r="GKC118" s="950"/>
      <c r="GKD118" s="950"/>
      <c r="GKE118" s="950"/>
      <c r="GKF118" s="950"/>
      <c r="GKG118" s="950"/>
      <c r="GKH118" s="950"/>
      <c r="GKI118" s="950"/>
      <c r="GKJ118" s="950"/>
      <c r="GKK118" s="950"/>
      <c r="GKL118" s="950"/>
      <c r="GKM118" s="950"/>
      <c r="GKN118" s="950"/>
      <c r="GKO118" s="950"/>
      <c r="GKP118" s="950"/>
      <c r="GKQ118" s="950"/>
      <c r="GKR118" s="950"/>
      <c r="GKS118" s="950"/>
      <c r="GKT118" s="950"/>
      <c r="GKU118" s="950"/>
      <c r="GKV118" s="950"/>
      <c r="GKW118" s="950"/>
      <c r="GKX118" s="950"/>
      <c r="GKY118" s="950"/>
      <c r="GKZ118" s="950"/>
      <c r="GLA118" s="950"/>
      <c r="GLB118" s="950"/>
      <c r="GLC118" s="950"/>
      <c r="GLD118" s="950"/>
      <c r="GLE118" s="950"/>
      <c r="GLF118" s="950"/>
      <c r="GLG118" s="950"/>
      <c r="GLH118" s="950"/>
      <c r="GLI118" s="950"/>
      <c r="GLJ118" s="950"/>
      <c r="GLK118" s="950"/>
      <c r="GLL118" s="950"/>
      <c r="GLM118" s="950"/>
      <c r="GLN118" s="950"/>
      <c r="GLO118" s="950"/>
      <c r="GLP118" s="950"/>
      <c r="GLQ118" s="950"/>
      <c r="GLR118" s="950"/>
      <c r="GLS118" s="950"/>
      <c r="GLT118" s="950"/>
      <c r="GLU118" s="950"/>
      <c r="GLV118" s="950"/>
      <c r="GLW118" s="950"/>
      <c r="GLX118" s="950"/>
      <c r="GLY118" s="950"/>
      <c r="GLZ118" s="950"/>
      <c r="GMA118" s="950"/>
      <c r="GMB118" s="950"/>
      <c r="GMC118" s="950"/>
      <c r="GMD118" s="950"/>
      <c r="GME118" s="950"/>
      <c r="GMF118" s="950"/>
      <c r="GMG118" s="950"/>
      <c r="GMH118" s="950"/>
      <c r="GMI118" s="950"/>
      <c r="GMJ118" s="950"/>
      <c r="GMK118" s="950"/>
      <c r="GML118" s="950"/>
      <c r="GMM118" s="950"/>
      <c r="GMN118" s="950"/>
      <c r="GMO118" s="950"/>
      <c r="GMP118" s="950"/>
      <c r="GMQ118" s="950"/>
      <c r="GMR118" s="950"/>
      <c r="GMS118" s="950"/>
      <c r="GMT118" s="950"/>
      <c r="GMU118" s="950"/>
      <c r="GMV118" s="950"/>
      <c r="GMW118" s="950"/>
      <c r="GMX118" s="950"/>
      <c r="GMY118" s="950"/>
      <c r="GMZ118" s="950"/>
      <c r="GNA118" s="950"/>
      <c r="GNB118" s="950"/>
      <c r="GNC118" s="950"/>
      <c r="GND118" s="950"/>
      <c r="GNE118" s="950"/>
      <c r="GNF118" s="950"/>
      <c r="GNG118" s="950"/>
      <c r="GNH118" s="950"/>
      <c r="GNI118" s="950"/>
      <c r="GNJ118" s="950"/>
      <c r="GNK118" s="950"/>
      <c r="GNL118" s="950"/>
      <c r="GNM118" s="950"/>
      <c r="GNN118" s="950"/>
      <c r="GNO118" s="950"/>
      <c r="GNP118" s="950"/>
      <c r="GNQ118" s="950"/>
      <c r="GNR118" s="950"/>
      <c r="GNS118" s="950"/>
      <c r="GNT118" s="950"/>
      <c r="GNU118" s="950"/>
      <c r="GNV118" s="950"/>
      <c r="GNW118" s="950"/>
      <c r="GNX118" s="950"/>
      <c r="GNY118" s="950"/>
      <c r="GNZ118" s="950"/>
      <c r="GOA118" s="950"/>
      <c r="GOB118" s="950"/>
      <c r="GOC118" s="950"/>
      <c r="GOD118" s="950"/>
      <c r="GOE118" s="950"/>
      <c r="GOF118" s="950"/>
      <c r="GOG118" s="950"/>
      <c r="GOH118" s="950"/>
      <c r="GOI118" s="950"/>
      <c r="GOJ118" s="950"/>
      <c r="GOK118" s="950"/>
      <c r="GOL118" s="950"/>
      <c r="GOM118" s="950"/>
      <c r="GON118" s="950"/>
      <c r="GOO118" s="950"/>
      <c r="GOP118" s="950"/>
      <c r="GOQ118" s="950"/>
      <c r="GOR118" s="950"/>
      <c r="GOS118" s="950"/>
      <c r="GOT118" s="950"/>
      <c r="GOU118" s="950"/>
      <c r="GOV118" s="950"/>
      <c r="GOW118" s="950"/>
      <c r="GOX118" s="950"/>
      <c r="GOY118" s="950"/>
      <c r="GOZ118" s="950"/>
      <c r="GPA118" s="950"/>
      <c r="GPB118" s="950"/>
      <c r="GPC118" s="950"/>
      <c r="GPD118" s="950"/>
      <c r="GPE118" s="950"/>
      <c r="GPF118" s="950"/>
      <c r="GPG118" s="950"/>
      <c r="GPH118" s="950"/>
      <c r="GPI118" s="950"/>
      <c r="GPJ118" s="950"/>
      <c r="GPK118" s="950"/>
      <c r="GPL118" s="950"/>
      <c r="GPM118" s="950"/>
      <c r="GPN118" s="950"/>
      <c r="GPO118" s="950"/>
      <c r="GPP118" s="950"/>
      <c r="GPQ118" s="950"/>
      <c r="GPR118" s="950"/>
      <c r="GPS118" s="950"/>
      <c r="GPT118" s="950"/>
      <c r="GPU118" s="950"/>
      <c r="GPV118" s="950"/>
      <c r="GPW118" s="950"/>
      <c r="GPX118" s="950"/>
      <c r="GPY118" s="950"/>
      <c r="GPZ118" s="950"/>
      <c r="GQA118" s="950"/>
      <c r="GQB118" s="950"/>
      <c r="GQC118" s="950"/>
      <c r="GQD118" s="950"/>
      <c r="GQE118" s="950"/>
      <c r="GQF118" s="950"/>
      <c r="GQG118" s="950"/>
      <c r="GQH118" s="950"/>
      <c r="GQI118" s="950"/>
      <c r="GQJ118" s="950"/>
      <c r="GQK118" s="950"/>
      <c r="GQL118" s="950"/>
      <c r="GQM118" s="950"/>
      <c r="GQN118" s="950"/>
      <c r="GQO118" s="950"/>
      <c r="GQP118" s="950"/>
      <c r="GQQ118" s="950"/>
      <c r="GQR118" s="950"/>
      <c r="GQS118" s="950"/>
      <c r="GQT118" s="950"/>
      <c r="GQU118" s="950"/>
      <c r="GQV118" s="950"/>
      <c r="GQW118" s="950"/>
      <c r="GQX118" s="950"/>
      <c r="GQY118" s="950"/>
      <c r="GQZ118" s="950"/>
      <c r="GRA118" s="950"/>
      <c r="GRB118" s="950"/>
      <c r="GRC118" s="950"/>
      <c r="GRD118" s="950"/>
      <c r="GRE118" s="950"/>
      <c r="GRF118" s="950"/>
      <c r="GRG118" s="950"/>
      <c r="GRH118" s="950"/>
      <c r="GRI118" s="950"/>
      <c r="GRJ118" s="950"/>
      <c r="GRK118" s="950"/>
      <c r="GRL118" s="950"/>
      <c r="GRM118" s="950"/>
      <c r="GRN118" s="950"/>
      <c r="GRO118" s="950"/>
      <c r="GRP118" s="950"/>
      <c r="GRQ118" s="950"/>
      <c r="GRR118" s="950"/>
      <c r="GRS118" s="950"/>
      <c r="GRT118" s="950"/>
      <c r="GRU118" s="950"/>
      <c r="GRV118" s="950"/>
      <c r="GRW118" s="950"/>
      <c r="GRX118" s="950"/>
      <c r="GRY118" s="950"/>
      <c r="GRZ118" s="950"/>
      <c r="GSA118" s="950"/>
      <c r="GSB118" s="950"/>
      <c r="GSC118" s="950"/>
      <c r="GSD118" s="950"/>
      <c r="GSE118" s="950"/>
      <c r="GSF118" s="950"/>
      <c r="GSG118" s="950"/>
      <c r="GSH118" s="950"/>
      <c r="GSI118" s="950"/>
      <c r="GSJ118" s="950"/>
      <c r="GSK118" s="950"/>
      <c r="GSL118" s="950"/>
      <c r="GSM118" s="950"/>
      <c r="GSN118" s="950"/>
      <c r="GSO118" s="950"/>
      <c r="GSP118" s="950"/>
      <c r="GSQ118" s="950"/>
      <c r="GSR118" s="950"/>
      <c r="GSS118" s="950"/>
      <c r="GST118" s="950"/>
      <c r="GSU118" s="950"/>
      <c r="GSV118" s="950"/>
      <c r="GSW118" s="950"/>
      <c r="GSX118" s="950"/>
      <c r="GSY118" s="950"/>
      <c r="GSZ118" s="950"/>
      <c r="GTA118" s="950"/>
      <c r="GTB118" s="950"/>
      <c r="GTC118" s="950"/>
      <c r="GTD118" s="950"/>
      <c r="GTE118" s="950"/>
      <c r="GTF118" s="950"/>
      <c r="GTG118" s="950"/>
      <c r="GTH118" s="950"/>
      <c r="GTI118" s="950"/>
      <c r="GTJ118" s="950"/>
      <c r="GTK118" s="950"/>
      <c r="GTL118" s="950"/>
      <c r="GTM118" s="950"/>
      <c r="GTN118" s="950"/>
      <c r="GTO118" s="950"/>
      <c r="GTP118" s="950"/>
      <c r="GTQ118" s="950"/>
      <c r="GTR118" s="950"/>
      <c r="GTS118" s="950"/>
      <c r="GTT118" s="950"/>
      <c r="GTU118" s="950"/>
      <c r="GTV118" s="950"/>
      <c r="GTW118" s="950"/>
      <c r="GTX118" s="950"/>
      <c r="GTY118" s="950"/>
      <c r="GTZ118" s="950"/>
      <c r="GUA118" s="950"/>
      <c r="GUB118" s="950"/>
      <c r="GUC118" s="950"/>
      <c r="GUD118" s="950"/>
      <c r="GUE118" s="950"/>
      <c r="GUF118" s="950"/>
      <c r="GUG118" s="950"/>
      <c r="GUH118" s="950"/>
      <c r="GUI118" s="950"/>
      <c r="GUJ118" s="950"/>
      <c r="GUK118" s="950"/>
      <c r="GUL118" s="950"/>
      <c r="GUM118" s="950"/>
      <c r="GUN118" s="950"/>
      <c r="GUO118" s="950"/>
      <c r="GUP118" s="950"/>
      <c r="GUQ118" s="950"/>
      <c r="GUR118" s="950"/>
      <c r="GUS118" s="950"/>
      <c r="GUT118" s="950"/>
      <c r="GUU118" s="950"/>
      <c r="GUV118" s="950"/>
      <c r="GUW118" s="950"/>
      <c r="GUX118" s="950"/>
      <c r="GUY118" s="950"/>
      <c r="GUZ118" s="950"/>
      <c r="GVA118" s="950"/>
      <c r="GVB118" s="950"/>
      <c r="GVC118" s="950"/>
      <c r="GVD118" s="950"/>
      <c r="GVE118" s="950"/>
      <c r="GVF118" s="950"/>
      <c r="GVG118" s="950"/>
      <c r="GVH118" s="950"/>
      <c r="GVI118" s="950"/>
      <c r="GVJ118" s="950"/>
      <c r="GVK118" s="950"/>
      <c r="GVL118" s="950"/>
      <c r="GVM118" s="950"/>
      <c r="GVN118" s="950"/>
      <c r="GVO118" s="950"/>
      <c r="GVP118" s="950"/>
      <c r="GVQ118" s="950"/>
      <c r="GVR118" s="950"/>
      <c r="GVS118" s="950"/>
      <c r="GVT118" s="950"/>
      <c r="GVU118" s="950"/>
      <c r="GVV118" s="950"/>
      <c r="GVW118" s="950"/>
      <c r="GVX118" s="950"/>
      <c r="GVY118" s="950"/>
      <c r="GVZ118" s="950"/>
      <c r="GWA118" s="950"/>
      <c r="GWB118" s="950"/>
      <c r="GWC118" s="950"/>
      <c r="GWD118" s="950"/>
      <c r="GWE118" s="950"/>
      <c r="GWF118" s="950"/>
      <c r="GWG118" s="950"/>
      <c r="GWH118" s="950"/>
      <c r="GWI118" s="950"/>
      <c r="GWJ118" s="950"/>
      <c r="GWK118" s="950"/>
      <c r="GWL118" s="950"/>
      <c r="GWM118" s="950"/>
      <c r="GWN118" s="950"/>
      <c r="GWO118" s="950"/>
      <c r="GWP118" s="950"/>
      <c r="GWQ118" s="950"/>
      <c r="GWR118" s="950"/>
      <c r="GWS118" s="950"/>
      <c r="GWT118" s="950"/>
      <c r="GWU118" s="950"/>
      <c r="GWV118" s="950"/>
      <c r="GWW118" s="950"/>
      <c r="GWX118" s="950"/>
      <c r="GWY118" s="950"/>
      <c r="GWZ118" s="950"/>
      <c r="GXA118" s="950"/>
      <c r="GXB118" s="950"/>
      <c r="GXC118" s="950"/>
      <c r="GXD118" s="950"/>
      <c r="GXE118" s="950"/>
      <c r="GXF118" s="950"/>
      <c r="GXG118" s="950"/>
      <c r="GXH118" s="950"/>
      <c r="GXI118" s="950"/>
      <c r="GXJ118" s="950"/>
      <c r="GXK118" s="950"/>
      <c r="GXL118" s="950"/>
      <c r="GXM118" s="950"/>
      <c r="GXN118" s="950"/>
      <c r="GXO118" s="950"/>
      <c r="GXP118" s="950"/>
      <c r="GXQ118" s="950"/>
      <c r="GXR118" s="950"/>
      <c r="GXS118" s="950"/>
      <c r="GXT118" s="950"/>
      <c r="GXU118" s="950"/>
      <c r="GXV118" s="950"/>
      <c r="GXW118" s="950"/>
      <c r="GXX118" s="950"/>
      <c r="GXY118" s="950"/>
      <c r="GXZ118" s="950"/>
      <c r="GYA118" s="950"/>
      <c r="GYB118" s="950"/>
      <c r="GYC118" s="950"/>
      <c r="GYD118" s="950"/>
      <c r="GYE118" s="950"/>
      <c r="GYF118" s="950"/>
      <c r="GYG118" s="950"/>
      <c r="GYH118" s="950"/>
      <c r="GYI118" s="950"/>
      <c r="GYJ118" s="950"/>
      <c r="GYK118" s="950"/>
      <c r="GYL118" s="950"/>
      <c r="GYM118" s="950"/>
      <c r="GYN118" s="950"/>
      <c r="GYO118" s="950"/>
      <c r="GYP118" s="950"/>
      <c r="GYQ118" s="950"/>
      <c r="GYR118" s="950"/>
      <c r="GYS118" s="950"/>
      <c r="GYT118" s="950"/>
      <c r="GYU118" s="950"/>
      <c r="GYV118" s="950"/>
      <c r="GYW118" s="950"/>
      <c r="GYX118" s="950"/>
      <c r="GYY118" s="950"/>
      <c r="GYZ118" s="950"/>
      <c r="GZA118" s="950"/>
      <c r="GZB118" s="950"/>
      <c r="GZC118" s="950"/>
      <c r="GZD118" s="950"/>
      <c r="GZE118" s="950"/>
      <c r="GZF118" s="950"/>
      <c r="GZG118" s="950"/>
      <c r="GZH118" s="950"/>
      <c r="GZI118" s="950"/>
      <c r="GZJ118" s="950"/>
      <c r="GZK118" s="950"/>
      <c r="GZL118" s="950"/>
      <c r="GZM118" s="950"/>
      <c r="GZN118" s="950"/>
      <c r="GZO118" s="950"/>
      <c r="GZP118" s="950"/>
      <c r="GZQ118" s="950"/>
      <c r="GZR118" s="950"/>
      <c r="GZS118" s="950"/>
      <c r="GZT118" s="950"/>
      <c r="GZU118" s="950"/>
      <c r="GZV118" s="950"/>
      <c r="GZW118" s="950"/>
      <c r="GZX118" s="950"/>
      <c r="GZY118" s="950"/>
      <c r="GZZ118" s="950"/>
      <c r="HAA118" s="950"/>
      <c r="HAB118" s="950"/>
      <c r="HAC118" s="950"/>
      <c r="HAD118" s="950"/>
      <c r="HAE118" s="950"/>
      <c r="HAF118" s="950"/>
      <c r="HAG118" s="950"/>
      <c r="HAH118" s="950"/>
      <c r="HAI118" s="950"/>
      <c r="HAJ118" s="950"/>
      <c r="HAK118" s="950"/>
      <c r="HAL118" s="950"/>
      <c r="HAM118" s="950"/>
      <c r="HAN118" s="950"/>
      <c r="HAO118" s="950"/>
      <c r="HAP118" s="950"/>
      <c r="HAQ118" s="950"/>
      <c r="HAR118" s="950"/>
      <c r="HAS118" s="950"/>
      <c r="HAT118" s="950"/>
      <c r="HAU118" s="950"/>
      <c r="HAV118" s="950"/>
      <c r="HAW118" s="950"/>
      <c r="HAX118" s="950"/>
      <c r="HAY118" s="950"/>
      <c r="HAZ118" s="950"/>
      <c r="HBA118" s="950"/>
      <c r="HBB118" s="950"/>
      <c r="HBC118" s="950"/>
      <c r="HBD118" s="950"/>
      <c r="HBE118" s="950"/>
      <c r="HBF118" s="950"/>
      <c r="HBG118" s="950"/>
      <c r="HBH118" s="950"/>
      <c r="HBI118" s="950"/>
      <c r="HBJ118" s="950"/>
      <c r="HBK118" s="950"/>
      <c r="HBL118" s="950"/>
      <c r="HBM118" s="950"/>
      <c r="HBN118" s="950"/>
      <c r="HBO118" s="950"/>
      <c r="HBP118" s="950"/>
      <c r="HBQ118" s="950"/>
      <c r="HBR118" s="950"/>
      <c r="HBS118" s="950"/>
      <c r="HBT118" s="950"/>
      <c r="HBU118" s="950"/>
      <c r="HBV118" s="950"/>
      <c r="HBW118" s="950"/>
      <c r="HBX118" s="950"/>
      <c r="HBY118" s="950"/>
      <c r="HBZ118" s="950"/>
      <c r="HCA118" s="950"/>
      <c r="HCB118" s="950"/>
      <c r="HCC118" s="950"/>
      <c r="HCD118" s="950"/>
      <c r="HCE118" s="950"/>
      <c r="HCF118" s="950"/>
      <c r="HCG118" s="950"/>
      <c r="HCH118" s="950"/>
      <c r="HCI118" s="950"/>
      <c r="HCJ118" s="950"/>
      <c r="HCK118" s="950"/>
      <c r="HCL118" s="950"/>
      <c r="HCM118" s="950"/>
      <c r="HCN118" s="950"/>
      <c r="HCO118" s="950"/>
      <c r="HCP118" s="950"/>
      <c r="HCQ118" s="950"/>
      <c r="HCR118" s="950"/>
      <c r="HCS118" s="950"/>
      <c r="HCT118" s="950"/>
      <c r="HCU118" s="950"/>
      <c r="HCV118" s="950"/>
      <c r="HCW118" s="950"/>
      <c r="HCX118" s="950"/>
      <c r="HCY118" s="950"/>
      <c r="HCZ118" s="950"/>
      <c r="HDA118" s="950"/>
      <c r="HDB118" s="950"/>
      <c r="HDC118" s="950"/>
      <c r="HDD118" s="950"/>
      <c r="HDE118" s="950"/>
      <c r="HDF118" s="950"/>
      <c r="HDG118" s="950"/>
      <c r="HDH118" s="950"/>
      <c r="HDI118" s="950"/>
      <c r="HDJ118" s="950"/>
      <c r="HDK118" s="950"/>
      <c r="HDL118" s="950"/>
      <c r="HDM118" s="950"/>
      <c r="HDN118" s="950"/>
      <c r="HDO118" s="950"/>
      <c r="HDP118" s="950"/>
      <c r="HDQ118" s="950"/>
      <c r="HDR118" s="950"/>
      <c r="HDS118" s="950"/>
      <c r="HDT118" s="950"/>
      <c r="HDU118" s="950"/>
      <c r="HDV118" s="950"/>
      <c r="HDW118" s="950"/>
      <c r="HDX118" s="950"/>
      <c r="HDY118" s="950"/>
      <c r="HDZ118" s="950"/>
      <c r="HEA118" s="950"/>
      <c r="HEB118" s="950"/>
      <c r="HEC118" s="950"/>
      <c r="HED118" s="950"/>
      <c r="HEE118" s="950"/>
      <c r="HEF118" s="950"/>
      <c r="HEG118" s="950"/>
      <c r="HEH118" s="950"/>
      <c r="HEI118" s="950"/>
      <c r="HEJ118" s="950"/>
      <c r="HEK118" s="950"/>
      <c r="HEL118" s="950"/>
      <c r="HEM118" s="950"/>
      <c r="HEN118" s="950"/>
      <c r="HEO118" s="950"/>
      <c r="HEP118" s="950"/>
      <c r="HEQ118" s="950"/>
      <c r="HER118" s="950"/>
      <c r="HES118" s="950"/>
      <c r="HET118" s="950"/>
      <c r="HEU118" s="950"/>
      <c r="HEV118" s="950"/>
      <c r="HEW118" s="950"/>
      <c r="HEX118" s="950"/>
      <c r="HEY118" s="950"/>
      <c r="HEZ118" s="950"/>
      <c r="HFA118" s="950"/>
      <c r="HFB118" s="950"/>
      <c r="HFC118" s="950"/>
      <c r="HFD118" s="950"/>
      <c r="HFE118" s="950"/>
      <c r="HFF118" s="950"/>
      <c r="HFG118" s="950"/>
      <c r="HFH118" s="950"/>
      <c r="HFI118" s="950"/>
      <c r="HFJ118" s="950"/>
      <c r="HFK118" s="950"/>
      <c r="HFL118" s="950"/>
      <c r="HFM118" s="950"/>
      <c r="HFN118" s="950"/>
      <c r="HFO118" s="950"/>
      <c r="HFP118" s="950"/>
      <c r="HFQ118" s="950"/>
      <c r="HFR118" s="950"/>
      <c r="HFS118" s="950"/>
      <c r="HFT118" s="950"/>
      <c r="HFU118" s="950"/>
      <c r="HFV118" s="950"/>
      <c r="HFW118" s="950"/>
      <c r="HFX118" s="950"/>
      <c r="HFY118" s="950"/>
      <c r="HFZ118" s="950"/>
      <c r="HGA118" s="950"/>
      <c r="HGB118" s="950"/>
      <c r="HGC118" s="950"/>
      <c r="HGD118" s="950"/>
      <c r="HGE118" s="950"/>
      <c r="HGF118" s="950"/>
      <c r="HGG118" s="950"/>
      <c r="HGH118" s="950"/>
      <c r="HGI118" s="950"/>
      <c r="HGJ118" s="950"/>
      <c r="HGK118" s="950"/>
      <c r="HGL118" s="950"/>
      <c r="HGM118" s="950"/>
      <c r="HGN118" s="950"/>
      <c r="HGO118" s="950"/>
      <c r="HGP118" s="950"/>
      <c r="HGQ118" s="950"/>
      <c r="HGR118" s="950"/>
      <c r="HGS118" s="950"/>
      <c r="HGT118" s="950"/>
      <c r="HGU118" s="950"/>
      <c r="HGV118" s="950"/>
      <c r="HGW118" s="950"/>
      <c r="HGX118" s="950"/>
      <c r="HGY118" s="950"/>
      <c r="HGZ118" s="950"/>
      <c r="HHA118" s="950"/>
      <c r="HHB118" s="950"/>
      <c r="HHC118" s="950"/>
      <c r="HHD118" s="950"/>
      <c r="HHE118" s="950"/>
      <c r="HHF118" s="950"/>
      <c r="HHG118" s="950"/>
      <c r="HHH118" s="950"/>
      <c r="HHI118" s="950"/>
      <c r="HHJ118" s="950"/>
      <c r="HHK118" s="950"/>
      <c r="HHL118" s="950"/>
      <c r="HHM118" s="950"/>
      <c r="HHN118" s="950"/>
      <c r="HHO118" s="950"/>
      <c r="HHP118" s="950"/>
      <c r="HHQ118" s="950"/>
      <c r="HHR118" s="950"/>
      <c r="HHS118" s="950"/>
      <c r="HHT118" s="950"/>
      <c r="HHU118" s="950"/>
      <c r="HHV118" s="950"/>
      <c r="HHW118" s="950"/>
      <c r="HHX118" s="950"/>
      <c r="HHY118" s="950"/>
      <c r="HHZ118" s="950"/>
      <c r="HIA118" s="950"/>
      <c r="HIB118" s="950"/>
      <c r="HIC118" s="950"/>
      <c r="HID118" s="950"/>
      <c r="HIE118" s="950"/>
      <c r="HIF118" s="950"/>
      <c r="HIG118" s="950"/>
      <c r="HIH118" s="950"/>
      <c r="HII118" s="950"/>
      <c r="HIJ118" s="950"/>
      <c r="HIK118" s="950"/>
      <c r="HIL118" s="950"/>
      <c r="HIM118" s="950"/>
      <c r="HIN118" s="950"/>
      <c r="HIO118" s="950"/>
      <c r="HIP118" s="950"/>
      <c r="HIQ118" s="950"/>
      <c r="HIR118" s="950"/>
      <c r="HIS118" s="950"/>
      <c r="HIT118" s="950"/>
      <c r="HIU118" s="950"/>
      <c r="HIV118" s="950"/>
      <c r="HIW118" s="950"/>
      <c r="HIX118" s="950"/>
      <c r="HIY118" s="950"/>
      <c r="HIZ118" s="950"/>
      <c r="HJA118" s="950"/>
      <c r="HJB118" s="950"/>
      <c r="HJC118" s="950"/>
      <c r="HJD118" s="950"/>
      <c r="HJE118" s="950"/>
      <c r="HJF118" s="950"/>
      <c r="HJG118" s="950"/>
      <c r="HJH118" s="950"/>
      <c r="HJI118" s="950"/>
      <c r="HJJ118" s="950"/>
      <c r="HJK118" s="950"/>
      <c r="HJL118" s="950"/>
      <c r="HJM118" s="950"/>
      <c r="HJN118" s="950"/>
      <c r="HJO118" s="950"/>
      <c r="HJP118" s="950"/>
      <c r="HJQ118" s="950"/>
      <c r="HJR118" s="950"/>
      <c r="HJS118" s="950"/>
      <c r="HJT118" s="950"/>
      <c r="HJU118" s="950"/>
      <c r="HJV118" s="950"/>
      <c r="HJW118" s="950"/>
      <c r="HJX118" s="950"/>
      <c r="HJY118" s="950"/>
      <c r="HJZ118" s="950"/>
      <c r="HKA118" s="950"/>
      <c r="HKB118" s="950"/>
      <c r="HKC118" s="950"/>
      <c r="HKD118" s="950"/>
      <c r="HKE118" s="950"/>
      <c r="HKF118" s="950"/>
      <c r="HKG118" s="950"/>
      <c r="HKH118" s="950"/>
      <c r="HKI118" s="950"/>
      <c r="HKJ118" s="950"/>
      <c r="HKK118" s="950"/>
      <c r="HKL118" s="950"/>
      <c r="HKM118" s="950"/>
      <c r="HKN118" s="950"/>
      <c r="HKO118" s="950"/>
      <c r="HKP118" s="950"/>
      <c r="HKQ118" s="950"/>
      <c r="HKR118" s="950"/>
      <c r="HKS118" s="950"/>
      <c r="HKT118" s="950"/>
      <c r="HKU118" s="950"/>
      <c r="HKV118" s="950"/>
      <c r="HKW118" s="950"/>
      <c r="HKX118" s="950"/>
      <c r="HKY118" s="950"/>
      <c r="HKZ118" s="950"/>
      <c r="HLA118" s="950"/>
      <c r="HLB118" s="950"/>
      <c r="HLC118" s="950"/>
      <c r="HLD118" s="950"/>
      <c r="HLE118" s="950"/>
      <c r="HLF118" s="950"/>
      <c r="HLG118" s="950"/>
      <c r="HLH118" s="950"/>
      <c r="HLI118" s="950"/>
      <c r="HLJ118" s="950"/>
      <c r="HLK118" s="950"/>
      <c r="HLL118" s="950"/>
      <c r="HLM118" s="950"/>
      <c r="HLN118" s="950"/>
      <c r="HLO118" s="950"/>
      <c r="HLP118" s="950"/>
      <c r="HLQ118" s="950"/>
      <c r="HLR118" s="950"/>
      <c r="HLS118" s="950"/>
      <c r="HLT118" s="950"/>
      <c r="HLU118" s="950"/>
      <c r="HLV118" s="950"/>
      <c r="HLW118" s="950"/>
      <c r="HLX118" s="950"/>
      <c r="HLY118" s="950"/>
      <c r="HLZ118" s="950"/>
      <c r="HMA118" s="950"/>
      <c r="HMB118" s="950"/>
      <c r="HMC118" s="950"/>
      <c r="HMD118" s="950"/>
      <c r="HME118" s="950"/>
      <c r="HMF118" s="950"/>
      <c r="HMG118" s="950"/>
      <c r="HMH118" s="950"/>
      <c r="HMI118" s="950"/>
      <c r="HMJ118" s="950"/>
      <c r="HMK118" s="950"/>
      <c r="HML118" s="950"/>
      <c r="HMM118" s="950"/>
      <c r="HMN118" s="950"/>
      <c r="HMO118" s="950"/>
      <c r="HMP118" s="950"/>
      <c r="HMQ118" s="950"/>
      <c r="HMR118" s="950"/>
      <c r="HMS118" s="950"/>
      <c r="HMT118" s="950"/>
      <c r="HMU118" s="950"/>
      <c r="HMV118" s="950"/>
      <c r="HMW118" s="950"/>
      <c r="HMX118" s="950"/>
      <c r="HMY118" s="950"/>
      <c r="HMZ118" s="950"/>
      <c r="HNA118" s="950"/>
      <c r="HNB118" s="950"/>
      <c r="HNC118" s="950"/>
      <c r="HND118" s="950"/>
      <c r="HNE118" s="950"/>
      <c r="HNF118" s="950"/>
      <c r="HNG118" s="950"/>
      <c r="HNH118" s="950"/>
      <c r="HNI118" s="950"/>
      <c r="HNJ118" s="950"/>
      <c r="HNK118" s="950"/>
      <c r="HNL118" s="950"/>
      <c r="HNM118" s="950"/>
      <c r="HNN118" s="950"/>
      <c r="HNO118" s="950"/>
      <c r="HNP118" s="950"/>
      <c r="HNQ118" s="950"/>
      <c r="HNR118" s="950"/>
      <c r="HNS118" s="950"/>
      <c r="HNT118" s="950"/>
      <c r="HNU118" s="950"/>
      <c r="HNV118" s="950"/>
      <c r="HNW118" s="950"/>
      <c r="HNX118" s="950"/>
      <c r="HNY118" s="950"/>
      <c r="HNZ118" s="950"/>
      <c r="HOA118" s="950"/>
      <c r="HOB118" s="950"/>
      <c r="HOC118" s="950"/>
      <c r="HOD118" s="950"/>
      <c r="HOE118" s="950"/>
      <c r="HOF118" s="950"/>
      <c r="HOG118" s="950"/>
      <c r="HOH118" s="950"/>
      <c r="HOI118" s="950"/>
      <c r="HOJ118" s="950"/>
      <c r="HOK118" s="950"/>
      <c r="HOL118" s="950"/>
      <c r="HOM118" s="950"/>
      <c r="HON118" s="950"/>
      <c r="HOO118" s="950"/>
      <c r="HOP118" s="950"/>
      <c r="HOQ118" s="950"/>
      <c r="HOR118" s="950"/>
      <c r="HOS118" s="950"/>
      <c r="HOT118" s="950"/>
      <c r="HOU118" s="950"/>
      <c r="HOV118" s="950"/>
      <c r="HOW118" s="950"/>
      <c r="HOX118" s="950"/>
      <c r="HOY118" s="950"/>
      <c r="HOZ118" s="950"/>
      <c r="HPA118" s="950"/>
      <c r="HPB118" s="950"/>
      <c r="HPC118" s="950"/>
      <c r="HPD118" s="950"/>
      <c r="HPE118" s="950"/>
      <c r="HPF118" s="950"/>
      <c r="HPG118" s="950"/>
      <c r="HPH118" s="950"/>
      <c r="HPI118" s="950"/>
      <c r="HPJ118" s="950"/>
      <c r="HPK118" s="950"/>
      <c r="HPL118" s="950"/>
      <c r="HPM118" s="950"/>
      <c r="HPN118" s="950"/>
      <c r="HPO118" s="950"/>
      <c r="HPP118" s="950"/>
      <c r="HPQ118" s="950"/>
      <c r="HPR118" s="950"/>
      <c r="HPS118" s="950"/>
      <c r="HPT118" s="950"/>
      <c r="HPU118" s="950"/>
      <c r="HPV118" s="950"/>
      <c r="HPW118" s="950"/>
      <c r="HPX118" s="950"/>
      <c r="HPY118" s="950"/>
      <c r="HPZ118" s="950"/>
      <c r="HQA118" s="950"/>
      <c r="HQB118" s="950"/>
      <c r="HQC118" s="950"/>
      <c r="HQD118" s="950"/>
      <c r="HQE118" s="950"/>
      <c r="HQF118" s="950"/>
      <c r="HQG118" s="950"/>
      <c r="HQH118" s="950"/>
      <c r="HQI118" s="950"/>
      <c r="HQJ118" s="950"/>
      <c r="HQK118" s="950"/>
      <c r="HQL118" s="950"/>
      <c r="HQM118" s="950"/>
      <c r="HQN118" s="950"/>
      <c r="HQO118" s="950"/>
      <c r="HQP118" s="950"/>
      <c r="HQQ118" s="950"/>
      <c r="HQR118" s="950"/>
      <c r="HQS118" s="950"/>
      <c r="HQT118" s="950"/>
      <c r="HQU118" s="950"/>
      <c r="HQV118" s="950"/>
      <c r="HQW118" s="950"/>
      <c r="HQX118" s="950"/>
      <c r="HQY118" s="950"/>
      <c r="HQZ118" s="950"/>
      <c r="HRA118" s="950"/>
      <c r="HRB118" s="950"/>
      <c r="HRC118" s="950"/>
      <c r="HRD118" s="950"/>
      <c r="HRE118" s="950"/>
      <c r="HRF118" s="950"/>
      <c r="HRG118" s="950"/>
      <c r="HRH118" s="950"/>
      <c r="HRI118" s="950"/>
      <c r="HRJ118" s="950"/>
      <c r="HRK118" s="950"/>
      <c r="HRL118" s="950"/>
      <c r="HRM118" s="950"/>
      <c r="HRN118" s="950"/>
      <c r="HRO118" s="950"/>
      <c r="HRP118" s="950"/>
      <c r="HRQ118" s="950"/>
      <c r="HRR118" s="950"/>
      <c r="HRS118" s="950"/>
      <c r="HRT118" s="950"/>
      <c r="HRU118" s="950"/>
      <c r="HRV118" s="950"/>
      <c r="HRW118" s="950"/>
      <c r="HRX118" s="950"/>
      <c r="HRY118" s="950"/>
      <c r="HRZ118" s="950"/>
      <c r="HSA118" s="950"/>
      <c r="HSB118" s="950"/>
      <c r="HSC118" s="950"/>
      <c r="HSD118" s="950"/>
      <c r="HSE118" s="950"/>
      <c r="HSF118" s="950"/>
      <c r="HSG118" s="950"/>
      <c r="HSH118" s="950"/>
      <c r="HSI118" s="950"/>
      <c r="HSJ118" s="950"/>
      <c r="HSK118" s="950"/>
      <c r="HSL118" s="950"/>
      <c r="HSM118" s="950"/>
      <c r="HSN118" s="950"/>
      <c r="HSO118" s="950"/>
      <c r="HSP118" s="950"/>
      <c r="HSQ118" s="950"/>
      <c r="HSR118" s="950"/>
      <c r="HSS118" s="950"/>
      <c r="HST118" s="950"/>
      <c r="HSU118" s="950"/>
      <c r="HSV118" s="950"/>
      <c r="HSW118" s="950"/>
      <c r="HSX118" s="950"/>
      <c r="HSY118" s="950"/>
      <c r="HSZ118" s="950"/>
      <c r="HTA118" s="950"/>
      <c r="HTB118" s="950"/>
      <c r="HTC118" s="950"/>
      <c r="HTD118" s="950"/>
      <c r="HTE118" s="950"/>
      <c r="HTF118" s="950"/>
      <c r="HTG118" s="950"/>
      <c r="HTH118" s="950"/>
      <c r="HTI118" s="950"/>
      <c r="HTJ118" s="950"/>
      <c r="HTK118" s="950"/>
      <c r="HTL118" s="950"/>
      <c r="HTM118" s="950"/>
      <c r="HTN118" s="950"/>
      <c r="HTO118" s="950"/>
      <c r="HTP118" s="950"/>
      <c r="HTQ118" s="950"/>
      <c r="HTR118" s="950"/>
      <c r="HTS118" s="950"/>
      <c r="HTT118" s="950"/>
      <c r="HTU118" s="950"/>
      <c r="HTV118" s="950"/>
      <c r="HTW118" s="950"/>
      <c r="HTX118" s="950"/>
      <c r="HTY118" s="950"/>
      <c r="HTZ118" s="950"/>
      <c r="HUA118" s="950"/>
      <c r="HUB118" s="950"/>
      <c r="HUC118" s="950"/>
      <c r="HUD118" s="950"/>
      <c r="HUE118" s="950"/>
      <c r="HUF118" s="950"/>
      <c r="HUG118" s="950"/>
      <c r="HUH118" s="950"/>
      <c r="HUI118" s="950"/>
      <c r="HUJ118" s="950"/>
      <c r="HUK118" s="950"/>
      <c r="HUL118" s="950"/>
      <c r="HUM118" s="950"/>
      <c r="HUN118" s="950"/>
      <c r="HUO118" s="950"/>
      <c r="HUP118" s="950"/>
      <c r="HUQ118" s="950"/>
      <c r="HUR118" s="950"/>
      <c r="HUS118" s="950"/>
      <c r="HUT118" s="950"/>
      <c r="HUU118" s="950"/>
      <c r="HUV118" s="950"/>
      <c r="HUW118" s="950"/>
      <c r="HUX118" s="950"/>
      <c r="HUY118" s="950"/>
      <c r="HUZ118" s="950"/>
      <c r="HVA118" s="950"/>
      <c r="HVB118" s="950"/>
      <c r="HVC118" s="950"/>
      <c r="HVD118" s="950"/>
      <c r="HVE118" s="950"/>
      <c r="HVF118" s="950"/>
      <c r="HVG118" s="950"/>
      <c r="HVH118" s="950"/>
      <c r="HVI118" s="950"/>
      <c r="HVJ118" s="950"/>
      <c r="HVK118" s="950"/>
      <c r="HVL118" s="950"/>
      <c r="HVM118" s="950"/>
      <c r="HVN118" s="950"/>
      <c r="HVO118" s="950"/>
      <c r="HVP118" s="950"/>
      <c r="HVQ118" s="950"/>
      <c r="HVR118" s="950"/>
      <c r="HVS118" s="950"/>
      <c r="HVT118" s="950"/>
      <c r="HVU118" s="950"/>
      <c r="HVV118" s="950"/>
      <c r="HVW118" s="950"/>
      <c r="HVX118" s="950"/>
      <c r="HVY118" s="950"/>
      <c r="HVZ118" s="950"/>
      <c r="HWA118" s="950"/>
      <c r="HWB118" s="950"/>
      <c r="HWC118" s="950"/>
      <c r="HWD118" s="950"/>
      <c r="HWE118" s="950"/>
      <c r="HWF118" s="950"/>
      <c r="HWG118" s="950"/>
      <c r="HWH118" s="950"/>
      <c r="HWI118" s="950"/>
      <c r="HWJ118" s="950"/>
      <c r="HWK118" s="950"/>
      <c r="HWL118" s="950"/>
      <c r="HWM118" s="950"/>
      <c r="HWN118" s="950"/>
      <c r="HWO118" s="950"/>
      <c r="HWP118" s="950"/>
      <c r="HWQ118" s="950"/>
      <c r="HWR118" s="950"/>
      <c r="HWS118" s="950"/>
      <c r="HWT118" s="950"/>
      <c r="HWU118" s="950"/>
      <c r="HWV118" s="950"/>
      <c r="HWW118" s="950"/>
      <c r="HWX118" s="950"/>
      <c r="HWY118" s="950"/>
      <c r="HWZ118" s="950"/>
      <c r="HXA118" s="950"/>
      <c r="HXB118" s="950"/>
      <c r="HXC118" s="950"/>
      <c r="HXD118" s="950"/>
      <c r="HXE118" s="950"/>
      <c r="HXF118" s="950"/>
      <c r="HXG118" s="950"/>
      <c r="HXH118" s="950"/>
      <c r="HXI118" s="950"/>
      <c r="HXJ118" s="950"/>
      <c r="HXK118" s="950"/>
      <c r="HXL118" s="950"/>
      <c r="HXM118" s="950"/>
      <c r="HXN118" s="950"/>
      <c r="HXO118" s="950"/>
      <c r="HXP118" s="950"/>
      <c r="HXQ118" s="950"/>
      <c r="HXR118" s="950"/>
      <c r="HXS118" s="950"/>
      <c r="HXT118" s="950"/>
      <c r="HXU118" s="950"/>
      <c r="HXV118" s="950"/>
      <c r="HXW118" s="950"/>
      <c r="HXX118" s="950"/>
      <c r="HXY118" s="950"/>
      <c r="HXZ118" s="950"/>
      <c r="HYA118" s="950"/>
      <c r="HYB118" s="950"/>
      <c r="HYC118" s="950"/>
      <c r="HYD118" s="950"/>
      <c r="HYE118" s="950"/>
      <c r="HYF118" s="950"/>
      <c r="HYG118" s="950"/>
      <c r="HYH118" s="950"/>
      <c r="HYI118" s="950"/>
      <c r="HYJ118" s="950"/>
      <c r="HYK118" s="950"/>
      <c r="HYL118" s="950"/>
      <c r="HYM118" s="950"/>
      <c r="HYN118" s="950"/>
      <c r="HYO118" s="950"/>
      <c r="HYP118" s="950"/>
      <c r="HYQ118" s="950"/>
      <c r="HYR118" s="950"/>
      <c r="HYS118" s="950"/>
      <c r="HYT118" s="950"/>
      <c r="HYU118" s="950"/>
      <c r="HYV118" s="950"/>
      <c r="HYW118" s="950"/>
      <c r="HYX118" s="950"/>
      <c r="HYY118" s="950"/>
      <c r="HYZ118" s="950"/>
      <c r="HZA118" s="950"/>
      <c r="HZB118" s="950"/>
      <c r="HZC118" s="950"/>
      <c r="HZD118" s="950"/>
      <c r="HZE118" s="950"/>
      <c r="HZF118" s="950"/>
      <c r="HZG118" s="950"/>
      <c r="HZH118" s="950"/>
      <c r="HZI118" s="950"/>
      <c r="HZJ118" s="950"/>
      <c r="HZK118" s="950"/>
      <c r="HZL118" s="950"/>
      <c r="HZM118" s="950"/>
      <c r="HZN118" s="950"/>
      <c r="HZO118" s="950"/>
      <c r="HZP118" s="950"/>
      <c r="HZQ118" s="950"/>
      <c r="HZR118" s="950"/>
      <c r="HZS118" s="950"/>
      <c r="HZT118" s="950"/>
      <c r="HZU118" s="950"/>
      <c r="HZV118" s="950"/>
      <c r="HZW118" s="950"/>
      <c r="HZX118" s="950"/>
      <c r="HZY118" s="950"/>
      <c r="HZZ118" s="950"/>
      <c r="IAA118" s="950"/>
      <c r="IAB118" s="950"/>
      <c r="IAC118" s="950"/>
      <c r="IAD118" s="950"/>
      <c r="IAE118" s="950"/>
      <c r="IAF118" s="950"/>
      <c r="IAG118" s="950"/>
      <c r="IAH118" s="950"/>
      <c r="IAI118" s="950"/>
      <c r="IAJ118" s="950"/>
      <c r="IAK118" s="950"/>
      <c r="IAL118" s="950"/>
      <c r="IAM118" s="950"/>
      <c r="IAN118" s="950"/>
      <c r="IAO118" s="950"/>
      <c r="IAP118" s="950"/>
      <c r="IAQ118" s="950"/>
      <c r="IAR118" s="950"/>
      <c r="IAS118" s="950"/>
      <c r="IAT118" s="950"/>
      <c r="IAU118" s="950"/>
      <c r="IAV118" s="950"/>
      <c r="IAW118" s="950"/>
      <c r="IAX118" s="950"/>
      <c r="IAY118" s="950"/>
      <c r="IAZ118" s="950"/>
      <c r="IBA118" s="950"/>
      <c r="IBB118" s="950"/>
      <c r="IBC118" s="950"/>
      <c r="IBD118" s="950"/>
      <c r="IBE118" s="950"/>
      <c r="IBF118" s="950"/>
      <c r="IBG118" s="950"/>
      <c r="IBH118" s="950"/>
      <c r="IBI118" s="950"/>
      <c r="IBJ118" s="950"/>
      <c r="IBK118" s="950"/>
      <c r="IBL118" s="950"/>
      <c r="IBM118" s="950"/>
      <c r="IBN118" s="950"/>
      <c r="IBO118" s="950"/>
      <c r="IBP118" s="950"/>
      <c r="IBQ118" s="950"/>
      <c r="IBR118" s="950"/>
      <c r="IBS118" s="950"/>
      <c r="IBT118" s="950"/>
      <c r="IBU118" s="950"/>
      <c r="IBV118" s="950"/>
      <c r="IBW118" s="950"/>
      <c r="IBX118" s="950"/>
      <c r="IBY118" s="950"/>
      <c r="IBZ118" s="950"/>
      <c r="ICA118" s="950"/>
      <c r="ICB118" s="950"/>
      <c r="ICC118" s="950"/>
      <c r="ICD118" s="950"/>
      <c r="ICE118" s="950"/>
      <c r="ICF118" s="950"/>
      <c r="ICG118" s="950"/>
      <c r="ICH118" s="950"/>
      <c r="ICI118" s="950"/>
      <c r="ICJ118" s="950"/>
      <c r="ICK118" s="950"/>
      <c r="ICL118" s="950"/>
      <c r="ICM118" s="950"/>
      <c r="ICN118" s="950"/>
      <c r="ICO118" s="950"/>
      <c r="ICP118" s="950"/>
      <c r="ICQ118" s="950"/>
      <c r="ICR118" s="950"/>
      <c r="ICS118" s="950"/>
      <c r="ICT118" s="950"/>
      <c r="ICU118" s="950"/>
      <c r="ICV118" s="950"/>
      <c r="ICW118" s="950"/>
      <c r="ICX118" s="950"/>
      <c r="ICY118" s="950"/>
      <c r="ICZ118" s="950"/>
      <c r="IDA118" s="950"/>
      <c r="IDB118" s="950"/>
      <c r="IDC118" s="950"/>
      <c r="IDD118" s="950"/>
      <c r="IDE118" s="950"/>
      <c r="IDF118" s="950"/>
      <c r="IDG118" s="950"/>
      <c r="IDH118" s="950"/>
      <c r="IDI118" s="950"/>
      <c r="IDJ118" s="950"/>
      <c r="IDK118" s="950"/>
      <c r="IDL118" s="950"/>
      <c r="IDM118" s="950"/>
      <c r="IDN118" s="950"/>
      <c r="IDO118" s="950"/>
      <c r="IDP118" s="950"/>
      <c r="IDQ118" s="950"/>
      <c r="IDR118" s="950"/>
      <c r="IDS118" s="950"/>
      <c r="IDT118" s="950"/>
      <c r="IDU118" s="950"/>
      <c r="IDV118" s="950"/>
      <c r="IDW118" s="950"/>
      <c r="IDX118" s="950"/>
      <c r="IDY118" s="950"/>
      <c r="IDZ118" s="950"/>
      <c r="IEA118" s="950"/>
      <c r="IEB118" s="950"/>
      <c r="IEC118" s="950"/>
      <c r="IED118" s="950"/>
      <c r="IEE118" s="950"/>
      <c r="IEF118" s="950"/>
      <c r="IEG118" s="950"/>
      <c r="IEH118" s="950"/>
      <c r="IEI118" s="950"/>
      <c r="IEJ118" s="950"/>
      <c r="IEK118" s="950"/>
      <c r="IEL118" s="950"/>
      <c r="IEM118" s="950"/>
      <c r="IEN118" s="950"/>
      <c r="IEO118" s="950"/>
      <c r="IEP118" s="950"/>
      <c r="IEQ118" s="950"/>
      <c r="IER118" s="950"/>
      <c r="IES118" s="950"/>
      <c r="IET118" s="950"/>
      <c r="IEU118" s="950"/>
      <c r="IEV118" s="950"/>
      <c r="IEW118" s="950"/>
      <c r="IEX118" s="950"/>
      <c r="IEY118" s="950"/>
      <c r="IEZ118" s="950"/>
      <c r="IFA118" s="950"/>
      <c r="IFB118" s="950"/>
      <c r="IFC118" s="950"/>
      <c r="IFD118" s="950"/>
      <c r="IFE118" s="950"/>
      <c r="IFF118" s="950"/>
      <c r="IFG118" s="950"/>
      <c r="IFH118" s="950"/>
      <c r="IFI118" s="950"/>
      <c r="IFJ118" s="950"/>
      <c r="IFK118" s="950"/>
      <c r="IFL118" s="950"/>
      <c r="IFM118" s="950"/>
      <c r="IFN118" s="950"/>
      <c r="IFO118" s="950"/>
      <c r="IFP118" s="950"/>
      <c r="IFQ118" s="950"/>
      <c r="IFR118" s="950"/>
      <c r="IFS118" s="950"/>
      <c r="IFT118" s="950"/>
      <c r="IFU118" s="950"/>
      <c r="IFV118" s="950"/>
      <c r="IFW118" s="950"/>
      <c r="IFX118" s="950"/>
      <c r="IFY118" s="950"/>
      <c r="IFZ118" s="950"/>
      <c r="IGA118" s="950"/>
      <c r="IGB118" s="950"/>
      <c r="IGC118" s="950"/>
      <c r="IGD118" s="950"/>
      <c r="IGE118" s="950"/>
      <c r="IGF118" s="950"/>
      <c r="IGG118" s="950"/>
      <c r="IGH118" s="950"/>
      <c r="IGI118" s="950"/>
      <c r="IGJ118" s="950"/>
      <c r="IGK118" s="950"/>
      <c r="IGL118" s="950"/>
      <c r="IGM118" s="950"/>
      <c r="IGN118" s="950"/>
      <c r="IGO118" s="950"/>
      <c r="IGP118" s="950"/>
      <c r="IGQ118" s="950"/>
      <c r="IGR118" s="950"/>
      <c r="IGS118" s="950"/>
      <c r="IGT118" s="950"/>
      <c r="IGU118" s="950"/>
      <c r="IGV118" s="950"/>
      <c r="IGW118" s="950"/>
      <c r="IGX118" s="950"/>
      <c r="IGY118" s="950"/>
      <c r="IGZ118" s="950"/>
      <c r="IHA118" s="950"/>
      <c r="IHB118" s="950"/>
      <c r="IHC118" s="950"/>
      <c r="IHD118" s="950"/>
      <c r="IHE118" s="950"/>
      <c r="IHF118" s="950"/>
      <c r="IHG118" s="950"/>
      <c r="IHH118" s="950"/>
      <c r="IHI118" s="950"/>
      <c r="IHJ118" s="950"/>
      <c r="IHK118" s="950"/>
      <c r="IHL118" s="950"/>
      <c r="IHM118" s="950"/>
      <c r="IHN118" s="950"/>
      <c r="IHO118" s="950"/>
      <c r="IHP118" s="950"/>
      <c r="IHQ118" s="950"/>
      <c r="IHR118" s="950"/>
      <c r="IHS118" s="950"/>
      <c r="IHT118" s="950"/>
      <c r="IHU118" s="950"/>
      <c r="IHV118" s="950"/>
      <c r="IHW118" s="950"/>
      <c r="IHX118" s="950"/>
      <c r="IHY118" s="950"/>
      <c r="IHZ118" s="950"/>
      <c r="IIA118" s="950"/>
      <c r="IIB118" s="950"/>
      <c r="IIC118" s="950"/>
      <c r="IID118" s="950"/>
      <c r="IIE118" s="950"/>
      <c r="IIF118" s="950"/>
      <c r="IIG118" s="950"/>
      <c r="IIH118" s="950"/>
      <c r="III118" s="950"/>
      <c r="IIJ118" s="950"/>
      <c r="IIK118" s="950"/>
      <c r="IIL118" s="950"/>
      <c r="IIM118" s="950"/>
      <c r="IIN118" s="950"/>
      <c r="IIO118" s="950"/>
      <c r="IIP118" s="950"/>
      <c r="IIQ118" s="950"/>
      <c r="IIR118" s="950"/>
      <c r="IIS118" s="950"/>
      <c r="IIT118" s="950"/>
      <c r="IIU118" s="950"/>
      <c r="IIV118" s="950"/>
      <c r="IIW118" s="950"/>
      <c r="IIX118" s="950"/>
      <c r="IIY118" s="950"/>
      <c r="IIZ118" s="950"/>
      <c r="IJA118" s="950"/>
      <c r="IJB118" s="950"/>
      <c r="IJC118" s="950"/>
      <c r="IJD118" s="950"/>
      <c r="IJE118" s="950"/>
      <c r="IJF118" s="950"/>
      <c r="IJG118" s="950"/>
      <c r="IJH118" s="950"/>
      <c r="IJI118" s="950"/>
      <c r="IJJ118" s="950"/>
      <c r="IJK118" s="950"/>
      <c r="IJL118" s="950"/>
      <c r="IJM118" s="950"/>
      <c r="IJN118" s="950"/>
      <c r="IJO118" s="950"/>
      <c r="IJP118" s="950"/>
      <c r="IJQ118" s="950"/>
      <c r="IJR118" s="950"/>
      <c r="IJS118" s="950"/>
      <c r="IJT118" s="950"/>
      <c r="IJU118" s="950"/>
      <c r="IJV118" s="950"/>
      <c r="IJW118" s="950"/>
      <c r="IJX118" s="950"/>
      <c r="IJY118" s="950"/>
      <c r="IJZ118" s="950"/>
      <c r="IKA118" s="950"/>
      <c r="IKB118" s="950"/>
      <c r="IKC118" s="950"/>
      <c r="IKD118" s="950"/>
      <c r="IKE118" s="950"/>
      <c r="IKF118" s="950"/>
      <c r="IKG118" s="950"/>
      <c r="IKH118" s="950"/>
      <c r="IKI118" s="950"/>
      <c r="IKJ118" s="950"/>
      <c r="IKK118" s="950"/>
      <c r="IKL118" s="950"/>
      <c r="IKM118" s="950"/>
      <c r="IKN118" s="950"/>
      <c r="IKO118" s="950"/>
      <c r="IKP118" s="950"/>
      <c r="IKQ118" s="950"/>
      <c r="IKR118" s="950"/>
      <c r="IKS118" s="950"/>
      <c r="IKT118" s="950"/>
      <c r="IKU118" s="950"/>
      <c r="IKV118" s="950"/>
      <c r="IKW118" s="950"/>
      <c r="IKX118" s="950"/>
      <c r="IKY118" s="950"/>
      <c r="IKZ118" s="950"/>
      <c r="ILA118" s="950"/>
      <c r="ILB118" s="950"/>
      <c r="ILC118" s="950"/>
      <c r="ILD118" s="950"/>
      <c r="ILE118" s="950"/>
      <c r="ILF118" s="950"/>
      <c r="ILG118" s="950"/>
      <c r="ILH118" s="950"/>
      <c r="ILI118" s="950"/>
      <c r="ILJ118" s="950"/>
      <c r="ILK118" s="950"/>
      <c r="ILL118" s="950"/>
      <c r="ILM118" s="950"/>
      <c r="ILN118" s="950"/>
      <c r="ILO118" s="950"/>
      <c r="ILP118" s="950"/>
      <c r="ILQ118" s="950"/>
      <c r="ILR118" s="950"/>
      <c r="ILS118" s="950"/>
      <c r="ILT118" s="950"/>
      <c r="ILU118" s="950"/>
      <c r="ILV118" s="950"/>
      <c r="ILW118" s="950"/>
      <c r="ILX118" s="950"/>
      <c r="ILY118" s="950"/>
      <c r="ILZ118" s="950"/>
      <c r="IMA118" s="950"/>
      <c r="IMB118" s="950"/>
      <c r="IMC118" s="950"/>
      <c r="IMD118" s="950"/>
      <c r="IME118" s="950"/>
      <c r="IMF118" s="950"/>
      <c r="IMG118" s="950"/>
      <c r="IMH118" s="950"/>
      <c r="IMI118" s="950"/>
      <c r="IMJ118" s="950"/>
      <c r="IMK118" s="950"/>
      <c r="IML118" s="950"/>
      <c r="IMM118" s="950"/>
      <c r="IMN118" s="950"/>
      <c r="IMO118" s="950"/>
      <c r="IMP118" s="950"/>
      <c r="IMQ118" s="950"/>
      <c r="IMR118" s="950"/>
      <c r="IMS118" s="950"/>
      <c r="IMT118" s="950"/>
      <c r="IMU118" s="950"/>
      <c r="IMV118" s="950"/>
      <c r="IMW118" s="950"/>
      <c r="IMX118" s="950"/>
      <c r="IMY118" s="950"/>
      <c r="IMZ118" s="950"/>
      <c r="INA118" s="950"/>
      <c r="INB118" s="950"/>
      <c r="INC118" s="950"/>
      <c r="IND118" s="950"/>
      <c r="INE118" s="950"/>
      <c r="INF118" s="950"/>
      <c r="ING118" s="950"/>
      <c r="INH118" s="950"/>
      <c r="INI118" s="950"/>
      <c r="INJ118" s="950"/>
      <c r="INK118" s="950"/>
      <c r="INL118" s="950"/>
      <c r="INM118" s="950"/>
      <c r="INN118" s="950"/>
      <c r="INO118" s="950"/>
      <c r="INP118" s="950"/>
      <c r="INQ118" s="950"/>
      <c r="INR118" s="950"/>
      <c r="INS118" s="950"/>
      <c r="INT118" s="950"/>
      <c r="INU118" s="950"/>
      <c r="INV118" s="950"/>
      <c r="INW118" s="950"/>
      <c r="INX118" s="950"/>
      <c r="INY118" s="950"/>
      <c r="INZ118" s="950"/>
      <c r="IOA118" s="950"/>
      <c r="IOB118" s="950"/>
      <c r="IOC118" s="950"/>
      <c r="IOD118" s="950"/>
      <c r="IOE118" s="950"/>
      <c r="IOF118" s="950"/>
      <c r="IOG118" s="950"/>
      <c r="IOH118" s="950"/>
      <c r="IOI118" s="950"/>
      <c r="IOJ118" s="950"/>
      <c r="IOK118" s="950"/>
      <c r="IOL118" s="950"/>
      <c r="IOM118" s="950"/>
      <c r="ION118" s="950"/>
      <c r="IOO118" s="950"/>
      <c r="IOP118" s="950"/>
      <c r="IOQ118" s="950"/>
      <c r="IOR118" s="950"/>
      <c r="IOS118" s="950"/>
      <c r="IOT118" s="950"/>
      <c r="IOU118" s="950"/>
      <c r="IOV118" s="950"/>
      <c r="IOW118" s="950"/>
      <c r="IOX118" s="950"/>
      <c r="IOY118" s="950"/>
      <c r="IOZ118" s="950"/>
      <c r="IPA118" s="950"/>
      <c r="IPB118" s="950"/>
      <c r="IPC118" s="950"/>
      <c r="IPD118" s="950"/>
      <c r="IPE118" s="950"/>
      <c r="IPF118" s="950"/>
      <c r="IPG118" s="950"/>
      <c r="IPH118" s="950"/>
      <c r="IPI118" s="950"/>
      <c r="IPJ118" s="950"/>
      <c r="IPK118" s="950"/>
      <c r="IPL118" s="950"/>
      <c r="IPM118" s="950"/>
      <c r="IPN118" s="950"/>
      <c r="IPO118" s="950"/>
      <c r="IPP118" s="950"/>
      <c r="IPQ118" s="950"/>
      <c r="IPR118" s="950"/>
      <c r="IPS118" s="950"/>
      <c r="IPT118" s="950"/>
      <c r="IPU118" s="950"/>
      <c r="IPV118" s="950"/>
      <c r="IPW118" s="950"/>
      <c r="IPX118" s="950"/>
      <c r="IPY118" s="950"/>
      <c r="IPZ118" s="950"/>
      <c r="IQA118" s="950"/>
      <c r="IQB118" s="950"/>
      <c r="IQC118" s="950"/>
      <c r="IQD118" s="950"/>
      <c r="IQE118" s="950"/>
      <c r="IQF118" s="950"/>
      <c r="IQG118" s="950"/>
      <c r="IQH118" s="950"/>
      <c r="IQI118" s="950"/>
      <c r="IQJ118" s="950"/>
      <c r="IQK118" s="950"/>
      <c r="IQL118" s="950"/>
      <c r="IQM118" s="950"/>
      <c r="IQN118" s="950"/>
      <c r="IQO118" s="950"/>
      <c r="IQP118" s="950"/>
      <c r="IQQ118" s="950"/>
      <c r="IQR118" s="950"/>
      <c r="IQS118" s="950"/>
      <c r="IQT118" s="950"/>
      <c r="IQU118" s="950"/>
      <c r="IQV118" s="950"/>
      <c r="IQW118" s="950"/>
      <c r="IQX118" s="950"/>
      <c r="IQY118" s="950"/>
      <c r="IQZ118" s="950"/>
      <c r="IRA118" s="950"/>
      <c r="IRB118" s="950"/>
      <c r="IRC118" s="950"/>
      <c r="IRD118" s="950"/>
      <c r="IRE118" s="950"/>
      <c r="IRF118" s="950"/>
      <c r="IRG118" s="950"/>
      <c r="IRH118" s="950"/>
      <c r="IRI118" s="950"/>
      <c r="IRJ118" s="950"/>
      <c r="IRK118" s="950"/>
      <c r="IRL118" s="950"/>
      <c r="IRM118" s="950"/>
      <c r="IRN118" s="950"/>
      <c r="IRO118" s="950"/>
      <c r="IRP118" s="950"/>
      <c r="IRQ118" s="950"/>
      <c r="IRR118" s="950"/>
      <c r="IRS118" s="950"/>
      <c r="IRT118" s="950"/>
      <c r="IRU118" s="950"/>
      <c r="IRV118" s="950"/>
      <c r="IRW118" s="950"/>
      <c r="IRX118" s="950"/>
      <c r="IRY118" s="950"/>
      <c r="IRZ118" s="950"/>
      <c r="ISA118" s="950"/>
      <c r="ISB118" s="950"/>
      <c r="ISC118" s="950"/>
      <c r="ISD118" s="950"/>
      <c r="ISE118" s="950"/>
      <c r="ISF118" s="950"/>
      <c r="ISG118" s="950"/>
      <c r="ISH118" s="950"/>
      <c r="ISI118" s="950"/>
      <c r="ISJ118" s="950"/>
      <c r="ISK118" s="950"/>
      <c r="ISL118" s="950"/>
      <c r="ISM118" s="950"/>
      <c r="ISN118" s="950"/>
      <c r="ISO118" s="950"/>
      <c r="ISP118" s="950"/>
      <c r="ISQ118" s="950"/>
      <c r="ISR118" s="950"/>
      <c r="ISS118" s="950"/>
      <c r="IST118" s="950"/>
      <c r="ISU118" s="950"/>
      <c r="ISV118" s="950"/>
      <c r="ISW118" s="950"/>
      <c r="ISX118" s="950"/>
      <c r="ISY118" s="950"/>
      <c r="ISZ118" s="950"/>
      <c r="ITA118" s="950"/>
      <c r="ITB118" s="950"/>
      <c r="ITC118" s="950"/>
      <c r="ITD118" s="950"/>
      <c r="ITE118" s="950"/>
      <c r="ITF118" s="950"/>
      <c r="ITG118" s="950"/>
      <c r="ITH118" s="950"/>
      <c r="ITI118" s="950"/>
      <c r="ITJ118" s="950"/>
      <c r="ITK118" s="950"/>
      <c r="ITL118" s="950"/>
      <c r="ITM118" s="950"/>
      <c r="ITN118" s="950"/>
      <c r="ITO118" s="950"/>
      <c r="ITP118" s="950"/>
      <c r="ITQ118" s="950"/>
      <c r="ITR118" s="950"/>
      <c r="ITS118" s="950"/>
      <c r="ITT118" s="950"/>
      <c r="ITU118" s="950"/>
      <c r="ITV118" s="950"/>
      <c r="ITW118" s="950"/>
      <c r="ITX118" s="950"/>
      <c r="ITY118" s="950"/>
      <c r="ITZ118" s="950"/>
      <c r="IUA118" s="950"/>
      <c r="IUB118" s="950"/>
      <c r="IUC118" s="950"/>
      <c r="IUD118" s="950"/>
      <c r="IUE118" s="950"/>
      <c r="IUF118" s="950"/>
      <c r="IUG118" s="950"/>
      <c r="IUH118" s="950"/>
      <c r="IUI118" s="950"/>
      <c r="IUJ118" s="950"/>
      <c r="IUK118" s="950"/>
      <c r="IUL118" s="950"/>
      <c r="IUM118" s="950"/>
      <c r="IUN118" s="950"/>
      <c r="IUO118" s="950"/>
      <c r="IUP118" s="950"/>
      <c r="IUQ118" s="950"/>
      <c r="IUR118" s="950"/>
      <c r="IUS118" s="950"/>
      <c r="IUT118" s="950"/>
      <c r="IUU118" s="950"/>
      <c r="IUV118" s="950"/>
      <c r="IUW118" s="950"/>
      <c r="IUX118" s="950"/>
      <c r="IUY118" s="950"/>
      <c r="IUZ118" s="950"/>
      <c r="IVA118" s="950"/>
      <c r="IVB118" s="950"/>
      <c r="IVC118" s="950"/>
      <c r="IVD118" s="950"/>
      <c r="IVE118" s="950"/>
      <c r="IVF118" s="950"/>
      <c r="IVG118" s="950"/>
      <c r="IVH118" s="950"/>
      <c r="IVI118" s="950"/>
      <c r="IVJ118" s="950"/>
      <c r="IVK118" s="950"/>
      <c r="IVL118" s="950"/>
      <c r="IVM118" s="950"/>
      <c r="IVN118" s="950"/>
      <c r="IVO118" s="950"/>
      <c r="IVP118" s="950"/>
      <c r="IVQ118" s="950"/>
      <c r="IVR118" s="950"/>
      <c r="IVS118" s="950"/>
      <c r="IVT118" s="950"/>
      <c r="IVU118" s="950"/>
      <c r="IVV118" s="950"/>
      <c r="IVW118" s="950"/>
      <c r="IVX118" s="950"/>
      <c r="IVY118" s="950"/>
      <c r="IVZ118" s="950"/>
      <c r="IWA118" s="950"/>
      <c r="IWB118" s="950"/>
      <c r="IWC118" s="950"/>
      <c r="IWD118" s="950"/>
      <c r="IWE118" s="950"/>
      <c r="IWF118" s="950"/>
      <c r="IWG118" s="950"/>
      <c r="IWH118" s="950"/>
      <c r="IWI118" s="950"/>
      <c r="IWJ118" s="950"/>
      <c r="IWK118" s="950"/>
      <c r="IWL118" s="950"/>
      <c r="IWM118" s="950"/>
      <c r="IWN118" s="950"/>
      <c r="IWO118" s="950"/>
      <c r="IWP118" s="950"/>
      <c r="IWQ118" s="950"/>
      <c r="IWR118" s="950"/>
      <c r="IWS118" s="950"/>
      <c r="IWT118" s="950"/>
      <c r="IWU118" s="950"/>
      <c r="IWV118" s="950"/>
      <c r="IWW118" s="950"/>
      <c r="IWX118" s="950"/>
      <c r="IWY118" s="950"/>
      <c r="IWZ118" s="950"/>
      <c r="IXA118" s="950"/>
      <c r="IXB118" s="950"/>
      <c r="IXC118" s="950"/>
      <c r="IXD118" s="950"/>
      <c r="IXE118" s="950"/>
      <c r="IXF118" s="950"/>
      <c r="IXG118" s="950"/>
      <c r="IXH118" s="950"/>
      <c r="IXI118" s="950"/>
      <c r="IXJ118" s="950"/>
      <c r="IXK118" s="950"/>
      <c r="IXL118" s="950"/>
      <c r="IXM118" s="950"/>
      <c r="IXN118" s="950"/>
      <c r="IXO118" s="950"/>
      <c r="IXP118" s="950"/>
      <c r="IXQ118" s="950"/>
      <c r="IXR118" s="950"/>
      <c r="IXS118" s="950"/>
      <c r="IXT118" s="950"/>
      <c r="IXU118" s="950"/>
      <c r="IXV118" s="950"/>
      <c r="IXW118" s="950"/>
      <c r="IXX118" s="950"/>
      <c r="IXY118" s="950"/>
      <c r="IXZ118" s="950"/>
      <c r="IYA118" s="950"/>
      <c r="IYB118" s="950"/>
      <c r="IYC118" s="950"/>
      <c r="IYD118" s="950"/>
      <c r="IYE118" s="950"/>
      <c r="IYF118" s="950"/>
      <c r="IYG118" s="950"/>
      <c r="IYH118" s="950"/>
      <c r="IYI118" s="950"/>
      <c r="IYJ118" s="950"/>
      <c r="IYK118" s="950"/>
      <c r="IYL118" s="950"/>
      <c r="IYM118" s="950"/>
      <c r="IYN118" s="950"/>
      <c r="IYO118" s="950"/>
      <c r="IYP118" s="950"/>
      <c r="IYQ118" s="950"/>
      <c r="IYR118" s="950"/>
      <c r="IYS118" s="950"/>
      <c r="IYT118" s="950"/>
      <c r="IYU118" s="950"/>
      <c r="IYV118" s="950"/>
      <c r="IYW118" s="950"/>
      <c r="IYX118" s="950"/>
      <c r="IYY118" s="950"/>
      <c r="IYZ118" s="950"/>
      <c r="IZA118" s="950"/>
      <c r="IZB118" s="950"/>
      <c r="IZC118" s="950"/>
      <c r="IZD118" s="950"/>
      <c r="IZE118" s="950"/>
      <c r="IZF118" s="950"/>
      <c r="IZG118" s="950"/>
      <c r="IZH118" s="950"/>
      <c r="IZI118" s="950"/>
      <c r="IZJ118" s="950"/>
      <c r="IZK118" s="950"/>
      <c r="IZL118" s="950"/>
      <c r="IZM118" s="950"/>
      <c r="IZN118" s="950"/>
      <c r="IZO118" s="950"/>
      <c r="IZP118" s="950"/>
      <c r="IZQ118" s="950"/>
      <c r="IZR118" s="950"/>
      <c r="IZS118" s="950"/>
      <c r="IZT118" s="950"/>
      <c r="IZU118" s="950"/>
      <c r="IZV118" s="950"/>
      <c r="IZW118" s="950"/>
      <c r="IZX118" s="950"/>
      <c r="IZY118" s="950"/>
      <c r="IZZ118" s="950"/>
      <c r="JAA118" s="950"/>
      <c r="JAB118" s="950"/>
      <c r="JAC118" s="950"/>
      <c r="JAD118" s="950"/>
      <c r="JAE118" s="950"/>
      <c r="JAF118" s="950"/>
      <c r="JAG118" s="950"/>
      <c r="JAH118" s="950"/>
      <c r="JAI118" s="950"/>
      <c r="JAJ118" s="950"/>
      <c r="JAK118" s="950"/>
      <c r="JAL118" s="950"/>
      <c r="JAM118" s="950"/>
      <c r="JAN118" s="950"/>
      <c r="JAO118" s="950"/>
      <c r="JAP118" s="950"/>
      <c r="JAQ118" s="950"/>
      <c r="JAR118" s="950"/>
      <c r="JAS118" s="950"/>
      <c r="JAT118" s="950"/>
      <c r="JAU118" s="950"/>
      <c r="JAV118" s="950"/>
      <c r="JAW118" s="950"/>
      <c r="JAX118" s="950"/>
      <c r="JAY118" s="950"/>
      <c r="JAZ118" s="950"/>
      <c r="JBA118" s="950"/>
      <c r="JBB118" s="950"/>
      <c r="JBC118" s="950"/>
      <c r="JBD118" s="950"/>
      <c r="JBE118" s="950"/>
      <c r="JBF118" s="950"/>
      <c r="JBG118" s="950"/>
      <c r="JBH118" s="950"/>
      <c r="JBI118" s="950"/>
      <c r="JBJ118" s="950"/>
      <c r="JBK118" s="950"/>
      <c r="JBL118" s="950"/>
      <c r="JBM118" s="950"/>
      <c r="JBN118" s="950"/>
      <c r="JBO118" s="950"/>
      <c r="JBP118" s="950"/>
      <c r="JBQ118" s="950"/>
      <c r="JBR118" s="950"/>
      <c r="JBS118" s="950"/>
      <c r="JBT118" s="950"/>
      <c r="JBU118" s="950"/>
      <c r="JBV118" s="950"/>
      <c r="JBW118" s="950"/>
      <c r="JBX118" s="950"/>
      <c r="JBY118" s="950"/>
      <c r="JBZ118" s="950"/>
      <c r="JCA118" s="950"/>
      <c r="JCB118" s="950"/>
      <c r="JCC118" s="950"/>
      <c r="JCD118" s="950"/>
      <c r="JCE118" s="950"/>
      <c r="JCF118" s="950"/>
      <c r="JCG118" s="950"/>
      <c r="JCH118" s="950"/>
      <c r="JCI118" s="950"/>
      <c r="JCJ118" s="950"/>
      <c r="JCK118" s="950"/>
      <c r="JCL118" s="950"/>
      <c r="JCM118" s="950"/>
      <c r="JCN118" s="950"/>
      <c r="JCO118" s="950"/>
      <c r="JCP118" s="950"/>
      <c r="JCQ118" s="950"/>
      <c r="JCR118" s="950"/>
      <c r="JCS118" s="950"/>
      <c r="JCT118" s="950"/>
      <c r="JCU118" s="950"/>
      <c r="JCV118" s="950"/>
      <c r="JCW118" s="950"/>
      <c r="JCX118" s="950"/>
      <c r="JCY118" s="950"/>
      <c r="JCZ118" s="950"/>
      <c r="JDA118" s="950"/>
      <c r="JDB118" s="950"/>
      <c r="JDC118" s="950"/>
      <c r="JDD118" s="950"/>
      <c r="JDE118" s="950"/>
      <c r="JDF118" s="950"/>
      <c r="JDG118" s="950"/>
      <c r="JDH118" s="950"/>
      <c r="JDI118" s="950"/>
      <c r="JDJ118" s="950"/>
      <c r="JDK118" s="950"/>
      <c r="JDL118" s="950"/>
      <c r="JDM118" s="950"/>
      <c r="JDN118" s="950"/>
      <c r="JDO118" s="950"/>
      <c r="JDP118" s="950"/>
      <c r="JDQ118" s="950"/>
      <c r="JDR118" s="950"/>
      <c r="JDS118" s="950"/>
      <c r="JDT118" s="950"/>
      <c r="JDU118" s="950"/>
      <c r="JDV118" s="950"/>
      <c r="JDW118" s="950"/>
      <c r="JDX118" s="950"/>
      <c r="JDY118" s="950"/>
      <c r="JDZ118" s="950"/>
      <c r="JEA118" s="950"/>
      <c r="JEB118" s="950"/>
      <c r="JEC118" s="950"/>
      <c r="JED118" s="950"/>
      <c r="JEE118" s="950"/>
      <c r="JEF118" s="950"/>
      <c r="JEG118" s="950"/>
      <c r="JEH118" s="950"/>
      <c r="JEI118" s="950"/>
      <c r="JEJ118" s="950"/>
      <c r="JEK118" s="950"/>
      <c r="JEL118" s="950"/>
      <c r="JEM118" s="950"/>
      <c r="JEN118" s="950"/>
      <c r="JEO118" s="950"/>
      <c r="JEP118" s="950"/>
      <c r="JEQ118" s="950"/>
      <c r="JER118" s="950"/>
      <c r="JES118" s="950"/>
      <c r="JET118" s="950"/>
      <c r="JEU118" s="950"/>
      <c r="JEV118" s="950"/>
      <c r="JEW118" s="950"/>
      <c r="JEX118" s="950"/>
      <c r="JEY118" s="950"/>
      <c r="JEZ118" s="950"/>
      <c r="JFA118" s="950"/>
      <c r="JFB118" s="950"/>
      <c r="JFC118" s="950"/>
      <c r="JFD118" s="950"/>
      <c r="JFE118" s="950"/>
      <c r="JFF118" s="950"/>
      <c r="JFG118" s="950"/>
      <c r="JFH118" s="950"/>
      <c r="JFI118" s="950"/>
      <c r="JFJ118" s="950"/>
      <c r="JFK118" s="950"/>
      <c r="JFL118" s="950"/>
      <c r="JFM118" s="950"/>
      <c r="JFN118" s="950"/>
      <c r="JFO118" s="950"/>
      <c r="JFP118" s="950"/>
      <c r="JFQ118" s="950"/>
      <c r="JFR118" s="950"/>
      <c r="JFS118" s="950"/>
      <c r="JFT118" s="950"/>
      <c r="JFU118" s="950"/>
      <c r="JFV118" s="950"/>
      <c r="JFW118" s="950"/>
      <c r="JFX118" s="950"/>
      <c r="JFY118" s="950"/>
      <c r="JFZ118" s="950"/>
      <c r="JGA118" s="950"/>
      <c r="JGB118" s="950"/>
      <c r="JGC118" s="950"/>
      <c r="JGD118" s="950"/>
      <c r="JGE118" s="950"/>
      <c r="JGF118" s="950"/>
      <c r="JGG118" s="950"/>
      <c r="JGH118" s="950"/>
      <c r="JGI118" s="950"/>
      <c r="JGJ118" s="950"/>
      <c r="JGK118" s="950"/>
      <c r="JGL118" s="950"/>
      <c r="JGM118" s="950"/>
      <c r="JGN118" s="950"/>
      <c r="JGO118" s="950"/>
      <c r="JGP118" s="950"/>
      <c r="JGQ118" s="950"/>
      <c r="JGR118" s="950"/>
      <c r="JGS118" s="950"/>
      <c r="JGT118" s="950"/>
      <c r="JGU118" s="950"/>
      <c r="JGV118" s="950"/>
      <c r="JGW118" s="950"/>
      <c r="JGX118" s="950"/>
      <c r="JGY118" s="950"/>
      <c r="JGZ118" s="950"/>
      <c r="JHA118" s="950"/>
      <c r="JHB118" s="950"/>
      <c r="JHC118" s="950"/>
      <c r="JHD118" s="950"/>
      <c r="JHE118" s="950"/>
      <c r="JHF118" s="950"/>
      <c r="JHG118" s="950"/>
      <c r="JHH118" s="950"/>
      <c r="JHI118" s="950"/>
      <c r="JHJ118" s="950"/>
      <c r="JHK118" s="950"/>
      <c r="JHL118" s="950"/>
      <c r="JHM118" s="950"/>
      <c r="JHN118" s="950"/>
      <c r="JHO118" s="950"/>
      <c r="JHP118" s="950"/>
      <c r="JHQ118" s="950"/>
      <c r="JHR118" s="950"/>
      <c r="JHS118" s="950"/>
      <c r="JHT118" s="950"/>
      <c r="JHU118" s="950"/>
      <c r="JHV118" s="950"/>
      <c r="JHW118" s="950"/>
      <c r="JHX118" s="950"/>
      <c r="JHY118" s="950"/>
      <c r="JHZ118" s="950"/>
      <c r="JIA118" s="950"/>
      <c r="JIB118" s="950"/>
      <c r="JIC118" s="950"/>
      <c r="JID118" s="950"/>
      <c r="JIE118" s="950"/>
      <c r="JIF118" s="950"/>
      <c r="JIG118" s="950"/>
      <c r="JIH118" s="950"/>
      <c r="JII118" s="950"/>
      <c r="JIJ118" s="950"/>
      <c r="JIK118" s="950"/>
      <c r="JIL118" s="950"/>
      <c r="JIM118" s="950"/>
      <c r="JIN118" s="950"/>
      <c r="JIO118" s="950"/>
      <c r="JIP118" s="950"/>
      <c r="JIQ118" s="950"/>
      <c r="JIR118" s="950"/>
      <c r="JIS118" s="950"/>
      <c r="JIT118" s="950"/>
      <c r="JIU118" s="950"/>
      <c r="JIV118" s="950"/>
      <c r="JIW118" s="950"/>
      <c r="JIX118" s="950"/>
      <c r="JIY118" s="950"/>
      <c r="JIZ118" s="950"/>
      <c r="JJA118" s="950"/>
      <c r="JJB118" s="950"/>
      <c r="JJC118" s="950"/>
      <c r="JJD118" s="950"/>
      <c r="JJE118" s="950"/>
      <c r="JJF118" s="950"/>
      <c r="JJG118" s="950"/>
      <c r="JJH118" s="950"/>
      <c r="JJI118" s="950"/>
      <c r="JJJ118" s="950"/>
      <c r="JJK118" s="950"/>
      <c r="JJL118" s="950"/>
      <c r="JJM118" s="950"/>
      <c r="JJN118" s="950"/>
      <c r="JJO118" s="950"/>
      <c r="JJP118" s="950"/>
      <c r="JJQ118" s="950"/>
      <c r="JJR118" s="950"/>
      <c r="JJS118" s="950"/>
      <c r="JJT118" s="950"/>
      <c r="JJU118" s="950"/>
      <c r="JJV118" s="950"/>
      <c r="JJW118" s="950"/>
      <c r="JJX118" s="950"/>
      <c r="JJY118" s="950"/>
      <c r="JJZ118" s="950"/>
      <c r="JKA118" s="950"/>
      <c r="JKB118" s="950"/>
      <c r="JKC118" s="950"/>
      <c r="JKD118" s="950"/>
      <c r="JKE118" s="950"/>
      <c r="JKF118" s="950"/>
      <c r="JKG118" s="950"/>
      <c r="JKH118" s="950"/>
      <c r="JKI118" s="950"/>
      <c r="JKJ118" s="950"/>
      <c r="JKK118" s="950"/>
      <c r="JKL118" s="950"/>
      <c r="JKM118" s="950"/>
      <c r="JKN118" s="950"/>
      <c r="JKO118" s="950"/>
      <c r="JKP118" s="950"/>
      <c r="JKQ118" s="950"/>
      <c r="JKR118" s="950"/>
      <c r="JKS118" s="950"/>
      <c r="JKT118" s="950"/>
      <c r="JKU118" s="950"/>
      <c r="JKV118" s="950"/>
      <c r="JKW118" s="950"/>
      <c r="JKX118" s="950"/>
      <c r="JKY118" s="950"/>
      <c r="JKZ118" s="950"/>
      <c r="JLA118" s="950"/>
      <c r="JLB118" s="950"/>
      <c r="JLC118" s="950"/>
      <c r="JLD118" s="950"/>
      <c r="JLE118" s="950"/>
      <c r="JLF118" s="950"/>
      <c r="JLG118" s="950"/>
      <c r="JLH118" s="950"/>
      <c r="JLI118" s="950"/>
      <c r="JLJ118" s="950"/>
      <c r="JLK118" s="950"/>
      <c r="JLL118" s="950"/>
      <c r="JLM118" s="950"/>
      <c r="JLN118" s="950"/>
      <c r="JLO118" s="950"/>
      <c r="JLP118" s="950"/>
      <c r="JLQ118" s="950"/>
      <c r="JLR118" s="950"/>
      <c r="JLS118" s="950"/>
      <c r="JLT118" s="950"/>
      <c r="JLU118" s="950"/>
      <c r="JLV118" s="950"/>
      <c r="JLW118" s="950"/>
      <c r="JLX118" s="950"/>
      <c r="JLY118" s="950"/>
      <c r="JLZ118" s="950"/>
      <c r="JMA118" s="950"/>
      <c r="JMB118" s="950"/>
      <c r="JMC118" s="950"/>
      <c r="JMD118" s="950"/>
      <c r="JME118" s="950"/>
      <c r="JMF118" s="950"/>
      <c r="JMG118" s="950"/>
      <c r="JMH118" s="950"/>
      <c r="JMI118" s="950"/>
      <c r="JMJ118" s="950"/>
      <c r="JMK118" s="950"/>
      <c r="JML118" s="950"/>
      <c r="JMM118" s="950"/>
      <c r="JMN118" s="950"/>
      <c r="JMO118" s="950"/>
      <c r="JMP118" s="950"/>
      <c r="JMQ118" s="950"/>
      <c r="JMR118" s="950"/>
      <c r="JMS118" s="950"/>
      <c r="JMT118" s="950"/>
      <c r="JMU118" s="950"/>
      <c r="JMV118" s="950"/>
      <c r="JMW118" s="950"/>
      <c r="JMX118" s="950"/>
      <c r="JMY118" s="950"/>
      <c r="JMZ118" s="950"/>
      <c r="JNA118" s="950"/>
      <c r="JNB118" s="950"/>
      <c r="JNC118" s="950"/>
      <c r="JND118" s="950"/>
      <c r="JNE118" s="950"/>
      <c r="JNF118" s="950"/>
      <c r="JNG118" s="950"/>
      <c r="JNH118" s="950"/>
      <c r="JNI118" s="950"/>
      <c r="JNJ118" s="950"/>
      <c r="JNK118" s="950"/>
      <c r="JNL118" s="950"/>
      <c r="JNM118" s="950"/>
      <c r="JNN118" s="950"/>
      <c r="JNO118" s="950"/>
      <c r="JNP118" s="950"/>
      <c r="JNQ118" s="950"/>
      <c r="JNR118" s="950"/>
      <c r="JNS118" s="950"/>
      <c r="JNT118" s="950"/>
      <c r="JNU118" s="950"/>
      <c r="JNV118" s="950"/>
      <c r="JNW118" s="950"/>
      <c r="JNX118" s="950"/>
      <c r="JNY118" s="950"/>
      <c r="JNZ118" s="950"/>
      <c r="JOA118" s="950"/>
      <c r="JOB118" s="950"/>
      <c r="JOC118" s="950"/>
      <c r="JOD118" s="950"/>
      <c r="JOE118" s="950"/>
      <c r="JOF118" s="950"/>
      <c r="JOG118" s="950"/>
      <c r="JOH118" s="950"/>
      <c r="JOI118" s="950"/>
      <c r="JOJ118" s="950"/>
      <c r="JOK118" s="950"/>
      <c r="JOL118" s="950"/>
      <c r="JOM118" s="950"/>
      <c r="JON118" s="950"/>
      <c r="JOO118" s="950"/>
      <c r="JOP118" s="950"/>
      <c r="JOQ118" s="950"/>
      <c r="JOR118" s="950"/>
      <c r="JOS118" s="950"/>
      <c r="JOT118" s="950"/>
      <c r="JOU118" s="950"/>
      <c r="JOV118" s="950"/>
      <c r="JOW118" s="950"/>
      <c r="JOX118" s="950"/>
      <c r="JOY118" s="950"/>
      <c r="JOZ118" s="950"/>
      <c r="JPA118" s="950"/>
      <c r="JPB118" s="950"/>
      <c r="JPC118" s="950"/>
      <c r="JPD118" s="950"/>
      <c r="JPE118" s="950"/>
      <c r="JPF118" s="950"/>
      <c r="JPG118" s="950"/>
      <c r="JPH118" s="950"/>
      <c r="JPI118" s="950"/>
      <c r="JPJ118" s="950"/>
      <c r="JPK118" s="950"/>
      <c r="JPL118" s="950"/>
      <c r="JPM118" s="950"/>
      <c r="JPN118" s="950"/>
      <c r="JPO118" s="950"/>
      <c r="JPP118" s="950"/>
      <c r="JPQ118" s="950"/>
      <c r="JPR118" s="950"/>
      <c r="JPS118" s="950"/>
      <c r="JPT118" s="950"/>
      <c r="JPU118" s="950"/>
      <c r="JPV118" s="950"/>
      <c r="JPW118" s="950"/>
      <c r="JPX118" s="950"/>
      <c r="JPY118" s="950"/>
      <c r="JPZ118" s="950"/>
      <c r="JQA118" s="950"/>
      <c r="JQB118" s="950"/>
      <c r="JQC118" s="950"/>
      <c r="JQD118" s="950"/>
      <c r="JQE118" s="950"/>
      <c r="JQF118" s="950"/>
      <c r="JQG118" s="950"/>
      <c r="JQH118" s="950"/>
      <c r="JQI118" s="950"/>
      <c r="JQJ118" s="950"/>
      <c r="JQK118" s="950"/>
      <c r="JQL118" s="950"/>
      <c r="JQM118" s="950"/>
      <c r="JQN118" s="950"/>
      <c r="JQO118" s="950"/>
      <c r="JQP118" s="950"/>
      <c r="JQQ118" s="950"/>
      <c r="JQR118" s="950"/>
      <c r="JQS118" s="950"/>
      <c r="JQT118" s="950"/>
      <c r="JQU118" s="950"/>
      <c r="JQV118" s="950"/>
      <c r="JQW118" s="950"/>
      <c r="JQX118" s="950"/>
      <c r="JQY118" s="950"/>
      <c r="JQZ118" s="950"/>
      <c r="JRA118" s="950"/>
      <c r="JRB118" s="950"/>
      <c r="JRC118" s="950"/>
      <c r="JRD118" s="950"/>
      <c r="JRE118" s="950"/>
      <c r="JRF118" s="950"/>
      <c r="JRG118" s="950"/>
      <c r="JRH118" s="950"/>
      <c r="JRI118" s="950"/>
      <c r="JRJ118" s="950"/>
      <c r="JRK118" s="950"/>
      <c r="JRL118" s="950"/>
      <c r="JRM118" s="950"/>
      <c r="JRN118" s="950"/>
      <c r="JRO118" s="950"/>
      <c r="JRP118" s="950"/>
      <c r="JRQ118" s="950"/>
      <c r="JRR118" s="950"/>
      <c r="JRS118" s="950"/>
      <c r="JRT118" s="950"/>
      <c r="JRU118" s="950"/>
      <c r="JRV118" s="950"/>
      <c r="JRW118" s="950"/>
      <c r="JRX118" s="950"/>
      <c r="JRY118" s="950"/>
      <c r="JRZ118" s="950"/>
      <c r="JSA118" s="950"/>
      <c r="JSB118" s="950"/>
      <c r="JSC118" s="950"/>
      <c r="JSD118" s="950"/>
      <c r="JSE118" s="950"/>
      <c r="JSF118" s="950"/>
      <c r="JSG118" s="950"/>
      <c r="JSH118" s="950"/>
      <c r="JSI118" s="950"/>
      <c r="JSJ118" s="950"/>
      <c r="JSK118" s="950"/>
      <c r="JSL118" s="950"/>
      <c r="JSM118" s="950"/>
      <c r="JSN118" s="950"/>
      <c r="JSO118" s="950"/>
      <c r="JSP118" s="950"/>
      <c r="JSQ118" s="950"/>
      <c r="JSR118" s="950"/>
      <c r="JSS118" s="950"/>
      <c r="JST118" s="950"/>
      <c r="JSU118" s="950"/>
      <c r="JSV118" s="950"/>
      <c r="JSW118" s="950"/>
      <c r="JSX118" s="950"/>
      <c r="JSY118" s="950"/>
      <c r="JSZ118" s="950"/>
      <c r="JTA118" s="950"/>
      <c r="JTB118" s="950"/>
      <c r="JTC118" s="950"/>
      <c r="JTD118" s="950"/>
      <c r="JTE118" s="950"/>
      <c r="JTF118" s="950"/>
      <c r="JTG118" s="950"/>
      <c r="JTH118" s="950"/>
      <c r="JTI118" s="950"/>
      <c r="JTJ118" s="950"/>
      <c r="JTK118" s="950"/>
      <c r="JTL118" s="950"/>
      <c r="JTM118" s="950"/>
      <c r="JTN118" s="950"/>
      <c r="JTO118" s="950"/>
      <c r="JTP118" s="950"/>
      <c r="JTQ118" s="950"/>
      <c r="JTR118" s="950"/>
      <c r="JTS118" s="950"/>
      <c r="JTT118" s="950"/>
      <c r="JTU118" s="950"/>
      <c r="JTV118" s="950"/>
      <c r="JTW118" s="950"/>
      <c r="JTX118" s="950"/>
      <c r="JTY118" s="950"/>
      <c r="JTZ118" s="950"/>
      <c r="JUA118" s="950"/>
      <c r="JUB118" s="950"/>
      <c r="JUC118" s="950"/>
      <c r="JUD118" s="950"/>
      <c r="JUE118" s="950"/>
      <c r="JUF118" s="950"/>
      <c r="JUG118" s="950"/>
      <c r="JUH118" s="950"/>
      <c r="JUI118" s="950"/>
      <c r="JUJ118" s="950"/>
      <c r="JUK118" s="950"/>
      <c r="JUL118" s="950"/>
      <c r="JUM118" s="950"/>
      <c r="JUN118" s="950"/>
      <c r="JUO118" s="950"/>
      <c r="JUP118" s="950"/>
      <c r="JUQ118" s="950"/>
      <c r="JUR118" s="950"/>
      <c r="JUS118" s="950"/>
      <c r="JUT118" s="950"/>
      <c r="JUU118" s="950"/>
      <c r="JUV118" s="950"/>
      <c r="JUW118" s="950"/>
      <c r="JUX118" s="950"/>
      <c r="JUY118" s="950"/>
      <c r="JUZ118" s="950"/>
      <c r="JVA118" s="950"/>
      <c r="JVB118" s="950"/>
      <c r="JVC118" s="950"/>
      <c r="JVD118" s="950"/>
      <c r="JVE118" s="950"/>
      <c r="JVF118" s="950"/>
      <c r="JVG118" s="950"/>
      <c r="JVH118" s="950"/>
      <c r="JVI118" s="950"/>
      <c r="JVJ118" s="950"/>
      <c r="JVK118" s="950"/>
      <c r="JVL118" s="950"/>
      <c r="JVM118" s="950"/>
      <c r="JVN118" s="950"/>
      <c r="JVO118" s="950"/>
      <c r="JVP118" s="950"/>
      <c r="JVQ118" s="950"/>
      <c r="JVR118" s="950"/>
      <c r="JVS118" s="950"/>
      <c r="JVT118" s="950"/>
      <c r="JVU118" s="950"/>
      <c r="JVV118" s="950"/>
      <c r="JVW118" s="950"/>
      <c r="JVX118" s="950"/>
      <c r="JVY118" s="950"/>
      <c r="JVZ118" s="950"/>
      <c r="JWA118" s="950"/>
      <c r="JWB118" s="950"/>
      <c r="JWC118" s="950"/>
      <c r="JWD118" s="950"/>
      <c r="JWE118" s="950"/>
      <c r="JWF118" s="950"/>
      <c r="JWG118" s="950"/>
      <c r="JWH118" s="950"/>
      <c r="JWI118" s="950"/>
      <c r="JWJ118" s="950"/>
      <c r="JWK118" s="950"/>
      <c r="JWL118" s="950"/>
      <c r="JWM118" s="950"/>
      <c r="JWN118" s="950"/>
      <c r="JWO118" s="950"/>
      <c r="JWP118" s="950"/>
      <c r="JWQ118" s="950"/>
      <c r="JWR118" s="950"/>
      <c r="JWS118" s="950"/>
      <c r="JWT118" s="950"/>
      <c r="JWU118" s="950"/>
      <c r="JWV118" s="950"/>
      <c r="JWW118" s="950"/>
      <c r="JWX118" s="950"/>
      <c r="JWY118" s="950"/>
      <c r="JWZ118" s="950"/>
      <c r="JXA118" s="950"/>
      <c r="JXB118" s="950"/>
      <c r="JXC118" s="950"/>
      <c r="JXD118" s="950"/>
      <c r="JXE118" s="950"/>
      <c r="JXF118" s="950"/>
      <c r="JXG118" s="950"/>
      <c r="JXH118" s="950"/>
      <c r="JXI118" s="950"/>
      <c r="JXJ118" s="950"/>
      <c r="JXK118" s="950"/>
      <c r="JXL118" s="950"/>
      <c r="JXM118" s="950"/>
      <c r="JXN118" s="950"/>
      <c r="JXO118" s="950"/>
      <c r="JXP118" s="950"/>
      <c r="JXQ118" s="950"/>
      <c r="JXR118" s="950"/>
      <c r="JXS118" s="950"/>
      <c r="JXT118" s="950"/>
      <c r="JXU118" s="950"/>
      <c r="JXV118" s="950"/>
      <c r="JXW118" s="950"/>
      <c r="JXX118" s="950"/>
      <c r="JXY118" s="950"/>
      <c r="JXZ118" s="950"/>
      <c r="JYA118" s="950"/>
      <c r="JYB118" s="950"/>
      <c r="JYC118" s="950"/>
      <c r="JYD118" s="950"/>
      <c r="JYE118" s="950"/>
      <c r="JYF118" s="950"/>
      <c r="JYG118" s="950"/>
      <c r="JYH118" s="950"/>
      <c r="JYI118" s="950"/>
      <c r="JYJ118" s="950"/>
      <c r="JYK118" s="950"/>
      <c r="JYL118" s="950"/>
      <c r="JYM118" s="950"/>
      <c r="JYN118" s="950"/>
      <c r="JYO118" s="950"/>
      <c r="JYP118" s="950"/>
      <c r="JYQ118" s="950"/>
      <c r="JYR118" s="950"/>
      <c r="JYS118" s="950"/>
      <c r="JYT118" s="950"/>
      <c r="JYU118" s="950"/>
      <c r="JYV118" s="950"/>
      <c r="JYW118" s="950"/>
      <c r="JYX118" s="950"/>
      <c r="JYY118" s="950"/>
      <c r="JYZ118" s="950"/>
      <c r="JZA118" s="950"/>
      <c r="JZB118" s="950"/>
      <c r="JZC118" s="950"/>
      <c r="JZD118" s="950"/>
      <c r="JZE118" s="950"/>
      <c r="JZF118" s="950"/>
      <c r="JZG118" s="950"/>
      <c r="JZH118" s="950"/>
      <c r="JZI118" s="950"/>
      <c r="JZJ118" s="950"/>
      <c r="JZK118" s="950"/>
      <c r="JZL118" s="950"/>
      <c r="JZM118" s="950"/>
      <c r="JZN118" s="950"/>
      <c r="JZO118" s="950"/>
      <c r="JZP118" s="950"/>
      <c r="JZQ118" s="950"/>
      <c r="JZR118" s="950"/>
      <c r="JZS118" s="950"/>
      <c r="JZT118" s="950"/>
      <c r="JZU118" s="950"/>
      <c r="JZV118" s="950"/>
      <c r="JZW118" s="950"/>
      <c r="JZX118" s="950"/>
      <c r="JZY118" s="950"/>
      <c r="JZZ118" s="950"/>
      <c r="KAA118" s="950"/>
      <c r="KAB118" s="950"/>
      <c r="KAC118" s="950"/>
      <c r="KAD118" s="950"/>
      <c r="KAE118" s="950"/>
      <c r="KAF118" s="950"/>
      <c r="KAG118" s="950"/>
      <c r="KAH118" s="950"/>
      <c r="KAI118" s="950"/>
      <c r="KAJ118" s="950"/>
      <c r="KAK118" s="950"/>
      <c r="KAL118" s="950"/>
      <c r="KAM118" s="950"/>
      <c r="KAN118" s="950"/>
      <c r="KAO118" s="950"/>
      <c r="KAP118" s="950"/>
      <c r="KAQ118" s="950"/>
      <c r="KAR118" s="950"/>
      <c r="KAS118" s="950"/>
      <c r="KAT118" s="950"/>
      <c r="KAU118" s="950"/>
      <c r="KAV118" s="950"/>
      <c r="KAW118" s="950"/>
      <c r="KAX118" s="950"/>
      <c r="KAY118" s="950"/>
      <c r="KAZ118" s="950"/>
      <c r="KBA118" s="950"/>
      <c r="KBB118" s="950"/>
      <c r="KBC118" s="950"/>
      <c r="KBD118" s="950"/>
      <c r="KBE118" s="950"/>
      <c r="KBF118" s="950"/>
      <c r="KBG118" s="950"/>
      <c r="KBH118" s="950"/>
      <c r="KBI118" s="950"/>
      <c r="KBJ118" s="950"/>
      <c r="KBK118" s="950"/>
      <c r="KBL118" s="950"/>
      <c r="KBM118" s="950"/>
      <c r="KBN118" s="950"/>
      <c r="KBO118" s="950"/>
      <c r="KBP118" s="950"/>
      <c r="KBQ118" s="950"/>
      <c r="KBR118" s="950"/>
      <c r="KBS118" s="950"/>
      <c r="KBT118" s="950"/>
      <c r="KBU118" s="950"/>
      <c r="KBV118" s="950"/>
      <c r="KBW118" s="950"/>
      <c r="KBX118" s="950"/>
      <c r="KBY118" s="950"/>
      <c r="KBZ118" s="950"/>
      <c r="KCA118" s="950"/>
      <c r="KCB118" s="950"/>
      <c r="KCC118" s="950"/>
      <c r="KCD118" s="950"/>
      <c r="KCE118" s="950"/>
      <c r="KCF118" s="950"/>
      <c r="KCG118" s="950"/>
      <c r="KCH118" s="950"/>
      <c r="KCI118" s="950"/>
      <c r="KCJ118" s="950"/>
      <c r="KCK118" s="950"/>
      <c r="KCL118" s="950"/>
      <c r="KCM118" s="950"/>
      <c r="KCN118" s="950"/>
      <c r="KCO118" s="950"/>
      <c r="KCP118" s="950"/>
      <c r="KCQ118" s="950"/>
      <c r="KCR118" s="950"/>
      <c r="KCS118" s="950"/>
      <c r="KCT118" s="950"/>
      <c r="KCU118" s="950"/>
      <c r="KCV118" s="950"/>
      <c r="KCW118" s="950"/>
      <c r="KCX118" s="950"/>
      <c r="KCY118" s="950"/>
      <c r="KCZ118" s="950"/>
      <c r="KDA118" s="950"/>
      <c r="KDB118" s="950"/>
      <c r="KDC118" s="950"/>
      <c r="KDD118" s="950"/>
      <c r="KDE118" s="950"/>
      <c r="KDF118" s="950"/>
      <c r="KDG118" s="950"/>
      <c r="KDH118" s="950"/>
      <c r="KDI118" s="950"/>
      <c r="KDJ118" s="950"/>
      <c r="KDK118" s="950"/>
      <c r="KDL118" s="950"/>
      <c r="KDM118" s="950"/>
      <c r="KDN118" s="950"/>
      <c r="KDO118" s="950"/>
      <c r="KDP118" s="950"/>
      <c r="KDQ118" s="950"/>
      <c r="KDR118" s="950"/>
      <c r="KDS118" s="950"/>
      <c r="KDT118" s="950"/>
      <c r="KDU118" s="950"/>
      <c r="KDV118" s="950"/>
      <c r="KDW118" s="950"/>
      <c r="KDX118" s="950"/>
      <c r="KDY118" s="950"/>
      <c r="KDZ118" s="950"/>
      <c r="KEA118" s="950"/>
      <c r="KEB118" s="950"/>
      <c r="KEC118" s="950"/>
      <c r="KED118" s="950"/>
      <c r="KEE118" s="950"/>
      <c r="KEF118" s="950"/>
      <c r="KEG118" s="950"/>
      <c r="KEH118" s="950"/>
      <c r="KEI118" s="950"/>
      <c r="KEJ118" s="950"/>
      <c r="KEK118" s="950"/>
      <c r="KEL118" s="950"/>
      <c r="KEM118" s="950"/>
      <c r="KEN118" s="950"/>
      <c r="KEO118" s="950"/>
      <c r="KEP118" s="950"/>
      <c r="KEQ118" s="950"/>
      <c r="KER118" s="950"/>
      <c r="KES118" s="950"/>
      <c r="KET118" s="950"/>
      <c r="KEU118" s="950"/>
      <c r="KEV118" s="950"/>
      <c r="KEW118" s="950"/>
      <c r="KEX118" s="950"/>
      <c r="KEY118" s="950"/>
      <c r="KEZ118" s="950"/>
      <c r="KFA118" s="950"/>
      <c r="KFB118" s="950"/>
      <c r="KFC118" s="950"/>
      <c r="KFD118" s="950"/>
      <c r="KFE118" s="950"/>
      <c r="KFF118" s="950"/>
      <c r="KFG118" s="950"/>
      <c r="KFH118" s="950"/>
      <c r="KFI118" s="950"/>
      <c r="KFJ118" s="950"/>
      <c r="KFK118" s="950"/>
      <c r="KFL118" s="950"/>
      <c r="KFM118" s="950"/>
      <c r="KFN118" s="950"/>
      <c r="KFO118" s="950"/>
      <c r="KFP118" s="950"/>
      <c r="KFQ118" s="950"/>
      <c r="KFR118" s="950"/>
      <c r="KFS118" s="950"/>
      <c r="KFT118" s="950"/>
      <c r="KFU118" s="950"/>
      <c r="KFV118" s="950"/>
      <c r="KFW118" s="950"/>
      <c r="KFX118" s="950"/>
      <c r="KFY118" s="950"/>
      <c r="KFZ118" s="950"/>
      <c r="KGA118" s="950"/>
      <c r="KGB118" s="950"/>
      <c r="KGC118" s="950"/>
      <c r="KGD118" s="950"/>
      <c r="KGE118" s="950"/>
      <c r="KGF118" s="950"/>
      <c r="KGG118" s="950"/>
      <c r="KGH118" s="950"/>
      <c r="KGI118" s="950"/>
      <c r="KGJ118" s="950"/>
      <c r="KGK118" s="950"/>
      <c r="KGL118" s="950"/>
      <c r="KGM118" s="950"/>
      <c r="KGN118" s="950"/>
      <c r="KGO118" s="950"/>
      <c r="KGP118" s="950"/>
      <c r="KGQ118" s="950"/>
      <c r="KGR118" s="950"/>
      <c r="KGS118" s="950"/>
      <c r="KGT118" s="950"/>
      <c r="KGU118" s="950"/>
      <c r="KGV118" s="950"/>
      <c r="KGW118" s="950"/>
      <c r="KGX118" s="950"/>
      <c r="KGY118" s="950"/>
      <c r="KGZ118" s="950"/>
      <c r="KHA118" s="950"/>
      <c r="KHB118" s="950"/>
      <c r="KHC118" s="950"/>
      <c r="KHD118" s="950"/>
      <c r="KHE118" s="950"/>
      <c r="KHF118" s="950"/>
      <c r="KHG118" s="950"/>
      <c r="KHH118" s="950"/>
      <c r="KHI118" s="950"/>
      <c r="KHJ118" s="950"/>
      <c r="KHK118" s="950"/>
      <c r="KHL118" s="950"/>
      <c r="KHM118" s="950"/>
      <c r="KHN118" s="950"/>
      <c r="KHO118" s="950"/>
      <c r="KHP118" s="950"/>
      <c r="KHQ118" s="950"/>
      <c r="KHR118" s="950"/>
      <c r="KHS118" s="950"/>
      <c r="KHT118" s="950"/>
      <c r="KHU118" s="950"/>
      <c r="KHV118" s="950"/>
      <c r="KHW118" s="950"/>
      <c r="KHX118" s="950"/>
      <c r="KHY118" s="950"/>
      <c r="KHZ118" s="950"/>
      <c r="KIA118" s="950"/>
      <c r="KIB118" s="950"/>
      <c r="KIC118" s="950"/>
      <c r="KID118" s="950"/>
      <c r="KIE118" s="950"/>
      <c r="KIF118" s="950"/>
      <c r="KIG118" s="950"/>
      <c r="KIH118" s="950"/>
      <c r="KII118" s="950"/>
      <c r="KIJ118" s="950"/>
      <c r="KIK118" s="950"/>
      <c r="KIL118" s="950"/>
      <c r="KIM118" s="950"/>
      <c r="KIN118" s="950"/>
      <c r="KIO118" s="950"/>
      <c r="KIP118" s="950"/>
      <c r="KIQ118" s="950"/>
      <c r="KIR118" s="950"/>
      <c r="KIS118" s="950"/>
      <c r="KIT118" s="950"/>
      <c r="KIU118" s="950"/>
      <c r="KIV118" s="950"/>
      <c r="KIW118" s="950"/>
      <c r="KIX118" s="950"/>
      <c r="KIY118" s="950"/>
      <c r="KIZ118" s="950"/>
      <c r="KJA118" s="950"/>
      <c r="KJB118" s="950"/>
      <c r="KJC118" s="950"/>
      <c r="KJD118" s="950"/>
      <c r="KJE118" s="950"/>
      <c r="KJF118" s="950"/>
      <c r="KJG118" s="950"/>
      <c r="KJH118" s="950"/>
      <c r="KJI118" s="950"/>
      <c r="KJJ118" s="950"/>
      <c r="KJK118" s="950"/>
      <c r="KJL118" s="950"/>
      <c r="KJM118" s="950"/>
      <c r="KJN118" s="950"/>
      <c r="KJO118" s="950"/>
      <c r="KJP118" s="950"/>
      <c r="KJQ118" s="950"/>
      <c r="KJR118" s="950"/>
      <c r="KJS118" s="950"/>
      <c r="KJT118" s="950"/>
      <c r="KJU118" s="950"/>
      <c r="KJV118" s="950"/>
      <c r="KJW118" s="950"/>
      <c r="KJX118" s="950"/>
      <c r="KJY118" s="950"/>
      <c r="KJZ118" s="950"/>
      <c r="KKA118" s="950"/>
      <c r="KKB118" s="950"/>
      <c r="KKC118" s="950"/>
      <c r="KKD118" s="950"/>
      <c r="KKE118" s="950"/>
      <c r="KKF118" s="950"/>
      <c r="KKG118" s="950"/>
      <c r="KKH118" s="950"/>
      <c r="KKI118" s="950"/>
      <c r="KKJ118" s="950"/>
      <c r="KKK118" s="950"/>
      <c r="KKL118" s="950"/>
      <c r="KKM118" s="950"/>
      <c r="KKN118" s="950"/>
      <c r="KKO118" s="950"/>
      <c r="KKP118" s="950"/>
      <c r="KKQ118" s="950"/>
      <c r="KKR118" s="950"/>
      <c r="KKS118" s="950"/>
      <c r="KKT118" s="950"/>
      <c r="KKU118" s="950"/>
      <c r="KKV118" s="950"/>
      <c r="KKW118" s="950"/>
      <c r="KKX118" s="950"/>
      <c r="KKY118" s="950"/>
      <c r="KKZ118" s="950"/>
      <c r="KLA118" s="950"/>
      <c r="KLB118" s="950"/>
      <c r="KLC118" s="950"/>
      <c r="KLD118" s="950"/>
      <c r="KLE118" s="950"/>
      <c r="KLF118" s="950"/>
      <c r="KLG118" s="950"/>
      <c r="KLH118" s="950"/>
      <c r="KLI118" s="950"/>
      <c r="KLJ118" s="950"/>
      <c r="KLK118" s="950"/>
      <c r="KLL118" s="950"/>
      <c r="KLM118" s="950"/>
      <c r="KLN118" s="950"/>
      <c r="KLO118" s="950"/>
      <c r="KLP118" s="950"/>
      <c r="KLQ118" s="950"/>
      <c r="KLR118" s="950"/>
      <c r="KLS118" s="950"/>
      <c r="KLT118" s="950"/>
      <c r="KLU118" s="950"/>
      <c r="KLV118" s="950"/>
      <c r="KLW118" s="950"/>
      <c r="KLX118" s="950"/>
      <c r="KLY118" s="950"/>
      <c r="KLZ118" s="950"/>
      <c r="KMA118" s="950"/>
      <c r="KMB118" s="950"/>
      <c r="KMC118" s="950"/>
      <c r="KMD118" s="950"/>
      <c r="KME118" s="950"/>
      <c r="KMF118" s="950"/>
      <c r="KMG118" s="950"/>
      <c r="KMH118" s="950"/>
      <c r="KMI118" s="950"/>
      <c r="KMJ118" s="950"/>
      <c r="KMK118" s="950"/>
      <c r="KML118" s="950"/>
      <c r="KMM118" s="950"/>
      <c r="KMN118" s="950"/>
      <c r="KMO118" s="950"/>
      <c r="KMP118" s="950"/>
      <c r="KMQ118" s="950"/>
      <c r="KMR118" s="950"/>
      <c r="KMS118" s="950"/>
      <c r="KMT118" s="950"/>
      <c r="KMU118" s="950"/>
      <c r="KMV118" s="950"/>
      <c r="KMW118" s="950"/>
      <c r="KMX118" s="950"/>
      <c r="KMY118" s="950"/>
      <c r="KMZ118" s="950"/>
      <c r="KNA118" s="950"/>
      <c r="KNB118" s="950"/>
      <c r="KNC118" s="950"/>
      <c r="KND118" s="950"/>
      <c r="KNE118" s="950"/>
      <c r="KNF118" s="950"/>
      <c r="KNG118" s="950"/>
      <c r="KNH118" s="950"/>
      <c r="KNI118" s="950"/>
      <c r="KNJ118" s="950"/>
      <c r="KNK118" s="950"/>
      <c r="KNL118" s="950"/>
      <c r="KNM118" s="950"/>
      <c r="KNN118" s="950"/>
      <c r="KNO118" s="950"/>
      <c r="KNP118" s="950"/>
      <c r="KNQ118" s="950"/>
      <c r="KNR118" s="950"/>
      <c r="KNS118" s="950"/>
      <c r="KNT118" s="950"/>
      <c r="KNU118" s="950"/>
      <c r="KNV118" s="950"/>
      <c r="KNW118" s="950"/>
      <c r="KNX118" s="950"/>
      <c r="KNY118" s="950"/>
      <c r="KNZ118" s="950"/>
      <c r="KOA118" s="950"/>
      <c r="KOB118" s="950"/>
      <c r="KOC118" s="950"/>
      <c r="KOD118" s="950"/>
      <c r="KOE118" s="950"/>
      <c r="KOF118" s="950"/>
      <c r="KOG118" s="950"/>
      <c r="KOH118" s="950"/>
      <c r="KOI118" s="950"/>
      <c r="KOJ118" s="950"/>
      <c r="KOK118" s="950"/>
      <c r="KOL118" s="950"/>
      <c r="KOM118" s="950"/>
      <c r="KON118" s="950"/>
      <c r="KOO118" s="950"/>
      <c r="KOP118" s="950"/>
      <c r="KOQ118" s="950"/>
      <c r="KOR118" s="950"/>
      <c r="KOS118" s="950"/>
      <c r="KOT118" s="950"/>
      <c r="KOU118" s="950"/>
      <c r="KOV118" s="950"/>
      <c r="KOW118" s="950"/>
      <c r="KOX118" s="950"/>
      <c r="KOY118" s="950"/>
      <c r="KOZ118" s="950"/>
      <c r="KPA118" s="950"/>
      <c r="KPB118" s="950"/>
      <c r="KPC118" s="950"/>
      <c r="KPD118" s="950"/>
      <c r="KPE118" s="950"/>
      <c r="KPF118" s="950"/>
      <c r="KPG118" s="950"/>
      <c r="KPH118" s="950"/>
      <c r="KPI118" s="950"/>
      <c r="KPJ118" s="950"/>
      <c r="KPK118" s="950"/>
      <c r="KPL118" s="950"/>
      <c r="KPM118" s="950"/>
      <c r="KPN118" s="950"/>
      <c r="KPO118" s="950"/>
      <c r="KPP118" s="950"/>
      <c r="KPQ118" s="950"/>
      <c r="KPR118" s="950"/>
      <c r="KPS118" s="950"/>
      <c r="KPT118" s="950"/>
      <c r="KPU118" s="950"/>
      <c r="KPV118" s="950"/>
      <c r="KPW118" s="950"/>
      <c r="KPX118" s="950"/>
      <c r="KPY118" s="950"/>
      <c r="KPZ118" s="950"/>
      <c r="KQA118" s="950"/>
      <c r="KQB118" s="950"/>
      <c r="KQC118" s="950"/>
      <c r="KQD118" s="950"/>
      <c r="KQE118" s="950"/>
      <c r="KQF118" s="950"/>
      <c r="KQG118" s="950"/>
      <c r="KQH118" s="950"/>
      <c r="KQI118" s="950"/>
      <c r="KQJ118" s="950"/>
      <c r="KQK118" s="950"/>
      <c r="KQL118" s="950"/>
      <c r="KQM118" s="950"/>
      <c r="KQN118" s="950"/>
      <c r="KQO118" s="950"/>
      <c r="KQP118" s="950"/>
      <c r="KQQ118" s="950"/>
      <c r="KQR118" s="950"/>
      <c r="KQS118" s="950"/>
      <c r="KQT118" s="950"/>
      <c r="KQU118" s="950"/>
      <c r="KQV118" s="950"/>
      <c r="KQW118" s="950"/>
      <c r="KQX118" s="950"/>
      <c r="KQY118" s="950"/>
      <c r="KQZ118" s="950"/>
      <c r="KRA118" s="950"/>
      <c r="KRB118" s="950"/>
      <c r="KRC118" s="950"/>
      <c r="KRD118" s="950"/>
      <c r="KRE118" s="950"/>
      <c r="KRF118" s="950"/>
      <c r="KRG118" s="950"/>
      <c r="KRH118" s="950"/>
      <c r="KRI118" s="950"/>
      <c r="KRJ118" s="950"/>
      <c r="KRK118" s="950"/>
      <c r="KRL118" s="950"/>
      <c r="KRM118" s="950"/>
      <c r="KRN118" s="950"/>
      <c r="KRO118" s="950"/>
      <c r="KRP118" s="950"/>
      <c r="KRQ118" s="950"/>
      <c r="KRR118" s="950"/>
      <c r="KRS118" s="950"/>
      <c r="KRT118" s="950"/>
      <c r="KRU118" s="950"/>
      <c r="KRV118" s="950"/>
      <c r="KRW118" s="950"/>
      <c r="KRX118" s="950"/>
      <c r="KRY118" s="950"/>
      <c r="KRZ118" s="950"/>
      <c r="KSA118" s="950"/>
      <c r="KSB118" s="950"/>
      <c r="KSC118" s="950"/>
      <c r="KSD118" s="950"/>
      <c r="KSE118" s="950"/>
      <c r="KSF118" s="950"/>
      <c r="KSG118" s="950"/>
      <c r="KSH118" s="950"/>
      <c r="KSI118" s="950"/>
      <c r="KSJ118" s="950"/>
      <c r="KSK118" s="950"/>
      <c r="KSL118" s="950"/>
      <c r="KSM118" s="950"/>
      <c r="KSN118" s="950"/>
      <c r="KSO118" s="950"/>
      <c r="KSP118" s="950"/>
      <c r="KSQ118" s="950"/>
      <c r="KSR118" s="950"/>
      <c r="KSS118" s="950"/>
      <c r="KST118" s="950"/>
      <c r="KSU118" s="950"/>
      <c r="KSV118" s="950"/>
      <c r="KSW118" s="950"/>
      <c r="KSX118" s="950"/>
      <c r="KSY118" s="950"/>
      <c r="KSZ118" s="950"/>
      <c r="KTA118" s="950"/>
      <c r="KTB118" s="950"/>
      <c r="KTC118" s="950"/>
      <c r="KTD118" s="950"/>
      <c r="KTE118" s="950"/>
      <c r="KTF118" s="950"/>
      <c r="KTG118" s="950"/>
      <c r="KTH118" s="950"/>
      <c r="KTI118" s="950"/>
      <c r="KTJ118" s="950"/>
      <c r="KTK118" s="950"/>
      <c r="KTL118" s="950"/>
      <c r="KTM118" s="950"/>
      <c r="KTN118" s="950"/>
      <c r="KTO118" s="950"/>
      <c r="KTP118" s="950"/>
      <c r="KTQ118" s="950"/>
      <c r="KTR118" s="950"/>
      <c r="KTS118" s="950"/>
      <c r="KTT118" s="950"/>
      <c r="KTU118" s="950"/>
      <c r="KTV118" s="950"/>
      <c r="KTW118" s="950"/>
      <c r="KTX118" s="950"/>
      <c r="KTY118" s="950"/>
      <c r="KTZ118" s="950"/>
      <c r="KUA118" s="950"/>
      <c r="KUB118" s="950"/>
      <c r="KUC118" s="950"/>
      <c r="KUD118" s="950"/>
      <c r="KUE118" s="950"/>
      <c r="KUF118" s="950"/>
      <c r="KUG118" s="950"/>
      <c r="KUH118" s="950"/>
      <c r="KUI118" s="950"/>
      <c r="KUJ118" s="950"/>
      <c r="KUK118" s="950"/>
      <c r="KUL118" s="950"/>
      <c r="KUM118" s="950"/>
      <c r="KUN118" s="950"/>
      <c r="KUO118" s="950"/>
      <c r="KUP118" s="950"/>
      <c r="KUQ118" s="950"/>
      <c r="KUR118" s="950"/>
      <c r="KUS118" s="950"/>
      <c r="KUT118" s="950"/>
      <c r="KUU118" s="950"/>
      <c r="KUV118" s="950"/>
      <c r="KUW118" s="950"/>
      <c r="KUX118" s="950"/>
      <c r="KUY118" s="950"/>
      <c r="KUZ118" s="950"/>
      <c r="KVA118" s="950"/>
      <c r="KVB118" s="950"/>
      <c r="KVC118" s="950"/>
      <c r="KVD118" s="950"/>
      <c r="KVE118" s="950"/>
      <c r="KVF118" s="950"/>
      <c r="KVG118" s="950"/>
      <c r="KVH118" s="950"/>
      <c r="KVI118" s="950"/>
      <c r="KVJ118" s="950"/>
      <c r="KVK118" s="950"/>
      <c r="KVL118" s="950"/>
      <c r="KVM118" s="950"/>
      <c r="KVN118" s="950"/>
      <c r="KVO118" s="950"/>
      <c r="KVP118" s="950"/>
      <c r="KVQ118" s="950"/>
      <c r="KVR118" s="950"/>
      <c r="KVS118" s="950"/>
      <c r="KVT118" s="950"/>
      <c r="KVU118" s="950"/>
      <c r="KVV118" s="950"/>
      <c r="KVW118" s="950"/>
      <c r="KVX118" s="950"/>
      <c r="KVY118" s="950"/>
      <c r="KVZ118" s="950"/>
      <c r="KWA118" s="950"/>
      <c r="KWB118" s="950"/>
      <c r="KWC118" s="950"/>
      <c r="KWD118" s="950"/>
      <c r="KWE118" s="950"/>
      <c r="KWF118" s="950"/>
      <c r="KWG118" s="950"/>
      <c r="KWH118" s="950"/>
      <c r="KWI118" s="950"/>
      <c r="KWJ118" s="950"/>
      <c r="KWK118" s="950"/>
      <c r="KWL118" s="950"/>
      <c r="KWM118" s="950"/>
      <c r="KWN118" s="950"/>
      <c r="KWO118" s="950"/>
      <c r="KWP118" s="950"/>
      <c r="KWQ118" s="950"/>
      <c r="KWR118" s="950"/>
      <c r="KWS118" s="950"/>
      <c r="KWT118" s="950"/>
      <c r="KWU118" s="950"/>
      <c r="KWV118" s="950"/>
      <c r="KWW118" s="950"/>
      <c r="KWX118" s="950"/>
      <c r="KWY118" s="950"/>
      <c r="KWZ118" s="950"/>
      <c r="KXA118" s="950"/>
      <c r="KXB118" s="950"/>
      <c r="KXC118" s="950"/>
      <c r="KXD118" s="950"/>
      <c r="KXE118" s="950"/>
      <c r="KXF118" s="950"/>
      <c r="KXG118" s="950"/>
      <c r="KXH118" s="950"/>
      <c r="KXI118" s="950"/>
      <c r="KXJ118" s="950"/>
      <c r="KXK118" s="950"/>
      <c r="KXL118" s="950"/>
      <c r="KXM118" s="950"/>
      <c r="KXN118" s="950"/>
      <c r="KXO118" s="950"/>
      <c r="KXP118" s="950"/>
      <c r="KXQ118" s="950"/>
      <c r="KXR118" s="950"/>
      <c r="KXS118" s="950"/>
      <c r="KXT118" s="950"/>
      <c r="KXU118" s="950"/>
      <c r="KXV118" s="950"/>
      <c r="KXW118" s="950"/>
      <c r="KXX118" s="950"/>
      <c r="KXY118" s="950"/>
      <c r="KXZ118" s="950"/>
      <c r="KYA118" s="950"/>
      <c r="KYB118" s="950"/>
      <c r="KYC118" s="950"/>
      <c r="KYD118" s="950"/>
      <c r="KYE118" s="950"/>
      <c r="KYF118" s="950"/>
      <c r="KYG118" s="950"/>
      <c r="KYH118" s="950"/>
      <c r="KYI118" s="950"/>
      <c r="KYJ118" s="950"/>
      <c r="KYK118" s="950"/>
      <c r="KYL118" s="950"/>
      <c r="KYM118" s="950"/>
      <c r="KYN118" s="950"/>
      <c r="KYO118" s="950"/>
      <c r="KYP118" s="950"/>
      <c r="KYQ118" s="950"/>
      <c r="KYR118" s="950"/>
      <c r="KYS118" s="950"/>
      <c r="KYT118" s="950"/>
      <c r="KYU118" s="950"/>
      <c r="KYV118" s="950"/>
      <c r="KYW118" s="950"/>
      <c r="KYX118" s="950"/>
      <c r="KYY118" s="950"/>
      <c r="KYZ118" s="950"/>
      <c r="KZA118" s="950"/>
      <c r="KZB118" s="950"/>
      <c r="KZC118" s="950"/>
      <c r="KZD118" s="950"/>
      <c r="KZE118" s="950"/>
      <c r="KZF118" s="950"/>
      <c r="KZG118" s="950"/>
      <c r="KZH118" s="950"/>
      <c r="KZI118" s="950"/>
      <c r="KZJ118" s="950"/>
      <c r="KZK118" s="950"/>
      <c r="KZL118" s="950"/>
      <c r="KZM118" s="950"/>
      <c r="KZN118" s="950"/>
      <c r="KZO118" s="950"/>
      <c r="KZP118" s="950"/>
      <c r="KZQ118" s="950"/>
      <c r="KZR118" s="950"/>
      <c r="KZS118" s="950"/>
      <c r="KZT118" s="950"/>
      <c r="KZU118" s="950"/>
      <c r="KZV118" s="950"/>
      <c r="KZW118" s="950"/>
      <c r="KZX118" s="950"/>
      <c r="KZY118" s="950"/>
      <c r="KZZ118" s="950"/>
      <c r="LAA118" s="950"/>
      <c r="LAB118" s="950"/>
      <c r="LAC118" s="950"/>
      <c r="LAD118" s="950"/>
      <c r="LAE118" s="950"/>
      <c r="LAF118" s="950"/>
      <c r="LAG118" s="950"/>
      <c r="LAH118" s="950"/>
      <c r="LAI118" s="950"/>
      <c r="LAJ118" s="950"/>
      <c r="LAK118" s="950"/>
      <c r="LAL118" s="950"/>
      <c r="LAM118" s="950"/>
      <c r="LAN118" s="950"/>
      <c r="LAO118" s="950"/>
      <c r="LAP118" s="950"/>
      <c r="LAQ118" s="950"/>
      <c r="LAR118" s="950"/>
      <c r="LAS118" s="950"/>
      <c r="LAT118" s="950"/>
      <c r="LAU118" s="950"/>
      <c r="LAV118" s="950"/>
      <c r="LAW118" s="950"/>
      <c r="LAX118" s="950"/>
      <c r="LAY118" s="950"/>
      <c r="LAZ118" s="950"/>
      <c r="LBA118" s="950"/>
      <c r="LBB118" s="950"/>
      <c r="LBC118" s="950"/>
      <c r="LBD118" s="950"/>
      <c r="LBE118" s="950"/>
      <c r="LBF118" s="950"/>
      <c r="LBG118" s="950"/>
      <c r="LBH118" s="950"/>
      <c r="LBI118" s="950"/>
      <c r="LBJ118" s="950"/>
      <c r="LBK118" s="950"/>
      <c r="LBL118" s="950"/>
      <c r="LBM118" s="950"/>
      <c r="LBN118" s="950"/>
      <c r="LBO118" s="950"/>
      <c r="LBP118" s="950"/>
      <c r="LBQ118" s="950"/>
      <c r="LBR118" s="950"/>
      <c r="LBS118" s="950"/>
      <c r="LBT118" s="950"/>
      <c r="LBU118" s="950"/>
      <c r="LBV118" s="950"/>
      <c r="LBW118" s="950"/>
      <c r="LBX118" s="950"/>
      <c r="LBY118" s="950"/>
      <c r="LBZ118" s="950"/>
      <c r="LCA118" s="950"/>
      <c r="LCB118" s="950"/>
      <c r="LCC118" s="950"/>
      <c r="LCD118" s="950"/>
      <c r="LCE118" s="950"/>
      <c r="LCF118" s="950"/>
      <c r="LCG118" s="950"/>
      <c r="LCH118" s="950"/>
      <c r="LCI118" s="950"/>
      <c r="LCJ118" s="950"/>
      <c r="LCK118" s="950"/>
      <c r="LCL118" s="950"/>
      <c r="LCM118" s="950"/>
      <c r="LCN118" s="950"/>
      <c r="LCO118" s="950"/>
      <c r="LCP118" s="950"/>
      <c r="LCQ118" s="950"/>
      <c r="LCR118" s="950"/>
      <c r="LCS118" s="950"/>
      <c r="LCT118" s="950"/>
      <c r="LCU118" s="950"/>
      <c r="LCV118" s="950"/>
      <c r="LCW118" s="950"/>
      <c r="LCX118" s="950"/>
      <c r="LCY118" s="950"/>
      <c r="LCZ118" s="950"/>
      <c r="LDA118" s="950"/>
      <c r="LDB118" s="950"/>
      <c r="LDC118" s="950"/>
      <c r="LDD118" s="950"/>
      <c r="LDE118" s="950"/>
      <c r="LDF118" s="950"/>
      <c r="LDG118" s="950"/>
      <c r="LDH118" s="950"/>
      <c r="LDI118" s="950"/>
      <c r="LDJ118" s="950"/>
      <c r="LDK118" s="950"/>
      <c r="LDL118" s="950"/>
      <c r="LDM118" s="950"/>
      <c r="LDN118" s="950"/>
      <c r="LDO118" s="950"/>
      <c r="LDP118" s="950"/>
      <c r="LDQ118" s="950"/>
      <c r="LDR118" s="950"/>
      <c r="LDS118" s="950"/>
      <c r="LDT118" s="950"/>
      <c r="LDU118" s="950"/>
      <c r="LDV118" s="950"/>
      <c r="LDW118" s="950"/>
      <c r="LDX118" s="950"/>
      <c r="LDY118" s="950"/>
      <c r="LDZ118" s="950"/>
      <c r="LEA118" s="950"/>
      <c r="LEB118" s="950"/>
      <c r="LEC118" s="950"/>
      <c r="LED118" s="950"/>
      <c r="LEE118" s="950"/>
      <c r="LEF118" s="950"/>
      <c r="LEG118" s="950"/>
      <c r="LEH118" s="950"/>
      <c r="LEI118" s="950"/>
      <c r="LEJ118" s="950"/>
      <c r="LEK118" s="950"/>
      <c r="LEL118" s="950"/>
      <c r="LEM118" s="950"/>
      <c r="LEN118" s="950"/>
      <c r="LEO118" s="950"/>
      <c r="LEP118" s="950"/>
      <c r="LEQ118" s="950"/>
      <c r="LER118" s="950"/>
      <c r="LES118" s="950"/>
      <c r="LET118" s="950"/>
      <c r="LEU118" s="950"/>
      <c r="LEV118" s="950"/>
      <c r="LEW118" s="950"/>
      <c r="LEX118" s="950"/>
      <c r="LEY118" s="950"/>
      <c r="LEZ118" s="950"/>
      <c r="LFA118" s="950"/>
      <c r="LFB118" s="950"/>
      <c r="LFC118" s="950"/>
      <c r="LFD118" s="950"/>
      <c r="LFE118" s="950"/>
      <c r="LFF118" s="950"/>
      <c r="LFG118" s="950"/>
      <c r="LFH118" s="950"/>
      <c r="LFI118" s="950"/>
      <c r="LFJ118" s="950"/>
      <c r="LFK118" s="950"/>
      <c r="LFL118" s="950"/>
      <c r="LFM118" s="950"/>
      <c r="LFN118" s="950"/>
      <c r="LFO118" s="950"/>
      <c r="LFP118" s="950"/>
      <c r="LFQ118" s="950"/>
      <c r="LFR118" s="950"/>
      <c r="LFS118" s="950"/>
      <c r="LFT118" s="950"/>
      <c r="LFU118" s="950"/>
      <c r="LFV118" s="950"/>
      <c r="LFW118" s="950"/>
      <c r="LFX118" s="950"/>
      <c r="LFY118" s="950"/>
      <c r="LFZ118" s="950"/>
      <c r="LGA118" s="950"/>
      <c r="LGB118" s="950"/>
      <c r="LGC118" s="950"/>
      <c r="LGD118" s="950"/>
      <c r="LGE118" s="950"/>
      <c r="LGF118" s="950"/>
      <c r="LGG118" s="950"/>
      <c r="LGH118" s="950"/>
      <c r="LGI118" s="950"/>
      <c r="LGJ118" s="950"/>
      <c r="LGK118" s="950"/>
      <c r="LGL118" s="950"/>
      <c r="LGM118" s="950"/>
      <c r="LGN118" s="950"/>
      <c r="LGO118" s="950"/>
      <c r="LGP118" s="950"/>
      <c r="LGQ118" s="950"/>
      <c r="LGR118" s="950"/>
      <c r="LGS118" s="950"/>
      <c r="LGT118" s="950"/>
      <c r="LGU118" s="950"/>
      <c r="LGV118" s="950"/>
      <c r="LGW118" s="950"/>
      <c r="LGX118" s="950"/>
      <c r="LGY118" s="950"/>
      <c r="LGZ118" s="950"/>
      <c r="LHA118" s="950"/>
      <c r="LHB118" s="950"/>
      <c r="LHC118" s="950"/>
      <c r="LHD118" s="950"/>
      <c r="LHE118" s="950"/>
      <c r="LHF118" s="950"/>
      <c r="LHG118" s="950"/>
      <c r="LHH118" s="950"/>
      <c r="LHI118" s="950"/>
      <c r="LHJ118" s="950"/>
      <c r="LHK118" s="950"/>
      <c r="LHL118" s="950"/>
      <c r="LHM118" s="950"/>
      <c r="LHN118" s="950"/>
      <c r="LHO118" s="950"/>
      <c r="LHP118" s="950"/>
      <c r="LHQ118" s="950"/>
      <c r="LHR118" s="950"/>
      <c r="LHS118" s="950"/>
      <c r="LHT118" s="950"/>
      <c r="LHU118" s="950"/>
      <c r="LHV118" s="950"/>
      <c r="LHW118" s="950"/>
      <c r="LHX118" s="950"/>
      <c r="LHY118" s="950"/>
      <c r="LHZ118" s="950"/>
      <c r="LIA118" s="950"/>
      <c r="LIB118" s="950"/>
      <c r="LIC118" s="950"/>
      <c r="LID118" s="950"/>
      <c r="LIE118" s="950"/>
      <c r="LIF118" s="950"/>
      <c r="LIG118" s="950"/>
      <c r="LIH118" s="950"/>
      <c r="LII118" s="950"/>
      <c r="LIJ118" s="950"/>
      <c r="LIK118" s="950"/>
      <c r="LIL118" s="950"/>
      <c r="LIM118" s="950"/>
      <c r="LIN118" s="950"/>
      <c r="LIO118" s="950"/>
      <c r="LIP118" s="950"/>
      <c r="LIQ118" s="950"/>
      <c r="LIR118" s="950"/>
      <c r="LIS118" s="950"/>
      <c r="LIT118" s="950"/>
      <c r="LIU118" s="950"/>
      <c r="LIV118" s="950"/>
      <c r="LIW118" s="950"/>
      <c r="LIX118" s="950"/>
      <c r="LIY118" s="950"/>
      <c r="LIZ118" s="950"/>
      <c r="LJA118" s="950"/>
      <c r="LJB118" s="950"/>
      <c r="LJC118" s="950"/>
      <c r="LJD118" s="950"/>
      <c r="LJE118" s="950"/>
      <c r="LJF118" s="950"/>
      <c r="LJG118" s="950"/>
      <c r="LJH118" s="950"/>
      <c r="LJI118" s="950"/>
      <c r="LJJ118" s="950"/>
      <c r="LJK118" s="950"/>
      <c r="LJL118" s="950"/>
      <c r="LJM118" s="950"/>
      <c r="LJN118" s="950"/>
      <c r="LJO118" s="950"/>
      <c r="LJP118" s="950"/>
      <c r="LJQ118" s="950"/>
      <c r="LJR118" s="950"/>
      <c r="LJS118" s="950"/>
      <c r="LJT118" s="950"/>
      <c r="LJU118" s="950"/>
      <c r="LJV118" s="950"/>
      <c r="LJW118" s="950"/>
      <c r="LJX118" s="950"/>
      <c r="LJY118" s="950"/>
      <c r="LJZ118" s="950"/>
      <c r="LKA118" s="950"/>
      <c r="LKB118" s="950"/>
      <c r="LKC118" s="950"/>
      <c r="LKD118" s="950"/>
      <c r="LKE118" s="950"/>
      <c r="LKF118" s="950"/>
      <c r="LKG118" s="950"/>
      <c r="LKH118" s="950"/>
      <c r="LKI118" s="950"/>
      <c r="LKJ118" s="950"/>
      <c r="LKK118" s="950"/>
      <c r="LKL118" s="950"/>
      <c r="LKM118" s="950"/>
      <c r="LKN118" s="950"/>
      <c r="LKO118" s="950"/>
      <c r="LKP118" s="950"/>
      <c r="LKQ118" s="950"/>
      <c r="LKR118" s="950"/>
      <c r="LKS118" s="950"/>
      <c r="LKT118" s="950"/>
      <c r="LKU118" s="950"/>
      <c r="LKV118" s="950"/>
      <c r="LKW118" s="950"/>
      <c r="LKX118" s="950"/>
      <c r="LKY118" s="950"/>
      <c r="LKZ118" s="950"/>
      <c r="LLA118" s="950"/>
      <c r="LLB118" s="950"/>
      <c r="LLC118" s="950"/>
      <c r="LLD118" s="950"/>
      <c r="LLE118" s="950"/>
      <c r="LLF118" s="950"/>
      <c r="LLG118" s="950"/>
      <c r="LLH118" s="950"/>
      <c r="LLI118" s="950"/>
      <c r="LLJ118" s="950"/>
      <c r="LLK118" s="950"/>
      <c r="LLL118" s="950"/>
      <c r="LLM118" s="950"/>
      <c r="LLN118" s="950"/>
      <c r="LLO118" s="950"/>
      <c r="LLP118" s="950"/>
      <c r="LLQ118" s="950"/>
      <c r="LLR118" s="950"/>
      <c r="LLS118" s="950"/>
      <c r="LLT118" s="950"/>
      <c r="LLU118" s="950"/>
      <c r="LLV118" s="950"/>
      <c r="LLW118" s="950"/>
      <c r="LLX118" s="950"/>
      <c r="LLY118" s="950"/>
      <c r="LLZ118" s="950"/>
      <c r="LMA118" s="950"/>
      <c r="LMB118" s="950"/>
      <c r="LMC118" s="950"/>
      <c r="LMD118" s="950"/>
      <c r="LME118" s="950"/>
      <c r="LMF118" s="950"/>
      <c r="LMG118" s="950"/>
      <c r="LMH118" s="950"/>
      <c r="LMI118" s="950"/>
      <c r="LMJ118" s="950"/>
      <c r="LMK118" s="950"/>
      <c r="LML118" s="950"/>
      <c r="LMM118" s="950"/>
      <c r="LMN118" s="950"/>
      <c r="LMO118" s="950"/>
      <c r="LMP118" s="950"/>
      <c r="LMQ118" s="950"/>
      <c r="LMR118" s="950"/>
      <c r="LMS118" s="950"/>
      <c r="LMT118" s="950"/>
      <c r="LMU118" s="950"/>
      <c r="LMV118" s="950"/>
      <c r="LMW118" s="950"/>
      <c r="LMX118" s="950"/>
      <c r="LMY118" s="950"/>
      <c r="LMZ118" s="950"/>
      <c r="LNA118" s="950"/>
      <c r="LNB118" s="950"/>
      <c r="LNC118" s="950"/>
      <c r="LND118" s="950"/>
      <c r="LNE118" s="950"/>
      <c r="LNF118" s="950"/>
      <c r="LNG118" s="950"/>
      <c r="LNH118" s="950"/>
      <c r="LNI118" s="950"/>
      <c r="LNJ118" s="950"/>
      <c r="LNK118" s="950"/>
      <c r="LNL118" s="950"/>
      <c r="LNM118" s="950"/>
      <c r="LNN118" s="950"/>
      <c r="LNO118" s="950"/>
      <c r="LNP118" s="950"/>
      <c r="LNQ118" s="950"/>
      <c r="LNR118" s="950"/>
      <c r="LNS118" s="950"/>
      <c r="LNT118" s="950"/>
      <c r="LNU118" s="950"/>
      <c r="LNV118" s="950"/>
      <c r="LNW118" s="950"/>
      <c r="LNX118" s="950"/>
      <c r="LNY118" s="950"/>
      <c r="LNZ118" s="950"/>
      <c r="LOA118" s="950"/>
      <c r="LOB118" s="950"/>
      <c r="LOC118" s="950"/>
      <c r="LOD118" s="950"/>
      <c r="LOE118" s="950"/>
      <c r="LOF118" s="950"/>
      <c r="LOG118" s="950"/>
      <c r="LOH118" s="950"/>
      <c r="LOI118" s="950"/>
      <c r="LOJ118" s="950"/>
      <c r="LOK118" s="950"/>
      <c r="LOL118" s="950"/>
      <c r="LOM118" s="950"/>
      <c r="LON118" s="950"/>
      <c r="LOO118" s="950"/>
      <c r="LOP118" s="950"/>
      <c r="LOQ118" s="950"/>
      <c r="LOR118" s="950"/>
      <c r="LOS118" s="950"/>
      <c r="LOT118" s="950"/>
      <c r="LOU118" s="950"/>
      <c r="LOV118" s="950"/>
      <c r="LOW118" s="950"/>
      <c r="LOX118" s="950"/>
      <c r="LOY118" s="950"/>
      <c r="LOZ118" s="950"/>
      <c r="LPA118" s="950"/>
      <c r="LPB118" s="950"/>
      <c r="LPC118" s="950"/>
      <c r="LPD118" s="950"/>
      <c r="LPE118" s="950"/>
      <c r="LPF118" s="950"/>
      <c r="LPG118" s="950"/>
      <c r="LPH118" s="950"/>
      <c r="LPI118" s="950"/>
      <c r="LPJ118" s="950"/>
      <c r="LPK118" s="950"/>
      <c r="LPL118" s="950"/>
      <c r="LPM118" s="950"/>
      <c r="LPN118" s="950"/>
      <c r="LPO118" s="950"/>
      <c r="LPP118" s="950"/>
      <c r="LPQ118" s="950"/>
      <c r="LPR118" s="950"/>
      <c r="LPS118" s="950"/>
      <c r="LPT118" s="950"/>
      <c r="LPU118" s="950"/>
      <c r="LPV118" s="950"/>
      <c r="LPW118" s="950"/>
      <c r="LPX118" s="950"/>
      <c r="LPY118" s="950"/>
      <c r="LPZ118" s="950"/>
      <c r="LQA118" s="950"/>
      <c r="LQB118" s="950"/>
      <c r="LQC118" s="950"/>
      <c r="LQD118" s="950"/>
      <c r="LQE118" s="950"/>
      <c r="LQF118" s="950"/>
      <c r="LQG118" s="950"/>
      <c r="LQH118" s="950"/>
      <c r="LQI118" s="950"/>
      <c r="LQJ118" s="950"/>
      <c r="LQK118" s="950"/>
      <c r="LQL118" s="950"/>
      <c r="LQM118" s="950"/>
      <c r="LQN118" s="950"/>
      <c r="LQO118" s="950"/>
      <c r="LQP118" s="950"/>
      <c r="LQQ118" s="950"/>
      <c r="LQR118" s="950"/>
      <c r="LQS118" s="950"/>
      <c r="LQT118" s="950"/>
      <c r="LQU118" s="950"/>
      <c r="LQV118" s="950"/>
      <c r="LQW118" s="950"/>
      <c r="LQX118" s="950"/>
      <c r="LQY118" s="950"/>
      <c r="LQZ118" s="950"/>
      <c r="LRA118" s="950"/>
      <c r="LRB118" s="950"/>
      <c r="LRC118" s="950"/>
      <c r="LRD118" s="950"/>
      <c r="LRE118" s="950"/>
      <c r="LRF118" s="950"/>
      <c r="LRG118" s="950"/>
      <c r="LRH118" s="950"/>
      <c r="LRI118" s="950"/>
      <c r="LRJ118" s="950"/>
      <c r="LRK118" s="950"/>
      <c r="LRL118" s="950"/>
      <c r="LRM118" s="950"/>
      <c r="LRN118" s="950"/>
      <c r="LRO118" s="950"/>
      <c r="LRP118" s="950"/>
      <c r="LRQ118" s="950"/>
      <c r="LRR118" s="950"/>
      <c r="LRS118" s="950"/>
      <c r="LRT118" s="950"/>
      <c r="LRU118" s="950"/>
      <c r="LRV118" s="950"/>
      <c r="LRW118" s="950"/>
      <c r="LRX118" s="950"/>
      <c r="LRY118" s="950"/>
      <c r="LRZ118" s="950"/>
      <c r="LSA118" s="950"/>
      <c r="LSB118" s="950"/>
      <c r="LSC118" s="950"/>
      <c r="LSD118" s="950"/>
      <c r="LSE118" s="950"/>
      <c r="LSF118" s="950"/>
      <c r="LSG118" s="950"/>
      <c r="LSH118" s="950"/>
      <c r="LSI118" s="950"/>
      <c r="LSJ118" s="950"/>
      <c r="LSK118" s="950"/>
      <c r="LSL118" s="950"/>
      <c r="LSM118" s="950"/>
      <c r="LSN118" s="950"/>
      <c r="LSO118" s="950"/>
      <c r="LSP118" s="950"/>
      <c r="LSQ118" s="950"/>
      <c r="LSR118" s="950"/>
      <c r="LSS118" s="950"/>
      <c r="LST118" s="950"/>
      <c r="LSU118" s="950"/>
      <c r="LSV118" s="950"/>
      <c r="LSW118" s="950"/>
      <c r="LSX118" s="950"/>
      <c r="LSY118" s="950"/>
      <c r="LSZ118" s="950"/>
      <c r="LTA118" s="950"/>
      <c r="LTB118" s="950"/>
      <c r="LTC118" s="950"/>
      <c r="LTD118" s="950"/>
      <c r="LTE118" s="950"/>
      <c r="LTF118" s="950"/>
      <c r="LTG118" s="950"/>
      <c r="LTH118" s="950"/>
      <c r="LTI118" s="950"/>
      <c r="LTJ118" s="950"/>
      <c r="LTK118" s="950"/>
      <c r="LTL118" s="950"/>
      <c r="LTM118" s="950"/>
      <c r="LTN118" s="950"/>
      <c r="LTO118" s="950"/>
      <c r="LTP118" s="950"/>
      <c r="LTQ118" s="950"/>
      <c r="LTR118" s="950"/>
      <c r="LTS118" s="950"/>
      <c r="LTT118" s="950"/>
      <c r="LTU118" s="950"/>
      <c r="LTV118" s="950"/>
      <c r="LTW118" s="950"/>
      <c r="LTX118" s="950"/>
      <c r="LTY118" s="950"/>
      <c r="LTZ118" s="950"/>
      <c r="LUA118" s="950"/>
      <c r="LUB118" s="950"/>
      <c r="LUC118" s="950"/>
      <c r="LUD118" s="950"/>
      <c r="LUE118" s="950"/>
      <c r="LUF118" s="950"/>
      <c r="LUG118" s="950"/>
      <c r="LUH118" s="950"/>
      <c r="LUI118" s="950"/>
      <c r="LUJ118" s="950"/>
      <c r="LUK118" s="950"/>
      <c r="LUL118" s="950"/>
      <c r="LUM118" s="950"/>
      <c r="LUN118" s="950"/>
      <c r="LUO118" s="950"/>
      <c r="LUP118" s="950"/>
      <c r="LUQ118" s="950"/>
      <c r="LUR118" s="950"/>
      <c r="LUS118" s="950"/>
      <c r="LUT118" s="950"/>
      <c r="LUU118" s="950"/>
      <c r="LUV118" s="950"/>
      <c r="LUW118" s="950"/>
      <c r="LUX118" s="950"/>
      <c r="LUY118" s="950"/>
      <c r="LUZ118" s="950"/>
      <c r="LVA118" s="950"/>
      <c r="LVB118" s="950"/>
      <c r="LVC118" s="950"/>
      <c r="LVD118" s="950"/>
      <c r="LVE118" s="950"/>
      <c r="LVF118" s="950"/>
      <c r="LVG118" s="950"/>
      <c r="LVH118" s="950"/>
      <c r="LVI118" s="950"/>
      <c r="LVJ118" s="950"/>
      <c r="LVK118" s="950"/>
      <c r="LVL118" s="950"/>
      <c r="LVM118" s="950"/>
      <c r="LVN118" s="950"/>
      <c r="LVO118" s="950"/>
      <c r="LVP118" s="950"/>
      <c r="LVQ118" s="950"/>
      <c r="LVR118" s="950"/>
      <c r="LVS118" s="950"/>
      <c r="LVT118" s="950"/>
      <c r="LVU118" s="950"/>
      <c r="LVV118" s="950"/>
      <c r="LVW118" s="950"/>
      <c r="LVX118" s="950"/>
      <c r="LVY118" s="950"/>
      <c r="LVZ118" s="950"/>
      <c r="LWA118" s="950"/>
      <c r="LWB118" s="950"/>
      <c r="LWC118" s="950"/>
      <c r="LWD118" s="950"/>
      <c r="LWE118" s="950"/>
      <c r="LWF118" s="950"/>
      <c r="LWG118" s="950"/>
      <c r="LWH118" s="950"/>
      <c r="LWI118" s="950"/>
      <c r="LWJ118" s="950"/>
      <c r="LWK118" s="950"/>
      <c r="LWL118" s="950"/>
      <c r="LWM118" s="950"/>
      <c r="LWN118" s="950"/>
      <c r="LWO118" s="950"/>
      <c r="LWP118" s="950"/>
      <c r="LWQ118" s="950"/>
      <c r="LWR118" s="950"/>
      <c r="LWS118" s="950"/>
      <c r="LWT118" s="950"/>
      <c r="LWU118" s="950"/>
      <c r="LWV118" s="950"/>
      <c r="LWW118" s="950"/>
      <c r="LWX118" s="950"/>
      <c r="LWY118" s="950"/>
      <c r="LWZ118" s="950"/>
      <c r="LXA118" s="950"/>
      <c r="LXB118" s="950"/>
      <c r="LXC118" s="950"/>
      <c r="LXD118" s="950"/>
      <c r="LXE118" s="950"/>
      <c r="LXF118" s="950"/>
      <c r="LXG118" s="950"/>
      <c r="LXH118" s="950"/>
      <c r="LXI118" s="950"/>
      <c r="LXJ118" s="950"/>
      <c r="LXK118" s="950"/>
      <c r="LXL118" s="950"/>
      <c r="LXM118" s="950"/>
      <c r="LXN118" s="950"/>
      <c r="LXO118" s="950"/>
      <c r="LXP118" s="950"/>
      <c r="LXQ118" s="950"/>
      <c r="LXR118" s="950"/>
      <c r="LXS118" s="950"/>
      <c r="LXT118" s="950"/>
      <c r="LXU118" s="950"/>
      <c r="LXV118" s="950"/>
      <c r="LXW118" s="950"/>
      <c r="LXX118" s="950"/>
      <c r="LXY118" s="950"/>
      <c r="LXZ118" s="950"/>
      <c r="LYA118" s="950"/>
      <c r="LYB118" s="950"/>
      <c r="LYC118" s="950"/>
      <c r="LYD118" s="950"/>
      <c r="LYE118" s="950"/>
      <c r="LYF118" s="950"/>
      <c r="LYG118" s="950"/>
      <c r="LYH118" s="950"/>
      <c r="LYI118" s="950"/>
      <c r="LYJ118" s="950"/>
      <c r="LYK118" s="950"/>
      <c r="LYL118" s="950"/>
      <c r="LYM118" s="950"/>
      <c r="LYN118" s="950"/>
      <c r="LYO118" s="950"/>
      <c r="LYP118" s="950"/>
      <c r="LYQ118" s="950"/>
      <c r="LYR118" s="950"/>
      <c r="LYS118" s="950"/>
      <c r="LYT118" s="950"/>
      <c r="LYU118" s="950"/>
      <c r="LYV118" s="950"/>
      <c r="LYW118" s="950"/>
      <c r="LYX118" s="950"/>
      <c r="LYY118" s="950"/>
      <c r="LYZ118" s="950"/>
      <c r="LZA118" s="950"/>
      <c r="LZB118" s="950"/>
      <c r="LZC118" s="950"/>
      <c r="LZD118" s="950"/>
      <c r="LZE118" s="950"/>
      <c r="LZF118" s="950"/>
      <c r="LZG118" s="950"/>
      <c r="LZH118" s="950"/>
      <c r="LZI118" s="950"/>
      <c r="LZJ118" s="950"/>
      <c r="LZK118" s="950"/>
      <c r="LZL118" s="950"/>
      <c r="LZM118" s="950"/>
      <c r="LZN118" s="950"/>
      <c r="LZO118" s="950"/>
      <c r="LZP118" s="950"/>
      <c r="LZQ118" s="950"/>
      <c r="LZR118" s="950"/>
      <c r="LZS118" s="950"/>
      <c r="LZT118" s="950"/>
      <c r="LZU118" s="950"/>
      <c r="LZV118" s="950"/>
      <c r="LZW118" s="950"/>
      <c r="LZX118" s="950"/>
      <c r="LZY118" s="950"/>
      <c r="LZZ118" s="950"/>
      <c r="MAA118" s="950"/>
      <c r="MAB118" s="950"/>
      <c r="MAC118" s="950"/>
      <c r="MAD118" s="950"/>
      <c r="MAE118" s="950"/>
      <c r="MAF118" s="950"/>
      <c r="MAG118" s="950"/>
      <c r="MAH118" s="950"/>
      <c r="MAI118" s="950"/>
      <c r="MAJ118" s="950"/>
      <c r="MAK118" s="950"/>
      <c r="MAL118" s="950"/>
      <c r="MAM118" s="950"/>
      <c r="MAN118" s="950"/>
      <c r="MAO118" s="950"/>
      <c r="MAP118" s="950"/>
      <c r="MAQ118" s="950"/>
      <c r="MAR118" s="950"/>
      <c r="MAS118" s="950"/>
      <c r="MAT118" s="950"/>
      <c r="MAU118" s="950"/>
      <c r="MAV118" s="950"/>
      <c r="MAW118" s="950"/>
      <c r="MAX118" s="950"/>
      <c r="MAY118" s="950"/>
      <c r="MAZ118" s="950"/>
      <c r="MBA118" s="950"/>
      <c r="MBB118" s="950"/>
      <c r="MBC118" s="950"/>
      <c r="MBD118" s="950"/>
      <c r="MBE118" s="950"/>
      <c r="MBF118" s="950"/>
      <c r="MBG118" s="950"/>
      <c r="MBH118" s="950"/>
      <c r="MBI118" s="950"/>
      <c r="MBJ118" s="950"/>
      <c r="MBK118" s="950"/>
      <c r="MBL118" s="950"/>
      <c r="MBM118" s="950"/>
      <c r="MBN118" s="950"/>
      <c r="MBO118" s="950"/>
      <c r="MBP118" s="950"/>
      <c r="MBQ118" s="950"/>
      <c r="MBR118" s="950"/>
      <c r="MBS118" s="950"/>
      <c r="MBT118" s="950"/>
      <c r="MBU118" s="950"/>
      <c r="MBV118" s="950"/>
      <c r="MBW118" s="950"/>
      <c r="MBX118" s="950"/>
      <c r="MBY118" s="950"/>
      <c r="MBZ118" s="950"/>
      <c r="MCA118" s="950"/>
      <c r="MCB118" s="950"/>
      <c r="MCC118" s="950"/>
      <c r="MCD118" s="950"/>
      <c r="MCE118" s="950"/>
      <c r="MCF118" s="950"/>
      <c r="MCG118" s="950"/>
      <c r="MCH118" s="950"/>
      <c r="MCI118" s="950"/>
      <c r="MCJ118" s="950"/>
      <c r="MCK118" s="950"/>
      <c r="MCL118" s="950"/>
      <c r="MCM118" s="950"/>
      <c r="MCN118" s="950"/>
      <c r="MCO118" s="950"/>
      <c r="MCP118" s="950"/>
      <c r="MCQ118" s="950"/>
      <c r="MCR118" s="950"/>
      <c r="MCS118" s="950"/>
      <c r="MCT118" s="950"/>
      <c r="MCU118" s="950"/>
      <c r="MCV118" s="950"/>
      <c r="MCW118" s="950"/>
      <c r="MCX118" s="950"/>
      <c r="MCY118" s="950"/>
      <c r="MCZ118" s="950"/>
      <c r="MDA118" s="950"/>
      <c r="MDB118" s="950"/>
      <c r="MDC118" s="950"/>
      <c r="MDD118" s="950"/>
      <c r="MDE118" s="950"/>
      <c r="MDF118" s="950"/>
      <c r="MDG118" s="950"/>
      <c r="MDH118" s="950"/>
      <c r="MDI118" s="950"/>
      <c r="MDJ118" s="950"/>
      <c r="MDK118" s="950"/>
      <c r="MDL118" s="950"/>
      <c r="MDM118" s="950"/>
      <c r="MDN118" s="950"/>
      <c r="MDO118" s="950"/>
      <c r="MDP118" s="950"/>
      <c r="MDQ118" s="950"/>
      <c r="MDR118" s="950"/>
      <c r="MDS118" s="950"/>
      <c r="MDT118" s="950"/>
      <c r="MDU118" s="950"/>
      <c r="MDV118" s="950"/>
      <c r="MDW118" s="950"/>
      <c r="MDX118" s="950"/>
      <c r="MDY118" s="950"/>
      <c r="MDZ118" s="950"/>
      <c r="MEA118" s="950"/>
      <c r="MEB118" s="950"/>
      <c r="MEC118" s="950"/>
      <c r="MED118" s="950"/>
      <c r="MEE118" s="950"/>
      <c r="MEF118" s="950"/>
      <c r="MEG118" s="950"/>
      <c r="MEH118" s="950"/>
      <c r="MEI118" s="950"/>
      <c r="MEJ118" s="950"/>
      <c r="MEK118" s="950"/>
      <c r="MEL118" s="950"/>
      <c r="MEM118" s="950"/>
      <c r="MEN118" s="950"/>
      <c r="MEO118" s="950"/>
      <c r="MEP118" s="950"/>
      <c r="MEQ118" s="950"/>
      <c r="MER118" s="950"/>
      <c r="MES118" s="950"/>
      <c r="MET118" s="950"/>
      <c r="MEU118" s="950"/>
      <c r="MEV118" s="950"/>
      <c r="MEW118" s="950"/>
      <c r="MEX118" s="950"/>
      <c r="MEY118" s="950"/>
      <c r="MEZ118" s="950"/>
      <c r="MFA118" s="950"/>
      <c r="MFB118" s="950"/>
      <c r="MFC118" s="950"/>
      <c r="MFD118" s="950"/>
      <c r="MFE118" s="950"/>
      <c r="MFF118" s="950"/>
      <c r="MFG118" s="950"/>
      <c r="MFH118" s="950"/>
      <c r="MFI118" s="950"/>
      <c r="MFJ118" s="950"/>
      <c r="MFK118" s="950"/>
      <c r="MFL118" s="950"/>
      <c r="MFM118" s="950"/>
      <c r="MFN118" s="950"/>
      <c r="MFO118" s="950"/>
      <c r="MFP118" s="950"/>
      <c r="MFQ118" s="950"/>
      <c r="MFR118" s="950"/>
      <c r="MFS118" s="950"/>
      <c r="MFT118" s="950"/>
      <c r="MFU118" s="950"/>
      <c r="MFV118" s="950"/>
      <c r="MFW118" s="950"/>
      <c r="MFX118" s="950"/>
      <c r="MFY118" s="950"/>
      <c r="MFZ118" s="950"/>
      <c r="MGA118" s="950"/>
      <c r="MGB118" s="950"/>
      <c r="MGC118" s="950"/>
      <c r="MGD118" s="950"/>
      <c r="MGE118" s="950"/>
      <c r="MGF118" s="950"/>
      <c r="MGG118" s="950"/>
      <c r="MGH118" s="950"/>
      <c r="MGI118" s="950"/>
      <c r="MGJ118" s="950"/>
      <c r="MGK118" s="950"/>
      <c r="MGL118" s="950"/>
      <c r="MGM118" s="950"/>
      <c r="MGN118" s="950"/>
      <c r="MGO118" s="950"/>
      <c r="MGP118" s="950"/>
      <c r="MGQ118" s="950"/>
      <c r="MGR118" s="950"/>
      <c r="MGS118" s="950"/>
      <c r="MGT118" s="950"/>
      <c r="MGU118" s="950"/>
      <c r="MGV118" s="950"/>
      <c r="MGW118" s="950"/>
      <c r="MGX118" s="950"/>
      <c r="MGY118" s="950"/>
      <c r="MGZ118" s="950"/>
      <c r="MHA118" s="950"/>
      <c r="MHB118" s="950"/>
      <c r="MHC118" s="950"/>
      <c r="MHD118" s="950"/>
      <c r="MHE118" s="950"/>
      <c r="MHF118" s="950"/>
      <c r="MHG118" s="950"/>
      <c r="MHH118" s="950"/>
      <c r="MHI118" s="950"/>
      <c r="MHJ118" s="950"/>
      <c r="MHK118" s="950"/>
      <c r="MHL118" s="950"/>
      <c r="MHM118" s="950"/>
      <c r="MHN118" s="950"/>
      <c r="MHO118" s="950"/>
      <c r="MHP118" s="950"/>
      <c r="MHQ118" s="950"/>
      <c r="MHR118" s="950"/>
      <c r="MHS118" s="950"/>
      <c r="MHT118" s="950"/>
      <c r="MHU118" s="950"/>
      <c r="MHV118" s="950"/>
      <c r="MHW118" s="950"/>
      <c r="MHX118" s="950"/>
      <c r="MHY118" s="950"/>
      <c r="MHZ118" s="950"/>
      <c r="MIA118" s="950"/>
      <c r="MIB118" s="950"/>
      <c r="MIC118" s="950"/>
      <c r="MID118" s="950"/>
      <c r="MIE118" s="950"/>
      <c r="MIF118" s="950"/>
      <c r="MIG118" s="950"/>
      <c r="MIH118" s="950"/>
      <c r="MII118" s="950"/>
      <c r="MIJ118" s="950"/>
      <c r="MIK118" s="950"/>
      <c r="MIL118" s="950"/>
      <c r="MIM118" s="950"/>
      <c r="MIN118" s="950"/>
      <c r="MIO118" s="950"/>
      <c r="MIP118" s="950"/>
      <c r="MIQ118" s="950"/>
      <c r="MIR118" s="950"/>
      <c r="MIS118" s="950"/>
      <c r="MIT118" s="950"/>
      <c r="MIU118" s="950"/>
      <c r="MIV118" s="950"/>
      <c r="MIW118" s="950"/>
      <c r="MIX118" s="950"/>
      <c r="MIY118" s="950"/>
      <c r="MIZ118" s="950"/>
      <c r="MJA118" s="950"/>
      <c r="MJB118" s="950"/>
      <c r="MJC118" s="950"/>
      <c r="MJD118" s="950"/>
      <c r="MJE118" s="950"/>
      <c r="MJF118" s="950"/>
      <c r="MJG118" s="950"/>
      <c r="MJH118" s="950"/>
      <c r="MJI118" s="950"/>
      <c r="MJJ118" s="950"/>
      <c r="MJK118" s="950"/>
      <c r="MJL118" s="950"/>
      <c r="MJM118" s="950"/>
      <c r="MJN118" s="950"/>
      <c r="MJO118" s="950"/>
      <c r="MJP118" s="950"/>
      <c r="MJQ118" s="950"/>
      <c r="MJR118" s="950"/>
      <c r="MJS118" s="950"/>
      <c r="MJT118" s="950"/>
      <c r="MJU118" s="950"/>
      <c r="MJV118" s="950"/>
      <c r="MJW118" s="950"/>
      <c r="MJX118" s="950"/>
      <c r="MJY118" s="950"/>
      <c r="MJZ118" s="950"/>
      <c r="MKA118" s="950"/>
      <c r="MKB118" s="950"/>
      <c r="MKC118" s="950"/>
      <c r="MKD118" s="950"/>
      <c r="MKE118" s="950"/>
      <c r="MKF118" s="950"/>
      <c r="MKG118" s="950"/>
      <c r="MKH118" s="950"/>
      <c r="MKI118" s="950"/>
      <c r="MKJ118" s="950"/>
      <c r="MKK118" s="950"/>
      <c r="MKL118" s="950"/>
      <c r="MKM118" s="950"/>
      <c r="MKN118" s="950"/>
      <c r="MKO118" s="950"/>
      <c r="MKP118" s="950"/>
      <c r="MKQ118" s="950"/>
      <c r="MKR118" s="950"/>
      <c r="MKS118" s="950"/>
      <c r="MKT118" s="950"/>
      <c r="MKU118" s="950"/>
      <c r="MKV118" s="950"/>
      <c r="MKW118" s="950"/>
      <c r="MKX118" s="950"/>
      <c r="MKY118" s="950"/>
      <c r="MKZ118" s="950"/>
      <c r="MLA118" s="950"/>
      <c r="MLB118" s="950"/>
      <c r="MLC118" s="950"/>
      <c r="MLD118" s="950"/>
      <c r="MLE118" s="950"/>
      <c r="MLF118" s="950"/>
      <c r="MLG118" s="950"/>
      <c r="MLH118" s="950"/>
      <c r="MLI118" s="950"/>
      <c r="MLJ118" s="950"/>
      <c r="MLK118" s="950"/>
      <c r="MLL118" s="950"/>
      <c r="MLM118" s="950"/>
      <c r="MLN118" s="950"/>
      <c r="MLO118" s="950"/>
      <c r="MLP118" s="950"/>
      <c r="MLQ118" s="950"/>
      <c r="MLR118" s="950"/>
      <c r="MLS118" s="950"/>
      <c r="MLT118" s="950"/>
      <c r="MLU118" s="950"/>
      <c r="MLV118" s="950"/>
      <c r="MLW118" s="950"/>
      <c r="MLX118" s="950"/>
      <c r="MLY118" s="950"/>
      <c r="MLZ118" s="950"/>
      <c r="MMA118" s="950"/>
      <c r="MMB118" s="950"/>
      <c r="MMC118" s="950"/>
      <c r="MMD118" s="950"/>
      <c r="MME118" s="950"/>
      <c r="MMF118" s="950"/>
      <c r="MMG118" s="950"/>
      <c r="MMH118" s="950"/>
      <c r="MMI118" s="950"/>
      <c r="MMJ118" s="950"/>
      <c r="MMK118" s="950"/>
      <c r="MML118" s="950"/>
      <c r="MMM118" s="950"/>
      <c r="MMN118" s="950"/>
      <c r="MMO118" s="950"/>
      <c r="MMP118" s="950"/>
      <c r="MMQ118" s="950"/>
      <c r="MMR118" s="950"/>
      <c r="MMS118" s="950"/>
      <c r="MMT118" s="950"/>
      <c r="MMU118" s="950"/>
      <c r="MMV118" s="950"/>
      <c r="MMW118" s="950"/>
      <c r="MMX118" s="950"/>
      <c r="MMY118" s="950"/>
      <c r="MMZ118" s="950"/>
      <c r="MNA118" s="950"/>
      <c r="MNB118" s="950"/>
      <c r="MNC118" s="950"/>
      <c r="MND118" s="950"/>
      <c r="MNE118" s="950"/>
      <c r="MNF118" s="950"/>
      <c r="MNG118" s="950"/>
      <c r="MNH118" s="950"/>
      <c r="MNI118" s="950"/>
      <c r="MNJ118" s="950"/>
      <c r="MNK118" s="950"/>
      <c r="MNL118" s="950"/>
      <c r="MNM118" s="950"/>
      <c r="MNN118" s="950"/>
      <c r="MNO118" s="950"/>
      <c r="MNP118" s="950"/>
      <c r="MNQ118" s="950"/>
      <c r="MNR118" s="950"/>
      <c r="MNS118" s="950"/>
      <c r="MNT118" s="950"/>
      <c r="MNU118" s="950"/>
      <c r="MNV118" s="950"/>
      <c r="MNW118" s="950"/>
      <c r="MNX118" s="950"/>
      <c r="MNY118" s="950"/>
      <c r="MNZ118" s="950"/>
      <c r="MOA118" s="950"/>
      <c r="MOB118" s="950"/>
      <c r="MOC118" s="950"/>
      <c r="MOD118" s="950"/>
      <c r="MOE118" s="950"/>
      <c r="MOF118" s="950"/>
      <c r="MOG118" s="950"/>
      <c r="MOH118" s="950"/>
      <c r="MOI118" s="950"/>
      <c r="MOJ118" s="950"/>
      <c r="MOK118" s="950"/>
      <c r="MOL118" s="950"/>
      <c r="MOM118" s="950"/>
      <c r="MON118" s="950"/>
      <c r="MOO118" s="950"/>
      <c r="MOP118" s="950"/>
      <c r="MOQ118" s="950"/>
      <c r="MOR118" s="950"/>
      <c r="MOS118" s="950"/>
      <c r="MOT118" s="950"/>
      <c r="MOU118" s="950"/>
      <c r="MOV118" s="950"/>
      <c r="MOW118" s="950"/>
      <c r="MOX118" s="950"/>
      <c r="MOY118" s="950"/>
      <c r="MOZ118" s="950"/>
      <c r="MPA118" s="950"/>
      <c r="MPB118" s="950"/>
      <c r="MPC118" s="950"/>
      <c r="MPD118" s="950"/>
      <c r="MPE118" s="950"/>
      <c r="MPF118" s="950"/>
      <c r="MPG118" s="950"/>
      <c r="MPH118" s="950"/>
      <c r="MPI118" s="950"/>
      <c r="MPJ118" s="950"/>
      <c r="MPK118" s="950"/>
      <c r="MPL118" s="950"/>
      <c r="MPM118" s="950"/>
      <c r="MPN118" s="950"/>
      <c r="MPO118" s="950"/>
      <c r="MPP118" s="950"/>
      <c r="MPQ118" s="950"/>
      <c r="MPR118" s="950"/>
      <c r="MPS118" s="950"/>
      <c r="MPT118" s="950"/>
      <c r="MPU118" s="950"/>
      <c r="MPV118" s="950"/>
      <c r="MPW118" s="950"/>
      <c r="MPX118" s="950"/>
      <c r="MPY118" s="950"/>
      <c r="MPZ118" s="950"/>
      <c r="MQA118" s="950"/>
      <c r="MQB118" s="950"/>
      <c r="MQC118" s="950"/>
      <c r="MQD118" s="950"/>
      <c r="MQE118" s="950"/>
      <c r="MQF118" s="950"/>
      <c r="MQG118" s="950"/>
      <c r="MQH118" s="950"/>
      <c r="MQI118" s="950"/>
      <c r="MQJ118" s="950"/>
      <c r="MQK118" s="950"/>
      <c r="MQL118" s="950"/>
      <c r="MQM118" s="950"/>
      <c r="MQN118" s="950"/>
      <c r="MQO118" s="950"/>
      <c r="MQP118" s="950"/>
      <c r="MQQ118" s="950"/>
      <c r="MQR118" s="950"/>
      <c r="MQS118" s="950"/>
      <c r="MQT118" s="950"/>
      <c r="MQU118" s="950"/>
      <c r="MQV118" s="950"/>
      <c r="MQW118" s="950"/>
      <c r="MQX118" s="950"/>
      <c r="MQY118" s="950"/>
      <c r="MQZ118" s="950"/>
      <c r="MRA118" s="950"/>
      <c r="MRB118" s="950"/>
      <c r="MRC118" s="950"/>
      <c r="MRD118" s="950"/>
      <c r="MRE118" s="950"/>
      <c r="MRF118" s="950"/>
      <c r="MRG118" s="950"/>
      <c r="MRH118" s="950"/>
      <c r="MRI118" s="950"/>
      <c r="MRJ118" s="950"/>
      <c r="MRK118" s="950"/>
      <c r="MRL118" s="950"/>
      <c r="MRM118" s="950"/>
      <c r="MRN118" s="950"/>
      <c r="MRO118" s="950"/>
      <c r="MRP118" s="950"/>
      <c r="MRQ118" s="950"/>
      <c r="MRR118" s="950"/>
      <c r="MRS118" s="950"/>
      <c r="MRT118" s="950"/>
      <c r="MRU118" s="950"/>
      <c r="MRV118" s="950"/>
      <c r="MRW118" s="950"/>
      <c r="MRX118" s="950"/>
      <c r="MRY118" s="950"/>
      <c r="MRZ118" s="950"/>
      <c r="MSA118" s="950"/>
      <c r="MSB118" s="950"/>
      <c r="MSC118" s="950"/>
      <c r="MSD118" s="950"/>
      <c r="MSE118" s="950"/>
      <c r="MSF118" s="950"/>
      <c r="MSG118" s="950"/>
      <c r="MSH118" s="950"/>
      <c r="MSI118" s="950"/>
      <c r="MSJ118" s="950"/>
      <c r="MSK118" s="950"/>
      <c r="MSL118" s="950"/>
      <c r="MSM118" s="950"/>
      <c r="MSN118" s="950"/>
      <c r="MSO118" s="950"/>
      <c r="MSP118" s="950"/>
      <c r="MSQ118" s="950"/>
      <c r="MSR118" s="950"/>
      <c r="MSS118" s="950"/>
      <c r="MST118" s="950"/>
      <c r="MSU118" s="950"/>
      <c r="MSV118" s="950"/>
      <c r="MSW118" s="950"/>
      <c r="MSX118" s="950"/>
      <c r="MSY118" s="950"/>
      <c r="MSZ118" s="950"/>
      <c r="MTA118" s="950"/>
      <c r="MTB118" s="950"/>
      <c r="MTC118" s="950"/>
      <c r="MTD118" s="950"/>
      <c r="MTE118" s="950"/>
      <c r="MTF118" s="950"/>
      <c r="MTG118" s="950"/>
      <c r="MTH118" s="950"/>
      <c r="MTI118" s="950"/>
      <c r="MTJ118" s="950"/>
      <c r="MTK118" s="950"/>
      <c r="MTL118" s="950"/>
      <c r="MTM118" s="950"/>
      <c r="MTN118" s="950"/>
      <c r="MTO118" s="950"/>
      <c r="MTP118" s="950"/>
      <c r="MTQ118" s="950"/>
      <c r="MTR118" s="950"/>
      <c r="MTS118" s="950"/>
      <c r="MTT118" s="950"/>
      <c r="MTU118" s="950"/>
      <c r="MTV118" s="950"/>
      <c r="MTW118" s="950"/>
      <c r="MTX118" s="950"/>
      <c r="MTY118" s="950"/>
      <c r="MTZ118" s="950"/>
      <c r="MUA118" s="950"/>
      <c r="MUB118" s="950"/>
      <c r="MUC118" s="950"/>
      <c r="MUD118" s="950"/>
      <c r="MUE118" s="950"/>
      <c r="MUF118" s="950"/>
      <c r="MUG118" s="950"/>
      <c r="MUH118" s="950"/>
      <c r="MUI118" s="950"/>
      <c r="MUJ118" s="950"/>
      <c r="MUK118" s="950"/>
      <c r="MUL118" s="950"/>
      <c r="MUM118" s="950"/>
      <c r="MUN118" s="950"/>
      <c r="MUO118" s="950"/>
      <c r="MUP118" s="950"/>
      <c r="MUQ118" s="950"/>
      <c r="MUR118" s="950"/>
      <c r="MUS118" s="950"/>
      <c r="MUT118" s="950"/>
      <c r="MUU118" s="950"/>
      <c r="MUV118" s="950"/>
      <c r="MUW118" s="950"/>
      <c r="MUX118" s="950"/>
      <c r="MUY118" s="950"/>
      <c r="MUZ118" s="950"/>
      <c r="MVA118" s="950"/>
      <c r="MVB118" s="950"/>
      <c r="MVC118" s="950"/>
      <c r="MVD118" s="950"/>
      <c r="MVE118" s="950"/>
      <c r="MVF118" s="950"/>
      <c r="MVG118" s="950"/>
      <c r="MVH118" s="950"/>
      <c r="MVI118" s="950"/>
      <c r="MVJ118" s="950"/>
      <c r="MVK118" s="950"/>
      <c r="MVL118" s="950"/>
      <c r="MVM118" s="950"/>
      <c r="MVN118" s="950"/>
      <c r="MVO118" s="950"/>
      <c r="MVP118" s="950"/>
      <c r="MVQ118" s="950"/>
      <c r="MVR118" s="950"/>
      <c r="MVS118" s="950"/>
      <c r="MVT118" s="950"/>
      <c r="MVU118" s="950"/>
      <c r="MVV118" s="950"/>
      <c r="MVW118" s="950"/>
      <c r="MVX118" s="950"/>
      <c r="MVY118" s="950"/>
      <c r="MVZ118" s="950"/>
      <c r="MWA118" s="950"/>
      <c r="MWB118" s="950"/>
      <c r="MWC118" s="950"/>
      <c r="MWD118" s="950"/>
      <c r="MWE118" s="950"/>
      <c r="MWF118" s="950"/>
      <c r="MWG118" s="950"/>
      <c r="MWH118" s="950"/>
      <c r="MWI118" s="950"/>
      <c r="MWJ118" s="950"/>
      <c r="MWK118" s="950"/>
      <c r="MWL118" s="950"/>
      <c r="MWM118" s="950"/>
      <c r="MWN118" s="950"/>
      <c r="MWO118" s="950"/>
      <c r="MWP118" s="950"/>
      <c r="MWQ118" s="950"/>
      <c r="MWR118" s="950"/>
      <c r="MWS118" s="950"/>
      <c r="MWT118" s="950"/>
      <c r="MWU118" s="950"/>
      <c r="MWV118" s="950"/>
      <c r="MWW118" s="950"/>
      <c r="MWX118" s="950"/>
      <c r="MWY118" s="950"/>
      <c r="MWZ118" s="950"/>
      <c r="MXA118" s="950"/>
      <c r="MXB118" s="950"/>
      <c r="MXC118" s="950"/>
      <c r="MXD118" s="950"/>
      <c r="MXE118" s="950"/>
      <c r="MXF118" s="950"/>
      <c r="MXG118" s="950"/>
      <c r="MXH118" s="950"/>
      <c r="MXI118" s="950"/>
      <c r="MXJ118" s="950"/>
      <c r="MXK118" s="950"/>
      <c r="MXL118" s="950"/>
      <c r="MXM118" s="950"/>
      <c r="MXN118" s="950"/>
      <c r="MXO118" s="950"/>
      <c r="MXP118" s="950"/>
      <c r="MXQ118" s="950"/>
      <c r="MXR118" s="950"/>
      <c r="MXS118" s="950"/>
      <c r="MXT118" s="950"/>
      <c r="MXU118" s="950"/>
      <c r="MXV118" s="950"/>
      <c r="MXW118" s="950"/>
      <c r="MXX118" s="950"/>
      <c r="MXY118" s="950"/>
      <c r="MXZ118" s="950"/>
      <c r="MYA118" s="950"/>
      <c r="MYB118" s="950"/>
      <c r="MYC118" s="950"/>
      <c r="MYD118" s="950"/>
      <c r="MYE118" s="950"/>
      <c r="MYF118" s="950"/>
      <c r="MYG118" s="950"/>
      <c r="MYH118" s="950"/>
      <c r="MYI118" s="950"/>
      <c r="MYJ118" s="950"/>
      <c r="MYK118" s="950"/>
      <c r="MYL118" s="950"/>
      <c r="MYM118" s="950"/>
      <c r="MYN118" s="950"/>
      <c r="MYO118" s="950"/>
      <c r="MYP118" s="950"/>
      <c r="MYQ118" s="950"/>
      <c r="MYR118" s="950"/>
      <c r="MYS118" s="950"/>
      <c r="MYT118" s="950"/>
      <c r="MYU118" s="950"/>
      <c r="MYV118" s="950"/>
      <c r="MYW118" s="950"/>
      <c r="MYX118" s="950"/>
      <c r="MYY118" s="950"/>
      <c r="MYZ118" s="950"/>
      <c r="MZA118" s="950"/>
      <c r="MZB118" s="950"/>
      <c r="MZC118" s="950"/>
      <c r="MZD118" s="950"/>
      <c r="MZE118" s="950"/>
      <c r="MZF118" s="950"/>
      <c r="MZG118" s="950"/>
      <c r="MZH118" s="950"/>
      <c r="MZI118" s="950"/>
      <c r="MZJ118" s="950"/>
      <c r="MZK118" s="950"/>
      <c r="MZL118" s="950"/>
      <c r="MZM118" s="950"/>
      <c r="MZN118" s="950"/>
      <c r="MZO118" s="950"/>
      <c r="MZP118" s="950"/>
      <c r="MZQ118" s="950"/>
      <c r="MZR118" s="950"/>
      <c r="MZS118" s="950"/>
      <c r="MZT118" s="950"/>
      <c r="MZU118" s="950"/>
      <c r="MZV118" s="950"/>
      <c r="MZW118" s="950"/>
      <c r="MZX118" s="950"/>
      <c r="MZY118" s="950"/>
      <c r="MZZ118" s="950"/>
      <c r="NAA118" s="950"/>
      <c r="NAB118" s="950"/>
      <c r="NAC118" s="950"/>
      <c r="NAD118" s="950"/>
      <c r="NAE118" s="950"/>
      <c r="NAF118" s="950"/>
      <c r="NAG118" s="950"/>
      <c r="NAH118" s="950"/>
      <c r="NAI118" s="950"/>
      <c r="NAJ118" s="950"/>
      <c r="NAK118" s="950"/>
      <c r="NAL118" s="950"/>
      <c r="NAM118" s="950"/>
      <c r="NAN118" s="950"/>
      <c r="NAO118" s="950"/>
      <c r="NAP118" s="950"/>
      <c r="NAQ118" s="950"/>
      <c r="NAR118" s="950"/>
      <c r="NAS118" s="950"/>
      <c r="NAT118" s="950"/>
      <c r="NAU118" s="950"/>
      <c r="NAV118" s="950"/>
      <c r="NAW118" s="950"/>
      <c r="NAX118" s="950"/>
      <c r="NAY118" s="950"/>
      <c r="NAZ118" s="950"/>
      <c r="NBA118" s="950"/>
      <c r="NBB118" s="950"/>
      <c r="NBC118" s="950"/>
      <c r="NBD118" s="950"/>
      <c r="NBE118" s="950"/>
      <c r="NBF118" s="950"/>
      <c r="NBG118" s="950"/>
      <c r="NBH118" s="950"/>
      <c r="NBI118" s="950"/>
      <c r="NBJ118" s="950"/>
      <c r="NBK118" s="950"/>
      <c r="NBL118" s="950"/>
      <c r="NBM118" s="950"/>
      <c r="NBN118" s="950"/>
      <c r="NBO118" s="950"/>
      <c r="NBP118" s="950"/>
      <c r="NBQ118" s="950"/>
      <c r="NBR118" s="950"/>
      <c r="NBS118" s="950"/>
      <c r="NBT118" s="950"/>
      <c r="NBU118" s="950"/>
      <c r="NBV118" s="950"/>
      <c r="NBW118" s="950"/>
      <c r="NBX118" s="950"/>
      <c r="NBY118" s="950"/>
      <c r="NBZ118" s="950"/>
      <c r="NCA118" s="950"/>
      <c r="NCB118" s="950"/>
      <c r="NCC118" s="950"/>
      <c r="NCD118" s="950"/>
      <c r="NCE118" s="950"/>
      <c r="NCF118" s="950"/>
      <c r="NCG118" s="950"/>
      <c r="NCH118" s="950"/>
      <c r="NCI118" s="950"/>
      <c r="NCJ118" s="950"/>
      <c r="NCK118" s="950"/>
      <c r="NCL118" s="950"/>
      <c r="NCM118" s="950"/>
      <c r="NCN118" s="950"/>
      <c r="NCO118" s="950"/>
      <c r="NCP118" s="950"/>
      <c r="NCQ118" s="950"/>
      <c r="NCR118" s="950"/>
      <c r="NCS118" s="950"/>
      <c r="NCT118" s="950"/>
      <c r="NCU118" s="950"/>
      <c r="NCV118" s="950"/>
      <c r="NCW118" s="950"/>
      <c r="NCX118" s="950"/>
      <c r="NCY118" s="950"/>
      <c r="NCZ118" s="950"/>
      <c r="NDA118" s="950"/>
      <c r="NDB118" s="950"/>
      <c r="NDC118" s="950"/>
      <c r="NDD118" s="950"/>
      <c r="NDE118" s="950"/>
      <c r="NDF118" s="950"/>
      <c r="NDG118" s="950"/>
      <c r="NDH118" s="950"/>
      <c r="NDI118" s="950"/>
      <c r="NDJ118" s="950"/>
      <c r="NDK118" s="950"/>
      <c r="NDL118" s="950"/>
      <c r="NDM118" s="950"/>
      <c r="NDN118" s="950"/>
      <c r="NDO118" s="950"/>
      <c r="NDP118" s="950"/>
      <c r="NDQ118" s="950"/>
      <c r="NDR118" s="950"/>
      <c r="NDS118" s="950"/>
      <c r="NDT118" s="950"/>
      <c r="NDU118" s="950"/>
      <c r="NDV118" s="950"/>
      <c r="NDW118" s="950"/>
      <c r="NDX118" s="950"/>
      <c r="NDY118" s="950"/>
      <c r="NDZ118" s="950"/>
      <c r="NEA118" s="950"/>
      <c r="NEB118" s="950"/>
      <c r="NEC118" s="950"/>
      <c r="NED118" s="950"/>
      <c r="NEE118" s="950"/>
      <c r="NEF118" s="950"/>
      <c r="NEG118" s="950"/>
      <c r="NEH118" s="950"/>
      <c r="NEI118" s="950"/>
      <c r="NEJ118" s="950"/>
      <c r="NEK118" s="950"/>
      <c r="NEL118" s="950"/>
      <c r="NEM118" s="950"/>
      <c r="NEN118" s="950"/>
      <c r="NEO118" s="950"/>
      <c r="NEP118" s="950"/>
      <c r="NEQ118" s="950"/>
      <c r="NER118" s="950"/>
      <c r="NES118" s="950"/>
      <c r="NET118" s="950"/>
      <c r="NEU118" s="950"/>
      <c r="NEV118" s="950"/>
      <c r="NEW118" s="950"/>
      <c r="NEX118" s="950"/>
      <c r="NEY118" s="950"/>
      <c r="NEZ118" s="950"/>
      <c r="NFA118" s="950"/>
      <c r="NFB118" s="950"/>
      <c r="NFC118" s="950"/>
      <c r="NFD118" s="950"/>
      <c r="NFE118" s="950"/>
      <c r="NFF118" s="950"/>
      <c r="NFG118" s="950"/>
      <c r="NFH118" s="950"/>
      <c r="NFI118" s="950"/>
      <c r="NFJ118" s="950"/>
      <c r="NFK118" s="950"/>
      <c r="NFL118" s="950"/>
      <c r="NFM118" s="950"/>
      <c r="NFN118" s="950"/>
      <c r="NFO118" s="950"/>
      <c r="NFP118" s="950"/>
      <c r="NFQ118" s="950"/>
      <c r="NFR118" s="950"/>
      <c r="NFS118" s="950"/>
      <c r="NFT118" s="950"/>
      <c r="NFU118" s="950"/>
      <c r="NFV118" s="950"/>
      <c r="NFW118" s="950"/>
      <c r="NFX118" s="950"/>
      <c r="NFY118" s="950"/>
      <c r="NFZ118" s="950"/>
      <c r="NGA118" s="950"/>
      <c r="NGB118" s="950"/>
      <c r="NGC118" s="950"/>
      <c r="NGD118" s="950"/>
      <c r="NGE118" s="950"/>
      <c r="NGF118" s="950"/>
      <c r="NGG118" s="950"/>
      <c r="NGH118" s="950"/>
      <c r="NGI118" s="950"/>
      <c r="NGJ118" s="950"/>
      <c r="NGK118" s="950"/>
      <c r="NGL118" s="950"/>
      <c r="NGM118" s="950"/>
      <c r="NGN118" s="950"/>
      <c r="NGO118" s="950"/>
      <c r="NGP118" s="950"/>
      <c r="NGQ118" s="950"/>
      <c r="NGR118" s="950"/>
      <c r="NGS118" s="950"/>
      <c r="NGT118" s="950"/>
      <c r="NGU118" s="950"/>
      <c r="NGV118" s="950"/>
      <c r="NGW118" s="950"/>
      <c r="NGX118" s="950"/>
      <c r="NGY118" s="950"/>
      <c r="NGZ118" s="950"/>
      <c r="NHA118" s="950"/>
      <c r="NHB118" s="950"/>
      <c r="NHC118" s="950"/>
      <c r="NHD118" s="950"/>
      <c r="NHE118" s="950"/>
      <c r="NHF118" s="950"/>
      <c r="NHG118" s="950"/>
      <c r="NHH118" s="950"/>
      <c r="NHI118" s="950"/>
      <c r="NHJ118" s="950"/>
      <c r="NHK118" s="950"/>
      <c r="NHL118" s="950"/>
      <c r="NHM118" s="950"/>
      <c r="NHN118" s="950"/>
      <c r="NHO118" s="950"/>
      <c r="NHP118" s="950"/>
      <c r="NHQ118" s="950"/>
      <c r="NHR118" s="950"/>
      <c r="NHS118" s="950"/>
      <c r="NHT118" s="950"/>
      <c r="NHU118" s="950"/>
      <c r="NHV118" s="950"/>
      <c r="NHW118" s="950"/>
      <c r="NHX118" s="950"/>
      <c r="NHY118" s="950"/>
      <c r="NHZ118" s="950"/>
      <c r="NIA118" s="950"/>
      <c r="NIB118" s="950"/>
      <c r="NIC118" s="950"/>
      <c r="NID118" s="950"/>
      <c r="NIE118" s="950"/>
      <c r="NIF118" s="950"/>
      <c r="NIG118" s="950"/>
      <c r="NIH118" s="950"/>
      <c r="NII118" s="950"/>
      <c r="NIJ118" s="950"/>
      <c r="NIK118" s="950"/>
      <c r="NIL118" s="950"/>
      <c r="NIM118" s="950"/>
      <c r="NIN118" s="950"/>
      <c r="NIO118" s="950"/>
      <c r="NIP118" s="950"/>
      <c r="NIQ118" s="950"/>
      <c r="NIR118" s="950"/>
      <c r="NIS118" s="950"/>
      <c r="NIT118" s="950"/>
      <c r="NIU118" s="950"/>
      <c r="NIV118" s="950"/>
      <c r="NIW118" s="950"/>
      <c r="NIX118" s="950"/>
      <c r="NIY118" s="950"/>
      <c r="NIZ118" s="950"/>
      <c r="NJA118" s="950"/>
      <c r="NJB118" s="950"/>
      <c r="NJC118" s="950"/>
      <c r="NJD118" s="950"/>
      <c r="NJE118" s="950"/>
      <c r="NJF118" s="950"/>
      <c r="NJG118" s="950"/>
      <c r="NJH118" s="950"/>
      <c r="NJI118" s="950"/>
      <c r="NJJ118" s="950"/>
      <c r="NJK118" s="950"/>
      <c r="NJL118" s="950"/>
      <c r="NJM118" s="950"/>
      <c r="NJN118" s="950"/>
      <c r="NJO118" s="950"/>
      <c r="NJP118" s="950"/>
      <c r="NJQ118" s="950"/>
      <c r="NJR118" s="950"/>
      <c r="NJS118" s="950"/>
      <c r="NJT118" s="950"/>
      <c r="NJU118" s="950"/>
      <c r="NJV118" s="950"/>
      <c r="NJW118" s="950"/>
      <c r="NJX118" s="950"/>
      <c r="NJY118" s="950"/>
      <c r="NJZ118" s="950"/>
      <c r="NKA118" s="950"/>
      <c r="NKB118" s="950"/>
      <c r="NKC118" s="950"/>
      <c r="NKD118" s="950"/>
      <c r="NKE118" s="950"/>
      <c r="NKF118" s="950"/>
      <c r="NKG118" s="950"/>
      <c r="NKH118" s="950"/>
      <c r="NKI118" s="950"/>
      <c r="NKJ118" s="950"/>
      <c r="NKK118" s="950"/>
      <c r="NKL118" s="950"/>
      <c r="NKM118" s="950"/>
      <c r="NKN118" s="950"/>
      <c r="NKO118" s="950"/>
      <c r="NKP118" s="950"/>
      <c r="NKQ118" s="950"/>
      <c r="NKR118" s="950"/>
      <c r="NKS118" s="950"/>
      <c r="NKT118" s="950"/>
      <c r="NKU118" s="950"/>
      <c r="NKV118" s="950"/>
      <c r="NKW118" s="950"/>
      <c r="NKX118" s="950"/>
      <c r="NKY118" s="950"/>
      <c r="NKZ118" s="950"/>
      <c r="NLA118" s="950"/>
      <c r="NLB118" s="950"/>
      <c r="NLC118" s="950"/>
      <c r="NLD118" s="950"/>
      <c r="NLE118" s="950"/>
      <c r="NLF118" s="950"/>
      <c r="NLG118" s="950"/>
      <c r="NLH118" s="950"/>
      <c r="NLI118" s="950"/>
      <c r="NLJ118" s="950"/>
      <c r="NLK118" s="950"/>
      <c r="NLL118" s="950"/>
      <c r="NLM118" s="950"/>
      <c r="NLN118" s="950"/>
      <c r="NLO118" s="950"/>
      <c r="NLP118" s="950"/>
      <c r="NLQ118" s="950"/>
      <c r="NLR118" s="950"/>
      <c r="NLS118" s="950"/>
      <c r="NLT118" s="950"/>
      <c r="NLU118" s="950"/>
      <c r="NLV118" s="950"/>
      <c r="NLW118" s="950"/>
      <c r="NLX118" s="950"/>
      <c r="NLY118" s="950"/>
      <c r="NLZ118" s="950"/>
      <c r="NMA118" s="950"/>
      <c r="NMB118" s="950"/>
      <c r="NMC118" s="950"/>
      <c r="NMD118" s="950"/>
      <c r="NME118" s="950"/>
      <c r="NMF118" s="950"/>
      <c r="NMG118" s="950"/>
      <c r="NMH118" s="950"/>
      <c r="NMI118" s="950"/>
      <c r="NMJ118" s="950"/>
      <c r="NMK118" s="950"/>
      <c r="NML118" s="950"/>
      <c r="NMM118" s="950"/>
      <c r="NMN118" s="950"/>
      <c r="NMO118" s="950"/>
      <c r="NMP118" s="950"/>
      <c r="NMQ118" s="950"/>
      <c r="NMR118" s="950"/>
      <c r="NMS118" s="950"/>
      <c r="NMT118" s="950"/>
      <c r="NMU118" s="950"/>
      <c r="NMV118" s="950"/>
      <c r="NMW118" s="950"/>
      <c r="NMX118" s="950"/>
      <c r="NMY118" s="950"/>
      <c r="NMZ118" s="950"/>
      <c r="NNA118" s="950"/>
      <c r="NNB118" s="950"/>
      <c r="NNC118" s="950"/>
      <c r="NND118" s="950"/>
      <c r="NNE118" s="950"/>
      <c r="NNF118" s="950"/>
      <c r="NNG118" s="950"/>
      <c r="NNH118" s="950"/>
      <c r="NNI118" s="950"/>
      <c r="NNJ118" s="950"/>
      <c r="NNK118" s="950"/>
      <c r="NNL118" s="950"/>
      <c r="NNM118" s="950"/>
      <c r="NNN118" s="950"/>
      <c r="NNO118" s="950"/>
      <c r="NNP118" s="950"/>
      <c r="NNQ118" s="950"/>
      <c r="NNR118" s="950"/>
      <c r="NNS118" s="950"/>
      <c r="NNT118" s="950"/>
      <c r="NNU118" s="950"/>
      <c r="NNV118" s="950"/>
      <c r="NNW118" s="950"/>
      <c r="NNX118" s="950"/>
      <c r="NNY118" s="950"/>
      <c r="NNZ118" s="950"/>
      <c r="NOA118" s="950"/>
      <c r="NOB118" s="950"/>
      <c r="NOC118" s="950"/>
      <c r="NOD118" s="950"/>
      <c r="NOE118" s="950"/>
      <c r="NOF118" s="950"/>
      <c r="NOG118" s="950"/>
      <c r="NOH118" s="950"/>
      <c r="NOI118" s="950"/>
      <c r="NOJ118" s="950"/>
      <c r="NOK118" s="950"/>
      <c r="NOL118" s="950"/>
      <c r="NOM118" s="950"/>
      <c r="NON118" s="950"/>
      <c r="NOO118" s="950"/>
      <c r="NOP118" s="950"/>
      <c r="NOQ118" s="950"/>
      <c r="NOR118" s="950"/>
      <c r="NOS118" s="950"/>
      <c r="NOT118" s="950"/>
      <c r="NOU118" s="950"/>
      <c r="NOV118" s="950"/>
      <c r="NOW118" s="950"/>
      <c r="NOX118" s="950"/>
      <c r="NOY118" s="950"/>
      <c r="NOZ118" s="950"/>
      <c r="NPA118" s="950"/>
      <c r="NPB118" s="950"/>
      <c r="NPC118" s="950"/>
      <c r="NPD118" s="950"/>
      <c r="NPE118" s="950"/>
      <c r="NPF118" s="950"/>
      <c r="NPG118" s="950"/>
      <c r="NPH118" s="950"/>
      <c r="NPI118" s="950"/>
      <c r="NPJ118" s="950"/>
      <c r="NPK118" s="950"/>
      <c r="NPL118" s="950"/>
      <c r="NPM118" s="950"/>
      <c r="NPN118" s="950"/>
      <c r="NPO118" s="950"/>
      <c r="NPP118" s="950"/>
      <c r="NPQ118" s="950"/>
      <c r="NPR118" s="950"/>
      <c r="NPS118" s="950"/>
      <c r="NPT118" s="950"/>
      <c r="NPU118" s="950"/>
      <c r="NPV118" s="950"/>
      <c r="NPW118" s="950"/>
      <c r="NPX118" s="950"/>
      <c r="NPY118" s="950"/>
      <c r="NPZ118" s="950"/>
      <c r="NQA118" s="950"/>
      <c r="NQB118" s="950"/>
      <c r="NQC118" s="950"/>
      <c r="NQD118" s="950"/>
      <c r="NQE118" s="950"/>
      <c r="NQF118" s="950"/>
      <c r="NQG118" s="950"/>
      <c r="NQH118" s="950"/>
      <c r="NQI118" s="950"/>
      <c r="NQJ118" s="950"/>
      <c r="NQK118" s="950"/>
      <c r="NQL118" s="950"/>
      <c r="NQM118" s="950"/>
      <c r="NQN118" s="950"/>
      <c r="NQO118" s="950"/>
      <c r="NQP118" s="950"/>
      <c r="NQQ118" s="950"/>
      <c r="NQR118" s="950"/>
      <c r="NQS118" s="950"/>
      <c r="NQT118" s="950"/>
      <c r="NQU118" s="950"/>
      <c r="NQV118" s="950"/>
      <c r="NQW118" s="950"/>
      <c r="NQX118" s="950"/>
      <c r="NQY118" s="950"/>
      <c r="NQZ118" s="950"/>
      <c r="NRA118" s="950"/>
      <c r="NRB118" s="950"/>
      <c r="NRC118" s="950"/>
      <c r="NRD118" s="950"/>
      <c r="NRE118" s="950"/>
      <c r="NRF118" s="950"/>
      <c r="NRG118" s="950"/>
      <c r="NRH118" s="950"/>
      <c r="NRI118" s="950"/>
      <c r="NRJ118" s="950"/>
      <c r="NRK118" s="950"/>
      <c r="NRL118" s="950"/>
      <c r="NRM118" s="950"/>
      <c r="NRN118" s="950"/>
      <c r="NRO118" s="950"/>
      <c r="NRP118" s="950"/>
      <c r="NRQ118" s="950"/>
      <c r="NRR118" s="950"/>
      <c r="NRS118" s="950"/>
      <c r="NRT118" s="950"/>
      <c r="NRU118" s="950"/>
      <c r="NRV118" s="950"/>
      <c r="NRW118" s="950"/>
      <c r="NRX118" s="950"/>
      <c r="NRY118" s="950"/>
      <c r="NRZ118" s="950"/>
      <c r="NSA118" s="950"/>
      <c r="NSB118" s="950"/>
      <c r="NSC118" s="950"/>
      <c r="NSD118" s="950"/>
      <c r="NSE118" s="950"/>
      <c r="NSF118" s="950"/>
      <c r="NSG118" s="950"/>
      <c r="NSH118" s="950"/>
      <c r="NSI118" s="950"/>
      <c r="NSJ118" s="950"/>
      <c r="NSK118" s="950"/>
      <c r="NSL118" s="950"/>
      <c r="NSM118" s="950"/>
      <c r="NSN118" s="950"/>
      <c r="NSO118" s="950"/>
      <c r="NSP118" s="950"/>
      <c r="NSQ118" s="950"/>
      <c r="NSR118" s="950"/>
      <c r="NSS118" s="950"/>
      <c r="NST118" s="950"/>
      <c r="NSU118" s="950"/>
      <c r="NSV118" s="950"/>
      <c r="NSW118" s="950"/>
      <c r="NSX118" s="950"/>
      <c r="NSY118" s="950"/>
      <c r="NSZ118" s="950"/>
      <c r="NTA118" s="950"/>
      <c r="NTB118" s="950"/>
      <c r="NTC118" s="950"/>
      <c r="NTD118" s="950"/>
      <c r="NTE118" s="950"/>
      <c r="NTF118" s="950"/>
      <c r="NTG118" s="950"/>
      <c r="NTH118" s="950"/>
      <c r="NTI118" s="950"/>
      <c r="NTJ118" s="950"/>
      <c r="NTK118" s="950"/>
      <c r="NTL118" s="950"/>
      <c r="NTM118" s="950"/>
      <c r="NTN118" s="950"/>
      <c r="NTO118" s="950"/>
      <c r="NTP118" s="950"/>
      <c r="NTQ118" s="950"/>
      <c r="NTR118" s="950"/>
      <c r="NTS118" s="950"/>
      <c r="NTT118" s="950"/>
      <c r="NTU118" s="950"/>
      <c r="NTV118" s="950"/>
      <c r="NTW118" s="950"/>
      <c r="NTX118" s="950"/>
      <c r="NTY118" s="950"/>
      <c r="NTZ118" s="950"/>
      <c r="NUA118" s="950"/>
      <c r="NUB118" s="950"/>
      <c r="NUC118" s="950"/>
      <c r="NUD118" s="950"/>
      <c r="NUE118" s="950"/>
      <c r="NUF118" s="950"/>
      <c r="NUG118" s="950"/>
      <c r="NUH118" s="950"/>
      <c r="NUI118" s="950"/>
      <c r="NUJ118" s="950"/>
      <c r="NUK118" s="950"/>
      <c r="NUL118" s="950"/>
      <c r="NUM118" s="950"/>
      <c r="NUN118" s="950"/>
      <c r="NUO118" s="950"/>
      <c r="NUP118" s="950"/>
      <c r="NUQ118" s="950"/>
      <c r="NUR118" s="950"/>
      <c r="NUS118" s="950"/>
      <c r="NUT118" s="950"/>
      <c r="NUU118" s="950"/>
      <c r="NUV118" s="950"/>
      <c r="NUW118" s="950"/>
      <c r="NUX118" s="950"/>
      <c r="NUY118" s="950"/>
      <c r="NUZ118" s="950"/>
      <c r="NVA118" s="950"/>
      <c r="NVB118" s="950"/>
      <c r="NVC118" s="950"/>
      <c r="NVD118" s="950"/>
      <c r="NVE118" s="950"/>
      <c r="NVF118" s="950"/>
      <c r="NVG118" s="950"/>
      <c r="NVH118" s="950"/>
      <c r="NVI118" s="950"/>
      <c r="NVJ118" s="950"/>
      <c r="NVK118" s="950"/>
      <c r="NVL118" s="950"/>
      <c r="NVM118" s="950"/>
      <c r="NVN118" s="950"/>
      <c r="NVO118" s="950"/>
      <c r="NVP118" s="950"/>
      <c r="NVQ118" s="950"/>
      <c r="NVR118" s="950"/>
      <c r="NVS118" s="950"/>
      <c r="NVT118" s="950"/>
      <c r="NVU118" s="950"/>
      <c r="NVV118" s="950"/>
      <c r="NVW118" s="950"/>
      <c r="NVX118" s="950"/>
      <c r="NVY118" s="950"/>
      <c r="NVZ118" s="950"/>
      <c r="NWA118" s="950"/>
      <c r="NWB118" s="950"/>
      <c r="NWC118" s="950"/>
      <c r="NWD118" s="950"/>
      <c r="NWE118" s="950"/>
      <c r="NWF118" s="950"/>
      <c r="NWG118" s="950"/>
      <c r="NWH118" s="950"/>
      <c r="NWI118" s="950"/>
      <c r="NWJ118" s="950"/>
      <c r="NWK118" s="950"/>
      <c r="NWL118" s="950"/>
      <c r="NWM118" s="950"/>
      <c r="NWN118" s="950"/>
      <c r="NWO118" s="950"/>
      <c r="NWP118" s="950"/>
      <c r="NWQ118" s="950"/>
      <c r="NWR118" s="950"/>
      <c r="NWS118" s="950"/>
      <c r="NWT118" s="950"/>
      <c r="NWU118" s="950"/>
      <c r="NWV118" s="950"/>
      <c r="NWW118" s="950"/>
      <c r="NWX118" s="950"/>
      <c r="NWY118" s="950"/>
      <c r="NWZ118" s="950"/>
      <c r="NXA118" s="950"/>
      <c r="NXB118" s="950"/>
      <c r="NXC118" s="950"/>
      <c r="NXD118" s="950"/>
      <c r="NXE118" s="950"/>
      <c r="NXF118" s="950"/>
      <c r="NXG118" s="950"/>
      <c r="NXH118" s="950"/>
      <c r="NXI118" s="950"/>
      <c r="NXJ118" s="950"/>
      <c r="NXK118" s="950"/>
      <c r="NXL118" s="950"/>
      <c r="NXM118" s="950"/>
      <c r="NXN118" s="950"/>
      <c r="NXO118" s="950"/>
      <c r="NXP118" s="950"/>
      <c r="NXQ118" s="950"/>
      <c r="NXR118" s="950"/>
      <c r="NXS118" s="950"/>
      <c r="NXT118" s="950"/>
      <c r="NXU118" s="950"/>
      <c r="NXV118" s="950"/>
      <c r="NXW118" s="950"/>
      <c r="NXX118" s="950"/>
      <c r="NXY118" s="950"/>
      <c r="NXZ118" s="950"/>
      <c r="NYA118" s="950"/>
      <c r="NYB118" s="950"/>
      <c r="NYC118" s="950"/>
      <c r="NYD118" s="950"/>
      <c r="NYE118" s="950"/>
      <c r="NYF118" s="950"/>
      <c r="NYG118" s="950"/>
      <c r="NYH118" s="950"/>
      <c r="NYI118" s="950"/>
      <c r="NYJ118" s="950"/>
      <c r="NYK118" s="950"/>
      <c r="NYL118" s="950"/>
      <c r="NYM118" s="950"/>
      <c r="NYN118" s="950"/>
      <c r="NYO118" s="950"/>
      <c r="NYP118" s="950"/>
      <c r="NYQ118" s="950"/>
      <c r="NYR118" s="950"/>
      <c r="NYS118" s="950"/>
      <c r="NYT118" s="950"/>
      <c r="NYU118" s="950"/>
      <c r="NYV118" s="950"/>
      <c r="NYW118" s="950"/>
      <c r="NYX118" s="950"/>
      <c r="NYY118" s="950"/>
      <c r="NYZ118" s="950"/>
      <c r="NZA118" s="950"/>
      <c r="NZB118" s="950"/>
      <c r="NZC118" s="950"/>
      <c r="NZD118" s="950"/>
      <c r="NZE118" s="950"/>
      <c r="NZF118" s="950"/>
      <c r="NZG118" s="950"/>
      <c r="NZH118" s="950"/>
      <c r="NZI118" s="950"/>
      <c r="NZJ118" s="950"/>
      <c r="NZK118" s="950"/>
      <c r="NZL118" s="950"/>
      <c r="NZM118" s="950"/>
      <c r="NZN118" s="950"/>
      <c r="NZO118" s="950"/>
      <c r="NZP118" s="950"/>
      <c r="NZQ118" s="950"/>
      <c r="NZR118" s="950"/>
      <c r="NZS118" s="950"/>
      <c r="NZT118" s="950"/>
      <c r="NZU118" s="950"/>
      <c r="NZV118" s="950"/>
      <c r="NZW118" s="950"/>
      <c r="NZX118" s="950"/>
      <c r="NZY118" s="950"/>
      <c r="NZZ118" s="950"/>
      <c r="OAA118" s="950"/>
      <c r="OAB118" s="950"/>
      <c r="OAC118" s="950"/>
      <c r="OAD118" s="950"/>
      <c r="OAE118" s="950"/>
      <c r="OAF118" s="950"/>
      <c r="OAG118" s="950"/>
      <c r="OAH118" s="950"/>
      <c r="OAI118" s="950"/>
      <c r="OAJ118" s="950"/>
      <c r="OAK118" s="950"/>
      <c r="OAL118" s="950"/>
      <c r="OAM118" s="950"/>
      <c r="OAN118" s="950"/>
      <c r="OAO118" s="950"/>
      <c r="OAP118" s="950"/>
      <c r="OAQ118" s="950"/>
      <c r="OAR118" s="950"/>
      <c r="OAS118" s="950"/>
      <c r="OAT118" s="950"/>
      <c r="OAU118" s="950"/>
      <c r="OAV118" s="950"/>
      <c r="OAW118" s="950"/>
      <c r="OAX118" s="950"/>
      <c r="OAY118" s="950"/>
      <c r="OAZ118" s="950"/>
      <c r="OBA118" s="950"/>
      <c r="OBB118" s="950"/>
      <c r="OBC118" s="950"/>
      <c r="OBD118" s="950"/>
      <c r="OBE118" s="950"/>
      <c r="OBF118" s="950"/>
      <c r="OBG118" s="950"/>
      <c r="OBH118" s="950"/>
      <c r="OBI118" s="950"/>
      <c r="OBJ118" s="950"/>
      <c r="OBK118" s="950"/>
      <c r="OBL118" s="950"/>
      <c r="OBM118" s="950"/>
      <c r="OBN118" s="950"/>
      <c r="OBO118" s="950"/>
      <c r="OBP118" s="950"/>
      <c r="OBQ118" s="950"/>
      <c r="OBR118" s="950"/>
      <c r="OBS118" s="950"/>
      <c r="OBT118" s="950"/>
      <c r="OBU118" s="950"/>
      <c r="OBV118" s="950"/>
      <c r="OBW118" s="950"/>
      <c r="OBX118" s="950"/>
      <c r="OBY118" s="950"/>
      <c r="OBZ118" s="950"/>
      <c r="OCA118" s="950"/>
      <c r="OCB118" s="950"/>
      <c r="OCC118" s="950"/>
      <c r="OCD118" s="950"/>
      <c r="OCE118" s="950"/>
      <c r="OCF118" s="950"/>
      <c r="OCG118" s="950"/>
      <c r="OCH118" s="950"/>
      <c r="OCI118" s="950"/>
      <c r="OCJ118" s="950"/>
      <c r="OCK118" s="950"/>
      <c r="OCL118" s="950"/>
      <c r="OCM118" s="950"/>
      <c r="OCN118" s="950"/>
      <c r="OCO118" s="950"/>
      <c r="OCP118" s="950"/>
      <c r="OCQ118" s="950"/>
      <c r="OCR118" s="950"/>
      <c r="OCS118" s="950"/>
      <c r="OCT118" s="950"/>
      <c r="OCU118" s="950"/>
      <c r="OCV118" s="950"/>
      <c r="OCW118" s="950"/>
      <c r="OCX118" s="950"/>
      <c r="OCY118" s="950"/>
      <c r="OCZ118" s="950"/>
      <c r="ODA118" s="950"/>
      <c r="ODB118" s="950"/>
      <c r="ODC118" s="950"/>
      <c r="ODD118" s="950"/>
      <c r="ODE118" s="950"/>
      <c r="ODF118" s="950"/>
      <c r="ODG118" s="950"/>
      <c r="ODH118" s="950"/>
      <c r="ODI118" s="950"/>
      <c r="ODJ118" s="950"/>
      <c r="ODK118" s="950"/>
      <c r="ODL118" s="950"/>
      <c r="ODM118" s="950"/>
      <c r="ODN118" s="950"/>
      <c r="ODO118" s="950"/>
      <c r="ODP118" s="950"/>
      <c r="ODQ118" s="950"/>
      <c r="ODR118" s="950"/>
      <c r="ODS118" s="950"/>
      <c r="ODT118" s="950"/>
      <c r="ODU118" s="950"/>
      <c r="ODV118" s="950"/>
      <c r="ODW118" s="950"/>
      <c r="ODX118" s="950"/>
      <c r="ODY118" s="950"/>
      <c r="ODZ118" s="950"/>
      <c r="OEA118" s="950"/>
      <c r="OEB118" s="950"/>
      <c r="OEC118" s="950"/>
      <c r="OED118" s="950"/>
      <c r="OEE118" s="950"/>
      <c r="OEF118" s="950"/>
      <c r="OEG118" s="950"/>
      <c r="OEH118" s="950"/>
      <c r="OEI118" s="950"/>
      <c r="OEJ118" s="950"/>
      <c r="OEK118" s="950"/>
      <c r="OEL118" s="950"/>
      <c r="OEM118" s="950"/>
      <c r="OEN118" s="950"/>
      <c r="OEO118" s="950"/>
      <c r="OEP118" s="950"/>
      <c r="OEQ118" s="950"/>
      <c r="OER118" s="950"/>
      <c r="OES118" s="950"/>
      <c r="OET118" s="950"/>
      <c r="OEU118" s="950"/>
      <c r="OEV118" s="950"/>
      <c r="OEW118" s="950"/>
      <c r="OEX118" s="950"/>
      <c r="OEY118" s="950"/>
      <c r="OEZ118" s="950"/>
      <c r="OFA118" s="950"/>
      <c r="OFB118" s="950"/>
      <c r="OFC118" s="950"/>
      <c r="OFD118" s="950"/>
      <c r="OFE118" s="950"/>
      <c r="OFF118" s="950"/>
      <c r="OFG118" s="950"/>
      <c r="OFH118" s="950"/>
      <c r="OFI118" s="950"/>
      <c r="OFJ118" s="950"/>
      <c r="OFK118" s="950"/>
      <c r="OFL118" s="950"/>
      <c r="OFM118" s="950"/>
      <c r="OFN118" s="950"/>
      <c r="OFO118" s="950"/>
      <c r="OFP118" s="950"/>
      <c r="OFQ118" s="950"/>
      <c r="OFR118" s="950"/>
      <c r="OFS118" s="950"/>
      <c r="OFT118" s="950"/>
      <c r="OFU118" s="950"/>
      <c r="OFV118" s="950"/>
      <c r="OFW118" s="950"/>
      <c r="OFX118" s="950"/>
      <c r="OFY118" s="950"/>
      <c r="OFZ118" s="950"/>
      <c r="OGA118" s="950"/>
      <c r="OGB118" s="950"/>
      <c r="OGC118" s="950"/>
      <c r="OGD118" s="950"/>
      <c r="OGE118" s="950"/>
      <c r="OGF118" s="950"/>
      <c r="OGG118" s="950"/>
      <c r="OGH118" s="950"/>
      <c r="OGI118" s="950"/>
      <c r="OGJ118" s="950"/>
      <c r="OGK118" s="950"/>
      <c r="OGL118" s="950"/>
      <c r="OGM118" s="950"/>
      <c r="OGN118" s="950"/>
      <c r="OGO118" s="950"/>
      <c r="OGP118" s="950"/>
      <c r="OGQ118" s="950"/>
      <c r="OGR118" s="950"/>
      <c r="OGS118" s="950"/>
      <c r="OGT118" s="950"/>
      <c r="OGU118" s="950"/>
      <c r="OGV118" s="950"/>
      <c r="OGW118" s="950"/>
      <c r="OGX118" s="950"/>
      <c r="OGY118" s="950"/>
      <c r="OGZ118" s="950"/>
      <c r="OHA118" s="950"/>
      <c r="OHB118" s="950"/>
      <c r="OHC118" s="950"/>
      <c r="OHD118" s="950"/>
      <c r="OHE118" s="950"/>
      <c r="OHF118" s="950"/>
      <c r="OHG118" s="950"/>
      <c r="OHH118" s="950"/>
      <c r="OHI118" s="950"/>
      <c r="OHJ118" s="950"/>
      <c r="OHK118" s="950"/>
      <c r="OHL118" s="950"/>
      <c r="OHM118" s="950"/>
      <c r="OHN118" s="950"/>
      <c r="OHO118" s="950"/>
      <c r="OHP118" s="950"/>
      <c r="OHQ118" s="950"/>
      <c r="OHR118" s="950"/>
      <c r="OHS118" s="950"/>
      <c r="OHT118" s="950"/>
      <c r="OHU118" s="950"/>
      <c r="OHV118" s="950"/>
      <c r="OHW118" s="950"/>
      <c r="OHX118" s="950"/>
      <c r="OHY118" s="950"/>
      <c r="OHZ118" s="950"/>
      <c r="OIA118" s="950"/>
      <c r="OIB118" s="950"/>
      <c r="OIC118" s="950"/>
      <c r="OID118" s="950"/>
      <c r="OIE118" s="950"/>
      <c r="OIF118" s="950"/>
      <c r="OIG118" s="950"/>
      <c r="OIH118" s="950"/>
      <c r="OII118" s="950"/>
      <c r="OIJ118" s="950"/>
      <c r="OIK118" s="950"/>
      <c r="OIL118" s="950"/>
      <c r="OIM118" s="950"/>
      <c r="OIN118" s="950"/>
      <c r="OIO118" s="950"/>
      <c r="OIP118" s="950"/>
      <c r="OIQ118" s="950"/>
      <c r="OIR118" s="950"/>
      <c r="OIS118" s="950"/>
      <c r="OIT118" s="950"/>
      <c r="OIU118" s="950"/>
      <c r="OIV118" s="950"/>
      <c r="OIW118" s="950"/>
      <c r="OIX118" s="950"/>
      <c r="OIY118" s="950"/>
      <c r="OIZ118" s="950"/>
      <c r="OJA118" s="950"/>
      <c r="OJB118" s="950"/>
      <c r="OJC118" s="950"/>
      <c r="OJD118" s="950"/>
      <c r="OJE118" s="950"/>
      <c r="OJF118" s="950"/>
      <c r="OJG118" s="950"/>
      <c r="OJH118" s="950"/>
      <c r="OJI118" s="950"/>
      <c r="OJJ118" s="950"/>
      <c r="OJK118" s="950"/>
      <c r="OJL118" s="950"/>
      <c r="OJM118" s="950"/>
      <c r="OJN118" s="950"/>
      <c r="OJO118" s="950"/>
      <c r="OJP118" s="950"/>
      <c r="OJQ118" s="950"/>
      <c r="OJR118" s="950"/>
      <c r="OJS118" s="950"/>
      <c r="OJT118" s="950"/>
      <c r="OJU118" s="950"/>
      <c r="OJV118" s="950"/>
      <c r="OJW118" s="950"/>
      <c r="OJX118" s="950"/>
      <c r="OJY118" s="950"/>
      <c r="OJZ118" s="950"/>
      <c r="OKA118" s="950"/>
      <c r="OKB118" s="950"/>
      <c r="OKC118" s="950"/>
      <c r="OKD118" s="950"/>
      <c r="OKE118" s="950"/>
      <c r="OKF118" s="950"/>
      <c r="OKG118" s="950"/>
      <c r="OKH118" s="950"/>
      <c r="OKI118" s="950"/>
      <c r="OKJ118" s="950"/>
      <c r="OKK118" s="950"/>
      <c r="OKL118" s="950"/>
      <c r="OKM118" s="950"/>
      <c r="OKN118" s="950"/>
      <c r="OKO118" s="950"/>
      <c r="OKP118" s="950"/>
      <c r="OKQ118" s="950"/>
      <c r="OKR118" s="950"/>
      <c r="OKS118" s="950"/>
      <c r="OKT118" s="950"/>
      <c r="OKU118" s="950"/>
      <c r="OKV118" s="950"/>
      <c r="OKW118" s="950"/>
      <c r="OKX118" s="950"/>
      <c r="OKY118" s="950"/>
      <c r="OKZ118" s="950"/>
      <c r="OLA118" s="950"/>
      <c r="OLB118" s="950"/>
      <c r="OLC118" s="950"/>
      <c r="OLD118" s="950"/>
      <c r="OLE118" s="950"/>
      <c r="OLF118" s="950"/>
      <c r="OLG118" s="950"/>
      <c r="OLH118" s="950"/>
      <c r="OLI118" s="950"/>
      <c r="OLJ118" s="950"/>
      <c r="OLK118" s="950"/>
      <c r="OLL118" s="950"/>
      <c r="OLM118" s="950"/>
      <c r="OLN118" s="950"/>
      <c r="OLO118" s="950"/>
      <c r="OLP118" s="950"/>
      <c r="OLQ118" s="950"/>
      <c r="OLR118" s="950"/>
      <c r="OLS118" s="950"/>
      <c r="OLT118" s="950"/>
      <c r="OLU118" s="950"/>
      <c r="OLV118" s="950"/>
      <c r="OLW118" s="950"/>
      <c r="OLX118" s="950"/>
      <c r="OLY118" s="950"/>
      <c r="OLZ118" s="950"/>
      <c r="OMA118" s="950"/>
      <c r="OMB118" s="950"/>
      <c r="OMC118" s="950"/>
      <c r="OMD118" s="950"/>
      <c r="OME118" s="950"/>
      <c r="OMF118" s="950"/>
      <c r="OMG118" s="950"/>
      <c r="OMH118" s="950"/>
      <c r="OMI118" s="950"/>
      <c r="OMJ118" s="950"/>
      <c r="OMK118" s="950"/>
      <c r="OML118" s="950"/>
      <c r="OMM118" s="950"/>
      <c r="OMN118" s="950"/>
      <c r="OMO118" s="950"/>
      <c r="OMP118" s="950"/>
      <c r="OMQ118" s="950"/>
      <c r="OMR118" s="950"/>
      <c r="OMS118" s="950"/>
      <c r="OMT118" s="950"/>
      <c r="OMU118" s="950"/>
      <c r="OMV118" s="950"/>
      <c r="OMW118" s="950"/>
      <c r="OMX118" s="950"/>
      <c r="OMY118" s="950"/>
      <c r="OMZ118" s="950"/>
      <c r="ONA118" s="950"/>
      <c r="ONB118" s="950"/>
      <c r="ONC118" s="950"/>
      <c r="OND118" s="950"/>
      <c r="ONE118" s="950"/>
      <c r="ONF118" s="950"/>
      <c r="ONG118" s="950"/>
      <c r="ONH118" s="950"/>
      <c r="ONI118" s="950"/>
      <c r="ONJ118" s="950"/>
      <c r="ONK118" s="950"/>
      <c r="ONL118" s="950"/>
      <c r="ONM118" s="950"/>
      <c r="ONN118" s="950"/>
      <c r="ONO118" s="950"/>
      <c r="ONP118" s="950"/>
      <c r="ONQ118" s="950"/>
      <c r="ONR118" s="950"/>
      <c r="ONS118" s="950"/>
      <c r="ONT118" s="950"/>
      <c r="ONU118" s="950"/>
      <c r="ONV118" s="950"/>
      <c r="ONW118" s="950"/>
      <c r="ONX118" s="950"/>
      <c r="ONY118" s="950"/>
      <c r="ONZ118" s="950"/>
      <c r="OOA118" s="950"/>
      <c r="OOB118" s="950"/>
      <c r="OOC118" s="950"/>
      <c r="OOD118" s="950"/>
      <c r="OOE118" s="950"/>
      <c r="OOF118" s="950"/>
      <c r="OOG118" s="950"/>
      <c r="OOH118" s="950"/>
      <c r="OOI118" s="950"/>
      <c r="OOJ118" s="950"/>
      <c r="OOK118" s="950"/>
      <c r="OOL118" s="950"/>
      <c r="OOM118" s="950"/>
      <c r="OON118" s="950"/>
      <c r="OOO118" s="950"/>
      <c r="OOP118" s="950"/>
      <c r="OOQ118" s="950"/>
      <c r="OOR118" s="950"/>
      <c r="OOS118" s="950"/>
      <c r="OOT118" s="950"/>
      <c r="OOU118" s="950"/>
      <c r="OOV118" s="950"/>
      <c r="OOW118" s="950"/>
      <c r="OOX118" s="950"/>
      <c r="OOY118" s="950"/>
      <c r="OOZ118" s="950"/>
      <c r="OPA118" s="950"/>
      <c r="OPB118" s="950"/>
      <c r="OPC118" s="950"/>
      <c r="OPD118" s="950"/>
      <c r="OPE118" s="950"/>
      <c r="OPF118" s="950"/>
      <c r="OPG118" s="950"/>
      <c r="OPH118" s="950"/>
      <c r="OPI118" s="950"/>
      <c r="OPJ118" s="950"/>
      <c r="OPK118" s="950"/>
      <c r="OPL118" s="950"/>
      <c r="OPM118" s="950"/>
      <c r="OPN118" s="950"/>
      <c r="OPO118" s="950"/>
      <c r="OPP118" s="950"/>
      <c r="OPQ118" s="950"/>
      <c r="OPR118" s="950"/>
      <c r="OPS118" s="950"/>
      <c r="OPT118" s="950"/>
      <c r="OPU118" s="950"/>
      <c r="OPV118" s="950"/>
      <c r="OPW118" s="950"/>
      <c r="OPX118" s="950"/>
      <c r="OPY118" s="950"/>
      <c r="OPZ118" s="950"/>
      <c r="OQA118" s="950"/>
      <c r="OQB118" s="950"/>
      <c r="OQC118" s="950"/>
      <c r="OQD118" s="950"/>
      <c r="OQE118" s="950"/>
      <c r="OQF118" s="950"/>
      <c r="OQG118" s="950"/>
      <c r="OQH118" s="950"/>
      <c r="OQI118" s="950"/>
      <c r="OQJ118" s="950"/>
      <c r="OQK118" s="950"/>
      <c r="OQL118" s="950"/>
      <c r="OQM118" s="950"/>
      <c r="OQN118" s="950"/>
      <c r="OQO118" s="950"/>
      <c r="OQP118" s="950"/>
      <c r="OQQ118" s="950"/>
      <c r="OQR118" s="950"/>
      <c r="OQS118" s="950"/>
      <c r="OQT118" s="950"/>
      <c r="OQU118" s="950"/>
      <c r="OQV118" s="950"/>
      <c r="OQW118" s="950"/>
      <c r="OQX118" s="950"/>
      <c r="OQY118" s="950"/>
      <c r="OQZ118" s="950"/>
      <c r="ORA118" s="950"/>
      <c r="ORB118" s="950"/>
      <c r="ORC118" s="950"/>
      <c r="ORD118" s="950"/>
      <c r="ORE118" s="950"/>
      <c r="ORF118" s="950"/>
      <c r="ORG118" s="950"/>
      <c r="ORH118" s="950"/>
      <c r="ORI118" s="950"/>
      <c r="ORJ118" s="950"/>
      <c r="ORK118" s="950"/>
      <c r="ORL118" s="950"/>
      <c r="ORM118" s="950"/>
      <c r="ORN118" s="950"/>
      <c r="ORO118" s="950"/>
      <c r="ORP118" s="950"/>
      <c r="ORQ118" s="950"/>
      <c r="ORR118" s="950"/>
      <c r="ORS118" s="950"/>
      <c r="ORT118" s="950"/>
      <c r="ORU118" s="950"/>
      <c r="ORV118" s="950"/>
      <c r="ORW118" s="950"/>
      <c r="ORX118" s="950"/>
      <c r="ORY118" s="950"/>
      <c r="ORZ118" s="950"/>
      <c r="OSA118" s="950"/>
      <c r="OSB118" s="950"/>
      <c r="OSC118" s="950"/>
      <c r="OSD118" s="950"/>
      <c r="OSE118" s="950"/>
      <c r="OSF118" s="950"/>
      <c r="OSG118" s="950"/>
      <c r="OSH118" s="950"/>
      <c r="OSI118" s="950"/>
      <c r="OSJ118" s="950"/>
      <c r="OSK118" s="950"/>
      <c r="OSL118" s="950"/>
      <c r="OSM118" s="950"/>
      <c r="OSN118" s="950"/>
      <c r="OSO118" s="950"/>
      <c r="OSP118" s="950"/>
      <c r="OSQ118" s="950"/>
      <c r="OSR118" s="950"/>
      <c r="OSS118" s="950"/>
      <c r="OST118" s="950"/>
      <c r="OSU118" s="950"/>
      <c r="OSV118" s="950"/>
      <c r="OSW118" s="950"/>
      <c r="OSX118" s="950"/>
      <c r="OSY118" s="950"/>
      <c r="OSZ118" s="950"/>
      <c r="OTA118" s="950"/>
      <c r="OTB118" s="950"/>
      <c r="OTC118" s="950"/>
      <c r="OTD118" s="950"/>
      <c r="OTE118" s="950"/>
      <c r="OTF118" s="950"/>
      <c r="OTG118" s="950"/>
      <c r="OTH118" s="950"/>
      <c r="OTI118" s="950"/>
      <c r="OTJ118" s="950"/>
      <c r="OTK118" s="950"/>
      <c r="OTL118" s="950"/>
      <c r="OTM118" s="950"/>
      <c r="OTN118" s="950"/>
      <c r="OTO118" s="950"/>
      <c r="OTP118" s="950"/>
      <c r="OTQ118" s="950"/>
      <c r="OTR118" s="950"/>
      <c r="OTS118" s="950"/>
      <c r="OTT118" s="950"/>
      <c r="OTU118" s="950"/>
      <c r="OTV118" s="950"/>
      <c r="OTW118" s="950"/>
      <c r="OTX118" s="950"/>
      <c r="OTY118" s="950"/>
      <c r="OTZ118" s="950"/>
      <c r="OUA118" s="950"/>
      <c r="OUB118" s="950"/>
      <c r="OUC118" s="950"/>
      <c r="OUD118" s="950"/>
      <c r="OUE118" s="950"/>
      <c r="OUF118" s="950"/>
      <c r="OUG118" s="950"/>
      <c r="OUH118" s="950"/>
      <c r="OUI118" s="950"/>
      <c r="OUJ118" s="950"/>
      <c r="OUK118" s="950"/>
      <c r="OUL118" s="950"/>
      <c r="OUM118" s="950"/>
      <c r="OUN118" s="950"/>
      <c r="OUO118" s="950"/>
      <c r="OUP118" s="950"/>
      <c r="OUQ118" s="950"/>
      <c r="OUR118" s="950"/>
      <c r="OUS118" s="950"/>
      <c r="OUT118" s="950"/>
      <c r="OUU118" s="950"/>
      <c r="OUV118" s="950"/>
      <c r="OUW118" s="950"/>
      <c r="OUX118" s="950"/>
      <c r="OUY118" s="950"/>
      <c r="OUZ118" s="950"/>
      <c r="OVA118" s="950"/>
      <c r="OVB118" s="950"/>
      <c r="OVC118" s="950"/>
      <c r="OVD118" s="950"/>
      <c r="OVE118" s="950"/>
      <c r="OVF118" s="950"/>
      <c r="OVG118" s="950"/>
      <c r="OVH118" s="950"/>
      <c r="OVI118" s="950"/>
      <c r="OVJ118" s="950"/>
      <c r="OVK118" s="950"/>
      <c r="OVL118" s="950"/>
      <c r="OVM118" s="950"/>
      <c r="OVN118" s="950"/>
      <c r="OVO118" s="950"/>
      <c r="OVP118" s="950"/>
      <c r="OVQ118" s="950"/>
      <c r="OVR118" s="950"/>
      <c r="OVS118" s="950"/>
      <c r="OVT118" s="950"/>
      <c r="OVU118" s="950"/>
      <c r="OVV118" s="950"/>
      <c r="OVW118" s="950"/>
      <c r="OVX118" s="950"/>
      <c r="OVY118" s="950"/>
      <c r="OVZ118" s="950"/>
      <c r="OWA118" s="950"/>
      <c r="OWB118" s="950"/>
      <c r="OWC118" s="950"/>
      <c r="OWD118" s="950"/>
      <c r="OWE118" s="950"/>
      <c r="OWF118" s="950"/>
      <c r="OWG118" s="950"/>
      <c r="OWH118" s="950"/>
      <c r="OWI118" s="950"/>
      <c r="OWJ118" s="950"/>
      <c r="OWK118" s="950"/>
      <c r="OWL118" s="950"/>
      <c r="OWM118" s="950"/>
      <c r="OWN118" s="950"/>
      <c r="OWO118" s="950"/>
      <c r="OWP118" s="950"/>
      <c r="OWQ118" s="950"/>
      <c r="OWR118" s="950"/>
      <c r="OWS118" s="950"/>
      <c r="OWT118" s="950"/>
      <c r="OWU118" s="950"/>
      <c r="OWV118" s="950"/>
      <c r="OWW118" s="950"/>
      <c r="OWX118" s="950"/>
      <c r="OWY118" s="950"/>
      <c r="OWZ118" s="950"/>
      <c r="OXA118" s="950"/>
      <c r="OXB118" s="950"/>
      <c r="OXC118" s="950"/>
      <c r="OXD118" s="950"/>
      <c r="OXE118" s="950"/>
      <c r="OXF118" s="950"/>
      <c r="OXG118" s="950"/>
      <c r="OXH118" s="950"/>
      <c r="OXI118" s="950"/>
      <c r="OXJ118" s="950"/>
      <c r="OXK118" s="950"/>
      <c r="OXL118" s="950"/>
      <c r="OXM118" s="950"/>
      <c r="OXN118" s="950"/>
      <c r="OXO118" s="950"/>
      <c r="OXP118" s="950"/>
      <c r="OXQ118" s="950"/>
      <c r="OXR118" s="950"/>
      <c r="OXS118" s="950"/>
      <c r="OXT118" s="950"/>
      <c r="OXU118" s="950"/>
      <c r="OXV118" s="950"/>
      <c r="OXW118" s="950"/>
      <c r="OXX118" s="950"/>
      <c r="OXY118" s="950"/>
      <c r="OXZ118" s="950"/>
      <c r="OYA118" s="950"/>
      <c r="OYB118" s="950"/>
      <c r="OYC118" s="950"/>
      <c r="OYD118" s="950"/>
      <c r="OYE118" s="950"/>
      <c r="OYF118" s="950"/>
      <c r="OYG118" s="950"/>
      <c r="OYH118" s="950"/>
      <c r="OYI118" s="950"/>
      <c r="OYJ118" s="950"/>
      <c r="OYK118" s="950"/>
      <c r="OYL118" s="950"/>
      <c r="OYM118" s="950"/>
      <c r="OYN118" s="950"/>
      <c r="OYO118" s="950"/>
      <c r="OYP118" s="950"/>
      <c r="OYQ118" s="950"/>
      <c r="OYR118" s="950"/>
      <c r="OYS118" s="950"/>
      <c r="OYT118" s="950"/>
      <c r="OYU118" s="950"/>
      <c r="OYV118" s="950"/>
      <c r="OYW118" s="950"/>
      <c r="OYX118" s="950"/>
      <c r="OYY118" s="950"/>
      <c r="OYZ118" s="950"/>
      <c r="OZA118" s="950"/>
      <c r="OZB118" s="950"/>
      <c r="OZC118" s="950"/>
      <c r="OZD118" s="950"/>
      <c r="OZE118" s="950"/>
      <c r="OZF118" s="950"/>
      <c r="OZG118" s="950"/>
      <c r="OZH118" s="950"/>
      <c r="OZI118" s="950"/>
      <c r="OZJ118" s="950"/>
      <c r="OZK118" s="950"/>
      <c r="OZL118" s="950"/>
      <c r="OZM118" s="950"/>
      <c r="OZN118" s="950"/>
      <c r="OZO118" s="950"/>
      <c r="OZP118" s="950"/>
      <c r="OZQ118" s="950"/>
      <c r="OZR118" s="950"/>
      <c r="OZS118" s="950"/>
      <c r="OZT118" s="950"/>
      <c r="OZU118" s="950"/>
      <c r="OZV118" s="950"/>
      <c r="OZW118" s="950"/>
      <c r="OZX118" s="950"/>
      <c r="OZY118" s="950"/>
      <c r="OZZ118" s="950"/>
      <c r="PAA118" s="950"/>
      <c r="PAB118" s="950"/>
      <c r="PAC118" s="950"/>
      <c r="PAD118" s="950"/>
      <c r="PAE118" s="950"/>
      <c r="PAF118" s="950"/>
      <c r="PAG118" s="950"/>
      <c r="PAH118" s="950"/>
      <c r="PAI118" s="950"/>
      <c r="PAJ118" s="950"/>
      <c r="PAK118" s="950"/>
      <c r="PAL118" s="950"/>
      <c r="PAM118" s="950"/>
      <c r="PAN118" s="950"/>
      <c r="PAO118" s="950"/>
      <c r="PAP118" s="950"/>
      <c r="PAQ118" s="950"/>
      <c r="PAR118" s="950"/>
      <c r="PAS118" s="950"/>
      <c r="PAT118" s="950"/>
      <c r="PAU118" s="950"/>
      <c r="PAV118" s="950"/>
      <c r="PAW118" s="950"/>
      <c r="PAX118" s="950"/>
      <c r="PAY118" s="950"/>
      <c r="PAZ118" s="950"/>
      <c r="PBA118" s="950"/>
      <c r="PBB118" s="950"/>
      <c r="PBC118" s="950"/>
      <c r="PBD118" s="950"/>
      <c r="PBE118" s="950"/>
      <c r="PBF118" s="950"/>
      <c r="PBG118" s="950"/>
      <c r="PBH118" s="950"/>
      <c r="PBI118" s="950"/>
      <c r="PBJ118" s="950"/>
      <c r="PBK118" s="950"/>
      <c r="PBL118" s="950"/>
      <c r="PBM118" s="950"/>
      <c r="PBN118" s="950"/>
      <c r="PBO118" s="950"/>
      <c r="PBP118" s="950"/>
      <c r="PBQ118" s="950"/>
      <c r="PBR118" s="950"/>
      <c r="PBS118" s="950"/>
      <c r="PBT118" s="950"/>
      <c r="PBU118" s="950"/>
      <c r="PBV118" s="950"/>
      <c r="PBW118" s="950"/>
      <c r="PBX118" s="950"/>
      <c r="PBY118" s="950"/>
      <c r="PBZ118" s="950"/>
      <c r="PCA118" s="950"/>
      <c r="PCB118" s="950"/>
      <c r="PCC118" s="950"/>
      <c r="PCD118" s="950"/>
      <c r="PCE118" s="950"/>
      <c r="PCF118" s="950"/>
      <c r="PCG118" s="950"/>
      <c r="PCH118" s="950"/>
      <c r="PCI118" s="950"/>
      <c r="PCJ118" s="950"/>
      <c r="PCK118" s="950"/>
      <c r="PCL118" s="950"/>
      <c r="PCM118" s="950"/>
      <c r="PCN118" s="950"/>
      <c r="PCO118" s="950"/>
      <c r="PCP118" s="950"/>
      <c r="PCQ118" s="950"/>
      <c r="PCR118" s="950"/>
      <c r="PCS118" s="950"/>
      <c r="PCT118" s="950"/>
      <c r="PCU118" s="950"/>
      <c r="PCV118" s="950"/>
      <c r="PCW118" s="950"/>
      <c r="PCX118" s="950"/>
      <c r="PCY118" s="950"/>
      <c r="PCZ118" s="950"/>
      <c r="PDA118" s="950"/>
      <c r="PDB118" s="950"/>
      <c r="PDC118" s="950"/>
      <c r="PDD118" s="950"/>
      <c r="PDE118" s="950"/>
      <c r="PDF118" s="950"/>
      <c r="PDG118" s="950"/>
      <c r="PDH118" s="950"/>
      <c r="PDI118" s="950"/>
      <c r="PDJ118" s="950"/>
      <c r="PDK118" s="950"/>
      <c r="PDL118" s="950"/>
      <c r="PDM118" s="950"/>
      <c r="PDN118" s="950"/>
      <c r="PDO118" s="950"/>
      <c r="PDP118" s="950"/>
      <c r="PDQ118" s="950"/>
      <c r="PDR118" s="950"/>
      <c r="PDS118" s="950"/>
      <c r="PDT118" s="950"/>
      <c r="PDU118" s="950"/>
      <c r="PDV118" s="950"/>
      <c r="PDW118" s="950"/>
      <c r="PDX118" s="950"/>
      <c r="PDY118" s="950"/>
      <c r="PDZ118" s="950"/>
      <c r="PEA118" s="950"/>
      <c r="PEB118" s="950"/>
      <c r="PEC118" s="950"/>
      <c r="PED118" s="950"/>
      <c r="PEE118" s="950"/>
      <c r="PEF118" s="950"/>
      <c r="PEG118" s="950"/>
      <c r="PEH118" s="950"/>
      <c r="PEI118" s="950"/>
      <c r="PEJ118" s="950"/>
      <c r="PEK118" s="950"/>
      <c r="PEL118" s="950"/>
      <c r="PEM118" s="950"/>
      <c r="PEN118" s="950"/>
      <c r="PEO118" s="950"/>
      <c r="PEP118" s="950"/>
      <c r="PEQ118" s="950"/>
      <c r="PER118" s="950"/>
      <c r="PES118" s="950"/>
      <c r="PET118" s="950"/>
      <c r="PEU118" s="950"/>
      <c r="PEV118" s="950"/>
      <c r="PEW118" s="950"/>
      <c r="PEX118" s="950"/>
      <c r="PEY118" s="950"/>
      <c r="PEZ118" s="950"/>
      <c r="PFA118" s="950"/>
      <c r="PFB118" s="950"/>
      <c r="PFC118" s="950"/>
      <c r="PFD118" s="950"/>
      <c r="PFE118" s="950"/>
      <c r="PFF118" s="950"/>
      <c r="PFG118" s="950"/>
      <c r="PFH118" s="950"/>
      <c r="PFI118" s="950"/>
      <c r="PFJ118" s="950"/>
      <c r="PFK118" s="950"/>
      <c r="PFL118" s="950"/>
      <c r="PFM118" s="950"/>
      <c r="PFN118" s="950"/>
      <c r="PFO118" s="950"/>
      <c r="PFP118" s="950"/>
      <c r="PFQ118" s="950"/>
      <c r="PFR118" s="950"/>
      <c r="PFS118" s="950"/>
      <c r="PFT118" s="950"/>
      <c r="PFU118" s="950"/>
      <c r="PFV118" s="950"/>
      <c r="PFW118" s="950"/>
      <c r="PFX118" s="950"/>
      <c r="PFY118" s="950"/>
      <c r="PFZ118" s="950"/>
      <c r="PGA118" s="950"/>
      <c r="PGB118" s="950"/>
      <c r="PGC118" s="950"/>
      <c r="PGD118" s="950"/>
      <c r="PGE118" s="950"/>
      <c r="PGF118" s="950"/>
      <c r="PGG118" s="950"/>
      <c r="PGH118" s="950"/>
      <c r="PGI118" s="950"/>
      <c r="PGJ118" s="950"/>
      <c r="PGK118" s="950"/>
      <c r="PGL118" s="950"/>
      <c r="PGM118" s="950"/>
      <c r="PGN118" s="950"/>
      <c r="PGO118" s="950"/>
      <c r="PGP118" s="950"/>
      <c r="PGQ118" s="950"/>
      <c r="PGR118" s="950"/>
      <c r="PGS118" s="950"/>
      <c r="PGT118" s="950"/>
      <c r="PGU118" s="950"/>
      <c r="PGV118" s="950"/>
      <c r="PGW118" s="950"/>
      <c r="PGX118" s="950"/>
      <c r="PGY118" s="950"/>
      <c r="PGZ118" s="950"/>
      <c r="PHA118" s="950"/>
      <c r="PHB118" s="950"/>
      <c r="PHC118" s="950"/>
      <c r="PHD118" s="950"/>
      <c r="PHE118" s="950"/>
      <c r="PHF118" s="950"/>
      <c r="PHG118" s="950"/>
      <c r="PHH118" s="950"/>
      <c r="PHI118" s="950"/>
      <c r="PHJ118" s="950"/>
      <c r="PHK118" s="950"/>
      <c r="PHL118" s="950"/>
      <c r="PHM118" s="950"/>
      <c r="PHN118" s="950"/>
      <c r="PHO118" s="950"/>
      <c r="PHP118" s="950"/>
      <c r="PHQ118" s="950"/>
      <c r="PHR118" s="950"/>
      <c r="PHS118" s="950"/>
      <c r="PHT118" s="950"/>
      <c r="PHU118" s="950"/>
      <c r="PHV118" s="950"/>
      <c r="PHW118" s="950"/>
      <c r="PHX118" s="950"/>
      <c r="PHY118" s="950"/>
      <c r="PHZ118" s="950"/>
      <c r="PIA118" s="950"/>
      <c r="PIB118" s="950"/>
      <c r="PIC118" s="950"/>
      <c r="PID118" s="950"/>
      <c r="PIE118" s="950"/>
      <c r="PIF118" s="950"/>
      <c r="PIG118" s="950"/>
      <c r="PIH118" s="950"/>
      <c r="PII118" s="950"/>
      <c r="PIJ118" s="950"/>
      <c r="PIK118" s="950"/>
      <c r="PIL118" s="950"/>
      <c r="PIM118" s="950"/>
      <c r="PIN118" s="950"/>
      <c r="PIO118" s="950"/>
      <c r="PIP118" s="950"/>
      <c r="PIQ118" s="950"/>
      <c r="PIR118" s="950"/>
      <c r="PIS118" s="950"/>
      <c r="PIT118" s="950"/>
      <c r="PIU118" s="950"/>
      <c r="PIV118" s="950"/>
      <c r="PIW118" s="950"/>
      <c r="PIX118" s="950"/>
      <c r="PIY118" s="950"/>
      <c r="PIZ118" s="950"/>
      <c r="PJA118" s="950"/>
      <c r="PJB118" s="950"/>
      <c r="PJC118" s="950"/>
      <c r="PJD118" s="950"/>
      <c r="PJE118" s="950"/>
      <c r="PJF118" s="950"/>
      <c r="PJG118" s="950"/>
      <c r="PJH118" s="950"/>
      <c r="PJI118" s="950"/>
      <c r="PJJ118" s="950"/>
      <c r="PJK118" s="950"/>
      <c r="PJL118" s="950"/>
      <c r="PJM118" s="950"/>
      <c r="PJN118" s="950"/>
      <c r="PJO118" s="950"/>
      <c r="PJP118" s="950"/>
      <c r="PJQ118" s="950"/>
      <c r="PJR118" s="950"/>
      <c r="PJS118" s="950"/>
      <c r="PJT118" s="950"/>
      <c r="PJU118" s="950"/>
      <c r="PJV118" s="950"/>
      <c r="PJW118" s="950"/>
      <c r="PJX118" s="950"/>
      <c r="PJY118" s="950"/>
      <c r="PJZ118" s="950"/>
      <c r="PKA118" s="950"/>
      <c r="PKB118" s="950"/>
      <c r="PKC118" s="950"/>
      <c r="PKD118" s="950"/>
      <c r="PKE118" s="950"/>
      <c r="PKF118" s="950"/>
      <c r="PKG118" s="950"/>
      <c r="PKH118" s="950"/>
      <c r="PKI118" s="950"/>
      <c r="PKJ118" s="950"/>
      <c r="PKK118" s="950"/>
      <c r="PKL118" s="950"/>
      <c r="PKM118" s="950"/>
      <c r="PKN118" s="950"/>
      <c r="PKO118" s="950"/>
      <c r="PKP118" s="950"/>
      <c r="PKQ118" s="950"/>
      <c r="PKR118" s="950"/>
      <c r="PKS118" s="950"/>
      <c r="PKT118" s="950"/>
      <c r="PKU118" s="950"/>
      <c r="PKV118" s="950"/>
      <c r="PKW118" s="950"/>
      <c r="PKX118" s="950"/>
      <c r="PKY118" s="950"/>
      <c r="PKZ118" s="950"/>
      <c r="PLA118" s="950"/>
      <c r="PLB118" s="950"/>
      <c r="PLC118" s="950"/>
      <c r="PLD118" s="950"/>
      <c r="PLE118" s="950"/>
      <c r="PLF118" s="950"/>
      <c r="PLG118" s="950"/>
      <c r="PLH118" s="950"/>
      <c r="PLI118" s="950"/>
      <c r="PLJ118" s="950"/>
      <c r="PLK118" s="950"/>
      <c r="PLL118" s="950"/>
      <c r="PLM118" s="950"/>
      <c r="PLN118" s="950"/>
      <c r="PLO118" s="950"/>
      <c r="PLP118" s="950"/>
      <c r="PLQ118" s="950"/>
      <c r="PLR118" s="950"/>
      <c r="PLS118" s="950"/>
      <c r="PLT118" s="950"/>
      <c r="PLU118" s="950"/>
      <c r="PLV118" s="950"/>
      <c r="PLW118" s="950"/>
      <c r="PLX118" s="950"/>
      <c r="PLY118" s="950"/>
      <c r="PLZ118" s="950"/>
      <c r="PMA118" s="950"/>
      <c r="PMB118" s="950"/>
      <c r="PMC118" s="950"/>
      <c r="PMD118" s="950"/>
      <c r="PME118" s="950"/>
      <c r="PMF118" s="950"/>
      <c r="PMG118" s="950"/>
      <c r="PMH118" s="950"/>
      <c r="PMI118" s="950"/>
      <c r="PMJ118" s="950"/>
      <c r="PMK118" s="950"/>
      <c r="PML118" s="950"/>
      <c r="PMM118" s="950"/>
      <c r="PMN118" s="950"/>
      <c r="PMO118" s="950"/>
      <c r="PMP118" s="950"/>
      <c r="PMQ118" s="950"/>
      <c r="PMR118" s="950"/>
      <c r="PMS118" s="950"/>
      <c r="PMT118" s="950"/>
      <c r="PMU118" s="950"/>
      <c r="PMV118" s="950"/>
      <c r="PMW118" s="950"/>
      <c r="PMX118" s="950"/>
      <c r="PMY118" s="950"/>
      <c r="PMZ118" s="950"/>
      <c r="PNA118" s="950"/>
      <c r="PNB118" s="950"/>
      <c r="PNC118" s="950"/>
      <c r="PND118" s="950"/>
      <c r="PNE118" s="950"/>
      <c r="PNF118" s="950"/>
      <c r="PNG118" s="950"/>
      <c r="PNH118" s="950"/>
      <c r="PNI118" s="950"/>
      <c r="PNJ118" s="950"/>
      <c r="PNK118" s="950"/>
      <c r="PNL118" s="950"/>
      <c r="PNM118" s="950"/>
      <c r="PNN118" s="950"/>
      <c r="PNO118" s="950"/>
      <c r="PNP118" s="950"/>
      <c r="PNQ118" s="950"/>
      <c r="PNR118" s="950"/>
      <c r="PNS118" s="950"/>
      <c r="PNT118" s="950"/>
      <c r="PNU118" s="950"/>
      <c r="PNV118" s="950"/>
      <c r="PNW118" s="950"/>
      <c r="PNX118" s="950"/>
      <c r="PNY118" s="950"/>
      <c r="PNZ118" s="950"/>
      <c r="POA118" s="950"/>
      <c r="POB118" s="950"/>
      <c r="POC118" s="950"/>
      <c r="POD118" s="950"/>
      <c r="POE118" s="950"/>
      <c r="POF118" s="950"/>
      <c r="POG118" s="950"/>
      <c r="POH118" s="950"/>
      <c r="POI118" s="950"/>
      <c r="POJ118" s="950"/>
      <c r="POK118" s="950"/>
      <c r="POL118" s="950"/>
      <c r="POM118" s="950"/>
      <c r="PON118" s="950"/>
      <c r="POO118" s="950"/>
      <c r="POP118" s="950"/>
      <c r="POQ118" s="950"/>
      <c r="POR118" s="950"/>
      <c r="POS118" s="950"/>
      <c r="POT118" s="950"/>
      <c r="POU118" s="950"/>
      <c r="POV118" s="950"/>
      <c r="POW118" s="950"/>
      <c r="POX118" s="950"/>
      <c r="POY118" s="950"/>
      <c r="POZ118" s="950"/>
      <c r="PPA118" s="950"/>
      <c r="PPB118" s="950"/>
      <c r="PPC118" s="950"/>
      <c r="PPD118" s="950"/>
      <c r="PPE118" s="950"/>
      <c r="PPF118" s="950"/>
      <c r="PPG118" s="950"/>
      <c r="PPH118" s="950"/>
      <c r="PPI118" s="950"/>
      <c r="PPJ118" s="950"/>
      <c r="PPK118" s="950"/>
      <c r="PPL118" s="950"/>
      <c r="PPM118" s="950"/>
      <c r="PPN118" s="950"/>
      <c r="PPO118" s="950"/>
      <c r="PPP118" s="950"/>
      <c r="PPQ118" s="950"/>
      <c r="PPR118" s="950"/>
      <c r="PPS118" s="950"/>
      <c r="PPT118" s="950"/>
      <c r="PPU118" s="950"/>
      <c r="PPV118" s="950"/>
      <c r="PPW118" s="950"/>
      <c r="PPX118" s="950"/>
      <c r="PPY118" s="950"/>
      <c r="PPZ118" s="950"/>
      <c r="PQA118" s="950"/>
      <c r="PQB118" s="950"/>
      <c r="PQC118" s="950"/>
      <c r="PQD118" s="950"/>
      <c r="PQE118" s="950"/>
      <c r="PQF118" s="950"/>
      <c r="PQG118" s="950"/>
      <c r="PQH118" s="950"/>
      <c r="PQI118" s="950"/>
      <c r="PQJ118" s="950"/>
      <c r="PQK118" s="950"/>
      <c r="PQL118" s="950"/>
      <c r="PQM118" s="950"/>
      <c r="PQN118" s="950"/>
      <c r="PQO118" s="950"/>
      <c r="PQP118" s="950"/>
      <c r="PQQ118" s="950"/>
      <c r="PQR118" s="950"/>
      <c r="PQS118" s="950"/>
      <c r="PQT118" s="950"/>
      <c r="PQU118" s="950"/>
      <c r="PQV118" s="950"/>
      <c r="PQW118" s="950"/>
      <c r="PQX118" s="950"/>
      <c r="PQY118" s="950"/>
      <c r="PQZ118" s="950"/>
      <c r="PRA118" s="950"/>
      <c r="PRB118" s="950"/>
      <c r="PRC118" s="950"/>
      <c r="PRD118" s="950"/>
      <c r="PRE118" s="950"/>
      <c r="PRF118" s="950"/>
      <c r="PRG118" s="950"/>
      <c r="PRH118" s="950"/>
      <c r="PRI118" s="950"/>
      <c r="PRJ118" s="950"/>
      <c r="PRK118" s="950"/>
      <c r="PRL118" s="950"/>
      <c r="PRM118" s="950"/>
      <c r="PRN118" s="950"/>
      <c r="PRO118" s="950"/>
      <c r="PRP118" s="950"/>
      <c r="PRQ118" s="950"/>
      <c r="PRR118" s="950"/>
      <c r="PRS118" s="950"/>
      <c r="PRT118" s="950"/>
      <c r="PRU118" s="950"/>
      <c r="PRV118" s="950"/>
      <c r="PRW118" s="950"/>
      <c r="PRX118" s="950"/>
      <c r="PRY118" s="950"/>
      <c r="PRZ118" s="950"/>
      <c r="PSA118" s="950"/>
      <c r="PSB118" s="950"/>
      <c r="PSC118" s="950"/>
      <c r="PSD118" s="950"/>
      <c r="PSE118" s="950"/>
      <c r="PSF118" s="950"/>
      <c r="PSG118" s="950"/>
      <c r="PSH118" s="950"/>
      <c r="PSI118" s="950"/>
      <c r="PSJ118" s="950"/>
      <c r="PSK118" s="950"/>
      <c r="PSL118" s="950"/>
      <c r="PSM118" s="950"/>
      <c r="PSN118" s="950"/>
      <c r="PSO118" s="950"/>
      <c r="PSP118" s="950"/>
      <c r="PSQ118" s="950"/>
      <c r="PSR118" s="950"/>
      <c r="PSS118" s="950"/>
      <c r="PST118" s="950"/>
      <c r="PSU118" s="950"/>
      <c r="PSV118" s="950"/>
      <c r="PSW118" s="950"/>
      <c r="PSX118" s="950"/>
      <c r="PSY118" s="950"/>
      <c r="PSZ118" s="950"/>
      <c r="PTA118" s="950"/>
      <c r="PTB118" s="950"/>
      <c r="PTC118" s="950"/>
      <c r="PTD118" s="950"/>
      <c r="PTE118" s="950"/>
      <c r="PTF118" s="950"/>
      <c r="PTG118" s="950"/>
      <c r="PTH118" s="950"/>
      <c r="PTI118" s="950"/>
      <c r="PTJ118" s="950"/>
      <c r="PTK118" s="950"/>
      <c r="PTL118" s="950"/>
      <c r="PTM118" s="950"/>
      <c r="PTN118" s="950"/>
      <c r="PTO118" s="950"/>
      <c r="PTP118" s="950"/>
      <c r="PTQ118" s="950"/>
      <c r="PTR118" s="950"/>
      <c r="PTS118" s="950"/>
      <c r="PTT118" s="950"/>
      <c r="PTU118" s="950"/>
      <c r="PTV118" s="950"/>
      <c r="PTW118" s="950"/>
      <c r="PTX118" s="950"/>
      <c r="PTY118" s="950"/>
      <c r="PTZ118" s="950"/>
      <c r="PUA118" s="950"/>
      <c r="PUB118" s="950"/>
      <c r="PUC118" s="950"/>
      <c r="PUD118" s="950"/>
      <c r="PUE118" s="950"/>
      <c r="PUF118" s="950"/>
      <c r="PUG118" s="950"/>
      <c r="PUH118" s="950"/>
      <c r="PUI118" s="950"/>
      <c r="PUJ118" s="950"/>
      <c r="PUK118" s="950"/>
      <c r="PUL118" s="950"/>
      <c r="PUM118" s="950"/>
      <c r="PUN118" s="950"/>
      <c r="PUO118" s="950"/>
      <c r="PUP118" s="950"/>
      <c r="PUQ118" s="950"/>
      <c r="PUR118" s="950"/>
      <c r="PUS118" s="950"/>
      <c r="PUT118" s="950"/>
      <c r="PUU118" s="950"/>
      <c r="PUV118" s="950"/>
      <c r="PUW118" s="950"/>
      <c r="PUX118" s="950"/>
      <c r="PUY118" s="950"/>
      <c r="PUZ118" s="950"/>
      <c r="PVA118" s="950"/>
      <c r="PVB118" s="950"/>
      <c r="PVC118" s="950"/>
      <c r="PVD118" s="950"/>
      <c r="PVE118" s="950"/>
      <c r="PVF118" s="950"/>
      <c r="PVG118" s="950"/>
      <c r="PVH118" s="950"/>
      <c r="PVI118" s="950"/>
      <c r="PVJ118" s="950"/>
      <c r="PVK118" s="950"/>
      <c r="PVL118" s="950"/>
      <c r="PVM118" s="950"/>
      <c r="PVN118" s="950"/>
      <c r="PVO118" s="950"/>
      <c r="PVP118" s="950"/>
      <c r="PVQ118" s="950"/>
      <c r="PVR118" s="950"/>
      <c r="PVS118" s="950"/>
      <c r="PVT118" s="950"/>
      <c r="PVU118" s="950"/>
      <c r="PVV118" s="950"/>
      <c r="PVW118" s="950"/>
      <c r="PVX118" s="950"/>
      <c r="PVY118" s="950"/>
      <c r="PVZ118" s="950"/>
      <c r="PWA118" s="950"/>
      <c r="PWB118" s="950"/>
      <c r="PWC118" s="950"/>
      <c r="PWD118" s="950"/>
      <c r="PWE118" s="950"/>
      <c r="PWF118" s="950"/>
      <c r="PWG118" s="950"/>
      <c r="PWH118" s="950"/>
      <c r="PWI118" s="950"/>
      <c r="PWJ118" s="950"/>
      <c r="PWK118" s="950"/>
      <c r="PWL118" s="950"/>
      <c r="PWM118" s="950"/>
      <c r="PWN118" s="950"/>
      <c r="PWO118" s="950"/>
      <c r="PWP118" s="950"/>
      <c r="PWQ118" s="950"/>
      <c r="PWR118" s="950"/>
      <c r="PWS118" s="950"/>
      <c r="PWT118" s="950"/>
      <c r="PWU118" s="950"/>
      <c r="PWV118" s="950"/>
      <c r="PWW118" s="950"/>
      <c r="PWX118" s="950"/>
      <c r="PWY118" s="950"/>
      <c r="PWZ118" s="950"/>
      <c r="PXA118" s="950"/>
      <c r="PXB118" s="950"/>
      <c r="PXC118" s="950"/>
      <c r="PXD118" s="950"/>
      <c r="PXE118" s="950"/>
      <c r="PXF118" s="950"/>
      <c r="PXG118" s="950"/>
      <c r="PXH118" s="950"/>
      <c r="PXI118" s="950"/>
      <c r="PXJ118" s="950"/>
      <c r="PXK118" s="950"/>
      <c r="PXL118" s="950"/>
      <c r="PXM118" s="950"/>
      <c r="PXN118" s="950"/>
      <c r="PXO118" s="950"/>
      <c r="PXP118" s="950"/>
      <c r="PXQ118" s="950"/>
      <c r="PXR118" s="950"/>
      <c r="PXS118" s="950"/>
      <c r="PXT118" s="950"/>
      <c r="PXU118" s="950"/>
      <c r="PXV118" s="950"/>
      <c r="PXW118" s="950"/>
      <c r="PXX118" s="950"/>
      <c r="PXY118" s="950"/>
      <c r="PXZ118" s="950"/>
      <c r="PYA118" s="950"/>
      <c r="PYB118" s="950"/>
      <c r="PYC118" s="950"/>
      <c r="PYD118" s="950"/>
      <c r="PYE118" s="950"/>
      <c r="PYF118" s="950"/>
      <c r="PYG118" s="950"/>
      <c r="PYH118" s="950"/>
      <c r="PYI118" s="950"/>
      <c r="PYJ118" s="950"/>
      <c r="PYK118" s="950"/>
      <c r="PYL118" s="950"/>
      <c r="PYM118" s="950"/>
      <c r="PYN118" s="950"/>
      <c r="PYO118" s="950"/>
      <c r="PYP118" s="950"/>
      <c r="PYQ118" s="950"/>
      <c r="PYR118" s="950"/>
      <c r="PYS118" s="950"/>
      <c r="PYT118" s="950"/>
      <c r="PYU118" s="950"/>
      <c r="PYV118" s="950"/>
      <c r="PYW118" s="950"/>
      <c r="PYX118" s="950"/>
      <c r="PYY118" s="950"/>
      <c r="PYZ118" s="950"/>
      <c r="PZA118" s="950"/>
      <c r="PZB118" s="950"/>
      <c r="PZC118" s="950"/>
      <c r="PZD118" s="950"/>
      <c r="PZE118" s="950"/>
      <c r="PZF118" s="950"/>
      <c r="PZG118" s="950"/>
      <c r="PZH118" s="950"/>
      <c r="PZI118" s="950"/>
      <c r="PZJ118" s="950"/>
      <c r="PZK118" s="950"/>
      <c r="PZL118" s="950"/>
      <c r="PZM118" s="950"/>
      <c r="PZN118" s="950"/>
      <c r="PZO118" s="950"/>
      <c r="PZP118" s="950"/>
      <c r="PZQ118" s="950"/>
      <c r="PZR118" s="950"/>
      <c r="PZS118" s="950"/>
      <c r="PZT118" s="950"/>
      <c r="PZU118" s="950"/>
      <c r="PZV118" s="950"/>
      <c r="PZW118" s="950"/>
      <c r="PZX118" s="950"/>
      <c r="PZY118" s="950"/>
      <c r="PZZ118" s="950"/>
      <c r="QAA118" s="950"/>
      <c r="QAB118" s="950"/>
      <c r="QAC118" s="950"/>
      <c r="QAD118" s="950"/>
      <c r="QAE118" s="950"/>
      <c r="QAF118" s="950"/>
      <c r="QAG118" s="950"/>
      <c r="QAH118" s="950"/>
      <c r="QAI118" s="950"/>
      <c r="QAJ118" s="950"/>
      <c r="QAK118" s="950"/>
      <c r="QAL118" s="950"/>
      <c r="QAM118" s="950"/>
      <c r="QAN118" s="950"/>
      <c r="QAO118" s="950"/>
      <c r="QAP118" s="950"/>
      <c r="QAQ118" s="950"/>
      <c r="QAR118" s="950"/>
      <c r="QAS118" s="950"/>
      <c r="QAT118" s="950"/>
      <c r="QAU118" s="950"/>
      <c r="QAV118" s="950"/>
      <c r="QAW118" s="950"/>
      <c r="QAX118" s="950"/>
      <c r="QAY118" s="950"/>
      <c r="QAZ118" s="950"/>
      <c r="QBA118" s="950"/>
      <c r="QBB118" s="950"/>
      <c r="QBC118" s="950"/>
      <c r="QBD118" s="950"/>
      <c r="QBE118" s="950"/>
      <c r="QBF118" s="950"/>
      <c r="QBG118" s="950"/>
      <c r="QBH118" s="950"/>
      <c r="QBI118" s="950"/>
      <c r="QBJ118" s="950"/>
      <c r="QBK118" s="950"/>
      <c r="QBL118" s="950"/>
      <c r="QBM118" s="950"/>
      <c r="QBN118" s="950"/>
      <c r="QBO118" s="950"/>
      <c r="QBP118" s="950"/>
      <c r="QBQ118" s="950"/>
      <c r="QBR118" s="950"/>
      <c r="QBS118" s="950"/>
      <c r="QBT118" s="950"/>
      <c r="QBU118" s="950"/>
      <c r="QBV118" s="950"/>
      <c r="QBW118" s="950"/>
      <c r="QBX118" s="950"/>
      <c r="QBY118" s="950"/>
      <c r="QBZ118" s="950"/>
      <c r="QCA118" s="950"/>
      <c r="QCB118" s="950"/>
      <c r="QCC118" s="950"/>
      <c r="QCD118" s="950"/>
      <c r="QCE118" s="950"/>
      <c r="QCF118" s="950"/>
      <c r="QCG118" s="950"/>
      <c r="QCH118" s="950"/>
      <c r="QCI118" s="950"/>
      <c r="QCJ118" s="950"/>
      <c r="QCK118" s="950"/>
      <c r="QCL118" s="950"/>
      <c r="QCM118" s="950"/>
      <c r="QCN118" s="950"/>
      <c r="QCO118" s="950"/>
      <c r="QCP118" s="950"/>
      <c r="QCQ118" s="950"/>
      <c r="QCR118" s="950"/>
      <c r="QCS118" s="950"/>
      <c r="QCT118" s="950"/>
      <c r="QCU118" s="950"/>
      <c r="QCV118" s="950"/>
      <c r="QCW118" s="950"/>
      <c r="QCX118" s="950"/>
      <c r="QCY118" s="950"/>
      <c r="QCZ118" s="950"/>
      <c r="QDA118" s="950"/>
      <c r="QDB118" s="950"/>
      <c r="QDC118" s="950"/>
      <c r="QDD118" s="950"/>
      <c r="QDE118" s="950"/>
      <c r="QDF118" s="950"/>
      <c r="QDG118" s="950"/>
      <c r="QDH118" s="950"/>
      <c r="QDI118" s="950"/>
      <c r="QDJ118" s="950"/>
      <c r="QDK118" s="950"/>
      <c r="QDL118" s="950"/>
      <c r="QDM118" s="950"/>
      <c r="QDN118" s="950"/>
      <c r="QDO118" s="950"/>
      <c r="QDP118" s="950"/>
      <c r="QDQ118" s="950"/>
      <c r="QDR118" s="950"/>
      <c r="QDS118" s="950"/>
      <c r="QDT118" s="950"/>
      <c r="QDU118" s="950"/>
      <c r="QDV118" s="950"/>
      <c r="QDW118" s="950"/>
      <c r="QDX118" s="950"/>
      <c r="QDY118" s="950"/>
      <c r="QDZ118" s="950"/>
      <c r="QEA118" s="950"/>
      <c r="QEB118" s="950"/>
      <c r="QEC118" s="950"/>
      <c r="QED118" s="950"/>
      <c r="QEE118" s="950"/>
      <c r="QEF118" s="950"/>
      <c r="QEG118" s="950"/>
      <c r="QEH118" s="950"/>
      <c r="QEI118" s="950"/>
      <c r="QEJ118" s="950"/>
      <c r="QEK118" s="950"/>
      <c r="QEL118" s="950"/>
      <c r="QEM118" s="950"/>
      <c r="QEN118" s="950"/>
      <c r="QEO118" s="950"/>
      <c r="QEP118" s="950"/>
      <c r="QEQ118" s="950"/>
      <c r="QER118" s="950"/>
      <c r="QES118" s="950"/>
      <c r="QET118" s="950"/>
      <c r="QEU118" s="950"/>
      <c r="QEV118" s="950"/>
      <c r="QEW118" s="950"/>
      <c r="QEX118" s="950"/>
      <c r="QEY118" s="950"/>
      <c r="QEZ118" s="950"/>
      <c r="QFA118" s="950"/>
      <c r="QFB118" s="950"/>
      <c r="QFC118" s="950"/>
      <c r="QFD118" s="950"/>
      <c r="QFE118" s="950"/>
      <c r="QFF118" s="950"/>
      <c r="QFG118" s="950"/>
      <c r="QFH118" s="950"/>
      <c r="QFI118" s="950"/>
      <c r="QFJ118" s="950"/>
      <c r="QFK118" s="950"/>
      <c r="QFL118" s="950"/>
      <c r="QFM118" s="950"/>
      <c r="QFN118" s="950"/>
      <c r="QFO118" s="950"/>
      <c r="QFP118" s="950"/>
      <c r="QFQ118" s="950"/>
      <c r="QFR118" s="950"/>
      <c r="QFS118" s="950"/>
      <c r="QFT118" s="950"/>
      <c r="QFU118" s="950"/>
      <c r="QFV118" s="950"/>
      <c r="QFW118" s="950"/>
      <c r="QFX118" s="950"/>
      <c r="QFY118" s="950"/>
      <c r="QFZ118" s="950"/>
      <c r="QGA118" s="950"/>
      <c r="QGB118" s="950"/>
      <c r="QGC118" s="950"/>
      <c r="QGD118" s="950"/>
      <c r="QGE118" s="950"/>
      <c r="QGF118" s="950"/>
      <c r="QGG118" s="950"/>
      <c r="QGH118" s="950"/>
      <c r="QGI118" s="950"/>
      <c r="QGJ118" s="950"/>
      <c r="QGK118" s="950"/>
      <c r="QGL118" s="950"/>
      <c r="QGM118" s="950"/>
      <c r="QGN118" s="950"/>
      <c r="QGO118" s="950"/>
      <c r="QGP118" s="950"/>
      <c r="QGQ118" s="950"/>
      <c r="QGR118" s="950"/>
      <c r="QGS118" s="950"/>
      <c r="QGT118" s="950"/>
      <c r="QGU118" s="950"/>
      <c r="QGV118" s="950"/>
      <c r="QGW118" s="950"/>
      <c r="QGX118" s="950"/>
      <c r="QGY118" s="950"/>
      <c r="QGZ118" s="950"/>
      <c r="QHA118" s="950"/>
      <c r="QHB118" s="950"/>
      <c r="QHC118" s="950"/>
      <c r="QHD118" s="950"/>
      <c r="QHE118" s="950"/>
      <c r="QHF118" s="950"/>
      <c r="QHG118" s="950"/>
      <c r="QHH118" s="950"/>
      <c r="QHI118" s="950"/>
      <c r="QHJ118" s="950"/>
      <c r="QHK118" s="950"/>
      <c r="QHL118" s="950"/>
      <c r="QHM118" s="950"/>
      <c r="QHN118" s="950"/>
      <c r="QHO118" s="950"/>
      <c r="QHP118" s="950"/>
      <c r="QHQ118" s="950"/>
      <c r="QHR118" s="950"/>
      <c r="QHS118" s="950"/>
      <c r="QHT118" s="950"/>
      <c r="QHU118" s="950"/>
      <c r="QHV118" s="950"/>
      <c r="QHW118" s="950"/>
      <c r="QHX118" s="950"/>
      <c r="QHY118" s="950"/>
      <c r="QHZ118" s="950"/>
      <c r="QIA118" s="950"/>
      <c r="QIB118" s="950"/>
      <c r="QIC118" s="950"/>
      <c r="QID118" s="950"/>
      <c r="QIE118" s="950"/>
      <c r="QIF118" s="950"/>
      <c r="QIG118" s="950"/>
      <c r="QIH118" s="950"/>
      <c r="QII118" s="950"/>
      <c r="QIJ118" s="950"/>
      <c r="QIK118" s="950"/>
      <c r="QIL118" s="950"/>
      <c r="QIM118" s="950"/>
      <c r="QIN118" s="950"/>
      <c r="QIO118" s="950"/>
      <c r="QIP118" s="950"/>
      <c r="QIQ118" s="950"/>
      <c r="QIR118" s="950"/>
      <c r="QIS118" s="950"/>
      <c r="QIT118" s="950"/>
      <c r="QIU118" s="950"/>
      <c r="QIV118" s="950"/>
      <c r="QIW118" s="950"/>
      <c r="QIX118" s="950"/>
      <c r="QIY118" s="950"/>
      <c r="QIZ118" s="950"/>
      <c r="QJA118" s="950"/>
      <c r="QJB118" s="950"/>
      <c r="QJC118" s="950"/>
      <c r="QJD118" s="950"/>
      <c r="QJE118" s="950"/>
      <c r="QJF118" s="950"/>
      <c r="QJG118" s="950"/>
      <c r="QJH118" s="950"/>
      <c r="QJI118" s="950"/>
      <c r="QJJ118" s="950"/>
      <c r="QJK118" s="950"/>
      <c r="QJL118" s="950"/>
      <c r="QJM118" s="950"/>
      <c r="QJN118" s="950"/>
      <c r="QJO118" s="950"/>
      <c r="QJP118" s="950"/>
      <c r="QJQ118" s="950"/>
      <c r="QJR118" s="950"/>
      <c r="QJS118" s="950"/>
      <c r="QJT118" s="950"/>
      <c r="QJU118" s="950"/>
      <c r="QJV118" s="950"/>
      <c r="QJW118" s="950"/>
      <c r="QJX118" s="950"/>
      <c r="QJY118" s="950"/>
      <c r="QJZ118" s="950"/>
      <c r="QKA118" s="950"/>
      <c r="QKB118" s="950"/>
      <c r="QKC118" s="950"/>
      <c r="QKD118" s="950"/>
      <c r="QKE118" s="950"/>
      <c r="QKF118" s="950"/>
      <c r="QKG118" s="950"/>
      <c r="QKH118" s="950"/>
      <c r="QKI118" s="950"/>
      <c r="QKJ118" s="950"/>
      <c r="QKK118" s="950"/>
      <c r="QKL118" s="950"/>
      <c r="QKM118" s="950"/>
      <c r="QKN118" s="950"/>
      <c r="QKO118" s="950"/>
      <c r="QKP118" s="950"/>
      <c r="QKQ118" s="950"/>
      <c r="QKR118" s="950"/>
      <c r="QKS118" s="950"/>
      <c r="QKT118" s="950"/>
      <c r="QKU118" s="950"/>
      <c r="QKV118" s="950"/>
      <c r="QKW118" s="950"/>
      <c r="QKX118" s="950"/>
      <c r="QKY118" s="950"/>
      <c r="QKZ118" s="950"/>
      <c r="QLA118" s="950"/>
      <c r="QLB118" s="950"/>
      <c r="QLC118" s="950"/>
      <c r="QLD118" s="950"/>
      <c r="QLE118" s="950"/>
      <c r="QLF118" s="950"/>
      <c r="QLG118" s="950"/>
      <c r="QLH118" s="950"/>
      <c r="QLI118" s="950"/>
      <c r="QLJ118" s="950"/>
      <c r="QLK118" s="950"/>
      <c r="QLL118" s="950"/>
      <c r="QLM118" s="950"/>
      <c r="QLN118" s="950"/>
      <c r="QLO118" s="950"/>
      <c r="QLP118" s="950"/>
      <c r="QLQ118" s="950"/>
      <c r="QLR118" s="950"/>
      <c r="QLS118" s="950"/>
      <c r="QLT118" s="950"/>
      <c r="QLU118" s="950"/>
      <c r="QLV118" s="950"/>
      <c r="QLW118" s="950"/>
      <c r="QLX118" s="950"/>
      <c r="QLY118" s="950"/>
      <c r="QLZ118" s="950"/>
      <c r="QMA118" s="950"/>
      <c r="QMB118" s="950"/>
      <c r="QMC118" s="950"/>
      <c r="QMD118" s="950"/>
      <c r="QME118" s="950"/>
      <c r="QMF118" s="950"/>
      <c r="QMG118" s="950"/>
      <c r="QMH118" s="950"/>
      <c r="QMI118" s="950"/>
      <c r="QMJ118" s="950"/>
      <c r="QMK118" s="950"/>
      <c r="QML118" s="950"/>
      <c r="QMM118" s="950"/>
      <c r="QMN118" s="950"/>
      <c r="QMO118" s="950"/>
      <c r="QMP118" s="950"/>
      <c r="QMQ118" s="950"/>
      <c r="QMR118" s="950"/>
      <c r="QMS118" s="950"/>
      <c r="QMT118" s="950"/>
      <c r="QMU118" s="950"/>
      <c r="QMV118" s="950"/>
      <c r="QMW118" s="950"/>
      <c r="QMX118" s="950"/>
      <c r="QMY118" s="950"/>
      <c r="QMZ118" s="950"/>
      <c r="QNA118" s="950"/>
      <c r="QNB118" s="950"/>
      <c r="QNC118" s="950"/>
      <c r="QND118" s="950"/>
      <c r="QNE118" s="950"/>
      <c r="QNF118" s="950"/>
      <c r="QNG118" s="950"/>
      <c r="QNH118" s="950"/>
      <c r="QNI118" s="950"/>
      <c r="QNJ118" s="950"/>
      <c r="QNK118" s="950"/>
      <c r="QNL118" s="950"/>
      <c r="QNM118" s="950"/>
      <c r="QNN118" s="950"/>
      <c r="QNO118" s="950"/>
      <c r="QNP118" s="950"/>
      <c r="QNQ118" s="950"/>
      <c r="QNR118" s="950"/>
      <c r="QNS118" s="950"/>
      <c r="QNT118" s="950"/>
      <c r="QNU118" s="950"/>
      <c r="QNV118" s="950"/>
      <c r="QNW118" s="950"/>
      <c r="QNX118" s="950"/>
      <c r="QNY118" s="950"/>
      <c r="QNZ118" s="950"/>
      <c r="QOA118" s="950"/>
      <c r="QOB118" s="950"/>
      <c r="QOC118" s="950"/>
      <c r="QOD118" s="950"/>
      <c r="QOE118" s="950"/>
      <c r="QOF118" s="950"/>
      <c r="QOG118" s="950"/>
      <c r="QOH118" s="950"/>
      <c r="QOI118" s="950"/>
      <c r="QOJ118" s="950"/>
      <c r="QOK118" s="950"/>
      <c r="QOL118" s="950"/>
      <c r="QOM118" s="950"/>
      <c r="QON118" s="950"/>
      <c r="QOO118" s="950"/>
      <c r="QOP118" s="950"/>
      <c r="QOQ118" s="950"/>
      <c r="QOR118" s="950"/>
      <c r="QOS118" s="950"/>
      <c r="QOT118" s="950"/>
      <c r="QOU118" s="950"/>
      <c r="QOV118" s="950"/>
      <c r="QOW118" s="950"/>
      <c r="QOX118" s="950"/>
      <c r="QOY118" s="950"/>
      <c r="QOZ118" s="950"/>
      <c r="QPA118" s="950"/>
      <c r="QPB118" s="950"/>
      <c r="QPC118" s="950"/>
      <c r="QPD118" s="950"/>
      <c r="QPE118" s="950"/>
      <c r="QPF118" s="950"/>
      <c r="QPG118" s="950"/>
      <c r="QPH118" s="950"/>
      <c r="QPI118" s="950"/>
      <c r="QPJ118" s="950"/>
      <c r="QPK118" s="950"/>
      <c r="QPL118" s="950"/>
      <c r="QPM118" s="950"/>
      <c r="QPN118" s="950"/>
      <c r="QPO118" s="950"/>
      <c r="QPP118" s="950"/>
      <c r="QPQ118" s="950"/>
      <c r="QPR118" s="950"/>
      <c r="QPS118" s="950"/>
      <c r="QPT118" s="950"/>
      <c r="QPU118" s="950"/>
      <c r="QPV118" s="950"/>
      <c r="QPW118" s="950"/>
      <c r="QPX118" s="950"/>
      <c r="QPY118" s="950"/>
      <c r="QPZ118" s="950"/>
      <c r="QQA118" s="950"/>
      <c r="QQB118" s="950"/>
      <c r="QQC118" s="950"/>
      <c r="QQD118" s="950"/>
      <c r="QQE118" s="950"/>
      <c r="QQF118" s="950"/>
      <c r="QQG118" s="950"/>
      <c r="QQH118" s="950"/>
      <c r="QQI118" s="950"/>
      <c r="QQJ118" s="950"/>
      <c r="QQK118" s="950"/>
      <c r="QQL118" s="950"/>
      <c r="QQM118" s="950"/>
      <c r="QQN118" s="950"/>
      <c r="QQO118" s="950"/>
      <c r="QQP118" s="950"/>
      <c r="QQQ118" s="950"/>
      <c r="QQR118" s="950"/>
      <c r="QQS118" s="950"/>
      <c r="QQT118" s="950"/>
      <c r="QQU118" s="950"/>
      <c r="QQV118" s="950"/>
      <c r="QQW118" s="950"/>
      <c r="QQX118" s="950"/>
      <c r="QQY118" s="950"/>
      <c r="QQZ118" s="950"/>
      <c r="QRA118" s="950"/>
      <c r="QRB118" s="950"/>
      <c r="QRC118" s="950"/>
      <c r="QRD118" s="950"/>
      <c r="QRE118" s="950"/>
      <c r="QRF118" s="950"/>
      <c r="QRG118" s="950"/>
      <c r="QRH118" s="950"/>
      <c r="QRI118" s="950"/>
      <c r="QRJ118" s="950"/>
      <c r="QRK118" s="950"/>
      <c r="QRL118" s="950"/>
      <c r="QRM118" s="950"/>
      <c r="QRN118" s="950"/>
      <c r="QRO118" s="950"/>
      <c r="QRP118" s="950"/>
      <c r="QRQ118" s="950"/>
      <c r="QRR118" s="950"/>
      <c r="QRS118" s="950"/>
      <c r="QRT118" s="950"/>
      <c r="QRU118" s="950"/>
      <c r="QRV118" s="950"/>
      <c r="QRW118" s="950"/>
      <c r="QRX118" s="950"/>
      <c r="QRY118" s="950"/>
      <c r="QRZ118" s="950"/>
      <c r="QSA118" s="950"/>
      <c r="QSB118" s="950"/>
      <c r="QSC118" s="950"/>
      <c r="QSD118" s="950"/>
      <c r="QSE118" s="950"/>
      <c r="QSF118" s="950"/>
      <c r="QSG118" s="950"/>
      <c r="QSH118" s="950"/>
      <c r="QSI118" s="950"/>
      <c r="QSJ118" s="950"/>
      <c r="QSK118" s="950"/>
      <c r="QSL118" s="950"/>
      <c r="QSM118" s="950"/>
      <c r="QSN118" s="950"/>
      <c r="QSO118" s="950"/>
      <c r="QSP118" s="950"/>
      <c r="QSQ118" s="950"/>
      <c r="QSR118" s="950"/>
      <c r="QSS118" s="950"/>
      <c r="QST118" s="950"/>
      <c r="QSU118" s="950"/>
      <c r="QSV118" s="950"/>
      <c r="QSW118" s="950"/>
      <c r="QSX118" s="950"/>
      <c r="QSY118" s="950"/>
      <c r="QSZ118" s="950"/>
      <c r="QTA118" s="950"/>
      <c r="QTB118" s="950"/>
      <c r="QTC118" s="950"/>
      <c r="QTD118" s="950"/>
      <c r="QTE118" s="950"/>
      <c r="QTF118" s="950"/>
      <c r="QTG118" s="950"/>
      <c r="QTH118" s="950"/>
      <c r="QTI118" s="950"/>
      <c r="QTJ118" s="950"/>
      <c r="QTK118" s="950"/>
      <c r="QTL118" s="950"/>
      <c r="QTM118" s="950"/>
      <c r="QTN118" s="950"/>
      <c r="QTO118" s="950"/>
      <c r="QTP118" s="950"/>
      <c r="QTQ118" s="950"/>
      <c r="QTR118" s="950"/>
      <c r="QTS118" s="950"/>
      <c r="QTT118" s="950"/>
      <c r="QTU118" s="950"/>
      <c r="QTV118" s="950"/>
      <c r="QTW118" s="950"/>
      <c r="QTX118" s="950"/>
      <c r="QTY118" s="950"/>
      <c r="QTZ118" s="950"/>
      <c r="QUA118" s="950"/>
      <c r="QUB118" s="950"/>
      <c r="QUC118" s="950"/>
      <c r="QUD118" s="950"/>
      <c r="QUE118" s="950"/>
      <c r="QUF118" s="950"/>
      <c r="QUG118" s="950"/>
      <c r="QUH118" s="950"/>
      <c r="QUI118" s="950"/>
      <c r="QUJ118" s="950"/>
      <c r="QUK118" s="950"/>
      <c r="QUL118" s="950"/>
      <c r="QUM118" s="950"/>
      <c r="QUN118" s="950"/>
      <c r="QUO118" s="950"/>
      <c r="QUP118" s="950"/>
      <c r="QUQ118" s="950"/>
      <c r="QUR118" s="950"/>
      <c r="QUS118" s="950"/>
      <c r="QUT118" s="950"/>
      <c r="QUU118" s="950"/>
      <c r="QUV118" s="950"/>
      <c r="QUW118" s="950"/>
      <c r="QUX118" s="950"/>
      <c r="QUY118" s="950"/>
      <c r="QUZ118" s="950"/>
      <c r="QVA118" s="950"/>
      <c r="QVB118" s="950"/>
      <c r="QVC118" s="950"/>
      <c r="QVD118" s="950"/>
      <c r="QVE118" s="950"/>
      <c r="QVF118" s="950"/>
      <c r="QVG118" s="950"/>
      <c r="QVH118" s="950"/>
      <c r="QVI118" s="950"/>
      <c r="QVJ118" s="950"/>
      <c r="QVK118" s="950"/>
      <c r="QVL118" s="950"/>
      <c r="QVM118" s="950"/>
      <c r="QVN118" s="950"/>
      <c r="QVO118" s="950"/>
      <c r="QVP118" s="950"/>
      <c r="QVQ118" s="950"/>
      <c r="QVR118" s="950"/>
      <c r="QVS118" s="950"/>
      <c r="QVT118" s="950"/>
      <c r="QVU118" s="950"/>
      <c r="QVV118" s="950"/>
      <c r="QVW118" s="950"/>
      <c r="QVX118" s="950"/>
      <c r="QVY118" s="950"/>
      <c r="QVZ118" s="950"/>
      <c r="QWA118" s="950"/>
      <c r="QWB118" s="950"/>
      <c r="QWC118" s="950"/>
      <c r="QWD118" s="950"/>
      <c r="QWE118" s="950"/>
      <c r="QWF118" s="950"/>
      <c r="QWG118" s="950"/>
      <c r="QWH118" s="950"/>
      <c r="QWI118" s="950"/>
      <c r="QWJ118" s="950"/>
      <c r="QWK118" s="950"/>
      <c r="QWL118" s="950"/>
      <c r="QWM118" s="950"/>
      <c r="QWN118" s="950"/>
      <c r="QWO118" s="950"/>
      <c r="QWP118" s="950"/>
      <c r="QWQ118" s="950"/>
      <c r="QWR118" s="950"/>
      <c r="QWS118" s="950"/>
      <c r="QWT118" s="950"/>
      <c r="QWU118" s="950"/>
      <c r="QWV118" s="950"/>
      <c r="QWW118" s="950"/>
      <c r="QWX118" s="950"/>
      <c r="QWY118" s="950"/>
      <c r="QWZ118" s="950"/>
      <c r="QXA118" s="950"/>
      <c r="QXB118" s="950"/>
      <c r="QXC118" s="950"/>
      <c r="QXD118" s="950"/>
      <c r="QXE118" s="950"/>
      <c r="QXF118" s="950"/>
      <c r="QXG118" s="950"/>
      <c r="QXH118" s="950"/>
      <c r="QXI118" s="950"/>
      <c r="QXJ118" s="950"/>
      <c r="QXK118" s="950"/>
      <c r="QXL118" s="950"/>
      <c r="QXM118" s="950"/>
      <c r="QXN118" s="950"/>
      <c r="QXO118" s="950"/>
      <c r="QXP118" s="950"/>
      <c r="QXQ118" s="950"/>
      <c r="QXR118" s="950"/>
      <c r="QXS118" s="950"/>
      <c r="QXT118" s="950"/>
      <c r="QXU118" s="950"/>
      <c r="QXV118" s="950"/>
      <c r="QXW118" s="950"/>
      <c r="QXX118" s="950"/>
      <c r="QXY118" s="950"/>
      <c r="QXZ118" s="950"/>
      <c r="QYA118" s="950"/>
      <c r="QYB118" s="950"/>
      <c r="QYC118" s="950"/>
      <c r="QYD118" s="950"/>
      <c r="QYE118" s="950"/>
      <c r="QYF118" s="950"/>
      <c r="QYG118" s="950"/>
      <c r="QYH118" s="950"/>
      <c r="QYI118" s="950"/>
      <c r="QYJ118" s="950"/>
      <c r="QYK118" s="950"/>
      <c r="QYL118" s="950"/>
      <c r="QYM118" s="950"/>
      <c r="QYN118" s="950"/>
      <c r="QYO118" s="950"/>
      <c r="QYP118" s="950"/>
      <c r="QYQ118" s="950"/>
      <c r="QYR118" s="950"/>
      <c r="QYS118" s="950"/>
      <c r="QYT118" s="950"/>
      <c r="QYU118" s="950"/>
      <c r="QYV118" s="950"/>
      <c r="QYW118" s="950"/>
      <c r="QYX118" s="950"/>
      <c r="QYY118" s="950"/>
      <c r="QYZ118" s="950"/>
      <c r="QZA118" s="950"/>
      <c r="QZB118" s="950"/>
      <c r="QZC118" s="950"/>
      <c r="QZD118" s="950"/>
      <c r="QZE118" s="950"/>
      <c r="QZF118" s="950"/>
      <c r="QZG118" s="950"/>
      <c r="QZH118" s="950"/>
      <c r="QZI118" s="950"/>
      <c r="QZJ118" s="950"/>
      <c r="QZK118" s="950"/>
      <c r="QZL118" s="950"/>
      <c r="QZM118" s="950"/>
      <c r="QZN118" s="950"/>
      <c r="QZO118" s="950"/>
      <c r="QZP118" s="950"/>
      <c r="QZQ118" s="950"/>
      <c r="QZR118" s="950"/>
      <c r="QZS118" s="950"/>
      <c r="QZT118" s="950"/>
      <c r="QZU118" s="950"/>
      <c r="QZV118" s="950"/>
      <c r="QZW118" s="950"/>
      <c r="QZX118" s="950"/>
      <c r="QZY118" s="950"/>
      <c r="QZZ118" s="950"/>
      <c r="RAA118" s="950"/>
      <c r="RAB118" s="950"/>
      <c r="RAC118" s="950"/>
      <c r="RAD118" s="950"/>
      <c r="RAE118" s="950"/>
      <c r="RAF118" s="950"/>
      <c r="RAG118" s="950"/>
      <c r="RAH118" s="950"/>
      <c r="RAI118" s="950"/>
      <c r="RAJ118" s="950"/>
      <c r="RAK118" s="950"/>
      <c r="RAL118" s="950"/>
      <c r="RAM118" s="950"/>
      <c r="RAN118" s="950"/>
      <c r="RAO118" s="950"/>
      <c r="RAP118" s="950"/>
      <c r="RAQ118" s="950"/>
      <c r="RAR118" s="950"/>
      <c r="RAS118" s="950"/>
      <c r="RAT118" s="950"/>
      <c r="RAU118" s="950"/>
      <c r="RAV118" s="950"/>
      <c r="RAW118" s="950"/>
      <c r="RAX118" s="950"/>
      <c r="RAY118" s="950"/>
      <c r="RAZ118" s="950"/>
      <c r="RBA118" s="950"/>
      <c r="RBB118" s="950"/>
      <c r="RBC118" s="950"/>
      <c r="RBD118" s="950"/>
      <c r="RBE118" s="950"/>
      <c r="RBF118" s="950"/>
      <c r="RBG118" s="950"/>
      <c r="RBH118" s="950"/>
      <c r="RBI118" s="950"/>
      <c r="RBJ118" s="950"/>
      <c r="RBK118" s="950"/>
      <c r="RBL118" s="950"/>
      <c r="RBM118" s="950"/>
      <c r="RBN118" s="950"/>
      <c r="RBO118" s="950"/>
      <c r="RBP118" s="950"/>
      <c r="RBQ118" s="950"/>
      <c r="RBR118" s="950"/>
      <c r="RBS118" s="950"/>
      <c r="RBT118" s="950"/>
      <c r="RBU118" s="950"/>
      <c r="RBV118" s="950"/>
      <c r="RBW118" s="950"/>
      <c r="RBX118" s="950"/>
      <c r="RBY118" s="950"/>
      <c r="RBZ118" s="950"/>
      <c r="RCA118" s="950"/>
      <c r="RCB118" s="950"/>
      <c r="RCC118" s="950"/>
      <c r="RCD118" s="950"/>
      <c r="RCE118" s="950"/>
      <c r="RCF118" s="950"/>
      <c r="RCG118" s="950"/>
      <c r="RCH118" s="950"/>
      <c r="RCI118" s="950"/>
      <c r="RCJ118" s="950"/>
      <c r="RCK118" s="950"/>
      <c r="RCL118" s="950"/>
      <c r="RCM118" s="950"/>
      <c r="RCN118" s="950"/>
      <c r="RCO118" s="950"/>
      <c r="RCP118" s="950"/>
      <c r="RCQ118" s="950"/>
      <c r="RCR118" s="950"/>
      <c r="RCS118" s="950"/>
      <c r="RCT118" s="950"/>
      <c r="RCU118" s="950"/>
      <c r="RCV118" s="950"/>
      <c r="RCW118" s="950"/>
      <c r="RCX118" s="950"/>
      <c r="RCY118" s="950"/>
      <c r="RCZ118" s="950"/>
      <c r="RDA118" s="950"/>
      <c r="RDB118" s="950"/>
      <c r="RDC118" s="950"/>
      <c r="RDD118" s="950"/>
      <c r="RDE118" s="950"/>
      <c r="RDF118" s="950"/>
      <c r="RDG118" s="950"/>
      <c r="RDH118" s="950"/>
      <c r="RDI118" s="950"/>
      <c r="RDJ118" s="950"/>
      <c r="RDK118" s="950"/>
      <c r="RDL118" s="950"/>
      <c r="RDM118" s="950"/>
      <c r="RDN118" s="950"/>
      <c r="RDO118" s="950"/>
      <c r="RDP118" s="950"/>
      <c r="RDQ118" s="950"/>
      <c r="RDR118" s="950"/>
      <c r="RDS118" s="950"/>
      <c r="RDT118" s="950"/>
      <c r="RDU118" s="950"/>
      <c r="RDV118" s="950"/>
      <c r="RDW118" s="950"/>
      <c r="RDX118" s="950"/>
      <c r="RDY118" s="950"/>
      <c r="RDZ118" s="950"/>
      <c r="REA118" s="950"/>
      <c r="REB118" s="950"/>
      <c r="REC118" s="950"/>
      <c r="RED118" s="950"/>
      <c r="REE118" s="950"/>
      <c r="REF118" s="950"/>
      <c r="REG118" s="950"/>
      <c r="REH118" s="950"/>
      <c r="REI118" s="950"/>
      <c r="REJ118" s="950"/>
      <c r="REK118" s="950"/>
      <c r="REL118" s="950"/>
      <c r="REM118" s="950"/>
      <c r="REN118" s="950"/>
      <c r="REO118" s="950"/>
      <c r="REP118" s="950"/>
      <c r="REQ118" s="950"/>
      <c r="RER118" s="950"/>
      <c r="RES118" s="950"/>
      <c r="RET118" s="950"/>
      <c r="REU118" s="950"/>
      <c r="REV118" s="950"/>
      <c r="REW118" s="950"/>
      <c r="REX118" s="950"/>
      <c r="REY118" s="950"/>
      <c r="REZ118" s="950"/>
      <c r="RFA118" s="950"/>
      <c r="RFB118" s="950"/>
      <c r="RFC118" s="950"/>
      <c r="RFD118" s="950"/>
      <c r="RFE118" s="950"/>
      <c r="RFF118" s="950"/>
      <c r="RFG118" s="950"/>
      <c r="RFH118" s="950"/>
      <c r="RFI118" s="950"/>
      <c r="RFJ118" s="950"/>
      <c r="RFK118" s="950"/>
      <c r="RFL118" s="950"/>
      <c r="RFM118" s="950"/>
      <c r="RFN118" s="950"/>
      <c r="RFO118" s="950"/>
      <c r="RFP118" s="950"/>
      <c r="RFQ118" s="950"/>
      <c r="RFR118" s="950"/>
      <c r="RFS118" s="950"/>
      <c r="RFT118" s="950"/>
      <c r="RFU118" s="950"/>
      <c r="RFV118" s="950"/>
      <c r="RFW118" s="950"/>
      <c r="RFX118" s="950"/>
      <c r="RFY118" s="950"/>
      <c r="RFZ118" s="950"/>
      <c r="RGA118" s="950"/>
      <c r="RGB118" s="950"/>
      <c r="RGC118" s="950"/>
      <c r="RGD118" s="950"/>
      <c r="RGE118" s="950"/>
      <c r="RGF118" s="950"/>
      <c r="RGG118" s="950"/>
      <c r="RGH118" s="950"/>
      <c r="RGI118" s="950"/>
      <c r="RGJ118" s="950"/>
      <c r="RGK118" s="950"/>
      <c r="RGL118" s="950"/>
      <c r="RGM118" s="950"/>
      <c r="RGN118" s="950"/>
      <c r="RGO118" s="950"/>
      <c r="RGP118" s="950"/>
      <c r="RGQ118" s="950"/>
      <c r="RGR118" s="950"/>
      <c r="RGS118" s="950"/>
      <c r="RGT118" s="950"/>
      <c r="RGU118" s="950"/>
      <c r="RGV118" s="950"/>
      <c r="RGW118" s="950"/>
      <c r="RGX118" s="950"/>
      <c r="RGY118" s="950"/>
      <c r="RGZ118" s="950"/>
      <c r="RHA118" s="950"/>
      <c r="RHB118" s="950"/>
      <c r="RHC118" s="950"/>
      <c r="RHD118" s="950"/>
      <c r="RHE118" s="950"/>
      <c r="RHF118" s="950"/>
      <c r="RHG118" s="950"/>
      <c r="RHH118" s="950"/>
      <c r="RHI118" s="950"/>
      <c r="RHJ118" s="950"/>
      <c r="RHK118" s="950"/>
      <c r="RHL118" s="950"/>
      <c r="RHM118" s="950"/>
      <c r="RHN118" s="950"/>
      <c r="RHO118" s="950"/>
      <c r="RHP118" s="950"/>
      <c r="RHQ118" s="950"/>
      <c r="RHR118" s="950"/>
      <c r="RHS118" s="950"/>
      <c r="RHT118" s="950"/>
      <c r="RHU118" s="950"/>
      <c r="RHV118" s="950"/>
      <c r="RHW118" s="950"/>
      <c r="RHX118" s="950"/>
      <c r="RHY118" s="950"/>
      <c r="RHZ118" s="950"/>
      <c r="RIA118" s="950"/>
      <c r="RIB118" s="950"/>
      <c r="RIC118" s="950"/>
      <c r="RID118" s="950"/>
      <c r="RIE118" s="950"/>
      <c r="RIF118" s="950"/>
      <c r="RIG118" s="950"/>
      <c r="RIH118" s="950"/>
      <c r="RII118" s="950"/>
      <c r="RIJ118" s="950"/>
      <c r="RIK118" s="950"/>
      <c r="RIL118" s="950"/>
      <c r="RIM118" s="950"/>
      <c r="RIN118" s="950"/>
      <c r="RIO118" s="950"/>
      <c r="RIP118" s="950"/>
      <c r="RIQ118" s="950"/>
      <c r="RIR118" s="950"/>
      <c r="RIS118" s="950"/>
      <c r="RIT118" s="950"/>
      <c r="RIU118" s="950"/>
      <c r="RIV118" s="950"/>
      <c r="RIW118" s="950"/>
      <c r="RIX118" s="950"/>
      <c r="RIY118" s="950"/>
      <c r="RIZ118" s="950"/>
      <c r="RJA118" s="950"/>
      <c r="RJB118" s="950"/>
      <c r="RJC118" s="950"/>
      <c r="RJD118" s="950"/>
      <c r="RJE118" s="950"/>
      <c r="RJF118" s="950"/>
      <c r="RJG118" s="950"/>
      <c r="RJH118" s="950"/>
      <c r="RJI118" s="950"/>
      <c r="RJJ118" s="950"/>
      <c r="RJK118" s="950"/>
      <c r="RJL118" s="950"/>
      <c r="RJM118" s="950"/>
      <c r="RJN118" s="950"/>
      <c r="RJO118" s="950"/>
      <c r="RJP118" s="950"/>
      <c r="RJQ118" s="950"/>
      <c r="RJR118" s="950"/>
      <c r="RJS118" s="950"/>
      <c r="RJT118" s="950"/>
      <c r="RJU118" s="950"/>
      <c r="RJV118" s="950"/>
      <c r="RJW118" s="950"/>
      <c r="RJX118" s="950"/>
      <c r="RJY118" s="950"/>
      <c r="RJZ118" s="950"/>
      <c r="RKA118" s="950"/>
      <c r="RKB118" s="950"/>
      <c r="RKC118" s="950"/>
      <c r="RKD118" s="950"/>
      <c r="RKE118" s="950"/>
      <c r="RKF118" s="950"/>
      <c r="RKG118" s="950"/>
      <c r="RKH118" s="950"/>
      <c r="RKI118" s="950"/>
      <c r="RKJ118" s="950"/>
      <c r="RKK118" s="950"/>
      <c r="RKL118" s="950"/>
      <c r="RKM118" s="950"/>
      <c r="RKN118" s="950"/>
      <c r="RKO118" s="950"/>
      <c r="RKP118" s="950"/>
      <c r="RKQ118" s="950"/>
      <c r="RKR118" s="950"/>
      <c r="RKS118" s="950"/>
      <c r="RKT118" s="950"/>
      <c r="RKU118" s="950"/>
      <c r="RKV118" s="950"/>
      <c r="RKW118" s="950"/>
      <c r="RKX118" s="950"/>
      <c r="RKY118" s="950"/>
      <c r="RKZ118" s="950"/>
      <c r="RLA118" s="950"/>
      <c r="RLB118" s="950"/>
      <c r="RLC118" s="950"/>
      <c r="RLD118" s="950"/>
      <c r="RLE118" s="950"/>
      <c r="RLF118" s="950"/>
      <c r="RLG118" s="950"/>
      <c r="RLH118" s="950"/>
      <c r="RLI118" s="950"/>
      <c r="RLJ118" s="950"/>
      <c r="RLK118" s="950"/>
      <c r="RLL118" s="950"/>
      <c r="RLM118" s="950"/>
      <c r="RLN118" s="950"/>
      <c r="RLO118" s="950"/>
      <c r="RLP118" s="950"/>
      <c r="RLQ118" s="950"/>
      <c r="RLR118" s="950"/>
      <c r="RLS118" s="950"/>
      <c r="RLT118" s="950"/>
      <c r="RLU118" s="950"/>
      <c r="RLV118" s="950"/>
      <c r="RLW118" s="950"/>
      <c r="RLX118" s="950"/>
      <c r="RLY118" s="950"/>
      <c r="RLZ118" s="950"/>
      <c r="RMA118" s="950"/>
      <c r="RMB118" s="950"/>
      <c r="RMC118" s="950"/>
      <c r="RMD118" s="950"/>
      <c r="RME118" s="950"/>
      <c r="RMF118" s="950"/>
      <c r="RMG118" s="950"/>
      <c r="RMH118" s="950"/>
      <c r="RMI118" s="950"/>
      <c r="RMJ118" s="950"/>
      <c r="RMK118" s="950"/>
      <c r="RML118" s="950"/>
      <c r="RMM118" s="950"/>
      <c r="RMN118" s="950"/>
      <c r="RMO118" s="950"/>
      <c r="RMP118" s="950"/>
      <c r="RMQ118" s="950"/>
      <c r="RMR118" s="950"/>
      <c r="RMS118" s="950"/>
      <c r="RMT118" s="950"/>
      <c r="RMU118" s="950"/>
      <c r="RMV118" s="950"/>
      <c r="RMW118" s="950"/>
      <c r="RMX118" s="950"/>
      <c r="RMY118" s="950"/>
      <c r="RMZ118" s="950"/>
      <c r="RNA118" s="950"/>
      <c r="RNB118" s="950"/>
      <c r="RNC118" s="950"/>
      <c r="RND118" s="950"/>
      <c r="RNE118" s="950"/>
      <c r="RNF118" s="950"/>
      <c r="RNG118" s="950"/>
      <c r="RNH118" s="950"/>
      <c r="RNI118" s="950"/>
      <c r="RNJ118" s="950"/>
      <c r="RNK118" s="950"/>
      <c r="RNL118" s="950"/>
      <c r="RNM118" s="950"/>
      <c r="RNN118" s="950"/>
      <c r="RNO118" s="950"/>
      <c r="RNP118" s="950"/>
      <c r="RNQ118" s="950"/>
      <c r="RNR118" s="950"/>
      <c r="RNS118" s="950"/>
      <c r="RNT118" s="950"/>
      <c r="RNU118" s="950"/>
      <c r="RNV118" s="950"/>
      <c r="RNW118" s="950"/>
      <c r="RNX118" s="950"/>
      <c r="RNY118" s="950"/>
      <c r="RNZ118" s="950"/>
      <c r="ROA118" s="950"/>
      <c r="ROB118" s="950"/>
      <c r="ROC118" s="950"/>
      <c r="ROD118" s="950"/>
      <c r="ROE118" s="950"/>
      <c r="ROF118" s="950"/>
      <c r="ROG118" s="950"/>
      <c r="ROH118" s="950"/>
      <c r="ROI118" s="950"/>
      <c r="ROJ118" s="950"/>
      <c r="ROK118" s="950"/>
      <c r="ROL118" s="950"/>
      <c r="ROM118" s="950"/>
      <c r="RON118" s="950"/>
      <c r="ROO118" s="950"/>
      <c r="ROP118" s="950"/>
      <c r="ROQ118" s="950"/>
      <c r="ROR118" s="950"/>
      <c r="ROS118" s="950"/>
      <c r="ROT118" s="950"/>
      <c r="ROU118" s="950"/>
      <c r="ROV118" s="950"/>
      <c r="ROW118" s="950"/>
      <c r="ROX118" s="950"/>
      <c r="ROY118" s="950"/>
      <c r="ROZ118" s="950"/>
      <c r="RPA118" s="950"/>
      <c r="RPB118" s="950"/>
      <c r="RPC118" s="950"/>
      <c r="RPD118" s="950"/>
      <c r="RPE118" s="950"/>
      <c r="RPF118" s="950"/>
      <c r="RPG118" s="950"/>
      <c r="RPH118" s="950"/>
      <c r="RPI118" s="950"/>
      <c r="RPJ118" s="950"/>
      <c r="RPK118" s="950"/>
      <c r="RPL118" s="950"/>
      <c r="RPM118" s="950"/>
      <c r="RPN118" s="950"/>
      <c r="RPO118" s="950"/>
      <c r="RPP118" s="950"/>
      <c r="RPQ118" s="950"/>
      <c r="RPR118" s="950"/>
      <c r="RPS118" s="950"/>
      <c r="RPT118" s="950"/>
      <c r="RPU118" s="950"/>
      <c r="RPV118" s="950"/>
      <c r="RPW118" s="950"/>
      <c r="RPX118" s="950"/>
      <c r="RPY118" s="950"/>
      <c r="RPZ118" s="950"/>
      <c r="RQA118" s="950"/>
      <c r="RQB118" s="950"/>
      <c r="RQC118" s="950"/>
      <c r="RQD118" s="950"/>
      <c r="RQE118" s="950"/>
      <c r="RQF118" s="950"/>
      <c r="RQG118" s="950"/>
      <c r="RQH118" s="950"/>
      <c r="RQI118" s="950"/>
      <c r="RQJ118" s="950"/>
      <c r="RQK118" s="950"/>
      <c r="RQL118" s="950"/>
      <c r="RQM118" s="950"/>
      <c r="RQN118" s="950"/>
      <c r="RQO118" s="950"/>
      <c r="RQP118" s="950"/>
      <c r="RQQ118" s="950"/>
      <c r="RQR118" s="950"/>
      <c r="RQS118" s="950"/>
      <c r="RQT118" s="950"/>
      <c r="RQU118" s="950"/>
      <c r="RQV118" s="950"/>
      <c r="RQW118" s="950"/>
      <c r="RQX118" s="950"/>
      <c r="RQY118" s="950"/>
      <c r="RQZ118" s="950"/>
      <c r="RRA118" s="950"/>
      <c r="RRB118" s="950"/>
      <c r="RRC118" s="950"/>
      <c r="RRD118" s="950"/>
      <c r="RRE118" s="950"/>
      <c r="RRF118" s="950"/>
      <c r="RRG118" s="950"/>
      <c r="RRH118" s="950"/>
      <c r="RRI118" s="950"/>
      <c r="RRJ118" s="950"/>
      <c r="RRK118" s="950"/>
      <c r="RRL118" s="950"/>
      <c r="RRM118" s="950"/>
      <c r="RRN118" s="950"/>
      <c r="RRO118" s="950"/>
      <c r="RRP118" s="950"/>
      <c r="RRQ118" s="950"/>
      <c r="RRR118" s="950"/>
      <c r="RRS118" s="950"/>
      <c r="RRT118" s="950"/>
      <c r="RRU118" s="950"/>
      <c r="RRV118" s="950"/>
      <c r="RRW118" s="950"/>
      <c r="RRX118" s="950"/>
      <c r="RRY118" s="950"/>
      <c r="RRZ118" s="950"/>
      <c r="RSA118" s="950"/>
      <c r="RSB118" s="950"/>
      <c r="RSC118" s="950"/>
      <c r="RSD118" s="950"/>
      <c r="RSE118" s="950"/>
      <c r="RSF118" s="950"/>
      <c r="RSG118" s="950"/>
      <c r="RSH118" s="950"/>
      <c r="RSI118" s="950"/>
      <c r="RSJ118" s="950"/>
      <c r="RSK118" s="950"/>
      <c r="RSL118" s="950"/>
      <c r="RSM118" s="950"/>
      <c r="RSN118" s="950"/>
      <c r="RSO118" s="950"/>
      <c r="RSP118" s="950"/>
      <c r="RSQ118" s="950"/>
      <c r="RSR118" s="950"/>
      <c r="RSS118" s="950"/>
      <c r="RST118" s="950"/>
      <c r="RSU118" s="950"/>
      <c r="RSV118" s="950"/>
      <c r="RSW118" s="950"/>
      <c r="RSX118" s="950"/>
      <c r="RSY118" s="950"/>
      <c r="RSZ118" s="950"/>
      <c r="RTA118" s="950"/>
      <c r="RTB118" s="950"/>
      <c r="RTC118" s="950"/>
      <c r="RTD118" s="950"/>
      <c r="RTE118" s="950"/>
      <c r="RTF118" s="950"/>
      <c r="RTG118" s="950"/>
      <c r="RTH118" s="950"/>
      <c r="RTI118" s="950"/>
      <c r="RTJ118" s="950"/>
      <c r="RTK118" s="950"/>
      <c r="RTL118" s="950"/>
      <c r="RTM118" s="950"/>
      <c r="RTN118" s="950"/>
      <c r="RTO118" s="950"/>
      <c r="RTP118" s="950"/>
      <c r="RTQ118" s="950"/>
      <c r="RTR118" s="950"/>
      <c r="RTS118" s="950"/>
      <c r="RTT118" s="950"/>
      <c r="RTU118" s="950"/>
      <c r="RTV118" s="950"/>
      <c r="RTW118" s="950"/>
      <c r="RTX118" s="950"/>
      <c r="RTY118" s="950"/>
      <c r="RTZ118" s="950"/>
      <c r="RUA118" s="950"/>
      <c r="RUB118" s="950"/>
      <c r="RUC118" s="950"/>
      <c r="RUD118" s="950"/>
      <c r="RUE118" s="950"/>
      <c r="RUF118" s="950"/>
      <c r="RUG118" s="950"/>
      <c r="RUH118" s="950"/>
      <c r="RUI118" s="950"/>
      <c r="RUJ118" s="950"/>
      <c r="RUK118" s="950"/>
      <c r="RUL118" s="950"/>
      <c r="RUM118" s="950"/>
      <c r="RUN118" s="950"/>
      <c r="RUO118" s="950"/>
      <c r="RUP118" s="950"/>
      <c r="RUQ118" s="950"/>
      <c r="RUR118" s="950"/>
      <c r="RUS118" s="950"/>
      <c r="RUT118" s="950"/>
      <c r="RUU118" s="950"/>
      <c r="RUV118" s="950"/>
      <c r="RUW118" s="950"/>
      <c r="RUX118" s="950"/>
      <c r="RUY118" s="950"/>
      <c r="RUZ118" s="950"/>
      <c r="RVA118" s="950"/>
      <c r="RVB118" s="950"/>
      <c r="RVC118" s="950"/>
      <c r="RVD118" s="950"/>
      <c r="RVE118" s="950"/>
      <c r="RVF118" s="950"/>
      <c r="RVG118" s="950"/>
      <c r="RVH118" s="950"/>
      <c r="RVI118" s="950"/>
      <c r="RVJ118" s="950"/>
      <c r="RVK118" s="950"/>
      <c r="RVL118" s="950"/>
      <c r="RVM118" s="950"/>
      <c r="RVN118" s="950"/>
      <c r="RVO118" s="950"/>
      <c r="RVP118" s="950"/>
      <c r="RVQ118" s="950"/>
      <c r="RVR118" s="950"/>
      <c r="RVS118" s="950"/>
      <c r="RVT118" s="950"/>
      <c r="RVU118" s="950"/>
      <c r="RVV118" s="950"/>
      <c r="RVW118" s="950"/>
      <c r="RVX118" s="950"/>
      <c r="RVY118" s="950"/>
      <c r="RVZ118" s="950"/>
      <c r="RWA118" s="950"/>
      <c r="RWB118" s="950"/>
      <c r="RWC118" s="950"/>
      <c r="RWD118" s="950"/>
      <c r="RWE118" s="950"/>
      <c r="RWF118" s="950"/>
      <c r="RWG118" s="950"/>
      <c r="RWH118" s="950"/>
      <c r="RWI118" s="950"/>
      <c r="RWJ118" s="950"/>
      <c r="RWK118" s="950"/>
      <c r="RWL118" s="950"/>
      <c r="RWM118" s="950"/>
      <c r="RWN118" s="950"/>
      <c r="RWO118" s="950"/>
      <c r="RWP118" s="950"/>
      <c r="RWQ118" s="950"/>
      <c r="RWR118" s="950"/>
      <c r="RWS118" s="950"/>
      <c r="RWT118" s="950"/>
      <c r="RWU118" s="950"/>
      <c r="RWV118" s="950"/>
      <c r="RWW118" s="950"/>
      <c r="RWX118" s="950"/>
      <c r="RWY118" s="950"/>
      <c r="RWZ118" s="950"/>
      <c r="RXA118" s="950"/>
      <c r="RXB118" s="950"/>
      <c r="RXC118" s="950"/>
      <c r="RXD118" s="950"/>
      <c r="RXE118" s="950"/>
      <c r="RXF118" s="950"/>
      <c r="RXG118" s="950"/>
      <c r="RXH118" s="950"/>
      <c r="RXI118" s="950"/>
      <c r="RXJ118" s="950"/>
      <c r="RXK118" s="950"/>
      <c r="RXL118" s="950"/>
      <c r="RXM118" s="950"/>
      <c r="RXN118" s="950"/>
      <c r="RXO118" s="950"/>
      <c r="RXP118" s="950"/>
      <c r="RXQ118" s="950"/>
      <c r="RXR118" s="950"/>
      <c r="RXS118" s="950"/>
      <c r="RXT118" s="950"/>
      <c r="RXU118" s="950"/>
      <c r="RXV118" s="950"/>
      <c r="RXW118" s="950"/>
      <c r="RXX118" s="950"/>
      <c r="RXY118" s="950"/>
      <c r="RXZ118" s="950"/>
      <c r="RYA118" s="950"/>
      <c r="RYB118" s="950"/>
      <c r="RYC118" s="950"/>
      <c r="RYD118" s="950"/>
      <c r="RYE118" s="950"/>
      <c r="RYF118" s="950"/>
      <c r="RYG118" s="950"/>
      <c r="RYH118" s="950"/>
      <c r="RYI118" s="950"/>
      <c r="RYJ118" s="950"/>
      <c r="RYK118" s="950"/>
      <c r="RYL118" s="950"/>
      <c r="RYM118" s="950"/>
      <c r="RYN118" s="950"/>
      <c r="RYO118" s="950"/>
      <c r="RYP118" s="950"/>
      <c r="RYQ118" s="950"/>
      <c r="RYR118" s="950"/>
      <c r="RYS118" s="950"/>
      <c r="RYT118" s="950"/>
      <c r="RYU118" s="950"/>
      <c r="RYV118" s="950"/>
      <c r="RYW118" s="950"/>
      <c r="RYX118" s="950"/>
      <c r="RYY118" s="950"/>
      <c r="RYZ118" s="950"/>
      <c r="RZA118" s="950"/>
      <c r="RZB118" s="950"/>
      <c r="RZC118" s="950"/>
      <c r="RZD118" s="950"/>
      <c r="RZE118" s="950"/>
      <c r="RZF118" s="950"/>
      <c r="RZG118" s="950"/>
      <c r="RZH118" s="950"/>
      <c r="RZI118" s="950"/>
      <c r="RZJ118" s="950"/>
      <c r="RZK118" s="950"/>
      <c r="RZL118" s="950"/>
      <c r="RZM118" s="950"/>
      <c r="RZN118" s="950"/>
      <c r="RZO118" s="950"/>
      <c r="RZP118" s="950"/>
      <c r="RZQ118" s="950"/>
      <c r="RZR118" s="950"/>
      <c r="RZS118" s="950"/>
      <c r="RZT118" s="950"/>
      <c r="RZU118" s="950"/>
      <c r="RZV118" s="950"/>
      <c r="RZW118" s="950"/>
      <c r="RZX118" s="950"/>
      <c r="RZY118" s="950"/>
      <c r="RZZ118" s="950"/>
      <c r="SAA118" s="950"/>
      <c r="SAB118" s="950"/>
      <c r="SAC118" s="950"/>
      <c r="SAD118" s="950"/>
      <c r="SAE118" s="950"/>
      <c r="SAF118" s="950"/>
      <c r="SAG118" s="950"/>
      <c r="SAH118" s="950"/>
      <c r="SAI118" s="950"/>
      <c r="SAJ118" s="950"/>
      <c r="SAK118" s="950"/>
      <c r="SAL118" s="950"/>
      <c r="SAM118" s="950"/>
      <c r="SAN118" s="950"/>
      <c r="SAO118" s="950"/>
      <c r="SAP118" s="950"/>
      <c r="SAQ118" s="950"/>
      <c r="SAR118" s="950"/>
      <c r="SAS118" s="950"/>
      <c r="SAT118" s="950"/>
      <c r="SAU118" s="950"/>
      <c r="SAV118" s="950"/>
      <c r="SAW118" s="950"/>
      <c r="SAX118" s="950"/>
      <c r="SAY118" s="950"/>
      <c r="SAZ118" s="950"/>
      <c r="SBA118" s="950"/>
      <c r="SBB118" s="950"/>
      <c r="SBC118" s="950"/>
      <c r="SBD118" s="950"/>
      <c r="SBE118" s="950"/>
      <c r="SBF118" s="950"/>
      <c r="SBG118" s="950"/>
      <c r="SBH118" s="950"/>
      <c r="SBI118" s="950"/>
      <c r="SBJ118" s="950"/>
      <c r="SBK118" s="950"/>
      <c r="SBL118" s="950"/>
      <c r="SBM118" s="950"/>
      <c r="SBN118" s="950"/>
      <c r="SBO118" s="950"/>
      <c r="SBP118" s="950"/>
      <c r="SBQ118" s="950"/>
      <c r="SBR118" s="950"/>
      <c r="SBS118" s="950"/>
      <c r="SBT118" s="950"/>
      <c r="SBU118" s="950"/>
      <c r="SBV118" s="950"/>
      <c r="SBW118" s="950"/>
      <c r="SBX118" s="950"/>
      <c r="SBY118" s="950"/>
      <c r="SBZ118" s="950"/>
      <c r="SCA118" s="950"/>
      <c r="SCB118" s="950"/>
      <c r="SCC118" s="950"/>
      <c r="SCD118" s="950"/>
      <c r="SCE118" s="950"/>
      <c r="SCF118" s="950"/>
      <c r="SCG118" s="950"/>
      <c r="SCH118" s="950"/>
      <c r="SCI118" s="950"/>
      <c r="SCJ118" s="950"/>
      <c r="SCK118" s="950"/>
      <c r="SCL118" s="950"/>
      <c r="SCM118" s="950"/>
      <c r="SCN118" s="950"/>
      <c r="SCO118" s="950"/>
      <c r="SCP118" s="950"/>
      <c r="SCQ118" s="950"/>
      <c r="SCR118" s="950"/>
      <c r="SCS118" s="950"/>
      <c r="SCT118" s="950"/>
      <c r="SCU118" s="950"/>
      <c r="SCV118" s="950"/>
      <c r="SCW118" s="950"/>
      <c r="SCX118" s="950"/>
      <c r="SCY118" s="950"/>
      <c r="SCZ118" s="950"/>
      <c r="SDA118" s="950"/>
      <c r="SDB118" s="950"/>
      <c r="SDC118" s="950"/>
      <c r="SDD118" s="950"/>
      <c r="SDE118" s="950"/>
      <c r="SDF118" s="950"/>
      <c r="SDG118" s="950"/>
      <c r="SDH118" s="950"/>
      <c r="SDI118" s="950"/>
      <c r="SDJ118" s="950"/>
      <c r="SDK118" s="950"/>
      <c r="SDL118" s="950"/>
      <c r="SDM118" s="950"/>
      <c r="SDN118" s="950"/>
      <c r="SDO118" s="950"/>
      <c r="SDP118" s="950"/>
      <c r="SDQ118" s="950"/>
      <c r="SDR118" s="950"/>
      <c r="SDS118" s="950"/>
      <c r="SDT118" s="950"/>
      <c r="SDU118" s="950"/>
      <c r="SDV118" s="950"/>
      <c r="SDW118" s="950"/>
      <c r="SDX118" s="950"/>
      <c r="SDY118" s="950"/>
      <c r="SDZ118" s="950"/>
      <c r="SEA118" s="950"/>
      <c r="SEB118" s="950"/>
      <c r="SEC118" s="950"/>
      <c r="SED118" s="950"/>
      <c r="SEE118" s="950"/>
      <c r="SEF118" s="950"/>
      <c r="SEG118" s="950"/>
      <c r="SEH118" s="950"/>
      <c r="SEI118" s="950"/>
      <c r="SEJ118" s="950"/>
      <c r="SEK118" s="950"/>
      <c r="SEL118" s="950"/>
      <c r="SEM118" s="950"/>
      <c r="SEN118" s="950"/>
      <c r="SEO118" s="950"/>
      <c r="SEP118" s="950"/>
      <c r="SEQ118" s="950"/>
      <c r="SER118" s="950"/>
      <c r="SES118" s="950"/>
      <c r="SET118" s="950"/>
      <c r="SEU118" s="950"/>
      <c r="SEV118" s="950"/>
      <c r="SEW118" s="950"/>
      <c r="SEX118" s="950"/>
      <c r="SEY118" s="950"/>
      <c r="SEZ118" s="950"/>
      <c r="SFA118" s="950"/>
      <c r="SFB118" s="950"/>
      <c r="SFC118" s="950"/>
      <c r="SFD118" s="950"/>
      <c r="SFE118" s="950"/>
      <c r="SFF118" s="950"/>
      <c r="SFG118" s="950"/>
      <c r="SFH118" s="950"/>
      <c r="SFI118" s="950"/>
      <c r="SFJ118" s="950"/>
      <c r="SFK118" s="950"/>
      <c r="SFL118" s="950"/>
      <c r="SFM118" s="950"/>
      <c r="SFN118" s="950"/>
      <c r="SFO118" s="950"/>
      <c r="SFP118" s="950"/>
      <c r="SFQ118" s="950"/>
      <c r="SFR118" s="950"/>
      <c r="SFS118" s="950"/>
      <c r="SFT118" s="950"/>
      <c r="SFU118" s="950"/>
      <c r="SFV118" s="950"/>
      <c r="SFW118" s="950"/>
      <c r="SFX118" s="950"/>
      <c r="SFY118" s="950"/>
      <c r="SFZ118" s="950"/>
      <c r="SGA118" s="950"/>
      <c r="SGB118" s="950"/>
      <c r="SGC118" s="950"/>
      <c r="SGD118" s="950"/>
      <c r="SGE118" s="950"/>
      <c r="SGF118" s="950"/>
      <c r="SGG118" s="950"/>
      <c r="SGH118" s="950"/>
      <c r="SGI118" s="950"/>
      <c r="SGJ118" s="950"/>
      <c r="SGK118" s="950"/>
      <c r="SGL118" s="950"/>
      <c r="SGM118" s="950"/>
      <c r="SGN118" s="950"/>
      <c r="SGO118" s="950"/>
      <c r="SGP118" s="950"/>
      <c r="SGQ118" s="950"/>
      <c r="SGR118" s="950"/>
      <c r="SGS118" s="950"/>
      <c r="SGT118" s="950"/>
      <c r="SGU118" s="950"/>
      <c r="SGV118" s="950"/>
      <c r="SGW118" s="950"/>
      <c r="SGX118" s="950"/>
      <c r="SGY118" s="950"/>
      <c r="SGZ118" s="950"/>
      <c r="SHA118" s="950"/>
      <c r="SHB118" s="950"/>
      <c r="SHC118" s="950"/>
      <c r="SHD118" s="950"/>
      <c r="SHE118" s="950"/>
      <c r="SHF118" s="950"/>
      <c r="SHG118" s="950"/>
      <c r="SHH118" s="950"/>
      <c r="SHI118" s="950"/>
      <c r="SHJ118" s="950"/>
      <c r="SHK118" s="950"/>
      <c r="SHL118" s="950"/>
      <c r="SHM118" s="950"/>
      <c r="SHN118" s="950"/>
      <c r="SHO118" s="950"/>
      <c r="SHP118" s="950"/>
      <c r="SHQ118" s="950"/>
      <c r="SHR118" s="950"/>
      <c r="SHS118" s="950"/>
      <c r="SHT118" s="950"/>
      <c r="SHU118" s="950"/>
      <c r="SHV118" s="950"/>
      <c r="SHW118" s="950"/>
      <c r="SHX118" s="950"/>
      <c r="SHY118" s="950"/>
      <c r="SHZ118" s="950"/>
      <c r="SIA118" s="950"/>
      <c r="SIB118" s="950"/>
      <c r="SIC118" s="950"/>
      <c r="SID118" s="950"/>
      <c r="SIE118" s="950"/>
      <c r="SIF118" s="950"/>
      <c r="SIG118" s="950"/>
      <c r="SIH118" s="950"/>
      <c r="SII118" s="950"/>
      <c r="SIJ118" s="950"/>
      <c r="SIK118" s="950"/>
      <c r="SIL118" s="950"/>
      <c r="SIM118" s="950"/>
      <c r="SIN118" s="950"/>
      <c r="SIO118" s="950"/>
      <c r="SIP118" s="950"/>
      <c r="SIQ118" s="950"/>
      <c r="SIR118" s="950"/>
      <c r="SIS118" s="950"/>
      <c r="SIT118" s="950"/>
      <c r="SIU118" s="950"/>
      <c r="SIV118" s="950"/>
      <c r="SIW118" s="950"/>
      <c r="SIX118" s="950"/>
      <c r="SIY118" s="950"/>
      <c r="SIZ118" s="950"/>
      <c r="SJA118" s="950"/>
      <c r="SJB118" s="950"/>
      <c r="SJC118" s="950"/>
      <c r="SJD118" s="950"/>
      <c r="SJE118" s="950"/>
      <c r="SJF118" s="950"/>
      <c r="SJG118" s="950"/>
      <c r="SJH118" s="950"/>
      <c r="SJI118" s="950"/>
      <c r="SJJ118" s="950"/>
      <c r="SJK118" s="950"/>
      <c r="SJL118" s="950"/>
      <c r="SJM118" s="950"/>
      <c r="SJN118" s="950"/>
      <c r="SJO118" s="950"/>
      <c r="SJP118" s="950"/>
      <c r="SJQ118" s="950"/>
      <c r="SJR118" s="950"/>
      <c r="SJS118" s="950"/>
      <c r="SJT118" s="950"/>
      <c r="SJU118" s="950"/>
      <c r="SJV118" s="950"/>
      <c r="SJW118" s="950"/>
      <c r="SJX118" s="950"/>
      <c r="SJY118" s="950"/>
      <c r="SJZ118" s="950"/>
      <c r="SKA118" s="950"/>
      <c r="SKB118" s="950"/>
      <c r="SKC118" s="950"/>
      <c r="SKD118" s="950"/>
      <c r="SKE118" s="950"/>
      <c r="SKF118" s="950"/>
      <c r="SKG118" s="950"/>
      <c r="SKH118" s="950"/>
      <c r="SKI118" s="950"/>
      <c r="SKJ118" s="950"/>
      <c r="SKK118" s="950"/>
      <c r="SKL118" s="950"/>
      <c r="SKM118" s="950"/>
      <c r="SKN118" s="950"/>
      <c r="SKO118" s="950"/>
      <c r="SKP118" s="950"/>
      <c r="SKQ118" s="950"/>
      <c r="SKR118" s="950"/>
      <c r="SKS118" s="950"/>
      <c r="SKT118" s="950"/>
      <c r="SKU118" s="950"/>
      <c r="SKV118" s="950"/>
      <c r="SKW118" s="950"/>
      <c r="SKX118" s="950"/>
      <c r="SKY118" s="950"/>
      <c r="SKZ118" s="950"/>
      <c r="SLA118" s="950"/>
      <c r="SLB118" s="950"/>
      <c r="SLC118" s="950"/>
      <c r="SLD118" s="950"/>
      <c r="SLE118" s="950"/>
      <c r="SLF118" s="950"/>
      <c r="SLG118" s="950"/>
      <c r="SLH118" s="950"/>
      <c r="SLI118" s="950"/>
      <c r="SLJ118" s="950"/>
      <c r="SLK118" s="950"/>
      <c r="SLL118" s="950"/>
      <c r="SLM118" s="950"/>
      <c r="SLN118" s="950"/>
      <c r="SLO118" s="950"/>
      <c r="SLP118" s="950"/>
      <c r="SLQ118" s="950"/>
      <c r="SLR118" s="950"/>
      <c r="SLS118" s="950"/>
      <c r="SLT118" s="950"/>
      <c r="SLU118" s="950"/>
      <c r="SLV118" s="950"/>
      <c r="SLW118" s="950"/>
      <c r="SLX118" s="950"/>
      <c r="SLY118" s="950"/>
      <c r="SLZ118" s="950"/>
      <c r="SMA118" s="950"/>
      <c r="SMB118" s="950"/>
      <c r="SMC118" s="950"/>
      <c r="SMD118" s="950"/>
      <c r="SME118" s="950"/>
      <c r="SMF118" s="950"/>
      <c r="SMG118" s="950"/>
      <c r="SMH118" s="950"/>
      <c r="SMI118" s="950"/>
      <c r="SMJ118" s="950"/>
      <c r="SMK118" s="950"/>
      <c r="SML118" s="950"/>
      <c r="SMM118" s="950"/>
      <c r="SMN118" s="950"/>
      <c r="SMO118" s="950"/>
      <c r="SMP118" s="950"/>
      <c r="SMQ118" s="950"/>
      <c r="SMR118" s="950"/>
      <c r="SMS118" s="950"/>
      <c r="SMT118" s="950"/>
      <c r="SMU118" s="950"/>
      <c r="SMV118" s="950"/>
      <c r="SMW118" s="950"/>
      <c r="SMX118" s="950"/>
      <c r="SMY118" s="950"/>
      <c r="SMZ118" s="950"/>
      <c r="SNA118" s="950"/>
      <c r="SNB118" s="950"/>
      <c r="SNC118" s="950"/>
      <c r="SND118" s="950"/>
      <c r="SNE118" s="950"/>
      <c r="SNF118" s="950"/>
      <c r="SNG118" s="950"/>
      <c r="SNH118" s="950"/>
      <c r="SNI118" s="950"/>
      <c r="SNJ118" s="950"/>
      <c r="SNK118" s="950"/>
      <c r="SNL118" s="950"/>
      <c r="SNM118" s="950"/>
      <c r="SNN118" s="950"/>
      <c r="SNO118" s="950"/>
      <c r="SNP118" s="950"/>
      <c r="SNQ118" s="950"/>
      <c r="SNR118" s="950"/>
      <c r="SNS118" s="950"/>
      <c r="SNT118" s="950"/>
      <c r="SNU118" s="950"/>
      <c r="SNV118" s="950"/>
      <c r="SNW118" s="950"/>
      <c r="SNX118" s="950"/>
      <c r="SNY118" s="950"/>
      <c r="SNZ118" s="950"/>
      <c r="SOA118" s="950"/>
      <c r="SOB118" s="950"/>
      <c r="SOC118" s="950"/>
      <c r="SOD118" s="950"/>
      <c r="SOE118" s="950"/>
      <c r="SOF118" s="950"/>
      <c r="SOG118" s="950"/>
      <c r="SOH118" s="950"/>
      <c r="SOI118" s="950"/>
      <c r="SOJ118" s="950"/>
      <c r="SOK118" s="950"/>
      <c r="SOL118" s="950"/>
      <c r="SOM118" s="950"/>
      <c r="SON118" s="950"/>
      <c r="SOO118" s="950"/>
      <c r="SOP118" s="950"/>
      <c r="SOQ118" s="950"/>
      <c r="SOR118" s="950"/>
      <c r="SOS118" s="950"/>
      <c r="SOT118" s="950"/>
      <c r="SOU118" s="950"/>
      <c r="SOV118" s="950"/>
      <c r="SOW118" s="950"/>
      <c r="SOX118" s="950"/>
      <c r="SOY118" s="950"/>
      <c r="SOZ118" s="950"/>
      <c r="SPA118" s="950"/>
      <c r="SPB118" s="950"/>
      <c r="SPC118" s="950"/>
      <c r="SPD118" s="950"/>
      <c r="SPE118" s="950"/>
      <c r="SPF118" s="950"/>
      <c r="SPG118" s="950"/>
      <c r="SPH118" s="950"/>
      <c r="SPI118" s="950"/>
      <c r="SPJ118" s="950"/>
      <c r="SPK118" s="950"/>
      <c r="SPL118" s="950"/>
      <c r="SPM118" s="950"/>
      <c r="SPN118" s="950"/>
      <c r="SPO118" s="950"/>
      <c r="SPP118" s="950"/>
      <c r="SPQ118" s="950"/>
      <c r="SPR118" s="950"/>
      <c r="SPS118" s="950"/>
      <c r="SPT118" s="950"/>
      <c r="SPU118" s="950"/>
      <c r="SPV118" s="950"/>
      <c r="SPW118" s="950"/>
      <c r="SPX118" s="950"/>
      <c r="SPY118" s="950"/>
      <c r="SPZ118" s="950"/>
      <c r="SQA118" s="950"/>
      <c r="SQB118" s="950"/>
      <c r="SQC118" s="950"/>
      <c r="SQD118" s="950"/>
      <c r="SQE118" s="950"/>
      <c r="SQF118" s="950"/>
      <c r="SQG118" s="950"/>
      <c r="SQH118" s="950"/>
      <c r="SQI118" s="950"/>
      <c r="SQJ118" s="950"/>
      <c r="SQK118" s="950"/>
      <c r="SQL118" s="950"/>
      <c r="SQM118" s="950"/>
      <c r="SQN118" s="950"/>
      <c r="SQO118" s="950"/>
      <c r="SQP118" s="950"/>
      <c r="SQQ118" s="950"/>
      <c r="SQR118" s="950"/>
      <c r="SQS118" s="950"/>
      <c r="SQT118" s="950"/>
      <c r="SQU118" s="950"/>
      <c r="SQV118" s="950"/>
      <c r="SQW118" s="950"/>
      <c r="SQX118" s="950"/>
      <c r="SQY118" s="950"/>
      <c r="SQZ118" s="950"/>
      <c r="SRA118" s="950"/>
      <c r="SRB118" s="950"/>
      <c r="SRC118" s="950"/>
      <c r="SRD118" s="950"/>
      <c r="SRE118" s="950"/>
      <c r="SRF118" s="950"/>
      <c r="SRG118" s="950"/>
      <c r="SRH118" s="950"/>
      <c r="SRI118" s="950"/>
      <c r="SRJ118" s="950"/>
      <c r="SRK118" s="950"/>
      <c r="SRL118" s="950"/>
      <c r="SRM118" s="950"/>
      <c r="SRN118" s="950"/>
      <c r="SRO118" s="950"/>
      <c r="SRP118" s="950"/>
      <c r="SRQ118" s="950"/>
      <c r="SRR118" s="950"/>
      <c r="SRS118" s="950"/>
      <c r="SRT118" s="950"/>
      <c r="SRU118" s="950"/>
      <c r="SRV118" s="950"/>
      <c r="SRW118" s="950"/>
      <c r="SRX118" s="950"/>
      <c r="SRY118" s="950"/>
      <c r="SRZ118" s="950"/>
      <c r="SSA118" s="950"/>
      <c r="SSB118" s="950"/>
      <c r="SSC118" s="950"/>
      <c r="SSD118" s="950"/>
      <c r="SSE118" s="950"/>
      <c r="SSF118" s="950"/>
      <c r="SSG118" s="950"/>
      <c r="SSH118" s="950"/>
      <c r="SSI118" s="950"/>
      <c r="SSJ118" s="950"/>
      <c r="SSK118" s="950"/>
      <c r="SSL118" s="950"/>
      <c r="SSM118" s="950"/>
      <c r="SSN118" s="950"/>
      <c r="SSO118" s="950"/>
      <c r="SSP118" s="950"/>
      <c r="SSQ118" s="950"/>
      <c r="SSR118" s="950"/>
      <c r="SSS118" s="950"/>
      <c r="SST118" s="950"/>
      <c r="SSU118" s="950"/>
      <c r="SSV118" s="950"/>
      <c r="SSW118" s="950"/>
      <c r="SSX118" s="950"/>
      <c r="SSY118" s="950"/>
      <c r="SSZ118" s="950"/>
      <c r="STA118" s="950"/>
      <c r="STB118" s="950"/>
      <c r="STC118" s="950"/>
      <c r="STD118" s="950"/>
      <c r="STE118" s="950"/>
      <c r="STF118" s="950"/>
      <c r="STG118" s="950"/>
      <c r="STH118" s="950"/>
      <c r="STI118" s="950"/>
      <c r="STJ118" s="950"/>
      <c r="STK118" s="950"/>
      <c r="STL118" s="950"/>
      <c r="STM118" s="950"/>
      <c r="STN118" s="950"/>
      <c r="STO118" s="950"/>
      <c r="STP118" s="950"/>
      <c r="STQ118" s="950"/>
      <c r="STR118" s="950"/>
      <c r="STS118" s="950"/>
      <c r="STT118" s="950"/>
      <c r="STU118" s="950"/>
      <c r="STV118" s="950"/>
      <c r="STW118" s="950"/>
      <c r="STX118" s="950"/>
      <c r="STY118" s="950"/>
      <c r="STZ118" s="950"/>
      <c r="SUA118" s="950"/>
      <c r="SUB118" s="950"/>
      <c r="SUC118" s="950"/>
      <c r="SUD118" s="950"/>
      <c r="SUE118" s="950"/>
      <c r="SUF118" s="950"/>
      <c r="SUG118" s="950"/>
      <c r="SUH118" s="950"/>
      <c r="SUI118" s="950"/>
      <c r="SUJ118" s="950"/>
      <c r="SUK118" s="950"/>
      <c r="SUL118" s="950"/>
      <c r="SUM118" s="950"/>
      <c r="SUN118" s="950"/>
      <c r="SUO118" s="950"/>
      <c r="SUP118" s="950"/>
      <c r="SUQ118" s="950"/>
      <c r="SUR118" s="950"/>
      <c r="SUS118" s="950"/>
      <c r="SUT118" s="950"/>
      <c r="SUU118" s="950"/>
      <c r="SUV118" s="950"/>
      <c r="SUW118" s="950"/>
      <c r="SUX118" s="950"/>
      <c r="SUY118" s="950"/>
      <c r="SUZ118" s="950"/>
      <c r="SVA118" s="950"/>
      <c r="SVB118" s="950"/>
      <c r="SVC118" s="950"/>
      <c r="SVD118" s="950"/>
      <c r="SVE118" s="950"/>
      <c r="SVF118" s="950"/>
      <c r="SVG118" s="950"/>
      <c r="SVH118" s="950"/>
      <c r="SVI118" s="950"/>
      <c r="SVJ118" s="950"/>
      <c r="SVK118" s="950"/>
      <c r="SVL118" s="950"/>
      <c r="SVM118" s="950"/>
      <c r="SVN118" s="950"/>
      <c r="SVO118" s="950"/>
      <c r="SVP118" s="950"/>
      <c r="SVQ118" s="950"/>
      <c r="SVR118" s="950"/>
      <c r="SVS118" s="950"/>
      <c r="SVT118" s="950"/>
      <c r="SVU118" s="950"/>
      <c r="SVV118" s="950"/>
      <c r="SVW118" s="950"/>
      <c r="SVX118" s="950"/>
      <c r="SVY118" s="950"/>
      <c r="SVZ118" s="950"/>
      <c r="SWA118" s="950"/>
      <c r="SWB118" s="950"/>
      <c r="SWC118" s="950"/>
      <c r="SWD118" s="950"/>
      <c r="SWE118" s="950"/>
      <c r="SWF118" s="950"/>
      <c r="SWG118" s="950"/>
      <c r="SWH118" s="950"/>
      <c r="SWI118" s="950"/>
      <c r="SWJ118" s="950"/>
      <c r="SWK118" s="950"/>
      <c r="SWL118" s="950"/>
      <c r="SWM118" s="950"/>
      <c r="SWN118" s="950"/>
      <c r="SWO118" s="950"/>
      <c r="SWP118" s="950"/>
      <c r="SWQ118" s="950"/>
      <c r="SWR118" s="950"/>
      <c r="SWS118" s="950"/>
      <c r="SWT118" s="950"/>
      <c r="SWU118" s="950"/>
      <c r="SWV118" s="950"/>
      <c r="SWW118" s="950"/>
      <c r="SWX118" s="950"/>
      <c r="SWY118" s="950"/>
      <c r="SWZ118" s="950"/>
      <c r="SXA118" s="950"/>
      <c r="SXB118" s="950"/>
      <c r="SXC118" s="950"/>
      <c r="SXD118" s="950"/>
      <c r="SXE118" s="950"/>
      <c r="SXF118" s="950"/>
      <c r="SXG118" s="950"/>
      <c r="SXH118" s="950"/>
      <c r="SXI118" s="950"/>
      <c r="SXJ118" s="950"/>
      <c r="SXK118" s="950"/>
      <c r="SXL118" s="950"/>
      <c r="SXM118" s="950"/>
      <c r="SXN118" s="950"/>
      <c r="SXO118" s="950"/>
      <c r="SXP118" s="950"/>
      <c r="SXQ118" s="950"/>
      <c r="SXR118" s="950"/>
      <c r="SXS118" s="950"/>
      <c r="SXT118" s="950"/>
      <c r="SXU118" s="950"/>
      <c r="SXV118" s="950"/>
      <c r="SXW118" s="950"/>
      <c r="SXX118" s="950"/>
      <c r="SXY118" s="950"/>
      <c r="SXZ118" s="950"/>
      <c r="SYA118" s="950"/>
      <c r="SYB118" s="950"/>
      <c r="SYC118" s="950"/>
      <c r="SYD118" s="950"/>
      <c r="SYE118" s="950"/>
      <c r="SYF118" s="950"/>
      <c r="SYG118" s="950"/>
      <c r="SYH118" s="950"/>
      <c r="SYI118" s="950"/>
      <c r="SYJ118" s="950"/>
      <c r="SYK118" s="950"/>
      <c r="SYL118" s="950"/>
      <c r="SYM118" s="950"/>
      <c r="SYN118" s="950"/>
      <c r="SYO118" s="950"/>
      <c r="SYP118" s="950"/>
      <c r="SYQ118" s="950"/>
      <c r="SYR118" s="950"/>
      <c r="SYS118" s="950"/>
      <c r="SYT118" s="950"/>
      <c r="SYU118" s="950"/>
      <c r="SYV118" s="950"/>
      <c r="SYW118" s="950"/>
      <c r="SYX118" s="950"/>
      <c r="SYY118" s="950"/>
      <c r="SYZ118" s="950"/>
      <c r="SZA118" s="950"/>
      <c r="SZB118" s="950"/>
      <c r="SZC118" s="950"/>
      <c r="SZD118" s="950"/>
      <c r="SZE118" s="950"/>
      <c r="SZF118" s="950"/>
      <c r="SZG118" s="950"/>
      <c r="SZH118" s="950"/>
      <c r="SZI118" s="950"/>
      <c r="SZJ118" s="950"/>
      <c r="SZK118" s="950"/>
      <c r="SZL118" s="950"/>
      <c r="SZM118" s="950"/>
      <c r="SZN118" s="950"/>
      <c r="SZO118" s="950"/>
      <c r="SZP118" s="950"/>
      <c r="SZQ118" s="950"/>
      <c r="SZR118" s="950"/>
      <c r="SZS118" s="950"/>
      <c r="SZT118" s="950"/>
      <c r="SZU118" s="950"/>
      <c r="SZV118" s="950"/>
      <c r="SZW118" s="950"/>
      <c r="SZX118" s="950"/>
      <c r="SZY118" s="950"/>
      <c r="SZZ118" s="950"/>
      <c r="TAA118" s="950"/>
      <c r="TAB118" s="950"/>
      <c r="TAC118" s="950"/>
      <c r="TAD118" s="950"/>
      <c r="TAE118" s="950"/>
      <c r="TAF118" s="950"/>
      <c r="TAG118" s="950"/>
      <c r="TAH118" s="950"/>
      <c r="TAI118" s="950"/>
      <c r="TAJ118" s="950"/>
      <c r="TAK118" s="950"/>
      <c r="TAL118" s="950"/>
      <c r="TAM118" s="950"/>
      <c r="TAN118" s="950"/>
      <c r="TAO118" s="950"/>
      <c r="TAP118" s="950"/>
      <c r="TAQ118" s="950"/>
      <c r="TAR118" s="950"/>
      <c r="TAS118" s="950"/>
      <c r="TAT118" s="950"/>
      <c r="TAU118" s="950"/>
      <c r="TAV118" s="950"/>
      <c r="TAW118" s="950"/>
      <c r="TAX118" s="950"/>
      <c r="TAY118" s="950"/>
      <c r="TAZ118" s="950"/>
      <c r="TBA118" s="950"/>
      <c r="TBB118" s="950"/>
      <c r="TBC118" s="950"/>
      <c r="TBD118" s="950"/>
      <c r="TBE118" s="950"/>
      <c r="TBF118" s="950"/>
      <c r="TBG118" s="950"/>
      <c r="TBH118" s="950"/>
      <c r="TBI118" s="950"/>
      <c r="TBJ118" s="950"/>
      <c r="TBK118" s="950"/>
      <c r="TBL118" s="950"/>
      <c r="TBM118" s="950"/>
      <c r="TBN118" s="950"/>
      <c r="TBO118" s="950"/>
      <c r="TBP118" s="950"/>
      <c r="TBQ118" s="950"/>
      <c r="TBR118" s="950"/>
      <c r="TBS118" s="950"/>
      <c r="TBT118" s="950"/>
      <c r="TBU118" s="950"/>
      <c r="TBV118" s="950"/>
      <c r="TBW118" s="950"/>
      <c r="TBX118" s="950"/>
      <c r="TBY118" s="950"/>
      <c r="TBZ118" s="950"/>
      <c r="TCA118" s="950"/>
      <c r="TCB118" s="950"/>
      <c r="TCC118" s="950"/>
      <c r="TCD118" s="950"/>
      <c r="TCE118" s="950"/>
      <c r="TCF118" s="950"/>
      <c r="TCG118" s="950"/>
      <c r="TCH118" s="950"/>
      <c r="TCI118" s="950"/>
      <c r="TCJ118" s="950"/>
      <c r="TCK118" s="950"/>
      <c r="TCL118" s="950"/>
      <c r="TCM118" s="950"/>
      <c r="TCN118" s="950"/>
      <c r="TCO118" s="950"/>
      <c r="TCP118" s="950"/>
      <c r="TCQ118" s="950"/>
      <c r="TCR118" s="950"/>
      <c r="TCS118" s="950"/>
      <c r="TCT118" s="950"/>
      <c r="TCU118" s="950"/>
      <c r="TCV118" s="950"/>
      <c r="TCW118" s="950"/>
      <c r="TCX118" s="950"/>
      <c r="TCY118" s="950"/>
      <c r="TCZ118" s="950"/>
      <c r="TDA118" s="950"/>
      <c r="TDB118" s="950"/>
      <c r="TDC118" s="950"/>
      <c r="TDD118" s="950"/>
      <c r="TDE118" s="950"/>
      <c r="TDF118" s="950"/>
      <c r="TDG118" s="950"/>
      <c r="TDH118" s="950"/>
      <c r="TDI118" s="950"/>
      <c r="TDJ118" s="950"/>
      <c r="TDK118" s="950"/>
      <c r="TDL118" s="950"/>
      <c r="TDM118" s="950"/>
      <c r="TDN118" s="950"/>
      <c r="TDO118" s="950"/>
      <c r="TDP118" s="950"/>
      <c r="TDQ118" s="950"/>
      <c r="TDR118" s="950"/>
      <c r="TDS118" s="950"/>
      <c r="TDT118" s="950"/>
      <c r="TDU118" s="950"/>
      <c r="TDV118" s="950"/>
      <c r="TDW118" s="950"/>
      <c r="TDX118" s="950"/>
      <c r="TDY118" s="950"/>
      <c r="TDZ118" s="950"/>
      <c r="TEA118" s="950"/>
      <c r="TEB118" s="950"/>
      <c r="TEC118" s="950"/>
      <c r="TED118" s="950"/>
      <c r="TEE118" s="950"/>
      <c r="TEF118" s="950"/>
      <c r="TEG118" s="950"/>
      <c r="TEH118" s="950"/>
      <c r="TEI118" s="950"/>
      <c r="TEJ118" s="950"/>
      <c r="TEK118" s="950"/>
      <c r="TEL118" s="950"/>
      <c r="TEM118" s="950"/>
      <c r="TEN118" s="950"/>
      <c r="TEO118" s="950"/>
      <c r="TEP118" s="950"/>
      <c r="TEQ118" s="950"/>
      <c r="TER118" s="950"/>
      <c r="TES118" s="950"/>
      <c r="TET118" s="950"/>
      <c r="TEU118" s="950"/>
      <c r="TEV118" s="950"/>
      <c r="TEW118" s="950"/>
      <c r="TEX118" s="950"/>
      <c r="TEY118" s="950"/>
      <c r="TEZ118" s="950"/>
      <c r="TFA118" s="950"/>
      <c r="TFB118" s="950"/>
      <c r="TFC118" s="950"/>
      <c r="TFD118" s="950"/>
      <c r="TFE118" s="950"/>
      <c r="TFF118" s="950"/>
      <c r="TFG118" s="950"/>
      <c r="TFH118" s="950"/>
      <c r="TFI118" s="950"/>
      <c r="TFJ118" s="950"/>
      <c r="TFK118" s="950"/>
      <c r="TFL118" s="950"/>
      <c r="TFM118" s="950"/>
      <c r="TFN118" s="950"/>
      <c r="TFO118" s="950"/>
      <c r="TFP118" s="950"/>
      <c r="TFQ118" s="950"/>
      <c r="TFR118" s="950"/>
      <c r="TFS118" s="950"/>
      <c r="TFT118" s="950"/>
      <c r="TFU118" s="950"/>
      <c r="TFV118" s="950"/>
      <c r="TFW118" s="950"/>
      <c r="TFX118" s="950"/>
      <c r="TFY118" s="950"/>
      <c r="TFZ118" s="950"/>
      <c r="TGA118" s="950"/>
      <c r="TGB118" s="950"/>
      <c r="TGC118" s="950"/>
      <c r="TGD118" s="950"/>
      <c r="TGE118" s="950"/>
      <c r="TGF118" s="950"/>
      <c r="TGG118" s="950"/>
      <c r="TGH118" s="950"/>
      <c r="TGI118" s="950"/>
      <c r="TGJ118" s="950"/>
      <c r="TGK118" s="950"/>
      <c r="TGL118" s="950"/>
      <c r="TGM118" s="950"/>
      <c r="TGN118" s="950"/>
      <c r="TGO118" s="950"/>
      <c r="TGP118" s="950"/>
      <c r="TGQ118" s="950"/>
      <c r="TGR118" s="950"/>
      <c r="TGS118" s="950"/>
      <c r="TGT118" s="950"/>
      <c r="TGU118" s="950"/>
      <c r="TGV118" s="950"/>
      <c r="TGW118" s="950"/>
      <c r="TGX118" s="950"/>
      <c r="TGY118" s="950"/>
      <c r="TGZ118" s="950"/>
      <c r="THA118" s="950"/>
      <c r="THB118" s="950"/>
      <c r="THC118" s="950"/>
      <c r="THD118" s="950"/>
      <c r="THE118" s="950"/>
      <c r="THF118" s="950"/>
      <c r="THG118" s="950"/>
      <c r="THH118" s="950"/>
      <c r="THI118" s="950"/>
      <c r="THJ118" s="950"/>
      <c r="THK118" s="950"/>
      <c r="THL118" s="950"/>
      <c r="THM118" s="950"/>
      <c r="THN118" s="950"/>
      <c r="THO118" s="950"/>
      <c r="THP118" s="950"/>
      <c r="THQ118" s="950"/>
      <c r="THR118" s="950"/>
      <c r="THS118" s="950"/>
      <c r="THT118" s="950"/>
      <c r="THU118" s="950"/>
      <c r="THV118" s="950"/>
      <c r="THW118" s="950"/>
      <c r="THX118" s="950"/>
      <c r="THY118" s="950"/>
      <c r="THZ118" s="950"/>
      <c r="TIA118" s="950"/>
      <c r="TIB118" s="950"/>
      <c r="TIC118" s="950"/>
      <c r="TID118" s="950"/>
      <c r="TIE118" s="950"/>
      <c r="TIF118" s="950"/>
      <c r="TIG118" s="950"/>
      <c r="TIH118" s="950"/>
      <c r="TII118" s="950"/>
      <c r="TIJ118" s="950"/>
      <c r="TIK118" s="950"/>
      <c r="TIL118" s="950"/>
      <c r="TIM118" s="950"/>
      <c r="TIN118" s="950"/>
      <c r="TIO118" s="950"/>
      <c r="TIP118" s="950"/>
      <c r="TIQ118" s="950"/>
      <c r="TIR118" s="950"/>
      <c r="TIS118" s="950"/>
      <c r="TIT118" s="950"/>
      <c r="TIU118" s="950"/>
      <c r="TIV118" s="950"/>
      <c r="TIW118" s="950"/>
      <c r="TIX118" s="950"/>
      <c r="TIY118" s="950"/>
      <c r="TIZ118" s="950"/>
      <c r="TJA118" s="950"/>
      <c r="TJB118" s="950"/>
      <c r="TJC118" s="950"/>
      <c r="TJD118" s="950"/>
      <c r="TJE118" s="950"/>
      <c r="TJF118" s="950"/>
      <c r="TJG118" s="950"/>
      <c r="TJH118" s="950"/>
      <c r="TJI118" s="950"/>
      <c r="TJJ118" s="950"/>
      <c r="TJK118" s="950"/>
      <c r="TJL118" s="950"/>
      <c r="TJM118" s="950"/>
      <c r="TJN118" s="950"/>
      <c r="TJO118" s="950"/>
      <c r="TJP118" s="950"/>
      <c r="TJQ118" s="950"/>
      <c r="TJR118" s="950"/>
      <c r="TJS118" s="950"/>
      <c r="TJT118" s="950"/>
      <c r="TJU118" s="950"/>
      <c r="TJV118" s="950"/>
      <c r="TJW118" s="950"/>
      <c r="TJX118" s="950"/>
      <c r="TJY118" s="950"/>
      <c r="TJZ118" s="950"/>
      <c r="TKA118" s="950"/>
      <c r="TKB118" s="950"/>
      <c r="TKC118" s="950"/>
      <c r="TKD118" s="950"/>
      <c r="TKE118" s="950"/>
      <c r="TKF118" s="950"/>
      <c r="TKG118" s="950"/>
      <c r="TKH118" s="950"/>
      <c r="TKI118" s="950"/>
      <c r="TKJ118" s="950"/>
      <c r="TKK118" s="950"/>
      <c r="TKL118" s="950"/>
      <c r="TKM118" s="950"/>
      <c r="TKN118" s="950"/>
      <c r="TKO118" s="950"/>
      <c r="TKP118" s="950"/>
      <c r="TKQ118" s="950"/>
      <c r="TKR118" s="950"/>
      <c r="TKS118" s="950"/>
      <c r="TKT118" s="950"/>
      <c r="TKU118" s="950"/>
      <c r="TKV118" s="950"/>
      <c r="TKW118" s="950"/>
      <c r="TKX118" s="950"/>
      <c r="TKY118" s="950"/>
      <c r="TKZ118" s="950"/>
      <c r="TLA118" s="950"/>
      <c r="TLB118" s="950"/>
      <c r="TLC118" s="950"/>
      <c r="TLD118" s="950"/>
      <c r="TLE118" s="950"/>
      <c r="TLF118" s="950"/>
      <c r="TLG118" s="950"/>
      <c r="TLH118" s="950"/>
      <c r="TLI118" s="950"/>
      <c r="TLJ118" s="950"/>
      <c r="TLK118" s="950"/>
      <c r="TLL118" s="950"/>
      <c r="TLM118" s="950"/>
      <c r="TLN118" s="950"/>
      <c r="TLO118" s="950"/>
      <c r="TLP118" s="950"/>
      <c r="TLQ118" s="950"/>
      <c r="TLR118" s="950"/>
      <c r="TLS118" s="950"/>
      <c r="TLT118" s="950"/>
      <c r="TLU118" s="950"/>
      <c r="TLV118" s="950"/>
      <c r="TLW118" s="950"/>
      <c r="TLX118" s="950"/>
      <c r="TLY118" s="950"/>
      <c r="TLZ118" s="950"/>
      <c r="TMA118" s="950"/>
      <c r="TMB118" s="950"/>
      <c r="TMC118" s="950"/>
      <c r="TMD118" s="950"/>
      <c r="TME118" s="950"/>
      <c r="TMF118" s="950"/>
      <c r="TMG118" s="950"/>
      <c r="TMH118" s="950"/>
      <c r="TMI118" s="950"/>
      <c r="TMJ118" s="950"/>
      <c r="TMK118" s="950"/>
      <c r="TML118" s="950"/>
      <c r="TMM118" s="950"/>
      <c r="TMN118" s="950"/>
      <c r="TMO118" s="950"/>
      <c r="TMP118" s="950"/>
      <c r="TMQ118" s="950"/>
      <c r="TMR118" s="950"/>
      <c r="TMS118" s="950"/>
      <c r="TMT118" s="950"/>
      <c r="TMU118" s="950"/>
      <c r="TMV118" s="950"/>
      <c r="TMW118" s="950"/>
      <c r="TMX118" s="950"/>
      <c r="TMY118" s="950"/>
      <c r="TMZ118" s="950"/>
      <c r="TNA118" s="950"/>
      <c r="TNB118" s="950"/>
      <c r="TNC118" s="950"/>
      <c r="TND118" s="950"/>
      <c r="TNE118" s="950"/>
      <c r="TNF118" s="950"/>
      <c r="TNG118" s="950"/>
      <c r="TNH118" s="950"/>
      <c r="TNI118" s="950"/>
      <c r="TNJ118" s="950"/>
      <c r="TNK118" s="950"/>
      <c r="TNL118" s="950"/>
      <c r="TNM118" s="950"/>
      <c r="TNN118" s="950"/>
      <c r="TNO118" s="950"/>
      <c r="TNP118" s="950"/>
      <c r="TNQ118" s="950"/>
      <c r="TNR118" s="950"/>
      <c r="TNS118" s="950"/>
      <c r="TNT118" s="950"/>
      <c r="TNU118" s="950"/>
      <c r="TNV118" s="950"/>
      <c r="TNW118" s="950"/>
      <c r="TNX118" s="950"/>
      <c r="TNY118" s="950"/>
      <c r="TNZ118" s="950"/>
      <c r="TOA118" s="950"/>
      <c r="TOB118" s="950"/>
      <c r="TOC118" s="950"/>
      <c r="TOD118" s="950"/>
      <c r="TOE118" s="950"/>
      <c r="TOF118" s="950"/>
      <c r="TOG118" s="950"/>
      <c r="TOH118" s="950"/>
      <c r="TOI118" s="950"/>
      <c r="TOJ118" s="950"/>
      <c r="TOK118" s="950"/>
      <c r="TOL118" s="950"/>
      <c r="TOM118" s="950"/>
      <c r="TON118" s="950"/>
      <c r="TOO118" s="950"/>
      <c r="TOP118" s="950"/>
      <c r="TOQ118" s="950"/>
      <c r="TOR118" s="950"/>
      <c r="TOS118" s="950"/>
      <c r="TOT118" s="950"/>
      <c r="TOU118" s="950"/>
      <c r="TOV118" s="950"/>
      <c r="TOW118" s="950"/>
      <c r="TOX118" s="950"/>
      <c r="TOY118" s="950"/>
      <c r="TOZ118" s="950"/>
      <c r="TPA118" s="950"/>
      <c r="TPB118" s="950"/>
      <c r="TPC118" s="950"/>
      <c r="TPD118" s="950"/>
      <c r="TPE118" s="950"/>
      <c r="TPF118" s="950"/>
      <c r="TPG118" s="950"/>
      <c r="TPH118" s="950"/>
      <c r="TPI118" s="950"/>
      <c r="TPJ118" s="950"/>
      <c r="TPK118" s="950"/>
      <c r="TPL118" s="950"/>
      <c r="TPM118" s="950"/>
      <c r="TPN118" s="950"/>
      <c r="TPO118" s="950"/>
      <c r="TPP118" s="950"/>
      <c r="TPQ118" s="950"/>
      <c r="TPR118" s="950"/>
      <c r="TPS118" s="950"/>
      <c r="TPT118" s="950"/>
      <c r="TPU118" s="950"/>
      <c r="TPV118" s="950"/>
      <c r="TPW118" s="950"/>
      <c r="TPX118" s="950"/>
      <c r="TPY118" s="950"/>
      <c r="TPZ118" s="950"/>
      <c r="TQA118" s="950"/>
      <c r="TQB118" s="950"/>
      <c r="TQC118" s="950"/>
      <c r="TQD118" s="950"/>
      <c r="TQE118" s="950"/>
      <c r="TQF118" s="950"/>
      <c r="TQG118" s="950"/>
      <c r="TQH118" s="950"/>
      <c r="TQI118" s="950"/>
      <c r="TQJ118" s="950"/>
      <c r="TQK118" s="950"/>
      <c r="TQL118" s="950"/>
      <c r="TQM118" s="950"/>
      <c r="TQN118" s="950"/>
      <c r="TQO118" s="950"/>
      <c r="TQP118" s="950"/>
      <c r="TQQ118" s="950"/>
      <c r="TQR118" s="950"/>
      <c r="TQS118" s="950"/>
      <c r="TQT118" s="950"/>
      <c r="TQU118" s="950"/>
      <c r="TQV118" s="950"/>
      <c r="TQW118" s="950"/>
      <c r="TQX118" s="950"/>
      <c r="TQY118" s="950"/>
      <c r="TQZ118" s="950"/>
      <c r="TRA118" s="950"/>
      <c r="TRB118" s="950"/>
      <c r="TRC118" s="950"/>
      <c r="TRD118" s="950"/>
      <c r="TRE118" s="950"/>
      <c r="TRF118" s="950"/>
      <c r="TRG118" s="950"/>
      <c r="TRH118" s="950"/>
      <c r="TRI118" s="950"/>
      <c r="TRJ118" s="950"/>
      <c r="TRK118" s="950"/>
      <c r="TRL118" s="950"/>
      <c r="TRM118" s="950"/>
      <c r="TRN118" s="950"/>
      <c r="TRO118" s="950"/>
      <c r="TRP118" s="950"/>
      <c r="TRQ118" s="950"/>
      <c r="TRR118" s="950"/>
      <c r="TRS118" s="950"/>
      <c r="TRT118" s="950"/>
      <c r="TRU118" s="950"/>
      <c r="TRV118" s="950"/>
      <c r="TRW118" s="950"/>
      <c r="TRX118" s="950"/>
      <c r="TRY118" s="950"/>
      <c r="TRZ118" s="950"/>
      <c r="TSA118" s="950"/>
      <c r="TSB118" s="950"/>
      <c r="TSC118" s="950"/>
      <c r="TSD118" s="950"/>
      <c r="TSE118" s="950"/>
      <c r="TSF118" s="950"/>
      <c r="TSG118" s="950"/>
      <c r="TSH118" s="950"/>
      <c r="TSI118" s="950"/>
      <c r="TSJ118" s="950"/>
      <c r="TSK118" s="950"/>
      <c r="TSL118" s="950"/>
      <c r="TSM118" s="950"/>
      <c r="TSN118" s="950"/>
      <c r="TSO118" s="950"/>
      <c r="TSP118" s="950"/>
      <c r="TSQ118" s="950"/>
      <c r="TSR118" s="950"/>
      <c r="TSS118" s="950"/>
      <c r="TST118" s="950"/>
      <c r="TSU118" s="950"/>
      <c r="TSV118" s="950"/>
      <c r="TSW118" s="950"/>
      <c r="TSX118" s="950"/>
      <c r="TSY118" s="950"/>
      <c r="TSZ118" s="950"/>
      <c r="TTA118" s="950"/>
      <c r="TTB118" s="950"/>
      <c r="TTC118" s="950"/>
      <c r="TTD118" s="950"/>
      <c r="TTE118" s="950"/>
      <c r="TTF118" s="950"/>
      <c r="TTG118" s="950"/>
      <c r="TTH118" s="950"/>
      <c r="TTI118" s="950"/>
      <c r="TTJ118" s="950"/>
      <c r="TTK118" s="950"/>
      <c r="TTL118" s="950"/>
      <c r="TTM118" s="950"/>
      <c r="TTN118" s="950"/>
      <c r="TTO118" s="950"/>
      <c r="TTP118" s="950"/>
      <c r="TTQ118" s="950"/>
      <c r="TTR118" s="950"/>
      <c r="TTS118" s="950"/>
      <c r="TTT118" s="950"/>
      <c r="TTU118" s="950"/>
      <c r="TTV118" s="950"/>
      <c r="TTW118" s="950"/>
      <c r="TTX118" s="950"/>
      <c r="TTY118" s="950"/>
      <c r="TTZ118" s="950"/>
      <c r="TUA118" s="950"/>
      <c r="TUB118" s="950"/>
      <c r="TUC118" s="950"/>
      <c r="TUD118" s="950"/>
      <c r="TUE118" s="950"/>
      <c r="TUF118" s="950"/>
      <c r="TUG118" s="950"/>
      <c r="TUH118" s="950"/>
      <c r="TUI118" s="950"/>
      <c r="TUJ118" s="950"/>
      <c r="TUK118" s="950"/>
      <c r="TUL118" s="950"/>
      <c r="TUM118" s="950"/>
      <c r="TUN118" s="950"/>
      <c r="TUO118" s="950"/>
      <c r="TUP118" s="950"/>
      <c r="TUQ118" s="950"/>
      <c r="TUR118" s="950"/>
      <c r="TUS118" s="950"/>
      <c r="TUT118" s="950"/>
      <c r="TUU118" s="950"/>
      <c r="TUV118" s="950"/>
      <c r="TUW118" s="950"/>
      <c r="TUX118" s="950"/>
      <c r="TUY118" s="950"/>
      <c r="TUZ118" s="950"/>
      <c r="TVA118" s="950"/>
      <c r="TVB118" s="950"/>
      <c r="TVC118" s="950"/>
      <c r="TVD118" s="950"/>
      <c r="TVE118" s="950"/>
      <c r="TVF118" s="950"/>
      <c r="TVG118" s="950"/>
      <c r="TVH118" s="950"/>
      <c r="TVI118" s="950"/>
      <c r="TVJ118" s="950"/>
      <c r="TVK118" s="950"/>
      <c r="TVL118" s="950"/>
      <c r="TVM118" s="950"/>
      <c r="TVN118" s="950"/>
      <c r="TVO118" s="950"/>
      <c r="TVP118" s="950"/>
      <c r="TVQ118" s="950"/>
      <c r="TVR118" s="950"/>
      <c r="TVS118" s="950"/>
      <c r="TVT118" s="950"/>
      <c r="TVU118" s="950"/>
      <c r="TVV118" s="950"/>
      <c r="TVW118" s="950"/>
      <c r="TVX118" s="950"/>
      <c r="TVY118" s="950"/>
      <c r="TVZ118" s="950"/>
      <c r="TWA118" s="950"/>
      <c r="TWB118" s="950"/>
      <c r="TWC118" s="950"/>
      <c r="TWD118" s="950"/>
      <c r="TWE118" s="950"/>
      <c r="TWF118" s="950"/>
      <c r="TWG118" s="950"/>
      <c r="TWH118" s="950"/>
      <c r="TWI118" s="950"/>
      <c r="TWJ118" s="950"/>
      <c r="TWK118" s="950"/>
      <c r="TWL118" s="950"/>
      <c r="TWM118" s="950"/>
      <c r="TWN118" s="950"/>
      <c r="TWO118" s="950"/>
      <c r="TWP118" s="950"/>
      <c r="TWQ118" s="950"/>
      <c r="TWR118" s="950"/>
      <c r="TWS118" s="950"/>
      <c r="TWT118" s="950"/>
      <c r="TWU118" s="950"/>
      <c r="TWV118" s="950"/>
      <c r="TWW118" s="950"/>
      <c r="TWX118" s="950"/>
      <c r="TWY118" s="950"/>
      <c r="TWZ118" s="950"/>
      <c r="TXA118" s="950"/>
      <c r="TXB118" s="950"/>
      <c r="TXC118" s="950"/>
      <c r="TXD118" s="950"/>
      <c r="TXE118" s="950"/>
      <c r="TXF118" s="950"/>
      <c r="TXG118" s="950"/>
      <c r="TXH118" s="950"/>
      <c r="TXI118" s="950"/>
      <c r="TXJ118" s="950"/>
      <c r="TXK118" s="950"/>
      <c r="TXL118" s="950"/>
      <c r="TXM118" s="950"/>
      <c r="TXN118" s="950"/>
      <c r="TXO118" s="950"/>
      <c r="TXP118" s="950"/>
      <c r="TXQ118" s="950"/>
      <c r="TXR118" s="950"/>
      <c r="TXS118" s="950"/>
      <c r="TXT118" s="950"/>
      <c r="TXU118" s="950"/>
      <c r="TXV118" s="950"/>
      <c r="TXW118" s="950"/>
      <c r="TXX118" s="950"/>
      <c r="TXY118" s="950"/>
      <c r="TXZ118" s="950"/>
      <c r="TYA118" s="950"/>
      <c r="TYB118" s="950"/>
      <c r="TYC118" s="950"/>
      <c r="TYD118" s="950"/>
      <c r="TYE118" s="950"/>
      <c r="TYF118" s="950"/>
      <c r="TYG118" s="950"/>
      <c r="TYH118" s="950"/>
      <c r="TYI118" s="950"/>
      <c r="TYJ118" s="950"/>
      <c r="TYK118" s="950"/>
      <c r="TYL118" s="950"/>
      <c r="TYM118" s="950"/>
      <c r="TYN118" s="950"/>
      <c r="TYO118" s="950"/>
      <c r="TYP118" s="950"/>
      <c r="TYQ118" s="950"/>
      <c r="TYR118" s="950"/>
      <c r="TYS118" s="950"/>
      <c r="TYT118" s="950"/>
      <c r="TYU118" s="950"/>
      <c r="TYV118" s="950"/>
      <c r="TYW118" s="950"/>
      <c r="TYX118" s="950"/>
      <c r="TYY118" s="950"/>
      <c r="TYZ118" s="950"/>
      <c r="TZA118" s="950"/>
      <c r="TZB118" s="950"/>
      <c r="TZC118" s="950"/>
      <c r="TZD118" s="950"/>
      <c r="TZE118" s="950"/>
      <c r="TZF118" s="950"/>
      <c r="TZG118" s="950"/>
      <c r="TZH118" s="950"/>
      <c r="TZI118" s="950"/>
      <c r="TZJ118" s="950"/>
      <c r="TZK118" s="950"/>
      <c r="TZL118" s="950"/>
      <c r="TZM118" s="950"/>
      <c r="TZN118" s="950"/>
      <c r="TZO118" s="950"/>
      <c r="TZP118" s="950"/>
      <c r="TZQ118" s="950"/>
      <c r="TZR118" s="950"/>
      <c r="TZS118" s="950"/>
      <c r="TZT118" s="950"/>
      <c r="TZU118" s="950"/>
      <c r="TZV118" s="950"/>
      <c r="TZW118" s="950"/>
      <c r="TZX118" s="950"/>
      <c r="TZY118" s="950"/>
      <c r="TZZ118" s="950"/>
      <c r="UAA118" s="950"/>
      <c r="UAB118" s="950"/>
      <c r="UAC118" s="950"/>
      <c r="UAD118" s="950"/>
      <c r="UAE118" s="950"/>
      <c r="UAF118" s="950"/>
      <c r="UAG118" s="950"/>
      <c r="UAH118" s="950"/>
      <c r="UAI118" s="950"/>
      <c r="UAJ118" s="950"/>
      <c r="UAK118" s="950"/>
      <c r="UAL118" s="950"/>
      <c r="UAM118" s="950"/>
      <c r="UAN118" s="950"/>
      <c r="UAO118" s="950"/>
      <c r="UAP118" s="950"/>
      <c r="UAQ118" s="950"/>
      <c r="UAR118" s="950"/>
      <c r="UAS118" s="950"/>
      <c r="UAT118" s="950"/>
      <c r="UAU118" s="950"/>
      <c r="UAV118" s="950"/>
      <c r="UAW118" s="950"/>
      <c r="UAX118" s="950"/>
      <c r="UAY118" s="950"/>
      <c r="UAZ118" s="950"/>
      <c r="UBA118" s="950"/>
      <c r="UBB118" s="950"/>
      <c r="UBC118" s="950"/>
      <c r="UBD118" s="950"/>
      <c r="UBE118" s="950"/>
      <c r="UBF118" s="950"/>
      <c r="UBG118" s="950"/>
      <c r="UBH118" s="950"/>
      <c r="UBI118" s="950"/>
      <c r="UBJ118" s="950"/>
      <c r="UBK118" s="950"/>
      <c r="UBL118" s="950"/>
      <c r="UBM118" s="950"/>
      <c r="UBN118" s="950"/>
      <c r="UBO118" s="950"/>
      <c r="UBP118" s="950"/>
      <c r="UBQ118" s="950"/>
      <c r="UBR118" s="950"/>
      <c r="UBS118" s="950"/>
      <c r="UBT118" s="950"/>
      <c r="UBU118" s="950"/>
      <c r="UBV118" s="950"/>
      <c r="UBW118" s="950"/>
      <c r="UBX118" s="950"/>
      <c r="UBY118" s="950"/>
      <c r="UBZ118" s="950"/>
      <c r="UCA118" s="950"/>
      <c r="UCB118" s="950"/>
      <c r="UCC118" s="950"/>
      <c r="UCD118" s="950"/>
      <c r="UCE118" s="950"/>
      <c r="UCF118" s="950"/>
      <c r="UCG118" s="950"/>
      <c r="UCH118" s="950"/>
      <c r="UCI118" s="950"/>
      <c r="UCJ118" s="950"/>
      <c r="UCK118" s="950"/>
      <c r="UCL118" s="950"/>
      <c r="UCM118" s="950"/>
      <c r="UCN118" s="950"/>
      <c r="UCO118" s="950"/>
      <c r="UCP118" s="950"/>
      <c r="UCQ118" s="950"/>
      <c r="UCR118" s="950"/>
      <c r="UCS118" s="950"/>
      <c r="UCT118" s="950"/>
      <c r="UCU118" s="950"/>
      <c r="UCV118" s="950"/>
      <c r="UCW118" s="950"/>
      <c r="UCX118" s="950"/>
      <c r="UCY118" s="950"/>
      <c r="UCZ118" s="950"/>
      <c r="UDA118" s="950"/>
      <c r="UDB118" s="950"/>
      <c r="UDC118" s="950"/>
      <c r="UDD118" s="950"/>
      <c r="UDE118" s="950"/>
      <c r="UDF118" s="950"/>
      <c r="UDG118" s="950"/>
      <c r="UDH118" s="950"/>
      <c r="UDI118" s="950"/>
      <c r="UDJ118" s="950"/>
      <c r="UDK118" s="950"/>
      <c r="UDL118" s="950"/>
      <c r="UDM118" s="950"/>
      <c r="UDN118" s="950"/>
      <c r="UDO118" s="950"/>
      <c r="UDP118" s="950"/>
      <c r="UDQ118" s="950"/>
      <c r="UDR118" s="950"/>
      <c r="UDS118" s="950"/>
      <c r="UDT118" s="950"/>
      <c r="UDU118" s="950"/>
      <c r="UDV118" s="950"/>
      <c r="UDW118" s="950"/>
      <c r="UDX118" s="950"/>
      <c r="UDY118" s="950"/>
      <c r="UDZ118" s="950"/>
      <c r="UEA118" s="950"/>
      <c r="UEB118" s="950"/>
      <c r="UEC118" s="950"/>
      <c r="UED118" s="950"/>
      <c r="UEE118" s="950"/>
      <c r="UEF118" s="950"/>
      <c r="UEG118" s="950"/>
      <c r="UEH118" s="950"/>
      <c r="UEI118" s="950"/>
      <c r="UEJ118" s="950"/>
      <c r="UEK118" s="950"/>
      <c r="UEL118" s="950"/>
      <c r="UEM118" s="950"/>
      <c r="UEN118" s="950"/>
      <c r="UEO118" s="950"/>
      <c r="UEP118" s="950"/>
      <c r="UEQ118" s="950"/>
      <c r="UER118" s="950"/>
      <c r="UES118" s="950"/>
      <c r="UET118" s="950"/>
      <c r="UEU118" s="950"/>
      <c r="UEV118" s="950"/>
      <c r="UEW118" s="950"/>
      <c r="UEX118" s="950"/>
      <c r="UEY118" s="950"/>
      <c r="UEZ118" s="950"/>
      <c r="UFA118" s="950"/>
      <c r="UFB118" s="950"/>
      <c r="UFC118" s="950"/>
      <c r="UFD118" s="950"/>
      <c r="UFE118" s="950"/>
      <c r="UFF118" s="950"/>
      <c r="UFG118" s="950"/>
      <c r="UFH118" s="950"/>
      <c r="UFI118" s="950"/>
      <c r="UFJ118" s="950"/>
      <c r="UFK118" s="950"/>
      <c r="UFL118" s="950"/>
      <c r="UFM118" s="950"/>
      <c r="UFN118" s="950"/>
      <c r="UFO118" s="950"/>
      <c r="UFP118" s="950"/>
      <c r="UFQ118" s="950"/>
      <c r="UFR118" s="950"/>
      <c r="UFS118" s="950"/>
      <c r="UFT118" s="950"/>
      <c r="UFU118" s="950"/>
      <c r="UFV118" s="950"/>
      <c r="UFW118" s="950"/>
      <c r="UFX118" s="950"/>
      <c r="UFY118" s="950"/>
      <c r="UFZ118" s="950"/>
      <c r="UGA118" s="950"/>
      <c r="UGB118" s="950"/>
      <c r="UGC118" s="950"/>
      <c r="UGD118" s="950"/>
      <c r="UGE118" s="950"/>
      <c r="UGF118" s="950"/>
      <c r="UGG118" s="950"/>
      <c r="UGH118" s="950"/>
      <c r="UGI118" s="950"/>
      <c r="UGJ118" s="950"/>
      <c r="UGK118" s="950"/>
      <c r="UGL118" s="950"/>
      <c r="UGM118" s="950"/>
      <c r="UGN118" s="950"/>
      <c r="UGO118" s="950"/>
      <c r="UGP118" s="950"/>
      <c r="UGQ118" s="950"/>
      <c r="UGR118" s="950"/>
      <c r="UGS118" s="950"/>
      <c r="UGT118" s="950"/>
      <c r="UGU118" s="950"/>
      <c r="UGV118" s="950"/>
      <c r="UGW118" s="950"/>
      <c r="UGX118" s="950"/>
      <c r="UGY118" s="950"/>
      <c r="UGZ118" s="950"/>
      <c r="UHA118" s="950"/>
      <c r="UHB118" s="950"/>
      <c r="UHC118" s="950"/>
      <c r="UHD118" s="950"/>
      <c r="UHE118" s="950"/>
      <c r="UHF118" s="950"/>
      <c r="UHG118" s="950"/>
      <c r="UHH118" s="950"/>
      <c r="UHI118" s="950"/>
      <c r="UHJ118" s="950"/>
      <c r="UHK118" s="950"/>
      <c r="UHL118" s="950"/>
      <c r="UHM118" s="950"/>
      <c r="UHN118" s="950"/>
      <c r="UHO118" s="950"/>
      <c r="UHP118" s="950"/>
      <c r="UHQ118" s="950"/>
      <c r="UHR118" s="950"/>
      <c r="UHS118" s="950"/>
      <c r="UHT118" s="950"/>
      <c r="UHU118" s="950"/>
      <c r="UHV118" s="950"/>
      <c r="UHW118" s="950"/>
      <c r="UHX118" s="950"/>
      <c r="UHY118" s="950"/>
      <c r="UHZ118" s="950"/>
      <c r="UIA118" s="950"/>
      <c r="UIB118" s="950"/>
      <c r="UIC118" s="950"/>
      <c r="UID118" s="950"/>
      <c r="UIE118" s="950"/>
      <c r="UIF118" s="950"/>
      <c r="UIG118" s="950"/>
      <c r="UIH118" s="950"/>
      <c r="UII118" s="950"/>
      <c r="UIJ118" s="950"/>
      <c r="UIK118" s="950"/>
      <c r="UIL118" s="950"/>
      <c r="UIM118" s="950"/>
      <c r="UIN118" s="950"/>
      <c r="UIO118" s="950"/>
      <c r="UIP118" s="950"/>
      <c r="UIQ118" s="950"/>
      <c r="UIR118" s="950"/>
      <c r="UIS118" s="950"/>
      <c r="UIT118" s="950"/>
      <c r="UIU118" s="950"/>
      <c r="UIV118" s="950"/>
      <c r="UIW118" s="950"/>
      <c r="UIX118" s="950"/>
      <c r="UIY118" s="950"/>
      <c r="UIZ118" s="950"/>
      <c r="UJA118" s="950"/>
      <c r="UJB118" s="950"/>
      <c r="UJC118" s="950"/>
      <c r="UJD118" s="950"/>
      <c r="UJE118" s="950"/>
      <c r="UJF118" s="950"/>
      <c r="UJG118" s="950"/>
      <c r="UJH118" s="950"/>
      <c r="UJI118" s="950"/>
      <c r="UJJ118" s="950"/>
      <c r="UJK118" s="950"/>
      <c r="UJL118" s="950"/>
      <c r="UJM118" s="950"/>
      <c r="UJN118" s="950"/>
      <c r="UJO118" s="950"/>
      <c r="UJP118" s="950"/>
      <c r="UJQ118" s="950"/>
      <c r="UJR118" s="950"/>
      <c r="UJS118" s="950"/>
      <c r="UJT118" s="950"/>
      <c r="UJU118" s="950"/>
      <c r="UJV118" s="950"/>
      <c r="UJW118" s="950"/>
      <c r="UJX118" s="950"/>
      <c r="UJY118" s="950"/>
      <c r="UJZ118" s="950"/>
      <c r="UKA118" s="950"/>
      <c r="UKB118" s="950"/>
      <c r="UKC118" s="950"/>
      <c r="UKD118" s="950"/>
      <c r="UKE118" s="950"/>
      <c r="UKF118" s="950"/>
      <c r="UKG118" s="950"/>
      <c r="UKH118" s="950"/>
      <c r="UKI118" s="950"/>
      <c r="UKJ118" s="950"/>
      <c r="UKK118" s="950"/>
      <c r="UKL118" s="950"/>
      <c r="UKM118" s="950"/>
      <c r="UKN118" s="950"/>
      <c r="UKO118" s="950"/>
      <c r="UKP118" s="950"/>
      <c r="UKQ118" s="950"/>
      <c r="UKR118" s="950"/>
      <c r="UKS118" s="950"/>
      <c r="UKT118" s="950"/>
      <c r="UKU118" s="950"/>
      <c r="UKV118" s="950"/>
      <c r="UKW118" s="950"/>
      <c r="UKX118" s="950"/>
      <c r="UKY118" s="950"/>
      <c r="UKZ118" s="950"/>
      <c r="ULA118" s="950"/>
      <c r="ULB118" s="950"/>
      <c r="ULC118" s="950"/>
      <c r="ULD118" s="950"/>
      <c r="ULE118" s="950"/>
      <c r="ULF118" s="950"/>
      <c r="ULG118" s="950"/>
      <c r="ULH118" s="950"/>
      <c r="ULI118" s="950"/>
      <c r="ULJ118" s="950"/>
      <c r="ULK118" s="950"/>
      <c r="ULL118" s="950"/>
      <c r="ULM118" s="950"/>
      <c r="ULN118" s="950"/>
      <c r="ULO118" s="950"/>
      <c r="ULP118" s="950"/>
      <c r="ULQ118" s="950"/>
      <c r="ULR118" s="950"/>
      <c r="ULS118" s="950"/>
      <c r="ULT118" s="950"/>
      <c r="ULU118" s="950"/>
      <c r="ULV118" s="950"/>
      <c r="ULW118" s="950"/>
      <c r="ULX118" s="950"/>
      <c r="ULY118" s="950"/>
      <c r="ULZ118" s="950"/>
      <c r="UMA118" s="950"/>
      <c r="UMB118" s="950"/>
      <c r="UMC118" s="950"/>
      <c r="UMD118" s="950"/>
      <c r="UME118" s="950"/>
      <c r="UMF118" s="950"/>
      <c r="UMG118" s="950"/>
      <c r="UMH118" s="950"/>
      <c r="UMI118" s="950"/>
      <c r="UMJ118" s="950"/>
      <c r="UMK118" s="950"/>
      <c r="UML118" s="950"/>
      <c r="UMM118" s="950"/>
      <c r="UMN118" s="950"/>
      <c r="UMO118" s="950"/>
      <c r="UMP118" s="950"/>
      <c r="UMQ118" s="950"/>
      <c r="UMR118" s="950"/>
      <c r="UMS118" s="950"/>
      <c r="UMT118" s="950"/>
      <c r="UMU118" s="950"/>
      <c r="UMV118" s="950"/>
      <c r="UMW118" s="950"/>
      <c r="UMX118" s="950"/>
      <c r="UMY118" s="950"/>
      <c r="UMZ118" s="950"/>
      <c r="UNA118" s="950"/>
      <c r="UNB118" s="950"/>
      <c r="UNC118" s="950"/>
      <c r="UND118" s="950"/>
      <c r="UNE118" s="950"/>
      <c r="UNF118" s="950"/>
      <c r="UNG118" s="950"/>
      <c r="UNH118" s="950"/>
      <c r="UNI118" s="950"/>
      <c r="UNJ118" s="950"/>
      <c r="UNK118" s="950"/>
      <c r="UNL118" s="950"/>
      <c r="UNM118" s="950"/>
      <c r="UNN118" s="950"/>
      <c r="UNO118" s="950"/>
      <c r="UNP118" s="950"/>
      <c r="UNQ118" s="950"/>
      <c r="UNR118" s="950"/>
      <c r="UNS118" s="950"/>
      <c r="UNT118" s="950"/>
      <c r="UNU118" s="950"/>
      <c r="UNV118" s="950"/>
      <c r="UNW118" s="950"/>
      <c r="UNX118" s="950"/>
      <c r="UNY118" s="950"/>
      <c r="UNZ118" s="950"/>
      <c r="UOA118" s="950"/>
      <c r="UOB118" s="950"/>
      <c r="UOC118" s="950"/>
      <c r="UOD118" s="950"/>
      <c r="UOE118" s="950"/>
      <c r="UOF118" s="950"/>
      <c r="UOG118" s="950"/>
      <c r="UOH118" s="950"/>
      <c r="UOI118" s="950"/>
      <c r="UOJ118" s="950"/>
      <c r="UOK118" s="950"/>
      <c r="UOL118" s="950"/>
      <c r="UOM118" s="950"/>
      <c r="UON118" s="950"/>
      <c r="UOO118" s="950"/>
      <c r="UOP118" s="950"/>
      <c r="UOQ118" s="950"/>
      <c r="UOR118" s="950"/>
      <c r="UOS118" s="950"/>
      <c r="UOT118" s="950"/>
      <c r="UOU118" s="950"/>
      <c r="UOV118" s="950"/>
      <c r="UOW118" s="950"/>
      <c r="UOX118" s="950"/>
      <c r="UOY118" s="950"/>
      <c r="UOZ118" s="950"/>
      <c r="UPA118" s="950"/>
      <c r="UPB118" s="950"/>
      <c r="UPC118" s="950"/>
      <c r="UPD118" s="950"/>
      <c r="UPE118" s="950"/>
      <c r="UPF118" s="950"/>
      <c r="UPG118" s="950"/>
      <c r="UPH118" s="950"/>
      <c r="UPI118" s="950"/>
      <c r="UPJ118" s="950"/>
      <c r="UPK118" s="950"/>
      <c r="UPL118" s="950"/>
      <c r="UPM118" s="950"/>
      <c r="UPN118" s="950"/>
      <c r="UPO118" s="950"/>
      <c r="UPP118" s="950"/>
      <c r="UPQ118" s="950"/>
      <c r="UPR118" s="950"/>
      <c r="UPS118" s="950"/>
      <c r="UPT118" s="950"/>
      <c r="UPU118" s="950"/>
      <c r="UPV118" s="950"/>
      <c r="UPW118" s="950"/>
      <c r="UPX118" s="950"/>
      <c r="UPY118" s="950"/>
      <c r="UPZ118" s="950"/>
      <c r="UQA118" s="950"/>
      <c r="UQB118" s="950"/>
      <c r="UQC118" s="950"/>
      <c r="UQD118" s="950"/>
      <c r="UQE118" s="950"/>
      <c r="UQF118" s="950"/>
      <c r="UQG118" s="950"/>
      <c r="UQH118" s="950"/>
      <c r="UQI118" s="950"/>
      <c r="UQJ118" s="950"/>
      <c r="UQK118" s="950"/>
      <c r="UQL118" s="950"/>
      <c r="UQM118" s="950"/>
      <c r="UQN118" s="950"/>
      <c r="UQO118" s="950"/>
      <c r="UQP118" s="950"/>
      <c r="UQQ118" s="950"/>
      <c r="UQR118" s="950"/>
      <c r="UQS118" s="950"/>
      <c r="UQT118" s="950"/>
      <c r="UQU118" s="950"/>
      <c r="UQV118" s="950"/>
      <c r="UQW118" s="950"/>
      <c r="UQX118" s="950"/>
      <c r="UQY118" s="950"/>
      <c r="UQZ118" s="950"/>
      <c r="URA118" s="950"/>
      <c r="URB118" s="950"/>
      <c r="URC118" s="950"/>
      <c r="URD118" s="950"/>
      <c r="URE118" s="950"/>
      <c r="URF118" s="950"/>
      <c r="URG118" s="950"/>
      <c r="URH118" s="950"/>
      <c r="URI118" s="950"/>
      <c r="URJ118" s="950"/>
      <c r="URK118" s="950"/>
      <c r="URL118" s="950"/>
      <c r="URM118" s="950"/>
      <c r="URN118" s="950"/>
      <c r="URO118" s="950"/>
      <c r="URP118" s="950"/>
      <c r="URQ118" s="950"/>
      <c r="URR118" s="950"/>
      <c r="URS118" s="950"/>
      <c r="URT118" s="950"/>
      <c r="URU118" s="950"/>
      <c r="URV118" s="950"/>
      <c r="URW118" s="950"/>
      <c r="URX118" s="950"/>
      <c r="URY118" s="950"/>
      <c r="URZ118" s="950"/>
      <c r="USA118" s="950"/>
      <c r="USB118" s="950"/>
      <c r="USC118" s="950"/>
      <c r="USD118" s="950"/>
      <c r="USE118" s="950"/>
      <c r="USF118" s="950"/>
      <c r="USG118" s="950"/>
      <c r="USH118" s="950"/>
      <c r="USI118" s="950"/>
      <c r="USJ118" s="950"/>
      <c r="USK118" s="950"/>
      <c r="USL118" s="950"/>
      <c r="USM118" s="950"/>
      <c r="USN118" s="950"/>
      <c r="USO118" s="950"/>
      <c r="USP118" s="950"/>
      <c r="USQ118" s="950"/>
      <c r="USR118" s="950"/>
      <c r="USS118" s="950"/>
      <c r="UST118" s="950"/>
      <c r="USU118" s="950"/>
      <c r="USV118" s="950"/>
      <c r="USW118" s="950"/>
      <c r="USX118" s="950"/>
      <c r="USY118" s="950"/>
      <c r="USZ118" s="950"/>
      <c r="UTA118" s="950"/>
      <c r="UTB118" s="950"/>
      <c r="UTC118" s="950"/>
      <c r="UTD118" s="950"/>
      <c r="UTE118" s="950"/>
      <c r="UTF118" s="950"/>
      <c r="UTG118" s="950"/>
      <c r="UTH118" s="950"/>
      <c r="UTI118" s="950"/>
      <c r="UTJ118" s="950"/>
      <c r="UTK118" s="950"/>
      <c r="UTL118" s="950"/>
      <c r="UTM118" s="950"/>
      <c r="UTN118" s="950"/>
      <c r="UTO118" s="950"/>
      <c r="UTP118" s="950"/>
      <c r="UTQ118" s="950"/>
      <c r="UTR118" s="950"/>
      <c r="UTS118" s="950"/>
      <c r="UTT118" s="950"/>
      <c r="UTU118" s="950"/>
      <c r="UTV118" s="950"/>
      <c r="UTW118" s="950"/>
      <c r="UTX118" s="950"/>
      <c r="UTY118" s="950"/>
      <c r="UTZ118" s="950"/>
      <c r="UUA118" s="950"/>
      <c r="UUB118" s="950"/>
      <c r="UUC118" s="950"/>
      <c r="UUD118" s="950"/>
      <c r="UUE118" s="950"/>
      <c r="UUF118" s="950"/>
      <c r="UUG118" s="950"/>
      <c r="UUH118" s="950"/>
      <c r="UUI118" s="950"/>
      <c r="UUJ118" s="950"/>
      <c r="UUK118" s="950"/>
      <c r="UUL118" s="950"/>
      <c r="UUM118" s="950"/>
      <c r="UUN118" s="950"/>
      <c r="UUO118" s="950"/>
      <c r="UUP118" s="950"/>
      <c r="UUQ118" s="950"/>
      <c r="UUR118" s="950"/>
      <c r="UUS118" s="950"/>
      <c r="UUT118" s="950"/>
      <c r="UUU118" s="950"/>
      <c r="UUV118" s="950"/>
      <c r="UUW118" s="950"/>
      <c r="UUX118" s="950"/>
      <c r="UUY118" s="950"/>
      <c r="UUZ118" s="950"/>
      <c r="UVA118" s="950"/>
      <c r="UVB118" s="950"/>
      <c r="UVC118" s="950"/>
      <c r="UVD118" s="950"/>
      <c r="UVE118" s="950"/>
      <c r="UVF118" s="950"/>
      <c r="UVG118" s="950"/>
      <c r="UVH118" s="950"/>
      <c r="UVI118" s="950"/>
      <c r="UVJ118" s="950"/>
      <c r="UVK118" s="950"/>
      <c r="UVL118" s="950"/>
      <c r="UVM118" s="950"/>
      <c r="UVN118" s="950"/>
      <c r="UVO118" s="950"/>
      <c r="UVP118" s="950"/>
      <c r="UVQ118" s="950"/>
      <c r="UVR118" s="950"/>
      <c r="UVS118" s="950"/>
      <c r="UVT118" s="950"/>
      <c r="UVU118" s="950"/>
      <c r="UVV118" s="950"/>
      <c r="UVW118" s="950"/>
      <c r="UVX118" s="950"/>
      <c r="UVY118" s="950"/>
      <c r="UVZ118" s="950"/>
      <c r="UWA118" s="950"/>
      <c r="UWB118" s="950"/>
      <c r="UWC118" s="950"/>
      <c r="UWD118" s="950"/>
      <c r="UWE118" s="950"/>
      <c r="UWF118" s="950"/>
      <c r="UWG118" s="950"/>
      <c r="UWH118" s="950"/>
      <c r="UWI118" s="950"/>
      <c r="UWJ118" s="950"/>
      <c r="UWK118" s="950"/>
      <c r="UWL118" s="950"/>
      <c r="UWM118" s="950"/>
      <c r="UWN118" s="950"/>
      <c r="UWO118" s="950"/>
      <c r="UWP118" s="950"/>
      <c r="UWQ118" s="950"/>
      <c r="UWR118" s="950"/>
      <c r="UWS118" s="950"/>
      <c r="UWT118" s="950"/>
      <c r="UWU118" s="950"/>
      <c r="UWV118" s="950"/>
      <c r="UWW118" s="950"/>
      <c r="UWX118" s="950"/>
      <c r="UWY118" s="950"/>
      <c r="UWZ118" s="950"/>
      <c r="UXA118" s="950"/>
      <c r="UXB118" s="950"/>
      <c r="UXC118" s="950"/>
      <c r="UXD118" s="950"/>
      <c r="UXE118" s="950"/>
      <c r="UXF118" s="950"/>
      <c r="UXG118" s="950"/>
      <c r="UXH118" s="950"/>
      <c r="UXI118" s="950"/>
      <c r="UXJ118" s="950"/>
      <c r="UXK118" s="950"/>
      <c r="UXL118" s="950"/>
      <c r="UXM118" s="950"/>
      <c r="UXN118" s="950"/>
      <c r="UXO118" s="950"/>
      <c r="UXP118" s="950"/>
      <c r="UXQ118" s="950"/>
      <c r="UXR118" s="950"/>
      <c r="UXS118" s="950"/>
      <c r="UXT118" s="950"/>
      <c r="UXU118" s="950"/>
      <c r="UXV118" s="950"/>
      <c r="UXW118" s="950"/>
      <c r="UXX118" s="950"/>
      <c r="UXY118" s="950"/>
      <c r="UXZ118" s="950"/>
      <c r="UYA118" s="950"/>
      <c r="UYB118" s="950"/>
      <c r="UYC118" s="950"/>
      <c r="UYD118" s="950"/>
      <c r="UYE118" s="950"/>
      <c r="UYF118" s="950"/>
      <c r="UYG118" s="950"/>
      <c r="UYH118" s="950"/>
      <c r="UYI118" s="950"/>
      <c r="UYJ118" s="950"/>
      <c r="UYK118" s="950"/>
      <c r="UYL118" s="950"/>
      <c r="UYM118" s="950"/>
      <c r="UYN118" s="950"/>
      <c r="UYO118" s="950"/>
      <c r="UYP118" s="950"/>
      <c r="UYQ118" s="950"/>
      <c r="UYR118" s="950"/>
      <c r="UYS118" s="950"/>
      <c r="UYT118" s="950"/>
      <c r="UYU118" s="950"/>
      <c r="UYV118" s="950"/>
      <c r="UYW118" s="950"/>
      <c r="UYX118" s="950"/>
      <c r="UYY118" s="950"/>
      <c r="UYZ118" s="950"/>
      <c r="UZA118" s="950"/>
      <c r="UZB118" s="950"/>
      <c r="UZC118" s="950"/>
      <c r="UZD118" s="950"/>
      <c r="UZE118" s="950"/>
      <c r="UZF118" s="950"/>
      <c r="UZG118" s="950"/>
      <c r="UZH118" s="950"/>
      <c r="UZI118" s="950"/>
      <c r="UZJ118" s="950"/>
      <c r="UZK118" s="950"/>
      <c r="UZL118" s="950"/>
      <c r="UZM118" s="950"/>
      <c r="UZN118" s="950"/>
      <c r="UZO118" s="950"/>
      <c r="UZP118" s="950"/>
      <c r="UZQ118" s="950"/>
      <c r="UZR118" s="950"/>
      <c r="UZS118" s="950"/>
      <c r="UZT118" s="950"/>
      <c r="UZU118" s="950"/>
      <c r="UZV118" s="950"/>
      <c r="UZW118" s="950"/>
      <c r="UZX118" s="950"/>
      <c r="UZY118" s="950"/>
      <c r="UZZ118" s="950"/>
      <c r="VAA118" s="950"/>
      <c r="VAB118" s="950"/>
      <c r="VAC118" s="950"/>
      <c r="VAD118" s="950"/>
      <c r="VAE118" s="950"/>
      <c r="VAF118" s="950"/>
      <c r="VAG118" s="950"/>
      <c r="VAH118" s="950"/>
      <c r="VAI118" s="950"/>
      <c r="VAJ118" s="950"/>
      <c r="VAK118" s="950"/>
      <c r="VAL118" s="950"/>
      <c r="VAM118" s="950"/>
      <c r="VAN118" s="950"/>
      <c r="VAO118" s="950"/>
      <c r="VAP118" s="950"/>
      <c r="VAQ118" s="950"/>
      <c r="VAR118" s="950"/>
      <c r="VAS118" s="950"/>
      <c r="VAT118" s="950"/>
      <c r="VAU118" s="950"/>
      <c r="VAV118" s="950"/>
      <c r="VAW118" s="950"/>
      <c r="VAX118" s="950"/>
      <c r="VAY118" s="950"/>
      <c r="VAZ118" s="950"/>
      <c r="VBA118" s="950"/>
      <c r="VBB118" s="950"/>
      <c r="VBC118" s="950"/>
      <c r="VBD118" s="950"/>
      <c r="VBE118" s="950"/>
      <c r="VBF118" s="950"/>
      <c r="VBG118" s="950"/>
      <c r="VBH118" s="950"/>
      <c r="VBI118" s="950"/>
      <c r="VBJ118" s="950"/>
      <c r="VBK118" s="950"/>
      <c r="VBL118" s="950"/>
      <c r="VBM118" s="950"/>
      <c r="VBN118" s="950"/>
      <c r="VBO118" s="950"/>
      <c r="VBP118" s="950"/>
      <c r="VBQ118" s="950"/>
      <c r="VBR118" s="950"/>
      <c r="VBS118" s="950"/>
      <c r="VBT118" s="950"/>
      <c r="VBU118" s="950"/>
      <c r="VBV118" s="950"/>
      <c r="VBW118" s="950"/>
      <c r="VBX118" s="950"/>
      <c r="VBY118" s="950"/>
      <c r="VBZ118" s="950"/>
      <c r="VCA118" s="950"/>
      <c r="VCB118" s="950"/>
      <c r="VCC118" s="950"/>
      <c r="VCD118" s="950"/>
      <c r="VCE118" s="950"/>
      <c r="VCF118" s="950"/>
      <c r="VCG118" s="950"/>
      <c r="VCH118" s="950"/>
      <c r="VCI118" s="950"/>
      <c r="VCJ118" s="950"/>
      <c r="VCK118" s="950"/>
      <c r="VCL118" s="950"/>
      <c r="VCM118" s="950"/>
      <c r="VCN118" s="950"/>
      <c r="VCO118" s="950"/>
      <c r="VCP118" s="950"/>
      <c r="VCQ118" s="950"/>
      <c r="VCR118" s="950"/>
      <c r="VCS118" s="950"/>
      <c r="VCT118" s="950"/>
      <c r="VCU118" s="950"/>
      <c r="VCV118" s="950"/>
      <c r="VCW118" s="950"/>
      <c r="VCX118" s="950"/>
      <c r="VCY118" s="950"/>
      <c r="VCZ118" s="950"/>
      <c r="VDA118" s="950"/>
      <c r="VDB118" s="950"/>
      <c r="VDC118" s="950"/>
      <c r="VDD118" s="950"/>
      <c r="VDE118" s="950"/>
      <c r="VDF118" s="950"/>
      <c r="VDG118" s="950"/>
      <c r="VDH118" s="950"/>
      <c r="VDI118" s="950"/>
      <c r="VDJ118" s="950"/>
      <c r="VDK118" s="950"/>
      <c r="VDL118" s="950"/>
      <c r="VDM118" s="950"/>
      <c r="VDN118" s="950"/>
      <c r="VDO118" s="950"/>
      <c r="VDP118" s="950"/>
      <c r="VDQ118" s="950"/>
      <c r="VDR118" s="950"/>
      <c r="VDS118" s="950"/>
      <c r="VDT118" s="950"/>
      <c r="VDU118" s="950"/>
      <c r="VDV118" s="950"/>
      <c r="VDW118" s="950"/>
      <c r="VDX118" s="950"/>
      <c r="VDY118" s="950"/>
      <c r="VDZ118" s="950"/>
      <c r="VEA118" s="950"/>
      <c r="VEB118" s="950"/>
      <c r="VEC118" s="950"/>
      <c r="VED118" s="950"/>
      <c r="VEE118" s="950"/>
      <c r="VEF118" s="950"/>
      <c r="VEG118" s="950"/>
      <c r="VEH118" s="950"/>
      <c r="VEI118" s="950"/>
      <c r="VEJ118" s="950"/>
      <c r="VEK118" s="950"/>
      <c r="VEL118" s="950"/>
      <c r="VEM118" s="950"/>
      <c r="VEN118" s="950"/>
      <c r="VEO118" s="950"/>
      <c r="VEP118" s="950"/>
      <c r="VEQ118" s="950"/>
      <c r="VER118" s="950"/>
      <c r="VES118" s="950"/>
      <c r="VET118" s="950"/>
      <c r="VEU118" s="950"/>
      <c r="VEV118" s="950"/>
      <c r="VEW118" s="950"/>
      <c r="VEX118" s="950"/>
      <c r="VEY118" s="950"/>
      <c r="VEZ118" s="950"/>
      <c r="VFA118" s="950"/>
      <c r="VFB118" s="950"/>
      <c r="VFC118" s="950"/>
      <c r="VFD118" s="950"/>
      <c r="VFE118" s="950"/>
      <c r="VFF118" s="950"/>
      <c r="VFG118" s="950"/>
      <c r="VFH118" s="950"/>
      <c r="VFI118" s="950"/>
      <c r="VFJ118" s="950"/>
      <c r="VFK118" s="950"/>
      <c r="VFL118" s="950"/>
      <c r="VFM118" s="950"/>
      <c r="VFN118" s="950"/>
      <c r="VFO118" s="950"/>
      <c r="VFP118" s="950"/>
      <c r="VFQ118" s="950"/>
      <c r="VFR118" s="950"/>
      <c r="VFS118" s="950"/>
      <c r="VFT118" s="950"/>
      <c r="VFU118" s="950"/>
      <c r="VFV118" s="950"/>
      <c r="VFW118" s="950"/>
      <c r="VFX118" s="950"/>
      <c r="VFY118" s="950"/>
      <c r="VFZ118" s="950"/>
      <c r="VGA118" s="950"/>
      <c r="VGB118" s="950"/>
      <c r="VGC118" s="950"/>
      <c r="VGD118" s="950"/>
      <c r="VGE118" s="950"/>
      <c r="VGF118" s="950"/>
      <c r="VGG118" s="950"/>
      <c r="VGH118" s="950"/>
      <c r="VGI118" s="950"/>
      <c r="VGJ118" s="950"/>
      <c r="VGK118" s="950"/>
      <c r="VGL118" s="950"/>
      <c r="VGM118" s="950"/>
      <c r="VGN118" s="950"/>
      <c r="VGO118" s="950"/>
      <c r="VGP118" s="950"/>
      <c r="VGQ118" s="950"/>
      <c r="VGR118" s="950"/>
      <c r="VGS118" s="950"/>
      <c r="VGT118" s="950"/>
      <c r="VGU118" s="950"/>
      <c r="VGV118" s="950"/>
      <c r="VGW118" s="950"/>
      <c r="VGX118" s="950"/>
      <c r="VGY118" s="950"/>
      <c r="VGZ118" s="950"/>
      <c r="VHA118" s="950"/>
      <c r="VHB118" s="950"/>
      <c r="VHC118" s="950"/>
      <c r="VHD118" s="950"/>
      <c r="VHE118" s="950"/>
      <c r="VHF118" s="950"/>
      <c r="VHG118" s="950"/>
      <c r="VHH118" s="950"/>
      <c r="VHI118" s="950"/>
      <c r="VHJ118" s="950"/>
      <c r="VHK118" s="950"/>
      <c r="VHL118" s="950"/>
      <c r="VHM118" s="950"/>
      <c r="VHN118" s="950"/>
      <c r="VHO118" s="950"/>
      <c r="VHP118" s="950"/>
      <c r="VHQ118" s="950"/>
      <c r="VHR118" s="950"/>
      <c r="VHS118" s="950"/>
      <c r="VHT118" s="950"/>
      <c r="VHU118" s="950"/>
      <c r="VHV118" s="950"/>
      <c r="VHW118" s="950"/>
      <c r="VHX118" s="950"/>
      <c r="VHY118" s="950"/>
      <c r="VHZ118" s="950"/>
      <c r="VIA118" s="950"/>
      <c r="VIB118" s="950"/>
      <c r="VIC118" s="950"/>
      <c r="VID118" s="950"/>
      <c r="VIE118" s="950"/>
      <c r="VIF118" s="950"/>
      <c r="VIG118" s="950"/>
      <c r="VIH118" s="950"/>
      <c r="VII118" s="950"/>
      <c r="VIJ118" s="950"/>
      <c r="VIK118" s="950"/>
      <c r="VIL118" s="950"/>
      <c r="VIM118" s="950"/>
      <c r="VIN118" s="950"/>
      <c r="VIO118" s="950"/>
      <c r="VIP118" s="950"/>
      <c r="VIQ118" s="950"/>
      <c r="VIR118" s="950"/>
      <c r="VIS118" s="950"/>
      <c r="VIT118" s="950"/>
      <c r="VIU118" s="950"/>
      <c r="VIV118" s="950"/>
      <c r="VIW118" s="950"/>
      <c r="VIX118" s="950"/>
      <c r="VIY118" s="950"/>
      <c r="VIZ118" s="950"/>
      <c r="VJA118" s="950"/>
      <c r="VJB118" s="950"/>
      <c r="VJC118" s="950"/>
      <c r="VJD118" s="950"/>
      <c r="VJE118" s="950"/>
      <c r="VJF118" s="950"/>
      <c r="VJG118" s="950"/>
      <c r="VJH118" s="950"/>
      <c r="VJI118" s="950"/>
      <c r="VJJ118" s="950"/>
      <c r="VJK118" s="950"/>
      <c r="VJL118" s="950"/>
      <c r="VJM118" s="950"/>
      <c r="VJN118" s="950"/>
      <c r="VJO118" s="950"/>
      <c r="VJP118" s="950"/>
      <c r="VJQ118" s="950"/>
      <c r="VJR118" s="950"/>
      <c r="VJS118" s="950"/>
      <c r="VJT118" s="950"/>
      <c r="VJU118" s="950"/>
      <c r="VJV118" s="950"/>
      <c r="VJW118" s="950"/>
      <c r="VJX118" s="950"/>
      <c r="VJY118" s="950"/>
      <c r="VJZ118" s="950"/>
      <c r="VKA118" s="950"/>
      <c r="VKB118" s="950"/>
      <c r="VKC118" s="950"/>
      <c r="VKD118" s="950"/>
      <c r="VKE118" s="950"/>
      <c r="VKF118" s="950"/>
      <c r="VKG118" s="950"/>
      <c r="VKH118" s="950"/>
      <c r="VKI118" s="950"/>
      <c r="VKJ118" s="950"/>
      <c r="VKK118" s="950"/>
      <c r="VKL118" s="950"/>
      <c r="VKM118" s="950"/>
      <c r="VKN118" s="950"/>
      <c r="VKO118" s="950"/>
      <c r="VKP118" s="950"/>
      <c r="VKQ118" s="950"/>
      <c r="VKR118" s="950"/>
      <c r="VKS118" s="950"/>
      <c r="VKT118" s="950"/>
      <c r="VKU118" s="950"/>
      <c r="VKV118" s="950"/>
      <c r="VKW118" s="950"/>
      <c r="VKX118" s="950"/>
      <c r="VKY118" s="950"/>
      <c r="VKZ118" s="950"/>
      <c r="VLA118" s="950"/>
      <c r="VLB118" s="950"/>
      <c r="VLC118" s="950"/>
      <c r="VLD118" s="950"/>
      <c r="VLE118" s="950"/>
      <c r="VLF118" s="950"/>
      <c r="VLG118" s="950"/>
      <c r="VLH118" s="950"/>
      <c r="VLI118" s="950"/>
      <c r="VLJ118" s="950"/>
      <c r="VLK118" s="950"/>
      <c r="VLL118" s="950"/>
      <c r="VLM118" s="950"/>
      <c r="VLN118" s="950"/>
      <c r="VLO118" s="950"/>
      <c r="VLP118" s="950"/>
      <c r="VLQ118" s="950"/>
      <c r="VLR118" s="950"/>
      <c r="VLS118" s="950"/>
      <c r="VLT118" s="950"/>
      <c r="VLU118" s="950"/>
      <c r="VLV118" s="950"/>
      <c r="VLW118" s="950"/>
      <c r="VLX118" s="950"/>
      <c r="VLY118" s="950"/>
      <c r="VLZ118" s="950"/>
      <c r="VMA118" s="950"/>
      <c r="VMB118" s="950"/>
      <c r="VMC118" s="950"/>
      <c r="VMD118" s="950"/>
      <c r="VME118" s="950"/>
      <c r="VMF118" s="950"/>
      <c r="VMG118" s="950"/>
      <c r="VMH118" s="950"/>
      <c r="VMI118" s="950"/>
      <c r="VMJ118" s="950"/>
      <c r="VMK118" s="950"/>
      <c r="VML118" s="950"/>
      <c r="VMM118" s="950"/>
      <c r="VMN118" s="950"/>
      <c r="VMO118" s="950"/>
      <c r="VMP118" s="950"/>
      <c r="VMQ118" s="950"/>
      <c r="VMR118" s="950"/>
      <c r="VMS118" s="950"/>
      <c r="VMT118" s="950"/>
      <c r="VMU118" s="950"/>
      <c r="VMV118" s="950"/>
      <c r="VMW118" s="950"/>
      <c r="VMX118" s="950"/>
      <c r="VMY118" s="950"/>
      <c r="VMZ118" s="950"/>
      <c r="VNA118" s="950"/>
      <c r="VNB118" s="950"/>
      <c r="VNC118" s="950"/>
      <c r="VND118" s="950"/>
      <c r="VNE118" s="950"/>
      <c r="VNF118" s="950"/>
      <c r="VNG118" s="950"/>
      <c r="VNH118" s="950"/>
      <c r="VNI118" s="950"/>
      <c r="VNJ118" s="950"/>
      <c r="VNK118" s="950"/>
      <c r="VNL118" s="950"/>
      <c r="VNM118" s="950"/>
      <c r="VNN118" s="950"/>
      <c r="VNO118" s="950"/>
      <c r="VNP118" s="950"/>
      <c r="VNQ118" s="950"/>
      <c r="VNR118" s="950"/>
      <c r="VNS118" s="950"/>
      <c r="VNT118" s="950"/>
      <c r="VNU118" s="950"/>
      <c r="VNV118" s="950"/>
      <c r="VNW118" s="950"/>
      <c r="VNX118" s="950"/>
      <c r="VNY118" s="950"/>
      <c r="VNZ118" s="950"/>
      <c r="VOA118" s="950"/>
      <c r="VOB118" s="950"/>
      <c r="VOC118" s="950"/>
      <c r="VOD118" s="950"/>
      <c r="VOE118" s="950"/>
      <c r="VOF118" s="950"/>
      <c r="VOG118" s="950"/>
      <c r="VOH118" s="950"/>
      <c r="VOI118" s="950"/>
      <c r="VOJ118" s="950"/>
      <c r="VOK118" s="950"/>
      <c r="VOL118" s="950"/>
      <c r="VOM118" s="950"/>
      <c r="VON118" s="950"/>
      <c r="VOO118" s="950"/>
      <c r="VOP118" s="950"/>
      <c r="VOQ118" s="950"/>
      <c r="VOR118" s="950"/>
      <c r="VOS118" s="950"/>
      <c r="VOT118" s="950"/>
      <c r="VOU118" s="950"/>
      <c r="VOV118" s="950"/>
      <c r="VOW118" s="950"/>
      <c r="VOX118" s="950"/>
      <c r="VOY118" s="950"/>
      <c r="VOZ118" s="950"/>
      <c r="VPA118" s="950"/>
      <c r="VPB118" s="950"/>
      <c r="VPC118" s="950"/>
      <c r="VPD118" s="950"/>
      <c r="VPE118" s="950"/>
      <c r="VPF118" s="950"/>
      <c r="VPG118" s="950"/>
      <c r="VPH118" s="950"/>
      <c r="VPI118" s="950"/>
      <c r="VPJ118" s="950"/>
      <c r="VPK118" s="950"/>
      <c r="VPL118" s="950"/>
      <c r="VPM118" s="950"/>
      <c r="VPN118" s="950"/>
      <c r="VPO118" s="950"/>
      <c r="VPP118" s="950"/>
      <c r="VPQ118" s="950"/>
      <c r="VPR118" s="950"/>
      <c r="VPS118" s="950"/>
      <c r="VPT118" s="950"/>
      <c r="VPU118" s="950"/>
      <c r="VPV118" s="950"/>
      <c r="VPW118" s="950"/>
      <c r="VPX118" s="950"/>
      <c r="VPY118" s="950"/>
      <c r="VPZ118" s="950"/>
      <c r="VQA118" s="950"/>
      <c r="VQB118" s="950"/>
      <c r="VQC118" s="950"/>
      <c r="VQD118" s="950"/>
      <c r="VQE118" s="950"/>
      <c r="VQF118" s="950"/>
      <c r="VQG118" s="950"/>
      <c r="VQH118" s="950"/>
      <c r="VQI118" s="950"/>
      <c r="VQJ118" s="950"/>
      <c r="VQK118" s="950"/>
      <c r="VQL118" s="950"/>
      <c r="VQM118" s="950"/>
      <c r="VQN118" s="950"/>
      <c r="VQO118" s="950"/>
      <c r="VQP118" s="950"/>
      <c r="VQQ118" s="950"/>
      <c r="VQR118" s="950"/>
      <c r="VQS118" s="950"/>
      <c r="VQT118" s="950"/>
      <c r="VQU118" s="950"/>
      <c r="VQV118" s="950"/>
      <c r="VQW118" s="950"/>
      <c r="VQX118" s="950"/>
      <c r="VQY118" s="950"/>
      <c r="VQZ118" s="950"/>
      <c r="VRA118" s="950"/>
      <c r="VRB118" s="950"/>
      <c r="VRC118" s="950"/>
      <c r="VRD118" s="950"/>
      <c r="VRE118" s="950"/>
      <c r="VRF118" s="950"/>
      <c r="VRG118" s="950"/>
      <c r="VRH118" s="950"/>
      <c r="VRI118" s="950"/>
      <c r="VRJ118" s="950"/>
      <c r="VRK118" s="950"/>
      <c r="VRL118" s="950"/>
      <c r="VRM118" s="950"/>
      <c r="VRN118" s="950"/>
      <c r="VRO118" s="950"/>
      <c r="VRP118" s="950"/>
      <c r="VRQ118" s="950"/>
      <c r="VRR118" s="950"/>
      <c r="VRS118" s="950"/>
      <c r="VRT118" s="950"/>
      <c r="VRU118" s="950"/>
      <c r="VRV118" s="950"/>
      <c r="VRW118" s="950"/>
      <c r="VRX118" s="950"/>
      <c r="VRY118" s="950"/>
      <c r="VRZ118" s="950"/>
      <c r="VSA118" s="950"/>
      <c r="VSB118" s="950"/>
      <c r="VSC118" s="950"/>
      <c r="VSD118" s="950"/>
      <c r="VSE118" s="950"/>
      <c r="VSF118" s="950"/>
      <c r="VSG118" s="950"/>
      <c r="VSH118" s="950"/>
      <c r="VSI118" s="950"/>
      <c r="VSJ118" s="950"/>
      <c r="VSK118" s="950"/>
      <c r="VSL118" s="950"/>
      <c r="VSM118" s="950"/>
      <c r="VSN118" s="950"/>
      <c r="VSO118" s="950"/>
      <c r="VSP118" s="950"/>
      <c r="VSQ118" s="950"/>
      <c r="VSR118" s="950"/>
      <c r="VSS118" s="950"/>
      <c r="VST118" s="950"/>
      <c r="VSU118" s="950"/>
      <c r="VSV118" s="950"/>
      <c r="VSW118" s="950"/>
      <c r="VSX118" s="950"/>
      <c r="VSY118" s="950"/>
      <c r="VSZ118" s="950"/>
      <c r="VTA118" s="950"/>
      <c r="VTB118" s="950"/>
      <c r="VTC118" s="950"/>
      <c r="VTD118" s="950"/>
      <c r="VTE118" s="950"/>
      <c r="VTF118" s="950"/>
      <c r="VTG118" s="950"/>
      <c r="VTH118" s="950"/>
      <c r="VTI118" s="950"/>
      <c r="VTJ118" s="950"/>
      <c r="VTK118" s="950"/>
      <c r="VTL118" s="950"/>
      <c r="VTM118" s="950"/>
      <c r="VTN118" s="950"/>
      <c r="VTO118" s="950"/>
      <c r="VTP118" s="950"/>
      <c r="VTQ118" s="950"/>
      <c r="VTR118" s="950"/>
      <c r="VTS118" s="950"/>
      <c r="VTT118" s="950"/>
      <c r="VTU118" s="950"/>
      <c r="VTV118" s="950"/>
      <c r="VTW118" s="950"/>
      <c r="VTX118" s="950"/>
      <c r="VTY118" s="950"/>
      <c r="VTZ118" s="950"/>
      <c r="VUA118" s="950"/>
      <c r="VUB118" s="950"/>
      <c r="VUC118" s="950"/>
      <c r="VUD118" s="950"/>
      <c r="VUE118" s="950"/>
      <c r="VUF118" s="950"/>
      <c r="VUG118" s="950"/>
      <c r="VUH118" s="950"/>
      <c r="VUI118" s="950"/>
      <c r="VUJ118" s="950"/>
      <c r="VUK118" s="950"/>
      <c r="VUL118" s="950"/>
      <c r="VUM118" s="950"/>
      <c r="VUN118" s="950"/>
      <c r="VUO118" s="950"/>
      <c r="VUP118" s="950"/>
      <c r="VUQ118" s="950"/>
      <c r="VUR118" s="950"/>
      <c r="VUS118" s="950"/>
      <c r="VUT118" s="950"/>
      <c r="VUU118" s="950"/>
      <c r="VUV118" s="950"/>
      <c r="VUW118" s="950"/>
      <c r="VUX118" s="950"/>
      <c r="VUY118" s="950"/>
      <c r="VUZ118" s="950"/>
      <c r="VVA118" s="950"/>
      <c r="VVB118" s="950"/>
      <c r="VVC118" s="950"/>
      <c r="VVD118" s="950"/>
      <c r="VVE118" s="950"/>
      <c r="VVF118" s="950"/>
      <c r="VVG118" s="950"/>
      <c r="VVH118" s="950"/>
      <c r="VVI118" s="950"/>
      <c r="VVJ118" s="950"/>
      <c r="VVK118" s="950"/>
      <c r="VVL118" s="950"/>
      <c r="VVM118" s="950"/>
      <c r="VVN118" s="950"/>
      <c r="VVO118" s="950"/>
      <c r="VVP118" s="950"/>
      <c r="VVQ118" s="950"/>
      <c r="VVR118" s="950"/>
      <c r="VVS118" s="950"/>
      <c r="VVT118" s="950"/>
      <c r="VVU118" s="950"/>
      <c r="VVV118" s="950"/>
      <c r="VVW118" s="950"/>
      <c r="VVX118" s="950"/>
      <c r="VVY118" s="950"/>
      <c r="VVZ118" s="950"/>
      <c r="VWA118" s="950"/>
      <c r="VWB118" s="950"/>
      <c r="VWC118" s="950"/>
      <c r="VWD118" s="950"/>
      <c r="VWE118" s="950"/>
      <c r="VWF118" s="950"/>
      <c r="VWG118" s="950"/>
      <c r="VWH118" s="950"/>
      <c r="VWI118" s="950"/>
      <c r="VWJ118" s="950"/>
      <c r="VWK118" s="950"/>
      <c r="VWL118" s="950"/>
      <c r="VWM118" s="950"/>
      <c r="VWN118" s="950"/>
      <c r="VWO118" s="950"/>
      <c r="VWP118" s="950"/>
      <c r="VWQ118" s="950"/>
      <c r="VWR118" s="950"/>
      <c r="VWS118" s="950"/>
      <c r="VWT118" s="950"/>
      <c r="VWU118" s="950"/>
      <c r="VWV118" s="950"/>
      <c r="VWW118" s="950"/>
      <c r="VWX118" s="950"/>
      <c r="VWY118" s="950"/>
      <c r="VWZ118" s="950"/>
      <c r="VXA118" s="950"/>
      <c r="VXB118" s="950"/>
      <c r="VXC118" s="950"/>
      <c r="VXD118" s="950"/>
      <c r="VXE118" s="950"/>
      <c r="VXF118" s="950"/>
      <c r="VXG118" s="950"/>
      <c r="VXH118" s="950"/>
      <c r="VXI118" s="950"/>
      <c r="VXJ118" s="950"/>
      <c r="VXK118" s="950"/>
      <c r="VXL118" s="950"/>
      <c r="VXM118" s="950"/>
      <c r="VXN118" s="950"/>
      <c r="VXO118" s="950"/>
      <c r="VXP118" s="950"/>
      <c r="VXQ118" s="950"/>
      <c r="VXR118" s="950"/>
      <c r="VXS118" s="950"/>
      <c r="VXT118" s="950"/>
      <c r="VXU118" s="950"/>
      <c r="VXV118" s="950"/>
      <c r="VXW118" s="950"/>
      <c r="VXX118" s="950"/>
      <c r="VXY118" s="950"/>
      <c r="VXZ118" s="950"/>
      <c r="VYA118" s="950"/>
      <c r="VYB118" s="950"/>
      <c r="VYC118" s="950"/>
      <c r="VYD118" s="950"/>
      <c r="VYE118" s="950"/>
      <c r="VYF118" s="950"/>
      <c r="VYG118" s="950"/>
      <c r="VYH118" s="950"/>
      <c r="VYI118" s="950"/>
      <c r="VYJ118" s="950"/>
      <c r="VYK118" s="950"/>
      <c r="VYL118" s="950"/>
      <c r="VYM118" s="950"/>
      <c r="VYN118" s="950"/>
      <c r="VYO118" s="950"/>
      <c r="VYP118" s="950"/>
      <c r="VYQ118" s="950"/>
      <c r="VYR118" s="950"/>
      <c r="VYS118" s="950"/>
      <c r="VYT118" s="950"/>
      <c r="VYU118" s="950"/>
      <c r="VYV118" s="950"/>
      <c r="VYW118" s="950"/>
      <c r="VYX118" s="950"/>
      <c r="VYY118" s="950"/>
      <c r="VYZ118" s="950"/>
      <c r="VZA118" s="950"/>
      <c r="VZB118" s="950"/>
      <c r="VZC118" s="950"/>
      <c r="VZD118" s="950"/>
      <c r="VZE118" s="950"/>
      <c r="VZF118" s="950"/>
      <c r="VZG118" s="950"/>
      <c r="VZH118" s="950"/>
      <c r="VZI118" s="950"/>
      <c r="VZJ118" s="950"/>
      <c r="VZK118" s="950"/>
      <c r="VZL118" s="950"/>
      <c r="VZM118" s="950"/>
      <c r="VZN118" s="950"/>
      <c r="VZO118" s="950"/>
      <c r="VZP118" s="950"/>
      <c r="VZQ118" s="950"/>
      <c r="VZR118" s="950"/>
      <c r="VZS118" s="950"/>
      <c r="VZT118" s="950"/>
      <c r="VZU118" s="950"/>
      <c r="VZV118" s="950"/>
      <c r="VZW118" s="950"/>
      <c r="VZX118" s="950"/>
      <c r="VZY118" s="950"/>
      <c r="VZZ118" s="950"/>
      <c r="WAA118" s="950"/>
      <c r="WAB118" s="950"/>
      <c r="WAC118" s="950"/>
      <c r="WAD118" s="950"/>
      <c r="WAE118" s="950"/>
      <c r="WAF118" s="950"/>
      <c r="WAG118" s="950"/>
      <c r="WAH118" s="950"/>
      <c r="WAI118" s="950"/>
      <c r="WAJ118" s="950"/>
      <c r="WAK118" s="950"/>
      <c r="WAL118" s="950"/>
      <c r="WAM118" s="950"/>
      <c r="WAN118" s="950"/>
      <c r="WAO118" s="950"/>
      <c r="WAP118" s="950"/>
      <c r="WAQ118" s="950"/>
      <c r="WAR118" s="950"/>
      <c r="WAS118" s="950"/>
      <c r="WAT118" s="950"/>
      <c r="WAU118" s="950"/>
      <c r="WAV118" s="950"/>
      <c r="WAW118" s="950"/>
      <c r="WAX118" s="950"/>
      <c r="WAY118" s="950"/>
      <c r="WAZ118" s="950"/>
      <c r="WBA118" s="950"/>
      <c r="WBB118" s="950"/>
      <c r="WBC118" s="950"/>
      <c r="WBD118" s="950"/>
      <c r="WBE118" s="950"/>
      <c r="WBF118" s="950"/>
      <c r="WBG118" s="950"/>
      <c r="WBH118" s="950"/>
      <c r="WBI118" s="950"/>
      <c r="WBJ118" s="950"/>
      <c r="WBK118" s="950"/>
      <c r="WBL118" s="950"/>
      <c r="WBM118" s="950"/>
      <c r="WBN118" s="950"/>
      <c r="WBO118" s="950"/>
      <c r="WBP118" s="950"/>
      <c r="WBQ118" s="950"/>
      <c r="WBR118" s="950"/>
      <c r="WBS118" s="950"/>
      <c r="WBT118" s="950"/>
      <c r="WBU118" s="950"/>
      <c r="WBV118" s="950"/>
      <c r="WBW118" s="950"/>
      <c r="WBX118" s="950"/>
      <c r="WBY118" s="950"/>
      <c r="WBZ118" s="950"/>
      <c r="WCA118" s="950"/>
      <c r="WCB118" s="950"/>
      <c r="WCC118" s="950"/>
      <c r="WCD118" s="950"/>
      <c r="WCE118" s="950"/>
      <c r="WCF118" s="950"/>
      <c r="WCG118" s="950"/>
      <c r="WCH118" s="950"/>
      <c r="WCI118" s="950"/>
      <c r="WCJ118" s="950"/>
      <c r="WCK118" s="950"/>
      <c r="WCL118" s="950"/>
      <c r="WCM118" s="950"/>
      <c r="WCN118" s="950"/>
      <c r="WCO118" s="950"/>
      <c r="WCP118" s="950"/>
      <c r="WCQ118" s="950"/>
      <c r="WCR118" s="950"/>
      <c r="WCS118" s="950"/>
      <c r="WCT118" s="950"/>
      <c r="WCU118" s="950"/>
      <c r="WCV118" s="950"/>
      <c r="WCW118" s="950"/>
      <c r="WCX118" s="950"/>
      <c r="WCY118" s="950"/>
      <c r="WCZ118" s="950"/>
      <c r="WDA118" s="950"/>
      <c r="WDB118" s="950"/>
      <c r="WDC118" s="950"/>
      <c r="WDD118" s="950"/>
      <c r="WDE118" s="950"/>
      <c r="WDF118" s="950"/>
      <c r="WDG118" s="950"/>
      <c r="WDH118" s="950"/>
      <c r="WDI118" s="950"/>
      <c r="WDJ118" s="950"/>
      <c r="WDK118" s="950"/>
      <c r="WDL118" s="950"/>
      <c r="WDM118" s="950"/>
      <c r="WDN118" s="950"/>
      <c r="WDO118" s="950"/>
      <c r="WDP118" s="950"/>
      <c r="WDQ118" s="950"/>
      <c r="WDR118" s="950"/>
      <c r="WDS118" s="950"/>
      <c r="WDT118" s="950"/>
      <c r="WDU118" s="950"/>
      <c r="WDV118" s="950"/>
      <c r="WDW118" s="950"/>
      <c r="WDX118" s="950"/>
      <c r="WDY118" s="950"/>
      <c r="WDZ118" s="950"/>
      <c r="WEA118" s="950"/>
      <c r="WEB118" s="950"/>
      <c r="WEC118" s="950"/>
      <c r="WED118" s="950"/>
      <c r="WEE118" s="950"/>
      <c r="WEF118" s="950"/>
      <c r="WEG118" s="950"/>
      <c r="WEH118" s="950"/>
      <c r="WEI118" s="950"/>
      <c r="WEJ118" s="950"/>
      <c r="WEK118" s="950"/>
      <c r="WEL118" s="950"/>
      <c r="WEM118" s="950"/>
      <c r="WEN118" s="950"/>
      <c r="WEO118" s="950"/>
      <c r="WEP118" s="950"/>
      <c r="WEQ118" s="950"/>
      <c r="WER118" s="950"/>
      <c r="WES118" s="950"/>
      <c r="WET118" s="950"/>
      <c r="WEU118" s="950"/>
      <c r="WEV118" s="950"/>
      <c r="WEW118" s="950"/>
      <c r="WEX118" s="950"/>
      <c r="WEY118" s="950"/>
      <c r="WEZ118" s="950"/>
      <c r="WFA118" s="950"/>
      <c r="WFB118" s="950"/>
      <c r="WFC118" s="950"/>
      <c r="WFD118" s="950"/>
      <c r="WFE118" s="950"/>
      <c r="WFF118" s="950"/>
      <c r="WFG118" s="950"/>
      <c r="WFH118" s="950"/>
      <c r="WFI118" s="950"/>
      <c r="WFJ118" s="950"/>
      <c r="WFK118" s="950"/>
      <c r="WFL118" s="950"/>
      <c r="WFM118" s="950"/>
      <c r="WFN118" s="950"/>
      <c r="WFO118" s="950"/>
      <c r="WFP118" s="950"/>
      <c r="WFQ118" s="950"/>
      <c r="WFR118" s="950"/>
      <c r="WFS118" s="950"/>
      <c r="WFT118" s="950"/>
      <c r="WFU118" s="950"/>
      <c r="WFV118" s="950"/>
      <c r="WFW118" s="950"/>
      <c r="WFX118" s="950"/>
      <c r="WFY118" s="950"/>
      <c r="WFZ118" s="950"/>
      <c r="WGA118" s="950"/>
      <c r="WGB118" s="950"/>
      <c r="WGC118" s="950"/>
      <c r="WGD118" s="950"/>
      <c r="WGE118" s="950"/>
      <c r="WGF118" s="950"/>
      <c r="WGG118" s="950"/>
      <c r="WGH118" s="950"/>
      <c r="WGI118" s="950"/>
      <c r="WGJ118" s="950"/>
      <c r="WGK118" s="950"/>
      <c r="WGL118" s="950"/>
      <c r="WGM118" s="950"/>
      <c r="WGN118" s="950"/>
      <c r="WGO118" s="950"/>
      <c r="WGP118" s="950"/>
      <c r="WGQ118" s="950"/>
      <c r="WGR118" s="950"/>
      <c r="WGS118" s="950"/>
      <c r="WGT118" s="950"/>
      <c r="WGU118" s="950"/>
      <c r="WGV118" s="950"/>
      <c r="WGW118" s="950"/>
      <c r="WGX118" s="950"/>
      <c r="WGY118" s="950"/>
      <c r="WGZ118" s="950"/>
      <c r="WHA118" s="950"/>
      <c r="WHB118" s="950"/>
      <c r="WHC118" s="950"/>
      <c r="WHD118" s="950"/>
      <c r="WHE118" s="950"/>
      <c r="WHF118" s="950"/>
      <c r="WHG118" s="950"/>
      <c r="WHH118" s="950"/>
      <c r="WHI118" s="950"/>
      <c r="WHJ118" s="950"/>
      <c r="WHK118" s="950"/>
      <c r="WHL118" s="950"/>
      <c r="WHM118" s="950"/>
      <c r="WHN118" s="950"/>
      <c r="WHO118" s="950"/>
      <c r="WHP118" s="950"/>
      <c r="WHQ118" s="950"/>
      <c r="WHR118" s="950"/>
      <c r="WHS118" s="950"/>
      <c r="WHT118" s="950"/>
      <c r="WHU118" s="950"/>
      <c r="WHV118" s="950"/>
      <c r="WHW118" s="950"/>
      <c r="WHX118" s="950"/>
      <c r="WHY118" s="950"/>
      <c r="WHZ118" s="950"/>
      <c r="WIA118" s="950"/>
      <c r="WIB118" s="950"/>
      <c r="WIC118" s="950"/>
      <c r="WID118" s="950"/>
      <c r="WIE118" s="950"/>
      <c r="WIF118" s="950"/>
      <c r="WIG118" s="950"/>
      <c r="WIH118" s="950"/>
      <c r="WII118" s="950"/>
      <c r="WIJ118" s="950"/>
      <c r="WIK118" s="950"/>
      <c r="WIL118" s="950"/>
      <c r="WIM118" s="950"/>
      <c r="WIN118" s="950"/>
      <c r="WIO118" s="950"/>
      <c r="WIP118" s="950"/>
      <c r="WIQ118" s="950"/>
      <c r="WIR118" s="950"/>
      <c r="WIS118" s="950"/>
      <c r="WIT118" s="950"/>
      <c r="WIU118" s="950"/>
      <c r="WIV118" s="950"/>
      <c r="WIW118" s="950"/>
      <c r="WIX118" s="950"/>
      <c r="WIY118" s="950"/>
      <c r="WIZ118" s="950"/>
      <c r="WJA118" s="950"/>
      <c r="WJB118" s="950"/>
      <c r="WJC118" s="950"/>
      <c r="WJD118" s="950"/>
      <c r="WJE118" s="950"/>
      <c r="WJF118" s="950"/>
      <c r="WJG118" s="950"/>
      <c r="WJH118" s="950"/>
      <c r="WJI118" s="950"/>
      <c r="WJJ118" s="950"/>
      <c r="WJK118" s="950"/>
      <c r="WJL118" s="950"/>
      <c r="WJM118" s="950"/>
      <c r="WJN118" s="950"/>
      <c r="WJO118" s="950"/>
      <c r="WJP118" s="950"/>
      <c r="WJQ118" s="950"/>
      <c r="WJR118" s="950"/>
      <c r="WJS118" s="950"/>
      <c r="WJT118" s="950"/>
      <c r="WJU118" s="950"/>
      <c r="WJV118" s="950"/>
      <c r="WJW118" s="950"/>
      <c r="WJX118" s="950"/>
      <c r="WJY118" s="950"/>
      <c r="WJZ118" s="950"/>
      <c r="WKA118" s="950"/>
      <c r="WKB118" s="950"/>
      <c r="WKC118" s="950"/>
      <c r="WKD118" s="950"/>
      <c r="WKE118" s="950"/>
      <c r="WKF118" s="950"/>
      <c r="WKG118" s="950"/>
      <c r="WKH118" s="950"/>
      <c r="WKI118" s="950"/>
      <c r="WKJ118" s="950"/>
      <c r="WKK118" s="950"/>
      <c r="WKL118" s="950"/>
      <c r="WKM118" s="950"/>
      <c r="WKN118" s="950"/>
      <c r="WKO118" s="950"/>
      <c r="WKP118" s="950"/>
      <c r="WKQ118" s="950"/>
      <c r="WKR118" s="950"/>
      <c r="WKS118" s="950"/>
      <c r="WKT118" s="950"/>
      <c r="WKU118" s="950"/>
      <c r="WKV118" s="950"/>
      <c r="WKW118" s="950"/>
      <c r="WKX118" s="950"/>
      <c r="WKY118" s="950"/>
      <c r="WKZ118" s="950"/>
      <c r="WLA118" s="950"/>
      <c r="WLB118" s="950"/>
      <c r="WLC118" s="950"/>
      <c r="WLD118" s="950"/>
      <c r="WLE118" s="950"/>
      <c r="WLF118" s="950"/>
      <c r="WLG118" s="950"/>
      <c r="WLH118" s="950"/>
      <c r="WLI118" s="950"/>
      <c r="WLJ118" s="950"/>
      <c r="WLK118" s="950"/>
      <c r="WLL118" s="950"/>
      <c r="WLM118" s="950"/>
      <c r="WLN118" s="950"/>
      <c r="WLO118" s="950"/>
      <c r="WLP118" s="950"/>
      <c r="WLQ118" s="950"/>
      <c r="WLR118" s="950"/>
      <c r="WLS118" s="950"/>
      <c r="WLT118" s="950"/>
      <c r="WLU118" s="950"/>
      <c r="WLV118" s="950"/>
      <c r="WLW118" s="950"/>
      <c r="WLX118" s="950"/>
      <c r="WLY118" s="950"/>
      <c r="WLZ118" s="950"/>
      <c r="WMA118" s="950"/>
      <c r="WMB118" s="950"/>
      <c r="WMC118" s="950"/>
      <c r="WMD118" s="950"/>
      <c r="WME118" s="950"/>
      <c r="WMF118" s="950"/>
      <c r="WMG118" s="950"/>
      <c r="WMH118" s="950"/>
      <c r="WMI118" s="950"/>
      <c r="WMJ118" s="950"/>
      <c r="WMK118" s="950"/>
      <c r="WML118" s="950"/>
      <c r="WMM118" s="950"/>
      <c r="WMN118" s="950"/>
      <c r="WMO118" s="950"/>
      <c r="WMP118" s="950"/>
      <c r="WMQ118" s="950"/>
      <c r="WMR118" s="950"/>
      <c r="WMS118" s="950"/>
      <c r="WMT118" s="950"/>
      <c r="WMU118" s="950"/>
      <c r="WMV118" s="950"/>
      <c r="WMW118" s="950"/>
      <c r="WMX118" s="950"/>
      <c r="WMY118" s="950"/>
      <c r="WMZ118" s="950"/>
      <c r="WNA118" s="950"/>
      <c r="WNB118" s="950"/>
      <c r="WNC118" s="950"/>
      <c r="WND118" s="950"/>
      <c r="WNE118" s="950"/>
      <c r="WNF118" s="950"/>
      <c r="WNG118" s="950"/>
      <c r="WNH118" s="950"/>
      <c r="WNI118" s="950"/>
      <c r="WNJ118" s="950"/>
      <c r="WNK118" s="950"/>
      <c r="WNL118" s="950"/>
      <c r="WNM118" s="950"/>
      <c r="WNN118" s="950"/>
      <c r="WNO118" s="950"/>
      <c r="WNP118" s="950"/>
      <c r="WNQ118" s="950"/>
      <c r="WNR118" s="950"/>
      <c r="WNS118" s="950"/>
      <c r="WNT118" s="950"/>
      <c r="WNU118" s="950"/>
      <c r="WNV118" s="950"/>
      <c r="WNW118" s="950"/>
      <c r="WNX118" s="950"/>
      <c r="WNY118" s="950"/>
      <c r="WNZ118" s="950"/>
      <c r="WOA118" s="950"/>
      <c r="WOB118" s="950"/>
      <c r="WOC118" s="950"/>
      <c r="WOD118" s="950"/>
      <c r="WOE118" s="950"/>
      <c r="WOF118" s="950"/>
      <c r="WOG118" s="950"/>
      <c r="WOH118" s="950"/>
      <c r="WOI118" s="950"/>
      <c r="WOJ118" s="950"/>
      <c r="WOK118" s="950"/>
      <c r="WOL118" s="950"/>
      <c r="WOM118" s="950"/>
      <c r="WON118" s="950"/>
      <c r="WOO118" s="950"/>
      <c r="WOP118" s="950"/>
      <c r="WOQ118" s="950"/>
      <c r="WOR118" s="950"/>
      <c r="WOS118" s="950"/>
      <c r="WOT118" s="950"/>
      <c r="WOU118" s="950"/>
      <c r="WOV118" s="950"/>
      <c r="WOW118" s="950"/>
      <c r="WOX118" s="950"/>
      <c r="WOY118" s="950"/>
      <c r="WOZ118" s="950"/>
      <c r="WPA118" s="950"/>
      <c r="WPB118" s="950"/>
      <c r="WPC118" s="950"/>
      <c r="WPD118" s="950"/>
      <c r="WPE118" s="950"/>
      <c r="WPF118" s="950"/>
      <c r="WPG118" s="950"/>
      <c r="WPH118" s="950"/>
      <c r="WPI118" s="950"/>
      <c r="WPJ118" s="950"/>
      <c r="WPK118" s="950"/>
      <c r="WPL118" s="950"/>
      <c r="WPM118" s="950"/>
      <c r="WPN118" s="950"/>
      <c r="WPO118" s="950"/>
      <c r="WPP118" s="950"/>
      <c r="WPQ118" s="950"/>
      <c r="WPR118" s="950"/>
      <c r="WPS118" s="950"/>
      <c r="WPT118" s="950"/>
      <c r="WPU118" s="950"/>
      <c r="WPV118" s="950"/>
      <c r="WPW118" s="950"/>
      <c r="WPX118" s="950"/>
      <c r="WPY118" s="950"/>
      <c r="WPZ118" s="950"/>
      <c r="WQA118" s="950"/>
      <c r="WQB118" s="950"/>
      <c r="WQC118" s="950"/>
      <c r="WQD118" s="950"/>
      <c r="WQE118" s="950"/>
      <c r="WQF118" s="950"/>
      <c r="WQG118" s="950"/>
      <c r="WQH118" s="950"/>
      <c r="WQI118" s="950"/>
      <c r="WQJ118" s="950"/>
      <c r="WQK118" s="950"/>
      <c r="WQL118" s="950"/>
      <c r="WQM118" s="950"/>
      <c r="WQN118" s="950"/>
      <c r="WQO118" s="950"/>
      <c r="WQP118" s="950"/>
      <c r="WQQ118" s="950"/>
      <c r="WQR118" s="950"/>
      <c r="WQS118" s="950"/>
      <c r="WQT118" s="950"/>
      <c r="WQU118" s="950"/>
      <c r="WQV118" s="950"/>
      <c r="WQW118" s="950"/>
      <c r="WQX118" s="950"/>
      <c r="WQY118" s="950"/>
      <c r="WQZ118" s="950"/>
      <c r="WRA118" s="950"/>
      <c r="WRB118" s="950"/>
      <c r="WRC118" s="950"/>
      <c r="WRD118" s="950"/>
      <c r="WRE118" s="950"/>
      <c r="WRF118" s="950"/>
      <c r="WRG118" s="950"/>
      <c r="WRH118" s="950"/>
      <c r="WRI118" s="950"/>
      <c r="WRJ118" s="950"/>
      <c r="WRK118" s="950"/>
      <c r="WRL118" s="950"/>
      <c r="WRM118" s="950"/>
      <c r="WRN118" s="950"/>
      <c r="WRO118" s="950"/>
      <c r="WRP118" s="950"/>
      <c r="WRQ118" s="950"/>
      <c r="WRR118" s="950"/>
      <c r="WRS118" s="950"/>
      <c r="WRT118" s="950"/>
      <c r="WRU118" s="950"/>
      <c r="WRV118" s="950"/>
      <c r="WRW118" s="950"/>
      <c r="WRX118" s="950"/>
      <c r="WRY118" s="950"/>
      <c r="WRZ118" s="950"/>
      <c r="WSA118" s="950"/>
      <c r="WSB118" s="950"/>
      <c r="WSC118" s="950"/>
      <c r="WSD118" s="950"/>
      <c r="WSE118" s="950"/>
      <c r="WSF118" s="950"/>
      <c r="WSG118" s="950"/>
      <c r="WSH118" s="950"/>
      <c r="WSI118" s="950"/>
      <c r="WSJ118" s="950"/>
      <c r="WSK118" s="950"/>
      <c r="WSL118" s="950"/>
      <c r="WSM118" s="950"/>
      <c r="WSN118" s="950"/>
      <c r="WSO118" s="950"/>
      <c r="WSP118" s="950"/>
      <c r="WSQ118" s="950"/>
      <c r="WSR118" s="950"/>
      <c r="WSS118" s="950"/>
      <c r="WST118" s="950"/>
      <c r="WSU118" s="950"/>
      <c r="WSV118" s="950"/>
      <c r="WSW118" s="950"/>
      <c r="WSX118" s="950"/>
      <c r="WSY118" s="950"/>
      <c r="WSZ118" s="950"/>
      <c r="WTA118" s="950"/>
      <c r="WTB118" s="950"/>
      <c r="WTC118" s="950"/>
      <c r="WTD118" s="950"/>
      <c r="WTE118" s="950"/>
      <c r="WTF118" s="950"/>
      <c r="WTG118" s="950"/>
      <c r="WTH118" s="950"/>
      <c r="WTI118" s="950"/>
      <c r="WTJ118" s="950"/>
      <c r="WTK118" s="950"/>
      <c r="WTL118" s="950"/>
      <c r="WTM118" s="950"/>
      <c r="WTN118" s="950"/>
      <c r="WTO118" s="950"/>
      <c r="WTP118" s="950"/>
      <c r="WTQ118" s="950"/>
      <c r="WTR118" s="950"/>
      <c r="WTS118" s="950"/>
      <c r="WTT118" s="950"/>
      <c r="WTU118" s="950"/>
      <c r="WTV118" s="950"/>
      <c r="WTW118" s="950"/>
      <c r="WTX118" s="950"/>
      <c r="WTY118" s="950"/>
      <c r="WTZ118" s="950"/>
      <c r="WUA118" s="950"/>
      <c r="WUB118" s="950"/>
      <c r="WUC118" s="950"/>
      <c r="WUD118" s="950"/>
      <c r="WUE118" s="950"/>
      <c r="WUF118" s="950"/>
      <c r="WUG118" s="950"/>
      <c r="WUH118" s="950"/>
      <c r="WUI118" s="950"/>
      <c r="WUJ118" s="950"/>
      <c r="WUK118" s="950"/>
      <c r="WUL118" s="950"/>
      <c r="WUM118" s="950"/>
      <c r="WUN118" s="950"/>
      <c r="WUO118" s="950"/>
      <c r="WUP118" s="950"/>
      <c r="WUQ118" s="950"/>
      <c r="WUR118" s="950"/>
      <c r="WUS118" s="950"/>
      <c r="WUT118" s="950"/>
      <c r="WUU118" s="950"/>
      <c r="WUV118" s="950"/>
      <c r="WUW118" s="950"/>
      <c r="WUX118" s="950"/>
      <c r="WUY118" s="950"/>
      <c r="WUZ118" s="950"/>
      <c r="WVA118" s="950"/>
      <c r="WVB118" s="950"/>
      <c r="WVC118" s="950"/>
      <c r="WVD118" s="950"/>
      <c r="WVE118" s="950"/>
      <c r="WVF118" s="950"/>
      <c r="WVG118" s="950"/>
      <c r="WVH118" s="950"/>
      <c r="WVI118" s="950"/>
      <c r="WVJ118" s="950"/>
      <c r="WVK118" s="950"/>
      <c r="WVL118" s="950"/>
      <c r="WVM118" s="950"/>
      <c r="WVN118" s="950"/>
      <c r="WVO118" s="950"/>
      <c r="WVP118" s="950"/>
      <c r="WVQ118" s="950"/>
      <c r="WVR118" s="950"/>
      <c r="WVS118" s="950"/>
      <c r="WVT118" s="950"/>
      <c r="WVU118" s="950"/>
      <c r="WVV118" s="950"/>
      <c r="WVW118" s="950"/>
      <c r="WVX118" s="950"/>
      <c r="WVY118" s="950"/>
      <c r="WVZ118" s="950"/>
      <c r="WWA118" s="950"/>
      <c r="WWB118" s="950"/>
      <c r="WWC118" s="950"/>
      <c r="WWD118" s="950"/>
      <c r="WWE118" s="950"/>
      <c r="WWF118" s="950"/>
      <c r="WWG118" s="950"/>
      <c r="WWH118" s="950"/>
      <c r="WWI118" s="950"/>
      <c r="WWJ118" s="950"/>
      <c r="WWK118" s="950"/>
      <c r="WWL118" s="950"/>
      <c r="WWM118" s="950"/>
      <c r="WWN118" s="950"/>
      <c r="WWO118" s="950"/>
      <c r="WWP118" s="950"/>
      <c r="WWQ118" s="950"/>
      <c r="WWR118" s="950"/>
      <c r="WWS118" s="950"/>
      <c r="WWT118" s="950"/>
      <c r="WWU118" s="950"/>
      <c r="WWV118" s="950"/>
      <c r="WWW118" s="950"/>
      <c r="WWX118" s="950"/>
      <c r="WWY118" s="950"/>
      <c r="WWZ118" s="950"/>
      <c r="WXA118" s="950"/>
      <c r="WXB118" s="950"/>
      <c r="WXC118" s="950"/>
      <c r="WXD118" s="950"/>
      <c r="WXE118" s="950"/>
      <c r="WXF118" s="950"/>
      <c r="WXG118" s="950"/>
      <c r="WXH118" s="950"/>
      <c r="WXI118" s="950"/>
      <c r="WXJ118" s="950"/>
      <c r="WXK118" s="950"/>
      <c r="WXL118" s="950"/>
      <c r="WXM118" s="950"/>
      <c r="WXN118" s="950"/>
      <c r="WXO118" s="950"/>
      <c r="WXP118" s="950"/>
      <c r="WXQ118" s="950"/>
      <c r="WXR118" s="950"/>
      <c r="WXS118" s="950"/>
      <c r="WXT118" s="950"/>
      <c r="WXU118" s="950"/>
      <c r="WXV118" s="950"/>
      <c r="WXW118" s="950"/>
      <c r="WXX118" s="950"/>
      <c r="WXY118" s="950"/>
      <c r="WXZ118" s="950"/>
      <c r="WYA118" s="950"/>
      <c r="WYB118" s="950"/>
      <c r="WYC118" s="950"/>
      <c r="WYD118" s="950"/>
      <c r="WYE118" s="950"/>
      <c r="WYF118" s="950"/>
      <c r="WYG118" s="950"/>
      <c r="WYH118" s="950"/>
      <c r="WYI118" s="950"/>
      <c r="WYJ118" s="950"/>
      <c r="WYK118" s="950"/>
      <c r="WYL118" s="950"/>
      <c r="WYM118" s="950"/>
      <c r="WYN118" s="950"/>
      <c r="WYO118" s="950"/>
      <c r="WYP118" s="950"/>
      <c r="WYQ118" s="950"/>
      <c r="WYR118" s="950"/>
      <c r="WYS118" s="950"/>
      <c r="WYT118" s="950"/>
      <c r="WYU118" s="950"/>
      <c r="WYV118" s="950"/>
      <c r="WYW118" s="950"/>
      <c r="WYX118" s="950"/>
      <c r="WYY118" s="950"/>
      <c r="WYZ118" s="950"/>
      <c r="WZA118" s="950"/>
      <c r="WZB118" s="950"/>
      <c r="WZC118" s="950"/>
      <c r="WZD118" s="950"/>
      <c r="WZE118" s="950"/>
      <c r="WZF118" s="950"/>
      <c r="WZG118" s="950"/>
      <c r="WZH118" s="950"/>
      <c r="WZI118" s="950"/>
      <c r="WZJ118" s="950"/>
      <c r="WZK118" s="950"/>
      <c r="WZL118" s="950"/>
      <c r="WZM118" s="950"/>
      <c r="WZN118" s="950"/>
      <c r="WZO118" s="950"/>
      <c r="WZP118" s="950"/>
      <c r="WZQ118" s="950"/>
      <c r="WZR118" s="950"/>
      <c r="WZS118" s="950"/>
      <c r="WZT118" s="950"/>
      <c r="WZU118" s="950"/>
      <c r="WZV118" s="950"/>
      <c r="WZW118" s="950"/>
      <c r="WZX118" s="950"/>
      <c r="WZY118" s="950"/>
      <c r="WZZ118" s="950"/>
      <c r="XAA118" s="950"/>
      <c r="XAB118" s="950"/>
      <c r="XAC118" s="950"/>
      <c r="XAD118" s="950"/>
      <c r="XAE118" s="950"/>
      <c r="XAF118" s="950"/>
      <c r="XAG118" s="950"/>
      <c r="XAH118" s="950"/>
      <c r="XAI118" s="950"/>
      <c r="XAJ118" s="950"/>
      <c r="XAK118" s="950"/>
      <c r="XAL118" s="950"/>
      <c r="XAM118" s="950"/>
      <c r="XAN118" s="950"/>
      <c r="XAO118" s="950"/>
      <c r="XAP118" s="950"/>
      <c r="XAQ118" s="950"/>
      <c r="XAR118" s="950"/>
      <c r="XAS118" s="950"/>
      <c r="XAT118" s="950"/>
      <c r="XAU118" s="950"/>
      <c r="XAV118" s="950"/>
      <c r="XAW118" s="950"/>
      <c r="XAX118" s="950"/>
      <c r="XAY118" s="950"/>
      <c r="XAZ118" s="950"/>
      <c r="XBA118" s="950"/>
      <c r="XBB118" s="950"/>
      <c r="XBC118" s="950"/>
      <c r="XBD118" s="950"/>
      <c r="XBE118" s="950"/>
      <c r="XBF118" s="950"/>
      <c r="XBG118" s="950"/>
      <c r="XBH118" s="950"/>
      <c r="XBI118" s="950"/>
      <c r="XBJ118" s="950"/>
      <c r="XBK118" s="950"/>
      <c r="XBL118" s="950"/>
      <c r="XBM118" s="950"/>
      <c r="XBN118" s="950"/>
      <c r="XBO118" s="950"/>
      <c r="XBP118" s="950"/>
      <c r="XBQ118" s="950"/>
      <c r="XBR118" s="950"/>
      <c r="XBS118" s="950"/>
      <c r="XBT118" s="950"/>
      <c r="XBU118" s="950"/>
      <c r="XBV118" s="950"/>
      <c r="XBW118" s="950"/>
      <c r="XBX118" s="950"/>
      <c r="XBY118" s="950"/>
      <c r="XBZ118" s="950"/>
      <c r="XCA118" s="950"/>
      <c r="XCB118" s="950"/>
      <c r="XCC118" s="950"/>
      <c r="XCD118" s="950"/>
      <c r="XCE118" s="950"/>
      <c r="XCF118" s="950"/>
      <c r="XCG118" s="950"/>
      <c r="XCH118" s="950"/>
      <c r="XCI118" s="950"/>
      <c r="XCJ118" s="950"/>
      <c r="XCK118" s="950"/>
      <c r="XCL118" s="950"/>
      <c r="XCM118" s="950"/>
      <c r="XCN118" s="950"/>
      <c r="XCO118" s="950"/>
      <c r="XCP118" s="950"/>
      <c r="XCQ118" s="950"/>
      <c r="XCR118" s="950"/>
      <c r="XCS118" s="950"/>
      <c r="XCT118" s="950"/>
      <c r="XCU118" s="950"/>
      <c r="XCV118" s="950"/>
      <c r="XCW118" s="950"/>
      <c r="XCX118" s="950"/>
      <c r="XCY118" s="950"/>
      <c r="XCZ118" s="950"/>
      <c r="XDA118" s="950"/>
      <c r="XDB118" s="950"/>
      <c r="XDC118" s="950"/>
      <c r="XDD118" s="950"/>
      <c r="XDE118" s="950"/>
      <c r="XDF118" s="950"/>
      <c r="XDG118" s="950"/>
      <c r="XDH118" s="950"/>
      <c r="XDI118" s="950"/>
      <c r="XDJ118" s="950"/>
      <c r="XDK118" s="950"/>
      <c r="XDL118" s="950"/>
      <c r="XDM118" s="950"/>
      <c r="XDN118" s="950"/>
      <c r="XDO118" s="950"/>
      <c r="XDP118" s="950"/>
      <c r="XDQ118" s="950"/>
      <c r="XDR118" s="950"/>
      <c r="XDS118" s="950"/>
      <c r="XDT118" s="950"/>
      <c r="XDU118" s="950"/>
      <c r="XDV118" s="950"/>
      <c r="XDW118" s="950"/>
      <c r="XDX118" s="950"/>
      <c r="XDY118" s="950"/>
      <c r="XDZ118" s="950"/>
      <c r="XEA118" s="950"/>
      <c r="XEB118" s="950"/>
      <c r="XEC118" s="950"/>
      <c r="XED118" s="950"/>
      <c r="XEE118" s="950"/>
      <c r="XEF118" s="950"/>
      <c r="XEG118" s="950"/>
      <c r="XEH118" s="950"/>
      <c r="XEI118" s="950"/>
      <c r="XEJ118" s="950"/>
      <c r="XEK118" s="950"/>
      <c r="XEL118" s="950"/>
      <c r="XEM118" s="950"/>
      <c r="XEN118" s="950"/>
      <c r="XEO118" s="950"/>
      <c r="XEP118" s="950"/>
      <c r="XEQ118" s="950"/>
      <c r="XER118" s="950"/>
      <c r="XES118" s="950"/>
      <c r="XET118" s="950"/>
      <c r="XEU118" s="950"/>
      <c r="XEV118" s="950"/>
      <c r="XEW118" s="950"/>
      <c r="XEX118" s="950"/>
      <c r="XEY118" s="950"/>
      <c r="XEZ118" s="950"/>
      <c r="XFA118" s="950"/>
      <c r="XFB118" s="950"/>
    </row>
    <row r="119" spans="1:16382" s="925" customFormat="1" ht="12" customHeight="1">
      <c r="A119" s="914" t="s">
        <v>1648</v>
      </c>
      <c r="B119" s="914" t="s">
        <v>1649</v>
      </c>
      <c r="C119" s="926">
        <f>2.3*2.17</f>
        <v>4.9909999999999997</v>
      </c>
      <c r="D119" s="926">
        <f>2.31*2.17</f>
        <v>5.0126999999999997</v>
      </c>
      <c r="E119" s="951"/>
      <c r="F119" s="951"/>
      <c r="G119" s="927">
        <v>23.2</v>
      </c>
      <c r="H119" s="927">
        <v>60</v>
      </c>
      <c r="I119" s="927">
        <v>60</v>
      </c>
      <c r="J119" s="927">
        <v>60</v>
      </c>
      <c r="K119" s="927">
        <v>60</v>
      </c>
      <c r="L119" s="927">
        <v>60</v>
      </c>
      <c r="M119" s="927">
        <v>60</v>
      </c>
      <c r="N119" s="927">
        <v>63.75</v>
      </c>
      <c r="O119" s="927">
        <v>65</v>
      </c>
      <c r="P119" s="927">
        <v>65</v>
      </c>
      <c r="Q119" s="927">
        <v>60</v>
      </c>
      <c r="R119" s="927">
        <v>60</v>
      </c>
      <c r="S119" s="927">
        <v>696.95</v>
      </c>
      <c r="T119" s="951"/>
      <c r="U119" s="934">
        <f t="shared" si="56"/>
        <v>4.6483670607092771</v>
      </c>
      <c r="V119" s="934">
        <f t="shared" si="57"/>
        <v>12.0216389501102</v>
      </c>
      <c r="W119" s="934">
        <f t="shared" si="58"/>
        <v>12.0216389501102</v>
      </c>
      <c r="X119" s="934">
        <f t="shared" si="59"/>
        <v>12.0216389501102</v>
      </c>
      <c r="Y119" s="934">
        <f t="shared" si="60"/>
        <v>12.0216389501102</v>
      </c>
      <c r="Z119" s="934">
        <f t="shared" si="61"/>
        <v>11.969597223053444</v>
      </c>
      <c r="AA119" s="934">
        <f t="shared" si="62"/>
        <v>11.969597223053444</v>
      </c>
      <c r="AB119" s="934">
        <f t="shared" si="63"/>
        <v>12.717697049494285</v>
      </c>
      <c r="AC119" s="934">
        <f t="shared" si="64"/>
        <v>12.967063658307898</v>
      </c>
      <c r="AD119" s="934">
        <f t="shared" si="65"/>
        <v>12.967063658307898</v>
      </c>
      <c r="AE119" s="934">
        <f t="shared" si="66"/>
        <v>11.969597223053444</v>
      </c>
      <c r="AF119" s="934">
        <f t="shared" si="67"/>
        <v>11.969597223053444</v>
      </c>
      <c r="AG119" s="934">
        <f t="shared" si="51"/>
        <v>139.26513611947394</v>
      </c>
      <c r="AH119" s="939">
        <f t="shared" si="52"/>
        <v>11.605428009956162</v>
      </c>
      <c r="AI119" s="950"/>
      <c r="AK119" s="950"/>
      <c r="AL119" s="950"/>
      <c r="AM119" s="950"/>
      <c r="AN119" s="950"/>
      <c r="AO119" s="950"/>
      <c r="AP119" s="950"/>
      <c r="AQ119" s="928">
        <v>11.605428009956162</v>
      </c>
      <c r="AR119" s="950"/>
      <c r="AS119" s="938">
        <f t="shared" ca="1" si="53"/>
        <v>5.3065766528266574</v>
      </c>
      <c r="AT119" s="937">
        <f t="shared" ca="1" si="54"/>
        <v>739.02111988432682</v>
      </c>
      <c r="AU119" s="937"/>
      <c r="AV119" s="936">
        <f t="shared" ca="1" si="55"/>
        <v>42.071119884326777</v>
      </c>
      <c r="AW119" s="950"/>
      <c r="AX119" s="950"/>
      <c r="AY119" s="950"/>
      <c r="AZ119" s="950"/>
      <c r="BA119" s="950"/>
      <c r="BB119" s="950"/>
      <c r="BC119" s="950"/>
      <c r="BD119" s="950"/>
      <c r="BE119" s="928">
        <f t="shared" si="48"/>
        <v>0</v>
      </c>
      <c r="BF119" s="950"/>
      <c r="BG119" s="928">
        <f t="shared" si="49"/>
        <v>0</v>
      </c>
      <c r="BH119" s="950"/>
      <c r="BI119" s="928">
        <f t="shared" si="50"/>
        <v>0</v>
      </c>
      <c r="BJ119" s="950"/>
      <c r="BK119" s="950"/>
      <c r="BL119" s="950"/>
      <c r="BM119" s="950"/>
      <c r="BN119" s="950"/>
      <c r="BO119" s="950"/>
      <c r="BP119" s="950"/>
      <c r="BQ119" s="950"/>
      <c r="BR119" s="950"/>
      <c r="BS119" s="950"/>
      <c r="BT119" s="950"/>
      <c r="BU119" s="950"/>
      <c r="BV119" s="950"/>
      <c r="BW119" s="950"/>
      <c r="BX119" s="950"/>
      <c r="BY119" s="950"/>
      <c r="BZ119" s="950"/>
      <c r="CA119" s="950"/>
      <c r="CB119" s="950"/>
      <c r="CC119" s="950"/>
      <c r="CD119" s="950"/>
      <c r="CE119" s="950"/>
      <c r="CF119" s="950"/>
      <c r="CG119" s="950"/>
      <c r="CH119" s="950"/>
      <c r="CI119" s="950"/>
      <c r="CJ119" s="950"/>
      <c r="CK119" s="950"/>
      <c r="CL119" s="950"/>
      <c r="CM119" s="950"/>
      <c r="CN119" s="950"/>
      <c r="CO119" s="950"/>
      <c r="CP119" s="950"/>
      <c r="CQ119" s="950"/>
      <c r="CR119" s="950"/>
      <c r="CS119" s="950"/>
      <c r="CT119" s="950"/>
      <c r="CU119" s="950"/>
      <c r="CV119" s="950"/>
      <c r="CW119" s="950"/>
      <c r="CX119" s="950"/>
      <c r="CY119" s="950"/>
      <c r="CZ119" s="950"/>
      <c r="DA119" s="950"/>
      <c r="DB119" s="950"/>
      <c r="DC119" s="950"/>
      <c r="DD119" s="950"/>
      <c r="DE119" s="950"/>
      <c r="DF119" s="950"/>
      <c r="DG119" s="950"/>
      <c r="DH119" s="950"/>
      <c r="DI119" s="950"/>
      <c r="DJ119" s="950"/>
      <c r="DK119" s="950"/>
      <c r="DL119" s="950"/>
      <c r="DM119" s="950"/>
      <c r="DN119" s="950"/>
      <c r="DO119" s="950"/>
      <c r="DP119" s="950"/>
      <c r="DQ119" s="950"/>
      <c r="DR119" s="950"/>
      <c r="DS119" s="950"/>
      <c r="DT119" s="950"/>
      <c r="DU119" s="950"/>
      <c r="DV119" s="950"/>
      <c r="DW119" s="950"/>
      <c r="DX119" s="950"/>
      <c r="DY119" s="950"/>
      <c r="DZ119" s="950"/>
      <c r="EA119" s="950"/>
      <c r="EB119" s="950"/>
      <c r="EC119" s="950"/>
      <c r="ED119" s="950"/>
      <c r="EE119" s="950"/>
      <c r="EF119" s="950"/>
      <c r="EG119" s="950"/>
      <c r="EH119" s="950"/>
      <c r="EI119" s="950"/>
      <c r="EJ119" s="950"/>
      <c r="EK119" s="950"/>
      <c r="EL119" s="950"/>
      <c r="EM119" s="950"/>
      <c r="EN119" s="950"/>
      <c r="EO119" s="950"/>
      <c r="EP119" s="950"/>
      <c r="EQ119" s="950"/>
      <c r="ER119" s="950"/>
      <c r="ES119" s="950"/>
      <c r="ET119" s="950"/>
      <c r="EU119" s="950"/>
      <c r="EV119" s="950"/>
      <c r="EW119" s="950"/>
      <c r="EX119" s="950"/>
      <c r="EY119" s="950"/>
      <c r="EZ119" s="950"/>
      <c r="FA119" s="950"/>
      <c r="FB119" s="950"/>
      <c r="FC119" s="950"/>
      <c r="FD119" s="950"/>
      <c r="FE119" s="950"/>
      <c r="FF119" s="950"/>
      <c r="FG119" s="950"/>
      <c r="FH119" s="950"/>
      <c r="FI119" s="950"/>
      <c r="FJ119" s="950"/>
      <c r="FK119" s="950"/>
      <c r="FL119" s="950"/>
      <c r="FM119" s="950"/>
      <c r="FN119" s="950"/>
      <c r="FO119" s="950"/>
      <c r="FP119" s="950"/>
      <c r="FQ119" s="950"/>
      <c r="FR119" s="950"/>
      <c r="FS119" s="950"/>
      <c r="FT119" s="950"/>
      <c r="FU119" s="950"/>
      <c r="FV119" s="950"/>
      <c r="FW119" s="950"/>
      <c r="FX119" s="950"/>
      <c r="FY119" s="950"/>
      <c r="FZ119" s="950"/>
      <c r="GA119" s="950"/>
      <c r="GB119" s="950"/>
      <c r="GC119" s="950"/>
      <c r="GD119" s="950"/>
      <c r="GE119" s="950"/>
      <c r="GF119" s="950"/>
      <c r="GG119" s="950"/>
      <c r="GH119" s="950"/>
      <c r="GI119" s="950"/>
      <c r="GJ119" s="950"/>
      <c r="GK119" s="950"/>
      <c r="GL119" s="950"/>
      <c r="GM119" s="950"/>
      <c r="GN119" s="950"/>
      <c r="GO119" s="950"/>
      <c r="GP119" s="950"/>
      <c r="GQ119" s="950"/>
      <c r="GR119" s="950"/>
      <c r="GS119" s="950"/>
      <c r="GT119" s="950"/>
      <c r="GU119" s="950"/>
      <c r="GV119" s="950"/>
      <c r="GW119" s="950"/>
      <c r="GX119" s="950"/>
      <c r="GY119" s="950"/>
      <c r="GZ119" s="950"/>
      <c r="HA119" s="950"/>
      <c r="HB119" s="950"/>
      <c r="HC119" s="950"/>
      <c r="HD119" s="950"/>
      <c r="HE119" s="950"/>
      <c r="HF119" s="950"/>
      <c r="HG119" s="950"/>
      <c r="HH119" s="950"/>
      <c r="HI119" s="950"/>
      <c r="HJ119" s="950"/>
      <c r="HK119" s="950"/>
      <c r="HL119" s="950"/>
      <c r="HM119" s="950"/>
      <c r="HN119" s="950"/>
      <c r="HO119" s="950"/>
      <c r="HP119" s="950"/>
      <c r="HQ119" s="950"/>
      <c r="HR119" s="950"/>
      <c r="HS119" s="950"/>
      <c r="HT119" s="950"/>
      <c r="HU119" s="950"/>
      <c r="HV119" s="950"/>
      <c r="HW119" s="950"/>
      <c r="HX119" s="950"/>
      <c r="HY119" s="950"/>
      <c r="HZ119" s="950"/>
      <c r="IA119" s="950"/>
      <c r="IB119" s="950"/>
      <c r="IC119" s="950"/>
      <c r="ID119" s="950"/>
      <c r="IE119" s="950"/>
      <c r="IF119" s="950"/>
      <c r="IG119" s="950"/>
      <c r="IH119" s="950"/>
      <c r="II119" s="950"/>
      <c r="IJ119" s="950"/>
      <c r="IK119" s="950"/>
      <c r="IL119" s="950"/>
      <c r="IM119" s="950"/>
      <c r="IN119" s="950"/>
      <c r="IO119" s="950"/>
      <c r="IP119" s="950"/>
      <c r="IQ119" s="950"/>
      <c r="IR119" s="950"/>
      <c r="IS119" s="950"/>
      <c r="IT119" s="950"/>
      <c r="IU119" s="950"/>
      <c r="IV119" s="950"/>
      <c r="IW119" s="950"/>
      <c r="IX119" s="950"/>
      <c r="IY119" s="950"/>
      <c r="IZ119" s="950"/>
      <c r="JA119" s="950"/>
      <c r="JB119" s="950"/>
      <c r="JC119" s="950"/>
      <c r="JD119" s="950"/>
      <c r="JE119" s="950"/>
      <c r="JF119" s="950"/>
      <c r="JG119" s="950"/>
      <c r="JH119" s="950"/>
      <c r="JI119" s="950"/>
      <c r="JJ119" s="950"/>
      <c r="JK119" s="950"/>
      <c r="JL119" s="950"/>
      <c r="JM119" s="950"/>
      <c r="JN119" s="950"/>
      <c r="JO119" s="950"/>
      <c r="JP119" s="950"/>
      <c r="JQ119" s="950"/>
      <c r="JR119" s="950"/>
      <c r="JS119" s="950"/>
      <c r="JT119" s="950"/>
      <c r="JU119" s="950"/>
      <c r="JV119" s="950"/>
      <c r="JW119" s="950"/>
      <c r="JX119" s="950"/>
      <c r="JY119" s="950"/>
      <c r="JZ119" s="950"/>
      <c r="KA119" s="950"/>
      <c r="KB119" s="950"/>
      <c r="KC119" s="950"/>
      <c r="KD119" s="950"/>
      <c r="KE119" s="950"/>
      <c r="KF119" s="950"/>
      <c r="KG119" s="950"/>
      <c r="KH119" s="950"/>
      <c r="KI119" s="950"/>
      <c r="KJ119" s="950"/>
      <c r="KK119" s="950"/>
      <c r="KL119" s="950"/>
      <c r="KM119" s="950"/>
      <c r="KN119" s="950"/>
      <c r="KO119" s="950"/>
      <c r="KP119" s="950"/>
      <c r="KQ119" s="950"/>
      <c r="KR119" s="950"/>
      <c r="KS119" s="950"/>
      <c r="KT119" s="950"/>
      <c r="KU119" s="950"/>
      <c r="KV119" s="950"/>
      <c r="KW119" s="950"/>
      <c r="KX119" s="950"/>
      <c r="KY119" s="950"/>
      <c r="KZ119" s="950"/>
      <c r="LA119" s="950"/>
      <c r="LB119" s="950"/>
      <c r="LC119" s="950"/>
      <c r="LD119" s="950"/>
      <c r="LE119" s="950"/>
      <c r="LF119" s="950"/>
      <c r="LG119" s="950"/>
      <c r="LH119" s="950"/>
      <c r="LI119" s="950"/>
      <c r="LJ119" s="950"/>
      <c r="LK119" s="950"/>
      <c r="LL119" s="950"/>
      <c r="LM119" s="950"/>
      <c r="LN119" s="950"/>
      <c r="LO119" s="950"/>
      <c r="LP119" s="950"/>
      <c r="LQ119" s="950"/>
      <c r="LR119" s="950"/>
      <c r="LS119" s="950"/>
      <c r="LT119" s="950"/>
      <c r="LU119" s="950"/>
      <c r="LV119" s="950"/>
      <c r="LW119" s="950"/>
      <c r="LX119" s="950"/>
      <c r="LY119" s="950"/>
      <c r="LZ119" s="950"/>
      <c r="MA119" s="950"/>
      <c r="MB119" s="950"/>
      <c r="MC119" s="950"/>
      <c r="MD119" s="950"/>
      <c r="ME119" s="950"/>
      <c r="MF119" s="950"/>
      <c r="MG119" s="950"/>
      <c r="MH119" s="950"/>
      <c r="MI119" s="950"/>
      <c r="MJ119" s="950"/>
      <c r="MK119" s="950"/>
      <c r="ML119" s="950"/>
      <c r="MM119" s="950"/>
      <c r="MN119" s="950"/>
      <c r="MO119" s="950"/>
      <c r="MP119" s="950"/>
      <c r="MQ119" s="950"/>
      <c r="MR119" s="950"/>
      <c r="MS119" s="950"/>
      <c r="MT119" s="950"/>
      <c r="MU119" s="950"/>
      <c r="MV119" s="950"/>
      <c r="MW119" s="950"/>
      <c r="MX119" s="950"/>
      <c r="MY119" s="950"/>
      <c r="MZ119" s="950"/>
      <c r="NA119" s="950"/>
      <c r="NB119" s="950"/>
      <c r="NC119" s="950"/>
      <c r="ND119" s="950"/>
      <c r="NE119" s="950"/>
      <c r="NF119" s="950"/>
      <c r="NG119" s="950"/>
      <c r="NH119" s="950"/>
      <c r="NI119" s="950"/>
      <c r="NJ119" s="950"/>
      <c r="NK119" s="950"/>
      <c r="NL119" s="950"/>
      <c r="NM119" s="950"/>
      <c r="NN119" s="950"/>
      <c r="NO119" s="950"/>
      <c r="NP119" s="950"/>
      <c r="NQ119" s="950"/>
      <c r="NR119" s="950"/>
      <c r="NS119" s="950"/>
      <c r="NT119" s="950"/>
      <c r="NU119" s="950"/>
      <c r="NV119" s="950"/>
      <c r="NW119" s="950"/>
      <c r="NX119" s="950"/>
      <c r="NY119" s="950"/>
      <c r="NZ119" s="950"/>
      <c r="OA119" s="950"/>
      <c r="OB119" s="950"/>
      <c r="OC119" s="950"/>
      <c r="OD119" s="950"/>
      <c r="OE119" s="950"/>
      <c r="OF119" s="950"/>
      <c r="OG119" s="950"/>
      <c r="OH119" s="950"/>
      <c r="OI119" s="950"/>
      <c r="OJ119" s="950"/>
      <c r="OK119" s="950"/>
      <c r="OL119" s="950"/>
      <c r="OM119" s="950"/>
      <c r="ON119" s="950"/>
      <c r="OO119" s="950"/>
      <c r="OP119" s="950"/>
      <c r="OQ119" s="950"/>
      <c r="OR119" s="950"/>
      <c r="OS119" s="950"/>
      <c r="OT119" s="950"/>
      <c r="OU119" s="950"/>
      <c r="OV119" s="950"/>
      <c r="OW119" s="950"/>
      <c r="OX119" s="950"/>
      <c r="OY119" s="950"/>
      <c r="OZ119" s="950"/>
      <c r="PA119" s="950"/>
      <c r="PB119" s="950"/>
      <c r="PC119" s="950"/>
      <c r="PD119" s="950"/>
      <c r="PE119" s="950"/>
      <c r="PF119" s="950"/>
      <c r="PG119" s="950"/>
      <c r="PH119" s="950"/>
      <c r="PI119" s="950"/>
      <c r="PJ119" s="950"/>
      <c r="PK119" s="950"/>
      <c r="PL119" s="950"/>
      <c r="PM119" s="950"/>
      <c r="PN119" s="950"/>
      <c r="PO119" s="950"/>
      <c r="PP119" s="950"/>
      <c r="PQ119" s="950"/>
      <c r="PR119" s="950"/>
      <c r="PS119" s="950"/>
      <c r="PT119" s="950"/>
      <c r="PU119" s="950"/>
      <c r="PV119" s="950"/>
      <c r="PW119" s="950"/>
      <c r="PX119" s="950"/>
      <c r="PY119" s="950"/>
      <c r="PZ119" s="950"/>
      <c r="QA119" s="950"/>
      <c r="QB119" s="950"/>
      <c r="QC119" s="950"/>
      <c r="QD119" s="950"/>
      <c r="QE119" s="950"/>
      <c r="QF119" s="950"/>
      <c r="QG119" s="950"/>
      <c r="QH119" s="950"/>
      <c r="QI119" s="950"/>
      <c r="QJ119" s="950"/>
      <c r="QK119" s="950"/>
      <c r="QL119" s="950"/>
      <c r="QM119" s="950"/>
      <c r="QN119" s="950"/>
      <c r="QO119" s="950"/>
      <c r="QP119" s="950"/>
      <c r="QQ119" s="950"/>
      <c r="QR119" s="950"/>
      <c r="QS119" s="950"/>
      <c r="QT119" s="950"/>
      <c r="QU119" s="950"/>
      <c r="QV119" s="950"/>
      <c r="QW119" s="950"/>
      <c r="QX119" s="950"/>
      <c r="QY119" s="950"/>
      <c r="QZ119" s="950"/>
      <c r="RA119" s="950"/>
      <c r="RB119" s="950"/>
      <c r="RC119" s="950"/>
      <c r="RD119" s="950"/>
      <c r="RE119" s="950"/>
      <c r="RF119" s="950"/>
      <c r="RG119" s="950"/>
      <c r="RH119" s="950"/>
      <c r="RI119" s="950"/>
      <c r="RJ119" s="950"/>
      <c r="RK119" s="950"/>
      <c r="RL119" s="950"/>
      <c r="RM119" s="950"/>
      <c r="RN119" s="950"/>
      <c r="RO119" s="950"/>
      <c r="RP119" s="950"/>
      <c r="RQ119" s="950"/>
      <c r="RR119" s="950"/>
      <c r="RS119" s="950"/>
      <c r="RT119" s="950"/>
      <c r="RU119" s="950"/>
      <c r="RV119" s="950"/>
      <c r="RW119" s="950"/>
      <c r="RX119" s="950"/>
      <c r="RY119" s="950"/>
      <c r="RZ119" s="950"/>
      <c r="SA119" s="950"/>
      <c r="SB119" s="950"/>
      <c r="SC119" s="950"/>
      <c r="SD119" s="950"/>
      <c r="SE119" s="950"/>
      <c r="SF119" s="950"/>
      <c r="SG119" s="950"/>
      <c r="SH119" s="950"/>
      <c r="SI119" s="950"/>
      <c r="SJ119" s="950"/>
      <c r="SK119" s="950"/>
      <c r="SL119" s="950"/>
      <c r="SM119" s="950"/>
      <c r="SN119" s="950"/>
      <c r="SO119" s="950"/>
      <c r="SP119" s="950"/>
      <c r="SQ119" s="950"/>
      <c r="SR119" s="950"/>
      <c r="SS119" s="950"/>
      <c r="ST119" s="950"/>
      <c r="SU119" s="950"/>
      <c r="SV119" s="950"/>
      <c r="SW119" s="950"/>
      <c r="SX119" s="950"/>
      <c r="SY119" s="950"/>
      <c r="SZ119" s="950"/>
      <c r="TA119" s="950"/>
      <c r="TB119" s="950"/>
      <c r="TC119" s="950"/>
      <c r="TD119" s="950"/>
      <c r="TE119" s="950"/>
      <c r="TF119" s="950"/>
      <c r="TG119" s="950"/>
      <c r="TH119" s="950"/>
      <c r="TI119" s="950"/>
      <c r="TJ119" s="950"/>
      <c r="TK119" s="950"/>
      <c r="TL119" s="950"/>
      <c r="TM119" s="950"/>
      <c r="TN119" s="950"/>
      <c r="TO119" s="950"/>
      <c r="TP119" s="950"/>
      <c r="TQ119" s="950"/>
      <c r="TR119" s="950"/>
      <c r="TS119" s="950"/>
      <c r="TT119" s="950"/>
      <c r="TU119" s="950"/>
      <c r="TV119" s="950"/>
      <c r="TW119" s="950"/>
      <c r="TX119" s="950"/>
      <c r="TY119" s="950"/>
      <c r="TZ119" s="950"/>
      <c r="UA119" s="950"/>
      <c r="UB119" s="950"/>
      <c r="UC119" s="950"/>
      <c r="UD119" s="950"/>
      <c r="UE119" s="950"/>
      <c r="UF119" s="950"/>
      <c r="UG119" s="950"/>
      <c r="UH119" s="950"/>
      <c r="UI119" s="950"/>
      <c r="UJ119" s="950"/>
      <c r="UK119" s="950"/>
      <c r="UL119" s="950"/>
      <c r="UM119" s="950"/>
      <c r="UN119" s="950"/>
      <c r="UO119" s="950"/>
      <c r="UP119" s="950"/>
      <c r="UQ119" s="950"/>
      <c r="UR119" s="950"/>
      <c r="US119" s="950"/>
      <c r="UT119" s="950"/>
      <c r="UU119" s="950"/>
      <c r="UV119" s="950"/>
      <c r="UW119" s="950"/>
      <c r="UX119" s="950"/>
      <c r="UY119" s="950"/>
      <c r="UZ119" s="950"/>
      <c r="VA119" s="950"/>
      <c r="VB119" s="950"/>
      <c r="VC119" s="950"/>
      <c r="VD119" s="950"/>
      <c r="VE119" s="950"/>
      <c r="VF119" s="950"/>
      <c r="VG119" s="950"/>
      <c r="VH119" s="950"/>
      <c r="VI119" s="950"/>
      <c r="VJ119" s="950"/>
      <c r="VK119" s="950"/>
      <c r="VL119" s="950"/>
      <c r="VM119" s="950"/>
      <c r="VN119" s="950"/>
      <c r="VO119" s="950"/>
      <c r="VP119" s="950"/>
      <c r="VQ119" s="950"/>
      <c r="VR119" s="950"/>
      <c r="VS119" s="950"/>
      <c r="VT119" s="950"/>
      <c r="VU119" s="950"/>
      <c r="VV119" s="950"/>
      <c r="VW119" s="950"/>
      <c r="VX119" s="950"/>
      <c r="VY119" s="950"/>
      <c r="VZ119" s="950"/>
      <c r="WA119" s="950"/>
      <c r="WB119" s="950"/>
      <c r="WC119" s="950"/>
      <c r="WD119" s="950"/>
      <c r="WE119" s="950"/>
      <c r="WF119" s="950"/>
      <c r="WG119" s="950"/>
      <c r="WH119" s="950"/>
      <c r="WI119" s="950"/>
      <c r="WJ119" s="950"/>
      <c r="WK119" s="950"/>
      <c r="WL119" s="950"/>
      <c r="WM119" s="950"/>
      <c r="WN119" s="950"/>
      <c r="WO119" s="950"/>
      <c r="WP119" s="950"/>
      <c r="WQ119" s="950"/>
      <c r="WR119" s="950"/>
      <c r="WS119" s="950"/>
      <c r="WT119" s="950"/>
      <c r="WU119" s="950"/>
      <c r="WV119" s="950"/>
      <c r="WW119" s="950"/>
      <c r="WX119" s="950"/>
      <c r="WY119" s="950"/>
      <c r="WZ119" s="950"/>
      <c r="XA119" s="950"/>
      <c r="XB119" s="950"/>
      <c r="XC119" s="950"/>
      <c r="XD119" s="950"/>
      <c r="XE119" s="950"/>
      <c r="XF119" s="950"/>
      <c r="XG119" s="950"/>
      <c r="XH119" s="950"/>
      <c r="XI119" s="950"/>
      <c r="XJ119" s="950"/>
      <c r="XK119" s="950"/>
      <c r="XL119" s="950"/>
      <c r="XM119" s="950"/>
      <c r="XN119" s="950"/>
      <c r="XO119" s="950"/>
      <c r="XP119" s="950"/>
      <c r="XQ119" s="950"/>
      <c r="XR119" s="950"/>
      <c r="XS119" s="950"/>
      <c r="XT119" s="950"/>
      <c r="XU119" s="950"/>
      <c r="XV119" s="950"/>
      <c r="XW119" s="950"/>
      <c r="XX119" s="950"/>
      <c r="XY119" s="950"/>
      <c r="XZ119" s="950"/>
      <c r="YA119" s="950"/>
      <c r="YB119" s="950"/>
      <c r="YC119" s="950"/>
      <c r="YD119" s="950"/>
      <c r="YE119" s="950"/>
      <c r="YF119" s="950"/>
      <c r="YG119" s="950"/>
      <c r="YH119" s="950"/>
      <c r="YI119" s="950"/>
      <c r="YJ119" s="950"/>
      <c r="YK119" s="950"/>
      <c r="YL119" s="950"/>
      <c r="YM119" s="950"/>
      <c r="YN119" s="950"/>
      <c r="YO119" s="950"/>
      <c r="YP119" s="950"/>
      <c r="YQ119" s="950"/>
      <c r="YR119" s="950"/>
      <c r="YS119" s="950"/>
      <c r="YT119" s="950"/>
      <c r="YU119" s="950"/>
      <c r="YV119" s="950"/>
      <c r="YW119" s="950"/>
      <c r="YX119" s="950"/>
      <c r="YY119" s="950"/>
      <c r="YZ119" s="950"/>
      <c r="ZA119" s="950"/>
      <c r="ZB119" s="950"/>
      <c r="ZC119" s="950"/>
      <c r="ZD119" s="950"/>
      <c r="ZE119" s="950"/>
      <c r="ZF119" s="950"/>
      <c r="ZG119" s="950"/>
      <c r="ZH119" s="950"/>
      <c r="ZI119" s="950"/>
      <c r="ZJ119" s="950"/>
      <c r="ZK119" s="950"/>
      <c r="ZL119" s="950"/>
      <c r="ZM119" s="950"/>
      <c r="ZN119" s="950"/>
      <c r="ZO119" s="950"/>
      <c r="ZP119" s="950"/>
      <c r="ZQ119" s="950"/>
      <c r="ZR119" s="950"/>
      <c r="ZS119" s="950"/>
      <c r="ZT119" s="950"/>
      <c r="ZU119" s="950"/>
      <c r="ZV119" s="950"/>
      <c r="ZW119" s="950"/>
      <c r="ZX119" s="950"/>
      <c r="ZY119" s="950"/>
      <c r="ZZ119" s="950"/>
      <c r="AAA119" s="950"/>
      <c r="AAB119" s="950"/>
      <c r="AAC119" s="950"/>
      <c r="AAD119" s="950"/>
      <c r="AAE119" s="950"/>
      <c r="AAF119" s="950"/>
      <c r="AAG119" s="950"/>
      <c r="AAH119" s="950"/>
      <c r="AAI119" s="950"/>
      <c r="AAJ119" s="950"/>
      <c r="AAK119" s="950"/>
      <c r="AAL119" s="950"/>
      <c r="AAM119" s="950"/>
      <c r="AAN119" s="950"/>
      <c r="AAO119" s="950"/>
      <c r="AAP119" s="950"/>
      <c r="AAQ119" s="950"/>
      <c r="AAR119" s="950"/>
      <c r="AAS119" s="950"/>
      <c r="AAT119" s="950"/>
      <c r="AAU119" s="950"/>
      <c r="AAV119" s="950"/>
      <c r="AAW119" s="950"/>
      <c r="AAX119" s="950"/>
      <c r="AAY119" s="950"/>
      <c r="AAZ119" s="950"/>
      <c r="ABA119" s="950"/>
      <c r="ABB119" s="950"/>
      <c r="ABC119" s="950"/>
      <c r="ABD119" s="950"/>
      <c r="ABE119" s="950"/>
      <c r="ABF119" s="950"/>
      <c r="ABG119" s="950"/>
      <c r="ABH119" s="950"/>
      <c r="ABI119" s="950"/>
      <c r="ABJ119" s="950"/>
      <c r="ABK119" s="950"/>
      <c r="ABL119" s="950"/>
      <c r="ABM119" s="950"/>
      <c r="ABN119" s="950"/>
      <c r="ABO119" s="950"/>
      <c r="ABP119" s="950"/>
      <c r="ABQ119" s="950"/>
      <c r="ABR119" s="950"/>
      <c r="ABS119" s="950"/>
      <c r="ABT119" s="950"/>
      <c r="ABU119" s="950"/>
      <c r="ABV119" s="950"/>
      <c r="ABW119" s="950"/>
      <c r="ABX119" s="950"/>
      <c r="ABY119" s="950"/>
      <c r="ABZ119" s="950"/>
      <c r="ACA119" s="950"/>
      <c r="ACB119" s="950"/>
      <c r="ACC119" s="950"/>
      <c r="ACD119" s="950"/>
      <c r="ACE119" s="950"/>
      <c r="ACF119" s="950"/>
      <c r="ACG119" s="950"/>
      <c r="ACH119" s="950"/>
      <c r="ACI119" s="950"/>
      <c r="ACJ119" s="950"/>
      <c r="ACK119" s="950"/>
      <c r="ACL119" s="950"/>
      <c r="ACM119" s="950"/>
      <c r="ACN119" s="950"/>
      <c r="ACO119" s="950"/>
      <c r="ACP119" s="950"/>
      <c r="ACQ119" s="950"/>
      <c r="ACR119" s="950"/>
      <c r="ACS119" s="950"/>
      <c r="ACT119" s="950"/>
      <c r="ACU119" s="950"/>
      <c r="ACV119" s="950"/>
      <c r="ACW119" s="950"/>
      <c r="ACX119" s="950"/>
      <c r="ACY119" s="950"/>
      <c r="ACZ119" s="950"/>
      <c r="ADA119" s="950"/>
      <c r="ADB119" s="950"/>
      <c r="ADC119" s="950"/>
      <c r="ADD119" s="950"/>
      <c r="ADE119" s="950"/>
      <c r="ADF119" s="950"/>
      <c r="ADG119" s="950"/>
      <c r="ADH119" s="950"/>
      <c r="ADI119" s="950"/>
      <c r="ADJ119" s="950"/>
      <c r="ADK119" s="950"/>
      <c r="ADL119" s="950"/>
      <c r="ADM119" s="950"/>
      <c r="ADN119" s="950"/>
      <c r="ADO119" s="950"/>
      <c r="ADP119" s="950"/>
      <c r="ADQ119" s="950"/>
      <c r="ADR119" s="950"/>
      <c r="ADS119" s="950"/>
      <c r="ADT119" s="950"/>
      <c r="ADU119" s="950"/>
      <c r="ADV119" s="950"/>
      <c r="ADW119" s="950"/>
      <c r="ADX119" s="950"/>
      <c r="ADY119" s="950"/>
      <c r="ADZ119" s="950"/>
      <c r="AEA119" s="950"/>
      <c r="AEB119" s="950"/>
      <c r="AEC119" s="950"/>
      <c r="AED119" s="950"/>
      <c r="AEE119" s="950"/>
      <c r="AEF119" s="950"/>
      <c r="AEG119" s="950"/>
      <c r="AEH119" s="950"/>
      <c r="AEI119" s="950"/>
      <c r="AEJ119" s="950"/>
      <c r="AEK119" s="950"/>
      <c r="AEL119" s="950"/>
      <c r="AEM119" s="950"/>
      <c r="AEN119" s="950"/>
      <c r="AEO119" s="950"/>
      <c r="AEP119" s="950"/>
      <c r="AEQ119" s="950"/>
      <c r="AER119" s="950"/>
      <c r="AES119" s="950"/>
      <c r="AET119" s="950"/>
      <c r="AEU119" s="950"/>
      <c r="AEV119" s="950"/>
      <c r="AEW119" s="950"/>
      <c r="AEX119" s="950"/>
      <c r="AEY119" s="950"/>
      <c r="AEZ119" s="950"/>
      <c r="AFA119" s="950"/>
      <c r="AFB119" s="950"/>
      <c r="AFC119" s="950"/>
      <c r="AFD119" s="950"/>
      <c r="AFE119" s="950"/>
      <c r="AFF119" s="950"/>
      <c r="AFG119" s="950"/>
      <c r="AFH119" s="950"/>
      <c r="AFI119" s="950"/>
      <c r="AFJ119" s="950"/>
      <c r="AFK119" s="950"/>
      <c r="AFL119" s="950"/>
      <c r="AFM119" s="950"/>
      <c r="AFN119" s="950"/>
      <c r="AFO119" s="950"/>
      <c r="AFP119" s="950"/>
      <c r="AFQ119" s="950"/>
      <c r="AFR119" s="950"/>
      <c r="AFS119" s="950"/>
      <c r="AFT119" s="950"/>
      <c r="AFU119" s="950"/>
      <c r="AFV119" s="950"/>
      <c r="AFW119" s="950"/>
      <c r="AFX119" s="950"/>
      <c r="AFY119" s="950"/>
      <c r="AFZ119" s="950"/>
      <c r="AGA119" s="950"/>
      <c r="AGB119" s="950"/>
      <c r="AGC119" s="950"/>
      <c r="AGD119" s="950"/>
      <c r="AGE119" s="950"/>
      <c r="AGF119" s="950"/>
      <c r="AGG119" s="950"/>
      <c r="AGH119" s="950"/>
      <c r="AGI119" s="950"/>
      <c r="AGJ119" s="950"/>
      <c r="AGK119" s="950"/>
      <c r="AGL119" s="950"/>
      <c r="AGM119" s="950"/>
      <c r="AGN119" s="950"/>
      <c r="AGO119" s="950"/>
      <c r="AGP119" s="950"/>
      <c r="AGQ119" s="950"/>
      <c r="AGR119" s="950"/>
      <c r="AGS119" s="950"/>
      <c r="AGT119" s="950"/>
      <c r="AGU119" s="950"/>
      <c r="AGV119" s="950"/>
      <c r="AGW119" s="950"/>
      <c r="AGX119" s="950"/>
      <c r="AGY119" s="950"/>
      <c r="AGZ119" s="950"/>
      <c r="AHA119" s="950"/>
      <c r="AHB119" s="950"/>
      <c r="AHC119" s="950"/>
      <c r="AHD119" s="950"/>
      <c r="AHE119" s="950"/>
      <c r="AHF119" s="950"/>
      <c r="AHG119" s="950"/>
      <c r="AHH119" s="950"/>
      <c r="AHI119" s="950"/>
      <c r="AHJ119" s="950"/>
      <c r="AHK119" s="950"/>
      <c r="AHL119" s="950"/>
      <c r="AHM119" s="950"/>
      <c r="AHN119" s="950"/>
      <c r="AHO119" s="950"/>
      <c r="AHP119" s="950"/>
      <c r="AHQ119" s="950"/>
      <c r="AHR119" s="950"/>
      <c r="AHS119" s="950"/>
      <c r="AHT119" s="950"/>
      <c r="AHU119" s="950"/>
      <c r="AHV119" s="950"/>
      <c r="AHW119" s="950"/>
      <c r="AHX119" s="950"/>
      <c r="AHY119" s="950"/>
      <c r="AHZ119" s="950"/>
      <c r="AIA119" s="950"/>
      <c r="AIB119" s="950"/>
      <c r="AIC119" s="950"/>
      <c r="AID119" s="950"/>
      <c r="AIE119" s="950"/>
      <c r="AIF119" s="950"/>
      <c r="AIG119" s="950"/>
      <c r="AIH119" s="950"/>
      <c r="AII119" s="950"/>
      <c r="AIJ119" s="950"/>
      <c r="AIK119" s="950"/>
      <c r="AIL119" s="950"/>
      <c r="AIM119" s="950"/>
      <c r="AIN119" s="950"/>
      <c r="AIO119" s="950"/>
      <c r="AIP119" s="950"/>
      <c r="AIQ119" s="950"/>
      <c r="AIR119" s="950"/>
      <c r="AIS119" s="950"/>
      <c r="AIT119" s="950"/>
      <c r="AIU119" s="950"/>
      <c r="AIV119" s="950"/>
      <c r="AIW119" s="950"/>
      <c r="AIX119" s="950"/>
      <c r="AIY119" s="950"/>
      <c r="AIZ119" s="950"/>
      <c r="AJA119" s="950"/>
      <c r="AJB119" s="950"/>
      <c r="AJC119" s="950"/>
      <c r="AJD119" s="950"/>
      <c r="AJE119" s="950"/>
      <c r="AJF119" s="950"/>
      <c r="AJG119" s="950"/>
      <c r="AJH119" s="950"/>
      <c r="AJI119" s="950"/>
      <c r="AJJ119" s="950"/>
      <c r="AJK119" s="950"/>
      <c r="AJL119" s="950"/>
      <c r="AJM119" s="950"/>
      <c r="AJN119" s="950"/>
      <c r="AJO119" s="950"/>
      <c r="AJP119" s="950"/>
      <c r="AJQ119" s="950"/>
      <c r="AJR119" s="950"/>
      <c r="AJS119" s="950"/>
      <c r="AJT119" s="950"/>
      <c r="AJU119" s="950"/>
      <c r="AJV119" s="950"/>
      <c r="AJW119" s="950"/>
      <c r="AJX119" s="950"/>
      <c r="AJY119" s="950"/>
      <c r="AJZ119" s="950"/>
      <c r="AKA119" s="950"/>
      <c r="AKB119" s="950"/>
      <c r="AKC119" s="950"/>
      <c r="AKD119" s="950"/>
      <c r="AKE119" s="950"/>
      <c r="AKF119" s="950"/>
      <c r="AKG119" s="950"/>
      <c r="AKH119" s="950"/>
      <c r="AKI119" s="950"/>
      <c r="AKJ119" s="950"/>
      <c r="AKK119" s="950"/>
      <c r="AKL119" s="950"/>
      <c r="AKM119" s="950"/>
      <c r="AKN119" s="950"/>
      <c r="AKO119" s="950"/>
      <c r="AKP119" s="950"/>
      <c r="AKQ119" s="950"/>
      <c r="AKR119" s="950"/>
      <c r="AKS119" s="950"/>
      <c r="AKT119" s="950"/>
      <c r="AKU119" s="950"/>
      <c r="AKV119" s="950"/>
      <c r="AKW119" s="950"/>
      <c r="AKX119" s="950"/>
      <c r="AKY119" s="950"/>
      <c r="AKZ119" s="950"/>
      <c r="ALA119" s="950"/>
      <c r="ALB119" s="950"/>
      <c r="ALC119" s="950"/>
      <c r="ALD119" s="950"/>
      <c r="ALE119" s="950"/>
      <c r="ALF119" s="950"/>
      <c r="ALG119" s="950"/>
      <c r="ALH119" s="950"/>
      <c r="ALI119" s="950"/>
      <c r="ALJ119" s="950"/>
      <c r="ALK119" s="950"/>
      <c r="ALL119" s="950"/>
      <c r="ALM119" s="950"/>
      <c r="ALN119" s="950"/>
      <c r="ALO119" s="950"/>
      <c r="ALP119" s="950"/>
      <c r="ALQ119" s="950"/>
      <c r="ALR119" s="950"/>
      <c r="ALS119" s="950"/>
      <c r="ALT119" s="950"/>
      <c r="ALU119" s="950"/>
      <c r="ALV119" s="950"/>
      <c r="ALW119" s="950"/>
      <c r="ALX119" s="950"/>
      <c r="ALY119" s="950"/>
      <c r="ALZ119" s="950"/>
      <c r="AMA119" s="950"/>
      <c r="AMB119" s="950"/>
      <c r="AMC119" s="950"/>
      <c r="AMD119" s="950"/>
      <c r="AME119" s="950"/>
      <c r="AMF119" s="950"/>
      <c r="AMG119" s="950"/>
      <c r="AMH119" s="950"/>
      <c r="AMI119" s="950"/>
      <c r="AMJ119" s="950"/>
      <c r="AMK119" s="950"/>
      <c r="AML119" s="950"/>
      <c r="AMM119" s="950"/>
      <c r="AMN119" s="950"/>
      <c r="AMO119" s="950"/>
      <c r="AMP119" s="950"/>
      <c r="AMQ119" s="950"/>
      <c r="AMR119" s="950"/>
      <c r="AMS119" s="950"/>
      <c r="AMT119" s="950"/>
      <c r="AMU119" s="950"/>
      <c r="AMV119" s="950"/>
      <c r="AMW119" s="950"/>
      <c r="AMX119" s="950"/>
      <c r="AMY119" s="950"/>
      <c r="AMZ119" s="950"/>
      <c r="ANA119" s="950"/>
      <c r="ANB119" s="950"/>
      <c r="ANC119" s="950"/>
      <c r="AND119" s="950"/>
      <c r="ANE119" s="950"/>
      <c r="ANF119" s="950"/>
      <c r="ANG119" s="950"/>
      <c r="ANH119" s="950"/>
      <c r="ANI119" s="950"/>
      <c r="ANJ119" s="950"/>
      <c r="ANK119" s="950"/>
      <c r="ANL119" s="950"/>
      <c r="ANM119" s="950"/>
      <c r="ANN119" s="950"/>
      <c r="ANO119" s="950"/>
      <c r="ANP119" s="950"/>
      <c r="ANQ119" s="950"/>
      <c r="ANR119" s="950"/>
      <c r="ANS119" s="950"/>
      <c r="ANT119" s="950"/>
      <c r="ANU119" s="950"/>
      <c r="ANV119" s="950"/>
      <c r="ANW119" s="950"/>
      <c r="ANX119" s="950"/>
      <c r="ANY119" s="950"/>
      <c r="ANZ119" s="950"/>
      <c r="AOA119" s="950"/>
      <c r="AOB119" s="950"/>
      <c r="AOC119" s="950"/>
      <c r="AOD119" s="950"/>
      <c r="AOE119" s="950"/>
      <c r="AOF119" s="950"/>
      <c r="AOG119" s="950"/>
      <c r="AOH119" s="950"/>
      <c r="AOI119" s="950"/>
      <c r="AOJ119" s="950"/>
      <c r="AOK119" s="950"/>
      <c r="AOL119" s="950"/>
      <c r="AOM119" s="950"/>
      <c r="AON119" s="950"/>
      <c r="AOO119" s="950"/>
      <c r="AOP119" s="950"/>
      <c r="AOQ119" s="950"/>
      <c r="AOR119" s="950"/>
      <c r="AOS119" s="950"/>
      <c r="AOT119" s="950"/>
      <c r="AOU119" s="950"/>
      <c r="AOV119" s="950"/>
      <c r="AOW119" s="950"/>
      <c r="AOX119" s="950"/>
      <c r="AOY119" s="950"/>
      <c r="AOZ119" s="950"/>
      <c r="APA119" s="950"/>
      <c r="APB119" s="950"/>
      <c r="APC119" s="950"/>
      <c r="APD119" s="950"/>
      <c r="APE119" s="950"/>
      <c r="APF119" s="950"/>
      <c r="APG119" s="950"/>
      <c r="APH119" s="950"/>
      <c r="API119" s="950"/>
      <c r="APJ119" s="950"/>
      <c r="APK119" s="950"/>
      <c r="APL119" s="950"/>
      <c r="APM119" s="950"/>
      <c r="APN119" s="950"/>
      <c r="APO119" s="950"/>
      <c r="APP119" s="950"/>
      <c r="APQ119" s="950"/>
      <c r="APR119" s="950"/>
      <c r="APS119" s="950"/>
      <c r="APT119" s="950"/>
      <c r="APU119" s="950"/>
      <c r="APV119" s="950"/>
      <c r="APW119" s="950"/>
      <c r="APX119" s="950"/>
      <c r="APY119" s="950"/>
      <c r="APZ119" s="950"/>
      <c r="AQA119" s="950"/>
      <c r="AQB119" s="950"/>
      <c r="AQC119" s="950"/>
      <c r="AQD119" s="950"/>
      <c r="AQE119" s="950"/>
      <c r="AQF119" s="950"/>
      <c r="AQG119" s="950"/>
      <c r="AQH119" s="950"/>
      <c r="AQI119" s="950"/>
      <c r="AQJ119" s="950"/>
      <c r="AQK119" s="950"/>
      <c r="AQL119" s="950"/>
      <c r="AQM119" s="950"/>
      <c r="AQN119" s="950"/>
      <c r="AQO119" s="950"/>
      <c r="AQP119" s="950"/>
      <c r="AQQ119" s="950"/>
      <c r="AQR119" s="950"/>
      <c r="AQS119" s="950"/>
      <c r="AQT119" s="950"/>
      <c r="AQU119" s="950"/>
      <c r="AQV119" s="950"/>
      <c r="AQW119" s="950"/>
      <c r="AQX119" s="950"/>
      <c r="AQY119" s="950"/>
      <c r="AQZ119" s="950"/>
      <c r="ARA119" s="950"/>
      <c r="ARB119" s="950"/>
      <c r="ARC119" s="950"/>
      <c r="ARD119" s="950"/>
      <c r="ARE119" s="950"/>
      <c r="ARF119" s="950"/>
      <c r="ARG119" s="950"/>
      <c r="ARH119" s="950"/>
      <c r="ARI119" s="950"/>
      <c r="ARJ119" s="950"/>
      <c r="ARK119" s="950"/>
      <c r="ARL119" s="950"/>
      <c r="ARM119" s="950"/>
      <c r="ARN119" s="950"/>
      <c r="ARO119" s="950"/>
      <c r="ARP119" s="950"/>
      <c r="ARQ119" s="950"/>
      <c r="ARR119" s="950"/>
      <c r="ARS119" s="950"/>
      <c r="ART119" s="950"/>
      <c r="ARU119" s="950"/>
      <c r="ARV119" s="950"/>
      <c r="ARW119" s="950"/>
      <c r="ARX119" s="950"/>
      <c r="ARY119" s="950"/>
      <c r="ARZ119" s="950"/>
      <c r="ASA119" s="950"/>
      <c r="ASB119" s="950"/>
      <c r="ASC119" s="950"/>
      <c r="ASD119" s="950"/>
      <c r="ASE119" s="950"/>
      <c r="ASF119" s="950"/>
      <c r="ASG119" s="950"/>
      <c r="ASH119" s="950"/>
      <c r="ASI119" s="950"/>
      <c r="ASJ119" s="950"/>
      <c r="ASK119" s="950"/>
      <c r="ASL119" s="950"/>
      <c r="ASM119" s="950"/>
      <c r="ASN119" s="950"/>
      <c r="ASO119" s="950"/>
      <c r="ASP119" s="950"/>
      <c r="ASQ119" s="950"/>
      <c r="ASR119" s="950"/>
      <c r="ASS119" s="950"/>
      <c r="AST119" s="950"/>
      <c r="ASU119" s="950"/>
      <c r="ASV119" s="950"/>
      <c r="ASW119" s="950"/>
      <c r="ASX119" s="950"/>
      <c r="ASY119" s="950"/>
      <c r="ASZ119" s="950"/>
      <c r="ATA119" s="950"/>
      <c r="ATB119" s="950"/>
      <c r="ATC119" s="950"/>
      <c r="ATD119" s="950"/>
      <c r="ATE119" s="950"/>
      <c r="ATF119" s="950"/>
      <c r="ATG119" s="950"/>
      <c r="ATH119" s="950"/>
      <c r="ATI119" s="950"/>
      <c r="ATJ119" s="950"/>
      <c r="ATK119" s="950"/>
      <c r="ATL119" s="950"/>
      <c r="ATM119" s="950"/>
      <c r="ATN119" s="950"/>
      <c r="ATO119" s="950"/>
      <c r="ATP119" s="950"/>
      <c r="ATQ119" s="950"/>
      <c r="ATR119" s="950"/>
      <c r="ATS119" s="950"/>
      <c r="ATT119" s="950"/>
      <c r="ATU119" s="950"/>
      <c r="ATV119" s="950"/>
      <c r="ATW119" s="950"/>
      <c r="ATX119" s="950"/>
      <c r="ATY119" s="950"/>
      <c r="ATZ119" s="950"/>
      <c r="AUA119" s="950"/>
      <c r="AUB119" s="950"/>
      <c r="AUC119" s="950"/>
      <c r="AUD119" s="950"/>
      <c r="AUE119" s="950"/>
      <c r="AUF119" s="950"/>
      <c r="AUG119" s="950"/>
      <c r="AUH119" s="950"/>
      <c r="AUI119" s="950"/>
      <c r="AUJ119" s="950"/>
      <c r="AUK119" s="950"/>
      <c r="AUL119" s="950"/>
      <c r="AUM119" s="950"/>
      <c r="AUN119" s="950"/>
      <c r="AUO119" s="950"/>
      <c r="AUP119" s="950"/>
      <c r="AUQ119" s="950"/>
      <c r="AUR119" s="950"/>
      <c r="AUS119" s="950"/>
      <c r="AUT119" s="950"/>
      <c r="AUU119" s="950"/>
      <c r="AUV119" s="950"/>
      <c r="AUW119" s="950"/>
      <c r="AUX119" s="950"/>
      <c r="AUY119" s="950"/>
      <c r="AUZ119" s="950"/>
      <c r="AVA119" s="950"/>
      <c r="AVB119" s="950"/>
      <c r="AVC119" s="950"/>
      <c r="AVD119" s="950"/>
      <c r="AVE119" s="950"/>
      <c r="AVF119" s="950"/>
      <c r="AVG119" s="950"/>
      <c r="AVH119" s="950"/>
      <c r="AVI119" s="950"/>
      <c r="AVJ119" s="950"/>
      <c r="AVK119" s="950"/>
      <c r="AVL119" s="950"/>
      <c r="AVM119" s="950"/>
      <c r="AVN119" s="950"/>
      <c r="AVO119" s="950"/>
      <c r="AVP119" s="950"/>
      <c r="AVQ119" s="950"/>
      <c r="AVR119" s="950"/>
      <c r="AVS119" s="950"/>
      <c r="AVT119" s="950"/>
      <c r="AVU119" s="950"/>
      <c r="AVV119" s="950"/>
      <c r="AVW119" s="950"/>
      <c r="AVX119" s="950"/>
      <c r="AVY119" s="950"/>
      <c r="AVZ119" s="950"/>
      <c r="AWA119" s="950"/>
      <c r="AWB119" s="950"/>
      <c r="AWC119" s="950"/>
      <c r="AWD119" s="950"/>
      <c r="AWE119" s="950"/>
      <c r="AWF119" s="950"/>
      <c r="AWG119" s="950"/>
      <c r="AWH119" s="950"/>
      <c r="AWI119" s="950"/>
      <c r="AWJ119" s="950"/>
      <c r="AWK119" s="950"/>
      <c r="AWL119" s="950"/>
      <c r="AWM119" s="950"/>
      <c r="AWN119" s="950"/>
      <c r="AWO119" s="950"/>
      <c r="AWP119" s="950"/>
      <c r="AWQ119" s="950"/>
      <c r="AWR119" s="950"/>
      <c r="AWS119" s="950"/>
      <c r="AWT119" s="950"/>
      <c r="AWU119" s="950"/>
      <c r="AWV119" s="950"/>
      <c r="AWW119" s="950"/>
      <c r="AWX119" s="950"/>
      <c r="AWY119" s="950"/>
      <c r="AWZ119" s="950"/>
      <c r="AXA119" s="950"/>
      <c r="AXB119" s="950"/>
      <c r="AXC119" s="950"/>
      <c r="AXD119" s="950"/>
      <c r="AXE119" s="950"/>
      <c r="AXF119" s="950"/>
      <c r="AXG119" s="950"/>
      <c r="AXH119" s="950"/>
      <c r="AXI119" s="950"/>
      <c r="AXJ119" s="950"/>
      <c r="AXK119" s="950"/>
      <c r="AXL119" s="950"/>
      <c r="AXM119" s="950"/>
      <c r="AXN119" s="950"/>
      <c r="AXO119" s="950"/>
      <c r="AXP119" s="950"/>
      <c r="AXQ119" s="950"/>
      <c r="AXR119" s="950"/>
      <c r="AXS119" s="950"/>
      <c r="AXT119" s="950"/>
      <c r="AXU119" s="950"/>
      <c r="AXV119" s="950"/>
      <c r="AXW119" s="950"/>
      <c r="AXX119" s="950"/>
      <c r="AXY119" s="950"/>
      <c r="AXZ119" s="950"/>
      <c r="AYA119" s="950"/>
      <c r="AYB119" s="950"/>
      <c r="AYC119" s="950"/>
      <c r="AYD119" s="950"/>
      <c r="AYE119" s="950"/>
      <c r="AYF119" s="950"/>
      <c r="AYG119" s="950"/>
      <c r="AYH119" s="950"/>
      <c r="AYI119" s="950"/>
      <c r="AYJ119" s="950"/>
      <c r="AYK119" s="950"/>
      <c r="AYL119" s="950"/>
      <c r="AYM119" s="950"/>
      <c r="AYN119" s="950"/>
      <c r="AYO119" s="950"/>
      <c r="AYP119" s="950"/>
      <c r="AYQ119" s="950"/>
      <c r="AYR119" s="950"/>
      <c r="AYS119" s="950"/>
      <c r="AYT119" s="950"/>
      <c r="AYU119" s="950"/>
      <c r="AYV119" s="950"/>
      <c r="AYW119" s="950"/>
      <c r="AYX119" s="950"/>
      <c r="AYY119" s="950"/>
      <c r="AYZ119" s="950"/>
      <c r="AZA119" s="950"/>
      <c r="AZB119" s="950"/>
      <c r="AZC119" s="950"/>
      <c r="AZD119" s="950"/>
      <c r="AZE119" s="950"/>
      <c r="AZF119" s="950"/>
      <c r="AZG119" s="950"/>
      <c r="AZH119" s="950"/>
      <c r="AZI119" s="950"/>
      <c r="AZJ119" s="950"/>
      <c r="AZK119" s="950"/>
      <c r="AZL119" s="950"/>
      <c r="AZM119" s="950"/>
      <c r="AZN119" s="950"/>
      <c r="AZO119" s="950"/>
      <c r="AZP119" s="950"/>
      <c r="AZQ119" s="950"/>
      <c r="AZR119" s="950"/>
      <c r="AZS119" s="950"/>
      <c r="AZT119" s="950"/>
      <c r="AZU119" s="950"/>
      <c r="AZV119" s="950"/>
      <c r="AZW119" s="950"/>
      <c r="AZX119" s="950"/>
      <c r="AZY119" s="950"/>
      <c r="AZZ119" s="950"/>
      <c r="BAA119" s="950"/>
      <c r="BAB119" s="950"/>
      <c r="BAC119" s="950"/>
      <c r="BAD119" s="950"/>
      <c r="BAE119" s="950"/>
      <c r="BAF119" s="950"/>
      <c r="BAG119" s="950"/>
      <c r="BAH119" s="950"/>
      <c r="BAI119" s="950"/>
      <c r="BAJ119" s="950"/>
      <c r="BAK119" s="950"/>
      <c r="BAL119" s="950"/>
      <c r="BAM119" s="950"/>
      <c r="BAN119" s="950"/>
      <c r="BAO119" s="950"/>
      <c r="BAP119" s="950"/>
      <c r="BAQ119" s="950"/>
      <c r="BAR119" s="950"/>
      <c r="BAS119" s="950"/>
      <c r="BAT119" s="950"/>
      <c r="BAU119" s="950"/>
      <c r="BAV119" s="950"/>
      <c r="BAW119" s="950"/>
      <c r="BAX119" s="950"/>
      <c r="BAY119" s="950"/>
      <c r="BAZ119" s="950"/>
      <c r="BBA119" s="950"/>
      <c r="BBB119" s="950"/>
      <c r="BBC119" s="950"/>
      <c r="BBD119" s="950"/>
      <c r="BBE119" s="950"/>
      <c r="BBF119" s="950"/>
      <c r="BBG119" s="950"/>
      <c r="BBH119" s="950"/>
      <c r="BBI119" s="950"/>
      <c r="BBJ119" s="950"/>
      <c r="BBK119" s="950"/>
      <c r="BBL119" s="950"/>
      <c r="BBM119" s="950"/>
      <c r="BBN119" s="950"/>
      <c r="BBO119" s="950"/>
      <c r="BBP119" s="950"/>
      <c r="BBQ119" s="950"/>
      <c r="BBR119" s="950"/>
      <c r="BBS119" s="950"/>
      <c r="BBT119" s="950"/>
      <c r="BBU119" s="950"/>
      <c r="BBV119" s="950"/>
      <c r="BBW119" s="950"/>
      <c r="BBX119" s="950"/>
      <c r="BBY119" s="950"/>
      <c r="BBZ119" s="950"/>
      <c r="BCA119" s="950"/>
      <c r="BCB119" s="950"/>
      <c r="BCC119" s="950"/>
      <c r="BCD119" s="950"/>
      <c r="BCE119" s="950"/>
      <c r="BCF119" s="950"/>
      <c r="BCG119" s="950"/>
      <c r="BCH119" s="950"/>
      <c r="BCI119" s="950"/>
      <c r="BCJ119" s="950"/>
      <c r="BCK119" s="950"/>
      <c r="BCL119" s="950"/>
      <c r="BCM119" s="950"/>
      <c r="BCN119" s="950"/>
      <c r="BCO119" s="950"/>
      <c r="BCP119" s="950"/>
      <c r="BCQ119" s="950"/>
      <c r="BCR119" s="950"/>
      <c r="BCS119" s="950"/>
      <c r="BCT119" s="950"/>
      <c r="BCU119" s="950"/>
      <c r="BCV119" s="950"/>
      <c r="BCW119" s="950"/>
      <c r="BCX119" s="950"/>
      <c r="BCY119" s="950"/>
      <c r="BCZ119" s="950"/>
      <c r="BDA119" s="950"/>
      <c r="BDB119" s="950"/>
      <c r="BDC119" s="950"/>
      <c r="BDD119" s="950"/>
      <c r="BDE119" s="950"/>
      <c r="BDF119" s="950"/>
      <c r="BDG119" s="950"/>
      <c r="BDH119" s="950"/>
      <c r="BDI119" s="950"/>
      <c r="BDJ119" s="950"/>
      <c r="BDK119" s="950"/>
      <c r="BDL119" s="950"/>
      <c r="BDM119" s="950"/>
      <c r="BDN119" s="950"/>
      <c r="BDO119" s="950"/>
      <c r="BDP119" s="950"/>
      <c r="BDQ119" s="950"/>
      <c r="BDR119" s="950"/>
      <c r="BDS119" s="950"/>
      <c r="BDT119" s="950"/>
      <c r="BDU119" s="950"/>
      <c r="BDV119" s="950"/>
      <c r="BDW119" s="950"/>
      <c r="BDX119" s="950"/>
      <c r="BDY119" s="950"/>
      <c r="BDZ119" s="950"/>
      <c r="BEA119" s="950"/>
      <c r="BEB119" s="950"/>
      <c r="BEC119" s="950"/>
      <c r="BED119" s="950"/>
      <c r="BEE119" s="950"/>
      <c r="BEF119" s="950"/>
      <c r="BEG119" s="950"/>
      <c r="BEH119" s="950"/>
      <c r="BEI119" s="950"/>
      <c r="BEJ119" s="950"/>
      <c r="BEK119" s="950"/>
      <c r="BEL119" s="950"/>
      <c r="BEM119" s="950"/>
      <c r="BEN119" s="950"/>
      <c r="BEO119" s="950"/>
      <c r="BEP119" s="950"/>
      <c r="BEQ119" s="950"/>
      <c r="BER119" s="950"/>
      <c r="BES119" s="950"/>
      <c r="BET119" s="950"/>
      <c r="BEU119" s="950"/>
      <c r="BEV119" s="950"/>
      <c r="BEW119" s="950"/>
      <c r="BEX119" s="950"/>
      <c r="BEY119" s="950"/>
      <c r="BEZ119" s="950"/>
      <c r="BFA119" s="950"/>
      <c r="BFB119" s="950"/>
      <c r="BFC119" s="950"/>
      <c r="BFD119" s="950"/>
      <c r="BFE119" s="950"/>
      <c r="BFF119" s="950"/>
      <c r="BFG119" s="950"/>
      <c r="BFH119" s="950"/>
      <c r="BFI119" s="950"/>
      <c r="BFJ119" s="950"/>
      <c r="BFK119" s="950"/>
      <c r="BFL119" s="950"/>
      <c r="BFM119" s="950"/>
      <c r="BFN119" s="950"/>
      <c r="BFO119" s="950"/>
      <c r="BFP119" s="950"/>
      <c r="BFQ119" s="950"/>
      <c r="BFR119" s="950"/>
      <c r="BFS119" s="950"/>
      <c r="BFT119" s="950"/>
      <c r="BFU119" s="950"/>
      <c r="BFV119" s="950"/>
      <c r="BFW119" s="950"/>
      <c r="BFX119" s="950"/>
      <c r="BFY119" s="950"/>
      <c r="BFZ119" s="950"/>
      <c r="BGA119" s="950"/>
      <c r="BGB119" s="950"/>
      <c r="BGC119" s="950"/>
      <c r="BGD119" s="950"/>
      <c r="BGE119" s="950"/>
      <c r="BGF119" s="950"/>
      <c r="BGG119" s="950"/>
      <c r="BGH119" s="950"/>
      <c r="BGI119" s="950"/>
      <c r="BGJ119" s="950"/>
      <c r="BGK119" s="950"/>
      <c r="BGL119" s="950"/>
      <c r="BGM119" s="950"/>
      <c r="BGN119" s="950"/>
      <c r="BGO119" s="950"/>
      <c r="BGP119" s="950"/>
      <c r="BGQ119" s="950"/>
      <c r="BGR119" s="950"/>
      <c r="BGS119" s="950"/>
      <c r="BGT119" s="950"/>
      <c r="BGU119" s="950"/>
      <c r="BGV119" s="950"/>
      <c r="BGW119" s="950"/>
      <c r="BGX119" s="950"/>
      <c r="BGY119" s="950"/>
      <c r="BGZ119" s="950"/>
      <c r="BHA119" s="950"/>
      <c r="BHB119" s="950"/>
      <c r="BHC119" s="950"/>
      <c r="BHD119" s="950"/>
      <c r="BHE119" s="950"/>
      <c r="BHF119" s="950"/>
      <c r="BHG119" s="950"/>
      <c r="BHH119" s="950"/>
      <c r="BHI119" s="950"/>
      <c r="BHJ119" s="950"/>
      <c r="BHK119" s="950"/>
      <c r="BHL119" s="950"/>
      <c r="BHM119" s="950"/>
      <c r="BHN119" s="950"/>
      <c r="BHO119" s="950"/>
      <c r="BHP119" s="950"/>
      <c r="BHQ119" s="950"/>
      <c r="BHR119" s="950"/>
      <c r="BHS119" s="950"/>
      <c r="BHT119" s="950"/>
      <c r="BHU119" s="950"/>
      <c r="BHV119" s="950"/>
      <c r="BHW119" s="950"/>
      <c r="BHX119" s="950"/>
      <c r="BHY119" s="950"/>
      <c r="BHZ119" s="950"/>
      <c r="BIA119" s="950"/>
      <c r="BIB119" s="950"/>
      <c r="BIC119" s="950"/>
      <c r="BID119" s="950"/>
      <c r="BIE119" s="950"/>
      <c r="BIF119" s="950"/>
      <c r="BIG119" s="950"/>
      <c r="BIH119" s="950"/>
      <c r="BII119" s="950"/>
      <c r="BIJ119" s="950"/>
      <c r="BIK119" s="950"/>
      <c r="BIL119" s="950"/>
      <c r="BIM119" s="950"/>
      <c r="BIN119" s="950"/>
      <c r="BIO119" s="950"/>
      <c r="BIP119" s="950"/>
      <c r="BIQ119" s="950"/>
      <c r="BIR119" s="950"/>
      <c r="BIS119" s="950"/>
      <c r="BIT119" s="950"/>
      <c r="BIU119" s="950"/>
      <c r="BIV119" s="950"/>
      <c r="BIW119" s="950"/>
      <c r="BIX119" s="950"/>
      <c r="BIY119" s="950"/>
      <c r="BIZ119" s="950"/>
      <c r="BJA119" s="950"/>
      <c r="BJB119" s="950"/>
      <c r="BJC119" s="950"/>
      <c r="BJD119" s="950"/>
      <c r="BJE119" s="950"/>
      <c r="BJF119" s="950"/>
      <c r="BJG119" s="950"/>
      <c r="BJH119" s="950"/>
      <c r="BJI119" s="950"/>
      <c r="BJJ119" s="950"/>
      <c r="BJK119" s="950"/>
      <c r="BJL119" s="950"/>
      <c r="BJM119" s="950"/>
      <c r="BJN119" s="950"/>
      <c r="BJO119" s="950"/>
      <c r="BJP119" s="950"/>
      <c r="BJQ119" s="950"/>
      <c r="BJR119" s="950"/>
      <c r="BJS119" s="950"/>
      <c r="BJT119" s="950"/>
      <c r="BJU119" s="950"/>
      <c r="BJV119" s="950"/>
      <c r="BJW119" s="950"/>
      <c r="BJX119" s="950"/>
      <c r="BJY119" s="950"/>
      <c r="BJZ119" s="950"/>
      <c r="BKA119" s="950"/>
      <c r="BKB119" s="950"/>
      <c r="BKC119" s="950"/>
      <c r="BKD119" s="950"/>
      <c r="BKE119" s="950"/>
      <c r="BKF119" s="950"/>
      <c r="BKG119" s="950"/>
      <c r="BKH119" s="950"/>
      <c r="BKI119" s="950"/>
      <c r="BKJ119" s="950"/>
      <c r="BKK119" s="950"/>
      <c r="BKL119" s="950"/>
      <c r="BKM119" s="950"/>
      <c r="BKN119" s="950"/>
      <c r="BKO119" s="950"/>
      <c r="BKP119" s="950"/>
      <c r="BKQ119" s="950"/>
      <c r="BKR119" s="950"/>
      <c r="BKS119" s="950"/>
      <c r="BKT119" s="950"/>
      <c r="BKU119" s="950"/>
      <c r="BKV119" s="950"/>
      <c r="BKW119" s="950"/>
      <c r="BKX119" s="950"/>
      <c r="BKY119" s="950"/>
      <c r="BKZ119" s="950"/>
      <c r="BLA119" s="950"/>
      <c r="BLB119" s="950"/>
      <c r="BLC119" s="950"/>
      <c r="BLD119" s="950"/>
      <c r="BLE119" s="950"/>
      <c r="BLF119" s="950"/>
      <c r="BLG119" s="950"/>
      <c r="BLH119" s="950"/>
      <c r="BLI119" s="950"/>
      <c r="BLJ119" s="950"/>
      <c r="BLK119" s="950"/>
      <c r="BLL119" s="950"/>
      <c r="BLM119" s="950"/>
      <c r="BLN119" s="950"/>
      <c r="BLO119" s="950"/>
      <c r="BLP119" s="950"/>
      <c r="BLQ119" s="950"/>
      <c r="BLR119" s="950"/>
      <c r="BLS119" s="950"/>
      <c r="BLT119" s="950"/>
      <c r="BLU119" s="950"/>
      <c r="BLV119" s="950"/>
      <c r="BLW119" s="950"/>
      <c r="BLX119" s="950"/>
      <c r="BLY119" s="950"/>
      <c r="BLZ119" s="950"/>
      <c r="BMA119" s="950"/>
      <c r="BMB119" s="950"/>
      <c r="BMC119" s="950"/>
      <c r="BMD119" s="950"/>
      <c r="BME119" s="950"/>
      <c r="BMF119" s="950"/>
      <c r="BMG119" s="950"/>
      <c r="BMH119" s="950"/>
      <c r="BMI119" s="950"/>
      <c r="BMJ119" s="950"/>
      <c r="BMK119" s="950"/>
      <c r="BML119" s="950"/>
      <c r="BMM119" s="950"/>
      <c r="BMN119" s="950"/>
      <c r="BMO119" s="950"/>
      <c r="BMP119" s="950"/>
      <c r="BMQ119" s="950"/>
      <c r="BMR119" s="950"/>
      <c r="BMS119" s="950"/>
      <c r="BMT119" s="950"/>
      <c r="BMU119" s="950"/>
      <c r="BMV119" s="950"/>
      <c r="BMW119" s="950"/>
      <c r="BMX119" s="950"/>
      <c r="BMY119" s="950"/>
      <c r="BMZ119" s="950"/>
      <c r="BNA119" s="950"/>
      <c r="BNB119" s="950"/>
      <c r="BNC119" s="950"/>
      <c r="BND119" s="950"/>
      <c r="BNE119" s="950"/>
      <c r="BNF119" s="950"/>
      <c r="BNG119" s="950"/>
      <c r="BNH119" s="950"/>
      <c r="BNI119" s="950"/>
      <c r="BNJ119" s="950"/>
      <c r="BNK119" s="950"/>
      <c r="BNL119" s="950"/>
      <c r="BNM119" s="950"/>
      <c r="BNN119" s="950"/>
      <c r="BNO119" s="950"/>
      <c r="BNP119" s="950"/>
      <c r="BNQ119" s="950"/>
      <c r="BNR119" s="950"/>
      <c r="BNS119" s="950"/>
      <c r="BNT119" s="950"/>
      <c r="BNU119" s="950"/>
      <c r="BNV119" s="950"/>
      <c r="BNW119" s="950"/>
      <c r="BNX119" s="950"/>
      <c r="BNY119" s="950"/>
      <c r="BNZ119" s="950"/>
      <c r="BOA119" s="950"/>
      <c r="BOB119" s="950"/>
      <c r="BOC119" s="950"/>
      <c r="BOD119" s="950"/>
      <c r="BOE119" s="950"/>
      <c r="BOF119" s="950"/>
      <c r="BOG119" s="950"/>
      <c r="BOH119" s="950"/>
      <c r="BOI119" s="950"/>
      <c r="BOJ119" s="950"/>
      <c r="BOK119" s="950"/>
      <c r="BOL119" s="950"/>
      <c r="BOM119" s="950"/>
      <c r="BON119" s="950"/>
      <c r="BOO119" s="950"/>
      <c r="BOP119" s="950"/>
      <c r="BOQ119" s="950"/>
      <c r="BOR119" s="950"/>
      <c r="BOS119" s="950"/>
      <c r="BOT119" s="950"/>
      <c r="BOU119" s="950"/>
      <c r="BOV119" s="950"/>
      <c r="BOW119" s="950"/>
      <c r="BOX119" s="950"/>
      <c r="BOY119" s="950"/>
      <c r="BOZ119" s="950"/>
      <c r="BPA119" s="950"/>
      <c r="BPB119" s="950"/>
      <c r="BPC119" s="950"/>
      <c r="BPD119" s="950"/>
      <c r="BPE119" s="950"/>
      <c r="BPF119" s="950"/>
      <c r="BPG119" s="950"/>
      <c r="BPH119" s="950"/>
      <c r="BPI119" s="950"/>
      <c r="BPJ119" s="950"/>
      <c r="BPK119" s="950"/>
      <c r="BPL119" s="950"/>
      <c r="BPM119" s="950"/>
      <c r="BPN119" s="950"/>
      <c r="BPO119" s="950"/>
      <c r="BPP119" s="950"/>
      <c r="BPQ119" s="950"/>
      <c r="BPR119" s="950"/>
      <c r="BPS119" s="950"/>
      <c r="BPT119" s="950"/>
      <c r="BPU119" s="950"/>
      <c r="BPV119" s="950"/>
      <c r="BPW119" s="950"/>
      <c r="BPX119" s="950"/>
      <c r="BPY119" s="950"/>
      <c r="BPZ119" s="950"/>
      <c r="BQA119" s="950"/>
      <c r="BQB119" s="950"/>
      <c r="BQC119" s="950"/>
      <c r="BQD119" s="950"/>
      <c r="BQE119" s="950"/>
      <c r="BQF119" s="950"/>
      <c r="BQG119" s="950"/>
      <c r="BQH119" s="950"/>
      <c r="BQI119" s="950"/>
      <c r="BQJ119" s="950"/>
      <c r="BQK119" s="950"/>
      <c r="BQL119" s="950"/>
      <c r="BQM119" s="950"/>
      <c r="BQN119" s="950"/>
      <c r="BQO119" s="950"/>
      <c r="BQP119" s="950"/>
      <c r="BQQ119" s="950"/>
      <c r="BQR119" s="950"/>
      <c r="BQS119" s="950"/>
      <c r="BQT119" s="950"/>
      <c r="BQU119" s="950"/>
      <c r="BQV119" s="950"/>
      <c r="BQW119" s="950"/>
      <c r="BQX119" s="950"/>
      <c r="BQY119" s="950"/>
      <c r="BQZ119" s="950"/>
      <c r="BRA119" s="950"/>
      <c r="BRB119" s="950"/>
      <c r="BRC119" s="950"/>
      <c r="BRD119" s="950"/>
      <c r="BRE119" s="950"/>
      <c r="BRF119" s="950"/>
      <c r="BRG119" s="950"/>
      <c r="BRH119" s="950"/>
      <c r="BRI119" s="950"/>
      <c r="BRJ119" s="950"/>
      <c r="BRK119" s="950"/>
      <c r="BRL119" s="950"/>
      <c r="BRM119" s="950"/>
      <c r="BRN119" s="950"/>
      <c r="BRO119" s="950"/>
      <c r="BRP119" s="950"/>
      <c r="BRQ119" s="950"/>
      <c r="BRR119" s="950"/>
      <c r="BRS119" s="950"/>
      <c r="BRT119" s="950"/>
      <c r="BRU119" s="950"/>
      <c r="BRV119" s="950"/>
      <c r="BRW119" s="950"/>
      <c r="BRX119" s="950"/>
      <c r="BRY119" s="950"/>
      <c r="BRZ119" s="950"/>
      <c r="BSA119" s="950"/>
      <c r="BSB119" s="950"/>
      <c r="BSC119" s="950"/>
      <c r="BSD119" s="950"/>
      <c r="BSE119" s="950"/>
      <c r="BSF119" s="950"/>
      <c r="BSG119" s="950"/>
      <c r="BSH119" s="950"/>
      <c r="BSI119" s="950"/>
      <c r="BSJ119" s="950"/>
      <c r="BSK119" s="950"/>
      <c r="BSL119" s="950"/>
      <c r="BSM119" s="950"/>
      <c r="BSN119" s="950"/>
      <c r="BSO119" s="950"/>
      <c r="BSP119" s="950"/>
      <c r="BSQ119" s="950"/>
      <c r="BSR119" s="950"/>
      <c r="BSS119" s="950"/>
      <c r="BST119" s="950"/>
      <c r="BSU119" s="950"/>
      <c r="BSV119" s="950"/>
      <c r="BSW119" s="950"/>
      <c r="BSX119" s="950"/>
      <c r="BSY119" s="950"/>
      <c r="BSZ119" s="950"/>
      <c r="BTA119" s="950"/>
      <c r="BTB119" s="950"/>
      <c r="BTC119" s="950"/>
      <c r="BTD119" s="950"/>
      <c r="BTE119" s="950"/>
      <c r="BTF119" s="950"/>
      <c r="BTG119" s="950"/>
      <c r="BTH119" s="950"/>
      <c r="BTI119" s="950"/>
      <c r="BTJ119" s="950"/>
      <c r="BTK119" s="950"/>
      <c r="BTL119" s="950"/>
      <c r="BTM119" s="950"/>
      <c r="BTN119" s="950"/>
      <c r="BTO119" s="950"/>
      <c r="BTP119" s="950"/>
      <c r="BTQ119" s="950"/>
      <c r="BTR119" s="950"/>
      <c r="BTS119" s="950"/>
      <c r="BTT119" s="950"/>
      <c r="BTU119" s="950"/>
      <c r="BTV119" s="950"/>
      <c r="BTW119" s="950"/>
      <c r="BTX119" s="950"/>
      <c r="BTY119" s="950"/>
      <c r="BTZ119" s="950"/>
      <c r="BUA119" s="950"/>
      <c r="BUB119" s="950"/>
      <c r="BUC119" s="950"/>
      <c r="BUD119" s="950"/>
      <c r="BUE119" s="950"/>
      <c r="BUF119" s="950"/>
      <c r="BUG119" s="950"/>
      <c r="BUH119" s="950"/>
      <c r="BUI119" s="950"/>
      <c r="BUJ119" s="950"/>
      <c r="BUK119" s="950"/>
      <c r="BUL119" s="950"/>
      <c r="BUM119" s="950"/>
      <c r="BUN119" s="950"/>
      <c r="BUO119" s="950"/>
      <c r="BUP119" s="950"/>
      <c r="BUQ119" s="950"/>
      <c r="BUR119" s="950"/>
      <c r="BUS119" s="950"/>
      <c r="BUT119" s="950"/>
      <c r="BUU119" s="950"/>
      <c r="BUV119" s="950"/>
      <c r="BUW119" s="950"/>
      <c r="BUX119" s="950"/>
      <c r="BUY119" s="950"/>
      <c r="BUZ119" s="950"/>
      <c r="BVA119" s="950"/>
      <c r="BVB119" s="950"/>
      <c r="BVC119" s="950"/>
      <c r="BVD119" s="950"/>
      <c r="BVE119" s="950"/>
      <c r="BVF119" s="950"/>
      <c r="BVG119" s="950"/>
      <c r="BVH119" s="950"/>
      <c r="BVI119" s="950"/>
      <c r="BVJ119" s="950"/>
      <c r="BVK119" s="950"/>
      <c r="BVL119" s="950"/>
      <c r="BVM119" s="950"/>
      <c r="BVN119" s="950"/>
      <c r="BVO119" s="950"/>
      <c r="BVP119" s="950"/>
      <c r="BVQ119" s="950"/>
      <c r="BVR119" s="950"/>
      <c r="BVS119" s="950"/>
      <c r="BVT119" s="950"/>
      <c r="BVU119" s="950"/>
      <c r="BVV119" s="950"/>
      <c r="BVW119" s="950"/>
      <c r="BVX119" s="950"/>
      <c r="BVY119" s="950"/>
      <c r="BVZ119" s="950"/>
      <c r="BWA119" s="950"/>
      <c r="BWB119" s="950"/>
      <c r="BWC119" s="950"/>
      <c r="BWD119" s="950"/>
      <c r="BWE119" s="950"/>
      <c r="BWF119" s="950"/>
      <c r="BWG119" s="950"/>
      <c r="BWH119" s="950"/>
      <c r="BWI119" s="950"/>
      <c r="BWJ119" s="950"/>
      <c r="BWK119" s="950"/>
      <c r="BWL119" s="950"/>
      <c r="BWM119" s="950"/>
      <c r="BWN119" s="950"/>
      <c r="BWO119" s="950"/>
      <c r="BWP119" s="950"/>
      <c r="BWQ119" s="950"/>
      <c r="BWR119" s="950"/>
      <c r="BWS119" s="950"/>
      <c r="BWT119" s="950"/>
      <c r="BWU119" s="950"/>
      <c r="BWV119" s="950"/>
      <c r="BWW119" s="950"/>
      <c r="BWX119" s="950"/>
      <c r="BWY119" s="950"/>
      <c r="BWZ119" s="950"/>
      <c r="BXA119" s="950"/>
      <c r="BXB119" s="950"/>
      <c r="BXC119" s="950"/>
      <c r="BXD119" s="950"/>
      <c r="BXE119" s="950"/>
      <c r="BXF119" s="950"/>
      <c r="BXG119" s="950"/>
      <c r="BXH119" s="950"/>
      <c r="BXI119" s="950"/>
      <c r="BXJ119" s="950"/>
      <c r="BXK119" s="950"/>
      <c r="BXL119" s="950"/>
      <c r="BXM119" s="950"/>
      <c r="BXN119" s="950"/>
      <c r="BXO119" s="950"/>
      <c r="BXP119" s="950"/>
      <c r="BXQ119" s="950"/>
      <c r="BXR119" s="950"/>
      <c r="BXS119" s="950"/>
      <c r="BXT119" s="950"/>
      <c r="BXU119" s="950"/>
      <c r="BXV119" s="950"/>
      <c r="BXW119" s="950"/>
      <c r="BXX119" s="950"/>
      <c r="BXY119" s="950"/>
      <c r="BXZ119" s="950"/>
      <c r="BYA119" s="950"/>
      <c r="BYB119" s="950"/>
      <c r="BYC119" s="950"/>
      <c r="BYD119" s="950"/>
      <c r="BYE119" s="950"/>
      <c r="BYF119" s="950"/>
      <c r="BYG119" s="950"/>
      <c r="BYH119" s="950"/>
      <c r="BYI119" s="950"/>
      <c r="BYJ119" s="950"/>
      <c r="BYK119" s="950"/>
      <c r="BYL119" s="950"/>
      <c r="BYM119" s="950"/>
      <c r="BYN119" s="950"/>
      <c r="BYO119" s="950"/>
      <c r="BYP119" s="950"/>
      <c r="BYQ119" s="950"/>
      <c r="BYR119" s="950"/>
      <c r="BYS119" s="950"/>
      <c r="BYT119" s="950"/>
      <c r="BYU119" s="950"/>
      <c r="BYV119" s="950"/>
      <c r="BYW119" s="950"/>
      <c r="BYX119" s="950"/>
      <c r="BYY119" s="950"/>
      <c r="BYZ119" s="950"/>
      <c r="BZA119" s="950"/>
      <c r="BZB119" s="950"/>
      <c r="BZC119" s="950"/>
      <c r="BZD119" s="950"/>
      <c r="BZE119" s="950"/>
      <c r="BZF119" s="950"/>
      <c r="BZG119" s="950"/>
      <c r="BZH119" s="950"/>
      <c r="BZI119" s="950"/>
      <c r="BZJ119" s="950"/>
      <c r="BZK119" s="950"/>
      <c r="BZL119" s="950"/>
      <c r="BZM119" s="950"/>
      <c r="BZN119" s="950"/>
      <c r="BZO119" s="950"/>
      <c r="BZP119" s="950"/>
      <c r="BZQ119" s="950"/>
      <c r="BZR119" s="950"/>
      <c r="BZS119" s="950"/>
      <c r="BZT119" s="950"/>
      <c r="BZU119" s="950"/>
      <c r="BZV119" s="950"/>
      <c r="BZW119" s="950"/>
      <c r="BZX119" s="950"/>
      <c r="BZY119" s="950"/>
      <c r="BZZ119" s="950"/>
      <c r="CAA119" s="950"/>
      <c r="CAB119" s="950"/>
      <c r="CAC119" s="950"/>
      <c r="CAD119" s="950"/>
      <c r="CAE119" s="950"/>
      <c r="CAF119" s="950"/>
      <c r="CAG119" s="950"/>
      <c r="CAH119" s="950"/>
      <c r="CAI119" s="950"/>
      <c r="CAJ119" s="950"/>
      <c r="CAK119" s="950"/>
      <c r="CAL119" s="950"/>
      <c r="CAM119" s="950"/>
      <c r="CAN119" s="950"/>
      <c r="CAO119" s="950"/>
      <c r="CAP119" s="950"/>
      <c r="CAQ119" s="950"/>
      <c r="CAR119" s="950"/>
      <c r="CAS119" s="950"/>
      <c r="CAT119" s="950"/>
      <c r="CAU119" s="950"/>
      <c r="CAV119" s="950"/>
      <c r="CAW119" s="950"/>
      <c r="CAX119" s="950"/>
      <c r="CAY119" s="950"/>
      <c r="CAZ119" s="950"/>
      <c r="CBA119" s="950"/>
      <c r="CBB119" s="950"/>
      <c r="CBC119" s="950"/>
      <c r="CBD119" s="950"/>
      <c r="CBE119" s="950"/>
      <c r="CBF119" s="950"/>
      <c r="CBG119" s="950"/>
      <c r="CBH119" s="950"/>
      <c r="CBI119" s="950"/>
      <c r="CBJ119" s="950"/>
      <c r="CBK119" s="950"/>
      <c r="CBL119" s="950"/>
      <c r="CBM119" s="950"/>
      <c r="CBN119" s="950"/>
      <c r="CBO119" s="950"/>
      <c r="CBP119" s="950"/>
      <c r="CBQ119" s="950"/>
      <c r="CBR119" s="950"/>
      <c r="CBS119" s="950"/>
      <c r="CBT119" s="950"/>
      <c r="CBU119" s="950"/>
      <c r="CBV119" s="950"/>
      <c r="CBW119" s="950"/>
      <c r="CBX119" s="950"/>
      <c r="CBY119" s="950"/>
      <c r="CBZ119" s="950"/>
      <c r="CCA119" s="950"/>
      <c r="CCB119" s="950"/>
      <c r="CCC119" s="950"/>
      <c r="CCD119" s="950"/>
      <c r="CCE119" s="950"/>
      <c r="CCF119" s="950"/>
      <c r="CCG119" s="950"/>
      <c r="CCH119" s="950"/>
      <c r="CCI119" s="950"/>
      <c r="CCJ119" s="950"/>
      <c r="CCK119" s="950"/>
      <c r="CCL119" s="950"/>
      <c r="CCM119" s="950"/>
      <c r="CCN119" s="950"/>
      <c r="CCO119" s="950"/>
      <c r="CCP119" s="950"/>
      <c r="CCQ119" s="950"/>
      <c r="CCR119" s="950"/>
      <c r="CCS119" s="950"/>
      <c r="CCT119" s="950"/>
      <c r="CCU119" s="950"/>
      <c r="CCV119" s="950"/>
      <c r="CCW119" s="950"/>
      <c r="CCX119" s="950"/>
      <c r="CCY119" s="950"/>
      <c r="CCZ119" s="950"/>
      <c r="CDA119" s="950"/>
      <c r="CDB119" s="950"/>
      <c r="CDC119" s="950"/>
      <c r="CDD119" s="950"/>
      <c r="CDE119" s="950"/>
      <c r="CDF119" s="950"/>
      <c r="CDG119" s="950"/>
      <c r="CDH119" s="950"/>
      <c r="CDI119" s="950"/>
      <c r="CDJ119" s="950"/>
      <c r="CDK119" s="950"/>
      <c r="CDL119" s="950"/>
      <c r="CDM119" s="950"/>
      <c r="CDN119" s="950"/>
      <c r="CDO119" s="950"/>
      <c r="CDP119" s="950"/>
      <c r="CDQ119" s="950"/>
      <c r="CDR119" s="950"/>
      <c r="CDS119" s="950"/>
      <c r="CDT119" s="950"/>
      <c r="CDU119" s="950"/>
      <c r="CDV119" s="950"/>
      <c r="CDW119" s="950"/>
      <c r="CDX119" s="950"/>
      <c r="CDY119" s="950"/>
      <c r="CDZ119" s="950"/>
      <c r="CEA119" s="950"/>
      <c r="CEB119" s="950"/>
      <c r="CEC119" s="950"/>
      <c r="CED119" s="950"/>
      <c r="CEE119" s="950"/>
      <c r="CEF119" s="950"/>
      <c r="CEG119" s="950"/>
      <c r="CEH119" s="950"/>
      <c r="CEI119" s="950"/>
      <c r="CEJ119" s="950"/>
      <c r="CEK119" s="950"/>
      <c r="CEL119" s="950"/>
      <c r="CEM119" s="950"/>
      <c r="CEN119" s="950"/>
      <c r="CEO119" s="950"/>
      <c r="CEP119" s="950"/>
      <c r="CEQ119" s="950"/>
      <c r="CER119" s="950"/>
      <c r="CES119" s="950"/>
      <c r="CET119" s="950"/>
      <c r="CEU119" s="950"/>
      <c r="CEV119" s="950"/>
      <c r="CEW119" s="950"/>
      <c r="CEX119" s="950"/>
      <c r="CEY119" s="950"/>
      <c r="CEZ119" s="950"/>
      <c r="CFA119" s="950"/>
      <c r="CFB119" s="950"/>
      <c r="CFC119" s="950"/>
      <c r="CFD119" s="950"/>
      <c r="CFE119" s="950"/>
      <c r="CFF119" s="950"/>
      <c r="CFG119" s="950"/>
      <c r="CFH119" s="950"/>
      <c r="CFI119" s="950"/>
      <c r="CFJ119" s="950"/>
      <c r="CFK119" s="950"/>
      <c r="CFL119" s="950"/>
      <c r="CFM119" s="950"/>
      <c r="CFN119" s="950"/>
      <c r="CFO119" s="950"/>
      <c r="CFP119" s="950"/>
      <c r="CFQ119" s="950"/>
      <c r="CFR119" s="950"/>
      <c r="CFS119" s="950"/>
      <c r="CFT119" s="950"/>
      <c r="CFU119" s="950"/>
      <c r="CFV119" s="950"/>
      <c r="CFW119" s="950"/>
      <c r="CFX119" s="950"/>
      <c r="CFY119" s="950"/>
      <c r="CFZ119" s="950"/>
      <c r="CGA119" s="950"/>
      <c r="CGB119" s="950"/>
      <c r="CGC119" s="950"/>
      <c r="CGD119" s="950"/>
      <c r="CGE119" s="950"/>
      <c r="CGF119" s="950"/>
      <c r="CGG119" s="950"/>
      <c r="CGH119" s="950"/>
      <c r="CGI119" s="950"/>
      <c r="CGJ119" s="950"/>
      <c r="CGK119" s="950"/>
      <c r="CGL119" s="950"/>
      <c r="CGM119" s="950"/>
      <c r="CGN119" s="950"/>
      <c r="CGO119" s="950"/>
      <c r="CGP119" s="950"/>
      <c r="CGQ119" s="950"/>
      <c r="CGR119" s="950"/>
      <c r="CGS119" s="950"/>
      <c r="CGT119" s="950"/>
      <c r="CGU119" s="950"/>
      <c r="CGV119" s="950"/>
      <c r="CGW119" s="950"/>
      <c r="CGX119" s="950"/>
      <c r="CGY119" s="950"/>
      <c r="CGZ119" s="950"/>
      <c r="CHA119" s="950"/>
      <c r="CHB119" s="950"/>
      <c r="CHC119" s="950"/>
      <c r="CHD119" s="950"/>
      <c r="CHE119" s="950"/>
      <c r="CHF119" s="950"/>
      <c r="CHG119" s="950"/>
      <c r="CHH119" s="950"/>
      <c r="CHI119" s="950"/>
      <c r="CHJ119" s="950"/>
      <c r="CHK119" s="950"/>
      <c r="CHL119" s="950"/>
      <c r="CHM119" s="950"/>
      <c r="CHN119" s="950"/>
      <c r="CHO119" s="950"/>
      <c r="CHP119" s="950"/>
      <c r="CHQ119" s="950"/>
      <c r="CHR119" s="950"/>
      <c r="CHS119" s="950"/>
      <c r="CHT119" s="950"/>
      <c r="CHU119" s="950"/>
      <c r="CHV119" s="950"/>
      <c r="CHW119" s="950"/>
      <c r="CHX119" s="950"/>
      <c r="CHY119" s="950"/>
      <c r="CHZ119" s="950"/>
      <c r="CIA119" s="950"/>
      <c r="CIB119" s="950"/>
      <c r="CIC119" s="950"/>
      <c r="CID119" s="950"/>
      <c r="CIE119" s="950"/>
      <c r="CIF119" s="950"/>
      <c r="CIG119" s="950"/>
      <c r="CIH119" s="950"/>
      <c r="CII119" s="950"/>
      <c r="CIJ119" s="950"/>
      <c r="CIK119" s="950"/>
      <c r="CIL119" s="950"/>
      <c r="CIM119" s="950"/>
      <c r="CIN119" s="950"/>
      <c r="CIO119" s="950"/>
      <c r="CIP119" s="950"/>
      <c r="CIQ119" s="950"/>
      <c r="CIR119" s="950"/>
      <c r="CIS119" s="950"/>
      <c r="CIT119" s="950"/>
      <c r="CIU119" s="950"/>
      <c r="CIV119" s="950"/>
      <c r="CIW119" s="950"/>
      <c r="CIX119" s="950"/>
      <c r="CIY119" s="950"/>
      <c r="CIZ119" s="950"/>
      <c r="CJA119" s="950"/>
      <c r="CJB119" s="950"/>
      <c r="CJC119" s="950"/>
      <c r="CJD119" s="950"/>
      <c r="CJE119" s="950"/>
      <c r="CJF119" s="950"/>
      <c r="CJG119" s="950"/>
      <c r="CJH119" s="950"/>
      <c r="CJI119" s="950"/>
      <c r="CJJ119" s="950"/>
      <c r="CJK119" s="950"/>
      <c r="CJL119" s="950"/>
      <c r="CJM119" s="950"/>
      <c r="CJN119" s="950"/>
      <c r="CJO119" s="950"/>
      <c r="CJP119" s="950"/>
      <c r="CJQ119" s="950"/>
      <c r="CJR119" s="950"/>
      <c r="CJS119" s="950"/>
      <c r="CJT119" s="950"/>
      <c r="CJU119" s="950"/>
      <c r="CJV119" s="950"/>
      <c r="CJW119" s="950"/>
      <c r="CJX119" s="950"/>
      <c r="CJY119" s="950"/>
      <c r="CJZ119" s="950"/>
      <c r="CKA119" s="950"/>
      <c r="CKB119" s="950"/>
      <c r="CKC119" s="950"/>
      <c r="CKD119" s="950"/>
      <c r="CKE119" s="950"/>
      <c r="CKF119" s="950"/>
      <c r="CKG119" s="950"/>
      <c r="CKH119" s="950"/>
      <c r="CKI119" s="950"/>
      <c r="CKJ119" s="950"/>
      <c r="CKK119" s="950"/>
      <c r="CKL119" s="950"/>
      <c r="CKM119" s="950"/>
      <c r="CKN119" s="950"/>
      <c r="CKO119" s="950"/>
      <c r="CKP119" s="950"/>
      <c r="CKQ119" s="950"/>
      <c r="CKR119" s="950"/>
      <c r="CKS119" s="950"/>
      <c r="CKT119" s="950"/>
      <c r="CKU119" s="950"/>
      <c r="CKV119" s="950"/>
      <c r="CKW119" s="950"/>
      <c r="CKX119" s="950"/>
      <c r="CKY119" s="950"/>
      <c r="CKZ119" s="950"/>
      <c r="CLA119" s="950"/>
      <c r="CLB119" s="950"/>
      <c r="CLC119" s="950"/>
      <c r="CLD119" s="950"/>
      <c r="CLE119" s="950"/>
      <c r="CLF119" s="950"/>
      <c r="CLG119" s="950"/>
      <c r="CLH119" s="950"/>
      <c r="CLI119" s="950"/>
      <c r="CLJ119" s="950"/>
      <c r="CLK119" s="950"/>
      <c r="CLL119" s="950"/>
      <c r="CLM119" s="950"/>
      <c r="CLN119" s="950"/>
      <c r="CLO119" s="950"/>
      <c r="CLP119" s="950"/>
      <c r="CLQ119" s="950"/>
      <c r="CLR119" s="950"/>
      <c r="CLS119" s="950"/>
      <c r="CLT119" s="950"/>
      <c r="CLU119" s="950"/>
      <c r="CLV119" s="950"/>
      <c r="CLW119" s="950"/>
      <c r="CLX119" s="950"/>
      <c r="CLY119" s="950"/>
      <c r="CLZ119" s="950"/>
      <c r="CMA119" s="950"/>
      <c r="CMB119" s="950"/>
      <c r="CMC119" s="950"/>
      <c r="CMD119" s="950"/>
      <c r="CME119" s="950"/>
      <c r="CMF119" s="950"/>
      <c r="CMG119" s="950"/>
      <c r="CMH119" s="950"/>
      <c r="CMI119" s="950"/>
      <c r="CMJ119" s="950"/>
      <c r="CMK119" s="950"/>
      <c r="CML119" s="950"/>
      <c r="CMM119" s="950"/>
      <c r="CMN119" s="950"/>
      <c r="CMO119" s="950"/>
      <c r="CMP119" s="950"/>
      <c r="CMQ119" s="950"/>
      <c r="CMR119" s="950"/>
      <c r="CMS119" s="950"/>
      <c r="CMT119" s="950"/>
      <c r="CMU119" s="950"/>
      <c r="CMV119" s="950"/>
      <c r="CMW119" s="950"/>
      <c r="CMX119" s="950"/>
      <c r="CMY119" s="950"/>
      <c r="CMZ119" s="950"/>
      <c r="CNA119" s="950"/>
      <c r="CNB119" s="950"/>
      <c r="CNC119" s="950"/>
      <c r="CND119" s="950"/>
      <c r="CNE119" s="950"/>
      <c r="CNF119" s="950"/>
      <c r="CNG119" s="950"/>
      <c r="CNH119" s="950"/>
      <c r="CNI119" s="950"/>
      <c r="CNJ119" s="950"/>
      <c r="CNK119" s="950"/>
      <c r="CNL119" s="950"/>
      <c r="CNM119" s="950"/>
      <c r="CNN119" s="950"/>
      <c r="CNO119" s="950"/>
      <c r="CNP119" s="950"/>
      <c r="CNQ119" s="950"/>
      <c r="CNR119" s="950"/>
      <c r="CNS119" s="950"/>
      <c r="CNT119" s="950"/>
      <c r="CNU119" s="950"/>
      <c r="CNV119" s="950"/>
      <c r="CNW119" s="950"/>
      <c r="CNX119" s="950"/>
      <c r="CNY119" s="950"/>
      <c r="CNZ119" s="950"/>
      <c r="COA119" s="950"/>
      <c r="COB119" s="950"/>
      <c r="COC119" s="950"/>
      <c r="COD119" s="950"/>
      <c r="COE119" s="950"/>
      <c r="COF119" s="950"/>
      <c r="COG119" s="950"/>
      <c r="COH119" s="950"/>
      <c r="COI119" s="950"/>
      <c r="COJ119" s="950"/>
      <c r="COK119" s="950"/>
      <c r="COL119" s="950"/>
      <c r="COM119" s="950"/>
      <c r="CON119" s="950"/>
      <c r="COO119" s="950"/>
      <c r="COP119" s="950"/>
      <c r="COQ119" s="950"/>
      <c r="COR119" s="950"/>
      <c r="COS119" s="950"/>
      <c r="COT119" s="950"/>
      <c r="COU119" s="950"/>
      <c r="COV119" s="950"/>
      <c r="COW119" s="950"/>
      <c r="COX119" s="950"/>
      <c r="COY119" s="950"/>
      <c r="COZ119" s="950"/>
      <c r="CPA119" s="950"/>
      <c r="CPB119" s="950"/>
      <c r="CPC119" s="950"/>
      <c r="CPD119" s="950"/>
      <c r="CPE119" s="950"/>
      <c r="CPF119" s="950"/>
      <c r="CPG119" s="950"/>
      <c r="CPH119" s="950"/>
      <c r="CPI119" s="950"/>
      <c r="CPJ119" s="950"/>
      <c r="CPK119" s="950"/>
      <c r="CPL119" s="950"/>
      <c r="CPM119" s="950"/>
      <c r="CPN119" s="950"/>
      <c r="CPO119" s="950"/>
      <c r="CPP119" s="950"/>
      <c r="CPQ119" s="950"/>
      <c r="CPR119" s="950"/>
      <c r="CPS119" s="950"/>
      <c r="CPT119" s="950"/>
      <c r="CPU119" s="950"/>
      <c r="CPV119" s="950"/>
      <c r="CPW119" s="950"/>
      <c r="CPX119" s="950"/>
      <c r="CPY119" s="950"/>
      <c r="CPZ119" s="950"/>
      <c r="CQA119" s="950"/>
      <c r="CQB119" s="950"/>
      <c r="CQC119" s="950"/>
      <c r="CQD119" s="950"/>
      <c r="CQE119" s="950"/>
      <c r="CQF119" s="950"/>
      <c r="CQG119" s="950"/>
      <c r="CQH119" s="950"/>
      <c r="CQI119" s="950"/>
      <c r="CQJ119" s="950"/>
      <c r="CQK119" s="950"/>
      <c r="CQL119" s="950"/>
      <c r="CQM119" s="950"/>
      <c r="CQN119" s="950"/>
      <c r="CQO119" s="950"/>
      <c r="CQP119" s="950"/>
      <c r="CQQ119" s="950"/>
      <c r="CQR119" s="950"/>
      <c r="CQS119" s="950"/>
      <c r="CQT119" s="950"/>
      <c r="CQU119" s="950"/>
      <c r="CQV119" s="950"/>
      <c r="CQW119" s="950"/>
      <c r="CQX119" s="950"/>
      <c r="CQY119" s="950"/>
      <c r="CQZ119" s="950"/>
      <c r="CRA119" s="950"/>
      <c r="CRB119" s="950"/>
      <c r="CRC119" s="950"/>
      <c r="CRD119" s="950"/>
      <c r="CRE119" s="950"/>
      <c r="CRF119" s="950"/>
      <c r="CRG119" s="950"/>
      <c r="CRH119" s="950"/>
      <c r="CRI119" s="950"/>
      <c r="CRJ119" s="950"/>
      <c r="CRK119" s="950"/>
      <c r="CRL119" s="950"/>
      <c r="CRM119" s="950"/>
      <c r="CRN119" s="950"/>
      <c r="CRO119" s="950"/>
      <c r="CRP119" s="950"/>
      <c r="CRQ119" s="950"/>
      <c r="CRR119" s="950"/>
      <c r="CRS119" s="950"/>
      <c r="CRT119" s="950"/>
      <c r="CRU119" s="950"/>
      <c r="CRV119" s="950"/>
      <c r="CRW119" s="950"/>
      <c r="CRX119" s="950"/>
      <c r="CRY119" s="950"/>
      <c r="CRZ119" s="950"/>
      <c r="CSA119" s="950"/>
      <c r="CSB119" s="950"/>
      <c r="CSC119" s="950"/>
      <c r="CSD119" s="950"/>
      <c r="CSE119" s="950"/>
      <c r="CSF119" s="950"/>
      <c r="CSG119" s="950"/>
      <c r="CSH119" s="950"/>
      <c r="CSI119" s="950"/>
      <c r="CSJ119" s="950"/>
      <c r="CSK119" s="950"/>
      <c r="CSL119" s="950"/>
      <c r="CSM119" s="950"/>
      <c r="CSN119" s="950"/>
      <c r="CSO119" s="950"/>
      <c r="CSP119" s="950"/>
      <c r="CSQ119" s="950"/>
      <c r="CSR119" s="950"/>
      <c r="CSS119" s="950"/>
      <c r="CST119" s="950"/>
      <c r="CSU119" s="950"/>
      <c r="CSV119" s="950"/>
      <c r="CSW119" s="950"/>
      <c r="CSX119" s="950"/>
      <c r="CSY119" s="950"/>
      <c r="CSZ119" s="950"/>
      <c r="CTA119" s="950"/>
      <c r="CTB119" s="950"/>
      <c r="CTC119" s="950"/>
      <c r="CTD119" s="950"/>
      <c r="CTE119" s="950"/>
      <c r="CTF119" s="950"/>
      <c r="CTG119" s="950"/>
      <c r="CTH119" s="950"/>
      <c r="CTI119" s="950"/>
      <c r="CTJ119" s="950"/>
      <c r="CTK119" s="950"/>
      <c r="CTL119" s="950"/>
      <c r="CTM119" s="950"/>
      <c r="CTN119" s="950"/>
      <c r="CTO119" s="950"/>
      <c r="CTP119" s="950"/>
      <c r="CTQ119" s="950"/>
      <c r="CTR119" s="950"/>
      <c r="CTS119" s="950"/>
      <c r="CTT119" s="950"/>
      <c r="CTU119" s="950"/>
      <c r="CTV119" s="950"/>
      <c r="CTW119" s="950"/>
      <c r="CTX119" s="950"/>
      <c r="CTY119" s="950"/>
      <c r="CTZ119" s="950"/>
      <c r="CUA119" s="950"/>
      <c r="CUB119" s="950"/>
      <c r="CUC119" s="950"/>
      <c r="CUD119" s="950"/>
      <c r="CUE119" s="950"/>
      <c r="CUF119" s="950"/>
      <c r="CUG119" s="950"/>
      <c r="CUH119" s="950"/>
      <c r="CUI119" s="950"/>
      <c r="CUJ119" s="950"/>
      <c r="CUK119" s="950"/>
      <c r="CUL119" s="950"/>
      <c r="CUM119" s="950"/>
      <c r="CUN119" s="950"/>
      <c r="CUO119" s="950"/>
      <c r="CUP119" s="950"/>
      <c r="CUQ119" s="950"/>
      <c r="CUR119" s="950"/>
      <c r="CUS119" s="950"/>
      <c r="CUT119" s="950"/>
      <c r="CUU119" s="950"/>
      <c r="CUV119" s="950"/>
      <c r="CUW119" s="950"/>
      <c r="CUX119" s="950"/>
      <c r="CUY119" s="950"/>
      <c r="CUZ119" s="950"/>
      <c r="CVA119" s="950"/>
      <c r="CVB119" s="950"/>
      <c r="CVC119" s="950"/>
      <c r="CVD119" s="950"/>
      <c r="CVE119" s="950"/>
      <c r="CVF119" s="950"/>
      <c r="CVG119" s="950"/>
      <c r="CVH119" s="950"/>
      <c r="CVI119" s="950"/>
      <c r="CVJ119" s="950"/>
      <c r="CVK119" s="950"/>
      <c r="CVL119" s="950"/>
      <c r="CVM119" s="950"/>
      <c r="CVN119" s="950"/>
      <c r="CVO119" s="950"/>
      <c r="CVP119" s="950"/>
      <c r="CVQ119" s="950"/>
      <c r="CVR119" s="950"/>
      <c r="CVS119" s="950"/>
      <c r="CVT119" s="950"/>
      <c r="CVU119" s="950"/>
      <c r="CVV119" s="950"/>
      <c r="CVW119" s="950"/>
      <c r="CVX119" s="950"/>
      <c r="CVY119" s="950"/>
      <c r="CVZ119" s="950"/>
      <c r="CWA119" s="950"/>
      <c r="CWB119" s="950"/>
      <c r="CWC119" s="950"/>
      <c r="CWD119" s="950"/>
      <c r="CWE119" s="950"/>
      <c r="CWF119" s="950"/>
      <c r="CWG119" s="950"/>
      <c r="CWH119" s="950"/>
      <c r="CWI119" s="950"/>
      <c r="CWJ119" s="950"/>
      <c r="CWK119" s="950"/>
      <c r="CWL119" s="950"/>
      <c r="CWM119" s="950"/>
      <c r="CWN119" s="950"/>
      <c r="CWO119" s="950"/>
      <c r="CWP119" s="950"/>
      <c r="CWQ119" s="950"/>
      <c r="CWR119" s="950"/>
      <c r="CWS119" s="950"/>
      <c r="CWT119" s="950"/>
      <c r="CWU119" s="950"/>
      <c r="CWV119" s="950"/>
      <c r="CWW119" s="950"/>
      <c r="CWX119" s="950"/>
      <c r="CWY119" s="950"/>
      <c r="CWZ119" s="950"/>
      <c r="CXA119" s="950"/>
      <c r="CXB119" s="950"/>
      <c r="CXC119" s="950"/>
      <c r="CXD119" s="950"/>
      <c r="CXE119" s="950"/>
      <c r="CXF119" s="950"/>
      <c r="CXG119" s="950"/>
      <c r="CXH119" s="950"/>
      <c r="CXI119" s="950"/>
      <c r="CXJ119" s="950"/>
      <c r="CXK119" s="950"/>
      <c r="CXL119" s="950"/>
      <c r="CXM119" s="950"/>
      <c r="CXN119" s="950"/>
      <c r="CXO119" s="950"/>
      <c r="CXP119" s="950"/>
      <c r="CXQ119" s="950"/>
      <c r="CXR119" s="950"/>
      <c r="CXS119" s="950"/>
      <c r="CXT119" s="950"/>
      <c r="CXU119" s="950"/>
      <c r="CXV119" s="950"/>
      <c r="CXW119" s="950"/>
      <c r="CXX119" s="950"/>
      <c r="CXY119" s="950"/>
      <c r="CXZ119" s="950"/>
      <c r="CYA119" s="950"/>
      <c r="CYB119" s="950"/>
      <c r="CYC119" s="950"/>
      <c r="CYD119" s="950"/>
      <c r="CYE119" s="950"/>
      <c r="CYF119" s="950"/>
      <c r="CYG119" s="950"/>
      <c r="CYH119" s="950"/>
      <c r="CYI119" s="950"/>
      <c r="CYJ119" s="950"/>
      <c r="CYK119" s="950"/>
      <c r="CYL119" s="950"/>
      <c r="CYM119" s="950"/>
      <c r="CYN119" s="950"/>
      <c r="CYO119" s="950"/>
      <c r="CYP119" s="950"/>
      <c r="CYQ119" s="950"/>
      <c r="CYR119" s="950"/>
      <c r="CYS119" s="950"/>
      <c r="CYT119" s="950"/>
      <c r="CYU119" s="950"/>
      <c r="CYV119" s="950"/>
      <c r="CYW119" s="950"/>
      <c r="CYX119" s="950"/>
      <c r="CYY119" s="950"/>
      <c r="CYZ119" s="950"/>
      <c r="CZA119" s="950"/>
      <c r="CZB119" s="950"/>
      <c r="CZC119" s="950"/>
      <c r="CZD119" s="950"/>
      <c r="CZE119" s="950"/>
      <c r="CZF119" s="950"/>
      <c r="CZG119" s="950"/>
      <c r="CZH119" s="950"/>
      <c r="CZI119" s="950"/>
      <c r="CZJ119" s="950"/>
      <c r="CZK119" s="950"/>
      <c r="CZL119" s="950"/>
      <c r="CZM119" s="950"/>
      <c r="CZN119" s="950"/>
      <c r="CZO119" s="950"/>
      <c r="CZP119" s="950"/>
      <c r="CZQ119" s="950"/>
      <c r="CZR119" s="950"/>
      <c r="CZS119" s="950"/>
      <c r="CZT119" s="950"/>
      <c r="CZU119" s="950"/>
      <c r="CZV119" s="950"/>
      <c r="CZW119" s="950"/>
      <c r="CZX119" s="950"/>
      <c r="CZY119" s="950"/>
      <c r="CZZ119" s="950"/>
      <c r="DAA119" s="950"/>
      <c r="DAB119" s="950"/>
      <c r="DAC119" s="950"/>
      <c r="DAD119" s="950"/>
      <c r="DAE119" s="950"/>
      <c r="DAF119" s="950"/>
      <c r="DAG119" s="950"/>
      <c r="DAH119" s="950"/>
      <c r="DAI119" s="950"/>
      <c r="DAJ119" s="950"/>
      <c r="DAK119" s="950"/>
      <c r="DAL119" s="950"/>
      <c r="DAM119" s="950"/>
      <c r="DAN119" s="950"/>
      <c r="DAO119" s="950"/>
      <c r="DAP119" s="950"/>
      <c r="DAQ119" s="950"/>
      <c r="DAR119" s="950"/>
      <c r="DAS119" s="950"/>
      <c r="DAT119" s="950"/>
      <c r="DAU119" s="950"/>
      <c r="DAV119" s="950"/>
      <c r="DAW119" s="950"/>
      <c r="DAX119" s="950"/>
      <c r="DAY119" s="950"/>
      <c r="DAZ119" s="950"/>
      <c r="DBA119" s="950"/>
      <c r="DBB119" s="950"/>
      <c r="DBC119" s="950"/>
      <c r="DBD119" s="950"/>
      <c r="DBE119" s="950"/>
      <c r="DBF119" s="950"/>
      <c r="DBG119" s="950"/>
      <c r="DBH119" s="950"/>
      <c r="DBI119" s="950"/>
      <c r="DBJ119" s="950"/>
      <c r="DBK119" s="950"/>
      <c r="DBL119" s="950"/>
      <c r="DBM119" s="950"/>
      <c r="DBN119" s="950"/>
      <c r="DBO119" s="950"/>
      <c r="DBP119" s="950"/>
      <c r="DBQ119" s="950"/>
      <c r="DBR119" s="950"/>
      <c r="DBS119" s="950"/>
      <c r="DBT119" s="950"/>
      <c r="DBU119" s="950"/>
      <c r="DBV119" s="950"/>
      <c r="DBW119" s="950"/>
      <c r="DBX119" s="950"/>
      <c r="DBY119" s="950"/>
      <c r="DBZ119" s="950"/>
      <c r="DCA119" s="950"/>
      <c r="DCB119" s="950"/>
      <c r="DCC119" s="950"/>
      <c r="DCD119" s="950"/>
      <c r="DCE119" s="950"/>
      <c r="DCF119" s="950"/>
      <c r="DCG119" s="950"/>
      <c r="DCH119" s="950"/>
      <c r="DCI119" s="950"/>
      <c r="DCJ119" s="950"/>
      <c r="DCK119" s="950"/>
      <c r="DCL119" s="950"/>
      <c r="DCM119" s="950"/>
      <c r="DCN119" s="950"/>
      <c r="DCO119" s="950"/>
      <c r="DCP119" s="950"/>
      <c r="DCQ119" s="950"/>
      <c r="DCR119" s="950"/>
      <c r="DCS119" s="950"/>
      <c r="DCT119" s="950"/>
      <c r="DCU119" s="950"/>
      <c r="DCV119" s="950"/>
      <c r="DCW119" s="950"/>
      <c r="DCX119" s="950"/>
      <c r="DCY119" s="950"/>
      <c r="DCZ119" s="950"/>
      <c r="DDA119" s="950"/>
      <c r="DDB119" s="950"/>
      <c r="DDC119" s="950"/>
      <c r="DDD119" s="950"/>
      <c r="DDE119" s="950"/>
      <c r="DDF119" s="950"/>
      <c r="DDG119" s="950"/>
      <c r="DDH119" s="950"/>
      <c r="DDI119" s="950"/>
      <c r="DDJ119" s="950"/>
      <c r="DDK119" s="950"/>
      <c r="DDL119" s="950"/>
      <c r="DDM119" s="950"/>
      <c r="DDN119" s="950"/>
      <c r="DDO119" s="950"/>
      <c r="DDP119" s="950"/>
      <c r="DDQ119" s="950"/>
      <c r="DDR119" s="950"/>
      <c r="DDS119" s="950"/>
      <c r="DDT119" s="950"/>
      <c r="DDU119" s="950"/>
      <c r="DDV119" s="950"/>
      <c r="DDW119" s="950"/>
      <c r="DDX119" s="950"/>
      <c r="DDY119" s="950"/>
      <c r="DDZ119" s="950"/>
      <c r="DEA119" s="950"/>
      <c r="DEB119" s="950"/>
      <c r="DEC119" s="950"/>
      <c r="DED119" s="950"/>
      <c r="DEE119" s="950"/>
      <c r="DEF119" s="950"/>
      <c r="DEG119" s="950"/>
      <c r="DEH119" s="950"/>
      <c r="DEI119" s="950"/>
      <c r="DEJ119" s="950"/>
      <c r="DEK119" s="950"/>
      <c r="DEL119" s="950"/>
      <c r="DEM119" s="950"/>
      <c r="DEN119" s="950"/>
      <c r="DEO119" s="950"/>
      <c r="DEP119" s="950"/>
      <c r="DEQ119" s="950"/>
      <c r="DER119" s="950"/>
      <c r="DES119" s="950"/>
      <c r="DET119" s="950"/>
      <c r="DEU119" s="950"/>
      <c r="DEV119" s="950"/>
      <c r="DEW119" s="950"/>
      <c r="DEX119" s="950"/>
      <c r="DEY119" s="950"/>
      <c r="DEZ119" s="950"/>
      <c r="DFA119" s="950"/>
      <c r="DFB119" s="950"/>
      <c r="DFC119" s="950"/>
      <c r="DFD119" s="950"/>
      <c r="DFE119" s="950"/>
      <c r="DFF119" s="950"/>
      <c r="DFG119" s="950"/>
      <c r="DFH119" s="950"/>
      <c r="DFI119" s="950"/>
      <c r="DFJ119" s="950"/>
      <c r="DFK119" s="950"/>
      <c r="DFL119" s="950"/>
      <c r="DFM119" s="950"/>
      <c r="DFN119" s="950"/>
      <c r="DFO119" s="950"/>
      <c r="DFP119" s="950"/>
      <c r="DFQ119" s="950"/>
      <c r="DFR119" s="950"/>
      <c r="DFS119" s="950"/>
      <c r="DFT119" s="950"/>
      <c r="DFU119" s="950"/>
      <c r="DFV119" s="950"/>
      <c r="DFW119" s="950"/>
      <c r="DFX119" s="950"/>
      <c r="DFY119" s="950"/>
      <c r="DFZ119" s="950"/>
      <c r="DGA119" s="950"/>
      <c r="DGB119" s="950"/>
      <c r="DGC119" s="950"/>
      <c r="DGD119" s="950"/>
      <c r="DGE119" s="950"/>
      <c r="DGF119" s="950"/>
      <c r="DGG119" s="950"/>
      <c r="DGH119" s="950"/>
      <c r="DGI119" s="950"/>
      <c r="DGJ119" s="950"/>
      <c r="DGK119" s="950"/>
      <c r="DGL119" s="950"/>
      <c r="DGM119" s="950"/>
      <c r="DGN119" s="950"/>
      <c r="DGO119" s="950"/>
      <c r="DGP119" s="950"/>
      <c r="DGQ119" s="950"/>
      <c r="DGR119" s="950"/>
      <c r="DGS119" s="950"/>
      <c r="DGT119" s="950"/>
      <c r="DGU119" s="950"/>
      <c r="DGV119" s="950"/>
      <c r="DGW119" s="950"/>
      <c r="DGX119" s="950"/>
      <c r="DGY119" s="950"/>
      <c r="DGZ119" s="950"/>
      <c r="DHA119" s="950"/>
      <c r="DHB119" s="950"/>
      <c r="DHC119" s="950"/>
      <c r="DHD119" s="950"/>
      <c r="DHE119" s="950"/>
      <c r="DHF119" s="950"/>
      <c r="DHG119" s="950"/>
      <c r="DHH119" s="950"/>
      <c r="DHI119" s="950"/>
      <c r="DHJ119" s="950"/>
      <c r="DHK119" s="950"/>
      <c r="DHL119" s="950"/>
      <c r="DHM119" s="950"/>
      <c r="DHN119" s="950"/>
      <c r="DHO119" s="950"/>
      <c r="DHP119" s="950"/>
      <c r="DHQ119" s="950"/>
      <c r="DHR119" s="950"/>
      <c r="DHS119" s="950"/>
      <c r="DHT119" s="950"/>
      <c r="DHU119" s="950"/>
      <c r="DHV119" s="950"/>
      <c r="DHW119" s="950"/>
      <c r="DHX119" s="950"/>
      <c r="DHY119" s="950"/>
      <c r="DHZ119" s="950"/>
      <c r="DIA119" s="950"/>
      <c r="DIB119" s="950"/>
      <c r="DIC119" s="950"/>
      <c r="DID119" s="950"/>
      <c r="DIE119" s="950"/>
      <c r="DIF119" s="950"/>
      <c r="DIG119" s="950"/>
      <c r="DIH119" s="950"/>
      <c r="DII119" s="950"/>
      <c r="DIJ119" s="950"/>
      <c r="DIK119" s="950"/>
      <c r="DIL119" s="950"/>
      <c r="DIM119" s="950"/>
      <c r="DIN119" s="950"/>
      <c r="DIO119" s="950"/>
      <c r="DIP119" s="950"/>
      <c r="DIQ119" s="950"/>
      <c r="DIR119" s="950"/>
      <c r="DIS119" s="950"/>
      <c r="DIT119" s="950"/>
      <c r="DIU119" s="950"/>
      <c r="DIV119" s="950"/>
      <c r="DIW119" s="950"/>
      <c r="DIX119" s="950"/>
      <c r="DIY119" s="950"/>
      <c r="DIZ119" s="950"/>
      <c r="DJA119" s="950"/>
      <c r="DJB119" s="950"/>
      <c r="DJC119" s="950"/>
      <c r="DJD119" s="950"/>
      <c r="DJE119" s="950"/>
      <c r="DJF119" s="950"/>
      <c r="DJG119" s="950"/>
      <c r="DJH119" s="950"/>
      <c r="DJI119" s="950"/>
      <c r="DJJ119" s="950"/>
      <c r="DJK119" s="950"/>
      <c r="DJL119" s="950"/>
      <c r="DJM119" s="950"/>
      <c r="DJN119" s="950"/>
      <c r="DJO119" s="950"/>
      <c r="DJP119" s="950"/>
      <c r="DJQ119" s="950"/>
      <c r="DJR119" s="950"/>
      <c r="DJS119" s="950"/>
      <c r="DJT119" s="950"/>
      <c r="DJU119" s="950"/>
      <c r="DJV119" s="950"/>
      <c r="DJW119" s="950"/>
      <c r="DJX119" s="950"/>
      <c r="DJY119" s="950"/>
      <c r="DJZ119" s="950"/>
      <c r="DKA119" s="950"/>
      <c r="DKB119" s="950"/>
      <c r="DKC119" s="950"/>
      <c r="DKD119" s="950"/>
      <c r="DKE119" s="950"/>
      <c r="DKF119" s="950"/>
      <c r="DKG119" s="950"/>
      <c r="DKH119" s="950"/>
      <c r="DKI119" s="950"/>
      <c r="DKJ119" s="950"/>
      <c r="DKK119" s="950"/>
      <c r="DKL119" s="950"/>
      <c r="DKM119" s="950"/>
      <c r="DKN119" s="950"/>
      <c r="DKO119" s="950"/>
      <c r="DKP119" s="950"/>
      <c r="DKQ119" s="950"/>
      <c r="DKR119" s="950"/>
      <c r="DKS119" s="950"/>
      <c r="DKT119" s="950"/>
      <c r="DKU119" s="950"/>
      <c r="DKV119" s="950"/>
      <c r="DKW119" s="950"/>
      <c r="DKX119" s="950"/>
      <c r="DKY119" s="950"/>
      <c r="DKZ119" s="950"/>
      <c r="DLA119" s="950"/>
      <c r="DLB119" s="950"/>
      <c r="DLC119" s="950"/>
      <c r="DLD119" s="950"/>
      <c r="DLE119" s="950"/>
      <c r="DLF119" s="950"/>
      <c r="DLG119" s="950"/>
      <c r="DLH119" s="950"/>
      <c r="DLI119" s="950"/>
      <c r="DLJ119" s="950"/>
      <c r="DLK119" s="950"/>
      <c r="DLL119" s="950"/>
      <c r="DLM119" s="950"/>
      <c r="DLN119" s="950"/>
      <c r="DLO119" s="950"/>
      <c r="DLP119" s="950"/>
      <c r="DLQ119" s="950"/>
      <c r="DLR119" s="950"/>
      <c r="DLS119" s="950"/>
      <c r="DLT119" s="950"/>
      <c r="DLU119" s="950"/>
      <c r="DLV119" s="950"/>
      <c r="DLW119" s="950"/>
      <c r="DLX119" s="950"/>
      <c r="DLY119" s="950"/>
      <c r="DLZ119" s="950"/>
      <c r="DMA119" s="950"/>
      <c r="DMB119" s="950"/>
      <c r="DMC119" s="950"/>
      <c r="DMD119" s="950"/>
      <c r="DME119" s="950"/>
      <c r="DMF119" s="950"/>
      <c r="DMG119" s="950"/>
      <c r="DMH119" s="950"/>
      <c r="DMI119" s="950"/>
      <c r="DMJ119" s="950"/>
      <c r="DMK119" s="950"/>
      <c r="DML119" s="950"/>
      <c r="DMM119" s="950"/>
      <c r="DMN119" s="950"/>
      <c r="DMO119" s="950"/>
      <c r="DMP119" s="950"/>
      <c r="DMQ119" s="950"/>
      <c r="DMR119" s="950"/>
      <c r="DMS119" s="950"/>
      <c r="DMT119" s="950"/>
      <c r="DMU119" s="950"/>
      <c r="DMV119" s="950"/>
      <c r="DMW119" s="950"/>
      <c r="DMX119" s="950"/>
      <c r="DMY119" s="950"/>
      <c r="DMZ119" s="950"/>
      <c r="DNA119" s="950"/>
      <c r="DNB119" s="950"/>
      <c r="DNC119" s="950"/>
      <c r="DND119" s="950"/>
      <c r="DNE119" s="950"/>
      <c r="DNF119" s="950"/>
      <c r="DNG119" s="950"/>
      <c r="DNH119" s="950"/>
      <c r="DNI119" s="950"/>
      <c r="DNJ119" s="950"/>
      <c r="DNK119" s="950"/>
      <c r="DNL119" s="950"/>
      <c r="DNM119" s="950"/>
      <c r="DNN119" s="950"/>
      <c r="DNO119" s="950"/>
      <c r="DNP119" s="950"/>
      <c r="DNQ119" s="950"/>
      <c r="DNR119" s="950"/>
      <c r="DNS119" s="950"/>
      <c r="DNT119" s="950"/>
      <c r="DNU119" s="950"/>
      <c r="DNV119" s="950"/>
      <c r="DNW119" s="950"/>
      <c r="DNX119" s="950"/>
      <c r="DNY119" s="950"/>
      <c r="DNZ119" s="950"/>
      <c r="DOA119" s="950"/>
      <c r="DOB119" s="950"/>
      <c r="DOC119" s="950"/>
      <c r="DOD119" s="950"/>
      <c r="DOE119" s="950"/>
      <c r="DOF119" s="950"/>
      <c r="DOG119" s="950"/>
      <c r="DOH119" s="950"/>
      <c r="DOI119" s="950"/>
      <c r="DOJ119" s="950"/>
      <c r="DOK119" s="950"/>
      <c r="DOL119" s="950"/>
      <c r="DOM119" s="950"/>
      <c r="DON119" s="950"/>
      <c r="DOO119" s="950"/>
      <c r="DOP119" s="950"/>
      <c r="DOQ119" s="950"/>
      <c r="DOR119" s="950"/>
      <c r="DOS119" s="950"/>
      <c r="DOT119" s="950"/>
      <c r="DOU119" s="950"/>
      <c r="DOV119" s="950"/>
      <c r="DOW119" s="950"/>
      <c r="DOX119" s="950"/>
      <c r="DOY119" s="950"/>
      <c r="DOZ119" s="950"/>
      <c r="DPA119" s="950"/>
      <c r="DPB119" s="950"/>
      <c r="DPC119" s="950"/>
      <c r="DPD119" s="950"/>
      <c r="DPE119" s="950"/>
      <c r="DPF119" s="950"/>
      <c r="DPG119" s="950"/>
      <c r="DPH119" s="950"/>
      <c r="DPI119" s="950"/>
      <c r="DPJ119" s="950"/>
      <c r="DPK119" s="950"/>
      <c r="DPL119" s="950"/>
      <c r="DPM119" s="950"/>
      <c r="DPN119" s="950"/>
      <c r="DPO119" s="950"/>
      <c r="DPP119" s="950"/>
      <c r="DPQ119" s="950"/>
      <c r="DPR119" s="950"/>
      <c r="DPS119" s="950"/>
      <c r="DPT119" s="950"/>
      <c r="DPU119" s="950"/>
      <c r="DPV119" s="950"/>
      <c r="DPW119" s="950"/>
      <c r="DPX119" s="950"/>
      <c r="DPY119" s="950"/>
      <c r="DPZ119" s="950"/>
      <c r="DQA119" s="950"/>
      <c r="DQB119" s="950"/>
      <c r="DQC119" s="950"/>
      <c r="DQD119" s="950"/>
      <c r="DQE119" s="950"/>
      <c r="DQF119" s="950"/>
      <c r="DQG119" s="950"/>
      <c r="DQH119" s="950"/>
      <c r="DQI119" s="950"/>
      <c r="DQJ119" s="950"/>
      <c r="DQK119" s="950"/>
      <c r="DQL119" s="950"/>
      <c r="DQM119" s="950"/>
      <c r="DQN119" s="950"/>
      <c r="DQO119" s="950"/>
      <c r="DQP119" s="950"/>
      <c r="DQQ119" s="950"/>
      <c r="DQR119" s="950"/>
      <c r="DQS119" s="950"/>
      <c r="DQT119" s="950"/>
      <c r="DQU119" s="950"/>
      <c r="DQV119" s="950"/>
      <c r="DQW119" s="950"/>
      <c r="DQX119" s="950"/>
      <c r="DQY119" s="950"/>
      <c r="DQZ119" s="950"/>
      <c r="DRA119" s="950"/>
      <c r="DRB119" s="950"/>
      <c r="DRC119" s="950"/>
      <c r="DRD119" s="950"/>
      <c r="DRE119" s="950"/>
      <c r="DRF119" s="950"/>
      <c r="DRG119" s="950"/>
      <c r="DRH119" s="950"/>
      <c r="DRI119" s="950"/>
      <c r="DRJ119" s="950"/>
      <c r="DRK119" s="950"/>
      <c r="DRL119" s="950"/>
      <c r="DRM119" s="950"/>
      <c r="DRN119" s="950"/>
      <c r="DRO119" s="950"/>
      <c r="DRP119" s="950"/>
      <c r="DRQ119" s="950"/>
      <c r="DRR119" s="950"/>
      <c r="DRS119" s="950"/>
      <c r="DRT119" s="950"/>
      <c r="DRU119" s="950"/>
      <c r="DRV119" s="950"/>
      <c r="DRW119" s="950"/>
      <c r="DRX119" s="950"/>
      <c r="DRY119" s="950"/>
      <c r="DRZ119" s="950"/>
      <c r="DSA119" s="950"/>
      <c r="DSB119" s="950"/>
      <c r="DSC119" s="950"/>
      <c r="DSD119" s="950"/>
      <c r="DSE119" s="950"/>
      <c r="DSF119" s="950"/>
      <c r="DSG119" s="950"/>
      <c r="DSH119" s="950"/>
      <c r="DSI119" s="950"/>
      <c r="DSJ119" s="950"/>
      <c r="DSK119" s="950"/>
      <c r="DSL119" s="950"/>
      <c r="DSM119" s="950"/>
      <c r="DSN119" s="950"/>
      <c r="DSO119" s="950"/>
      <c r="DSP119" s="950"/>
      <c r="DSQ119" s="950"/>
      <c r="DSR119" s="950"/>
      <c r="DSS119" s="950"/>
      <c r="DST119" s="950"/>
      <c r="DSU119" s="950"/>
      <c r="DSV119" s="950"/>
      <c r="DSW119" s="950"/>
      <c r="DSX119" s="950"/>
      <c r="DSY119" s="950"/>
      <c r="DSZ119" s="950"/>
      <c r="DTA119" s="950"/>
      <c r="DTB119" s="950"/>
      <c r="DTC119" s="950"/>
      <c r="DTD119" s="950"/>
      <c r="DTE119" s="950"/>
      <c r="DTF119" s="950"/>
      <c r="DTG119" s="950"/>
      <c r="DTH119" s="950"/>
      <c r="DTI119" s="950"/>
      <c r="DTJ119" s="950"/>
      <c r="DTK119" s="950"/>
      <c r="DTL119" s="950"/>
      <c r="DTM119" s="950"/>
      <c r="DTN119" s="950"/>
      <c r="DTO119" s="950"/>
      <c r="DTP119" s="950"/>
      <c r="DTQ119" s="950"/>
      <c r="DTR119" s="950"/>
      <c r="DTS119" s="950"/>
      <c r="DTT119" s="950"/>
      <c r="DTU119" s="950"/>
      <c r="DTV119" s="950"/>
      <c r="DTW119" s="950"/>
      <c r="DTX119" s="950"/>
      <c r="DTY119" s="950"/>
      <c r="DTZ119" s="950"/>
      <c r="DUA119" s="950"/>
      <c r="DUB119" s="950"/>
      <c r="DUC119" s="950"/>
      <c r="DUD119" s="950"/>
      <c r="DUE119" s="950"/>
      <c r="DUF119" s="950"/>
      <c r="DUG119" s="950"/>
      <c r="DUH119" s="950"/>
      <c r="DUI119" s="950"/>
      <c r="DUJ119" s="950"/>
      <c r="DUK119" s="950"/>
      <c r="DUL119" s="950"/>
      <c r="DUM119" s="950"/>
      <c r="DUN119" s="950"/>
      <c r="DUO119" s="950"/>
      <c r="DUP119" s="950"/>
      <c r="DUQ119" s="950"/>
      <c r="DUR119" s="950"/>
      <c r="DUS119" s="950"/>
      <c r="DUT119" s="950"/>
      <c r="DUU119" s="950"/>
      <c r="DUV119" s="950"/>
      <c r="DUW119" s="950"/>
      <c r="DUX119" s="950"/>
      <c r="DUY119" s="950"/>
      <c r="DUZ119" s="950"/>
      <c r="DVA119" s="950"/>
      <c r="DVB119" s="950"/>
      <c r="DVC119" s="950"/>
      <c r="DVD119" s="950"/>
      <c r="DVE119" s="950"/>
      <c r="DVF119" s="950"/>
      <c r="DVG119" s="950"/>
      <c r="DVH119" s="950"/>
      <c r="DVI119" s="950"/>
      <c r="DVJ119" s="950"/>
      <c r="DVK119" s="950"/>
      <c r="DVL119" s="950"/>
      <c r="DVM119" s="950"/>
      <c r="DVN119" s="950"/>
      <c r="DVO119" s="950"/>
      <c r="DVP119" s="950"/>
      <c r="DVQ119" s="950"/>
      <c r="DVR119" s="950"/>
      <c r="DVS119" s="950"/>
      <c r="DVT119" s="950"/>
      <c r="DVU119" s="950"/>
      <c r="DVV119" s="950"/>
      <c r="DVW119" s="950"/>
      <c r="DVX119" s="950"/>
      <c r="DVY119" s="950"/>
      <c r="DVZ119" s="950"/>
      <c r="DWA119" s="950"/>
      <c r="DWB119" s="950"/>
      <c r="DWC119" s="950"/>
      <c r="DWD119" s="950"/>
      <c r="DWE119" s="950"/>
      <c r="DWF119" s="950"/>
      <c r="DWG119" s="950"/>
      <c r="DWH119" s="950"/>
      <c r="DWI119" s="950"/>
      <c r="DWJ119" s="950"/>
      <c r="DWK119" s="950"/>
      <c r="DWL119" s="950"/>
      <c r="DWM119" s="950"/>
      <c r="DWN119" s="950"/>
      <c r="DWO119" s="950"/>
      <c r="DWP119" s="950"/>
      <c r="DWQ119" s="950"/>
      <c r="DWR119" s="950"/>
      <c r="DWS119" s="950"/>
      <c r="DWT119" s="950"/>
      <c r="DWU119" s="950"/>
      <c r="DWV119" s="950"/>
      <c r="DWW119" s="950"/>
      <c r="DWX119" s="950"/>
      <c r="DWY119" s="950"/>
      <c r="DWZ119" s="950"/>
      <c r="DXA119" s="950"/>
      <c r="DXB119" s="950"/>
      <c r="DXC119" s="950"/>
      <c r="DXD119" s="950"/>
      <c r="DXE119" s="950"/>
      <c r="DXF119" s="950"/>
      <c r="DXG119" s="950"/>
      <c r="DXH119" s="950"/>
      <c r="DXI119" s="950"/>
      <c r="DXJ119" s="950"/>
      <c r="DXK119" s="950"/>
      <c r="DXL119" s="950"/>
      <c r="DXM119" s="950"/>
      <c r="DXN119" s="950"/>
      <c r="DXO119" s="950"/>
      <c r="DXP119" s="950"/>
      <c r="DXQ119" s="950"/>
      <c r="DXR119" s="950"/>
      <c r="DXS119" s="950"/>
      <c r="DXT119" s="950"/>
      <c r="DXU119" s="950"/>
      <c r="DXV119" s="950"/>
      <c r="DXW119" s="950"/>
      <c r="DXX119" s="950"/>
      <c r="DXY119" s="950"/>
      <c r="DXZ119" s="950"/>
      <c r="DYA119" s="950"/>
      <c r="DYB119" s="950"/>
      <c r="DYC119" s="950"/>
      <c r="DYD119" s="950"/>
      <c r="DYE119" s="950"/>
      <c r="DYF119" s="950"/>
      <c r="DYG119" s="950"/>
      <c r="DYH119" s="950"/>
      <c r="DYI119" s="950"/>
      <c r="DYJ119" s="950"/>
      <c r="DYK119" s="950"/>
      <c r="DYL119" s="950"/>
      <c r="DYM119" s="950"/>
      <c r="DYN119" s="950"/>
      <c r="DYO119" s="950"/>
      <c r="DYP119" s="950"/>
      <c r="DYQ119" s="950"/>
      <c r="DYR119" s="950"/>
      <c r="DYS119" s="950"/>
      <c r="DYT119" s="950"/>
      <c r="DYU119" s="950"/>
      <c r="DYV119" s="950"/>
      <c r="DYW119" s="950"/>
      <c r="DYX119" s="950"/>
      <c r="DYY119" s="950"/>
      <c r="DYZ119" s="950"/>
      <c r="DZA119" s="950"/>
      <c r="DZB119" s="950"/>
      <c r="DZC119" s="950"/>
      <c r="DZD119" s="950"/>
      <c r="DZE119" s="950"/>
      <c r="DZF119" s="950"/>
      <c r="DZG119" s="950"/>
      <c r="DZH119" s="950"/>
      <c r="DZI119" s="950"/>
      <c r="DZJ119" s="950"/>
      <c r="DZK119" s="950"/>
      <c r="DZL119" s="950"/>
      <c r="DZM119" s="950"/>
      <c r="DZN119" s="950"/>
      <c r="DZO119" s="950"/>
      <c r="DZP119" s="950"/>
      <c r="DZQ119" s="950"/>
      <c r="DZR119" s="950"/>
      <c r="DZS119" s="950"/>
      <c r="DZT119" s="950"/>
      <c r="DZU119" s="950"/>
      <c r="DZV119" s="950"/>
      <c r="DZW119" s="950"/>
      <c r="DZX119" s="950"/>
      <c r="DZY119" s="950"/>
      <c r="DZZ119" s="950"/>
      <c r="EAA119" s="950"/>
      <c r="EAB119" s="950"/>
      <c r="EAC119" s="950"/>
      <c r="EAD119" s="950"/>
      <c r="EAE119" s="950"/>
      <c r="EAF119" s="950"/>
      <c r="EAG119" s="950"/>
      <c r="EAH119" s="950"/>
      <c r="EAI119" s="950"/>
      <c r="EAJ119" s="950"/>
      <c r="EAK119" s="950"/>
      <c r="EAL119" s="950"/>
      <c r="EAM119" s="950"/>
      <c r="EAN119" s="950"/>
      <c r="EAO119" s="950"/>
      <c r="EAP119" s="950"/>
      <c r="EAQ119" s="950"/>
      <c r="EAR119" s="950"/>
      <c r="EAS119" s="950"/>
      <c r="EAT119" s="950"/>
      <c r="EAU119" s="950"/>
      <c r="EAV119" s="950"/>
      <c r="EAW119" s="950"/>
      <c r="EAX119" s="950"/>
      <c r="EAY119" s="950"/>
      <c r="EAZ119" s="950"/>
      <c r="EBA119" s="950"/>
      <c r="EBB119" s="950"/>
      <c r="EBC119" s="950"/>
      <c r="EBD119" s="950"/>
      <c r="EBE119" s="950"/>
      <c r="EBF119" s="950"/>
      <c r="EBG119" s="950"/>
      <c r="EBH119" s="950"/>
      <c r="EBI119" s="950"/>
      <c r="EBJ119" s="950"/>
      <c r="EBK119" s="950"/>
      <c r="EBL119" s="950"/>
      <c r="EBM119" s="950"/>
      <c r="EBN119" s="950"/>
      <c r="EBO119" s="950"/>
      <c r="EBP119" s="950"/>
      <c r="EBQ119" s="950"/>
      <c r="EBR119" s="950"/>
      <c r="EBS119" s="950"/>
      <c r="EBT119" s="950"/>
      <c r="EBU119" s="950"/>
      <c r="EBV119" s="950"/>
      <c r="EBW119" s="950"/>
      <c r="EBX119" s="950"/>
      <c r="EBY119" s="950"/>
      <c r="EBZ119" s="950"/>
      <c r="ECA119" s="950"/>
      <c r="ECB119" s="950"/>
      <c r="ECC119" s="950"/>
      <c r="ECD119" s="950"/>
      <c r="ECE119" s="950"/>
      <c r="ECF119" s="950"/>
      <c r="ECG119" s="950"/>
      <c r="ECH119" s="950"/>
      <c r="ECI119" s="950"/>
      <c r="ECJ119" s="950"/>
      <c r="ECK119" s="950"/>
      <c r="ECL119" s="950"/>
      <c r="ECM119" s="950"/>
      <c r="ECN119" s="950"/>
      <c r="ECO119" s="950"/>
      <c r="ECP119" s="950"/>
      <c r="ECQ119" s="950"/>
      <c r="ECR119" s="950"/>
      <c r="ECS119" s="950"/>
      <c r="ECT119" s="950"/>
      <c r="ECU119" s="950"/>
      <c r="ECV119" s="950"/>
      <c r="ECW119" s="950"/>
      <c r="ECX119" s="950"/>
      <c r="ECY119" s="950"/>
      <c r="ECZ119" s="950"/>
      <c r="EDA119" s="950"/>
      <c r="EDB119" s="950"/>
      <c r="EDC119" s="950"/>
      <c r="EDD119" s="950"/>
      <c r="EDE119" s="950"/>
      <c r="EDF119" s="950"/>
      <c r="EDG119" s="950"/>
      <c r="EDH119" s="950"/>
      <c r="EDI119" s="950"/>
      <c r="EDJ119" s="950"/>
      <c r="EDK119" s="950"/>
      <c r="EDL119" s="950"/>
      <c r="EDM119" s="950"/>
      <c r="EDN119" s="950"/>
      <c r="EDO119" s="950"/>
      <c r="EDP119" s="950"/>
      <c r="EDQ119" s="950"/>
      <c r="EDR119" s="950"/>
      <c r="EDS119" s="950"/>
      <c r="EDT119" s="950"/>
      <c r="EDU119" s="950"/>
      <c r="EDV119" s="950"/>
      <c r="EDW119" s="950"/>
      <c r="EDX119" s="950"/>
      <c r="EDY119" s="950"/>
      <c r="EDZ119" s="950"/>
      <c r="EEA119" s="950"/>
      <c r="EEB119" s="950"/>
      <c r="EEC119" s="950"/>
      <c r="EED119" s="950"/>
      <c r="EEE119" s="950"/>
      <c r="EEF119" s="950"/>
      <c r="EEG119" s="950"/>
      <c r="EEH119" s="950"/>
      <c r="EEI119" s="950"/>
      <c r="EEJ119" s="950"/>
      <c r="EEK119" s="950"/>
      <c r="EEL119" s="950"/>
      <c r="EEM119" s="950"/>
      <c r="EEN119" s="950"/>
      <c r="EEO119" s="950"/>
      <c r="EEP119" s="950"/>
      <c r="EEQ119" s="950"/>
      <c r="EER119" s="950"/>
      <c r="EES119" s="950"/>
      <c r="EET119" s="950"/>
      <c r="EEU119" s="950"/>
      <c r="EEV119" s="950"/>
      <c r="EEW119" s="950"/>
      <c r="EEX119" s="950"/>
      <c r="EEY119" s="950"/>
      <c r="EEZ119" s="950"/>
      <c r="EFA119" s="950"/>
      <c r="EFB119" s="950"/>
      <c r="EFC119" s="950"/>
      <c r="EFD119" s="950"/>
      <c r="EFE119" s="950"/>
      <c r="EFF119" s="950"/>
      <c r="EFG119" s="950"/>
      <c r="EFH119" s="950"/>
      <c r="EFI119" s="950"/>
      <c r="EFJ119" s="950"/>
      <c r="EFK119" s="950"/>
      <c r="EFL119" s="950"/>
      <c r="EFM119" s="950"/>
      <c r="EFN119" s="950"/>
      <c r="EFO119" s="950"/>
      <c r="EFP119" s="950"/>
      <c r="EFQ119" s="950"/>
      <c r="EFR119" s="950"/>
      <c r="EFS119" s="950"/>
      <c r="EFT119" s="950"/>
      <c r="EFU119" s="950"/>
      <c r="EFV119" s="950"/>
      <c r="EFW119" s="950"/>
      <c r="EFX119" s="950"/>
      <c r="EFY119" s="950"/>
      <c r="EFZ119" s="950"/>
      <c r="EGA119" s="950"/>
      <c r="EGB119" s="950"/>
      <c r="EGC119" s="950"/>
      <c r="EGD119" s="950"/>
      <c r="EGE119" s="950"/>
      <c r="EGF119" s="950"/>
      <c r="EGG119" s="950"/>
      <c r="EGH119" s="950"/>
      <c r="EGI119" s="950"/>
      <c r="EGJ119" s="950"/>
      <c r="EGK119" s="950"/>
      <c r="EGL119" s="950"/>
      <c r="EGM119" s="950"/>
      <c r="EGN119" s="950"/>
      <c r="EGO119" s="950"/>
      <c r="EGP119" s="950"/>
      <c r="EGQ119" s="950"/>
      <c r="EGR119" s="950"/>
      <c r="EGS119" s="950"/>
      <c r="EGT119" s="950"/>
      <c r="EGU119" s="950"/>
      <c r="EGV119" s="950"/>
      <c r="EGW119" s="950"/>
      <c r="EGX119" s="950"/>
      <c r="EGY119" s="950"/>
      <c r="EGZ119" s="950"/>
      <c r="EHA119" s="950"/>
      <c r="EHB119" s="950"/>
      <c r="EHC119" s="950"/>
      <c r="EHD119" s="950"/>
      <c r="EHE119" s="950"/>
      <c r="EHF119" s="950"/>
      <c r="EHG119" s="950"/>
      <c r="EHH119" s="950"/>
      <c r="EHI119" s="950"/>
      <c r="EHJ119" s="950"/>
      <c r="EHK119" s="950"/>
      <c r="EHL119" s="950"/>
      <c r="EHM119" s="950"/>
      <c r="EHN119" s="950"/>
      <c r="EHO119" s="950"/>
      <c r="EHP119" s="950"/>
      <c r="EHQ119" s="950"/>
      <c r="EHR119" s="950"/>
      <c r="EHS119" s="950"/>
      <c r="EHT119" s="950"/>
      <c r="EHU119" s="950"/>
      <c r="EHV119" s="950"/>
      <c r="EHW119" s="950"/>
      <c r="EHX119" s="950"/>
      <c r="EHY119" s="950"/>
      <c r="EHZ119" s="950"/>
      <c r="EIA119" s="950"/>
      <c r="EIB119" s="950"/>
      <c r="EIC119" s="950"/>
      <c r="EID119" s="950"/>
      <c r="EIE119" s="950"/>
      <c r="EIF119" s="950"/>
      <c r="EIG119" s="950"/>
      <c r="EIH119" s="950"/>
      <c r="EII119" s="950"/>
      <c r="EIJ119" s="950"/>
      <c r="EIK119" s="950"/>
      <c r="EIL119" s="950"/>
      <c r="EIM119" s="950"/>
      <c r="EIN119" s="950"/>
      <c r="EIO119" s="950"/>
      <c r="EIP119" s="950"/>
      <c r="EIQ119" s="950"/>
      <c r="EIR119" s="950"/>
      <c r="EIS119" s="950"/>
      <c r="EIT119" s="950"/>
      <c r="EIU119" s="950"/>
      <c r="EIV119" s="950"/>
      <c r="EIW119" s="950"/>
      <c r="EIX119" s="950"/>
      <c r="EIY119" s="950"/>
      <c r="EIZ119" s="950"/>
      <c r="EJA119" s="950"/>
      <c r="EJB119" s="950"/>
      <c r="EJC119" s="950"/>
      <c r="EJD119" s="950"/>
      <c r="EJE119" s="950"/>
      <c r="EJF119" s="950"/>
      <c r="EJG119" s="950"/>
      <c r="EJH119" s="950"/>
      <c r="EJI119" s="950"/>
      <c r="EJJ119" s="950"/>
      <c r="EJK119" s="950"/>
      <c r="EJL119" s="950"/>
      <c r="EJM119" s="950"/>
      <c r="EJN119" s="950"/>
      <c r="EJO119" s="950"/>
      <c r="EJP119" s="950"/>
      <c r="EJQ119" s="950"/>
      <c r="EJR119" s="950"/>
      <c r="EJS119" s="950"/>
      <c r="EJT119" s="950"/>
      <c r="EJU119" s="950"/>
      <c r="EJV119" s="950"/>
      <c r="EJW119" s="950"/>
      <c r="EJX119" s="950"/>
      <c r="EJY119" s="950"/>
      <c r="EJZ119" s="950"/>
      <c r="EKA119" s="950"/>
      <c r="EKB119" s="950"/>
      <c r="EKC119" s="950"/>
      <c r="EKD119" s="950"/>
      <c r="EKE119" s="950"/>
      <c r="EKF119" s="950"/>
      <c r="EKG119" s="950"/>
      <c r="EKH119" s="950"/>
      <c r="EKI119" s="950"/>
      <c r="EKJ119" s="950"/>
      <c r="EKK119" s="950"/>
      <c r="EKL119" s="950"/>
      <c r="EKM119" s="950"/>
      <c r="EKN119" s="950"/>
      <c r="EKO119" s="950"/>
      <c r="EKP119" s="950"/>
      <c r="EKQ119" s="950"/>
      <c r="EKR119" s="950"/>
      <c r="EKS119" s="950"/>
      <c r="EKT119" s="950"/>
      <c r="EKU119" s="950"/>
      <c r="EKV119" s="950"/>
      <c r="EKW119" s="950"/>
      <c r="EKX119" s="950"/>
      <c r="EKY119" s="950"/>
      <c r="EKZ119" s="950"/>
      <c r="ELA119" s="950"/>
      <c r="ELB119" s="950"/>
      <c r="ELC119" s="950"/>
      <c r="ELD119" s="950"/>
      <c r="ELE119" s="950"/>
      <c r="ELF119" s="950"/>
      <c r="ELG119" s="950"/>
      <c r="ELH119" s="950"/>
      <c r="ELI119" s="950"/>
      <c r="ELJ119" s="950"/>
      <c r="ELK119" s="950"/>
      <c r="ELL119" s="950"/>
      <c r="ELM119" s="950"/>
      <c r="ELN119" s="950"/>
      <c r="ELO119" s="950"/>
      <c r="ELP119" s="950"/>
      <c r="ELQ119" s="950"/>
      <c r="ELR119" s="950"/>
      <c r="ELS119" s="950"/>
      <c r="ELT119" s="950"/>
      <c r="ELU119" s="950"/>
      <c r="ELV119" s="950"/>
      <c r="ELW119" s="950"/>
      <c r="ELX119" s="950"/>
      <c r="ELY119" s="950"/>
      <c r="ELZ119" s="950"/>
      <c r="EMA119" s="950"/>
      <c r="EMB119" s="950"/>
      <c r="EMC119" s="950"/>
      <c r="EMD119" s="950"/>
      <c r="EME119" s="950"/>
      <c r="EMF119" s="950"/>
      <c r="EMG119" s="950"/>
      <c r="EMH119" s="950"/>
      <c r="EMI119" s="950"/>
      <c r="EMJ119" s="950"/>
      <c r="EMK119" s="950"/>
      <c r="EML119" s="950"/>
      <c r="EMM119" s="950"/>
      <c r="EMN119" s="950"/>
      <c r="EMO119" s="950"/>
      <c r="EMP119" s="950"/>
      <c r="EMQ119" s="950"/>
      <c r="EMR119" s="950"/>
      <c r="EMS119" s="950"/>
      <c r="EMT119" s="950"/>
      <c r="EMU119" s="950"/>
      <c r="EMV119" s="950"/>
      <c r="EMW119" s="950"/>
      <c r="EMX119" s="950"/>
      <c r="EMY119" s="950"/>
      <c r="EMZ119" s="950"/>
      <c r="ENA119" s="950"/>
      <c r="ENB119" s="950"/>
      <c r="ENC119" s="950"/>
      <c r="END119" s="950"/>
      <c r="ENE119" s="950"/>
      <c r="ENF119" s="950"/>
      <c r="ENG119" s="950"/>
      <c r="ENH119" s="950"/>
      <c r="ENI119" s="950"/>
      <c r="ENJ119" s="950"/>
      <c r="ENK119" s="950"/>
      <c r="ENL119" s="950"/>
      <c r="ENM119" s="950"/>
      <c r="ENN119" s="950"/>
      <c r="ENO119" s="950"/>
      <c r="ENP119" s="950"/>
      <c r="ENQ119" s="950"/>
      <c r="ENR119" s="950"/>
      <c r="ENS119" s="950"/>
      <c r="ENT119" s="950"/>
      <c r="ENU119" s="950"/>
      <c r="ENV119" s="950"/>
      <c r="ENW119" s="950"/>
      <c r="ENX119" s="950"/>
      <c r="ENY119" s="950"/>
      <c r="ENZ119" s="950"/>
      <c r="EOA119" s="950"/>
      <c r="EOB119" s="950"/>
      <c r="EOC119" s="950"/>
      <c r="EOD119" s="950"/>
      <c r="EOE119" s="950"/>
      <c r="EOF119" s="950"/>
      <c r="EOG119" s="950"/>
      <c r="EOH119" s="950"/>
      <c r="EOI119" s="950"/>
      <c r="EOJ119" s="950"/>
      <c r="EOK119" s="950"/>
      <c r="EOL119" s="950"/>
      <c r="EOM119" s="950"/>
      <c r="EON119" s="950"/>
      <c r="EOO119" s="950"/>
      <c r="EOP119" s="950"/>
      <c r="EOQ119" s="950"/>
      <c r="EOR119" s="950"/>
      <c r="EOS119" s="950"/>
      <c r="EOT119" s="950"/>
      <c r="EOU119" s="950"/>
      <c r="EOV119" s="950"/>
      <c r="EOW119" s="950"/>
      <c r="EOX119" s="950"/>
      <c r="EOY119" s="950"/>
      <c r="EOZ119" s="950"/>
      <c r="EPA119" s="950"/>
      <c r="EPB119" s="950"/>
      <c r="EPC119" s="950"/>
      <c r="EPD119" s="950"/>
      <c r="EPE119" s="950"/>
      <c r="EPF119" s="950"/>
      <c r="EPG119" s="950"/>
      <c r="EPH119" s="950"/>
      <c r="EPI119" s="950"/>
      <c r="EPJ119" s="950"/>
      <c r="EPK119" s="950"/>
      <c r="EPL119" s="950"/>
      <c r="EPM119" s="950"/>
      <c r="EPN119" s="950"/>
      <c r="EPO119" s="950"/>
      <c r="EPP119" s="950"/>
      <c r="EPQ119" s="950"/>
      <c r="EPR119" s="950"/>
      <c r="EPS119" s="950"/>
      <c r="EPT119" s="950"/>
      <c r="EPU119" s="950"/>
      <c r="EPV119" s="950"/>
      <c r="EPW119" s="950"/>
      <c r="EPX119" s="950"/>
      <c r="EPY119" s="950"/>
      <c r="EPZ119" s="950"/>
      <c r="EQA119" s="950"/>
      <c r="EQB119" s="950"/>
      <c r="EQC119" s="950"/>
      <c r="EQD119" s="950"/>
      <c r="EQE119" s="950"/>
      <c r="EQF119" s="950"/>
      <c r="EQG119" s="950"/>
      <c r="EQH119" s="950"/>
      <c r="EQI119" s="950"/>
      <c r="EQJ119" s="950"/>
      <c r="EQK119" s="950"/>
      <c r="EQL119" s="950"/>
      <c r="EQM119" s="950"/>
      <c r="EQN119" s="950"/>
      <c r="EQO119" s="950"/>
      <c r="EQP119" s="950"/>
      <c r="EQQ119" s="950"/>
      <c r="EQR119" s="950"/>
      <c r="EQS119" s="950"/>
      <c r="EQT119" s="950"/>
      <c r="EQU119" s="950"/>
      <c r="EQV119" s="950"/>
      <c r="EQW119" s="950"/>
      <c r="EQX119" s="950"/>
      <c r="EQY119" s="950"/>
      <c r="EQZ119" s="950"/>
      <c r="ERA119" s="950"/>
      <c r="ERB119" s="950"/>
      <c r="ERC119" s="950"/>
      <c r="ERD119" s="950"/>
      <c r="ERE119" s="950"/>
      <c r="ERF119" s="950"/>
      <c r="ERG119" s="950"/>
      <c r="ERH119" s="950"/>
      <c r="ERI119" s="950"/>
      <c r="ERJ119" s="950"/>
      <c r="ERK119" s="950"/>
      <c r="ERL119" s="950"/>
      <c r="ERM119" s="950"/>
      <c r="ERN119" s="950"/>
      <c r="ERO119" s="950"/>
      <c r="ERP119" s="950"/>
      <c r="ERQ119" s="950"/>
      <c r="ERR119" s="950"/>
      <c r="ERS119" s="950"/>
      <c r="ERT119" s="950"/>
      <c r="ERU119" s="950"/>
      <c r="ERV119" s="950"/>
      <c r="ERW119" s="950"/>
      <c r="ERX119" s="950"/>
      <c r="ERY119" s="950"/>
      <c r="ERZ119" s="950"/>
      <c r="ESA119" s="950"/>
      <c r="ESB119" s="950"/>
      <c r="ESC119" s="950"/>
      <c r="ESD119" s="950"/>
      <c r="ESE119" s="950"/>
      <c r="ESF119" s="950"/>
      <c r="ESG119" s="950"/>
      <c r="ESH119" s="950"/>
      <c r="ESI119" s="950"/>
      <c r="ESJ119" s="950"/>
      <c r="ESK119" s="950"/>
      <c r="ESL119" s="950"/>
      <c r="ESM119" s="950"/>
      <c r="ESN119" s="950"/>
      <c r="ESO119" s="950"/>
      <c r="ESP119" s="950"/>
      <c r="ESQ119" s="950"/>
      <c r="ESR119" s="950"/>
      <c r="ESS119" s="950"/>
      <c r="EST119" s="950"/>
      <c r="ESU119" s="950"/>
      <c r="ESV119" s="950"/>
      <c r="ESW119" s="950"/>
      <c r="ESX119" s="950"/>
      <c r="ESY119" s="950"/>
      <c r="ESZ119" s="950"/>
      <c r="ETA119" s="950"/>
      <c r="ETB119" s="950"/>
      <c r="ETC119" s="950"/>
      <c r="ETD119" s="950"/>
      <c r="ETE119" s="950"/>
      <c r="ETF119" s="950"/>
      <c r="ETG119" s="950"/>
      <c r="ETH119" s="950"/>
      <c r="ETI119" s="950"/>
      <c r="ETJ119" s="950"/>
      <c r="ETK119" s="950"/>
      <c r="ETL119" s="950"/>
      <c r="ETM119" s="950"/>
      <c r="ETN119" s="950"/>
      <c r="ETO119" s="950"/>
      <c r="ETP119" s="950"/>
      <c r="ETQ119" s="950"/>
      <c r="ETR119" s="950"/>
      <c r="ETS119" s="950"/>
      <c r="ETT119" s="950"/>
      <c r="ETU119" s="950"/>
      <c r="ETV119" s="950"/>
      <c r="ETW119" s="950"/>
      <c r="ETX119" s="950"/>
      <c r="ETY119" s="950"/>
      <c r="ETZ119" s="950"/>
      <c r="EUA119" s="950"/>
      <c r="EUB119" s="950"/>
      <c r="EUC119" s="950"/>
      <c r="EUD119" s="950"/>
      <c r="EUE119" s="950"/>
      <c r="EUF119" s="950"/>
      <c r="EUG119" s="950"/>
      <c r="EUH119" s="950"/>
      <c r="EUI119" s="950"/>
      <c r="EUJ119" s="950"/>
      <c r="EUK119" s="950"/>
      <c r="EUL119" s="950"/>
      <c r="EUM119" s="950"/>
      <c r="EUN119" s="950"/>
      <c r="EUO119" s="950"/>
      <c r="EUP119" s="950"/>
      <c r="EUQ119" s="950"/>
      <c r="EUR119" s="950"/>
      <c r="EUS119" s="950"/>
      <c r="EUT119" s="950"/>
      <c r="EUU119" s="950"/>
      <c r="EUV119" s="950"/>
      <c r="EUW119" s="950"/>
      <c r="EUX119" s="950"/>
      <c r="EUY119" s="950"/>
      <c r="EUZ119" s="950"/>
      <c r="EVA119" s="950"/>
      <c r="EVB119" s="950"/>
      <c r="EVC119" s="950"/>
      <c r="EVD119" s="950"/>
      <c r="EVE119" s="950"/>
      <c r="EVF119" s="950"/>
      <c r="EVG119" s="950"/>
      <c r="EVH119" s="950"/>
      <c r="EVI119" s="950"/>
      <c r="EVJ119" s="950"/>
      <c r="EVK119" s="950"/>
      <c r="EVL119" s="950"/>
      <c r="EVM119" s="950"/>
      <c r="EVN119" s="950"/>
      <c r="EVO119" s="950"/>
      <c r="EVP119" s="950"/>
      <c r="EVQ119" s="950"/>
      <c r="EVR119" s="950"/>
      <c r="EVS119" s="950"/>
      <c r="EVT119" s="950"/>
      <c r="EVU119" s="950"/>
      <c r="EVV119" s="950"/>
      <c r="EVW119" s="950"/>
      <c r="EVX119" s="950"/>
      <c r="EVY119" s="950"/>
      <c r="EVZ119" s="950"/>
      <c r="EWA119" s="950"/>
      <c r="EWB119" s="950"/>
      <c r="EWC119" s="950"/>
      <c r="EWD119" s="950"/>
      <c r="EWE119" s="950"/>
      <c r="EWF119" s="950"/>
      <c r="EWG119" s="950"/>
      <c r="EWH119" s="950"/>
      <c r="EWI119" s="950"/>
      <c r="EWJ119" s="950"/>
      <c r="EWK119" s="950"/>
      <c r="EWL119" s="950"/>
      <c r="EWM119" s="950"/>
      <c r="EWN119" s="950"/>
      <c r="EWO119" s="950"/>
      <c r="EWP119" s="950"/>
      <c r="EWQ119" s="950"/>
      <c r="EWR119" s="950"/>
      <c r="EWS119" s="950"/>
      <c r="EWT119" s="950"/>
      <c r="EWU119" s="950"/>
      <c r="EWV119" s="950"/>
      <c r="EWW119" s="950"/>
      <c r="EWX119" s="950"/>
      <c r="EWY119" s="950"/>
      <c r="EWZ119" s="950"/>
      <c r="EXA119" s="950"/>
      <c r="EXB119" s="950"/>
      <c r="EXC119" s="950"/>
      <c r="EXD119" s="950"/>
      <c r="EXE119" s="950"/>
      <c r="EXF119" s="950"/>
      <c r="EXG119" s="950"/>
      <c r="EXH119" s="950"/>
      <c r="EXI119" s="950"/>
      <c r="EXJ119" s="950"/>
      <c r="EXK119" s="950"/>
      <c r="EXL119" s="950"/>
      <c r="EXM119" s="950"/>
      <c r="EXN119" s="950"/>
      <c r="EXO119" s="950"/>
      <c r="EXP119" s="950"/>
      <c r="EXQ119" s="950"/>
      <c r="EXR119" s="950"/>
      <c r="EXS119" s="950"/>
      <c r="EXT119" s="950"/>
      <c r="EXU119" s="950"/>
      <c r="EXV119" s="950"/>
      <c r="EXW119" s="950"/>
      <c r="EXX119" s="950"/>
      <c r="EXY119" s="950"/>
      <c r="EXZ119" s="950"/>
      <c r="EYA119" s="950"/>
      <c r="EYB119" s="950"/>
      <c r="EYC119" s="950"/>
      <c r="EYD119" s="950"/>
      <c r="EYE119" s="950"/>
      <c r="EYF119" s="950"/>
      <c r="EYG119" s="950"/>
      <c r="EYH119" s="950"/>
      <c r="EYI119" s="950"/>
      <c r="EYJ119" s="950"/>
      <c r="EYK119" s="950"/>
      <c r="EYL119" s="950"/>
      <c r="EYM119" s="950"/>
      <c r="EYN119" s="950"/>
      <c r="EYO119" s="950"/>
      <c r="EYP119" s="950"/>
      <c r="EYQ119" s="950"/>
      <c r="EYR119" s="950"/>
      <c r="EYS119" s="950"/>
      <c r="EYT119" s="950"/>
      <c r="EYU119" s="950"/>
      <c r="EYV119" s="950"/>
      <c r="EYW119" s="950"/>
      <c r="EYX119" s="950"/>
      <c r="EYY119" s="950"/>
      <c r="EYZ119" s="950"/>
      <c r="EZA119" s="950"/>
      <c r="EZB119" s="950"/>
      <c r="EZC119" s="950"/>
      <c r="EZD119" s="950"/>
      <c r="EZE119" s="950"/>
      <c r="EZF119" s="950"/>
      <c r="EZG119" s="950"/>
      <c r="EZH119" s="950"/>
      <c r="EZI119" s="950"/>
      <c r="EZJ119" s="950"/>
      <c r="EZK119" s="950"/>
      <c r="EZL119" s="950"/>
      <c r="EZM119" s="950"/>
      <c r="EZN119" s="950"/>
      <c r="EZO119" s="950"/>
      <c r="EZP119" s="950"/>
      <c r="EZQ119" s="950"/>
      <c r="EZR119" s="950"/>
      <c r="EZS119" s="950"/>
      <c r="EZT119" s="950"/>
      <c r="EZU119" s="950"/>
      <c r="EZV119" s="950"/>
      <c r="EZW119" s="950"/>
      <c r="EZX119" s="950"/>
      <c r="EZY119" s="950"/>
      <c r="EZZ119" s="950"/>
      <c r="FAA119" s="950"/>
      <c r="FAB119" s="950"/>
      <c r="FAC119" s="950"/>
      <c r="FAD119" s="950"/>
      <c r="FAE119" s="950"/>
      <c r="FAF119" s="950"/>
      <c r="FAG119" s="950"/>
      <c r="FAH119" s="950"/>
      <c r="FAI119" s="950"/>
      <c r="FAJ119" s="950"/>
      <c r="FAK119" s="950"/>
      <c r="FAL119" s="950"/>
      <c r="FAM119" s="950"/>
      <c r="FAN119" s="950"/>
      <c r="FAO119" s="950"/>
      <c r="FAP119" s="950"/>
      <c r="FAQ119" s="950"/>
      <c r="FAR119" s="950"/>
      <c r="FAS119" s="950"/>
      <c r="FAT119" s="950"/>
      <c r="FAU119" s="950"/>
      <c r="FAV119" s="950"/>
      <c r="FAW119" s="950"/>
      <c r="FAX119" s="950"/>
      <c r="FAY119" s="950"/>
      <c r="FAZ119" s="950"/>
      <c r="FBA119" s="950"/>
      <c r="FBB119" s="950"/>
      <c r="FBC119" s="950"/>
      <c r="FBD119" s="950"/>
      <c r="FBE119" s="950"/>
      <c r="FBF119" s="950"/>
      <c r="FBG119" s="950"/>
      <c r="FBH119" s="950"/>
      <c r="FBI119" s="950"/>
      <c r="FBJ119" s="950"/>
      <c r="FBK119" s="950"/>
      <c r="FBL119" s="950"/>
      <c r="FBM119" s="950"/>
      <c r="FBN119" s="950"/>
      <c r="FBO119" s="950"/>
      <c r="FBP119" s="950"/>
      <c r="FBQ119" s="950"/>
      <c r="FBR119" s="950"/>
      <c r="FBS119" s="950"/>
      <c r="FBT119" s="950"/>
      <c r="FBU119" s="950"/>
      <c r="FBV119" s="950"/>
      <c r="FBW119" s="950"/>
      <c r="FBX119" s="950"/>
      <c r="FBY119" s="950"/>
      <c r="FBZ119" s="950"/>
      <c r="FCA119" s="950"/>
      <c r="FCB119" s="950"/>
      <c r="FCC119" s="950"/>
      <c r="FCD119" s="950"/>
      <c r="FCE119" s="950"/>
      <c r="FCF119" s="950"/>
      <c r="FCG119" s="950"/>
      <c r="FCH119" s="950"/>
      <c r="FCI119" s="950"/>
      <c r="FCJ119" s="950"/>
      <c r="FCK119" s="950"/>
      <c r="FCL119" s="950"/>
      <c r="FCM119" s="950"/>
      <c r="FCN119" s="950"/>
      <c r="FCO119" s="950"/>
      <c r="FCP119" s="950"/>
      <c r="FCQ119" s="950"/>
      <c r="FCR119" s="950"/>
      <c r="FCS119" s="950"/>
      <c r="FCT119" s="950"/>
      <c r="FCU119" s="950"/>
      <c r="FCV119" s="950"/>
      <c r="FCW119" s="950"/>
      <c r="FCX119" s="950"/>
      <c r="FCY119" s="950"/>
      <c r="FCZ119" s="950"/>
      <c r="FDA119" s="950"/>
      <c r="FDB119" s="950"/>
      <c r="FDC119" s="950"/>
      <c r="FDD119" s="950"/>
      <c r="FDE119" s="950"/>
      <c r="FDF119" s="950"/>
      <c r="FDG119" s="950"/>
      <c r="FDH119" s="950"/>
      <c r="FDI119" s="950"/>
      <c r="FDJ119" s="950"/>
      <c r="FDK119" s="950"/>
      <c r="FDL119" s="950"/>
      <c r="FDM119" s="950"/>
      <c r="FDN119" s="950"/>
      <c r="FDO119" s="950"/>
      <c r="FDP119" s="950"/>
      <c r="FDQ119" s="950"/>
      <c r="FDR119" s="950"/>
      <c r="FDS119" s="950"/>
      <c r="FDT119" s="950"/>
      <c r="FDU119" s="950"/>
      <c r="FDV119" s="950"/>
      <c r="FDW119" s="950"/>
      <c r="FDX119" s="950"/>
      <c r="FDY119" s="950"/>
      <c r="FDZ119" s="950"/>
      <c r="FEA119" s="950"/>
      <c r="FEB119" s="950"/>
      <c r="FEC119" s="950"/>
      <c r="FED119" s="950"/>
      <c r="FEE119" s="950"/>
      <c r="FEF119" s="950"/>
      <c r="FEG119" s="950"/>
      <c r="FEH119" s="950"/>
      <c r="FEI119" s="950"/>
      <c r="FEJ119" s="950"/>
      <c r="FEK119" s="950"/>
      <c r="FEL119" s="950"/>
      <c r="FEM119" s="950"/>
      <c r="FEN119" s="950"/>
      <c r="FEO119" s="950"/>
      <c r="FEP119" s="950"/>
      <c r="FEQ119" s="950"/>
      <c r="FER119" s="950"/>
      <c r="FES119" s="950"/>
      <c r="FET119" s="950"/>
      <c r="FEU119" s="950"/>
      <c r="FEV119" s="950"/>
      <c r="FEW119" s="950"/>
      <c r="FEX119" s="950"/>
      <c r="FEY119" s="950"/>
      <c r="FEZ119" s="950"/>
      <c r="FFA119" s="950"/>
      <c r="FFB119" s="950"/>
      <c r="FFC119" s="950"/>
      <c r="FFD119" s="950"/>
      <c r="FFE119" s="950"/>
      <c r="FFF119" s="950"/>
      <c r="FFG119" s="950"/>
      <c r="FFH119" s="950"/>
      <c r="FFI119" s="950"/>
      <c r="FFJ119" s="950"/>
      <c r="FFK119" s="950"/>
      <c r="FFL119" s="950"/>
      <c r="FFM119" s="950"/>
      <c r="FFN119" s="950"/>
      <c r="FFO119" s="950"/>
      <c r="FFP119" s="950"/>
      <c r="FFQ119" s="950"/>
      <c r="FFR119" s="950"/>
      <c r="FFS119" s="950"/>
      <c r="FFT119" s="950"/>
      <c r="FFU119" s="950"/>
      <c r="FFV119" s="950"/>
      <c r="FFW119" s="950"/>
      <c r="FFX119" s="950"/>
      <c r="FFY119" s="950"/>
      <c r="FFZ119" s="950"/>
      <c r="FGA119" s="950"/>
      <c r="FGB119" s="950"/>
      <c r="FGC119" s="950"/>
      <c r="FGD119" s="950"/>
      <c r="FGE119" s="950"/>
      <c r="FGF119" s="950"/>
      <c r="FGG119" s="950"/>
      <c r="FGH119" s="950"/>
      <c r="FGI119" s="950"/>
      <c r="FGJ119" s="950"/>
      <c r="FGK119" s="950"/>
      <c r="FGL119" s="950"/>
      <c r="FGM119" s="950"/>
      <c r="FGN119" s="950"/>
      <c r="FGO119" s="950"/>
      <c r="FGP119" s="950"/>
      <c r="FGQ119" s="950"/>
      <c r="FGR119" s="950"/>
      <c r="FGS119" s="950"/>
      <c r="FGT119" s="950"/>
      <c r="FGU119" s="950"/>
      <c r="FGV119" s="950"/>
      <c r="FGW119" s="950"/>
      <c r="FGX119" s="950"/>
      <c r="FGY119" s="950"/>
      <c r="FGZ119" s="950"/>
      <c r="FHA119" s="950"/>
      <c r="FHB119" s="950"/>
      <c r="FHC119" s="950"/>
      <c r="FHD119" s="950"/>
      <c r="FHE119" s="950"/>
      <c r="FHF119" s="950"/>
      <c r="FHG119" s="950"/>
      <c r="FHH119" s="950"/>
      <c r="FHI119" s="950"/>
      <c r="FHJ119" s="950"/>
      <c r="FHK119" s="950"/>
      <c r="FHL119" s="950"/>
      <c r="FHM119" s="950"/>
      <c r="FHN119" s="950"/>
      <c r="FHO119" s="950"/>
      <c r="FHP119" s="950"/>
      <c r="FHQ119" s="950"/>
      <c r="FHR119" s="950"/>
      <c r="FHS119" s="950"/>
      <c r="FHT119" s="950"/>
      <c r="FHU119" s="950"/>
      <c r="FHV119" s="950"/>
      <c r="FHW119" s="950"/>
      <c r="FHX119" s="950"/>
      <c r="FHY119" s="950"/>
      <c r="FHZ119" s="950"/>
      <c r="FIA119" s="950"/>
      <c r="FIB119" s="950"/>
      <c r="FIC119" s="950"/>
      <c r="FID119" s="950"/>
      <c r="FIE119" s="950"/>
      <c r="FIF119" s="950"/>
      <c r="FIG119" s="950"/>
      <c r="FIH119" s="950"/>
      <c r="FII119" s="950"/>
      <c r="FIJ119" s="950"/>
      <c r="FIK119" s="950"/>
      <c r="FIL119" s="950"/>
      <c r="FIM119" s="950"/>
      <c r="FIN119" s="950"/>
      <c r="FIO119" s="950"/>
      <c r="FIP119" s="950"/>
      <c r="FIQ119" s="950"/>
      <c r="FIR119" s="950"/>
      <c r="FIS119" s="950"/>
      <c r="FIT119" s="950"/>
      <c r="FIU119" s="950"/>
      <c r="FIV119" s="950"/>
      <c r="FIW119" s="950"/>
      <c r="FIX119" s="950"/>
      <c r="FIY119" s="950"/>
      <c r="FIZ119" s="950"/>
      <c r="FJA119" s="950"/>
      <c r="FJB119" s="950"/>
      <c r="FJC119" s="950"/>
      <c r="FJD119" s="950"/>
      <c r="FJE119" s="950"/>
      <c r="FJF119" s="950"/>
      <c r="FJG119" s="950"/>
      <c r="FJH119" s="950"/>
      <c r="FJI119" s="950"/>
      <c r="FJJ119" s="950"/>
      <c r="FJK119" s="950"/>
      <c r="FJL119" s="950"/>
      <c r="FJM119" s="950"/>
      <c r="FJN119" s="950"/>
      <c r="FJO119" s="950"/>
      <c r="FJP119" s="950"/>
      <c r="FJQ119" s="950"/>
      <c r="FJR119" s="950"/>
      <c r="FJS119" s="950"/>
      <c r="FJT119" s="950"/>
      <c r="FJU119" s="950"/>
      <c r="FJV119" s="950"/>
      <c r="FJW119" s="950"/>
      <c r="FJX119" s="950"/>
      <c r="FJY119" s="950"/>
      <c r="FJZ119" s="950"/>
      <c r="FKA119" s="950"/>
      <c r="FKB119" s="950"/>
      <c r="FKC119" s="950"/>
      <c r="FKD119" s="950"/>
      <c r="FKE119" s="950"/>
      <c r="FKF119" s="950"/>
      <c r="FKG119" s="950"/>
      <c r="FKH119" s="950"/>
      <c r="FKI119" s="950"/>
      <c r="FKJ119" s="950"/>
      <c r="FKK119" s="950"/>
      <c r="FKL119" s="950"/>
      <c r="FKM119" s="950"/>
      <c r="FKN119" s="950"/>
      <c r="FKO119" s="950"/>
      <c r="FKP119" s="950"/>
      <c r="FKQ119" s="950"/>
      <c r="FKR119" s="950"/>
      <c r="FKS119" s="950"/>
      <c r="FKT119" s="950"/>
      <c r="FKU119" s="950"/>
      <c r="FKV119" s="950"/>
      <c r="FKW119" s="950"/>
      <c r="FKX119" s="950"/>
      <c r="FKY119" s="950"/>
      <c r="FKZ119" s="950"/>
      <c r="FLA119" s="950"/>
      <c r="FLB119" s="950"/>
      <c r="FLC119" s="950"/>
      <c r="FLD119" s="950"/>
      <c r="FLE119" s="950"/>
      <c r="FLF119" s="950"/>
      <c r="FLG119" s="950"/>
      <c r="FLH119" s="950"/>
      <c r="FLI119" s="950"/>
      <c r="FLJ119" s="950"/>
      <c r="FLK119" s="950"/>
      <c r="FLL119" s="950"/>
      <c r="FLM119" s="950"/>
      <c r="FLN119" s="950"/>
      <c r="FLO119" s="950"/>
      <c r="FLP119" s="950"/>
      <c r="FLQ119" s="950"/>
      <c r="FLR119" s="950"/>
      <c r="FLS119" s="950"/>
      <c r="FLT119" s="950"/>
      <c r="FLU119" s="950"/>
      <c r="FLV119" s="950"/>
      <c r="FLW119" s="950"/>
      <c r="FLX119" s="950"/>
      <c r="FLY119" s="950"/>
      <c r="FLZ119" s="950"/>
      <c r="FMA119" s="950"/>
      <c r="FMB119" s="950"/>
      <c r="FMC119" s="950"/>
      <c r="FMD119" s="950"/>
      <c r="FME119" s="950"/>
      <c r="FMF119" s="950"/>
      <c r="FMG119" s="950"/>
      <c r="FMH119" s="950"/>
      <c r="FMI119" s="950"/>
      <c r="FMJ119" s="950"/>
      <c r="FMK119" s="950"/>
      <c r="FML119" s="950"/>
      <c r="FMM119" s="950"/>
      <c r="FMN119" s="950"/>
      <c r="FMO119" s="950"/>
      <c r="FMP119" s="950"/>
      <c r="FMQ119" s="950"/>
      <c r="FMR119" s="950"/>
      <c r="FMS119" s="950"/>
      <c r="FMT119" s="950"/>
      <c r="FMU119" s="950"/>
      <c r="FMV119" s="950"/>
      <c r="FMW119" s="950"/>
      <c r="FMX119" s="950"/>
      <c r="FMY119" s="950"/>
      <c r="FMZ119" s="950"/>
      <c r="FNA119" s="950"/>
      <c r="FNB119" s="950"/>
      <c r="FNC119" s="950"/>
      <c r="FND119" s="950"/>
      <c r="FNE119" s="950"/>
      <c r="FNF119" s="950"/>
      <c r="FNG119" s="950"/>
      <c r="FNH119" s="950"/>
      <c r="FNI119" s="950"/>
      <c r="FNJ119" s="950"/>
      <c r="FNK119" s="950"/>
      <c r="FNL119" s="950"/>
      <c r="FNM119" s="950"/>
      <c r="FNN119" s="950"/>
      <c r="FNO119" s="950"/>
      <c r="FNP119" s="950"/>
      <c r="FNQ119" s="950"/>
      <c r="FNR119" s="950"/>
      <c r="FNS119" s="950"/>
      <c r="FNT119" s="950"/>
      <c r="FNU119" s="950"/>
      <c r="FNV119" s="950"/>
      <c r="FNW119" s="950"/>
      <c r="FNX119" s="950"/>
      <c r="FNY119" s="950"/>
      <c r="FNZ119" s="950"/>
      <c r="FOA119" s="950"/>
      <c r="FOB119" s="950"/>
      <c r="FOC119" s="950"/>
      <c r="FOD119" s="950"/>
      <c r="FOE119" s="950"/>
      <c r="FOF119" s="950"/>
      <c r="FOG119" s="950"/>
      <c r="FOH119" s="950"/>
      <c r="FOI119" s="950"/>
      <c r="FOJ119" s="950"/>
      <c r="FOK119" s="950"/>
      <c r="FOL119" s="950"/>
      <c r="FOM119" s="950"/>
      <c r="FON119" s="950"/>
      <c r="FOO119" s="950"/>
      <c r="FOP119" s="950"/>
      <c r="FOQ119" s="950"/>
      <c r="FOR119" s="950"/>
      <c r="FOS119" s="950"/>
      <c r="FOT119" s="950"/>
      <c r="FOU119" s="950"/>
      <c r="FOV119" s="950"/>
      <c r="FOW119" s="950"/>
      <c r="FOX119" s="950"/>
      <c r="FOY119" s="950"/>
      <c r="FOZ119" s="950"/>
      <c r="FPA119" s="950"/>
      <c r="FPB119" s="950"/>
      <c r="FPC119" s="950"/>
      <c r="FPD119" s="950"/>
      <c r="FPE119" s="950"/>
      <c r="FPF119" s="950"/>
      <c r="FPG119" s="950"/>
      <c r="FPH119" s="950"/>
      <c r="FPI119" s="950"/>
      <c r="FPJ119" s="950"/>
      <c r="FPK119" s="950"/>
      <c r="FPL119" s="950"/>
      <c r="FPM119" s="950"/>
      <c r="FPN119" s="950"/>
      <c r="FPO119" s="950"/>
      <c r="FPP119" s="950"/>
      <c r="FPQ119" s="950"/>
      <c r="FPR119" s="950"/>
      <c r="FPS119" s="950"/>
      <c r="FPT119" s="950"/>
      <c r="FPU119" s="950"/>
      <c r="FPV119" s="950"/>
      <c r="FPW119" s="950"/>
      <c r="FPX119" s="950"/>
      <c r="FPY119" s="950"/>
      <c r="FPZ119" s="950"/>
      <c r="FQA119" s="950"/>
      <c r="FQB119" s="950"/>
      <c r="FQC119" s="950"/>
      <c r="FQD119" s="950"/>
      <c r="FQE119" s="950"/>
      <c r="FQF119" s="950"/>
      <c r="FQG119" s="950"/>
      <c r="FQH119" s="950"/>
      <c r="FQI119" s="950"/>
      <c r="FQJ119" s="950"/>
      <c r="FQK119" s="950"/>
      <c r="FQL119" s="950"/>
      <c r="FQM119" s="950"/>
      <c r="FQN119" s="950"/>
      <c r="FQO119" s="950"/>
      <c r="FQP119" s="950"/>
      <c r="FQQ119" s="950"/>
      <c r="FQR119" s="950"/>
      <c r="FQS119" s="950"/>
      <c r="FQT119" s="950"/>
      <c r="FQU119" s="950"/>
      <c r="FQV119" s="950"/>
      <c r="FQW119" s="950"/>
      <c r="FQX119" s="950"/>
      <c r="FQY119" s="950"/>
      <c r="FQZ119" s="950"/>
      <c r="FRA119" s="950"/>
      <c r="FRB119" s="950"/>
      <c r="FRC119" s="950"/>
      <c r="FRD119" s="950"/>
      <c r="FRE119" s="950"/>
      <c r="FRF119" s="950"/>
      <c r="FRG119" s="950"/>
      <c r="FRH119" s="950"/>
      <c r="FRI119" s="950"/>
      <c r="FRJ119" s="950"/>
      <c r="FRK119" s="950"/>
      <c r="FRL119" s="950"/>
      <c r="FRM119" s="950"/>
      <c r="FRN119" s="950"/>
      <c r="FRO119" s="950"/>
      <c r="FRP119" s="950"/>
      <c r="FRQ119" s="950"/>
      <c r="FRR119" s="950"/>
      <c r="FRS119" s="950"/>
      <c r="FRT119" s="950"/>
      <c r="FRU119" s="950"/>
      <c r="FRV119" s="950"/>
      <c r="FRW119" s="950"/>
      <c r="FRX119" s="950"/>
      <c r="FRY119" s="950"/>
      <c r="FRZ119" s="950"/>
      <c r="FSA119" s="950"/>
      <c r="FSB119" s="950"/>
      <c r="FSC119" s="950"/>
      <c r="FSD119" s="950"/>
      <c r="FSE119" s="950"/>
      <c r="FSF119" s="950"/>
      <c r="FSG119" s="950"/>
      <c r="FSH119" s="950"/>
      <c r="FSI119" s="950"/>
      <c r="FSJ119" s="950"/>
      <c r="FSK119" s="950"/>
      <c r="FSL119" s="950"/>
      <c r="FSM119" s="950"/>
      <c r="FSN119" s="950"/>
      <c r="FSO119" s="950"/>
      <c r="FSP119" s="950"/>
      <c r="FSQ119" s="950"/>
      <c r="FSR119" s="950"/>
      <c r="FSS119" s="950"/>
      <c r="FST119" s="950"/>
      <c r="FSU119" s="950"/>
      <c r="FSV119" s="950"/>
      <c r="FSW119" s="950"/>
      <c r="FSX119" s="950"/>
      <c r="FSY119" s="950"/>
      <c r="FSZ119" s="950"/>
      <c r="FTA119" s="950"/>
      <c r="FTB119" s="950"/>
      <c r="FTC119" s="950"/>
      <c r="FTD119" s="950"/>
      <c r="FTE119" s="950"/>
      <c r="FTF119" s="950"/>
      <c r="FTG119" s="950"/>
      <c r="FTH119" s="950"/>
      <c r="FTI119" s="950"/>
      <c r="FTJ119" s="950"/>
      <c r="FTK119" s="950"/>
      <c r="FTL119" s="950"/>
      <c r="FTM119" s="950"/>
      <c r="FTN119" s="950"/>
      <c r="FTO119" s="950"/>
      <c r="FTP119" s="950"/>
      <c r="FTQ119" s="950"/>
      <c r="FTR119" s="950"/>
      <c r="FTS119" s="950"/>
      <c r="FTT119" s="950"/>
      <c r="FTU119" s="950"/>
      <c r="FTV119" s="950"/>
      <c r="FTW119" s="950"/>
      <c r="FTX119" s="950"/>
      <c r="FTY119" s="950"/>
      <c r="FTZ119" s="950"/>
      <c r="FUA119" s="950"/>
      <c r="FUB119" s="950"/>
      <c r="FUC119" s="950"/>
      <c r="FUD119" s="950"/>
      <c r="FUE119" s="950"/>
      <c r="FUF119" s="950"/>
      <c r="FUG119" s="950"/>
      <c r="FUH119" s="950"/>
      <c r="FUI119" s="950"/>
      <c r="FUJ119" s="950"/>
      <c r="FUK119" s="950"/>
      <c r="FUL119" s="950"/>
      <c r="FUM119" s="950"/>
      <c r="FUN119" s="950"/>
      <c r="FUO119" s="950"/>
      <c r="FUP119" s="950"/>
      <c r="FUQ119" s="950"/>
      <c r="FUR119" s="950"/>
      <c r="FUS119" s="950"/>
      <c r="FUT119" s="950"/>
      <c r="FUU119" s="950"/>
      <c r="FUV119" s="950"/>
      <c r="FUW119" s="950"/>
      <c r="FUX119" s="950"/>
      <c r="FUY119" s="950"/>
      <c r="FUZ119" s="950"/>
      <c r="FVA119" s="950"/>
      <c r="FVB119" s="950"/>
      <c r="FVC119" s="950"/>
      <c r="FVD119" s="950"/>
      <c r="FVE119" s="950"/>
      <c r="FVF119" s="950"/>
      <c r="FVG119" s="950"/>
      <c r="FVH119" s="950"/>
      <c r="FVI119" s="950"/>
      <c r="FVJ119" s="950"/>
      <c r="FVK119" s="950"/>
      <c r="FVL119" s="950"/>
      <c r="FVM119" s="950"/>
      <c r="FVN119" s="950"/>
      <c r="FVO119" s="950"/>
      <c r="FVP119" s="950"/>
      <c r="FVQ119" s="950"/>
      <c r="FVR119" s="950"/>
      <c r="FVS119" s="950"/>
      <c r="FVT119" s="950"/>
      <c r="FVU119" s="950"/>
      <c r="FVV119" s="950"/>
      <c r="FVW119" s="950"/>
      <c r="FVX119" s="950"/>
      <c r="FVY119" s="950"/>
      <c r="FVZ119" s="950"/>
      <c r="FWA119" s="950"/>
      <c r="FWB119" s="950"/>
      <c r="FWC119" s="950"/>
      <c r="FWD119" s="950"/>
      <c r="FWE119" s="950"/>
      <c r="FWF119" s="950"/>
      <c r="FWG119" s="950"/>
      <c r="FWH119" s="950"/>
      <c r="FWI119" s="950"/>
      <c r="FWJ119" s="950"/>
      <c r="FWK119" s="950"/>
      <c r="FWL119" s="950"/>
      <c r="FWM119" s="950"/>
      <c r="FWN119" s="950"/>
      <c r="FWO119" s="950"/>
      <c r="FWP119" s="950"/>
      <c r="FWQ119" s="950"/>
      <c r="FWR119" s="950"/>
      <c r="FWS119" s="950"/>
      <c r="FWT119" s="950"/>
      <c r="FWU119" s="950"/>
      <c r="FWV119" s="950"/>
      <c r="FWW119" s="950"/>
      <c r="FWX119" s="950"/>
      <c r="FWY119" s="950"/>
      <c r="FWZ119" s="950"/>
      <c r="FXA119" s="950"/>
      <c r="FXB119" s="950"/>
      <c r="FXC119" s="950"/>
      <c r="FXD119" s="950"/>
      <c r="FXE119" s="950"/>
      <c r="FXF119" s="950"/>
      <c r="FXG119" s="950"/>
      <c r="FXH119" s="950"/>
      <c r="FXI119" s="950"/>
      <c r="FXJ119" s="950"/>
      <c r="FXK119" s="950"/>
      <c r="FXL119" s="950"/>
      <c r="FXM119" s="950"/>
      <c r="FXN119" s="950"/>
      <c r="FXO119" s="950"/>
      <c r="FXP119" s="950"/>
      <c r="FXQ119" s="950"/>
      <c r="FXR119" s="950"/>
      <c r="FXS119" s="950"/>
      <c r="FXT119" s="950"/>
      <c r="FXU119" s="950"/>
      <c r="FXV119" s="950"/>
      <c r="FXW119" s="950"/>
      <c r="FXX119" s="950"/>
      <c r="FXY119" s="950"/>
      <c r="FXZ119" s="950"/>
      <c r="FYA119" s="950"/>
      <c r="FYB119" s="950"/>
      <c r="FYC119" s="950"/>
      <c r="FYD119" s="950"/>
      <c r="FYE119" s="950"/>
      <c r="FYF119" s="950"/>
      <c r="FYG119" s="950"/>
      <c r="FYH119" s="950"/>
      <c r="FYI119" s="950"/>
      <c r="FYJ119" s="950"/>
      <c r="FYK119" s="950"/>
      <c r="FYL119" s="950"/>
      <c r="FYM119" s="950"/>
      <c r="FYN119" s="950"/>
      <c r="FYO119" s="950"/>
      <c r="FYP119" s="950"/>
      <c r="FYQ119" s="950"/>
      <c r="FYR119" s="950"/>
      <c r="FYS119" s="950"/>
      <c r="FYT119" s="950"/>
      <c r="FYU119" s="950"/>
      <c r="FYV119" s="950"/>
      <c r="FYW119" s="950"/>
      <c r="FYX119" s="950"/>
      <c r="FYY119" s="950"/>
      <c r="FYZ119" s="950"/>
      <c r="FZA119" s="950"/>
      <c r="FZB119" s="950"/>
      <c r="FZC119" s="950"/>
      <c r="FZD119" s="950"/>
      <c r="FZE119" s="950"/>
      <c r="FZF119" s="950"/>
      <c r="FZG119" s="950"/>
      <c r="FZH119" s="950"/>
      <c r="FZI119" s="950"/>
      <c r="FZJ119" s="950"/>
      <c r="FZK119" s="950"/>
      <c r="FZL119" s="950"/>
      <c r="FZM119" s="950"/>
      <c r="FZN119" s="950"/>
      <c r="FZO119" s="950"/>
      <c r="FZP119" s="950"/>
      <c r="FZQ119" s="950"/>
      <c r="FZR119" s="950"/>
      <c r="FZS119" s="950"/>
      <c r="FZT119" s="950"/>
      <c r="FZU119" s="950"/>
      <c r="FZV119" s="950"/>
      <c r="FZW119" s="950"/>
      <c r="FZX119" s="950"/>
      <c r="FZY119" s="950"/>
      <c r="FZZ119" s="950"/>
      <c r="GAA119" s="950"/>
      <c r="GAB119" s="950"/>
      <c r="GAC119" s="950"/>
      <c r="GAD119" s="950"/>
      <c r="GAE119" s="950"/>
      <c r="GAF119" s="950"/>
      <c r="GAG119" s="950"/>
      <c r="GAH119" s="950"/>
      <c r="GAI119" s="950"/>
      <c r="GAJ119" s="950"/>
      <c r="GAK119" s="950"/>
      <c r="GAL119" s="950"/>
      <c r="GAM119" s="950"/>
      <c r="GAN119" s="950"/>
      <c r="GAO119" s="950"/>
      <c r="GAP119" s="950"/>
      <c r="GAQ119" s="950"/>
      <c r="GAR119" s="950"/>
      <c r="GAS119" s="950"/>
      <c r="GAT119" s="950"/>
      <c r="GAU119" s="950"/>
      <c r="GAV119" s="950"/>
      <c r="GAW119" s="950"/>
      <c r="GAX119" s="950"/>
      <c r="GAY119" s="950"/>
      <c r="GAZ119" s="950"/>
      <c r="GBA119" s="950"/>
      <c r="GBB119" s="950"/>
      <c r="GBC119" s="950"/>
      <c r="GBD119" s="950"/>
      <c r="GBE119" s="950"/>
      <c r="GBF119" s="950"/>
      <c r="GBG119" s="950"/>
      <c r="GBH119" s="950"/>
      <c r="GBI119" s="950"/>
      <c r="GBJ119" s="950"/>
      <c r="GBK119" s="950"/>
      <c r="GBL119" s="950"/>
      <c r="GBM119" s="950"/>
      <c r="GBN119" s="950"/>
      <c r="GBO119" s="950"/>
      <c r="GBP119" s="950"/>
      <c r="GBQ119" s="950"/>
      <c r="GBR119" s="950"/>
      <c r="GBS119" s="950"/>
      <c r="GBT119" s="950"/>
      <c r="GBU119" s="950"/>
      <c r="GBV119" s="950"/>
      <c r="GBW119" s="950"/>
      <c r="GBX119" s="950"/>
      <c r="GBY119" s="950"/>
      <c r="GBZ119" s="950"/>
      <c r="GCA119" s="950"/>
      <c r="GCB119" s="950"/>
      <c r="GCC119" s="950"/>
      <c r="GCD119" s="950"/>
      <c r="GCE119" s="950"/>
      <c r="GCF119" s="950"/>
      <c r="GCG119" s="950"/>
      <c r="GCH119" s="950"/>
      <c r="GCI119" s="950"/>
      <c r="GCJ119" s="950"/>
      <c r="GCK119" s="950"/>
      <c r="GCL119" s="950"/>
      <c r="GCM119" s="950"/>
      <c r="GCN119" s="950"/>
      <c r="GCO119" s="950"/>
      <c r="GCP119" s="950"/>
      <c r="GCQ119" s="950"/>
      <c r="GCR119" s="950"/>
      <c r="GCS119" s="950"/>
      <c r="GCT119" s="950"/>
      <c r="GCU119" s="950"/>
      <c r="GCV119" s="950"/>
      <c r="GCW119" s="950"/>
      <c r="GCX119" s="950"/>
      <c r="GCY119" s="950"/>
      <c r="GCZ119" s="950"/>
      <c r="GDA119" s="950"/>
      <c r="GDB119" s="950"/>
      <c r="GDC119" s="950"/>
      <c r="GDD119" s="950"/>
      <c r="GDE119" s="950"/>
      <c r="GDF119" s="950"/>
      <c r="GDG119" s="950"/>
      <c r="GDH119" s="950"/>
      <c r="GDI119" s="950"/>
      <c r="GDJ119" s="950"/>
      <c r="GDK119" s="950"/>
      <c r="GDL119" s="950"/>
      <c r="GDM119" s="950"/>
      <c r="GDN119" s="950"/>
      <c r="GDO119" s="950"/>
      <c r="GDP119" s="950"/>
      <c r="GDQ119" s="950"/>
      <c r="GDR119" s="950"/>
      <c r="GDS119" s="950"/>
      <c r="GDT119" s="950"/>
      <c r="GDU119" s="950"/>
      <c r="GDV119" s="950"/>
      <c r="GDW119" s="950"/>
      <c r="GDX119" s="950"/>
      <c r="GDY119" s="950"/>
      <c r="GDZ119" s="950"/>
      <c r="GEA119" s="950"/>
      <c r="GEB119" s="950"/>
      <c r="GEC119" s="950"/>
      <c r="GED119" s="950"/>
      <c r="GEE119" s="950"/>
      <c r="GEF119" s="950"/>
      <c r="GEG119" s="950"/>
      <c r="GEH119" s="950"/>
      <c r="GEI119" s="950"/>
      <c r="GEJ119" s="950"/>
      <c r="GEK119" s="950"/>
      <c r="GEL119" s="950"/>
      <c r="GEM119" s="950"/>
      <c r="GEN119" s="950"/>
      <c r="GEO119" s="950"/>
      <c r="GEP119" s="950"/>
      <c r="GEQ119" s="950"/>
      <c r="GER119" s="950"/>
      <c r="GES119" s="950"/>
      <c r="GET119" s="950"/>
      <c r="GEU119" s="950"/>
      <c r="GEV119" s="950"/>
      <c r="GEW119" s="950"/>
      <c r="GEX119" s="950"/>
      <c r="GEY119" s="950"/>
      <c r="GEZ119" s="950"/>
      <c r="GFA119" s="950"/>
      <c r="GFB119" s="950"/>
      <c r="GFC119" s="950"/>
      <c r="GFD119" s="950"/>
      <c r="GFE119" s="950"/>
      <c r="GFF119" s="950"/>
      <c r="GFG119" s="950"/>
      <c r="GFH119" s="950"/>
      <c r="GFI119" s="950"/>
      <c r="GFJ119" s="950"/>
      <c r="GFK119" s="950"/>
      <c r="GFL119" s="950"/>
      <c r="GFM119" s="950"/>
      <c r="GFN119" s="950"/>
      <c r="GFO119" s="950"/>
      <c r="GFP119" s="950"/>
      <c r="GFQ119" s="950"/>
      <c r="GFR119" s="950"/>
      <c r="GFS119" s="950"/>
      <c r="GFT119" s="950"/>
      <c r="GFU119" s="950"/>
      <c r="GFV119" s="950"/>
      <c r="GFW119" s="950"/>
      <c r="GFX119" s="950"/>
      <c r="GFY119" s="950"/>
      <c r="GFZ119" s="950"/>
      <c r="GGA119" s="950"/>
      <c r="GGB119" s="950"/>
      <c r="GGC119" s="950"/>
      <c r="GGD119" s="950"/>
      <c r="GGE119" s="950"/>
      <c r="GGF119" s="950"/>
      <c r="GGG119" s="950"/>
      <c r="GGH119" s="950"/>
      <c r="GGI119" s="950"/>
      <c r="GGJ119" s="950"/>
      <c r="GGK119" s="950"/>
      <c r="GGL119" s="950"/>
      <c r="GGM119" s="950"/>
      <c r="GGN119" s="950"/>
      <c r="GGO119" s="950"/>
      <c r="GGP119" s="950"/>
      <c r="GGQ119" s="950"/>
      <c r="GGR119" s="950"/>
      <c r="GGS119" s="950"/>
      <c r="GGT119" s="950"/>
      <c r="GGU119" s="950"/>
      <c r="GGV119" s="950"/>
      <c r="GGW119" s="950"/>
      <c r="GGX119" s="950"/>
      <c r="GGY119" s="950"/>
      <c r="GGZ119" s="950"/>
      <c r="GHA119" s="950"/>
      <c r="GHB119" s="950"/>
      <c r="GHC119" s="950"/>
      <c r="GHD119" s="950"/>
      <c r="GHE119" s="950"/>
      <c r="GHF119" s="950"/>
      <c r="GHG119" s="950"/>
      <c r="GHH119" s="950"/>
      <c r="GHI119" s="950"/>
      <c r="GHJ119" s="950"/>
      <c r="GHK119" s="950"/>
      <c r="GHL119" s="950"/>
      <c r="GHM119" s="950"/>
      <c r="GHN119" s="950"/>
      <c r="GHO119" s="950"/>
      <c r="GHP119" s="950"/>
      <c r="GHQ119" s="950"/>
      <c r="GHR119" s="950"/>
      <c r="GHS119" s="950"/>
      <c r="GHT119" s="950"/>
      <c r="GHU119" s="950"/>
      <c r="GHV119" s="950"/>
      <c r="GHW119" s="950"/>
      <c r="GHX119" s="950"/>
      <c r="GHY119" s="950"/>
      <c r="GHZ119" s="950"/>
      <c r="GIA119" s="950"/>
      <c r="GIB119" s="950"/>
      <c r="GIC119" s="950"/>
      <c r="GID119" s="950"/>
      <c r="GIE119" s="950"/>
      <c r="GIF119" s="950"/>
      <c r="GIG119" s="950"/>
      <c r="GIH119" s="950"/>
      <c r="GII119" s="950"/>
      <c r="GIJ119" s="950"/>
      <c r="GIK119" s="950"/>
      <c r="GIL119" s="950"/>
      <c r="GIM119" s="950"/>
      <c r="GIN119" s="950"/>
      <c r="GIO119" s="950"/>
      <c r="GIP119" s="950"/>
      <c r="GIQ119" s="950"/>
      <c r="GIR119" s="950"/>
      <c r="GIS119" s="950"/>
      <c r="GIT119" s="950"/>
      <c r="GIU119" s="950"/>
      <c r="GIV119" s="950"/>
      <c r="GIW119" s="950"/>
      <c r="GIX119" s="950"/>
      <c r="GIY119" s="950"/>
      <c r="GIZ119" s="950"/>
      <c r="GJA119" s="950"/>
      <c r="GJB119" s="950"/>
      <c r="GJC119" s="950"/>
      <c r="GJD119" s="950"/>
      <c r="GJE119" s="950"/>
      <c r="GJF119" s="950"/>
      <c r="GJG119" s="950"/>
      <c r="GJH119" s="950"/>
      <c r="GJI119" s="950"/>
      <c r="GJJ119" s="950"/>
      <c r="GJK119" s="950"/>
      <c r="GJL119" s="950"/>
      <c r="GJM119" s="950"/>
      <c r="GJN119" s="950"/>
      <c r="GJO119" s="950"/>
      <c r="GJP119" s="950"/>
      <c r="GJQ119" s="950"/>
      <c r="GJR119" s="950"/>
      <c r="GJS119" s="950"/>
      <c r="GJT119" s="950"/>
      <c r="GJU119" s="950"/>
      <c r="GJV119" s="950"/>
      <c r="GJW119" s="950"/>
      <c r="GJX119" s="950"/>
      <c r="GJY119" s="950"/>
      <c r="GJZ119" s="950"/>
      <c r="GKA119" s="950"/>
      <c r="GKB119" s="950"/>
      <c r="GKC119" s="950"/>
      <c r="GKD119" s="950"/>
      <c r="GKE119" s="950"/>
      <c r="GKF119" s="950"/>
      <c r="GKG119" s="950"/>
      <c r="GKH119" s="950"/>
      <c r="GKI119" s="950"/>
      <c r="GKJ119" s="950"/>
      <c r="GKK119" s="950"/>
      <c r="GKL119" s="950"/>
      <c r="GKM119" s="950"/>
      <c r="GKN119" s="950"/>
      <c r="GKO119" s="950"/>
      <c r="GKP119" s="950"/>
      <c r="GKQ119" s="950"/>
      <c r="GKR119" s="950"/>
      <c r="GKS119" s="950"/>
      <c r="GKT119" s="950"/>
      <c r="GKU119" s="950"/>
      <c r="GKV119" s="950"/>
      <c r="GKW119" s="950"/>
      <c r="GKX119" s="950"/>
      <c r="GKY119" s="950"/>
      <c r="GKZ119" s="950"/>
      <c r="GLA119" s="950"/>
      <c r="GLB119" s="950"/>
      <c r="GLC119" s="950"/>
      <c r="GLD119" s="950"/>
      <c r="GLE119" s="950"/>
      <c r="GLF119" s="950"/>
      <c r="GLG119" s="950"/>
      <c r="GLH119" s="950"/>
      <c r="GLI119" s="950"/>
      <c r="GLJ119" s="950"/>
      <c r="GLK119" s="950"/>
      <c r="GLL119" s="950"/>
      <c r="GLM119" s="950"/>
      <c r="GLN119" s="950"/>
      <c r="GLO119" s="950"/>
      <c r="GLP119" s="950"/>
      <c r="GLQ119" s="950"/>
      <c r="GLR119" s="950"/>
      <c r="GLS119" s="950"/>
      <c r="GLT119" s="950"/>
      <c r="GLU119" s="950"/>
      <c r="GLV119" s="950"/>
      <c r="GLW119" s="950"/>
      <c r="GLX119" s="950"/>
      <c r="GLY119" s="950"/>
      <c r="GLZ119" s="950"/>
      <c r="GMA119" s="950"/>
      <c r="GMB119" s="950"/>
      <c r="GMC119" s="950"/>
      <c r="GMD119" s="950"/>
      <c r="GME119" s="950"/>
      <c r="GMF119" s="950"/>
      <c r="GMG119" s="950"/>
      <c r="GMH119" s="950"/>
      <c r="GMI119" s="950"/>
      <c r="GMJ119" s="950"/>
      <c r="GMK119" s="950"/>
      <c r="GML119" s="950"/>
      <c r="GMM119" s="950"/>
      <c r="GMN119" s="950"/>
      <c r="GMO119" s="950"/>
      <c r="GMP119" s="950"/>
      <c r="GMQ119" s="950"/>
      <c r="GMR119" s="950"/>
      <c r="GMS119" s="950"/>
      <c r="GMT119" s="950"/>
      <c r="GMU119" s="950"/>
      <c r="GMV119" s="950"/>
      <c r="GMW119" s="950"/>
      <c r="GMX119" s="950"/>
      <c r="GMY119" s="950"/>
      <c r="GMZ119" s="950"/>
      <c r="GNA119" s="950"/>
      <c r="GNB119" s="950"/>
      <c r="GNC119" s="950"/>
      <c r="GND119" s="950"/>
      <c r="GNE119" s="950"/>
      <c r="GNF119" s="950"/>
      <c r="GNG119" s="950"/>
      <c r="GNH119" s="950"/>
      <c r="GNI119" s="950"/>
      <c r="GNJ119" s="950"/>
      <c r="GNK119" s="950"/>
      <c r="GNL119" s="950"/>
      <c r="GNM119" s="950"/>
      <c r="GNN119" s="950"/>
      <c r="GNO119" s="950"/>
      <c r="GNP119" s="950"/>
      <c r="GNQ119" s="950"/>
      <c r="GNR119" s="950"/>
      <c r="GNS119" s="950"/>
      <c r="GNT119" s="950"/>
      <c r="GNU119" s="950"/>
      <c r="GNV119" s="950"/>
      <c r="GNW119" s="950"/>
      <c r="GNX119" s="950"/>
      <c r="GNY119" s="950"/>
      <c r="GNZ119" s="950"/>
      <c r="GOA119" s="950"/>
      <c r="GOB119" s="950"/>
      <c r="GOC119" s="950"/>
      <c r="GOD119" s="950"/>
      <c r="GOE119" s="950"/>
      <c r="GOF119" s="950"/>
      <c r="GOG119" s="950"/>
      <c r="GOH119" s="950"/>
      <c r="GOI119" s="950"/>
      <c r="GOJ119" s="950"/>
      <c r="GOK119" s="950"/>
      <c r="GOL119" s="950"/>
      <c r="GOM119" s="950"/>
      <c r="GON119" s="950"/>
      <c r="GOO119" s="950"/>
      <c r="GOP119" s="950"/>
      <c r="GOQ119" s="950"/>
      <c r="GOR119" s="950"/>
      <c r="GOS119" s="950"/>
      <c r="GOT119" s="950"/>
      <c r="GOU119" s="950"/>
      <c r="GOV119" s="950"/>
      <c r="GOW119" s="950"/>
      <c r="GOX119" s="950"/>
      <c r="GOY119" s="950"/>
      <c r="GOZ119" s="950"/>
      <c r="GPA119" s="950"/>
      <c r="GPB119" s="950"/>
      <c r="GPC119" s="950"/>
      <c r="GPD119" s="950"/>
      <c r="GPE119" s="950"/>
      <c r="GPF119" s="950"/>
      <c r="GPG119" s="950"/>
      <c r="GPH119" s="950"/>
      <c r="GPI119" s="950"/>
      <c r="GPJ119" s="950"/>
      <c r="GPK119" s="950"/>
      <c r="GPL119" s="950"/>
      <c r="GPM119" s="950"/>
      <c r="GPN119" s="950"/>
      <c r="GPO119" s="950"/>
      <c r="GPP119" s="950"/>
      <c r="GPQ119" s="950"/>
      <c r="GPR119" s="950"/>
      <c r="GPS119" s="950"/>
      <c r="GPT119" s="950"/>
      <c r="GPU119" s="950"/>
      <c r="GPV119" s="950"/>
      <c r="GPW119" s="950"/>
      <c r="GPX119" s="950"/>
      <c r="GPY119" s="950"/>
      <c r="GPZ119" s="950"/>
      <c r="GQA119" s="950"/>
      <c r="GQB119" s="950"/>
      <c r="GQC119" s="950"/>
      <c r="GQD119" s="950"/>
      <c r="GQE119" s="950"/>
      <c r="GQF119" s="950"/>
      <c r="GQG119" s="950"/>
      <c r="GQH119" s="950"/>
      <c r="GQI119" s="950"/>
      <c r="GQJ119" s="950"/>
      <c r="GQK119" s="950"/>
      <c r="GQL119" s="950"/>
      <c r="GQM119" s="950"/>
      <c r="GQN119" s="950"/>
      <c r="GQO119" s="950"/>
      <c r="GQP119" s="950"/>
      <c r="GQQ119" s="950"/>
      <c r="GQR119" s="950"/>
      <c r="GQS119" s="950"/>
      <c r="GQT119" s="950"/>
      <c r="GQU119" s="950"/>
      <c r="GQV119" s="950"/>
      <c r="GQW119" s="950"/>
      <c r="GQX119" s="950"/>
      <c r="GQY119" s="950"/>
      <c r="GQZ119" s="950"/>
      <c r="GRA119" s="950"/>
      <c r="GRB119" s="950"/>
      <c r="GRC119" s="950"/>
      <c r="GRD119" s="950"/>
      <c r="GRE119" s="950"/>
      <c r="GRF119" s="950"/>
      <c r="GRG119" s="950"/>
      <c r="GRH119" s="950"/>
      <c r="GRI119" s="950"/>
      <c r="GRJ119" s="950"/>
      <c r="GRK119" s="950"/>
      <c r="GRL119" s="950"/>
      <c r="GRM119" s="950"/>
      <c r="GRN119" s="950"/>
      <c r="GRO119" s="950"/>
      <c r="GRP119" s="950"/>
      <c r="GRQ119" s="950"/>
      <c r="GRR119" s="950"/>
      <c r="GRS119" s="950"/>
      <c r="GRT119" s="950"/>
      <c r="GRU119" s="950"/>
      <c r="GRV119" s="950"/>
      <c r="GRW119" s="950"/>
      <c r="GRX119" s="950"/>
      <c r="GRY119" s="950"/>
      <c r="GRZ119" s="950"/>
      <c r="GSA119" s="950"/>
      <c r="GSB119" s="950"/>
      <c r="GSC119" s="950"/>
      <c r="GSD119" s="950"/>
      <c r="GSE119" s="950"/>
      <c r="GSF119" s="950"/>
      <c r="GSG119" s="950"/>
      <c r="GSH119" s="950"/>
      <c r="GSI119" s="950"/>
      <c r="GSJ119" s="950"/>
      <c r="GSK119" s="950"/>
      <c r="GSL119" s="950"/>
      <c r="GSM119" s="950"/>
      <c r="GSN119" s="950"/>
      <c r="GSO119" s="950"/>
      <c r="GSP119" s="950"/>
      <c r="GSQ119" s="950"/>
      <c r="GSR119" s="950"/>
      <c r="GSS119" s="950"/>
      <c r="GST119" s="950"/>
      <c r="GSU119" s="950"/>
      <c r="GSV119" s="950"/>
      <c r="GSW119" s="950"/>
      <c r="GSX119" s="950"/>
      <c r="GSY119" s="950"/>
      <c r="GSZ119" s="950"/>
      <c r="GTA119" s="950"/>
      <c r="GTB119" s="950"/>
      <c r="GTC119" s="950"/>
      <c r="GTD119" s="950"/>
      <c r="GTE119" s="950"/>
      <c r="GTF119" s="950"/>
      <c r="GTG119" s="950"/>
      <c r="GTH119" s="950"/>
      <c r="GTI119" s="950"/>
      <c r="GTJ119" s="950"/>
      <c r="GTK119" s="950"/>
      <c r="GTL119" s="950"/>
      <c r="GTM119" s="950"/>
      <c r="GTN119" s="950"/>
      <c r="GTO119" s="950"/>
      <c r="GTP119" s="950"/>
      <c r="GTQ119" s="950"/>
      <c r="GTR119" s="950"/>
      <c r="GTS119" s="950"/>
      <c r="GTT119" s="950"/>
      <c r="GTU119" s="950"/>
      <c r="GTV119" s="950"/>
      <c r="GTW119" s="950"/>
      <c r="GTX119" s="950"/>
      <c r="GTY119" s="950"/>
      <c r="GTZ119" s="950"/>
      <c r="GUA119" s="950"/>
      <c r="GUB119" s="950"/>
      <c r="GUC119" s="950"/>
      <c r="GUD119" s="950"/>
      <c r="GUE119" s="950"/>
      <c r="GUF119" s="950"/>
      <c r="GUG119" s="950"/>
      <c r="GUH119" s="950"/>
      <c r="GUI119" s="950"/>
      <c r="GUJ119" s="950"/>
      <c r="GUK119" s="950"/>
      <c r="GUL119" s="950"/>
      <c r="GUM119" s="950"/>
      <c r="GUN119" s="950"/>
      <c r="GUO119" s="950"/>
      <c r="GUP119" s="950"/>
      <c r="GUQ119" s="950"/>
      <c r="GUR119" s="950"/>
      <c r="GUS119" s="950"/>
      <c r="GUT119" s="950"/>
      <c r="GUU119" s="950"/>
      <c r="GUV119" s="950"/>
      <c r="GUW119" s="950"/>
      <c r="GUX119" s="950"/>
      <c r="GUY119" s="950"/>
      <c r="GUZ119" s="950"/>
      <c r="GVA119" s="950"/>
      <c r="GVB119" s="950"/>
      <c r="GVC119" s="950"/>
      <c r="GVD119" s="950"/>
      <c r="GVE119" s="950"/>
      <c r="GVF119" s="950"/>
      <c r="GVG119" s="950"/>
      <c r="GVH119" s="950"/>
      <c r="GVI119" s="950"/>
      <c r="GVJ119" s="950"/>
      <c r="GVK119" s="950"/>
      <c r="GVL119" s="950"/>
      <c r="GVM119" s="950"/>
      <c r="GVN119" s="950"/>
      <c r="GVO119" s="950"/>
      <c r="GVP119" s="950"/>
      <c r="GVQ119" s="950"/>
      <c r="GVR119" s="950"/>
      <c r="GVS119" s="950"/>
      <c r="GVT119" s="950"/>
      <c r="GVU119" s="950"/>
      <c r="GVV119" s="950"/>
      <c r="GVW119" s="950"/>
      <c r="GVX119" s="950"/>
      <c r="GVY119" s="950"/>
      <c r="GVZ119" s="950"/>
      <c r="GWA119" s="950"/>
      <c r="GWB119" s="950"/>
      <c r="GWC119" s="950"/>
      <c r="GWD119" s="950"/>
      <c r="GWE119" s="950"/>
      <c r="GWF119" s="950"/>
      <c r="GWG119" s="950"/>
      <c r="GWH119" s="950"/>
      <c r="GWI119" s="950"/>
      <c r="GWJ119" s="950"/>
      <c r="GWK119" s="950"/>
      <c r="GWL119" s="950"/>
      <c r="GWM119" s="950"/>
      <c r="GWN119" s="950"/>
      <c r="GWO119" s="950"/>
      <c r="GWP119" s="950"/>
      <c r="GWQ119" s="950"/>
      <c r="GWR119" s="950"/>
      <c r="GWS119" s="950"/>
      <c r="GWT119" s="950"/>
      <c r="GWU119" s="950"/>
      <c r="GWV119" s="950"/>
      <c r="GWW119" s="950"/>
      <c r="GWX119" s="950"/>
      <c r="GWY119" s="950"/>
      <c r="GWZ119" s="950"/>
      <c r="GXA119" s="950"/>
      <c r="GXB119" s="950"/>
      <c r="GXC119" s="950"/>
      <c r="GXD119" s="950"/>
      <c r="GXE119" s="950"/>
      <c r="GXF119" s="950"/>
      <c r="GXG119" s="950"/>
      <c r="GXH119" s="950"/>
      <c r="GXI119" s="950"/>
      <c r="GXJ119" s="950"/>
      <c r="GXK119" s="950"/>
      <c r="GXL119" s="950"/>
      <c r="GXM119" s="950"/>
      <c r="GXN119" s="950"/>
      <c r="GXO119" s="950"/>
      <c r="GXP119" s="950"/>
      <c r="GXQ119" s="950"/>
      <c r="GXR119" s="950"/>
      <c r="GXS119" s="950"/>
      <c r="GXT119" s="950"/>
      <c r="GXU119" s="950"/>
      <c r="GXV119" s="950"/>
      <c r="GXW119" s="950"/>
      <c r="GXX119" s="950"/>
      <c r="GXY119" s="950"/>
      <c r="GXZ119" s="950"/>
      <c r="GYA119" s="950"/>
      <c r="GYB119" s="950"/>
      <c r="GYC119" s="950"/>
      <c r="GYD119" s="950"/>
      <c r="GYE119" s="950"/>
      <c r="GYF119" s="950"/>
      <c r="GYG119" s="950"/>
      <c r="GYH119" s="950"/>
      <c r="GYI119" s="950"/>
      <c r="GYJ119" s="950"/>
      <c r="GYK119" s="950"/>
      <c r="GYL119" s="950"/>
      <c r="GYM119" s="950"/>
      <c r="GYN119" s="950"/>
      <c r="GYO119" s="950"/>
      <c r="GYP119" s="950"/>
      <c r="GYQ119" s="950"/>
      <c r="GYR119" s="950"/>
      <c r="GYS119" s="950"/>
      <c r="GYT119" s="950"/>
      <c r="GYU119" s="950"/>
      <c r="GYV119" s="950"/>
      <c r="GYW119" s="950"/>
      <c r="GYX119" s="950"/>
      <c r="GYY119" s="950"/>
      <c r="GYZ119" s="950"/>
      <c r="GZA119" s="950"/>
      <c r="GZB119" s="950"/>
      <c r="GZC119" s="950"/>
      <c r="GZD119" s="950"/>
      <c r="GZE119" s="950"/>
      <c r="GZF119" s="950"/>
      <c r="GZG119" s="950"/>
      <c r="GZH119" s="950"/>
      <c r="GZI119" s="950"/>
      <c r="GZJ119" s="950"/>
      <c r="GZK119" s="950"/>
      <c r="GZL119" s="950"/>
      <c r="GZM119" s="950"/>
      <c r="GZN119" s="950"/>
      <c r="GZO119" s="950"/>
      <c r="GZP119" s="950"/>
      <c r="GZQ119" s="950"/>
      <c r="GZR119" s="950"/>
      <c r="GZS119" s="950"/>
      <c r="GZT119" s="950"/>
      <c r="GZU119" s="950"/>
      <c r="GZV119" s="950"/>
      <c r="GZW119" s="950"/>
      <c r="GZX119" s="950"/>
      <c r="GZY119" s="950"/>
      <c r="GZZ119" s="950"/>
      <c r="HAA119" s="950"/>
      <c r="HAB119" s="950"/>
      <c r="HAC119" s="950"/>
      <c r="HAD119" s="950"/>
      <c r="HAE119" s="950"/>
      <c r="HAF119" s="950"/>
      <c r="HAG119" s="950"/>
      <c r="HAH119" s="950"/>
      <c r="HAI119" s="950"/>
      <c r="HAJ119" s="950"/>
      <c r="HAK119" s="950"/>
      <c r="HAL119" s="950"/>
      <c r="HAM119" s="950"/>
      <c r="HAN119" s="950"/>
      <c r="HAO119" s="950"/>
      <c r="HAP119" s="950"/>
      <c r="HAQ119" s="950"/>
      <c r="HAR119" s="950"/>
      <c r="HAS119" s="950"/>
      <c r="HAT119" s="950"/>
      <c r="HAU119" s="950"/>
      <c r="HAV119" s="950"/>
      <c r="HAW119" s="950"/>
      <c r="HAX119" s="950"/>
      <c r="HAY119" s="950"/>
      <c r="HAZ119" s="950"/>
      <c r="HBA119" s="950"/>
      <c r="HBB119" s="950"/>
      <c r="HBC119" s="950"/>
      <c r="HBD119" s="950"/>
      <c r="HBE119" s="950"/>
      <c r="HBF119" s="950"/>
      <c r="HBG119" s="950"/>
      <c r="HBH119" s="950"/>
      <c r="HBI119" s="950"/>
      <c r="HBJ119" s="950"/>
      <c r="HBK119" s="950"/>
      <c r="HBL119" s="950"/>
      <c r="HBM119" s="950"/>
      <c r="HBN119" s="950"/>
      <c r="HBO119" s="950"/>
      <c r="HBP119" s="950"/>
      <c r="HBQ119" s="950"/>
      <c r="HBR119" s="950"/>
      <c r="HBS119" s="950"/>
      <c r="HBT119" s="950"/>
      <c r="HBU119" s="950"/>
      <c r="HBV119" s="950"/>
      <c r="HBW119" s="950"/>
      <c r="HBX119" s="950"/>
      <c r="HBY119" s="950"/>
      <c r="HBZ119" s="950"/>
      <c r="HCA119" s="950"/>
      <c r="HCB119" s="950"/>
      <c r="HCC119" s="950"/>
      <c r="HCD119" s="950"/>
      <c r="HCE119" s="950"/>
      <c r="HCF119" s="950"/>
      <c r="HCG119" s="950"/>
      <c r="HCH119" s="950"/>
      <c r="HCI119" s="950"/>
      <c r="HCJ119" s="950"/>
      <c r="HCK119" s="950"/>
      <c r="HCL119" s="950"/>
      <c r="HCM119" s="950"/>
      <c r="HCN119" s="950"/>
      <c r="HCO119" s="950"/>
      <c r="HCP119" s="950"/>
      <c r="HCQ119" s="950"/>
      <c r="HCR119" s="950"/>
      <c r="HCS119" s="950"/>
      <c r="HCT119" s="950"/>
      <c r="HCU119" s="950"/>
      <c r="HCV119" s="950"/>
      <c r="HCW119" s="950"/>
      <c r="HCX119" s="950"/>
      <c r="HCY119" s="950"/>
      <c r="HCZ119" s="950"/>
      <c r="HDA119" s="950"/>
      <c r="HDB119" s="950"/>
      <c r="HDC119" s="950"/>
      <c r="HDD119" s="950"/>
      <c r="HDE119" s="950"/>
      <c r="HDF119" s="950"/>
      <c r="HDG119" s="950"/>
      <c r="HDH119" s="950"/>
      <c r="HDI119" s="950"/>
      <c r="HDJ119" s="950"/>
      <c r="HDK119" s="950"/>
      <c r="HDL119" s="950"/>
      <c r="HDM119" s="950"/>
      <c r="HDN119" s="950"/>
      <c r="HDO119" s="950"/>
      <c r="HDP119" s="950"/>
      <c r="HDQ119" s="950"/>
      <c r="HDR119" s="950"/>
      <c r="HDS119" s="950"/>
      <c r="HDT119" s="950"/>
      <c r="HDU119" s="950"/>
      <c r="HDV119" s="950"/>
      <c r="HDW119" s="950"/>
      <c r="HDX119" s="950"/>
      <c r="HDY119" s="950"/>
      <c r="HDZ119" s="950"/>
      <c r="HEA119" s="950"/>
      <c r="HEB119" s="950"/>
      <c r="HEC119" s="950"/>
      <c r="HED119" s="950"/>
      <c r="HEE119" s="950"/>
      <c r="HEF119" s="950"/>
      <c r="HEG119" s="950"/>
      <c r="HEH119" s="950"/>
      <c r="HEI119" s="950"/>
      <c r="HEJ119" s="950"/>
      <c r="HEK119" s="950"/>
      <c r="HEL119" s="950"/>
      <c r="HEM119" s="950"/>
      <c r="HEN119" s="950"/>
      <c r="HEO119" s="950"/>
      <c r="HEP119" s="950"/>
      <c r="HEQ119" s="950"/>
      <c r="HER119" s="950"/>
      <c r="HES119" s="950"/>
      <c r="HET119" s="950"/>
      <c r="HEU119" s="950"/>
      <c r="HEV119" s="950"/>
      <c r="HEW119" s="950"/>
      <c r="HEX119" s="950"/>
      <c r="HEY119" s="950"/>
      <c r="HEZ119" s="950"/>
      <c r="HFA119" s="950"/>
      <c r="HFB119" s="950"/>
      <c r="HFC119" s="950"/>
      <c r="HFD119" s="950"/>
      <c r="HFE119" s="950"/>
      <c r="HFF119" s="950"/>
      <c r="HFG119" s="950"/>
      <c r="HFH119" s="950"/>
      <c r="HFI119" s="950"/>
      <c r="HFJ119" s="950"/>
      <c r="HFK119" s="950"/>
      <c r="HFL119" s="950"/>
      <c r="HFM119" s="950"/>
      <c r="HFN119" s="950"/>
      <c r="HFO119" s="950"/>
      <c r="HFP119" s="950"/>
      <c r="HFQ119" s="950"/>
      <c r="HFR119" s="950"/>
      <c r="HFS119" s="950"/>
      <c r="HFT119" s="950"/>
      <c r="HFU119" s="950"/>
      <c r="HFV119" s="950"/>
      <c r="HFW119" s="950"/>
      <c r="HFX119" s="950"/>
      <c r="HFY119" s="950"/>
      <c r="HFZ119" s="950"/>
      <c r="HGA119" s="950"/>
      <c r="HGB119" s="950"/>
      <c r="HGC119" s="950"/>
      <c r="HGD119" s="950"/>
      <c r="HGE119" s="950"/>
      <c r="HGF119" s="950"/>
      <c r="HGG119" s="950"/>
      <c r="HGH119" s="950"/>
      <c r="HGI119" s="950"/>
      <c r="HGJ119" s="950"/>
      <c r="HGK119" s="950"/>
      <c r="HGL119" s="950"/>
      <c r="HGM119" s="950"/>
      <c r="HGN119" s="950"/>
      <c r="HGO119" s="950"/>
      <c r="HGP119" s="950"/>
      <c r="HGQ119" s="950"/>
      <c r="HGR119" s="950"/>
      <c r="HGS119" s="950"/>
      <c r="HGT119" s="950"/>
      <c r="HGU119" s="950"/>
      <c r="HGV119" s="950"/>
      <c r="HGW119" s="950"/>
      <c r="HGX119" s="950"/>
      <c r="HGY119" s="950"/>
      <c r="HGZ119" s="950"/>
      <c r="HHA119" s="950"/>
      <c r="HHB119" s="950"/>
      <c r="HHC119" s="950"/>
      <c r="HHD119" s="950"/>
      <c r="HHE119" s="950"/>
      <c r="HHF119" s="950"/>
      <c r="HHG119" s="950"/>
      <c r="HHH119" s="950"/>
      <c r="HHI119" s="950"/>
      <c r="HHJ119" s="950"/>
      <c r="HHK119" s="950"/>
      <c r="HHL119" s="950"/>
      <c r="HHM119" s="950"/>
      <c r="HHN119" s="950"/>
      <c r="HHO119" s="950"/>
      <c r="HHP119" s="950"/>
      <c r="HHQ119" s="950"/>
      <c r="HHR119" s="950"/>
      <c r="HHS119" s="950"/>
      <c r="HHT119" s="950"/>
      <c r="HHU119" s="950"/>
      <c r="HHV119" s="950"/>
      <c r="HHW119" s="950"/>
      <c r="HHX119" s="950"/>
      <c r="HHY119" s="950"/>
      <c r="HHZ119" s="950"/>
      <c r="HIA119" s="950"/>
      <c r="HIB119" s="950"/>
      <c r="HIC119" s="950"/>
      <c r="HID119" s="950"/>
      <c r="HIE119" s="950"/>
      <c r="HIF119" s="950"/>
      <c r="HIG119" s="950"/>
      <c r="HIH119" s="950"/>
      <c r="HII119" s="950"/>
      <c r="HIJ119" s="950"/>
      <c r="HIK119" s="950"/>
      <c r="HIL119" s="950"/>
      <c r="HIM119" s="950"/>
      <c r="HIN119" s="950"/>
      <c r="HIO119" s="950"/>
      <c r="HIP119" s="950"/>
      <c r="HIQ119" s="950"/>
      <c r="HIR119" s="950"/>
      <c r="HIS119" s="950"/>
      <c r="HIT119" s="950"/>
      <c r="HIU119" s="950"/>
      <c r="HIV119" s="950"/>
      <c r="HIW119" s="950"/>
      <c r="HIX119" s="950"/>
      <c r="HIY119" s="950"/>
      <c r="HIZ119" s="950"/>
      <c r="HJA119" s="950"/>
      <c r="HJB119" s="950"/>
      <c r="HJC119" s="950"/>
      <c r="HJD119" s="950"/>
      <c r="HJE119" s="950"/>
      <c r="HJF119" s="950"/>
      <c r="HJG119" s="950"/>
      <c r="HJH119" s="950"/>
      <c r="HJI119" s="950"/>
      <c r="HJJ119" s="950"/>
      <c r="HJK119" s="950"/>
      <c r="HJL119" s="950"/>
      <c r="HJM119" s="950"/>
      <c r="HJN119" s="950"/>
      <c r="HJO119" s="950"/>
      <c r="HJP119" s="950"/>
      <c r="HJQ119" s="950"/>
      <c r="HJR119" s="950"/>
      <c r="HJS119" s="950"/>
      <c r="HJT119" s="950"/>
      <c r="HJU119" s="950"/>
      <c r="HJV119" s="950"/>
      <c r="HJW119" s="950"/>
      <c r="HJX119" s="950"/>
      <c r="HJY119" s="950"/>
      <c r="HJZ119" s="950"/>
      <c r="HKA119" s="950"/>
      <c r="HKB119" s="950"/>
      <c r="HKC119" s="950"/>
      <c r="HKD119" s="950"/>
      <c r="HKE119" s="950"/>
      <c r="HKF119" s="950"/>
      <c r="HKG119" s="950"/>
      <c r="HKH119" s="950"/>
      <c r="HKI119" s="950"/>
      <c r="HKJ119" s="950"/>
      <c r="HKK119" s="950"/>
      <c r="HKL119" s="950"/>
      <c r="HKM119" s="950"/>
      <c r="HKN119" s="950"/>
      <c r="HKO119" s="950"/>
      <c r="HKP119" s="950"/>
      <c r="HKQ119" s="950"/>
      <c r="HKR119" s="950"/>
      <c r="HKS119" s="950"/>
      <c r="HKT119" s="950"/>
      <c r="HKU119" s="950"/>
      <c r="HKV119" s="950"/>
      <c r="HKW119" s="950"/>
      <c r="HKX119" s="950"/>
      <c r="HKY119" s="950"/>
      <c r="HKZ119" s="950"/>
      <c r="HLA119" s="950"/>
      <c r="HLB119" s="950"/>
      <c r="HLC119" s="950"/>
      <c r="HLD119" s="950"/>
      <c r="HLE119" s="950"/>
      <c r="HLF119" s="950"/>
      <c r="HLG119" s="950"/>
      <c r="HLH119" s="950"/>
      <c r="HLI119" s="950"/>
      <c r="HLJ119" s="950"/>
      <c r="HLK119" s="950"/>
      <c r="HLL119" s="950"/>
      <c r="HLM119" s="950"/>
      <c r="HLN119" s="950"/>
      <c r="HLO119" s="950"/>
      <c r="HLP119" s="950"/>
      <c r="HLQ119" s="950"/>
      <c r="HLR119" s="950"/>
      <c r="HLS119" s="950"/>
      <c r="HLT119" s="950"/>
      <c r="HLU119" s="950"/>
      <c r="HLV119" s="950"/>
      <c r="HLW119" s="950"/>
      <c r="HLX119" s="950"/>
      <c r="HLY119" s="950"/>
      <c r="HLZ119" s="950"/>
      <c r="HMA119" s="950"/>
      <c r="HMB119" s="950"/>
      <c r="HMC119" s="950"/>
      <c r="HMD119" s="950"/>
      <c r="HME119" s="950"/>
      <c r="HMF119" s="950"/>
      <c r="HMG119" s="950"/>
      <c r="HMH119" s="950"/>
      <c r="HMI119" s="950"/>
      <c r="HMJ119" s="950"/>
      <c r="HMK119" s="950"/>
      <c r="HML119" s="950"/>
      <c r="HMM119" s="950"/>
      <c r="HMN119" s="950"/>
      <c r="HMO119" s="950"/>
      <c r="HMP119" s="950"/>
      <c r="HMQ119" s="950"/>
      <c r="HMR119" s="950"/>
      <c r="HMS119" s="950"/>
      <c r="HMT119" s="950"/>
      <c r="HMU119" s="950"/>
      <c r="HMV119" s="950"/>
      <c r="HMW119" s="950"/>
      <c r="HMX119" s="950"/>
      <c r="HMY119" s="950"/>
      <c r="HMZ119" s="950"/>
      <c r="HNA119" s="950"/>
      <c r="HNB119" s="950"/>
      <c r="HNC119" s="950"/>
      <c r="HND119" s="950"/>
      <c r="HNE119" s="950"/>
      <c r="HNF119" s="950"/>
      <c r="HNG119" s="950"/>
      <c r="HNH119" s="950"/>
      <c r="HNI119" s="950"/>
      <c r="HNJ119" s="950"/>
      <c r="HNK119" s="950"/>
      <c r="HNL119" s="950"/>
      <c r="HNM119" s="950"/>
      <c r="HNN119" s="950"/>
      <c r="HNO119" s="950"/>
      <c r="HNP119" s="950"/>
      <c r="HNQ119" s="950"/>
      <c r="HNR119" s="950"/>
      <c r="HNS119" s="950"/>
      <c r="HNT119" s="950"/>
      <c r="HNU119" s="950"/>
      <c r="HNV119" s="950"/>
      <c r="HNW119" s="950"/>
      <c r="HNX119" s="950"/>
      <c r="HNY119" s="950"/>
      <c r="HNZ119" s="950"/>
      <c r="HOA119" s="950"/>
      <c r="HOB119" s="950"/>
      <c r="HOC119" s="950"/>
      <c r="HOD119" s="950"/>
      <c r="HOE119" s="950"/>
      <c r="HOF119" s="950"/>
      <c r="HOG119" s="950"/>
      <c r="HOH119" s="950"/>
      <c r="HOI119" s="950"/>
      <c r="HOJ119" s="950"/>
      <c r="HOK119" s="950"/>
      <c r="HOL119" s="950"/>
      <c r="HOM119" s="950"/>
      <c r="HON119" s="950"/>
      <c r="HOO119" s="950"/>
      <c r="HOP119" s="950"/>
      <c r="HOQ119" s="950"/>
      <c r="HOR119" s="950"/>
      <c r="HOS119" s="950"/>
      <c r="HOT119" s="950"/>
      <c r="HOU119" s="950"/>
      <c r="HOV119" s="950"/>
      <c r="HOW119" s="950"/>
      <c r="HOX119" s="950"/>
      <c r="HOY119" s="950"/>
      <c r="HOZ119" s="950"/>
      <c r="HPA119" s="950"/>
      <c r="HPB119" s="950"/>
      <c r="HPC119" s="950"/>
      <c r="HPD119" s="950"/>
      <c r="HPE119" s="950"/>
      <c r="HPF119" s="950"/>
      <c r="HPG119" s="950"/>
      <c r="HPH119" s="950"/>
      <c r="HPI119" s="950"/>
      <c r="HPJ119" s="950"/>
      <c r="HPK119" s="950"/>
      <c r="HPL119" s="950"/>
      <c r="HPM119" s="950"/>
      <c r="HPN119" s="950"/>
      <c r="HPO119" s="950"/>
      <c r="HPP119" s="950"/>
      <c r="HPQ119" s="950"/>
      <c r="HPR119" s="950"/>
      <c r="HPS119" s="950"/>
      <c r="HPT119" s="950"/>
      <c r="HPU119" s="950"/>
      <c r="HPV119" s="950"/>
      <c r="HPW119" s="950"/>
      <c r="HPX119" s="950"/>
      <c r="HPY119" s="950"/>
      <c r="HPZ119" s="950"/>
      <c r="HQA119" s="950"/>
      <c r="HQB119" s="950"/>
      <c r="HQC119" s="950"/>
      <c r="HQD119" s="950"/>
      <c r="HQE119" s="950"/>
      <c r="HQF119" s="950"/>
      <c r="HQG119" s="950"/>
      <c r="HQH119" s="950"/>
      <c r="HQI119" s="950"/>
      <c r="HQJ119" s="950"/>
      <c r="HQK119" s="950"/>
      <c r="HQL119" s="950"/>
      <c r="HQM119" s="950"/>
      <c r="HQN119" s="950"/>
      <c r="HQO119" s="950"/>
      <c r="HQP119" s="950"/>
      <c r="HQQ119" s="950"/>
      <c r="HQR119" s="950"/>
      <c r="HQS119" s="950"/>
      <c r="HQT119" s="950"/>
      <c r="HQU119" s="950"/>
      <c r="HQV119" s="950"/>
      <c r="HQW119" s="950"/>
      <c r="HQX119" s="950"/>
      <c r="HQY119" s="950"/>
      <c r="HQZ119" s="950"/>
      <c r="HRA119" s="950"/>
      <c r="HRB119" s="950"/>
      <c r="HRC119" s="950"/>
      <c r="HRD119" s="950"/>
      <c r="HRE119" s="950"/>
      <c r="HRF119" s="950"/>
      <c r="HRG119" s="950"/>
      <c r="HRH119" s="950"/>
      <c r="HRI119" s="950"/>
      <c r="HRJ119" s="950"/>
      <c r="HRK119" s="950"/>
      <c r="HRL119" s="950"/>
      <c r="HRM119" s="950"/>
      <c r="HRN119" s="950"/>
      <c r="HRO119" s="950"/>
      <c r="HRP119" s="950"/>
      <c r="HRQ119" s="950"/>
      <c r="HRR119" s="950"/>
      <c r="HRS119" s="950"/>
      <c r="HRT119" s="950"/>
      <c r="HRU119" s="950"/>
      <c r="HRV119" s="950"/>
      <c r="HRW119" s="950"/>
      <c r="HRX119" s="950"/>
      <c r="HRY119" s="950"/>
      <c r="HRZ119" s="950"/>
      <c r="HSA119" s="950"/>
      <c r="HSB119" s="950"/>
      <c r="HSC119" s="950"/>
      <c r="HSD119" s="950"/>
      <c r="HSE119" s="950"/>
      <c r="HSF119" s="950"/>
      <c r="HSG119" s="950"/>
      <c r="HSH119" s="950"/>
      <c r="HSI119" s="950"/>
      <c r="HSJ119" s="950"/>
      <c r="HSK119" s="950"/>
      <c r="HSL119" s="950"/>
      <c r="HSM119" s="950"/>
      <c r="HSN119" s="950"/>
      <c r="HSO119" s="950"/>
      <c r="HSP119" s="950"/>
      <c r="HSQ119" s="950"/>
      <c r="HSR119" s="950"/>
      <c r="HSS119" s="950"/>
      <c r="HST119" s="950"/>
      <c r="HSU119" s="950"/>
      <c r="HSV119" s="950"/>
      <c r="HSW119" s="950"/>
      <c r="HSX119" s="950"/>
      <c r="HSY119" s="950"/>
      <c r="HSZ119" s="950"/>
      <c r="HTA119" s="950"/>
      <c r="HTB119" s="950"/>
      <c r="HTC119" s="950"/>
      <c r="HTD119" s="950"/>
      <c r="HTE119" s="950"/>
      <c r="HTF119" s="950"/>
      <c r="HTG119" s="950"/>
      <c r="HTH119" s="950"/>
      <c r="HTI119" s="950"/>
      <c r="HTJ119" s="950"/>
      <c r="HTK119" s="950"/>
      <c r="HTL119" s="950"/>
      <c r="HTM119" s="950"/>
      <c r="HTN119" s="950"/>
      <c r="HTO119" s="950"/>
      <c r="HTP119" s="950"/>
      <c r="HTQ119" s="950"/>
      <c r="HTR119" s="950"/>
      <c r="HTS119" s="950"/>
      <c r="HTT119" s="950"/>
      <c r="HTU119" s="950"/>
      <c r="HTV119" s="950"/>
      <c r="HTW119" s="950"/>
      <c r="HTX119" s="950"/>
      <c r="HTY119" s="950"/>
      <c r="HTZ119" s="950"/>
      <c r="HUA119" s="950"/>
      <c r="HUB119" s="950"/>
      <c r="HUC119" s="950"/>
      <c r="HUD119" s="950"/>
      <c r="HUE119" s="950"/>
      <c r="HUF119" s="950"/>
      <c r="HUG119" s="950"/>
      <c r="HUH119" s="950"/>
      <c r="HUI119" s="950"/>
      <c r="HUJ119" s="950"/>
      <c r="HUK119" s="950"/>
      <c r="HUL119" s="950"/>
      <c r="HUM119" s="950"/>
      <c r="HUN119" s="950"/>
      <c r="HUO119" s="950"/>
      <c r="HUP119" s="950"/>
      <c r="HUQ119" s="950"/>
      <c r="HUR119" s="950"/>
      <c r="HUS119" s="950"/>
      <c r="HUT119" s="950"/>
      <c r="HUU119" s="950"/>
      <c r="HUV119" s="950"/>
      <c r="HUW119" s="950"/>
      <c r="HUX119" s="950"/>
      <c r="HUY119" s="950"/>
      <c r="HUZ119" s="950"/>
      <c r="HVA119" s="950"/>
      <c r="HVB119" s="950"/>
      <c r="HVC119" s="950"/>
      <c r="HVD119" s="950"/>
      <c r="HVE119" s="950"/>
      <c r="HVF119" s="950"/>
      <c r="HVG119" s="950"/>
      <c r="HVH119" s="950"/>
      <c r="HVI119" s="950"/>
      <c r="HVJ119" s="950"/>
      <c r="HVK119" s="950"/>
      <c r="HVL119" s="950"/>
      <c r="HVM119" s="950"/>
      <c r="HVN119" s="950"/>
      <c r="HVO119" s="950"/>
      <c r="HVP119" s="950"/>
      <c r="HVQ119" s="950"/>
      <c r="HVR119" s="950"/>
      <c r="HVS119" s="950"/>
      <c r="HVT119" s="950"/>
      <c r="HVU119" s="950"/>
      <c r="HVV119" s="950"/>
      <c r="HVW119" s="950"/>
      <c r="HVX119" s="950"/>
      <c r="HVY119" s="950"/>
      <c r="HVZ119" s="950"/>
      <c r="HWA119" s="950"/>
      <c r="HWB119" s="950"/>
      <c r="HWC119" s="950"/>
      <c r="HWD119" s="950"/>
      <c r="HWE119" s="950"/>
      <c r="HWF119" s="950"/>
      <c r="HWG119" s="950"/>
      <c r="HWH119" s="950"/>
      <c r="HWI119" s="950"/>
      <c r="HWJ119" s="950"/>
      <c r="HWK119" s="950"/>
      <c r="HWL119" s="950"/>
      <c r="HWM119" s="950"/>
      <c r="HWN119" s="950"/>
      <c r="HWO119" s="950"/>
      <c r="HWP119" s="950"/>
      <c r="HWQ119" s="950"/>
      <c r="HWR119" s="950"/>
      <c r="HWS119" s="950"/>
      <c r="HWT119" s="950"/>
      <c r="HWU119" s="950"/>
      <c r="HWV119" s="950"/>
      <c r="HWW119" s="950"/>
      <c r="HWX119" s="950"/>
      <c r="HWY119" s="950"/>
      <c r="HWZ119" s="950"/>
      <c r="HXA119" s="950"/>
      <c r="HXB119" s="950"/>
      <c r="HXC119" s="950"/>
      <c r="HXD119" s="950"/>
      <c r="HXE119" s="950"/>
      <c r="HXF119" s="950"/>
      <c r="HXG119" s="950"/>
      <c r="HXH119" s="950"/>
      <c r="HXI119" s="950"/>
      <c r="HXJ119" s="950"/>
      <c r="HXK119" s="950"/>
      <c r="HXL119" s="950"/>
      <c r="HXM119" s="950"/>
      <c r="HXN119" s="950"/>
      <c r="HXO119" s="950"/>
      <c r="HXP119" s="950"/>
      <c r="HXQ119" s="950"/>
      <c r="HXR119" s="950"/>
      <c r="HXS119" s="950"/>
      <c r="HXT119" s="950"/>
      <c r="HXU119" s="950"/>
      <c r="HXV119" s="950"/>
      <c r="HXW119" s="950"/>
      <c r="HXX119" s="950"/>
      <c r="HXY119" s="950"/>
      <c r="HXZ119" s="950"/>
      <c r="HYA119" s="950"/>
      <c r="HYB119" s="950"/>
      <c r="HYC119" s="950"/>
      <c r="HYD119" s="950"/>
      <c r="HYE119" s="950"/>
      <c r="HYF119" s="950"/>
      <c r="HYG119" s="950"/>
      <c r="HYH119" s="950"/>
      <c r="HYI119" s="950"/>
      <c r="HYJ119" s="950"/>
      <c r="HYK119" s="950"/>
      <c r="HYL119" s="950"/>
      <c r="HYM119" s="950"/>
      <c r="HYN119" s="950"/>
      <c r="HYO119" s="950"/>
      <c r="HYP119" s="950"/>
      <c r="HYQ119" s="950"/>
      <c r="HYR119" s="950"/>
      <c r="HYS119" s="950"/>
      <c r="HYT119" s="950"/>
      <c r="HYU119" s="950"/>
      <c r="HYV119" s="950"/>
      <c r="HYW119" s="950"/>
      <c r="HYX119" s="950"/>
      <c r="HYY119" s="950"/>
      <c r="HYZ119" s="950"/>
      <c r="HZA119" s="950"/>
      <c r="HZB119" s="950"/>
      <c r="HZC119" s="950"/>
      <c r="HZD119" s="950"/>
      <c r="HZE119" s="950"/>
      <c r="HZF119" s="950"/>
      <c r="HZG119" s="950"/>
      <c r="HZH119" s="950"/>
      <c r="HZI119" s="950"/>
      <c r="HZJ119" s="950"/>
      <c r="HZK119" s="950"/>
      <c r="HZL119" s="950"/>
      <c r="HZM119" s="950"/>
      <c r="HZN119" s="950"/>
      <c r="HZO119" s="950"/>
      <c r="HZP119" s="950"/>
      <c r="HZQ119" s="950"/>
      <c r="HZR119" s="950"/>
      <c r="HZS119" s="950"/>
      <c r="HZT119" s="950"/>
      <c r="HZU119" s="950"/>
      <c r="HZV119" s="950"/>
      <c r="HZW119" s="950"/>
      <c r="HZX119" s="950"/>
      <c r="HZY119" s="950"/>
      <c r="HZZ119" s="950"/>
      <c r="IAA119" s="950"/>
      <c r="IAB119" s="950"/>
      <c r="IAC119" s="950"/>
      <c r="IAD119" s="950"/>
      <c r="IAE119" s="950"/>
      <c r="IAF119" s="950"/>
      <c r="IAG119" s="950"/>
      <c r="IAH119" s="950"/>
      <c r="IAI119" s="950"/>
      <c r="IAJ119" s="950"/>
      <c r="IAK119" s="950"/>
      <c r="IAL119" s="950"/>
      <c r="IAM119" s="950"/>
      <c r="IAN119" s="950"/>
      <c r="IAO119" s="950"/>
      <c r="IAP119" s="950"/>
      <c r="IAQ119" s="950"/>
      <c r="IAR119" s="950"/>
      <c r="IAS119" s="950"/>
      <c r="IAT119" s="950"/>
      <c r="IAU119" s="950"/>
      <c r="IAV119" s="950"/>
      <c r="IAW119" s="950"/>
      <c r="IAX119" s="950"/>
      <c r="IAY119" s="950"/>
      <c r="IAZ119" s="950"/>
      <c r="IBA119" s="950"/>
      <c r="IBB119" s="950"/>
      <c r="IBC119" s="950"/>
      <c r="IBD119" s="950"/>
      <c r="IBE119" s="950"/>
      <c r="IBF119" s="950"/>
      <c r="IBG119" s="950"/>
      <c r="IBH119" s="950"/>
      <c r="IBI119" s="950"/>
      <c r="IBJ119" s="950"/>
      <c r="IBK119" s="950"/>
      <c r="IBL119" s="950"/>
      <c r="IBM119" s="950"/>
      <c r="IBN119" s="950"/>
      <c r="IBO119" s="950"/>
      <c r="IBP119" s="950"/>
      <c r="IBQ119" s="950"/>
      <c r="IBR119" s="950"/>
      <c r="IBS119" s="950"/>
      <c r="IBT119" s="950"/>
      <c r="IBU119" s="950"/>
      <c r="IBV119" s="950"/>
      <c r="IBW119" s="950"/>
      <c r="IBX119" s="950"/>
      <c r="IBY119" s="950"/>
      <c r="IBZ119" s="950"/>
      <c r="ICA119" s="950"/>
      <c r="ICB119" s="950"/>
      <c r="ICC119" s="950"/>
      <c r="ICD119" s="950"/>
      <c r="ICE119" s="950"/>
      <c r="ICF119" s="950"/>
      <c r="ICG119" s="950"/>
      <c r="ICH119" s="950"/>
      <c r="ICI119" s="950"/>
      <c r="ICJ119" s="950"/>
      <c r="ICK119" s="950"/>
      <c r="ICL119" s="950"/>
      <c r="ICM119" s="950"/>
      <c r="ICN119" s="950"/>
      <c r="ICO119" s="950"/>
      <c r="ICP119" s="950"/>
      <c r="ICQ119" s="950"/>
      <c r="ICR119" s="950"/>
      <c r="ICS119" s="950"/>
      <c r="ICT119" s="950"/>
      <c r="ICU119" s="950"/>
      <c r="ICV119" s="950"/>
      <c r="ICW119" s="950"/>
      <c r="ICX119" s="950"/>
      <c r="ICY119" s="950"/>
      <c r="ICZ119" s="950"/>
      <c r="IDA119" s="950"/>
      <c r="IDB119" s="950"/>
      <c r="IDC119" s="950"/>
      <c r="IDD119" s="950"/>
      <c r="IDE119" s="950"/>
      <c r="IDF119" s="950"/>
      <c r="IDG119" s="950"/>
      <c r="IDH119" s="950"/>
      <c r="IDI119" s="950"/>
      <c r="IDJ119" s="950"/>
      <c r="IDK119" s="950"/>
      <c r="IDL119" s="950"/>
      <c r="IDM119" s="950"/>
      <c r="IDN119" s="950"/>
      <c r="IDO119" s="950"/>
      <c r="IDP119" s="950"/>
      <c r="IDQ119" s="950"/>
      <c r="IDR119" s="950"/>
      <c r="IDS119" s="950"/>
      <c r="IDT119" s="950"/>
      <c r="IDU119" s="950"/>
      <c r="IDV119" s="950"/>
      <c r="IDW119" s="950"/>
      <c r="IDX119" s="950"/>
      <c r="IDY119" s="950"/>
      <c r="IDZ119" s="950"/>
      <c r="IEA119" s="950"/>
      <c r="IEB119" s="950"/>
      <c r="IEC119" s="950"/>
      <c r="IED119" s="950"/>
      <c r="IEE119" s="950"/>
      <c r="IEF119" s="950"/>
      <c r="IEG119" s="950"/>
      <c r="IEH119" s="950"/>
      <c r="IEI119" s="950"/>
      <c r="IEJ119" s="950"/>
      <c r="IEK119" s="950"/>
      <c r="IEL119" s="950"/>
      <c r="IEM119" s="950"/>
      <c r="IEN119" s="950"/>
      <c r="IEO119" s="950"/>
      <c r="IEP119" s="950"/>
      <c r="IEQ119" s="950"/>
      <c r="IER119" s="950"/>
      <c r="IES119" s="950"/>
      <c r="IET119" s="950"/>
      <c r="IEU119" s="950"/>
      <c r="IEV119" s="950"/>
      <c r="IEW119" s="950"/>
      <c r="IEX119" s="950"/>
      <c r="IEY119" s="950"/>
      <c r="IEZ119" s="950"/>
      <c r="IFA119" s="950"/>
      <c r="IFB119" s="950"/>
      <c r="IFC119" s="950"/>
      <c r="IFD119" s="950"/>
      <c r="IFE119" s="950"/>
      <c r="IFF119" s="950"/>
      <c r="IFG119" s="950"/>
      <c r="IFH119" s="950"/>
      <c r="IFI119" s="950"/>
      <c r="IFJ119" s="950"/>
      <c r="IFK119" s="950"/>
      <c r="IFL119" s="950"/>
      <c r="IFM119" s="950"/>
      <c r="IFN119" s="950"/>
      <c r="IFO119" s="950"/>
      <c r="IFP119" s="950"/>
      <c r="IFQ119" s="950"/>
      <c r="IFR119" s="950"/>
      <c r="IFS119" s="950"/>
      <c r="IFT119" s="950"/>
      <c r="IFU119" s="950"/>
      <c r="IFV119" s="950"/>
      <c r="IFW119" s="950"/>
      <c r="IFX119" s="950"/>
      <c r="IFY119" s="950"/>
      <c r="IFZ119" s="950"/>
      <c r="IGA119" s="950"/>
      <c r="IGB119" s="950"/>
      <c r="IGC119" s="950"/>
      <c r="IGD119" s="950"/>
      <c r="IGE119" s="950"/>
      <c r="IGF119" s="950"/>
      <c r="IGG119" s="950"/>
      <c r="IGH119" s="950"/>
      <c r="IGI119" s="950"/>
      <c r="IGJ119" s="950"/>
      <c r="IGK119" s="950"/>
      <c r="IGL119" s="950"/>
      <c r="IGM119" s="950"/>
      <c r="IGN119" s="950"/>
      <c r="IGO119" s="950"/>
      <c r="IGP119" s="950"/>
      <c r="IGQ119" s="950"/>
      <c r="IGR119" s="950"/>
      <c r="IGS119" s="950"/>
      <c r="IGT119" s="950"/>
      <c r="IGU119" s="950"/>
      <c r="IGV119" s="950"/>
      <c r="IGW119" s="950"/>
      <c r="IGX119" s="950"/>
      <c r="IGY119" s="950"/>
      <c r="IGZ119" s="950"/>
      <c r="IHA119" s="950"/>
      <c r="IHB119" s="950"/>
      <c r="IHC119" s="950"/>
      <c r="IHD119" s="950"/>
      <c r="IHE119" s="950"/>
      <c r="IHF119" s="950"/>
      <c r="IHG119" s="950"/>
      <c r="IHH119" s="950"/>
      <c r="IHI119" s="950"/>
      <c r="IHJ119" s="950"/>
      <c r="IHK119" s="950"/>
      <c r="IHL119" s="950"/>
      <c r="IHM119" s="950"/>
      <c r="IHN119" s="950"/>
      <c r="IHO119" s="950"/>
      <c r="IHP119" s="950"/>
      <c r="IHQ119" s="950"/>
      <c r="IHR119" s="950"/>
      <c r="IHS119" s="950"/>
      <c r="IHT119" s="950"/>
      <c r="IHU119" s="950"/>
      <c r="IHV119" s="950"/>
      <c r="IHW119" s="950"/>
      <c r="IHX119" s="950"/>
      <c r="IHY119" s="950"/>
      <c r="IHZ119" s="950"/>
      <c r="IIA119" s="950"/>
      <c r="IIB119" s="950"/>
      <c r="IIC119" s="950"/>
      <c r="IID119" s="950"/>
      <c r="IIE119" s="950"/>
      <c r="IIF119" s="950"/>
      <c r="IIG119" s="950"/>
      <c r="IIH119" s="950"/>
      <c r="III119" s="950"/>
      <c r="IIJ119" s="950"/>
      <c r="IIK119" s="950"/>
      <c r="IIL119" s="950"/>
      <c r="IIM119" s="950"/>
      <c r="IIN119" s="950"/>
      <c r="IIO119" s="950"/>
      <c r="IIP119" s="950"/>
      <c r="IIQ119" s="950"/>
      <c r="IIR119" s="950"/>
      <c r="IIS119" s="950"/>
      <c r="IIT119" s="950"/>
      <c r="IIU119" s="950"/>
      <c r="IIV119" s="950"/>
      <c r="IIW119" s="950"/>
      <c r="IIX119" s="950"/>
      <c r="IIY119" s="950"/>
      <c r="IIZ119" s="950"/>
      <c r="IJA119" s="950"/>
      <c r="IJB119" s="950"/>
      <c r="IJC119" s="950"/>
      <c r="IJD119" s="950"/>
      <c r="IJE119" s="950"/>
      <c r="IJF119" s="950"/>
      <c r="IJG119" s="950"/>
      <c r="IJH119" s="950"/>
      <c r="IJI119" s="950"/>
      <c r="IJJ119" s="950"/>
      <c r="IJK119" s="950"/>
      <c r="IJL119" s="950"/>
      <c r="IJM119" s="950"/>
      <c r="IJN119" s="950"/>
      <c r="IJO119" s="950"/>
      <c r="IJP119" s="950"/>
      <c r="IJQ119" s="950"/>
      <c r="IJR119" s="950"/>
      <c r="IJS119" s="950"/>
      <c r="IJT119" s="950"/>
      <c r="IJU119" s="950"/>
      <c r="IJV119" s="950"/>
      <c r="IJW119" s="950"/>
      <c r="IJX119" s="950"/>
      <c r="IJY119" s="950"/>
      <c r="IJZ119" s="950"/>
      <c r="IKA119" s="950"/>
      <c r="IKB119" s="950"/>
      <c r="IKC119" s="950"/>
      <c r="IKD119" s="950"/>
      <c r="IKE119" s="950"/>
      <c r="IKF119" s="950"/>
      <c r="IKG119" s="950"/>
      <c r="IKH119" s="950"/>
      <c r="IKI119" s="950"/>
      <c r="IKJ119" s="950"/>
      <c r="IKK119" s="950"/>
      <c r="IKL119" s="950"/>
      <c r="IKM119" s="950"/>
      <c r="IKN119" s="950"/>
      <c r="IKO119" s="950"/>
      <c r="IKP119" s="950"/>
      <c r="IKQ119" s="950"/>
      <c r="IKR119" s="950"/>
      <c r="IKS119" s="950"/>
      <c r="IKT119" s="950"/>
      <c r="IKU119" s="950"/>
      <c r="IKV119" s="950"/>
      <c r="IKW119" s="950"/>
      <c r="IKX119" s="950"/>
      <c r="IKY119" s="950"/>
      <c r="IKZ119" s="950"/>
      <c r="ILA119" s="950"/>
      <c r="ILB119" s="950"/>
      <c r="ILC119" s="950"/>
      <c r="ILD119" s="950"/>
      <c r="ILE119" s="950"/>
      <c r="ILF119" s="950"/>
      <c r="ILG119" s="950"/>
      <c r="ILH119" s="950"/>
      <c r="ILI119" s="950"/>
      <c r="ILJ119" s="950"/>
      <c r="ILK119" s="950"/>
      <c r="ILL119" s="950"/>
      <c r="ILM119" s="950"/>
      <c r="ILN119" s="950"/>
      <c r="ILO119" s="950"/>
      <c r="ILP119" s="950"/>
      <c r="ILQ119" s="950"/>
      <c r="ILR119" s="950"/>
      <c r="ILS119" s="950"/>
      <c r="ILT119" s="950"/>
      <c r="ILU119" s="950"/>
      <c r="ILV119" s="950"/>
      <c r="ILW119" s="950"/>
      <c r="ILX119" s="950"/>
      <c r="ILY119" s="950"/>
      <c r="ILZ119" s="950"/>
      <c r="IMA119" s="950"/>
      <c r="IMB119" s="950"/>
      <c r="IMC119" s="950"/>
      <c r="IMD119" s="950"/>
      <c r="IME119" s="950"/>
      <c r="IMF119" s="950"/>
      <c r="IMG119" s="950"/>
      <c r="IMH119" s="950"/>
      <c r="IMI119" s="950"/>
      <c r="IMJ119" s="950"/>
      <c r="IMK119" s="950"/>
      <c r="IML119" s="950"/>
      <c r="IMM119" s="950"/>
      <c r="IMN119" s="950"/>
      <c r="IMO119" s="950"/>
      <c r="IMP119" s="950"/>
      <c r="IMQ119" s="950"/>
      <c r="IMR119" s="950"/>
      <c r="IMS119" s="950"/>
      <c r="IMT119" s="950"/>
      <c r="IMU119" s="950"/>
      <c r="IMV119" s="950"/>
      <c r="IMW119" s="950"/>
      <c r="IMX119" s="950"/>
      <c r="IMY119" s="950"/>
      <c r="IMZ119" s="950"/>
      <c r="INA119" s="950"/>
      <c r="INB119" s="950"/>
      <c r="INC119" s="950"/>
      <c r="IND119" s="950"/>
      <c r="INE119" s="950"/>
      <c r="INF119" s="950"/>
      <c r="ING119" s="950"/>
      <c r="INH119" s="950"/>
      <c r="INI119" s="950"/>
      <c r="INJ119" s="950"/>
      <c r="INK119" s="950"/>
      <c r="INL119" s="950"/>
      <c r="INM119" s="950"/>
      <c r="INN119" s="950"/>
      <c r="INO119" s="950"/>
      <c r="INP119" s="950"/>
      <c r="INQ119" s="950"/>
      <c r="INR119" s="950"/>
      <c r="INS119" s="950"/>
      <c r="INT119" s="950"/>
      <c r="INU119" s="950"/>
      <c r="INV119" s="950"/>
      <c r="INW119" s="950"/>
      <c r="INX119" s="950"/>
      <c r="INY119" s="950"/>
      <c r="INZ119" s="950"/>
      <c r="IOA119" s="950"/>
      <c r="IOB119" s="950"/>
      <c r="IOC119" s="950"/>
      <c r="IOD119" s="950"/>
      <c r="IOE119" s="950"/>
      <c r="IOF119" s="950"/>
      <c r="IOG119" s="950"/>
      <c r="IOH119" s="950"/>
      <c r="IOI119" s="950"/>
      <c r="IOJ119" s="950"/>
      <c r="IOK119" s="950"/>
      <c r="IOL119" s="950"/>
      <c r="IOM119" s="950"/>
      <c r="ION119" s="950"/>
      <c r="IOO119" s="950"/>
      <c r="IOP119" s="950"/>
      <c r="IOQ119" s="950"/>
      <c r="IOR119" s="950"/>
      <c r="IOS119" s="950"/>
      <c r="IOT119" s="950"/>
      <c r="IOU119" s="950"/>
      <c r="IOV119" s="950"/>
      <c r="IOW119" s="950"/>
      <c r="IOX119" s="950"/>
      <c r="IOY119" s="950"/>
      <c r="IOZ119" s="950"/>
      <c r="IPA119" s="950"/>
      <c r="IPB119" s="950"/>
      <c r="IPC119" s="950"/>
      <c r="IPD119" s="950"/>
      <c r="IPE119" s="950"/>
      <c r="IPF119" s="950"/>
      <c r="IPG119" s="950"/>
      <c r="IPH119" s="950"/>
      <c r="IPI119" s="950"/>
      <c r="IPJ119" s="950"/>
      <c r="IPK119" s="950"/>
      <c r="IPL119" s="950"/>
      <c r="IPM119" s="950"/>
      <c r="IPN119" s="950"/>
      <c r="IPO119" s="950"/>
      <c r="IPP119" s="950"/>
      <c r="IPQ119" s="950"/>
      <c r="IPR119" s="950"/>
      <c r="IPS119" s="950"/>
      <c r="IPT119" s="950"/>
      <c r="IPU119" s="950"/>
      <c r="IPV119" s="950"/>
      <c r="IPW119" s="950"/>
      <c r="IPX119" s="950"/>
      <c r="IPY119" s="950"/>
      <c r="IPZ119" s="950"/>
      <c r="IQA119" s="950"/>
      <c r="IQB119" s="950"/>
      <c r="IQC119" s="950"/>
      <c r="IQD119" s="950"/>
      <c r="IQE119" s="950"/>
      <c r="IQF119" s="950"/>
      <c r="IQG119" s="950"/>
      <c r="IQH119" s="950"/>
      <c r="IQI119" s="950"/>
      <c r="IQJ119" s="950"/>
      <c r="IQK119" s="950"/>
      <c r="IQL119" s="950"/>
      <c r="IQM119" s="950"/>
      <c r="IQN119" s="950"/>
      <c r="IQO119" s="950"/>
      <c r="IQP119" s="950"/>
      <c r="IQQ119" s="950"/>
      <c r="IQR119" s="950"/>
      <c r="IQS119" s="950"/>
      <c r="IQT119" s="950"/>
      <c r="IQU119" s="950"/>
      <c r="IQV119" s="950"/>
      <c r="IQW119" s="950"/>
      <c r="IQX119" s="950"/>
      <c r="IQY119" s="950"/>
      <c r="IQZ119" s="950"/>
      <c r="IRA119" s="950"/>
      <c r="IRB119" s="950"/>
      <c r="IRC119" s="950"/>
      <c r="IRD119" s="950"/>
      <c r="IRE119" s="950"/>
      <c r="IRF119" s="950"/>
      <c r="IRG119" s="950"/>
      <c r="IRH119" s="950"/>
      <c r="IRI119" s="950"/>
      <c r="IRJ119" s="950"/>
      <c r="IRK119" s="950"/>
      <c r="IRL119" s="950"/>
      <c r="IRM119" s="950"/>
      <c r="IRN119" s="950"/>
      <c r="IRO119" s="950"/>
      <c r="IRP119" s="950"/>
      <c r="IRQ119" s="950"/>
      <c r="IRR119" s="950"/>
      <c r="IRS119" s="950"/>
      <c r="IRT119" s="950"/>
      <c r="IRU119" s="950"/>
      <c r="IRV119" s="950"/>
      <c r="IRW119" s="950"/>
      <c r="IRX119" s="950"/>
      <c r="IRY119" s="950"/>
      <c r="IRZ119" s="950"/>
      <c r="ISA119" s="950"/>
      <c r="ISB119" s="950"/>
      <c r="ISC119" s="950"/>
      <c r="ISD119" s="950"/>
      <c r="ISE119" s="950"/>
      <c r="ISF119" s="950"/>
      <c r="ISG119" s="950"/>
      <c r="ISH119" s="950"/>
      <c r="ISI119" s="950"/>
      <c r="ISJ119" s="950"/>
      <c r="ISK119" s="950"/>
      <c r="ISL119" s="950"/>
      <c r="ISM119" s="950"/>
      <c r="ISN119" s="950"/>
      <c r="ISO119" s="950"/>
      <c r="ISP119" s="950"/>
      <c r="ISQ119" s="950"/>
      <c r="ISR119" s="950"/>
      <c r="ISS119" s="950"/>
      <c r="IST119" s="950"/>
      <c r="ISU119" s="950"/>
      <c r="ISV119" s="950"/>
      <c r="ISW119" s="950"/>
      <c r="ISX119" s="950"/>
      <c r="ISY119" s="950"/>
      <c r="ISZ119" s="950"/>
      <c r="ITA119" s="950"/>
      <c r="ITB119" s="950"/>
      <c r="ITC119" s="950"/>
      <c r="ITD119" s="950"/>
      <c r="ITE119" s="950"/>
      <c r="ITF119" s="950"/>
      <c r="ITG119" s="950"/>
      <c r="ITH119" s="950"/>
      <c r="ITI119" s="950"/>
      <c r="ITJ119" s="950"/>
      <c r="ITK119" s="950"/>
      <c r="ITL119" s="950"/>
      <c r="ITM119" s="950"/>
      <c r="ITN119" s="950"/>
      <c r="ITO119" s="950"/>
      <c r="ITP119" s="950"/>
      <c r="ITQ119" s="950"/>
      <c r="ITR119" s="950"/>
      <c r="ITS119" s="950"/>
      <c r="ITT119" s="950"/>
      <c r="ITU119" s="950"/>
      <c r="ITV119" s="950"/>
      <c r="ITW119" s="950"/>
      <c r="ITX119" s="950"/>
      <c r="ITY119" s="950"/>
      <c r="ITZ119" s="950"/>
      <c r="IUA119" s="950"/>
      <c r="IUB119" s="950"/>
      <c r="IUC119" s="950"/>
      <c r="IUD119" s="950"/>
      <c r="IUE119" s="950"/>
      <c r="IUF119" s="950"/>
      <c r="IUG119" s="950"/>
      <c r="IUH119" s="950"/>
      <c r="IUI119" s="950"/>
      <c r="IUJ119" s="950"/>
      <c r="IUK119" s="950"/>
      <c r="IUL119" s="950"/>
      <c r="IUM119" s="950"/>
      <c r="IUN119" s="950"/>
      <c r="IUO119" s="950"/>
      <c r="IUP119" s="950"/>
      <c r="IUQ119" s="950"/>
      <c r="IUR119" s="950"/>
      <c r="IUS119" s="950"/>
      <c r="IUT119" s="950"/>
      <c r="IUU119" s="950"/>
      <c r="IUV119" s="950"/>
      <c r="IUW119" s="950"/>
      <c r="IUX119" s="950"/>
      <c r="IUY119" s="950"/>
      <c r="IUZ119" s="950"/>
      <c r="IVA119" s="950"/>
      <c r="IVB119" s="950"/>
      <c r="IVC119" s="950"/>
      <c r="IVD119" s="950"/>
      <c r="IVE119" s="950"/>
      <c r="IVF119" s="950"/>
      <c r="IVG119" s="950"/>
      <c r="IVH119" s="950"/>
      <c r="IVI119" s="950"/>
      <c r="IVJ119" s="950"/>
      <c r="IVK119" s="950"/>
      <c r="IVL119" s="950"/>
      <c r="IVM119" s="950"/>
      <c r="IVN119" s="950"/>
      <c r="IVO119" s="950"/>
      <c r="IVP119" s="950"/>
      <c r="IVQ119" s="950"/>
      <c r="IVR119" s="950"/>
      <c r="IVS119" s="950"/>
      <c r="IVT119" s="950"/>
      <c r="IVU119" s="950"/>
      <c r="IVV119" s="950"/>
      <c r="IVW119" s="950"/>
      <c r="IVX119" s="950"/>
      <c r="IVY119" s="950"/>
      <c r="IVZ119" s="950"/>
      <c r="IWA119" s="950"/>
      <c r="IWB119" s="950"/>
      <c r="IWC119" s="950"/>
      <c r="IWD119" s="950"/>
      <c r="IWE119" s="950"/>
      <c r="IWF119" s="950"/>
      <c r="IWG119" s="950"/>
      <c r="IWH119" s="950"/>
      <c r="IWI119" s="950"/>
      <c r="IWJ119" s="950"/>
      <c r="IWK119" s="950"/>
      <c r="IWL119" s="950"/>
      <c r="IWM119" s="950"/>
      <c r="IWN119" s="950"/>
      <c r="IWO119" s="950"/>
      <c r="IWP119" s="950"/>
      <c r="IWQ119" s="950"/>
      <c r="IWR119" s="950"/>
      <c r="IWS119" s="950"/>
      <c r="IWT119" s="950"/>
      <c r="IWU119" s="950"/>
      <c r="IWV119" s="950"/>
      <c r="IWW119" s="950"/>
      <c r="IWX119" s="950"/>
      <c r="IWY119" s="950"/>
      <c r="IWZ119" s="950"/>
      <c r="IXA119" s="950"/>
      <c r="IXB119" s="950"/>
      <c r="IXC119" s="950"/>
      <c r="IXD119" s="950"/>
      <c r="IXE119" s="950"/>
      <c r="IXF119" s="950"/>
      <c r="IXG119" s="950"/>
      <c r="IXH119" s="950"/>
      <c r="IXI119" s="950"/>
      <c r="IXJ119" s="950"/>
      <c r="IXK119" s="950"/>
      <c r="IXL119" s="950"/>
      <c r="IXM119" s="950"/>
      <c r="IXN119" s="950"/>
      <c r="IXO119" s="950"/>
      <c r="IXP119" s="950"/>
      <c r="IXQ119" s="950"/>
      <c r="IXR119" s="950"/>
      <c r="IXS119" s="950"/>
      <c r="IXT119" s="950"/>
      <c r="IXU119" s="950"/>
      <c r="IXV119" s="950"/>
      <c r="IXW119" s="950"/>
      <c r="IXX119" s="950"/>
      <c r="IXY119" s="950"/>
      <c r="IXZ119" s="950"/>
      <c r="IYA119" s="950"/>
      <c r="IYB119" s="950"/>
      <c r="IYC119" s="950"/>
      <c r="IYD119" s="950"/>
      <c r="IYE119" s="950"/>
      <c r="IYF119" s="950"/>
      <c r="IYG119" s="950"/>
      <c r="IYH119" s="950"/>
      <c r="IYI119" s="950"/>
      <c r="IYJ119" s="950"/>
      <c r="IYK119" s="950"/>
      <c r="IYL119" s="950"/>
      <c r="IYM119" s="950"/>
      <c r="IYN119" s="950"/>
      <c r="IYO119" s="950"/>
      <c r="IYP119" s="950"/>
      <c r="IYQ119" s="950"/>
      <c r="IYR119" s="950"/>
      <c r="IYS119" s="950"/>
      <c r="IYT119" s="950"/>
      <c r="IYU119" s="950"/>
      <c r="IYV119" s="950"/>
      <c r="IYW119" s="950"/>
      <c r="IYX119" s="950"/>
      <c r="IYY119" s="950"/>
      <c r="IYZ119" s="950"/>
      <c r="IZA119" s="950"/>
      <c r="IZB119" s="950"/>
      <c r="IZC119" s="950"/>
      <c r="IZD119" s="950"/>
      <c r="IZE119" s="950"/>
      <c r="IZF119" s="950"/>
      <c r="IZG119" s="950"/>
      <c r="IZH119" s="950"/>
      <c r="IZI119" s="950"/>
      <c r="IZJ119" s="950"/>
      <c r="IZK119" s="950"/>
      <c r="IZL119" s="950"/>
      <c r="IZM119" s="950"/>
      <c r="IZN119" s="950"/>
      <c r="IZO119" s="950"/>
      <c r="IZP119" s="950"/>
      <c r="IZQ119" s="950"/>
      <c r="IZR119" s="950"/>
      <c r="IZS119" s="950"/>
      <c r="IZT119" s="950"/>
      <c r="IZU119" s="950"/>
      <c r="IZV119" s="950"/>
      <c r="IZW119" s="950"/>
      <c r="IZX119" s="950"/>
      <c r="IZY119" s="950"/>
      <c r="IZZ119" s="950"/>
      <c r="JAA119" s="950"/>
      <c r="JAB119" s="950"/>
      <c r="JAC119" s="950"/>
      <c r="JAD119" s="950"/>
      <c r="JAE119" s="950"/>
      <c r="JAF119" s="950"/>
      <c r="JAG119" s="950"/>
      <c r="JAH119" s="950"/>
      <c r="JAI119" s="950"/>
      <c r="JAJ119" s="950"/>
      <c r="JAK119" s="950"/>
      <c r="JAL119" s="950"/>
      <c r="JAM119" s="950"/>
      <c r="JAN119" s="950"/>
      <c r="JAO119" s="950"/>
      <c r="JAP119" s="950"/>
      <c r="JAQ119" s="950"/>
      <c r="JAR119" s="950"/>
      <c r="JAS119" s="950"/>
      <c r="JAT119" s="950"/>
      <c r="JAU119" s="950"/>
      <c r="JAV119" s="950"/>
      <c r="JAW119" s="950"/>
      <c r="JAX119" s="950"/>
      <c r="JAY119" s="950"/>
      <c r="JAZ119" s="950"/>
      <c r="JBA119" s="950"/>
      <c r="JBB119" s="950"/>
      <c r="JBC119" s="950"/>
      <c r="JBD119" s="950"/>
      <c r="JBE119" s="950"/>
      <c r="JBF119" s="950"/>
      <c r="JBG119" s="950"/>
      <c r="JBH119" s="950"/>
      <c r="JBI119" s="950"/>
      <c r="JBJ119" s="950"/>
      <c r="JBK119" s="950"/>
      <c r="JBL119" s="950"/>
      <c r="JBM119" s="950"/>
      <c r="JBN119" s="950"/>
      <c r="JBO119" s="950"/>
      <c r="JBP119" s="950"/>
      <c r="JBQ119" s="950"/>
      <c r="JBR119" s="950"/>
      <c r="JBS119" s="950"/>
      <c r="JBT119" s="950"/>
      <c r="JBU119" s="950"/>
      <c r="JBV119" s="950"/>
      <c r="JBW119" s="950"/>
      <c r="JBX119" s="950"/>
      <c r="JBY119" s="950"/>
      <c r="JBZ119" s="950"/>
      <c r="JCA119" s="950"/>
      <c r="JCB119" s="950"/>
      <c r="JCC119" s="950"/>
      <c r="JCD119" s="950"/>
      <c r="JCE119" s="950"/>
      <c r="JCF119" s="950"/>
      <c r="JCG119" s="950"/>
      <c r="JCH119" s="950"/>
      <c r="JCI119" s="950"/>
      <c r="JCJ119" s="950"/>
      <c r="JCK119" s="950"/>
      <c r="JCL119" s="950"/>
      <c r="JCM119" s="950"/>
      <c r="JCN119" s="950"/>
      <c r="JCO119" s="950"/>
      <c r="JCP119" s="950"/>
      <c r="JCQ119" s="950"/>
      <c r="JCR119" s="950"/>
      <c r="JCS119" s="950"/>
      <c r="JCT119" s="950"/>
      <c r="JCU119" s="950"/>
      <c r="JCV119" s="950"/>
      <c r="JCW119" s="950"/>
      <c r="JCX119" s="950"/>
      <c r="JCY119" s="950"/>
      <c r="JCZ119" s="950"/>
      <c r="JDA119" s="950"/>
      <c r="JDB119" s="950"/>
      <c r="JDC119" s="950"/>
      <c r="JDD119" s="950"/>
      <c r="JDE119" s="950"/>
      <c r="JDF119" s="950"/>
      <c r="JDG119" s="950"/>
      <c r="JDH119" s="950"/>
      <c r="JDI119" s="950"/>
      <c r="JDJ119" s="950"/>
      <c r="JDK119" s="950"/>
      <c r="JDL119" s="950"/>
      <c r="JDM119" s="950"/>
      <c r="JDN119" s="950"/>
      <c r="JDO119" s="950"/>
      <c r="JDP119" s="950"/>
      <c r="JDQ119" s="950"/>
      <c r="JDR119" s="950"/>
      <c r="JDS119" s="950"/>
      <c r="JDT119" s="950"/>
      <c r="JDU119" s="950"/>
      <c r="JDV119" s="950"/>
      <c r="JDW119" s="950"/>
      <c r="JDX119" s="950"/>
      <c r="JDY119" s="950"/>
      <c r="JDZ119" s="950"/>
      <c r="JEA119" s="950"/>
      <c r="JEB119" s="950"/>
      <c r="JEC119" s="950"/>
      <c r="JED119" s="950"/>
      <c r="JEE119" s="950"/>
      <c r="JEF119" s="950"/>
      <c r="JEG119" s="950"/>
      <c r="JEH119" s="950"/>
      <c r="JEI119" s="950"/>
      <c r="JEJ119" s="950"/>
      <c r="JEK119" s="950"/>
      <c r="JEL119" s="950"/>
      <c r="JEM119" s="950"/>
      <c r="JEN119" s="950"/>
      <c r="JEO119" s="950"/>
      <c r="JEP119" s="950"/>
      <c r="JEQ119" s="950"/>
      <c r="JER119" s="950"/>
      <c r="JES119" s="950"/>
      <c r="JET119" s="950"/>
      <c r="JEU119" s="950"/>
      <c r="JEV119" s="950"/>
      <c r="JEW119" s="950"/>
      <c r="JEX119" s="950"/>
      <c r="JEY119" s="950"/>
      <c r="JEZ119" s="950"/>
      <c r="JFA119" s="950"/>
      <c r="JFB119" s="950"/>
      <c r="JFC119" s="950"/>
      <c r="JFD119" s="950"/>
      <c r="JFE119" s="950"/>
      <c r="JFF119" s="950"/>
      <c r="JFG119" s="950"/>
      <c r="JFH119" s="950"/>
      <c r="JFI119" s="950"/>
      <c r="JFJ119" s="950"/>
      <c r="JFK119" s="950"/>
      <c r="JFL119" s="950"/>
      <c r="JFM119" s="950"/>
      <c r="JFN119" s="950"/>
      <c r="JFO119" s="950"/>
      <c r="JFP119" s="950"/>
      <c r="JFQ119" s="950"/>
      <c r="JFR119" s="950"/>
      <c r="JFS119" s="950"/>
      <c r="JFT119" s="950"/>
      <c r="JFU119" s="950"/>
      <c r="JFV119" s="950"/>
      <c r="JFW119" s="950"/>
      <c r="JFX119" s="950"/>
      <c r="JFY119" s="950"/>
      <c r="JFZ119" s="950"/>
      <c r="JGA119" s="950"/>
      <c r="JGB119" s="950"/>
      <c r="JGC119" s="950"/>
      <c r="JGD119" s="950"/>
      <c r="JGE119" s="950"/>
      <c r="JGF119" s="950"/>
      <c r="JGG119" s="950"/>
      <c r="JGH119" s="950"/>
      <c r="JGI119" s="950"/>
      <c r="JGJ119" s="950"/>
      <c r="JGK119" s="950"/>
      <c r="JGL119" s="950"/>
      <c r="JGM119" s="950"/>
      <c r="JGN119" s="950"/>
      <c r="JGO119" s="950"/>
      <c r="JGP119" s="950"/>
      <c r="JGQ119" s="950"/>
      <c r="JGR119" s="950"/>
      <c r="JGS119" s="950"/>
      <c r="JGT119" s="950"/>
      <c r="JGU119" s="950"/>
      <c r="JGV119" s="950"/>
      <c r="JGW119" s="950"/>
      <c r="JGX119" s="950"/>
      <c r="JGY119" s="950"/>
      <c r="JGZ119" s="950"/>
      <c r="JHA119" s="950"/>
      <c r="JHB119" s="950"/>
      <c r="JHC119" s="950"/>
      <c r="JHD119" s="950"/>
      <c r="JHE119" s="950"/>
      <c r="JHF119" s="950"/>
      <c r="JHG119" s="950"/>
      <c r="JHH119" s="950"/>
      <c r="JHI119" s="950"/>
      <c r="JHJ119" s="950"/>
      <c r="JHK119" s="950"/>
      <c r="JHL119" s="950"/>
      <c r="JHM119" s="950"/>
      <c r="JHN119" s="950"/>
      <c r="JHO119" s="950"/>
      <c r="JHP119" s="950"/>
      <c r="JHQ119" s="950"/>
      <c r="JHR119" s="950"/>
      <c r="JHS119" s="950"/>
      <c r="JHT119" s="950"/>
      <c r="JHU119" s="950"/>
      <c r="JHV119" s="950"/>
      <c r="JHW119" s="950"/>
      <c r="JHX119" s="950"/>
      <c r="JHY119" s="950"/>
      <c r="JHZ119" s="950"/>
      <c r="JIA119" s="950"/>
      <c r="JIB119" s="950"/>
      <c r="JIC119" s="950"/>
      <c r="JID119" s="950"/>
      <c r="JIE119" s="950"/>
      <c r="JIF119" s="950"/>
      <c r="JIG119" s="950"/>
      <c r="JIH119" s="950"/>
      <c r="JII119" s="950"/>
      <c r="JIJ119" s="950"/>
      <c r="JIK119" s="950"/>
      <c r="JIL119" s="950"/>
      <c r="JIM119" s="950"/>
      <c r="JIN119" s="950"/>
      <c r="JIO119" s="950"/>
      <c r="JIP119" s="950"/>
      <c r="JIQ119" s="950"/>
      <c r="JIR119" s="950"/>
      <c r="JIS119" s="950"/>
      <c r="JIT119" s="950"/>
      <c r="JIU119" s="950"/>
      <c r="JIV119" s="950"/>
      <c r="JIW119" s="950"/>
      <c r="JIX119" s="950"/>
      <c r="JIY119" s="950"/>
      <c r="JIZ119" s="950"/>
      <c r="JJA119" s="950"/>
      <c r="JJB119" s="950"/>
      <c r="JJC119" s="950"/>
      <c r="JJD119" s="950"/>
      <c r="JJE119" s="950"/>
      <c r="JJF119" s="950"/>
      <c r="JJG119" s="950"/>
      <c r="JJH119" s="950"/>
      <c r="JJI119" s="950"/>
      <c r="JJJ119" s="950"/>
      <c r="JJK119" s="950"/>
      <c r="JJL119" s="950"/>
      <c r="JJM119" s="950"/>
      <c r="JJN119" s="950"/>
      <c r="JJO119" s="950"/>
      <c r="JJP119" s="950"/>
      <c r="JJQ119" s="950"/>
      <c r="JJR119" s="950"/>
      <c r="JJS119" s="950"/>
      <c r="JJT119" s="950"/>
      <c r="JJU119" s="950"/>
      <c r="JJV119" s="950"/>
      <c r="JJW119" s="950"/>
      <c r="JJX119" s="950"/>
      <c r="JJY119" s="950"/>
      <c r="JJZ119" s="950"/>
      <c r="JKA119" s="950"/>
      <c r="JKB119" s="950"/>
      <c r="JKC119" s="950"/>
      <c r="JKD119" s="950"/>
      <c r="JKE119" s="950"/>
      <c r="JKF119" s="950"/>
      <c r="JKG119" s="950"/>
      <c r="JKH119" s="950"/>
      <c r="JKI119" s="950"/>
      <c r="JKJ119" s="950"/>
      <c r="JKK119" s="950"/>
      <c r="JKL119" s="950"/>
      <c r="JKM119" s="950"/>
      <c r="JKN119" s="950"/>
      <c r="JKO119" s="950"/>
      <c r="JKP119" s="950"/>
      <c r="JKQ119" s="950"/>
      <c r="JKR119" s="950"/>
      <c r="JKS119" s="950"/>
      <c r="JKT119" s="950"/>
      <c r="JKU119" s="950"/>
      <c r="JKV119" s="950"/>
      <c r="JKW119" s="950"/>
      <c r="JKX119" s="950"/>
      <c r="JKY119" s="950"/>
      <c r="JKZ119" s="950"/>
      <c r="JLA119" s="950"/>
      <c r="JLB119" s="950"/>
      <c r="JLC119" s="950"/>
      <c r="JLD119" s="950"/>
      <c r="JLE119" s="950"/>
      <c r="JLF119" s="950"/>
      <c r="JLG119" s="950"/>
      <c r="JLH119" s="950"/>
      <c r="JLI119" s="950"/>
      <c r="JLJ119" s="950"/>
      <c r="JLK119" s="950"/>
      <c r="JLL119" s="950"/>
      <c r="JLM119" s="950"/>
      <c r="JLN119" s="950"/>
      <c r="JLO119" s="950"/>
      <c r="JLP119" s="950"/>
      <c r="JLQ119" s="950"/>
      <c r="JLR119" s="950"/>
      <c r="JLS119" s="950"/>
      <c r="JLT119" s="950"/>
      <c r="JLU119" s="950"/>
      <c r="JLV119" s="950"/>
      <c r="JLW119" s="950"/>
      <c r="JLX119" s="950"/>
      <c r="JLY119" s="950"/>
      <c r="JLZ119" s="950"/>
      <c r="JMA119" s="950"/>
      <c r="JMB119" s="950"/>
      <c r="JMC119" s="950"/>
      <c r="JMD119" s="950"/>
      <c r="JME119" s="950"/>
      <c r="JMF119" s="950"/>
      <c r="JMG119" s="950"/>
      <c r="JMH119" s="950"/>
      <c r="JMI119" s="950"/>
      <c r="JMJ119" s="950"/>
      <c r="JMK119" s="950"/>
      <c r="JML119" s="950"/>
      <c r="JMM119" s="950"/>
      <c r="JMN119" s="950"/>
      <c r="JMO119" s="950"/>
      <c r="JMP119" s="950"/>
      <c r="JMQ119" s="950"/>
      <c r="JMR119" s="950"/>
      <c r="JMS119" s="950"/>
      <c r="JMT119" s="950"/>
      <c r="JMU119" s="950"/>
      <c r="JMV119" s="950"/>
      <c r="JMW119" s="950"/>
      <c r="JMX119" s="950"/>
      <c r="JMY119" s="950"/>
      <c r="JMZ119" s="950"/>
      <c r="JNA119" s="950"/>
      <c r="JNB119" s="950"/>
      <c r="JNC119" s="950"/>
      <c r="JND119" s="950"/>
      <c r="JNE119" s="950"/>
      <c r="JNF119" s="950"/>
      <c r="JNG119" s="950"/>
      <c r="JNH119" s="950"/>
      <c r="JNI119" s="950"/>
      <c r="JNJ119" s="950"/>
      <c r="JNK119" s="950"/>
      <c r="JNL119" s="950"/>
      <c r="JNM119" s="950"/>
      <c r="JNN119" s="950"/>
      <c r="JNO119" s="950"/>
      <c r="JNP119" s="950"/>
      <c r="JNQ119" s="950"/>
      <c r="JNR119" s="950"/>
      <c r="JNS119" s="950"/>
      <c r="JNT119" s="950"/>
      <c r="JNU119" s="950"/>
      <c r="JNV119" s="950"/>
      <c r="JNW119" s="950"/>
      <c r="JNX119" s="950"/>
      <c r="JNY119" s="950"/>
      <c r="JNZ119" s="950"/>
      <c r="JOA119" s="950"/>
      <c r="JOB119" s="950"/>
      <c r="JOC119" s="950"/>
      <c r="JOD119" s="950"/>
      <c r="JOE119" s="950"/>
      <c r="JOF119" s="950"/>
      <c r="JOG119" s="950"/>
      <c r="JOH119" s="950"/>
      <c r="JOI119" s="950"/>
      <c r="JOJ119" s="950"/>
      <c r="JOK119" s="950"/>
      <c r="JOL119" s="950"/>
      <c r="JOM119" s="950"/>
      <c r="JON119" s="950"/>
      <c r="JOO119" s="950"/>
      <c r="JOP119" s="950"/>
      <c r="JOQ119" s="950"/>
      <c r="JOR119" s="950"/>
      <c r="JOS119" s="950"/>
      <c r="JOT119" s="950"/>
      <c r="JOU119" s="950"/>
      <c r="JOV119" s="950"/>
      <c r="JOW119" s="950"/>
      <c r="JOX119" s="950"/>
      <c r="JOY119" s="950"/>
      <c r="JOZ119" s="950"/>
      <c r="JPA119" s="950"/>
      <c r="JPB119" s="950"/>
      <c r="JPC119" s="950"/>
      <c r="JPD119" s="950"/>
      <c r="JPE119" s="950"/>
      <c r="JPF119" s="950"/>
      <c r="JPG119" s="950"/>
      <c r="JPH119" s="950"/>
      <c r="JPI119" s="950"/>
      <c r="JPJ119" s="950"/>
      <c r="JPK119" s="950"/>
      <c r="JPL119" s="950"/>
      <c r="JPM119" s="950"/>
      <c r="JPN119" s="950"/>
      <c r="JPO119" s="950"/>
      <c r="JPP119" s="950"/>
      <c r="JPQ119" s="950"/>
      <c r="JPR119" s="950"/>
      <c r="JPS119" s="950"/>
      <c r="JPT119" s="950"/>
      <c r="JPU119" s="950"/>
      <c r="JPV119" s="950"/>
      <c r="JPW119" s="950"/>
      <c r="JPX119" s="950"/>
      <c r="JPY119" s="950"/>
      <c r="JPZ119" s="950"/>
      <c r="JQA119" s="950"/>
      <c r="JQB119" s="950"/>
      <c r="JQC119" s="950"/>
      <c r="JQD119" s="950"/>
      <c r="JQE119" s="950"/>
      <c r="JQF119" s="950"/>
      <c r="JQG119" s="950"/>
      <c r="JQH119" s="950"/>
      <c r="JQI119" s="950"/>
      <c r="JQJ119" s="950"/>
      <c r="JQK119" s="950"/>
      <c r="JQL119" s="950"/>
      <c r="JQM119" s="950"/>
      <c r="JQN119" s="950"/>
      <c r="JQO119" s="950"/>
      <c r="JQP119" s="950"/>
      <c r="JQQ119" s="950"/>
      <c r="JQR119" s="950"/>
      <c r="JQS119" s="950"/>
      <c r="JQT119" s="950"/>
      <c r="JQU119" s="950"/>
      <c r="JQV119" s="950"/>
      <c r="JQW119" s="950"/>
      <c r="JQX119" s="950"/>
      <c r="JQY119" s="950"/>
      <c r="JQZ119" s="950"/>
      <c r="JRA119" s="950"/>
      <c r="JRB119" s="950"/>
      <c r="JRC119" s="950"/>
      <c r="JRD119" s="950"/>
      <c r="JRE119" s="950"/>
      <c r="JRF119" s="950"/>
      <c r="JRG119" s="950"/>
      <c r="JRH119" s="950"/>
      <c r="JRI119" s="950"/>
      <c r="JRJ119" s="950"/>
      <c r="JRK119" s="950"/>
      <c r="JRL119" s="950"/>
      <c r="JRM119" s="950"/>
      <c r="JRN119" s="950"/>
      <c r="JRO119" s="950"/>
      <c r="JRP119" s="950"/>
      <c r="JRQ119" s="950"/>
      <c r="JRR119" s="950"/>
      <c r="JRS119" s="950"/>
      <c r="JRT119" s="950"/>
      <c r="JRU119" s="950"/>
      <c r="JRV119" s="950"/>
      <c r="JRW119" s="950"/>
      <c r="JRX119" s="950"/>
      <c r="JRY119" s="950"/>
      <c r="JRZ119" s="950"/>
      <c r="JSA119" s="950"/>
      <c r="JSB119" s="950"/>
      <c r="JSC119" s="950"/>
      <c r="JSD119" s="950"/>
      <c r="JSE119" s="950"/>
      <c r="JSF119" s="950"/>
      <c r="JSG119" s="950"/>
      <c r="JSH119" s="950"/>
      <c r="JSI119" s="950"/>
      <c r="JSJ119" s="950"/>
      <c r="JSK119" s="950"/>
      <c r="JSL119" s="950"/>
      <c r="JSM119" s="950"/>
      <c r="JSN119" s="950"/>
      <c r="JSO119" s="950"/>
      <c r="JSP119" s="950"/>
      <c r="JSQ119" s="950"/>
      <c r="JSR119" s="950"/>
      <c r="JSS119" s="950"/>
      <c r="JST119" s="950"/>
      <c r="JSU119" s="950"/>
      <c r="JSV119" s="950"/>
      <c r="JSW119" s="950"/>
      <c r="JSX119" s="950"/>
      <c r="JSY119" s="950"/>
      <c r="JSZ119" s="950"/>
      <c r="JTA119" s="950"/>
      <c r="JTB119" s="950"/>
      <c r="JTC119" s="950"/>
      <c r="JTD119" s="950"/>
      <c r="JTE119" s="950"/>
      <c r="JTF119" s="950"/>
      <c r="JTG119" s="950"/>
      <c r="JTH119" s="950"/>
      <c r="JTI119" s="950"/>
      <c r="JTJ119" s="950"/>
      <c r="JTK119" s="950"/>
      <c r="JTL119" s="950"/>
      <c r="JTM119" s="950"/>
      <c r="JTN119" s="950"/>
      <c r="JTO119" s="950"/>
      <c r="JTP119" s="950"/>
      <c r="JTQ119" s="950"/>
      <c r="JTR119" s="950"/>
      <c r="JTS119" s="950"/>
      <c r="JTT119" s="950"/>
      <c r="JTU119" s="950"/>
      <c r="JTV119" s="950"/>
      <c r="JTW119" s="950"/>
      <c r="JTX119" s="950"/>
      <c r="JTY119" s="950"/>
      <c r="JTZ119" s="950"/>
      <c r="JUA119" s="950"/>
      <c r="JUB119" s="950"/>
      <c r="JUC119" s="950"/>
      <c r="JUD119" s="950"/>
      <c r="JUE119" s="950"/>
      <c r="JUF119" s="950"/>
      <c r="JUG119" s="950"/>
      <c r="JUH119" s="950"/>
      <c r="JUI119" s="950"/>
      <c r="JUJ119" s="950"/>
      <c r="JUK119" s="950"/>
      <c r="JUL119" s="950"/>
      <c r="JUM119" s="950"/>
      <c r="JUN119" s="950"/>
      <c r="JUO119" s="950"/>
      <c r="JUP119" s="950"/>
      <c r="JUQ119" s="950"/>
      <c r="JUR119" s="950"/>
      <c r="JUS119" s="950"/>
      <c r="JUT119" s="950"/>
      <c r="JUU119" s="950"/>
      <c r="JUV119" s="950"/>
      <c r="JUW119" s="950"/>
      <c r="JUX119" s="950"/>
      <c r="JUY119" s="950"/>
      <c r="JUZ119" s="950"/>
      <c r="JVA119" s="950"/>
      <c r="JVB119" s="950"/>
      <c r="JVC119" s="950"/>
      <c r="JVD119" s="950"/>
      <c r="JVE119" s="950"/>
      <c r="JVF119" s="950"/>
      <c r="JVG119" s="950"/>
      <c r="JVH119" s="950"/>
      <c r="JVI119" s="950"/>
      <c r="JVJ119" s="950"/>
      <c r="JVK119" s="950"/>
      <c r="JVL119" s="950"/>
      <c r="JVM119" s="950"/>
      <c r="JVN119" s="950"/>
      <c r="JVO119" s="950"/>
      <c r="JVP119" s="950"/>
      <c r="JVQ119" s="950"/>
      <c r="JVR119" s="950"/>
      <c r="JVS119" s="950"/>
      <c r="JVT119" s="950"/>
      <c r="JVU119" s="950"/>
      <c r="JVV119" s="950"/>
      <c r="JVW119" s="950"/>
      <c r="JVX119" s="950"/>
      <c r="JVY119" s="950"/>
      <c r="JVZ119" s="950"/>
      <c r="JWA119" s="950"/>
      <c r="JWB119" s="950"/>
      <c r="JWC119" s="950"/>
      <c r="JWD119" s="950"/>
      <c r="JWE119" s="950"/>
      <c r="JWF119" s="950"/>
      <c r="JWG119" s="950"/>
      <c r="JWH119" s="950"/>
      <c r="JWI119" s="950"/>
      <c r="JWJ119" s="950"/>
      <c r="JWK119" s="950"/>
      <c r="JWL119" s="950"/>
      <c r="JWM119" s="950"/>
      <c r="JWN119" s="950"/>
      <c r="JWO119" s="950"/>
      <c r="JWP119" s="950"/>
      <c r="JWQ119" s="950"/>
      <c r="JWR119" s="950"/>
      <c r="JWS119" s="950"/>
      <c r="JWT119" s="950"/>
      <c r="JWU119" s="950"/>
      <c r="JWV119" s="950"/>
      <c r="JWW119" s="950"/>
      <c r="JWX119" s="950"/>
      <c r="JWY119" s="950"/>
      <c r="JWZ119" s="950"/>
      <c r="JXA119" s="950"/>
      <c r="JXB119" s="950"/>
      <c r="JXC119" s="950"/>
      <c r="JXD119" s="950"/>
      <c r="JXE119" s="950"/>
      <c r="JXF119" s="950"/>
      <c r="JXG119" s="950"/>
      <c r="JXH119" s="950"/>
      <c r="JXI119" s="950"/>
      <c r="JXJ119" s="950"/>
      <c r="JXK119" s="950"/>
      <c r="JXL119" s="950"/>
      <c r="JXM119" s="950"/>
      <c r="JXN119" s="950"/>
      <c r="JXO119" s="950"/>
      <c r="JXP119" s="950"/>
      <c r="JXQ119" s="950"/>
      <c r="JXR119" s="950"/>
      <c r="JXS119" s="950"/>
      <c r="JXT119" s="950"/>
      <c r="JXU119" s="950"/>
      <c r="JXV119" s="950"/>
      <c r="JXW119" s="950"/>
      <c r="JXX119" s="950"/>
      <c r="JXY119" s="950"/>
      <c r="JXZ119" s="950"/>
      <c r="JYA119" s="950"/>
      <c r="JYB119" s="950"/>
      <c r="JYC119" s="950"/>
      <c r="JYD119" s="950"/>
      <c r="JYE119" s="950"/>
      <c r="JYF119" s="950"/>
      <c r="JYG119" s="950"/>
      <c r="JYH119" s="950"/>
      <c r="JYI119" s="950"/>
      <c r="JYJ119" s="950"/>
      <c r="JYK119" s="950"/>
      <c r="JYL119" s="950"/>
      <c r="JYM119" s="950"/>
      <c r="JYN119" s="950"/>
      <c r="JYO119" s="950"/>
      <c r="JYP119" s="950"/>
      <c r="JYQ119" s="950"/>
      <c r="JYR119" s="950"/>
      <c r="JYS119" s="950"/>
      <c r="JYT119" s="950"/>
      <c r="JYU119" s="950"/>
      <c r="JYV119" s="950"/>
      <c r="JYW119" s="950"/>
      <c r="JYX119" s="950"/>
      <c r="JYY119" s="950"/>
      <c r="JYZ119" s="950"/>
      <c r="JZA119" s="950"/>
      <c r="JZB119" s="950"/>
      <c r="JZC119" s="950"/>
      <c r="JZD119" s="950"/>
      <c r="JZE119" s="950"/>
      <c r="JZF119" s="950"/>
      <c r="JZG119" s="950"/>
      <c r="JZH119" s="950"/>
      <c r="JZI119" s="950"/>
      <c r="JZJ119" s="950"/>
      <c r="JZK119" s="950"/>
      <c r="JZL119" s="950"/>
      <c r="JZM119" s="950"/>
      <c r="JZN119" s="950"/>
      <c r="JZO119" s="950"/>
      <c r="JZP119" s="950"/>
      <c r="JZQ119" s="950"/>
      <c r="JZR119" s="950"/>
      <c r="JZS119" s="950"/>
      <c r="JZT119" s="950"/>
      <c r="JZU119" s="950"/>
      <c r="JZV119" s="950"/>
      <c r="JZW119" s="950"/>
      <c r="JZX119" s="950"/>
      <c r="JZY119" s="950"/>
      <c r="JZZ119" s="950"/>
      <c r="KAA119" s="950"/>
      <c r="KAB119" s="950"/>
      <c r="KAC119" s="950"/>
      <c r="KAD119" s="950"/>
      <c r="KAE119" s="950"/>
      <c r="KAF119" s="950"/>
      <c r="KAG119" s="950"/>
      <c r="KAH119" s="950"/>
      <c r="KAI119" s="950"/>
      <c r="KAJ119" s="950"/>
      <c r="KAK119" s="950"/>
      <c r="KAL119" s="950"/>
      <c r="KAM119" s="950"/>
      <c r="KAN119" s="950"/>
      <c r="KAO119" s="950"/>
      <c r="KAP119" s="950"/>
      <c r="KAQ119" s="950"/>
      <c r="KAR119" s="950"/>
      <c r="KAS119" s="950"/>
      <c r="KAT119" s="950"/>
      <c r="KAU119" s="950"/>
      <c r="KAV119" s="950"/>
      <c r="KAW119" s="950"/>
      <c r="KAX119" s="950"/>
      <c r="KAY119" s="950"/>
      <c r="KAZ119" s="950"/>
      <c r="KBA119" s="950"/>
      <c r="KBB119" s="950"/>
      <c r="KBC119" s="950"/>
      <c r="KBD119" s="950"/>
      <c r="KBE119" s="950"/>
      <c r="KBF119" s="950"/>
      <c r="KBG119" s="950"/>
      <c r="KBH119" s="950"/>
      <c r="KBI119" s="950"/>
      <c r="KBJ119" s="950"/>
      <c r="KBK119" s="950"/>
      <c r="KBL119" s="950"/>
      <c r="KBM119" s="950"/>
      <c r="KBN119" s="950"/>
      <c r="KBO119" s="950"/>
      <c r="KBP119" s="950"/>
      <c r="KBQ119" s="950"/>
      <c r="KBR119" s="950"/>
      <c r="KBS119" s="950"/>
      <c r="KBT119" s="950"/>
      <c r="KBU119" s="950"/>
      <c r="KBV119" s="950"/>
      <c r="KBW119" s="950"/>
      <c r="KBX119" s="950"/>
      <c r="KBY119" s="950"/>
      <c r="KBZ119" s="950"/>
      <c r="KCA119" s="950"/>
      <c r="KCB119" s="950"/>
      <c r="KCC119" s="950"/>
      <c r="KCD119" s="950"/>
      <c r="KCE119" s="950"/>
      <c r="KCF119" s="950"/>
      <c r="KCG119" s="950"/>
      <c r="KCH119" s="950"/>
      <c r="KCI119" s="950"/>
      <c r="KCJ119" s="950"/>
      <c r="KCK119" s="950"/>
      <c r="KCL119" s="950"/>
      <c r="KCM119" s="950"/>
      <c r="KCN119" s="950"/>
      <c r="KCO119" s="950"/>
      <c r="KCP119" s="950"/>
      <c r="KCQ119" s="950"/>
      <c r="KCR119" s="950"/>
      <c r="KCS119" s="950"/>
      <c r="KCT119" s="950"/>
      <c r="KCU119" s="950"/>
      <c r="KCV119" s="950"/>
      <c r="KCW119" s="950"/>
      <c r="KCX119" s="950"/>
      <c r="KCY119" s="950"/>
      <c r="KCZ119" s="950"/>
      <c r="KDA119" s="950"/>
      <c r="KDB119" s="950"/>
      <c r="KDC119" s="950"/>
      <c r="KDD119" s="950"/>
      <c r="KDE119" s="950"/>
      <c r="KDF119" s="950"/>
      <c r="KDG119" s="950"/>
      <c r="KDH119" s="950"/>
      <c r="KDI119" s="950"/>
      <c r="KDJ119" s="950"/>
      <c r="KDK119" s="950"/>
      <c r="KDL119" s="950"/>
      <c r="KDM119" s="950"/>
      <c r="KDN119" s="950"/>
      <c r="KDO119" s="950"/>
      <c r="KDP119" s="950"/>
      <c r="KDQ119" s="950"/>
      <c r="KDR119" s="950"/>
      <c r="KDS119" s="950"/>
      <c r="KDT119" s="950"/>
      <c r="KDU119" s="950"/>
      <c r="KDV119" s="950"/>
      <c r="KDW119" s="950"/>
      <c r="KDX119" s="950"/>
      <c r="KDY119" s="950"/>
      <c r="KDZ119" s="950"/>
      <c r="KEA119" s="950"/>
      <c r="KEB119" s="950"/>
      <c r="KEC119" s="950"/>
      <c r="KED119" s="950"/>
      <c r="KEE119" s="950"/>
      <c r="KEF119" s="950"/>
      <c r="KEG119" s="950"/>
      <c r="KEH119" s="950"/>
      <c r="KEI119" s="950"/>
      <c r="KEJ119" s="950"/>
      <c r="KEK119" s="950"/>
      <c r="KEL119" s="950"/>
      <c r="KEM119" s="950"/>
      <c r="KEN119" s="950"/>
      <c r="KEO119" s="950"/>
      <c r="KEP119" s="950"/>
      <c r="KEQ119" s="950"/>
      <c r="KER119" s="950"/>
      <c r="KES119" s="950"/>
      <c r="KET119" s="950"/>
      <c r="KEU119" s="950"/>
      <c r="KEV119" s="950"/>
      <c r="KEW119" s="950"/>
      <c r="KEX119" s="950"/>
      <c r="KEY119" s="950"/>
      <c r="KEZ119" s="950"/>
      <c r="KFA119" s="950"/>
      <c r="KFB119" s="950"/>
      <c r="KFC119" s="950"/>
      <c r="KFD119" s="950"/>
      <c r="KFE119" s="950"/>
      <c r="KFF119" s="950"/>
      <c r="KFG119" s="950"/>
      <c r="KFH119" s="950"/>
      <c r="KFI119" s="950"/>
      <c r="KFJ119" s="950"/>
      <c r="KFK119" s="950"/>
      <c r="KFL119" s="950"/>
      <c r="KFM119" s="950"/>
      <c r="KFN119" s="950"/>
      <c r="KFO119" s="950"/>
      <c r="KFP119" s="950"/>
      <c r="KFQ119" s="950"/>
      <c r="KFR119" s="950"/>
      <c r="KFS119" s="950"/>
      <c r="KFT119" s="950"/>
      <c r="KFU119" s="950"/>
      <c r="KFV119" s="950"/>
      <c r="KFW119" s="950"/>
      <c r="KFX119" s="950"/>
      <c r="KFY119" s="950"/>
      <c r="KFZ119" s="950"/>
      <c r="KGA119" s="950"/>
      <c r="KGB119" s="950"/>
      <c r="KGC119" s="950"/>
      <c r="KGD119" s="950"/>
      <c r="KGE119" s="950"/>
      <c r="KGF119" s="950"/>
      <c r="KGG119" s="950"/>
      <c r="KGH119" s="950"/>
      <c r="KGI119" s="950"/>
      <c r="KGJ119" s="950"/>
      <c r="KGK119" s="950"/>
      <c r="KGL119" s="950"/>
      <c r="KGM119" s="950"/>
      <c r="KGN119" s="950"/>
      <c r="KGO119" s="950"/>
      <c r="KGP119" s="950"/>
      <c r="KGQ119" s="950"/>
      <c r="KGR119" s="950"/>
      <c r="KGS119" s="950"/>
      <c r="KGT119" s="950"/>
      <c r="KGU119" s="950"/>
      <c r="KGV119" s="950"/>
      <c r="KGW119" s="950"/>
      <c r="KGX119" s="950"/>
      <c r="KGY119" s="950"/>
      <c r="KGZ119" s="950"/>
      <c r="KHA119" s="950"/>
      <c r="KHB119" s="950"/>
      <c r="KHC119" s="950"/>
      <c r="KHD119" s="950"/>
      <c r="KHE119" s="950"/>
      <c r="KHF119" s="950"/>
      <c r="KHG119" s="950"/>
      <c r="KHH119" s="950"/>
      <c r="KHI119" s="950"/>
      <c r="KHJ119" s="950"/>
      <c r="KHK119" s="950"/>
      <c r="KHL119" s="950"/>
      <c r="KHM119" s="950"/>
      <c r="KHN119" s="950"/>
      <c r="KHO119" s="950"/>
      <c r="KHP119" s="950"/>
      <c r="KHQ119" s="950"/>
      <c r="KHR119" s="950"/>
      <c r="KHS119" s="950"/>
      <c r="KHT119" s="950"/>
      <c r="KHU119" s="950"/>
      <c r="KHV119" s="950"/>
      <c r="KHW119" s="950"/>
      <c r="KHX119" s="950"/>
      <c r="KHY119" s="950"/>
      <c r="KHZ119" s="950"/>
      <c r="KIA119" s="950"/>
      <c r="KIB119" s="950"/>
      <c r="KIC119" s="950"/>
      <c r="KID119" s="950"/>
      <c r="KIE119" s="950"/>
      <c r="KIF119" s="950"/>
      <c r="KIG119" s="950"/>
      <c r="KIH119" s="950"/>
      <c r="KII119" s="950"/>
      <c r="KIJ119" s="950"/>
      <c r="KIK119" s="950"/>
      <c r="KIL119" s="950"/>
      <c r="KIM119" s="950"/>
      <c r="KIN119" s="950"/>
      <c r="KIO119" s="950"/>
      <c r="KIP119" s="950"/>
      <c r="KIQ119" s="950"/>
      <c r="KIR119" s="950"/>
      <c r="KIS119" s="950"/>
      <c r="KIT119" s="950"/>
      <c r="KIU119" s="950"/>
      <c r="KIV119" s="950"/>
      <c r="KIW119" s="950"/>
      <c r="KIX119" s="950"/>
      <c r="KIY119" s="950"/>
      <c r="KIZ119" s="950"/>
      <c r="KJA119" s="950"/>
      <c r="KJB119" s="950"/>
      <c r="KJC119" s="950"/>
      <c r="KJD119" s="950"/>
      <c r="KJE119" s="950"/>
      <c r="KJF119" s="950"/>
      <c r="KJG119" s="950"/>
      <c r="KJH119" s="950"/>
      <c r="KJI119" s="950"/>
      <c r="KJJ119" s="950"/>
      <c r="KJK119" s="950"/>
      <c r="KJL119" s="950"/>
      <c r="KJM119" s="950"/>
      <c r="KJN119" s="950"/>
      <c r="KJO119" s="950"/>
      <c r="KJP119" s="950"/>
      <c r="KJQ119" s="950"/>
      <c r="KJR119" s="950"/>
      <c r="KJS119" s="950"/>
      <c r="KJT119" s="950"/>
      <c r="KJU119" s="950"/>
      <c r="KJV119" s="950"/>
      <c r="KJW119" s="950"/>
      <c r="KJX119" s="950"/>
      <c r="KJY119" s="950"/>
      <c r="KJZ119" s="950"/>
      <c r="KKA119" s="950"/>
      <c r="KKB119" s="950"/>
      <c r="KKC119" s="950"/>
      <c r="KKD119" s="950"/>
      <c r="KKE119" s="950"/>
      <c r="KKF119" s="950"/>
      <c r="KKG119" s="950"/>
      <c r="KKH119" s="950"/>
      <c r="KKI119" s="950"/>
      <c r="KKJ119" s="950"/>
      <c r="KKK119" s="950"/>
      <c r="KKL119" s="950"/>
      <c r="KKM119" s="950"/>
      <c r="KKN119" s="950"/>
      <c r="KKO119" s="950"/>
      <c r="KKP119" s="950"/>
      <c r="KKQ119" s="950"/>
      <c r="KKR119" s="950"/>
      <c r="KKS119" s="950"/>
      <c r="KKT119" s="950"/>
      <c r="KKU119" s="950"/>
      <c r="KKV119" s="950"/>
      <c r="KKW119" s="950"/>
      <c r="KKX119" s="950"/>
      <c r="KKY119" s="950"/>
      <c r="KKZ119" s="950"/>
      <c r="KLA119" s="950"/>
      <c r="KLB119" s="950"/>
      <c r="KLC119" s="950"/>
      <c r="KLD119" s="950"/>
      <c r="KLE119" s="950"/>
      <c r="KLF119" s="950"/>
      <c r="KLG119" s="950"/>
      <c r="KLH119" s="950"/>
      <c r="KLI119" s="950"/>
      <c r="KLJ119" s="950"/>
      <c r="KLK119" s="950"/>
      <c r="KLL119" s="950"/>
      <c r="KLM119" s="950"/>
      <c r="KLN119" s="950"/>
      <c r="KLO119" s="950"/>
      <c r="KLP119" s="950"/>
      <c r="KLQ119" s="950"/>
      <c r="KLR119" s="950"/>
      <c r="KLS119" s="950"/>
      <c r="KLT119" s="950"/>
      <c r="KLU119" s="950"/>
      <c r="KLV119" s="950"/>
      <c r="KLW119" s="950"/>
      <c r="KLX119" s="950"/>
      <c r="KLY119" s="950"/>
      <c r="KLZ119" s="950"/>
      <c r="KMA119" s="950"/>
      <c r="KMB119" s="950"/>
      <c r="KMC119" s="950"/>
      <c r="KMD119" s="950"/>
      <c r="KME119" s="950"/>
      <c r="KMF119" s="950"/>
      <c r="KMG119" s="950"/>
      <c r="KMH119" s="950"/>
      <c r="KMI119" s="950"/>
      <c r="KMJ119" s="950"/>
      <c r="KMK119" s="950"/>
      <c r="KML119" s="950"/>
      <c r="KMM119" s="950"/>
      <c r="KMN119" s="950"/>
      <c r="KMO119" s="950"/>
      <c r="KMP119" s="950"/>
      <c r="KMQ119" s="950"/>
      <c r="KMR119" s="950"/>
      <c r="KMS119" s="950"/>
      <c r="KMT119" s="950"/>
      <c r="KMU119" s="950"/>
      <c r="KMV119" s="950"/>
      <c r="KMW119" s="950"/>
      <c r="KMX119" s="950"/>
      <c r="KMY119" s="950"/>
      <c r="KMZ119" s="950"/>
      <c r="KNA119" s="950"/>
      <c r="KNB119" s="950"/>
      <c r="KNC119" s="950"/>
      <c r="KND119" s="950"/>
      <c r="KNE119" s="950"/>
      <c r="KNF119" s="950"/>
      <c r="KNG119" s="950"/>
      <c r="KNH119" s="950"/>
      <c r="KNI119" s="950"/>
      <c r="KNJ119" s="950"/>
      <c r="KNK119" s="950"/>
      <c r="KNL119" s="950"/>
      <c r="KNM119" s="950"/>
      <c r="KNN119" s="950"/>
      <c r="KNO119" s="950"/>
      <c r="KNP119" s="950"/>
      <c r="KNQ119" s="950"/>
      <c r="KNR119" s="950"/>
      <c r="KNS119" s="950"/>
      <c r="KNT119" s="950"/>
      <c r="KNU119" s="950"/>
      <c r="KNV119" s="950"/>
      <c r="KNW119" s="950"/>
      <c r="KNX119" s="950"/>
      <c r="KNY119" s="950"/>
      <c r="KNZ119" s="950"/>
      <c r="KOA119" s="950"/>
      <c r="KOB119" s="950"/>
      <c r="KOC119" s="950"/>
      <c r="KOD119" s="950"/>
      <c r="KOE119" s="950"/>
      <c r="KOF119" s="950"/>
      <c r="KOG119" s="950"/>
      <c r="KOH119" s="950"/>
      <c r="KOI119" s="950"/>
      <c r="KOJ119" s="950"/>
      <c r="KOK119" s="950"/>
      <c r="KOL119" s="950"/>
      <c r="KOM119" s="950"/>
      <c r="KON119" s="950"/>
      <c r="KOO119" s="950"/>
      <c r="KOP119" s="950"/>
      <c r="KOQ119" s="950"/>
      <c r="KOR119" s="950"/>
      <c r="KOS119" s="950"/>
      <c r="KOT119" s="950"/>
      <c r="KOU119" s="950"/>
      <c r="KOV119" s="950"/>
      <c r="KOW119" s="950"/>
      <c r="KOX119" s="950"/>
      <c r="KOY119" s="950"/>
      <c r="KOZ119" s="950"/>
      <c r="KPA119" s="950"/>
      <c r="KPB119" s="950"/>
      <c r="KPC119" s="950"/>
      <c r="KPD119" s="950"/>
      <c r="KPE119" s="950"/>
      <c r="KPF119" s="950"/>
      <c r="KPG119" s="950"/>
      <c r="KPH119" s="950"/>
      <c r="KPI119" s="950"/>
      <c r="KPJ119" s="950"/>
      <c r="KPK119" s="950"/>
      <c r="KPL119" s="950"/>
      <c r="KPM119" s="950"/>
      <c r="KPN119" s="950"/>
      <c r="KPO119" s="950"/>
      <c r="KPP119" s="950"/>
      <c r="KPQ119" s="950"/>
      <c r="KPR119" s="950"/>
      <c r="KPS119" s="950"/>
      <c r="KPT119" s="950"/>
      <c r="KPU119" s="950"/>
      <c r="KPV119" s="950"/>
      <c r="KPW119" s="950"/>
      <c r="KPX119" s="950"/>
      <c r="KPY119" s="950"/>
      <c r="KPZ119" s="950"/>
      <c r="KQA119" s="950"/>
      <c r="KQB119" s="950"/>
      <c r="KQC119" s="950"/>
      <c r="KQD119" s="950"/>
      <c r="KQE119" s="950"/>
      <c r="KQF119" s="950"/>
      <c r="KQG119" s="950"/>
      <c r="KQH119" s="950"/>
      <c r="KQI119" s="950"/>
      <c r="KQJ119" s="950"/>
      <c r="KQK119" s="950"/>
      <c r="KQL119" s="950"/>
      <c r="KQM119" s="950"/>
      <c r="KQN119" s="950"/>
      <c r="KQO119" s="950"/>
      <c r="KQP119" s="950"/>
      <c r="KQQ119" s="950"/>
      <c r="KQR119" s="950"/>
      <c r="KQS119" s="950"/>
      <c r="KQT119" s="950"/>
      <c r="KQU119" s="950"/>
      <c r="KQV119" s="950"/>
      <c r="KQW119" s="950"/>
      <c r="KQX119" s="950"/>
      <c r="KQY119" s="950"/>
      <c r="KQZ119" s="950"/>
      <c r="KRA119" s="950"/>
      <c r="KRB119" s="950"/>
      <c r="KRC119" s="950"/>
      <c r="KRD119" s="950"/>
      <c r="KRE119" s="950"/>
      <c r="KRF119" s="950"/>
      <c r="KRG119" s="950"/>
      <c r="KRH119" s="950"/>
      <c r="KRI119" s="950"/>
      <c r="KRJ119" s="950"/>
      <c r="KRK119" s="950"/>
      <c r="KRL119" s="950"/>
      <c r="KRM119" s="950"/>
      <c r="KRN119" s="950"/>
      <c r="KRO119" s="950"/>
      <c r="KRP119" s="950"/>
      <c r="KRQ119" s="950"/>
      <c r="KRR119" s="950"/>
      <c r="KRS119" s="950"/>
      <c r="KRT119" s="950"/>
      <c r="KRU119" s="950"/>
      <c r="KRV119" s="950"/>
      <c r="KRW119" s="950"/>
      <c r="KRX119" s="950"/>
      <c r="KRY119" s="950"/>
      <c r="KRZ119" s="950"/>
      <c r="KSA119" s="950"/>
      <c r="KSB119" s="950"/>
      <c r="KSC119" s="950"/>
      <c r="KSD119" s="950"/>
      <c r="KSE119" s="950"/>
      <c r="KSF119" s="950"/>
      <c r="KSG119" s="950"/>
      <c r="KSH119" s="950"/>
      <c r="KSI119" s="950"/>
      <c r="KSJ119" s="950"/>
      <c r="KSK119" s="950"/>
      <c r="KSL119" s="950"/>
      <c r="KSM119" s="950"/>
      <c r="KSN119" s="950"/>
      <c r="KSO119" s="950"/>
      <c r="KSP119" s="950"/>
      <c r="KSQ119" s="950"/>
      <c r="KSR119" s="950"/>
      <c r="KSS119" s="950"/>
      <c r="KST119" s="950"/>
      <c r="KSU119" s="950"/>
      <c r="KSV119" s="950"/>
      <c r="KSW119" s="950"/>
      <c r="KSX119" s="950"/>
      <c r="KSY119" s="950"/>
      <c r="KSZ119" s="950"/>
      <c r="KTA119" s="950"/>
      <c r="KTB119" s="950"/>
      <c r="KTC119" s="950"/>
      <c r="KTD119" s="950"/>
      <c r="KTE119" s="950"/>
      <c r="KTF119" s="950"/>
      <c r="KTG119" s="950"/>
      <c r="KTH119" s="950"/>
      <c r="KTI119" s="950"/>
      <c r="KTJ119" s="950"/>
      <c r="KTK119" s="950"/>
      <c r="KTL119" s="950"/>
      <c r="KTM119" s="950"/>
      <c r="KTN119" s="950"/>
      <c r="KTO119" s="950"/>
      <c r="KTP119" s="950"/>
      <c r="KTQ119" s="950"/>
      <c r="KTR119" s="950"/>
      <c r="KTS119" s="950"/>
      <c r="KTT119" s="950"/>
      <c r="KTU119" s="950"/>
      <c r="KTV119" s="950"/>
      <c r="KTW119" s="950"/>
      <c r="KTX119" s="950"/>
      <c r="KTY119" s="950"/>
      <c r="KTZ119" s="950"/>
      <c r="KUA119" s="950"/>
      <c r="KUB119" s="950"/>
      <c r="KUC119" s="950"/>
      <c r="KUD119" s="950"/>
      <c r="KUE119" s="950"/>
      <c r="KUF119" s="950"/>
      <c r="KUG119" s="950"/>
      <c r="KUH119" s="950"/>
      <c r="KUI119" s="950"/>
      <c r="KUJ119" s="950"/>
      <c r="KUK119" s="950"/>
      <c r="KUL119" s="950"/>
      <c r="KUM119" s="950"/>
      <c r="KUN119" s="950"/>
      <c r="KUO119" s="950"/>
      <c r="KUP119" s="950"/>
      <c r="KUQ119" s="950"/>
      <c r="KUR119" s="950"/>
      <c r="KUS119" s="950"/>
      <c r="KUT119" s="950"/>
      <c r="KUU119" s="950"/>
      <c r="KUV119" s="950"/>
      <c r="KUW119" s="950"/>
      <c r="KUX119" s="950"/>
      <c r="KUY119" s="950"/>
      <c r="KUZ119" s="950"/>
      <c r="KVA119" s="950"/>
      <c r="KVB119" s="950"/>
      <c r="KVC119" s="950"/>
      <c r="KVD119" s="950"/>
      <c r="KVE119" s="950"/>
      <c r="KVF119" s="950"/>
      <c r="KVG119" s="950"/>
      <c r="KVH119" s="950"/>
      <c r="KVI119" s="950"/>
      <c r="KVJ119" s="950"/>
      <c r="KVK119" s="950"/>
      <c r="KVL119" s="950"/>
      <c r="KVM119" s="950"/>
      <c r="KVN119" s="950"/>
      <c r="KVO119" s="950"/>
      <c r="KVP119" s="950"/>
      <c r="KVQ119" s="950"/>
      <c r="KVR119" s="950"/>
      <c r="KVS119" s="950"/>
      <c r="KVT119" s="950"/>
      <c r="KVU119" s="950"/>
      <c r="KVV119" s="950"/>
      <c r="KVW119" s="950"/>
      <c r="KVX119" s="950"/>
      <c r="KVY119" s="950"/>
      <c r="KVZ119" s="950"/>
      <c r="KWA119" s="950"/>
      <c r="KWB119" s="950"/>
      <c r="KWC119" s="950"/>
      <c r="KWD119" s="950"/>
      <c r="KWE119" s="950"/>
      <c r="KWF119" s="950"/>
      <c r="KWG119" s="950"/>
      <c r="KWH119" s="950"/>
      <c r="KWI119" s="950"/>
      <c r="KWJ119" s="950"/>
      <c r="KWK119" s="950"/>
      <c r="KWL119" s="950"/>
      <c r="KWM119" s="950"/>
      <c r="KWN119" s="950"/>
      <c r="KWO119" s="950"/>
      <c r="KWP119" s="950"/>
      <c r="KWQ119" s="950"/>
      <c r="KWR119" s="950"/>
      <c r="KWS119" s="950"/>
      <c r="KWT119" s="950"/>
      <c r="KWU119" s="950"/>
      <c r="KWV119" s="950"/>
      <c r="KWW119" s="950"/>
      <c r="KWX119" s="950"/>
      <c r="KWY119" s="950"/>
      <c r="KWZ119" s="950"/>
      <c r="KXA119" s="950"/>
      <c r="KXB119" s="950"/>
      <c r="KXC119" s="950"/>
      <c r="KXD119" s="950"/>
      <c r="KXE119" s="950"/>
      <c r="KXF119" s="950"/>
      <c r="KXG119" s="950"/>
      <c r="KXH119" s="950"/>
      <c r="KXI119" s="950"/>
      <c r="KXJ119" s="950"/>
      <c r="KXK119" s="950"/>
      <c r="KXL119" s="950"/>
      <c r="KXM119" s="950"/>
      <c r="KXN119" s="950"/>
      <c r="KXO119" s="950"/>
      <c r="KXP119" s="950"/>
      <c r="KXQ119" s="950"/>
      <c r="KXR119" s="950"/>
      <c r="KXS119" s="950"/>
      <c r="KXT119" s="950"/>
      <c r="KXU119" s="950"/>
      <c r="KXV119" s="950"/>
      <c r="KXW119" s="950"/>
      <c r="KXX119" s="950"/>
      <c r="KXY119" s="950"/>
      <c r="KXZ119" s="950"/>
      <c r="KYA119" s="950"/>
      <c r="KYB119" s="950"/>
      <c r="KYC119" s="950"/>
      <c r="KYD119" s="950"/>
      <c r="KYE119" s="950"/>
      <c r="KYF119" s="950"/>
      <c r="KYG119" s="950"/>
      <c r="KYH119" s="950"/>
      <c r="KYI119" s="950"/>
      <c r="KYJ119" s="950"/>
      <c r="KYK119" s="950"/>
      <c r="KYL119" s="950"/>
      <c r="KYM119" s="950"/>
      <c r="KYN119" s="950"/>
      <c r="KYO119" s="950"/>
      <c r="KYP119" s="950"/>
      <c r="KYQ119" s="950"/>
      <c r="KYR119" s="950"/>
      <c r="KYS119" s="950"/>
      <c r="KYT119" s="950"/>
      <c r="KYU119" s="950"/>
      <c r="KYV119" s="950"/>
      <c r="KYW119" s="950"/>
      <c r="KYX119" s="950"/>
      <c r="KYY119" s="950"/>
      <c r="KYZ119" s="950"/>
      <c r="KZA119" s="950"/>
      <c r="KZB119" s="950"/>
      <c r="KZC119" s="950"/>
      <c r="KZD119" s="950"/>
      <c r="KZE119" s="950"/>
      <c r="KZF119" s="950"/>
      <c r="KZG119" s="950"/>
      <c r="KZH119" s="950"/>
      <c r="KZI119" s="950"/>
      <c r="KZJ119" s="950"/>
      <c r="KZK119" s="950"/>
      <c r="KZL119" s="950"/>
      <c r="KZM119" s="950"/>
      <c r="KZN119" s="950"/>
      <c r="KZO119" s="950"/>
      <c r="KZP119" s="950"/>
      <c r="KZQ119" s="950"/>
      <c r="KZR119" s="950"/>
      <c r="KZS119" s="950"/>
      <c r="KZT119" s="950"/>
      <c r="KZU119" s="950"/>
      <c r="KZV119" s="950"/>
      <c r="KZW119" s="950"/>
      <c r="KZX119" s="950"/>
      <c r="KZY119" s="950"/>
      <c r="KZZ119" s="950"/>
      <c r="LAA119" s="950"/>
      <c r="LAB119" s="950"/>
      <c r="LAC119" s="950"/>
      <c r="LAD119" s="950"/>
      <c r="LAE119" s="950"/>
      <c r="LAF119" s="950"/>
      <c r="LAG119" s="950"/>
      <c r="LAH119" s="950"/>
      <c r="LAI119" s="950"/>
      <c r="LAJ119" s="950"/>
      <c r="LAK119" s="950"/>
      <c r="LAL119" s="950"/>
      <c r="LAM119" s="950"/>
      <c r="LAN119" s="950"/>
      <c r="LAO119" s="950"/>
      <c r="LAP119" s="950"/>
      <c r="LAQ119" s="950"/>
      <c r="LAR119" s="950"/>
      <c r="LAS119" s="950"/>
      <c r="LAT119" s="950"/>
      <c r="LAU119" s="950"/>
      <c r="LAV119" s="950"/>
      <c r="LAW119" s="950"/>
      <c r="LAX119" s="950"/>
      <c r="LAY119" s="950"/>
      <c r="LAZ119" s="950"/>
      <c r="LBA119" s="950"/>
      <c r="LBB119" s="950"/>
      <c r="LBC119" s="950"/>
      <c r="LBD119" s="950"/>
      <c r="LBE119" s="950"/>
      <c r="LBF119" s="950"/>
      <c r="LBG119" s="950"/>
      <c r="LBH119" s="950"/>
      <c r="LBI119" s="950"/>
      <c r="LBJ119" s="950"/>
      <c r="LBK119" s="950"/>
      <c r="LBL119" s="950"/>
      <c r="LBM119" s="950"/>
      <c r="LBN119" s="950"/>
      <c r="LBO119" s="950"/>
      <c r="LBP119" s="950"/>
      <c r="LBQ119" s="950"/>
      <c r="LBR119" s="950"/>
      <c r="LBS119" s="950"/>
      <c r="LBT119" s="950"/>
      <c r="LBU119" s="950"/>
      <c r="LBV119" s="950"/>
      <c r="LBW119" s="950"/>
      <c r="LBX119" s="950"/>
      <c r="LBY119" s="950"/>
      <c r="LBZ119" s="950"/>
      <c r="LCA119" s="950"/>
      <c r="LCB119" s="950"/>
      <c r="LCC119" s="950"/>
      <c r="LCD119" s="950"/>
      <c r="LCE119" s="950"/>
      <c r="LCF119" s="950"/>
      <c r="LCG119" s="950"/>
      <c r="LCH119" s="950"/>
      <c r="LCI119" s="950"/>
      <c r="LCJ119" s="950"/>
      <c r="LCK119" s="950"/>
      <c r="LCL119" s="950"/>
      <c r="LCM119" s="950"/>
      <c r="LCN119" s="950"/>
      <c r="LCO119" s="950"/>
      <c r="LCP119" s="950"/>
      <c r="LCQ119" s="950"/>
      <c r="LCR119" s="950"/>
      <c r="LCS119" s="950"/>
      <c r="LCT119" s="950"/>
      <c r="LCU119" s="950"/>
      <c r="LCV119" s="950"/>
      <c r="LCW119" s="950"/>
      <c r="LCX119" s="950"/>
      <c r="LCY119" s="950"/>
      <c r="LCZ119" s="950"/>
      <c r="LDA119" s="950"/>
      <c r="LDB119" s="950"/>
      <c r="LDC119" s="950"/>
      <c r="LDD119" s="950"/>
      <c r="LDE119" s="950"/>
      <c r="LDF119" s="950"/>
      <c r="LDG119" s="950"/>
      <c r="LDH119" s="950"/>
      <c r="LDI119" s="950"/>
      <c r="LDJ119" s="950"/>
      <c r="LDK119" s="950"/>
      <c r="LDL119" s="950"/>
      <c r="LDM119" s="950"/>
      <c r="LDN119" s="950"/>
      <c r="LDO119" s="950"/>
      <c r="LDP119" s="950"/>
      <c r="LDQ119" s="950"/>
      <c r="LDR119" s="950"/>
      <c r="LDS119" s="950"/>
      <c r="LDT119" s="950"/>
      <c r="LDU119" s="950"/>
      <c r="LDV119" s="950"/>
      <c r="LDW119" s="950"/>
      <c r="LDX119" s="950"/>
      <c r="LDY119" s="950"/>
      <c r="LDZ119" s="950"/>
      <c r="LEA119" s="950"/>
      <c r="LEB119" s="950"/>
      <c r="LEC119" s="950"/>
      <c r="LED119" s="950"/>
      <c r="LEE119" s="950"/>
      <c r="LEF119" s="950"/>
      <c r="LEG119" s="950"/>
      <c r="LEH119" s="950"/>
      <c r="LEI119" s="950"/>
      <c r="LEJ119" s="950"/>
      <c r="LEK119" s="950"/>
      <c r="LEL119" s="950"/>
      <c r="LEM119" s="950"/>
      <c r="LEN119" s="950"/>
      <c r="LEO119" s="950"/>
      <c r="LEP119" s="950"/>
      <c r="LEQ119" s="950"/>
      <c r="LER119" s="950"/>
      <c r="LES119" s="950"/>
      <c r="LET119" s="950"/>
      <c r="LEU119" s="950"/>
      <c r="LEV119" s="950"/>
      <c r="LEW119" s="950"/>
      <c r="LEX119" s="950"/>
      <c r="LEY119" s="950"/>
      <c r="LEZ119" s="950"/>
      <c r="LFA119" s="950"/>
      <c r="LFB119" s="950"/>
      <c r="LFC119" s="950"/>
      <c r="LFD119" s="950"/>
      <c r="LFE119" s="950"/>
      <c r="LFF119" s="950"/>
      <c r="LFG119" s="950"/>
      <c r="LFH119" s="950"/>
      <c r="LFI119" s="950"/>
      <c r="LFJ119" s="950"/>
      <c r="LFK119" s="950"/>
      <c r="LFL119" s="950"/>
      <c r="LFM119" s="950"/>
      <c r="LFN119" s="950"/>
      <c r="LFO119" s="950"/>
      <c r="LFP119" s="950"/>
      <c r="LFQ119" s="950"/>
      <c r="LFR119" s="950"/>
      <c r="LFS119" s="950"/>
      <c r="LFT119" s="950"/>
      <c r="LFU119" s="950"/>
      <c r="LFV119" s="950"/>
      <c r="LFW119" s="950"/>
      <c r="LFX119" s="950"/>
      <c r="LFY119" s="950"/>
      <c r="LFZ119" s="950"/>
      <c r="LGA119" s="950"/>
      <c r="LGB119" s="950"/>
      <c r="LGC119" s="950"/>
      <c r="LGD119" s="950"/>
      <c r="LGE119" s="950"/>
      <c r="LGF119" s="950"/>
      <c r="LGG119" s="950"/>
      <c r="LGH119" s="950"/>
      <c r="LGI119" s="950"/>
      <c r="LGJ119" s="950"/>
      <c r="LGK119" s="950"/>
      <c r="LGL119" s="950"/>
      <c r="LGM119" s="950"/>
      <c r="LGN119" s="950"/>
      <c r="LGO119" s="950"/>
      <c r="LGP119" s="950"/>
      <c r="LGQ119" s="950"/>
      <c r="LGR119" s="950"/>
      <c r="LGS119" s="950"/>
      <c r="LGT119" s="950"/>
      <c r="LGU119" s="950"/>
      <c r="LGV119" s="950"/>
      <c r="LGW119" s="950"/>
      <c r="LGX119" s="950"/>
      <c r="LGY119" s="950"/>
      <c r="LGZ119" s="950"/>
      <c r="LHA119" s="950"/>
      <c r="LHB119" s="950"/>
      <c r="LHC119" s="950"/>
      <c r="LHD119" s="950"/>
      <c r="LHE119" s="950"/>
      <c r="LHF119" s="950"/>
      <c r="LHG119" s="950"/>
      <c r="LHH119" s="950"/>
      <c r="LHI119" s="950"/>
      <c r="LHJ119" s="950"/>
      <c r="LHK119" s="950"/>
      <c r="LHL119" s="950"/>
      <c r="LHM119" s="950"/>
      <c r="LHN119" s="950"/>
      <c r="LHO119" s="950"/>
      <c r="LHP119" s="950"/>
      <c r="LHQ119" s="950"/>
      <c r="LHR119" s="950"/>
      <c r="LHS119" s="950"/>
      <c r="LHT119" s="950"/>
      <c r="LHU119" s="950"/>
      <c r="LHV119" s="950"/>
      <c r="LHW119" s="950"/>
      <c r="LHX119" s="950"/>
      <c r="LHY119" s="950"/>
      <c r="LHZ119" s="950"/>
      <c r="LIA119" s="950"/>
      <c r="LIB119" s="950"/>
      <c r="LIC119" s="950"/>
      <c r="LID119" s="950"/>
      <c r="LIE119" s="950"/>
      <c r="LIF119" s="950"/>
      <c r="LIG119" s="950"/>
      <c r="LIH119" s="950"/>
      <c r="LII119" s="950"/>
      <c r="LIJ119" s="950"/>
      <c r="LIK119" s="950"/>
      <c r="LIL119" s="950"/>
      <c r="LIM119" s="950"/>
      <c r="LIN119" s="950"/>
      <c r="LIO119" s="950"/>
      <c r="LIP119" s="950"/>
      <c r="LIQ119" s="950"/>
      <c r="LIR119" s="950"/>
      <c r="LIS119" s="950"/>
      <c r="LIT119" s="950"/>
      <c r="LIU119" s="950"/>
      <c r="LIV119" s="950"/>
      <c r="LIW119" s="950"/>
      <c r="LIX119" s="950"/>
      <c r="LIY119" s="950"/>
      <c r="LIZ119" s="950"/>
      <c r="LJA119" s="950"/>
      <c r="LJB119" s="950"/>
      <c r="LJC119" s="950"/>
      <c r="LJD119" s="950"/>
      <c r="LJE119" s="950"/>
      <c r="LJF119" s="950"/>
      <c r="LJG119" s="950"/>
      <c r="LJH119" s="950"/>
      <c r="LJI119" s="950"/>
      <c r="LJJ119" s="950"/>
      <c r="LJK119" s="950"/>
      <c r="LJL119" s="950"/>
      <c r="LJM119" s="950"/>
      <c r="LJN119" s="950"/>
      <c r="LJO119" s="950"/>
      <c r="LJP119" s="950"/>
      <c r="LJQ119" s="950"/>
      <c r="LJR119" s="950"/>
      <c r="LJS119" s="950"/>
      <c r="LJT119" s="950"/>
      <c r="LJU119" s="950"/>
      <c r="LJV119" s="950"/>
      <c r="LJW119" s="950"/>
      <c r="LJX119" s="950"/>
      <c r="LJY119" s="950"/>
      <c r="LJZ119" s="950"/>
      <c r="LKA119" s="950"/>
      <c r="LKB119" s="950"/>
      <c r="LKC119" s="950"/>
      <c r="LKD119" s="950"/>
      <c r="LKE119" s="950"/>
      <c r="LKF119" s="950"/>
      <c r="LKG119" s="950"/>
      <c r="LKH119" s="950"/>
      <c r="LKI119" s="950"/>
      <c r="LKJ119" s="950"/>
      <c r="LKK119" s="950"/>
      <c r="LKL119" s="950"/>
      <c r="LKM119" s="950"/>
      <c r="LKN119" s="950"/>
      <c r="LKO119" s="950"/>
      <c r="LKP119" s="950"/>
      <c r="LKQ119" s="950"/>
      <c r="LKR119" s="950"/>
      <c r="LKS119" s="950"/>
      <c r="LKT119" s="950"/>
      <c r="LKU119" s="950"/>
      <c r="LKV119" s="950"/>
      <c r="LKW119" s="950"/>
      <c r="LKX119" s="950"/>
      <c r="LKY119" s="950"/>
      <c r="LKZ119" s="950"/>
      <c r="LLA119" s="950"/>
      <c r="LLB119" s="950"/>
      <c r="LLC119" s="950"/>
      <c r="LLD119" s="950"/>
      <c r="LLE119" s="950"/>
      <c r="LLF119" s="950"/>
      <c r="LLG119" s="950"/>
      <c r="LLH119" s="950"/>
      <c r="LLI119" s="950"/>
      <c r="LLJ119" s="950"/>
      <c r="LLK119" s="950"/>
      <c r="LLL119" s="950"/>
      <c r="LLM119" s="950"/>
      <c r="LLN119" s="950"/>
      <c r="LLO119" s="950"/>
      <c r="LLP119" s="950"/>
      <c r="LLQ119" s="950"/>
      <c r="LLR119" s="950"/>
      <c r="LLS119" s="950"/>
      <c r="LLT119" s="950"/>
      <c r="LLU119" s="950"/>
      <c r="LLV119" s="950"/>
      <c r="LLW119" s="950"/>
      <c r="LLX119" s="950"/>
      <c r="LLY119" s="950"/>
      <c r="LLZ119" s="950"/>
      <c r="LMA119" s="950"/>
      <c r="LMB119" s="950"/>
      <c r="LMC119" s="950"/>
      <c r="LMD119" s="950"/>
      <c r="LME119" s="950"/>
      <c r="LMF119" s="950"/>
      <c r="LMG119" s="950"/>
      <c r="LMH119" s="950"/>
      <c r="LMI119" s="950"/>
      <c r="LMJ119" s="950"/>
      <c r="LMK119" s="950"/>
      <c r="LML119" s="950"/>
      <c r="LMM119" s="950"/>
      <c r="LMN119" s="950"/>
      <c r="LMO119" s="950"/>
      <c r="LMP119" s="950"/>
      <c r="LMQ119" s="950"/>
      <c r="LMR119" s="950"/>
      <c r="LMS119" s="950"/>
      <c r="LMT119" s="950"/>
      <c r="LMU119" s="950"/>
      <c r="LMV119" s="950"/>
      <c r="LMW119" s="950"/>
      <c r="LMX119" s="950"/>
      <c r="LMY119" s="950"/>
      <c r="LMZ119" s="950"/>
      <c r="LNA119" s="950"/>
      <c r="LNB119" s="950"/>
      <c r="LNC119" s="950"/>
      <c r="LND119" s="950"/>
      <c r="LNE119" s="950"/>
      <c r="LNF119" s="950"/>
      <c r="LNG119" s="950"/>
      <c r="LNH119" s="950"/>
      <c r="LNI119" s="950"/>
      <c r="LNJ119" s="950"/>
      <c r="LNK119" s="950"/>
      <c r="LNL119" s="950"/>
      <c r="LNM119" s="950"/>
      <c r="LNN119" s="950"/>
      <c r="LNO119" s="950"/>
      <c r="LNP119" s="950"/>
      <c r="LNQ119" s="950"/>
      <c r="LNR119" s="950"/>
      <c r="LNS119" s="950"/>
      <c r="LNT119" s="950"/>
      <c r="LNU119" s="950"/>
      <c r="LNV119" s="950"/>
      <c r="LNW119" s="950"/>
      <c r="LNX119" s="950"/>
      <c r="LNY119" s="950"/>
      <c r="LNZ119" s="950"/>
      <c r="LOA119" s="950"/>
      <c r="LOB119" s="950"/>
      <c r="LOC119" s="950"/>
      <c r="LOD119" s="950"/>
      <c r="LOE119" s="950"/>
      <c r="LOF119" s="950"/>
      <c r="LOG119" s="950"/>
      <c r="LOH119" s="950"/>
      <c r="LOI119" s="950"/>
      <c r="LOJ119" s="950"/>
      <c r="LOK119" s="950"/>
      <c r="LOL119" s="950"/>
      <c r="LOM119" s="950"/>
      <c r="LON119" s="950"/>
      <c r="LOO119" s="950"/>
      <c r="LOP119" s="950"/>
      <c r="LOQ119" s="950"/>
      <c r="LOR119" s="950"/>
      <c r="LOS119" s="950"/>
      <c r="LOT119" s="950"/>
      <c r="LOU119" s="950"/>
      <c r="LOV119" s="950"/>
      <c r="LOW119" s="950"/>
      <c r="LOX119" s="950"/>
      <c r="LOY119" s="950"/>
      <c r="LOZ119" s="950"/>
      <c r="LPA119" s="950"/>
      <c r="LPB119" s="950"/>
      <c r="LPC119" s="950"/>
      <c r="LPD119" s="950"/>
      <c r="LPE119" s="950"/>
      <c r="LPF119" s="950"/>
      <c r="LPG119" s="950"/>
      <c r="LPH119" s="950"/>
      <c r="LPI119" s="950"/>
      <c r="LPJ119" s="950"/>
      <c r="LPK119" s="950"/>
      <c r="LPL119" s="950"/>
      <c r="LPM119" s="950"/>
      <c r="LPN119" s="950"/>
      <c r="LPO119" s="950"/>
      <c r="LPP119" s="950"/>
      <c r="LPQ119" s="950"/>
      <c r="LPR119" s="950"/>
      <c r="LPS119" s="950"/>
      <c r="LPT119" s="950"/>
      <c r="LPU119" s="950"/>
      <c r="LPV119" s="950"/>
      <c r="LPW119" s="950"/>
      <c r="LPX119" s="950"/>
      <c r="LPY119" s="950"/>
      <c r="LPZ119" s="950"/>
      <c r="LQA119" s="950"/>
      <c r="LQB119" s="950"/>
      <c r="LQC119" s="950"/>
      <c r="LQD119" s="950"/>
      <c r="LQE119" s="950"/>
      <c r="LQF119" s="950"/>
      <c r="LQG119" s="950"/>
      <c r="LQH119" s="950"/>
      <c r="LQI119" s="950"/>
      <c r="LQJ119" s="950"/>
      <c r="LQK119" s="950"/>
      <c r="LQL119" s="950"/>
      <c r="LQM119" s="950"/>
      <c r="LQN119" s="950"/>
      <c r="LQO119" s="950"/>
      <c r="LQP119" s="950"/>
      <c r="LQQ119" s="950"/>
      <c r="LQR119" s="950"/>
      <c r="LQS119" s="950"/>
      <c r="LQT119" s="950"/>
      <c r="LQU119" s="950"/>
      <c r="LQV119" s="950"/>
      <c r="LQW119" s="950"/>
      <c r="LQX119" s="950"/>
      <c r="LQY119" s="950"/>
      <c r="LQZ119" s="950"/>
      <c r="LRA119" s="950"/>
      <c r="LRB119" s="950"/>
      <c r="LRC119" s="950"/>
      <c r="LRD119" s="950"/>
      <c r="LRE119" s="950"/>
      <c r="LRF119" s="950"/>
      <c r="LRG119" s="950"/>
      <c r="LRH119" s="950"/>
      <c r="LRI119" s="950"/>
      <c r="LRJ119" s="950"/>
      <c r="LRK119" s="950"/>
      <c r="LRL119" s="950"/>
      <c r="LRM119" s="950"/>
      <c r="LRN119" s="950"/>
      <c r="LRO119" s="950"/>
      <c r="LRP119" s="950"/>
      <c r="LRQ119" s="950"/>
      <c r="LRR119" s="950"/>
      <c r="LRS119" s="950"/>
      <c r="LRT119" s="950"/>
      <c r="LRU119" s="950"/>
      <c r="LRV119" s="950"/>
      <c r="LRW119" s="950"/>
      <c r="LRX119" s="950"/>
      <c r="LRY119" s="950"/>
      <c r="LRZ119" s="950"/>
      <c r="LSA119" s="950"/>
      <c r="LSB119" s="950"/>
      <c r="LSC119" s="950"/>
      <c r="LSD119" s="950"/>
      <c r="LSE119" s="950"/>
      <c r="LSF119" s="950"/>
      <c r="LSG119" s="950"/>
      <c r="LSH119" s="950"/>
      <c r="LSI119" s="950"/>
      <c r="LSJ119" s="950"/>
      <c r="LSK119" s="950"/>
      <c r="LSL119" s="950"/>
      <c r="LSM119" s="950"/>
      <c r="LSN119" s="950"/>
      <c r="LSO119" s="950"/>
      <c r="LSP119" s="950"/>
      <c r="LSQ119" s="950"/>
      <c r="LSR119" s="950"/>
      <c r="LSS119" s="950"/>
      <c r="LST119" s="950"/>
      <c r="LSU119" s="950"/>
      <c r="LSV119" s="950"/>
      <c r="LSW119" s="950"/>
      <c r="LSX119" s="950"/>
      <c r="LSY119" s="950"/>
      <c r="LSZ119" s="950"/>
      <c r="LTA119" s="950"/>
      <c r="LTB119" s="950"/>
      <c r="LTC119" s="950"/>
      <c r="LTD119" s="950"/>
      <c r="LTE119" s="950"/>
      <c r="LTF119" s="950"/>
      <c r="LTG119" s="950"/>
      <c r="LTH119" s="950"/>
      <c r="LTI119" s="950"/>
      <c r="LTJ119" s="950"/>
      <c r="LTK119" s="950"/>
      <c r="LTL119" s="950"/>
      <c r="LTM119" s="950"/>
      <c r="LTN119" s="950"/>
      <c r="LTO119" s="950"/>
      <c r="LTP119" s="950"/>
      <c r="LTQ119" s="950"/>
      <c r="LTR119" s="950"/>
      <c r="LTS119" s="950"/>
      <c r="LTT119" s="950"/>
      <c r="LTU119" s="950"/>
      <c r="LTV119" s="950"/>
      <c r="LTW119" s="950"/>
      <c r="LTX119" s="950"/>
      <c r="LTY119" s="950"/>
      <c r="LTZ119" s="950"/>
      <c r="LUA119" s="950"/>
      <c r="LUB119" s="950"/>
      <c r="LUC119" s="950"/>
      <c r="LUD119" s="950"/>
      <c r="LUE119" s="950"/>
      <c r="LUF119" s="950"/>
      <c r="LUG119" s="950"/>
      <c r="LUH119" s="950"/>
      <c r="LUI119" s="950"/>
      <c r="LUJ119" s="950"/>
      <c r="LUK119" s="950"/>
      <c r="LUL119" s="950"/>
      <c r="LUM119" s="950"/>
      <c r="LUN119" s="950"/>
      <c r="LUO119" s="950"/>
      <c r="LUP119" s="950"/>
      <c r="LUQ119" s="950"/>
      <c r="LUR119" s="950"/>
      <c r="LUS119" s="950"/>
      <c r="LUT119" s="950"/>
      <c r="LUU119" s="950"/>
      <c r="LUV119" s="950"/>
      <c r="LUW119" s="950"/>
      <c r="LUX119" s="950"/>
      <c r="LUY119" s="950"/>
      <c r="LUZ119" s="950"/>
      <c r="LVA119" s="950"/>
      <c r="LVB119" s="950"/>
      <c r="LVC119" s="950"/>
      <c r="LVD119" s="950"/>
      <c r="LVE119" s="950"/>
      <c r="LVF119" s="950"/>
      <c r="LVG119" s="950"/>
      <c r="LVH119" s="950"/>
      <c r="LVI119" s="950"/>
      <c r="LVJ119" s="950"/>
      <c r="LVK119" s="950"/>
      <c r="LVL119" s="950"/>
      <c r="LVM119" s="950"/>
      <c r="LVN119" s="950"/>
      <c r="LVO119" s="950"/>
      <c r="LVP119" s="950"/>
      <c r="LVQ119" s="950"/>
      <c r="LVR119" s="950"/>
      <c r="LVS119" s="950"/>
      <c r="LVT119" s="950"/>
      <c r="LVU119" s="950"/>
      <c r="LVV119" s="950"/>
      <c r="LVW119" s="950"/>
      <c r="LVX119" s="950"/>
      <c r="LVY119" s="950"/>
      <c r="LVZ119" s="950"/>
      <c r="LWA119" s="950"/>
      <c r="LWB119" s="950"/>
      <c r="LWC119" s="950"/>
      <c r="LWD119" s="950"/>
      <c r="LWE119" s="950"/>
      <c r="LWF119" s="950"/>
      <c r="LWG119" s="950"/>
      <c r="LWH119" s="950"/>
      <c r="LWI119" s="950"/>
      <c r="LWJ119" s="950"/>
      <c r="LWK119" s="950"/>
      <c r="LWL119" s="950"/>
      <c r="LWM119" s="950"/>
      <c r="LWN119" s="950"/>
      <c r="LWO119" s="950"/>
      <c r="LWP119" s="950"/>
      <c r="LWQ119" s="950"/>
      <c r="LWR119" s="950"/>
      <c r="LWS119" s="950"/>
      <c r="LWT119" s="950"/>
      <c r="LWU119" s="950"/>
      <c r="LWV119" s="950"/>
      <c r="LWW119" s="950"/>
      <c r="LWX119" s="950"/>
      <c r="LWY119" s="950"/>
      <c r="LWZ119" s="950"/>
      <c r="LXA119" s="950"/>
      <c r="LXB119" s="950"/>
      <c r="LXC119" s="950"/>
      <c r="LXD119" s="950"/>
      <c r="LXE119" s="950"/>
      <c r="LXF119" s="950"/>
      <c r="LXG119" s="950"/>
      <c r="LXH119" s="950"/>
      <c r="LXI119" s="950"/>
      <c r="LXJ119" s="950"/>
      <c r="LXK119" s="950"/>
      <c r="LXL119" s="950"/>
      <c r="LXM119" s="950"/>
      <c r="LXN119" s="950"/>
      <c r="LXO119" s="950"/>
      <c r="LXP119" s="950"/>
      <c r="LXQ119" s="950"/>
      <c r="LXR119" s="950"/>
      <c r="LXS119" s="950"/>
      <c r="LXT119" s="950"/>
      <c r="LXU119" s="950"/>
      <c r="LXV119" s="950"/>
      <c r="LXW119" s="950"/>
      <c r="LXX119" s="950"/>
      <c r="LXY119" s="950"/>
      <c r="LXZ119" s="950"/>
      <c r="LYA119" s="950"/>
      <c r="LYB119" s="950"/>
      <c r="LYC119" s="950"/>
      <c r="LYD119" s="950"/>
      <c r="LYE119" s="950"/>
      <c r="LYF119" s="950"/>
      <c r="LYG119" s="950"/>
      <c r="LYH119" s="950"/>
      <c r="LYI119" s="950"/>
      <c r="LYJ119" s="950"/>
      <c r="LYK119" s="950"/>
      <c r="LYL119" s="950"/>
      <c r="LYM119" s="950"/>
      <c r="LYN119" s="950"/>
      <c r="LYO119" s="950"/>
      <c r="LYP119" s="950"/>
      <c r="LYQ119" s="950"/>
      <c r="LYR119" s="950"/>
      <c r="LYS119" s="950"/>
      <c r="LYT119" s="950"/>
      <c r="LYU119" s="950"/>
      <c r="LYV119" s="950"/>
      <c r="LYW119" s="950"/>
      <c r="LYX119" s="950"/>
      <c r="LYY119" s="950"/>
      <c r="LYZ119" s="950"/>
      <c r="LZA119" s="950"/>
      <c r="LZB119" s="950"/>
      <c r="LZC119" s="950"/>
      <c r="LZD119" s="950"/>
      <c r="LZE119" s="950"/>
      <c r="LZF119" s="950"/>
      <c r="LZG119" s="950"/>
      <c r="LZH119" s="950"/>
      <c r="LZI119" s="950"/>
      <c r="LZJ119" s="950"/>
      <c r="LZK119" s="950"/>
      <c r="LZL119" s="950"/>
      <c r="LZM119" s="950"/>
      <c r="LZN119" s="950"/>
      <c r="LZO119" s="950"/>
      <c r="LZP119" s="950"/>
      <c r="LZQ119" s="950"/>
      <c r="LZR119" s="950"/>
      <c r="LZS119" s="950"/>
      <c r="LZT119" s="950"/>
      <c r="LZU119" s="950"/>
      <c r="LZV119" s="950"/>
      <c r="LZW119" s="950"/>
      <c r="LZX119" s="950"/>
      <c r="LZY119" s="950"/>
      <c r="LZZ119" s="950"/>
      <c r="MAA119" s="950"/>
      <c r="MAB119" s="950"/>
      <c r="MAC119" s="950"/>
      <c r="MAD119" s="950"/>
      <c r="MAE119" s="950"/>
      <c r="MAF119" s="950"/>
      <c r="MAG119" s="950"/>
      <c r="MAH119" s="950"/>
      <c r="MAI119" s="950"/>
      <c r="MAJ119" s="950"/>
      <c r="MAK119" s="950"/>
      <c r="MAL119" s="950"/>
      <c r="MAM119" s="950"/>
      <c r="MAN119" s="950"/>
      <c r="MAO119" s="950"/>
      <c r="MAP119" s="950"/>
      <c r="MAQ119" s="950"/>
      <c r="MAR119" s="950"/>
      <c r="MAS119" s="950"/>
      <c r="MAT119" s="950"/>
      <c r="MAU119" s="950"/>
      <c r="MAV119" s="950"/>
      <c r="MAW119" s="950"/>
      <c r="MAX119" s="950"/>
      <c r="MAY119" s="950"/>
      <c r="MAZ119" s="950"/>
      <c r="MBA119" s="950"/>
      <c r="MBB119" s="950"/>
      <c r="MBC119" s="950"/>
      <c r="MBD119" s="950"/>
      <c r="MBE119" s="950"/>
      <c r="MBF119" s="950"/>
      <c r="MBG119" s="950"/>
      <c r="MBH119" s="950"/>
      <c r="MBI119" s="950"/>
      <c r="MBJ119" s="950"/>
      <c r="MBK119" s="950"/>
      <c r="MBL119" s="950"/>
      <c r="MBM119" s="950"/>
      <c r="MBN119" s="950"/>
      <c r="MBO119" s="950"/>
      <c r="MBP119" s="950"/>
      <c r="MBQ119" s="950"/>
      <c r="MBR119" s="950"/>
      <c r="MBS119" s="950"/>
      <c r="MBT119" s="950"/>
      <c r="MBU119" s="950"/>
      <c r="MBV119" s="950"/>
      <c r="MBW119" s="950"/>
      <c r="MBX119" s="950"/>
      <c r="MBY119" s="950"/>
      <c r="MBZ119" s="950"/>
      <c r="MCA119" s="950"/>
      <c r="MCB119" s="950"/>
      <c r="MCC119" s="950"/>
      <c r="MCD119" s="950"/>
      <c r="MCE119" s="950"/>
      <c r="MCF119" s="950"/>
      <c r="MCG119" s="950"/>
      <c r="MCH119" s="950"/>
      <c r="MCI119" s="950"/>
      <c r="MCJ119" s="950"/>
      <c r="MCK119" s="950"/>
      <c r="MCL119" s="950"/>
      <c r="MCM119" s="950"/>
      <c r="MCN119" s="950"/>
      <c r="MCO119" s="950"/>
      <c r="MCP119" s="950"/>
      <c r="MCQ119" s="950"/>
      <c r="MCR119" s="950"/>
      <c r="MCS119" s="950"/>
      <c r="MCT119" s="950"/>
      <c r="MCU119" s="950"/>
      <c r="MCV119" s="950"/>
      <c r="MCW119" s="950"/>
      <c r="MCX119" s="950"/>
      <c r="MCY119" s="950"/>
      <c r="MCZ119" s="950"/>
      <c r="MDA119" s="950"/>
      <c r="MDB119" s="950"/>
      <c r="MDC119" s="950"/>
      <c r="MDD119" s="950"/>
      <c r="MDE119" s="950"/>
      <c r="MDF119" s="950"/>
      <c r="MDG119" s="950"/>
      <c r="MDH119" s="950"/>
      <c r="MDI119" s="950"/>
      <c r="MDJ119" s="950"/>
      <c r="MDK119" s="950"/>
      <c r="MDL119" s="950"/>
      <c r="MDM119" s="950"/>
      <c r="MDN119" s="950"/>
      <c r="MDO119" s="950"/>
      <c r="MDP119" s="950"/>
      <c r="MDQ119" s="950"/>
      <c r="MDR119" s="950"/>
      <c r="MDS119" s="950"/>
      <c r="MDT119" s="950"/>
      <c r="MDU119" s="950"/>
      <c r="MDV119" s="950"/>
      <c r="MDW119" s="950"/>
      <c r="MDX119" s="950"/>
      <c r="MDY119" s="950"/>
      <c r="MDZ119" s="950"/>
      <c r="MEA119" s="950"/>
      <c r="MEB119" s="950"/>
      <c r="MEC119" s="950"/>
      <c r="MED119" s="950"/>
      <c r="MEE119" s="950"/>
      <c r="MEF119" s="950"/>
      <c r="MEG119" s="950"/>
      <c r="MEH119" s="950"/>
      <c r="MEI119" s="950"/>
      <c r="MEJ119" s="950"/>
      <c r="MEK119" s="950"/>
      <c r="MEL119" s="950"/>
      <c r="MEM119" s="950"/>
      <c r="MEN119" s="950"/>
      <c r="MEO119" s="950"/>
      <c r="MEP119" s="950"/>
      <c r="MEQ119" s="950"/>
      <c r="MER119" s="950"/>
      <c r="MES119" s="950"/>
      <c r="MET119" s="950"/>
      <c r="MEU119" s="950"/>
      <c r="MEV119" s="950"/>
      <c r="MEW119" s="950"/>
      <c r="MEX119" s="950"/>
      <c r="MEY119" s="950"/>
      <c r="MEZ119" s="950"/>
      <c r="MFA119" s="950"/>
      <c r="MFB119" s="950"/>
      <c r="MFC119" s="950"/>
      <c r="MFD119" s="950"/>
      <c r="MFE119" s="950"/>
      <c r="MFF119" s="950"/>
      <c r="MFG119" s="950"/>
      <c r="MFH119" s="950"/>
      <c r="MFI119" s="950"/>
      <c r="MFJ119" s="950"/>
      <c r="MFK119" s="950"/>
      <c r="MFL119" s="950"/>
      <c r="MFM119" s="950"/>
      <c r="MFN119" s="950"/>
      <c r="MFO119" s="950"/>
      <c r="MFP119" s="950"/>
      <c r="MFQ119" s="950"/>
      <c r="MFR119" s="950"/>
      <c r="MFS119" s="950"/>
      <c r="MFT119" s="950"/>
      <c r="MFU119" s="950"/>
      <c r="MFV119" s="950"/>
      <c r="MFW119" s="950"/>
      <c r="MFX119" s="950"/>
      <c r="MFY119" s="950"/>
      <c r="MFZ119" s="950"/>
      <c r="MGA119" s="950"/>
      <c r="MGB119" s="950"/>
      <c r="MGC119" s="950"/>
      <c r="MGD119" s="950"/>
      <c r="MGE119" s="950"/>
      <c r="MGF119" s="950"/>
      <c r="MGG119" s="950"/>
      <c r="MGH119" s="950"/>
      <c r="MGI119" s="950"/>
      <c r="MGJ119" s="950"/>
      <c r="MGK119" s="950"/>
      <c r="MGL119" s="950"/>
      <c r="MGM119" s="950"/>
      <c r="MGN119" s="950"/>
      <c r="MGO119" s="950"/>
      <c r="MGP119" s="950"/>
      <c r="MGQ119" s="950"/>
      <c r="MGR119" s="950"/>
      <c r="MGS119" s="950"/>
      <c r="MGT119" s="950"/>
      <c r="MGU119" s="950"/>
      <c r="MGV119" s="950"/>
      <c r="MGW119" s="950"/>
      <c r="MGX119" s="950"/>
      <c r="MGY119" s="950"/>
      <c r="MGZ119" s="950"/>
      <c r="MHA119" s="950"/>
      <c r="MHB119" s="950"/>
      <c r="MHC119" s="950"/>
      <c r="MHD119" s="950"/>
      <c r="MHE119" s="950"/>
      <c r="MHF119" s="950"/>
      <c r="MHG119" s="950"/>
      <c r="MHH119" s="950"/>
      <c r="MHI119" s="950"/>
      <c r="MHJ119" s="950"/>
      <c r="MHK119" s="950"/>
      <c r="MHL119" s="950"/>
      <c r="MHM119" s="950"/>
      <c r="MHN119" s="950"/>
      <c r="MHO119" s="950"/>
      <c r="MHP119" s="950"/>
      <c r="MHQ119" s="950"/>
      <c r="MHR119" s="950"/>
      <c r="MHS119" s="950"/>
      <c r="MHT119" s="950"/>
      <c r="MHU119" s="950"/>
      <c r="MHV119" s="950"/>
      <c r="MHW119" s="950"/>
      <c r="MHX119" s="950"/>
      <c r="MHY119" s="950"/>
      <c r="MHZ119" s="950"/>
      <c r="MIA119" s="950"/>
      <c r="MIB119" s="950"/>
      <c r="MIC119" s="950"/>
      <c r="MID119" s="950"/>
      <c r="MIE119" s="950"/>
      <c r="MIF119" s="950"/>
      <c r="MIG119" s="950"/>
      <c r="MIH119" s="950"/>
      <c r="MII119" s="950"/>
      <c r="MIJ119" s="950"/>
      <c r="MIK119" s="950"/>
      <c r="MIL119" s="950"/>
      <c r="MIM119" s="950"/>
      <c r="MIN119" s="950"/>
      <c r="MIO119" s="950"/>
      <c r="MIP119" s="950"/>
      <c r="MIQ119" s="950"/>
      <c r="MIR119" s="950"/>
      <c r="MIS119" s="950"/>
      <c r="MIT119" s="950"/>
      <c r="MIU119" s="950"/>
      <c r="MIV119" s="950"/>
      <c r="MIW119" s="950"/>
      <c r="MIX119" s="950"/>
      <c r="MIY119" s="950"/>
      <c r="MIZ119" s="950"/>
      <c r="MJA119" s="950"/>
      <c r="MJB119" s="950"/>
      <c r="MJC119" s="950"/>
      <c r="MJD119" s="950"/>
      <c r="MJE119" s="950"/>
      <c r="MJF119" s="950"/>
      <c r="MJG119" s="950"/>
      <c r="MJH119" s="950"/>
      <c r="MJI119" s="950"/>
      <c r="MJJ119" s="950"/>
      <c r="MJK119" s="950"/>
      <c r="MJL119" s="950"/>
      <c r="MJM119" s="950"/>
      <c r="MJN119" s="950"/>
      <c r="MJO119" s="950"/>
      <c r="MJP119" s="950"/>
      <c r="MJQ119" s="950"/>
      <c r="MJR119" s="950"/>
      <c r="MJS119" s="950"/>
      <c r="MJT119" s="950"/>
      <c r="MJU119" s="950"/>
      <c r="MJV119" s="950"/>
      <c r="MJW119" s="950"/>
      <c r="MJX119" s="950"/>
      <c r="MJY119" s="950"/>
      <c r="MJZ119" s="950"/>
      <c r="MKA119" s="950"/>
      <c r="MKB119" s="950"/>
      <c r="MKC119" s="950"/>
      <c r="MKD119" s="950"/>
      <c r="MKE119" s="950"/>
      <c r="MKF119" s="950"/>
      <c r="MKG119" s="950"/>
      <c r="MKH119" s="950"/>
      <c r="MKI119" s="950"/>
      <c r="MKJ119" s="950"/>
      <c r="MKK119" s="950"/>
      <c r="MKL119" s="950"/>
      <c r="MKM119" s="950"/>
      <c r="MKN119" s="950"/>
      <c r="MKO119" s="950"/>
      <c r="MKP119" s="950"/>
      <c r="MKQ119" s="950"/>
      <c r="MKR119" s="950"/>
      <c r="MKS119" s="950"/>
      <c r="MKT119" s="950"/>
      <c r="MKU119" s="950"/>
      <c r="MKV119" s="950"/>
      <c r="MKW119" s="950"/>
      <c r="MKX119" s="950"/>
      <c r="MKY119" s="950"/>
      <c r="MKZ119" s="950"/>
      <c r="MLA119" s="950"/>
      <c r="MLB119" s="950"/>
      <c r="MLC119" s="950"/>
      <c r="MLD119" s="950"/>
      <c r="MLE119" s="950"/>
      <c r="MLF119" s="950"/>
      <c r="MLG119" s="950"/>
      <c r="MLH119" s="950"/>
      <c r="MLI119" s="950"/>
      <c r="MLJ119" s="950"/>
      <c r="MLK119" s="950"/>
      <c r="MLL119" s="950"/>
      <c r="MLM119" s="950"/>
      <c r="MLN119" s="950"/>
      <c r="MLO119" s="950"/>
      <c r="MLP119" s="950"/>
      <c r="MLQ119" s="950"/>
      <c r="MLR119" s="950"/>
      <c r="MLS119" s="950"/>
      <c r="MLT119" s="950"/>
      <c r="MLU119" s="950"/>
      <c r="MLV119" s="950"/>
      <c r="MLW119" s="950"/>
      <c r="MLX119" s="950"/>
      <c r="MLY119" s="950"/>
      <c r="MLZ119" s="950"/>
      <c r="MMA119" s="950"/>
      <c r="MMB119" s="950"/>
      <c r="MMC119" s="950"/>
      <c r="MMD119" s="950"/>
      <c r="MME119" s="950"/>
      <c r="MMF119" s="950"/>
      <c r="MMG119" s="950"/>
      <c r="MMH119" s="950"/>
      <c r="MMI119" s="950"/>
      <c r="MMJ119" s="950"/>
      <c r="MMK119" s="950"/>
      <c r="MML119" s="950"/>
      <c r="MMM119" s="950"/>
      <c r="MMN119" s="950"/>
      <c r="MMO119" s="950"/>
      <c r="MMP119" s="950"/>
      <c r="MMQ119" s="950"/>
      <c r="MMR119" s="950"/>
      <c r="MMS119" s="950"/>
      <c r="MMT119" s="950"/>
      <c r="MMU119" s="950"/>
      <c r="MMV119" s="950"/>
      <c r="MMW119" s="950"/>
      <c r="MMX119" s="950"/>
      <c r="MMY119" s="950"/>
      <c r="MMZ119" s="950"/>
      <c r="MNA119" s="950"/>
      <c r="MNB119" s="950"/>
      <c r="MNC119" s="950"/>
      <c r="MND119" s="950"/>
      <c r="MNE119" s="950"/>
      <c r="MNF119" s="950"/>
      <c r="MNG119" s="950"/>
      <c r="MNH119" s="950"/>
      <c r="MNI119" s="950"/>
      <c r="MNJ119" s="950"/>
      <c r="MNK119" s="950"/>
      <c r="MNL119" s="950"/>
      <c r="MNM119" s="950"/>
      <c r="MNN119" s="950"/>
      <c r="MNO119" s="950"/>
      <c r="MNP119" s="950"/>
      <c r="MNQ119" s="950"/>
      <c r="MNR119" s="950"/>
      <c r="MNS119" s="950"/>
      <c r="MNT119" s="950"/>
      <c r="MNU119" s="950"/>
      <c r="MNV119" s="950"/>
      <c r="MNW119" s="950"/>
      <c r="MNX119" s="950"/>
      <c r="MNY119" s="950"/>
      <c r="MNZ119" s="950"/>
      <c r="MOA119" s="950"/>
      <c r="MOB119" s="950"/>
      <c r="MOC119" s="950"/>
      <c r="MOD119" s="950"/>
      <c r="MOE119" s="950"/>
      <c r="MOF119" s="950"/>
      <c r="MOG119" s="950"/>
      <c r="MOH119" s="950"/>
      <c r="MOI119" s="950"/>
      <c r="MOJ119" s="950"/>
      <c r="MOK119" s="950"/>
      <c r="MOL119" s="950"/>
      <c r="MOM119" s="950"/>
      <c r="MON119" s="950"/>
      <c r="MOO119" s="950"/>
      <c r="MOP119" s="950"/>
      <c r="MOQ119" s="950"/>
      <c r="MOR119" s="950"/>
      <c r="MOS119" s="950"/>
      <c r="MOT119" s="950"/>
      <c r="MOU119" s="950"/>
      <c r="MOV119" s="950"/>
      <c r="MOW119" s="950"/>
      <c r="MOX119" s="950"/>
      <c r="MOY119" s="950"/>
      <c r="MOZ119" s="950"/>
      <c r="MPA119" s="950"/>
      <c r="MPB119" s="950"/>
      <c r="MPC119" s="950"/>
      <c r="MPD119" s="950"/>
      <c r="MPE119" s="950"/>
      <c r="MPF119" s="950"/>
      <c r="MPG119" s="950"/>
      <c r="MPH119" s="950"/>
      <c r="MPI119" s="950"/>
      <c r="MPJ119" s="950"/>
      <c r="MPK119" s="950"/>
      <c r="MPL119" s="950"/>
      <c r="MPM119" s="950"/>
      <c r="MPN119" s="950"/>
      <c r="MPO119" s="950"/>
      <c r="MPP119" s="950"/>
      <c r="MPQ119" s="950"/>
      <c r="MPR119" s="950"/>
      <c r="MPS119" s="950"/>
      <c r="MPT119" s="950"/>
      <c r="MPU119" s="950"/>
      <c r="MPV119" s="950"/>
      <c r="MPW119" s="950"/>
      <c r="MPX119" s="950"/>
      <c r="MPY119" s="950"/>
      <c r="MPZ119" s="950"/>
      <c r="MQA119" s="950"/>
      <c r="MQB119" s="950"/>
      <c r="MQC119" s="950"/>
      <c r="MQD119" s="950"/>
      <c r="MQE119" s="950"/>
      <c r="MQF119" s="950"/>
      <c r="MQG119" s="950"/>
      <c r="MQH119" s="950"/>
      <c r="MQI119" s="950"/>
      <c r="MQJ119" s="950"/>
      <c r="MQK119" s="950"/>
      <c r="MQL119" s="950"/>
      <c r="MQM119" s="950"/>
      <c r="MQN119" s="950"/>
      <c r="MQO119" s="950"/>
      <c r="MQP119" s="950"/>
      <c r="MQQ119" s="950"/>
      <c r="MQR119" s="950"/>
      <c r="MQS119" s="950"/>
      <c r="MQT119" s="950"/>
      <c r="MQU119" s="950"/>
      <c r="MQV119" s="950"/>
      <c r="MQW119" s="950"/>
      <c r="MQX119" s="950"/>
      <c r="MQY119" s="950"/>
      <c r="MQZ119" s="950"/>
      <c r="MRA119" s="950"/>
      <c r="MRB119" s="950"/>
      <c r="MRC119" s="950"/>
      <c r="MRD119" s="950"/>
      <c r="MRE119" s="950"/>
      <c r="MRF119" s="950"/>
      <c r="MRG119" s="950"/>
      <c r="MRH119" s="950"/>
      <c r="MRI119" s="950"/>
      <c r="MRJ119" s="950"/>
      <c r="MRK119" s="950"/>
      <c r="MRL119" s="950"/>
      <c r="MRM119" s="950"/>
      <c r="MRN119" s="950"/>
      <c r="MRO119" s="950"/>
      <c r="MRP119" s="950"/>
      <c r="MRQ119" s="950"/>
      <c r="MRR119" s="950"/>
      <c r="MRS119" s="950"/>
      <c r="MRT119" s="950"/>
      <c r="MRU119" s="950"/>
      <c r="MRV119" s="950"/>
      <c r="MRW119" s="950"/>
      <c r="MRX119" s="950"/>
      <c r="MRY119" s="950"/>
      <c r="MRZ119" s="950"/>
      <c r="MSA119" s="950"/>
      <c r="MSB119" s="950"/>
      <c r="MSC119" s="950"/>
      <c r="MSD119" s="950"/>
      <c r="MSE119" s="950"/>
      <c r="MSF119" s="950"/>
      <c r="MSG119" s="950"/>
      <c r="MSH119" s="950"/>
      <c r="MSI119" s="950"/>
      <c r="MSJ119" s="950"/>
      <c r="MSK119" s="950"/>
      <c r="MSL119" s="950"/>
      <c r="MSM119" s="950"/>
      <c r="MSN119" s="950"/>
      <c r="MSO119" s="950"/>
      <c r="MSP119" s="950"/>
      <c r="MSQ119" s="950"/>
      <c r="MSR119" s="950"/>
      <c r="MSS119" s="950"/>
      <c r="MST119" s="950"/>
      <c r="MSU119" s="950"/>
      <c r="MSV119" s="950"/>
      <c r="MSW119" s="950"/>
      <c r="MSX119" s="950"/>
      <c r="MSY119" s="950"/>
      <c r="MSZ119" s="950"/>
      <c r="MTA119" s="950"/>
      <c r="MTB119" s="950"/>
      <c r="MTC119" s="950"/>
      <c r="MTD119" s="950"/>
      <c r="MTE119" s="950"/>
      <c r="MTF119" s="950"/>
      <c r="MTG119" s="950"/>
      <c r="MTH119" s="950"/>
      <c r="MTI119" s="950"/>
      <c r="MTJ119" s="950"/>
      <c r="MTK119" s="950"/>
      <c r="MTL119" s="950"/>
      <c r="MTM119" s="950"/>
      <c r="MTN119" s="950"/>
      <c r="MTO119" s="950"/>
      <c r="MTP119" s="950"/>
      <c r="MTQ119" s="950"/>
      <c r="MTR119" s="950"/>
      <c r="MTS119" s="950"/>
      <c r="MTT119" s="950"/>
      <c r="MTU119" s="950"/>
      <c r="MTV119" s="950"/>
      <c r="MTW119" s="950"/>
      <c r="MTX119" s="950"/>
      <c r="MTY119" s="950"/>
      <c r="MTZ119" s="950"/>
      <c r="MUA119" s="950"/>
      <c r="MUB119" s="950"/>
      <c r="MUC119" s="950"/>
      <c r="MUD119" s="950"/>
      <c r="MUE119" s="950"/>
      <c r="MUF119" s="950"/>
      <c r="MUG119" s="950"/>
      <c r="MUH119" s="950"/>
      <c r="MUI119" s="950"/>
      <c r="MUJ119" s="950"/>
      <c r="MUK119" s="950"/>
      <c r="MUL119" s="950"/>
      <c r="MUM119" s="950"/>
      <c r="MUN119" s="950"/>
      <c r="MUO119" s="950"/>
      <c r="MUP119" s="950"/>
      <c r="MUQ119" s="950"/>
      <c r="MUR119" s="950"/>
      <c r="MUS119" s="950"/>
      <c r="MUT119" s="950"/>
      <c r="MUU119" s="950"/>
      <c r="MUV119" s="950"/>
      <c r="MUW119" s="950"/>
      <c r="MUX119" s="950"/>
      <c r="MUY119" s="950"/>
      <c r="MUZ119" s="950"/>
      <c r="MVA119" s="950"/>
      <c r="MVB119" s="950"/>
      <c r="MVC119" s="950"/>
      <c r="MVD119" s="950"/>
      <c r="MVE119" s="950"/>
      <c r="MVF119" s="950"/>
      <c r="MVG119" s="950"/>
      <c r="MVH119" s="950"/>
      <c r="MVI119" s="950"/>
      <c r="MVJ119" s="950"/>
      <c r="MVK119" s="950"/>
      <c r="MVL119" s="950"/>
      <c r="MVM119" s="950"/>
      <c r="MVN119" s="950"/>
      <c r="MVO119" s="950"/>
      <c r="MVP119" s="950"/>
      <c r="MVQ119" s="950"/>
      <c r="MVR119" s="950"/>
      <c r="MVS119" s="950"/>
      <c r="MVT119" s="950"/>
      <c r="MVU119" s="950"/>
      <c r="MVV119" s="950"/>
      <c r="MVW119" s="950"/>
      <c r="MVX119" s="950"/>
      <c r="MVY119" s="950"/>
      <c r="MVZ119" s="950"/>
      <c r="MWA119" s="950"/>
      <c r="MWB119" s="950"/>
      <c r="MWC119" s="950"/>
      <c r="MWD119" s="950"/>
      <c r="MWE119" s="950"/>
      <c r="MWF119" s="950"/>
      <c r="MWG119" s="950"/>
      <c r="MWH119" s="950"/>
      <c r="MWI119" s="950"/>
      <c r="MWJ119" s="950"/>
      <c r="MWK119" s="950"/>
      <c r="MWL119" s="950"/>
      <c r="MWM119" s="950"/>
      <c r="MWN119" s="950"/>
      <c r="MWO119" s="950"/>
      <c r="MWP119" s="950"/>
      <c r="MWQ119" s="950"/>
      <c r="MWR119" s="950"/>
      <c r="MWS119" s="950"/>
      <c r="MWT119" s="950"/>
      <c r="MWU119" s="950"/>
      <c r="MWV119" s="950"/>
      <c r="MWW119" s="950"/>
      <c r="MWX119" s="950"/>
      <c r="MWY119" s="950"/>
      <c r="MWZ119" s="950"/>
      <c r="MXA119" s="950"/>
      <c r="MXB119" s="950"/>
      <c r="MXC119" s="950"/>
      <c r="MXD119" s="950"/>
      <c r="MXE119" s="950"/>
      <c r="MXF119" s="950"/>
      <c r="MXG119" s="950"/>
      <c r="MXH119" s="950"/>
      <c r="MXI119" s="950"/>
      <c r="MXJ119" s="950"/>
      <c r="MXK119" s="950"/>
      <c r="MXL119" s="950"/>
      <c r="MXM119" s="950"/>
      <c r="MXN119" s="950"/>
      <c r="MXO119" s="950"/>
      <c r="MXP119" s="950"/>
      <c r="MXQ119" s="950"/>
      <c r="MXR119" s="950"/>
      <c r="MXS119" s="950"/>
      <c r="MXT119" s="950"/>
      <c r="MXU119" s="950"/>
      <c r="MXV119" s="950"/>
      <c r="MXW119" s="950"/>
      <c r="MXX119" s="950"/>
      <c r="MXY119" s="950"/>
      <c r="MXZ119" s="950"/>
      <c r="MYA119" s="950"/>
      <c r="MYB119" s="950"/>
      <c r="MYC119" s="950"/>
      <c r="MYD119" s="950"/>
      <c r="MYE119" s="950"/>
      <c r="MYF119" s="950"/>
      <c r="MYG119" s="950"/>
      <c r="MYH119" s="950"/>
      <c r="MYI119" s="950"/>
      <c r="MYJ119" s="950"/>
      <c r="MYK119" s="950"/>
      <c r="MYL119" s="950"/>
      <c r="MYM119" s="950"/>
      <c r="MYN119" s="950"/>
      <c r="MYO119" s="950"/>
      <c r="MYP119" s="950"/>
      <c r="MYQ119" s="950"/>
      <c r="MYR119" s="950"/>
      <c r="MYS119" s="950"/>
      <c r="MYT119" s="950"/>
      <c r="MYU119" s="950"/>
      <c r="MYV119" s="950"/>
      <c r="MYW119" s="950"/>
      <c r="MYX119" s="950"/>
      <c r="MYY119" s="950"/>
      <c r="MYZ119" s="950"/>
      <c r="MZA119" s="950"/>
      <c r="MZB119" s="950"/>
      <c r="MZC119" s="950"/>
      <c r="MZD119" s="950"/>
      <c r="MZE119" s="950"/>
      <c r="MZF119" s="950"/>
      <c r="MZG119" s="950"/>
      <c r="MZH119" s="950"/>
      <c r="MZI119" s="950"/>
      <c r="MZJ119" s="950"/>
      <c r="MZK119" s="950"/>
      <c r="MZL119" s="950"/>
      <c r="MZM119" s="950"/>
      <c r="MZN119" s="950"/>
      <c r="MZO119" s="950"/>
      <c r="MZP119" s="950"/>
      <c r="MZQ119" s="950"/>
      <c r="MZR119" s="950"/>
      <c r="MZS119" s="950"/>
      <c r="MZT119" s="950"/>
      <c r="MZU119" s="950"/>
      <c r="MZV119" s="950"/>
      <c r="MZW119" s="950"/>
      <c r="MZX119" s="950"/>
      <c r="MZY119" s="950"/>
      <c r="MZZ119" s="950"/>
      <c r="NAA119" s="950"/>
      <c r="NAB119" s="950"/>
      <c r="NAC119" s="950"/>
      <c r="NAD119" s="950"/>
      <c r="NAE119" s="950"/>
      <c r="NAF119" s="950"/>
      <c r="NAG119" s="950"/>
      <c r="NAH119" s="950"/>
      <c r="NAI119" s="950"/>
      <c r="NAJ119" s="950"/>
      <c r="NAK119" s="950"/>
      <c r="NAL119" s="950"/>
      <c r="NAM119" s="950"/>
      <c r="NAN119" s="950"/>
      <c r="NAO119" s="950"/>
      <c r="NAP119" s="950"/>
      <c r="NAQ119" s="950"/>
      <c r="NAR119" s="950"/>
      <c r="NAS119" s="950"/>
      <c r="NAT119" s="950"/>
      <c r="NAU119" s="950"/>
      <c r="NAV119" s="950"/>
      <c r="NAW119" s="950"/>
      <c r="NAX119" s="950"/>
      <c r="NAY119" s="950"/>
      <c r="NAZ119" s="950"/>
      <c r="NBA119" s="950"/>
      <c r="NBB119" s="950"/>
      <c r="NBC119" s="950"/>
      <c r="NBD119" s="950"/>
      <c r="NBE119" s="950"/>
      <c r="NBF119" s="950"/>
      <c r="NBG119" s="950"/>
      <c r="NBH119" s="950"/>
      <c r="NBI119" s="950"/>
      <c r="NBJ119" s="950"/>
      <c r="NBK119" s="950"/>
      <c r="NBL119" s="950"/>
      <c r="NBM119" s="950"/>
      <c r="NBN119" s="950"/>
      <c r="NBO119" s="950"/>
      <c r="NBP119" s="950"/>
      <c r="NBQ119" s="950"/>
      <c r="NBR119" s="950"/>
      <c r="NBS119" s="950"/>
      <c r="NBT119" s="950"/>
      <c r="NBU119" s="950"/>
      <c r="NBV119" s="950"/>
      <c r="NBW119" s="950"/>
      <c r="NBX119" s="950"/>
      <c r="NBY119" s="950"/>
      <c r="NBZ119" s="950"/>
      <c r="NCA119" s="950"/>
      <c r="NCB119" s="950"/>
      <c r="NCC119" s="950"/>
      <c r="NCD119" s="950"/>
      <c r="NCE119" s="950"/>
      <c r="NCF119" s="950"/>
      <c r="NCG119" s="950"/>
      <c r="NCH119" s="950"/>
      <c r="NCI119" s="950"/>
      <c r="NCJ119" s="950"/>
      <c r="NCK119" s="950"/>
      <c r="NCL119" s="950"/>
      <c r="NCM119" s="950"/>
      <c r="NCN119" s="950"/>
      <c r="NCO119" s="950"/>
      <c r="NCP119" s="950"/>
      <c r="NCQ119" s="950"/>
      <c r="NCR119" s="950"/>
      <c r="NCS119" s="950"/>
      <c r="NCT119" s="950"/>
      <c r="NCU119" s="950"/>
      <c r="NCV119" s="950"/>
      <c r="NCW119" s="950"/>
      <c r="NCX119" s="950"/>
      <c r="NCY119" s="950"/>
      <c r="NCZ119" s="950"/>
      <c r="NDA119" s="950"/>
      <c r="NDB119" s="950"/>
      <c r="NDC119" s="950"/>
      <c r="NDD119" s="950"/>
      <c r="NDE119" s="950"/>
      <c r="NDF119" s="950"/>
      <c r="NDG119" s="950"/>
      <c r="NDH119" s="950"/>
      <c r="NDI119" s="950"/>
      <c r="NDJ119" s="950"/>
      <c r="NDK119" s="950"/>
      <c r="NDL119" s="950"/>
      <c r="NDM119" s="950"/>
      <c r="NDN119" s="950"/>
      <c r="NDO119" s="950"/>
      <c r="NDP119" s="950"/>
      <c r="NDQ119" s="950"/>
      <c r="NDR119" s="950"/>
      <c r="NDS119" s="950"/>
      <c r="NDT119" s="950"/>
      <c r="NDU119" s="950"/>
      <c r="NDV119" s="950"/>
      <c r="NDW119" s="950"/>
      <c r="NDX119" s="950"/>
      <c r="NDY119" s="950"/>
      <c r="NDZ119" s="950"/>
      <c r="NEA119" s="950"/>
      <c r="NEB119" s="950"/>
      <c r="NEC119" s="950"/>
      <c r="NED119" s="950"/>
      <c r="NEE119" s="950"/>
      <c r="NEF119" s="950"/>
      <c r="NEG119" s="950"/>
      <c r="NEH119" s="950"/>
      <c r="NEI119" s="950"/>
      <c r="NEJ119" s="950"/>
      <c r="NEK119" s="950"/>
      <c r="NEL119" s="950"/>
      <c r="NEM119" s="950"/>
      <c r="NEN119" s="950"/>
      <c r="NEO119" s="950"/>
      <c r="NEP119" s="950"/>
      <c r="NEQ119" s="950"/>
      <c r="NER119" s="950"/>
      <c r="NES119" s="950"/>
      <c r="NET119" s="950"/>
      <c r="NEU119" s="950"/>
      <c r="NEV119" s="950"/>
      <c r="NEW119" s="950"/>
      <c r="NEX119" s="950"/>
      <c r="NEY119" s="950"/>
      <c r="NEZ119" s="950"/>
      <c r="NFA119" s="950"/>
      <c r="NFB119" s="950"/>
      <c r="NFC119" s="950"/>
      <c r="NFD119" s="950"/>
      <c r="NFE119" s="950"/>
      <c r="NFF119" s="950"/>
      <c r="NFG119" s="950"/>
      <c r="NFH119" s="950"/>
      <c r="NFI119" s="950"/>
      <c r="NFJ119" s="950"/>
      <c r="NFK119" s="950"/>
      <c r="NFL119" s="950"/>
      <c r="NFM119" s="950"/>
      <c r="NFN119" s="950"/>
      <c r="NFO119" s="950"/>
      <c r="NFP119" s="950"/>
      <c r="NFQ119" s="950"/>
      <c r="NFR119" s="950"/>
      <c r="NFS119" s="950"/>
      <c r="NFT119" s="950"/>
      <c r="NFU119" s="950"/>
      <c r="NFV119" s="950"/>
      <c r="NFW119" s="950"/>
      <c r="NFX119" s="950"/>
      <c r="NFY119" s="950"/>
      <c r="NFZ119" s="950"/>
      <c r="NGA119" s="950"/>
      <c r="NGB119" s="950"/>
      <c r="NGC119" s="950"/>
      <c r="NGD119" s="950"/>
      <c r="NGE119" s="950"/>
      <c r="NGF119" s="950"/>
      <c r="NGG119" s="950"/>
      <c r="NGH119" s="950"/>
      <c r="NGI119" s="950"/>
      <c r="NGJ119" s="950"/>
      <c r="NGK119" s="950"/>
      <c r="NGL119" s="950"/>
      <c r="NGM119" s="950"/>
      <c r="NGN119" s="950"/>
      <c r="NGO119" s="950"/>
      <c r="NGP119" s="950"/>
      <c r="NGQ119" s="950"/>
      <c r="NGR119" s="950"/>
      <c r="NGS119" s="950"/>
      <c r="NGT119" s="950"/>
      <c r="NGU119" s="950"/>
      <c r="NGV119" s="950"/>
      <c r="NGW119" s="950"/>
      <c r="NGX119" s="950"/>
      <c r="NGY119" s="950"/>
      <c r="NGZ119" s="950"/>
      <c r="NHA119" s="950"/>
      <c r="NHB119" s="950"/>
      <c r="NHC119" s="950"/>
      <c r="NHD119" s="950"/>
      <c r="NHE119" s="950"/>
      <c r="NHF119" s="950"/>
      <c r="NHG119" s="950"/>
      <c r="NHH119" s="950"/>
      <c r="NHI119" s="950"/>
      <c r="NHJ119" s="950"/>
      <c r="NHK119" s="950"/>
      <c r="NHL119" s="950"/>
      <c r="NHM119" s="950"/>
      <c r="NHN119" s="950"/>
      <c r="NHO119" s="950"/>
      <c r="NHP119" s="950"/>
      <c r="NHQ119" s="950"/>
      <c r="NHR119" s="950"/>
      <c r="NHS119" s="950"/>
      <c r="NHT119" s="950"/>
      <c r="NHU119" s="950"/>
      <c r="NHV119" s="950"/>
      <c r="NHW119" s="950"/>
      <c r="NHX119" s="950"/>
      <c r="NHY119" s="950"/>
      <c r="NHZ119" s="950"/>
      <c r="NIA119" s="950"/>
      <c r="NIB119" s="950"/>
      <c r="NIC119" s="950"/>
      <c r="NID119" s="950"/>
      <c r="NIE119" s="950"/>
      <c r="NIF119" s="950"/>
      <c r="NIG119" s="950"/>
      <c r="NIH119" s="950"/>
      <c r="NII119" s="950"/>
      <c r="NIJ119" s="950"/>
      <c r="NIK119" s="950"/>
      <c r="NIL119" s="950"/>
      <c r="NIM119" s="950"/>
      <c r="NIN119" s="950"/>
      <c r="NIO119" s="950"/>
      <c r="NIP119" s="950"/>
      <c r="NIQ119" s="950"/>
      <c r="NIR119" s="950"/>
      <c r="NIS119" s="950"/>
      <c r="NIT119" s="950"/>
      <c r="NIU119" s="950"/>
      <c r="NIV119" s="950"/>
      <c r="NIW119" s="950"/>
      <c r="NIX119" s="950"/>
      <c r="NIY119" s="950"/>
      <c r="NIZ119" s="950"/>
      <c r="NJA119" s="950"/>
      <c r="NJB119" s="950"/>
      <c r="NJC119" s="950"/>
      <c r="NJD119" s="950"/>
      <c r="NJE119" s="950"/>
      <c r="NJF119" s="950"/>
      <c r="NJG119" s="950"/>
      <c r="NJH119" s="950"/>
      <c r="NJI119" s="950"/>
      <c r="NJJ119" s="950"/>
      <c r="NJK119" s="950"/>
      <c r="NJL119" s="950"/>
      <c r="NJM119" s="950"/>
      <c r="NJN119" s="950"/>
      <c r="NJO119" s="950"/>
      <c r="NJP119" s="950"/>
      <c r="NJQ119" s="950"/>
      <c r="NJR119" s="950"/>
      <c r="NJS119" s="950"/>
      <c r="NJT119" s="950"/>
      <c r="NJU119" s="950"/>
      <c r="NJV119" s="950"/>
      <c r="NJW119" s="950"/>
      <c r="NJX119" s="950"/>
      <c r="NJY119" s="950"/>
      <c r="NJZ119" s="950"/>
      <c r="NKA119" s="950"/>
      <c r="NKB119" s="950"/>
      <c r="NKC119" s="950"/>
      <c r="NKD119" s="950"/>
      <c r="NKE119" s="950"/>
      <c r="NKF119" s="950"/>
      <c r="NKG119" s="950"/>
      <c r="NKH119" s="950"/>
      <c r="NKI119" s="950"/>
      <c r="NKJ119" s="950"/>
      <c r="NKK119" s="950"/>
      <c r="NKL119" s="950"/>
      <c r="NKM119" s="950"/>
      <c r="NKN119" s="950"/>
      <c r="NKO119" s="950"/>
      <c r="NKP119" s="950"/>
      <c r="NKQ119" s="950"/>
      <c r="NKR119" s="950"/>
      <c r="NKS119" s="950"/>
      <c r="NKT119" s="950"/>
      <c r="NKU119" s="950"/>
      <c r="NKV119" s="950"/>
      <c r="NKW119" s="950"/>
      <c r="NKX119" s="950"/>
      <c r="NKY119" s="950"/>
      <c r="NKZ119" s="950"/>
      <c r="NLA119" s="950"/>
      <c r="NLB119" s="950"/>
      <c r="NLC119" s="950"/>
      <c r="NLD119" s="950"/>
      <c r="NLE119" s="950"/>
      <c r="NLF119" s="950"/>
      <c r="NLG119" s="950"/>
      <c r="NLH119" s="950"/>
      <c r="NLI119" s="950"/>
      <c r="NLJ119" s="950"/>
      <c r="NLK119" s="950"/>
      <c r="NLL119" s="950"/>
      <c r="NLM119" s="950"/>
      <c r="NLN119" s="950"/>
      <c r="NLO119" s="950"/>
      <c r="NLP119" s="950"/>
      <c r="NLQ119" s="950"/>
      <c r="NLR119" s="950"/>
      <c r="NLS119" s="950"/>
      <c r="NLT119" s="950"/>
      <c r="NLU119" s="950"/>
      <c r="NLV119" s="950"/>
      <c r="NLW119" s="950"/>
      <c r="NLX119" s="950"/>
      <c r="NLY119" s="950"/>
      <c r="NLZ119" s="950"/>
      <c r="NMA119" s="950"/>
      <c r="NMB119" s="950"/>
      <c r="NMC119" s="950"/>
      <c r="NMD119" s="950"/>
      <c r="NME119" s="950"/>
      <c r="NMF119" s="950"/>
      <c r="NMG119" s="950"/>
      <c r="NMH119" s="950"/>
      <c r="NMI119" s="950"/>
      <c r="NMJ119" s="950"/>
      <c r="NMK119" s="950"/>
      <c r="NML119" s="950"/>
      <c r="NMM119" s="950"/>
      <c r="NMN119" s="950"/>
      <c r="NMO119" s="950"/>
      <c r="NMP119" s="950"/>
      <c r="NMQ119" s="950"/>
      <c r="NMR119" s="950"/>
      <c r="NMS119" s="950"/>
      <c r="NMT119" s="950"/>
      <c r="NMU119" s="950"/>
      <c r="NMV119" s="950"/>
      <c r="NMW119" s="950"/>
      <c r="NMX119" s="950"/>
      <c r="NMY119" s="950"/>
      <c r="NMZ119" s="950"/>
      <c r="NNA119" s="950"/>
      <c r="NNB119" s="950"/>
      <c r="NNC119" s="950"/>
      <c r="NND119" s="950"/>
      <c r="NNE119" s="950"/>
      <c r="NNF119" s="950"/>
      <c r="NNG119" s="950"/>
      <c r="NNH119" s="950"/>
      <c r="NNI119" s="950"/>
      <c r="NNJ119" s="950"/>
      <c r="NNK119" s="950"/>
      <c r="NNL119" s="950"/>
      <c r="NNM119" s="950"/>
      <c r="NNN119" s="950"/>
      <c r="NNO119" s="950"/>
      <c r="NNP119" s="950"/>
      <c r="NNQ119" s="950"/>
      <c r="NNR119" s="950"/>
      <c r="NNS119" s="950"/>
      <c r="NNT119" s="950"/>
      <c r="NNU119" s="950"/>
      <c r="NNV119" s="950"/>
      <c r="NNW119" s="950"/>
      <c r="NNX119" s="950"/>
      <c r="NNY119" s="950"/>
      <c r="NNZ119" s="950"/>
      <c r="NOA119" s="950"/>
      <c r="NOB119" s="950"/>
      <c r="NOC119" s="950"/>
      <c r="NOD119" s="950"/>
      <c r="NOE119" s="950"/>
      <c r="NOF119" s="950"/>
      <c r="NOG119" s="950"/>
      <c r="NOH119" s="950"/>
      <c r="NOI119" s="950"/>
      <c r="NOJ119" s="950"/>
      <c r="NOK119" s="950"/>
      <c r="NOL119" s="950"/>
      <c r="NOM119" s="950"/>
      <c r="NON119" s="950"/>
      <c r="NOO119" s="950"/>
      <c r="NOP119" s="950"/>
      <c r="NOQ119" s="950"/>
      <c r="NOR119" s="950"/>
      <c r="NOS119" s="950"/>
      <c r="NOT119" s="950"/>
      <c r="NOU119" s="950"/>
      <c r="NOV119" s="950"/>
      <c r="NOW119" s="950"/>
      <c r="NOX119" s="950"/>
      <c r="NOY119" s="950"/>
      <c r="NOZ119" s="950"/>
      <c r="NPA119" s="950"/>
      <c r="NPB119" s="950"/>
      <c r="NPC119" s="950"/>
      <c r="NPD119" s="950"/>
      <c r="NPE119" s="950"/>
      <c r="NPF119" s="950"/>
      <c r="NPG119" s="950"/>
      <c r="NPH119" s="950"/>
      <c r="NPI119" s="950"/>
      <c r="NPJ119" s="950"/>
      <c r="NPK119" s="950"/>
      <c r="NPL119" s="950"/>
      <c r="NPM119" s="950"/>
      <c r="NPN119" s="950"/>
      <c r="NPO119" s="950"/>
      <c r="NPP119" s="950"/>
      <c r="NPQ119" s="950"/>
      <c r="NPR119" s="950"/>
      <c r="NPS119" s="950"/>
      <c r="NPT119" s="950"/>
      <c r="NPU119" s="950"/>
      <c r="NPV119" s="950"/>
      <c r="NPW119" s="950"/>
      <c r="NPX119" s="950"/>
      <c r="NPY119" s="950"/>
      <c r="NPZ119" s="950"/>
      <c r="NQA119" s="950"/>
      <c r="NQB119" s="950"/>
      <c r="NQC119" s="950"/>
      <c r="NQD119" s="950"/>
      <c r="NQE119" s="950"/>
      <c r="NQF119" s="950"/>
      <c r="NQG119" s="950"/>
      <c r="NQH119" s="950"/>
      <c r="NQI119" s="950"/>
      <c r="NQJ119" s="950"/>
      <c r="NQK119" s="950"/>
      <c r="NQL119" s="950"/>
      <c r="NQM119" s="950"/>
      <c r="NQN119" s="950"/>
      <c r="NQO119" s="950"/>
      <c r="NQP119" s="950"/>
      <c r="NQQ119" s="950"/>
      <c r="NQR119" s="950"/>
      <c r="NQS119" s="950"/>
      <c r="NQT119" s="950"/>
      <c r="NQU119" s="950"/>
      <c r="NQV119" s="950"/>
      <c r="NQW119" s="950"/>
      <c r="NQX119" s="950"/>
      <c r="NQY119" s="950"/>
      <c r="NQZ119" s="950"/>
      <c r="NRA119" s="950"/>
      <c r="NRB119" s="950"/>
      <c r="NRC119" s="950"/>
      <c r="NRD119" s="950"/>
      <c r="NRE119" s="950"/>
      <c r="NRF119" s="950"/>
      <c r="NRG119" s="950"/>
      <c r="NRH119" s="950"/>
      <c r="NRI119" s="950"/>
      <c r="NRJ119" s="950"/>
      <c r="NRK119" s="950"/>
      <c r="NRL119" s="950"/>
      <c r="NRM119" s="950"/>
      <c r="NRN119" s="950"/>
      <c r="NRO119" s="950"/>
      <c r="NRP119" s="950"/>
      <c r="NRQ119" s="950"/>
      <c r="NRR119" s="950"/>
      <c r="NRS119" s="950"/>
      <c r="NRT119" s="950"/>
      <c r="NRU119" s="950"/>
      <c r="NRV119" s="950"/>
      <c r="NRW119" s="950"/>
      <c r="NRX119" s="950"/>
      <c r="NRY119" s="950"/>
      <c r="NRZ119" s="950"/>
      <c r="NSA119" s="950"/>
      <c r="NSB119" s="950"/>
      <c r="NSC119" s="950"/>
      <c r="NSD119" s="950"/>
      <c r="NSE119" s="950"/>
      <c r="NSF119" s="950"/>
      <c r="NSG119" s="950"/>
      <c r="NSH119" s="950"/>
      <c r="NSI119" s="950"/>
      <c r="NSJ119" s="950"/>
      <c r="NSK119" s="950"/>
      <c r="NSL119" s="950"/>
      <c r="NSM119" s="950"/>
      <c r="NSN119" s="950"/>
      <c r="NSO119" s="950"/>
      <c r="NSP119" s="950"/>
      <c r="NSQ119" s="950"/>
      <c r="NSR119" s="950"/>
      <c r="NSS119" s="950"/>
      <c r="NST119" s="950"/>
      <c r="NSU119" s="950"/>
      <c r="NSV119" s="950"/>
      <c r="NSW119" s="950"/>
      <c r="NSX119" s="950"/>
      <c r="NSY119" s="950"/>
      <c r="NSZ119" s="950"/>
      <c r="NTA119" s="950"/>
      <c r="NTB119" s="950"/>
      <c r="NTC119" s="950"/>
      <c r="NTD119" s="950"/>
      <c r="NTE119" s="950"/>
      <c r="NTF119" s="950"/>
      <c r="NTG119" s="950"/>
      <c r="NTH119" s="950"/>
      <c r="NTI119" s="950"/>
      <c r="NTJ119" s="950"/>
      <c r="NTK119" s="950"/>
      <c r="NTL119" s="950"/>
      <c r="NTM119" s="950"/>
      <c r="NTN119" s="950"/>
      <c r="NTO119" s="950"/>
      <c r="NTP119" s="950"/>
      <c r="NTQ119" s="950"/>
      <c r="NTR119" s="950"/>
      <c r="NTS119" s="950"/>
      <c r="NTT119" s="950"/>
      <c r="NTU119" s="950"/>
      <c r="NTV119" s="950"/>
      <c r="NTW119" s="950"/>
      <c r="NTX119" s="950"/>
      <c r="NTY119" s="950"/>
      <c r="NTZ119" s="950"/>
      <c r="NUA119" s="950"/>
      <c r="NUB119" s="950"/>
      <c r="NUC119" s="950"/>
      <c r="NUD119" s="950"/>
      <c r="NUE119" s="950"/>
      <c r="NUF119" s="950"/>
      <c r="NUG119" s="950"/>
      <c r="NUH119" s="950"/>
      <c r="NUI119" s="950"/>
      <c r="NUJ119" s="950"/>
      <c r="NUK119" s="950"/>
      <c r="NUL119" s="950"/>
      <c r="NUM119" s="950"/>
      <c r="NUN119" s="950"/>
      <c r="NUO119" s="950"/>
      <c r="NUP119" s="950"/>
      <c r="NUQ119" s="950"/>
      <c r="NUR119" s="950"/>
      <c r="NUS119" s="950"/>
      <c r="NUT119" s="950"/>
      <c r="NUU119" s="950"/>
      <c r="NUV119" s="950"/>
      <c r="NUW119" s="950"/>
      <c r="NUX119" s="950"/>
      <c r="NUY119" s="950"/>
      <c r="NUZ119" s="950"/>
      <c r="NVA119" s="950"/>
      <c r="NVB119" s="950"/>
      <c r="NVC119" s="950"/>
      <c r="NVD119" s="950"/>
      <c r="NVE119" s="950"/>
      <c r="NVF119" s="950"/>
      <c r="NVG119" s="950"/>
      <c r="NVH119" s="950"/>
      <c r="NVI119" s="950"/>
      <c r="NVJ119" s="950"/>
      <c r="NVK119" s="950"/>
      <c r="NVL119" s="950"/>
      <c r="NVM119" s="950"/>
      <c r="NVN119" s="950"/>
      <c r="NVO119" s="950"/>
      <c r="NVP119" s="950"/>
      <c r="NVQ119" s="950"/>
      <c r="NVR119" s="950"/>
      <c r="NVS119" s="950"/>
      <c r="NVT119" s="950"/>
      <c r="NVU119" s="950"/>
      <c r="NVV119" s="950"/>
      <c r="NVW119" s="950"/>
      <c r="NVX119" s="950"/>
      <c r="NVY119" s="950"/>
      <c r="NVZ119" s="950"/>
      <c r="NWA119" s="950"/>
      <c r="NWB119" s="950"/>
      <c r="NWC119" s="950"/>
      <c r="NWD119" s="950"/>
      <c r="NWE119" s="950"/>
      <c r="NWF119" s="950"/>
      <c r="NWG119" s="950"/>
      <c r="NWH119" s="950"/>
      <c r="NWI119" s="950"/>
      <c r="NWJ119" s="950"/>
      <c r="NWK119" s="950"/>
      <c r="NWL119" s="950"/>
      <c r="NWM119" s="950"/>
      <c r="NWN119" s="950"/>
      <c r="NWO119" s="950"/>
      <c r="NWP119" s="950"/>
      <c r="NWQ119" s="950"/>
      <c r="NWR119" s="950"/>
      <c r="NWS119" s="950"/>
      <c r="NWT119" s="950"/>
      <c r="NWU119" s="950"/>
      <c r="NWV119" s="950"/>
      <c r="NWW119" s="950"/>
      <c r="NWX119" s="950"/>
      <c r="NWY119" s="950"/>
      <c r="NWZ119" s="950"/>
      <c r="NXA119" s="950"/>
      <c r="NXB119" s="950"/>
      <c r="NXC119" s="950"/>
      <c r="NXD119" s="950"/>
      <c r="NXE119" s="950"/>
      <c r="NXF119" s="950"/>
      <c r="NXG119" s="950"/>
      <c r="NXH119" s="950"/>
      <c r="NXI119" s="950"/>
      <c r="NXJ119" s="950"/>
      <c r="NXK119" s="950"/>
      <c r="NXL119" s="950"/>
      <c r="NXM119" s="950"/>
      <c r="NXN119" s="950"/>
      <c r="NXO119" s="950"/>
      <c r="NXP119" s="950"/>
      <c r="NXQ119" s="950"/>
      <c r="NXR119" s="950"/>
      <c r="NXS119" s="950"/>
      <c r="NXT119" s="950"/>
      <c r="NXU119" s="950"/>
      <c r="NXV119" s="950"/>
      <c r="NXW119" s="950"/>
      <c r="NXX119" s="950"/>
      <c r="NXY119" s="950"/>
      <c r="NXZ119" s="950"/>
      <c r="NYA119" s="950"/>
      <c r="NYB119" s="950"/>
      <c r="NYC119" s="950"/>
      <c r="NYD119" s="950"/>
      <c r="NYE119" s="950"/>
      <c r="NYF119" s="950"/>
      <c r="NYG119" s="950"/>
      <c r="NYH119" s="950"/>
      <c r="NYI119" s="950"/>
      <c r="NYJ119" s="950"/>
      <c r="NYK119" s="950"/>
      <c r="NYL119" s="950"/>
      <c r="NYM119" s="950"/>
      <c r="NYN119" s="950"/>
      <c r="NYO119" s="950"/>
      <c r="NYP119" s="950"/>
      <c r="NYQ119" s="950"/>
      <c r="NYR119" s="950"/>
      <c r="NYS119" s="950"/>
      <c r="NYT119" s="950"/>
      <c r="NYU119" s="950"/>
      <c r="NYV119" s="950"/>
      <c r="NYW119" s="950"/>
      <c r="NYX119" s="950"/>
      <c r="NYY119" s="950"/>
      <c r="NYZ119" s="950"/>
      <c r="NZA119" s="950"/>
      <c r="NZB119" s="950"/>
      <c r="NZC119" s="950"/>
      <c r="NZD119" s="950"/>
      <c r="NZE119" s="950"/>
      <c r="NZF119" s="950"/>
      <c r="NZG119" s="950"/>
      <c r="NZH119" s="950"/>
      <c r="NZI119" s="950"/>
      <c r="NZJ119" s="950"/>
      <c r="NZK119" s="950"/>
      <c r="NZL119" s="950"/>
      <c r="NZM119" s="950"/>
      <c r="NZN119" s="950"/>
      <c r="NZO119" s="950"/>
      <c r="NZP119" s="950"/>
      <c r="NZQ119" s="950"/>
      <c r="NZR119" s="950"/>
      <c r="NZS119" s="950"/>
      <c r="NZT119" s="950"/>
      <c r="NZU119" s="950"/>
      <c r="NZV119" s="950"/>
      <c r="NZW119" s="950"/>
      <c r="NZX119" s="950"/>
      <c r="NZY119" s="950"/>
      <c r="NZZ119" s="950"/>
      <c r="OAA119" s="950"/>
      <c r="OAB119" s="950"/>
      <c r="OAC119" s="950"/>
      <c r="OAD119" s="950"/>
      <c r="OAE119" s="950"/>
      <c r="OAF119" s="950"/>
      <c r="OAG119" s="950"/>
      <c r="OAH119" s="950"/>
      <c r="OAI119" s="950"/>
      <c r="OAJ119" s="950"/>
      <c r="OAK119" s="950"/>
      <c r="OAL119" s="950"/>
      <c r="OAM119" s="950"/>
      <c r="OAN119" s="950"/>
      <c r="OAO119" s="950"/>
      <c r="OAP119" s="950"/>
      <c r="OAQ119" s="950"/>
      <c r="OAR119" s="950"/>
      <c r="OAS119" s="950"/>
      <c r="OAT119" s="950"/>
      <c r="OAU119" s="950"/>
      <c r="OAV119" s="950"/>
      <c r="OAW119" s="950"/>
      <c r="OAX119" s="950"/>
      <c r="OAY119" s="950"/>
      <c r="OAZ119" s="950"/>
      <c r="OBA119" s="950"/>
      <c r="OBB119" s="950"/>
      <c r="OBC119" s="950"/>
      <c r="OBD119" s="950"/>
      <c r="OBE119" s="950"/>
      <c r="OBF119" s="950"/>
      <c r="OBG119" s="950"/>
      <c r="OBH119" s="950"/>
      <c r="OBI119" s="950"/>
      <c r="OBJ119" s="950"/>
      <c r="OBK119" s="950"/>
      <c r="OBL119" s="950"/>
      <c r="OBM119" s="950"/>
      <c r="OBN119" s="950"/>
      <c r="OBO119" s="950"/>
      <c r="OBP119" s="950"/>
      <c r="OBQ119" s="950"/>
      <c r="OBR119" s="950"/>
      <c r="OBS119" s="950"/>
      <c r="OBT119" s="950"/>
      <c r="OBU119" s="950"/>
      <c r="OBV119" s="950"/>
      <c r="OBW119" s="950"/>
      <c r="OBX119" s="950"/>
      <c r="OBY119" s="950"/>
      <c r="OBZ119" s="950"/>
      <c r="OCA119" s="950"/>
      <c r="OCB119" s="950"/>
      <c r="OCC119" s="950"/>
      <c r="OCD119" s="950"/>
      <c r="OCE119" s="950"/>
      <c r="OCF119" s="950"/>
      <c r="OCG119" s="950"/>
      <c r="OCH119" s="950"/>
      <c r="OCI119" s="950"/>
      <c r="OCJ119" s="950"/>
      <c r="OCK119" s="950"/>
      <c r="OCL119" s="950"/>
      <c r="OCM119" s="950"/>
      <c r="OCN119" s="950"/>
      <c r="OCO119" s="950"/>
      <c r="OCP119" s="950"/>
      <c r="OCQ119" s="950"/>
      <c r="OCR119" s="950"/>
      <c r="OCS119" s="950"/>
      <c r="OCT119" s="950"/>
      <c r="OCU119" s="950"/>
      <c r="OCV119" s="950"/>
      <c r="OCW119" s="950"/>
      <c r="OCX119" s="950"/>
      <c r="OCY119" s="950"/>
      <c r="OCZ119" s="950"/>
      <c r="ODA119" s="950"/>
      <c r="ODB119" s="950"/>
      <c r="ODC119" s="950"/>
      <c r="ODD119" s="950"/>
      <c r="ODE119" s="950"/>
      <c r="ODF119" s="950"/>
      <c r="ODG119" s="950"/>
      <c r="ODH119" s="950"/>
      <c r="ODI119" s="950"/>
      <c r="ODJ119" s="950"/>
      <c r="ODK119" s="950"/>
      <c r="ODL119" s="950"/>
      <c r="ODM119" s="950"/>
      <c r="ODN119" s="950"/>
      <c r="ODO119" s="950"/>
      <c r="ODP119" s="950"/>
      <c r="ODQ119" s="950"/>
      <c r="ODR119" s="950"/>
      <c r="ODS119" s="950"/>
      <c r="ODT119" s="950"/>
      <c r="ODU119" s="950"/>
      <c r="ODV119" s="950"/>
      <c r="ODW119" s="950"/>
      <c r="ODX119" s="950"/>
      <c r="ODY119" s="950"/>
      <c r="ODZ119" s="950"/>
      <c r="OEA119" s="950"/>
      <c r="OEB119" s="950"/>
      <c r="OEC119" s="950"/>
      <c r="OED119" s="950"/>
      <c r="OEE119" s="950"/>
      <c r="OEF119" s="950"/>
      <c r="OEG119" s="950"/>
      <c r="OEH119" s="950"/>
      <c r="OEI119" s="950"/>
      <c r="OEJ119" s="950"/>
      <c r="OEK119" s="950"/>
      <c r="OEL119" s="950"/>
      <c r="OEM119" s="950"/>
      <c r="OEN119" s="950"/>
      <c r="OEO119" s="950"/>
      <c r="OEP119" s="950"/>
      <c r="OEQ119" s="950"/>
      <c r="OER119" s="950"/>
      <c r="OES119" s="950"/>
      <c r="OET119" s="950"/>
      <c r="OEU119" s="950"/>
      <c r="OEV119" s="950"/>
      <c r="OEW119" s="950"/>
      <c r="OEX119" s="950"/>
      <c r="OEY119" s="950"/>
      <c r="OEZ119" s="950"/>
      <c r="OFA119" s="950"/>
      <c r="OFB119" s="950"/>
      <c r="OFC119" s="950"/>
      <c r="OFD119" s="950"/>
      <c r="OFE119" s="950"/>
      <c r="OFF119" s="950"/>
      <c r="OFG119" s="950"/>
      <c r="OFH119" s="950"/>
      <c r="OFI119" s="950"/>
      <c r="OFJ119" s="950"/>
      <c r="OFK119" s="950"/>
      <c r="OFL119" s="950"/>
      <c r="OFM119" s="950"/>
      <c r="OFN119" s="950"/>
      <c r="OFO119" s="950"/>
      <c r="OFP119" s="950"/>
      <c r="OFQ119" s="950"/>
      <c r="OFR119" s="950"/>
      <c r="OFS119" s="950"/>
      <c r="OFT119" s="950"/>
      <c r="OFU119" s="950"/>
      <c r="OFV119" s="950"/>
      <c r="OFW119" s="950"/>
      <c r="OFX119" s="950"/>
      <c r="OFY119" s="950"/>
      <c r="OFZ119" s="950"/>
      <c r="OGA119" s="950"/>
      <c r="OGB119" s="950"/>
      <c r="OGC119" s="950"/>
      <c r="OGD119" s="950"/>
      <c r="OGE119" s="950"/>
      <c r="OGF119" s="950"/>
      <c r="OGG119" s="950"/>
      <c r="OGH119" s="950"/>
      <c r="OGI119" s="950"/>
      <c r="OGJ119" s="950"/>
      <c r="OGK119" s="950"/>
      <c r="OGL119" s="950"/>
      <c r="OGM119" s="950"/>
      <c r="OGN119" s="950"/>
      <c r="OGO119" s="950"/>
      <c r="OGP119" s="950"/>
      <c r="OGQ119" s="950"/>
      <c r="OGR119" s="950"/>
      <c r="OGS119" s="950"/>
      <c r="OGT119" s="950"/>
      <c r="OGU119" s="950"/>
      <c r="OGV119" s="950"/>
      <c r="OGW119" s="950"/>
      <c r="OGX119" s="950"/>
      <c r="OGY119" s="950"/>
      <c r="OGZ119" s="950"/>
      <c r="OHA119" s="950"/>
      <c r="OHB119" s="950"/>
      <c r="OHC119" s="950"/>
      <c r="OHD119" s="950"/>
      <c r="OHE119" s="950"/>
      <c r="OHF119" s="950"/>
      <c r="OHG119" s="950"/>
      <c r="OHH119" s="950"/>
      <c r="OHI119" s="950"/>
      <c r="OHJ119" s="950"/>
      <c r="OHK119" s="950"/>
      <c r="OHL119" s="950"/>
      <c r="OHM119" s="950"/>
      <c r="OHN119" s="950"/>
      <c r="OHO119" s="950"/>
      <c r="OHP119" s="950"/>
      <c r="OHQ119" s="950"/>
      <c r="OHR119" s="950"/>
      <c r="OHS119" s="950"/>
      <c r="OHT119" s="950"/>
      <c r="OHU119" s="950"/>
      <c r="OHV119" s="950"/>
      <c r="OHW119" s="950"/>
      <c r="OHX119" s="950"/>
      <c r="OHY119" s="950"/>
      <c r="OHZ119" s="950"/>
      <c r="OIA119" s="950"/>
      <c r="OIB119" s="950"/>
      <c r="OIC119" s="950"/>
      <c r="OID119" s="950"/>
      <c r="OIE119" s="950"/>
      <c r="OIF119" s="950"/>
      <c r="OIG119" s="950"/>
      <c r="OIH119" s="950"/>
      <c r="OII119" s="950"/>
      <c r="OIJ119" s="950"/>
      <c r="OIK119" s="950"/>
      <c r="OIL119" s="950"/>
      <c r="OIM119" s="950"/>
      <c r="OIN119" s="950"/>
      <c r="OIO119" s="950"/>
      <c r="OIP119" s="950"/>
      <c r="OIQ119" s="950"/>
      <c r="OIR119" s="950"/>
      <c r="OIS119" s="950"/>
      <c r="OIT119" s="950"/>
      <c r="OIU119" s="950"/>
      <c r="OIV119" s="950"/>
      <c r="OIW119" s="950"/>
      <c r="OIX119" s="950"/>
      <c r="OIY119" s="950"/>
      <c r="OIZ119" s="950"/>
      <c r="OJA119" s="950"/>
      <c r="OJB119" s="950"/>
      <c r="OJC119" s="950"/>
      <c r="OJD119" s="950"/>
      <c r="OJE119" s="950"/>
      <c r="OJF119" s="950"/>
      <c r="OJG119" s="950"/>
      <c r="OJH119" s="950"/>
      <c r="OJI119" s="950"/>
      <c r="OJJ119" s="950"/>
      <c r="OJK119" s="950"/>
      <c r="OJL119" s="950"/>
      <c r="OJM119" s="950"/>
      <c r="OJN119" s="950"/>
      <c r="OJO119" s="950"/>
      <c r="OJP119" s="950"/>
      <c r="OJQ119" s="950"/>
      <c r="OJR119" s="950"/>
      <c r="OJS119" s="950"/>
      <c r="OJT119" s="950"/>
      <c r="OJU119" s="950"/>
      <c r="OJV119" s="950"/>
      <c r="OJW119" s="950"/>
      <c r="OJX119" s="950"/>
      <c r="OJY119" s="950"/>
      <c r="OJZ119" s="950"/>
      <c r="OKA119" s="950"/>
      <c r="OKB119" s="950"/>
      <c r="OKC119" s="950"/>
      <c r="OKD119" s="950"/>
      <c r="OKE119" s="950"/>
      <c r="OKF119" s="950"/>
      <c r="OKG119" s="950"/>
      <c r="OKH119" s="950"/>
      <c r="OKI119" s="950"/>
      <c r="OKJ119" s="950"/>
      <c r="OKK119" s="950"/>
      <c r="OKL119" s="950"/>
      <c r="OKM119" s="950"/>
      <c r="OKN119" s="950"/>
      <c r="OKO119" s="950"/>
      <c r="OKP119" s="950"/>
      <c r="OKQ119" s="950"/>
      <c r="OKR119" s="950"/>
      <c r="OKS119" s="950"/>
      <c r="OKT119" s="950"/>
      <c r="OKU119" s="950"/>
      <c r="OKV119" s="950"/>
      <c r="OKW119" s="950"/>
      <c r="OKX119" s="950"/>
      <c r="OKY119" s="950"/>
      <c r="OKZ119" s="950"/>
      <c r="OLA119" s="950"/>
      <c r="OLB119" s="950"/>
      <c r="OLC119" s="950"/>
      <c r="OLD119" s="950"/>
      <c r="OLE119" s="950"/>
      <c r="OLF119" s="950"/>
      <c r="OLG119" s="950"/>
      <c r="OLH119" s="950"/>
      <c r="OLI119" s="950"/>
      <c r="OLJ119" s="950"/>
      <c r="OLK119" s="950"/>
      <c r="OLL119" s="950"/>
      <c r="OLM119" s="950"/>
      <c r="OLN119" s="950"/>
      <c r="OLO119" s="950"/>
      <c r="OLP119" s="950"/>
      <c r="OLQ119" s="950"/>
      <c r="OLR119" s="950"/>
      <c r="OLS119" s="950"/>
      <c r="OLT119" s="950"/>
      <c r="OLU119" s="950"/>
      <c r="OLV119" s="950"/>
      <c r="OLW119" s="950"/>
      <c r="OLX119" s="950"/>
      <c r="OLY119" s="950"/>
      <c r="OLZ119" s="950"/>
      <c r="OMA119" s="950"/>
      <c r="OMB119" s="950"/>
      <c r="OMC119" s="950"/>
      <c r="OMD119" s="950"/>
      <c r="OME119" s="950"/>
      <c r="OMF119" s="950"/>
      <c r="OMG119" s="950"/>
      <c r="OMH119" s="950"/>
      <c r="OMI119" s="950"/>
      <c r="OMJ119" s="950"/>
      <c r="OMK119" s="950"/>
      <c r="OML119" s="950"/>
      <c r="OMM119" s="950"/>
      <c r="OMN119" s="950"/>
      <c r="OMO119" s="950"/>
      <c r="OMP119" s="950"/>
      <c r="OMQ119" s="950"/>
      <c r="OMR119" s="950"/>
      <c r="OMS119" s="950"/>
      <c r="OMT119" s="950"/>
      <c r="OMU119" s="950"/>
      <c r="OMV119" s="950"/>
      <c r="OMW119" s="950"/>
      <c r="OMX119" s="950"/>
      <c r="OMY119" s="950"/>
      <c r="OMZ119" s="950"/>
      <c r="ONA119" s="950"/>
      <c r="ONB119" s="950"/>
      <c r="ONC119" s="950"/>
      <c r="OND119" s="950"/>
      <c r="ONE119" s="950"/>
      <c r="ONF119" s="950"/>
      <c r="ONG119" s="950"/>
      <c r="ONH119" s="950"/>
      <c r="ONI119" s="950"/>
      <c r="ONJ119" s="950"/>
      <c r="ONK119" s="950"/>
      <c r="ONL119" s="950"/>
      <c r="ONM119" s="950"/>
      <c r="ONN119" s="950"/>
      <c r="ONO119" s="950"/>
      <c r="ONP119" s="950"/>
      <c r="ONQ119" s="950"/>
      <c r="ONR119" s="950"/>
      <c r="ONS119" s="950"/>
      <c r="ONT119" s="950"/>
      <c r="ONU119" s="950"/>
      <c r="ONV119" s="950"/>
      <c r="ONW119" s="950"/>
      <c r="ONX119" s="950"/>
      <c r="ONY119" s="950"/>
      <c r="ONZ119" s="950"/>
      <c r="OOA119" s="950"/>
      <c r="OOB119" s="950"/>
      <c r="OOC119" s="950"/>
      <c r="OOD119" s="950"/>
      <c r="OOE119" s="950"/>
      <c r="OOF119" s="950"/>
      <c r="OOG119" s="950"/>
      <c r="OOH119" s="950"/>
      <c r="OOI119" s="950"/>
      <c r="OOJ119" s="950"/>
      <c r="OOK119" s="950"/>
      <c r="OOL119" s="950"/>
      <c r="OOM119" s="950"/>
      <c r="OON119" s="950"/>
      <c r="OOO119" s="950"/>
      <c r="OOP119" s="950"/>
      <c r="OOQ119" s="950"/>
      <c r="OOR119" s="950"/>
      <c r="OOS119" s="950"/>
      <c r="OOT119" s="950"/>
      <c r="OOU119" s="950"/>
      <c r="OOV119" s="950"/>
      <c r="OOW119" s="950"/>
      <c r="OOX119" s="950"/>
      <c r="OOY119" s="950"/>
      <c r="OOZ119" s="950"/>
      <c r="OPA119" s="950"/>
      <c r="OPB119" s="950"/>
      <c r="OPC119" s="950"/>
      <c r="OPD119" s="950"/>
      <c r="OPE119" s="950"/>
      <c r="OPF119" s="950"/>
      <c r="OPG119" s="950"/>
      <c r="OPH119" s="950"/>
      <c r="OPI119" s="950"/>
      <c r="OPJ119" s="950"/>
      <c r="OPK119" s="950"/>
      <c r="OPL119" s="950"/>
      <c r="OPM119" s="950"/>
      <c r="OPN119" s="950"/>
      <c r="OPO119" s="950"/>
      <c r="OPP119" s="950"/>
      <c r="OPQ119" s="950"/>
      <c r="OPR119" s="950"/>
      <c r="OPS119" s="950"/>
      <c r="OPT119" s="950"/>
      <c r="OPU119" s="950"/>
      <c r="OPV119" s="950"/>
      <c r="OPW119" s="950"/>
      <c r="OPX119" s="950"/>
      <c r="OPY119" s="950"/>
      <c r="OPZ119" s="950"/>
      <c r="OQA119" s="950"/>
      <c r="OQB119" s="950"/>
      <c r="OQC119" s="950"/>
      <c r="OQD119" s="950"/>
      <c r="OQE119" s="950"/>
      <c r="OQF119" s="950"/>
      <c r="OQG119" s="950"/>
      <c r="OQH119" s="950"/>
      <c r="OQI119" s="950"/>
      <c r="OQJ119" s="950"/>
      <c r="OQK119" s="950"/>
      <c r="OQL119" s="950"/>
      <c r="OQM119" s="950"/>
      <c r="OQN119" s="950"/>
      <c r="OQO119" s="950"/>
      <c r="OQP119" s="950"/>
      <c r="OQQ119" s="950"/>
      <c r="OQR119" s="950"/>
      <c r="OQS119" s="950"/>
      <c r="OQT119" s="950"/>
      <c r="OQU119" s="950"/>
      <c r="OQV119" s="950"/>
      <c r="OQW119" s="950"/>
      <c r="OQX119" s="950"/>
      <c r="OQY119" s="950"/>
      <c r="OQZ119" s="950"/>
      <c r="ORA119" s="950"/>
      <c r="ORB119" s="950"/>
      <c r="ORC119" s="950"/>
      <c r="ORD119" s="950"/>
      <c r="ORE119" s="950"/>
      <c r="ORF119" s="950"/>
      <c r="ORG119" s="950"/>
      <c r="ORH119" s="950"/>
      <c r="ORI119" s="950"/>
      <c r="ORJ119" s="950"/>
      <c r="ORK119" s="950"/>
      <c r="ORL119" s="950"/>
      <c r="ORM119" s="950"/>
      <c r="ORN119" s="950"/>
      <c r="ORO119" s="950"/>
      <c r="ORP119" s="950"/>
      <c r="ORQ119" s="950"/>
      <c r="ORR119" s="950"/>
      <c r="ORS119" s="950"/>
      <c r="ORT119" s="950"/>
      <c r="ORU119" s="950"/>
      <c r="ORV119" s="950"/>
      <c r="ORW119" s="950"/>
      <c r="ORX119" s="950"/>
      <c r="ORY119" s="950"/>
      <c r="ORZ119" s="950"/>
      <c r="OSA119" s="950"/>
      <c r="OSB119" s="950"/>
      <c r="OSC119" s="950"/>
      <c r="OSD119" s="950"/>
      <c r="OSE119" s="950"/>
      <c r="OSF119" s="950"/>
      <c r="OSG119" s="950"/>
      <c r="OSH119" s="950"/>
      <c r="OSI119" s="950"/>
      <c r="OSJ119" s="950"/>
      <c r="OSK119" s="950"/>
      <c r="OSL119" s="950"/>
      <c r="OSM119" s="950"/>
      <c r="OSN119" s="950"/>
      <c r="OSO119" s="950"/>
      <c r="OSP119" s="950"/>
      <c r="OSQ119" s="950"/>
      <c r="OSR119" s="950"/>
      <c r="OSS119" s="950"/>
      <c r="OST119" s="950"/>
      <c r="OSU119" s="950"/>
      <c r="OSV119" s="950"/>
      <c r="OSW119" s="950"/>
      <c r="OSX119" s="950"/>
      <c r="OSY119" s="950"/>
      <c r="OSZ119" s="950"/>
      <c r="OTA119" s="950"/>
      <c r="OTB119" s="950"/>
      <c r="OTC119" s="950"/>
      <c r="OTD119" s="950"/>
      <c r="OTE119" s="950"/>
      <c r="OTF119" s="950"/>
      <c r="OTG119" s="950"/>
      <c r="OTH119" s="950"/>
      <c r="OTI119" s="950"/>
      <c r="OTJ119" s="950"/>
      <c r="OTK119" s="950"/>
      <c r="OTL119" s="950"/>
      <c r="OTM119" s="950"/>
      <c r="OTN119" s="950"/>
      <c r="OTO119" s="950"/>
      <c r="OTP119" s="950"/>
      <c r="OTQ119" s="950"/>
      <c r="OTR119" s="950"/>
      <c r="OTS119" s="950"/>
      <c r="OTT119" s="950"/>
      <c r="OTU119" s="950"/>
      <c r="OTV119" s="950"/>
      <c r="OTW119" s="950"/>
      <c r="OTX119" s="950"/>
      <c r="OTY119" s="950"/>
      <c r="OTZ119" s="950"/>
      <c r="OUA119" s="950"/>
      <c r="OUB119" s="950"/>
      <c r="OUC119" s="950"/>
      <c r="OUD119" s="950"/>
      <c r="OUE119" s="950"/>
      <c r="OUF119" s="950"/>
      <c r="OUG119" s="950"/>
      <c r="OUH119" s="950"/>
      <c r="OUI119" s="950"/>
      <c r="OUJ119" s="950"/>
      <c r="OUK119" s="950"/>
      <c r="OUL119" s="950"/>
      <c r="OUM119" s="950"/>
      <c r="OUN119" s="950"/>
      <c r="OUO119" s="950"/>
      <c r="OUP119" s="950"/>
      <c r="OUQ119" s="950"/>
      <c r="OUR119" s="950"/>
      <c r="OUS119" s="950"/>
      <c r="OUT119" s="950"/>
      <c r="OUU119" s="950"/>
      <c r="OUV119" s="950"/>
      <c r="OUW119" s="950"/>
      <c r="OUX119" s="950"/>
      <c r="OUY119" s="950"/>
      <c r="OUZ119" s="950"/>
      <c r="OVA119" s="950"/>
      <c r="OVB119" s="950"/>
      <c r="OVC119" s="950"/>
      <c r="OVD119" s="950"/>
      <c r="OVE119" s="950"/>
      <c r="OVF119" s="950"/>
      <c r="OVG119" s="950"/>
      <c r="OVH119" s="950"/>
      <c r="OVI119" s="950"/>
      <c r="OVJ119" s="950"/>
      <c r="OVK119" s="950"/>
      <c r="OVL119" s="950"/>
      <c r="OVM119" s="950"/>
      <c r="OVN119" s="950"/>
      <c r="OVO119" s="950"/>
      <c r="OVP119" s="950"/>
      <c r="OVQ119" s="950"/>
      <c r="OVR119" s="950"/>
      <c r="OVS119" s="950"/>
      <c r="OVT119" s="950"/>
      <c r="OVU119" s="950"/>
      <c r="OVV119" s="950"/>
      <c r="OVW119" s="950"/>
      <c r="OVX119" s="950"/>
      <c r="OVY119" s="950"/>
      <c r="OVZ119" s="950"/>
      <c r="OWA119" s="950"/>
      <c r="OWB119" s="950"/>
      <c r="OWC119" s="950"/>
      <c r="OWD119" s="950"/>
      <c r="OWE119" s="950"/>
      <c r="OWF119" s="950"/>
      <c r="OWG119" s="950"/>
      <c r="OWH119" s="950"/>
      <c r="OWI119" s="950"/>
      <c r="OWJ119" s="950"/>
      <c r="OWK119" s="950"/>
      <c r="OWL119" s="950"/>
      <c r="OWM119" s="950"/>
      <c r="OWN119" s="950"/>
      <c r="OWO119" s="950"/>
      <c r="OWP119" s="950"/>
      <c r="OWQ119" s="950"/>
      <c r="OWR119" s="950"/>
      <c r="OWS119" s="950"/>
      <c r="OWT119" s="950"/>
      <c r="OWU119" s="950"/>
      <c r="OWV119" s="950"/>
      <c r="OWW119" s="950"/>
      <c r="OWX119" s="950"/>
      <c r="OWY119" s="950"/>
      <c r="OWZ119" s="950"/>
      <c r="OXA119" s="950"/>
      <c r="OXB119" s="950"/>
      <c r="OXC119" s="950"/>
      <c r="OXD119" s="950"/>
      <c r="OXE119" s="950"/>
      <c r="OXF119" s="950"/>
      <c r="OXG119" s="950"/>
      <c r="OXH119" s="950"/>
      <c r="OXI119" s="950"/>
      <c r="OXJ119" s="950"/>
      <c r="OXK119" s="950"/>
      <c r="OXL119" s="950"/>
      <c r="OXM119" s="950"/>
      <c r="OXN119" s="950"/>
      <c r="OXO119" s="950"/>
      <c r="OXP119" s="950"/>
      <c r="OXQ119" s="950"/>
      <c r="OXR119" s="950"/>
      <c r="OXS119" s="950"/>
      <c r="OXT119" s="950"/>
      <c r="OXU119" s="950"/>
      <c r="OXV119" s="950"/>
      <c r="OXW119" s="950"/>
      <c r="OXX119" s="950"/>
      <c r="OXY119" s="950"/>
      <c r="OXZ119" s="950"/>
      <c r="OYA119" s="950"/>
      <c r="OYB119" s="950"/>
      <c r="OYC119" s="950"/>
      <c r="OYD119" s="950"/>
      <c r="OYE119" s="950"/>
      <c r="OYF119" s="950"/>
      <c r="OYG119" s="950"/>
      <c r="OYH119" s="950"/>
      <c r="OYI119" s="950"/>
      <c r="OYJ119" s="950"/>
      <c r="OYK119" s="950"/>
      <c r="OYL119" s="950"/>
      <c r="OYM119" s="950"/>
      <c r="OYN119" s="950"/>
      <c r="OYO119" s="950"/>
      <c r="OYP119" s="950"/>
      <c r="OYQ119" s="950"/>
      <c r="OYR119" s="950"/>
      <c r="OYS119" s="950"/>
      <c r="OYT119" s="950"/>
      <c r="OYU119" s="950"/>
      <c r="OYV119" s="950"/>
      <c r="OYW119" s="950"/>
      <c r="OYX119" s="950"/>
      <c r="OYY119" s="950"/>
      <c r="OYZ119" s="950"/>
      <c r="OZA119" s="950"/>
      <c r="OZB119" s="950"/>
      <c r="OZC119" s="950"/>
      <c r="OZD119" s="950"/>
      <c r="OZE119" s="950"/>
      <c r="OZF119" s="950"/>
      <c r="OZG119" s="950"/>
      <c r="OZH119" s="950"/>
      <c r="OZI119" s="950"/>
      <c r="OZJ119" s="950"/>
      <c r="OZK119" s="950"/>
      <c r="OZL119" s="950"/>
      <c r="OZM119" s="950"/>
      <c r="OZN119" s="950"/>
      <c r="OZO119" s="950"/>
      <c r="OZP119" s="950"/>
      <c r="OZQ119" s="950"/>
      <c r="OZR119" s="950"/>
      <c r="OZS119" s="950"/>
      <c r="OZT119" s="950"/>
      <c r="OZU119" s="950"/>
      <c r="OZV119" s="950"/>
      <c r="OZW119" s="950"/>
      <c r="OZX119" s="950"/>
      <c r="OZY119" s="950"/>
      <c r="OZZ119" s="950"/>
      <c r="PAA119" s="950"/>
      <c r="PAB119" s="950"/>
      <c r="PAC119" s="950"/>
      <c r="PAD119" s="950"/>
      <c r="PAE119" s="950"/>
      <c r="PAF119" s="950"/>
      <c r="PAG119" s="950"/>
      <c r="PAH119" s="950"/>
      <c r="PAI119" s="950"/>
      <c r="PAJ119" s="950"/>
      <c r="PAK119" s="950"/>
      <c r="PAL119" s="950"/>
      <c r="PAM119" s="950"/>
      <c r="PAN119" s="950"/>
      <c r="PAO119" s="950"/>
      <c r="PAP119" s="950"/>
      <c r="PAQ119" s="950"/>
      <c r="PAR119" s="950"/>
      <c r="PAS119" s="950"/>
      <c r="PAT119" s="950"/>
      <c r="PAU119" s="950"/>
      <c r="PAV119" s="950"/>
      <c r="PAW119" s="950"/>
      <c r="PAX119" s="950"/>
      <c r="PAY119" s="950"/>
      <c r="PAZ119" s="950"/>
      <c r="PBA119" s="950"/>
      <c r="PBB119" s="950"/>
      <c r="PBC119" s="950"/>
      <c r="PBD119" s="950"/>
      <c r="PBE119" s="950"/>
      <c r="PBF119" s="950"/>
      <c r="PBG119" s="950"/>
      <c r="PBH119" s="950"/>
      <c r="PBI119" s="950"/>
      <c r="PBJ119" s="950"/>
      <c r="PBK119" s="950"/>
      <c r="PBL119" s="950"/>
      <c r="PBM119" s="950"/>
      <c r="PBN119" s="950"/>
      <c r="PBO119" s="950"/>
      <c r="PBP119" s="950"/>
      <c r="PBQ119" s="950"/>
      <c r="PBR119" s="950"/>
      <c r="PBS119" s="950"/>
      <c r="PBT119" s="950"/>
      <c r="PBU119" s="950"/>
      <c r="PBV119" s="950"/>
      <c r="PBW119" s="950"/>
      <c r="PBX119" s="950"/>
      <c r="PBY119" s="950"/>
      <c r="PBZ119" s="950"/>
      <c r="PCA119" s="950"/>
      <c r="PCB119" s="950"/>
      <c r="PCC119" s="950"/>
      <c r="PCD119" s="950"/>
      <c r="PCE119" s="950"/>
      <c r="PCF119" s="950"/>
      <c r="PCG119" s="950"/>
      <c r="PCH119" s="950"/>
      <c r="PCI119" s="950"/>
      <c r="PCJ119" s="950"/>
      <c r="PCK119" s="950"/>
      <c r="PCL119" s="950"/>
      <c r="PCM119" s="950"/>
      <c r="PCN119" s="950"/>
      <c r="PCO119" s="950"/>
      <c r="PCP119" s="950"/>
      <c r="PCQ119" s="950"/>
      <c r="PCR119" s="950"/>
      <c r="PCS119" s="950"/>
      <c r="PCT119" s="950"/>
      <c r="PCU119" s="950"/>
      <c r="PCV119" s="950"/>
      <c r="PCW119" s="950"/>
      <c r="PCX119" s="950"/>
      <c r="PCY119" s="950"/>
      <c r="PCZ119" s="950"/>
      <c r="PDA119" s="950"/>
      <c r="PDB119" s="950"/>
      <c r="PDC119" s="950"/>
      <c r="PDD119" s="950"/>
      <c r="PDE119" s="950"/>
      <c r="PDF119" s="950"/>
      <c r="PDG119" s="950"/>
      <c r="PDH119" s="950"/>
      <c r="PDI119" s="950"/>
      <c r="PDJ119" s="950"/>
      <c r="PDK119" s="950"/>
      <c r="PDL119" s="950"/>
      <c r="PDM119" s="950"/>
      <c r="PDN119" s="950"/>
      <c r="PDO119" s="950"/>
      <c r="PDP119" s="950"/>
      <c r="PDQ119" s="950"/>
      <c r="PDR119" s="950"/>
      <c r="PDS119" s="950"/>
      <c r="PDT119" s="950"/>
      <c r="PDU119" s="950"/>
      <c r="PDV119" s="950"/>
      <c r="PDW119" s="950"/>
      <c r="PDX119" s="950"/>
      <c r="PDY119" s="950"/>
      <c r="PDZ119" s="950"/>
      <c r="PEA119" s="950"/>
      <c r="PEB119" s="950"/>
      <c r="PEC119" s="950"/>
      <c r="PED119" s="950"/>
      <c r="PEE119" s="950"/>
      <c r="PEF119" s="950"/>
      <c r="PEG119" s="950"/>
      <c r="PEH119" s="950"/>
      <c r="PEI119" s="950"/>
      <c r="PEJ119" s="950"/>
      <c r="PEK119" s="950"/>
      <c r="PEL119" s="950"/>
      <c r="PEM119" s="950"/>
      <c r="PEN119" s="950"/>
      <c r="PEO119" s="950"/>
      <c r="PEP119" s="950"/>
      <c r="PEQ119" s="950"/>
      <c r="PER119" s="950"/>
      <c r="PES119" s="950"/>
      <c r="PET119" s="950"/>
      <c r="PEU119" s="950"/>
      <c r="PEV119" s="950"/>
      <c r="PEW119" s="950"/>
      <c r="PEX119" s="950"/>
      <c r="PEY119" s="950"/>
      <c r="PEZ119" s="950"/>
      <c r="PFA119" s="950"/>
      <c r="PFB119" s="950"/>
      <c r="PFC119" s="950"/>
      <c r="PFD119" s="950"/>
      <c r="PFE119" s="950"/>
      <c r="PFF119" s="950"/>
      <c r="PFG119" s="950"/>
      <c r="PFH119" s="950"/>
      <c r="PFI119" s="950"/>
      <c r="PFJ119" s="950"/>
      <c r="PFK119" s="950"/>
      <c r="PFL119" s="950"/>
      <c r="PFM119" s="950"/>
      <c r="PFN119" s="950"/>
      <c r="PFO119" s="950"/>
      <c r="PFP119" s="950"/>
      <c r="PFQ119" s="950"/>
      <c r="PFR119" s="950"/>
      <c r="PFS119" s="950"/>
      <c r="PFT119" s="950"/>
      <c r="PFU119" s="950"/>
      <c r="PFV119" s="950"/>
      <c r="PFW119" s="950"/>
      <c r="PFX119" s="950"/>
      <c r="PFY119" s="950"/>
      <c r="PFZ119" s="950"/>
      <c r="PGA119" s="950"/>
      <c r="PGB119" s="950"/>
      <c r="PGC119" s="950"/>
      <c r="PGD119" s="950"/>
      <c r="PGE119" s="950"/>
      <c r="PGF119" s="950"/>
      <c r="PGG119" s="950"/>
      <c r="PGH119" s="950"/>
      <c r="PGI119" s="950"/>
      <c r="PGJ119" s="950"/>
      <c r="PGK119" s="950"/>
      <c r="PGL119" s="950"/>
      <c r="PGM119" s="950"/>
      <c r="PGN119" s="950"/>
      <c r="PGO119" s="950"/>
      <c r="PGP119" s="950"/>
      <c r="PGQ119" s="950"/>
      <c r="PGR119" s="950"/>
      <c r="PGS119" s="950"/>
      <c r="PGT119" s="950"/>
      <c r="PGU119" s="950"/>
      <c r="PGV119" s="950"/>
      <c r="PGW119" s="950"/>
      <c r="PGX119" s="950"/>
      <c r="PGY119" s="950"/>
      <c r="PGZ119" s="950"/>
      <c r="PHA119" s="950"/>
      <c r="PHB119" s="950"/>
      <c r="PHC119" s="950"/>
      <c r="PHD119" s="950"/>
      <c r="PHE119" s="950"/>
      <c r="PHF119" s="950"/>
      <c r="PHG119" s="950"/>
      <c r="PHH119" s="950"/>
      <c r="PHI119" s="950"/>
      <c r="PHJ119" s="950"/>
      <c r="PHK119" s="950"/>
      <c r="PHL119" s="950"/>
      <c r="PHM119" s="950"/>
      <c r="PHN119" s="950"/>
      <c r="PHO119" s="950"/>
      <c r="PHP119" s="950"/>
      <c r="PHQ119" s="950"/>
      <c r="PHR119" s="950"/>
      <c r="PHS119" s="950"/>
      <c r="PHT119" s="950"/>
      <c r="PHU119" s="950"/>
      <c r="PHV119" s="950"/>
      <c r="PHW119" s="950"/>
      <c r="PHX119" s="950"/>
      <c r="PHY119" s="950"/>
      <c r="PHZ119" s="950"/>
      <c r="PIA119" s="950"/>
      <c r="PIB119" s="950"/>
      <c r="PIC119" s="950"/>
      <c r="PID119" s="950"/>
      <c r="PIE119" s="950"/>
      <c r="PIF119" s="950"/>
      <c r="PIG119" s="950"/>
      <c r="PIH119" s="950"/>
      <c r="PII119" s="950"/>
      <c r="PIJ119" s="950"/>
      <c r="PIK119" s="950"/>
      <c r="PIL119" s="950"/>
      <c r="PIM119" s="950"/>
      <c r="PIN119" s="950"/>
      <c r="PIO119" s="950"/>
      <c r="PIP119" s="950"/>
      <c r="PIQ119" s="950"/>
      <c r="PIR119" s="950"/>
      <c r="PIS119" s="950"/>
      <c r="PIT119" s="950"/>
      <c r="PIU119" s="950"/>
      <c r="PIV119" s="950"/>
      <c r="PIW119" s="950"/>
      <c r="PIX119" s="950"/>
      <c r="PIY119" s="950"/>
      <c r="PIZ119" s="950"/>
      <c r="PJA119" s="950"/>
      <c r="PJB119" s="950"/>
      <c r="PJC119" s="950"/>
      <c r="PJD119" s="950"/>
      <c r="PJE119" s="950"/>
      <c r="PJF119" s="950"/>
      <c r="PJG119" s="950"/>
      <c r="PJH119" s="950"/>
      <c r="PJI119" s="950"/>
      <c r="PJJ119" s="950"/>
      <c r="PJK119" s="950"/>
      <c r="PJL119" s="950"/>
      <c r="PJM119" s="950"/>
      <c r="PJN119" s="950"/>
      <c r="PJO119" s="950"/>
      <c r="PJP119" s="950"/>
      <c r="PJQ119" s="950"/>
      <c r="PJR119" s="950"/>
      <c r="PJS119" s="950"/>
      <c r="PJT119" s="950"/>
      <c r="PJU119" s="950"/>
      <c r="PJV119" s="950"/>
      <c r="PJW119" s="950"/>
      <c r="PJX119" s="950"/>
      <c r="PJY119" s="950"/>
      <c r="PJZ119" s="950"/>
      <c r="PKA119" s="950"/>
      <c r="PKB119" s="950"/>
      <c r="PKC119" s="950"/>
      <c r="PKD119" s="950"/>
      <c r="PKE119" s="950"/>
      <c r="PKF119" s="950"/>
      <c r="PKG119" s="950"/>
      <c r="PKH119" s="950"/>
      <c r="PKI119" s="950"/>
      <c r="PKJ119" s="950"/>
      <c r="PKK119" s="950"/>
      <c r="PKL119" s="950"/>
      <c r="PKM119" s="950"/>
      <c r="PKN119" s="950"/>
      <c r="PKO119" s="950"/>
      <c r="PKP119" s="950"/>
      <c r="PKQ119" s="950"/>
      <c r="PKR119" s="950"/>
      <c r="PKS119" s="950"/>
      <c r="PKT119" s="950"/>
      <c r="PKU119" s="950"/>
      <c r="PKV119" s="950"/>
      <c r="PKW119" s="950"/>
      <c r="PKX119" s="950"/>
      <c r="PKY119" s="950"/>
      <c r="PKZ119" s="950"/>
      <c r="PLA119" s="950"/>
      <c r="PLB119" s="950"/>
      <c r="PLC119" s="950"/>
      <c r="PLD119" s="950"/>
      <c r="PLE119" s="950"/>
      <c r="PLF119" s="950"/>
      <c r="PLG119" s="950"/>
      <c r="PLH119" s="950"/>
      <c r="PLI119" s="950"/>
      <c r="PLJ119" s="950"/>
      <c r="PLK119" s="950"/>
      <c r="PLL119" s="950"/>
      <c r="PLM119" s="950"/>
      <c r="PLN119" s="950"/>
      <c r="PLO119" s="950"/>
      <c r="PLP119" s="950"/>
      <c r="PLQ119" s="950"/>
      <c r="PLR119" s="950"/>
      <c r="PLS119" s="950"/>
      <c r="PLT119" s="950"/>
      <c r="PLU119" s="950"/>
      <c r="PLV119" s="950"/>
      <c r="PLW119" s="950"/>
      <c r="PLX119" s="950"/>
      <c r="PLY119" s="950"/>
      <c r="PLZ119" s="950"/>
      <c r="PMA119" s="950"/>
      <c r="PMB119" s="950"/>
      <c r="PMC119" s="950"/>
      <c r="PMD119" s="950"/>
      <c r="PME119" s="950"/>
      <c r="PMF119" s="950"/>
      <c r="PMG119" s="950"/>
      <c r="PMH119" s="950"/>
      <c r="PMI119" s="950"/>
      <c r="PMJ119" s="950"/>
      <c r="PMK119" s="950"/>
      <c r="PML119" s="950"/>
      <c r="PMM119" s="950"/>
      <c r="PMN119" s="950"/>
      <c r="PMO119" s="950"/>
      <c r="PMP119" s="950"/>
      <c r="PMQ119" s="950"/>
      <c r="PMR119" s="950"/>
      <c r="PMS119" s="950"/>
      <c r="PMT119" s="950"/>
      <c r="PMU119" s="950"/>
      <c r="PMV119" s="950"/>
      <c r="PMW119" s="950"/>
      <c r="PMX119" s="950"/>
      <c r="PMY119" s="950"/>
      <c r="PMZ119" s="950"/>
      <c r="PNA119" s="950"/>
      <c r="PNB119" s="950"/>
      <c r="PNC119" s="950"/>
      <c r="PND119" s="950"/>
      <c r="PNE119" s="950"/>
      <c r="PNF119" s="950"/>
      <c r="PNG119" s="950"/>
      <c r="PNH119" s="950"/>
      <c r="PNI119" s="950"/>
      <c r="PNJ119" s="950"/>
      <c r="PNK119" s="950"/>
      <c r="PNL119" s="950"/>
      <c r="PNM119" s="950"/>
      <c r="PNN119" s="950"/>
      <c r="PNO119" s="950"/>
      <c r="PNP119" s="950"/>
      <c r="PNQ119" s="950"/>
      <c r="PNR119" s="950"/>
      <c r="PNS119" s="950"/>
      <c r="PNT119" s="950"/>
      <c r="PNU119" s="950"/>
      <c r="PNV119" s="950"/>
      <c r="PNW119" s="950"/>
      <c r="PNX119" s="950"/>
      <c r="PNY119" s="950"/>
      <c r="PNZ119" s="950"/>
      <c r="POA119" s="950"/>
      <c r="POB119" s="950"/>
      <c r="POC119" s="950"/>
      <c r="POD119" s="950"/>
      <c r="POE119" s="950"/>
      <c r="POF119" s="950"/>
      <c r="POG119" s="950"/>
      <c r="POH119" s="950"/>
      <c r="POI119" s="950"/>
      <c r="POJ119" s="950"/>
      <c r="POK119" s="950"/>
      <c r="POL119" s="950"/>
      <c r="POM119" s="950"/>
      <c r="PON119" s="950"/>
      <c r="POO119" s="950"/>
      <c r="POP119" s="950"/>
      <c r="POQ119" s="950"/>
      <c r="POR119" s="950"/>
      <c r="POS119" s="950"/>
      <c r="POT119" s="950"/>
      <c r="POU119" s="950"/>
      <c r="POV119" s="950"/>
      <c r="POW119" s="950"/>
      <c r="POX119" s="950"/>
      <c r="POY119" s="950"/>
      <c r="POZ119" s="950"/>
      <c r="PPA119" s="950"/>
      <c r="PPB119" s="950"/>
      <c r="PPC119" s="950"/>
      <c r="PPD119" s="950"/>
      <c r="PPE119" s="950"/>
      <c r="PPF119" s="950"/>
      <c r="PPG119" s="950"/>
      <c r="PPH119" s="950"/>
      <c r="PPI119" s="950"/>
      <c r="PPJ119" s="950"/>
      <c r="PPK119" s="950"/>
      <c r="PPL119" s="950"/>
      <c r="PPM119" s="950"/>
      <c r="PPN119" s="950"/>
      <c r="PPO119" s="950"/>
      <c r="PPP119" s="950"/>
      <c r="PPQ119" s="950"/>
      <c r="PPR119" s="950"/>
      <c r="PPS119" s="950"/>
      <c r="PPT119" s="950"/>
      <c r="PPU119" s="950"/>
      <c r="PPV119" s="950"/>
      <c r="PPW119" s="950"/>
      <c r="PPX119" s="950"/>
      <c r="PPY119" s="950"/>
      <c r="PPZ119" s="950"/>
      <c r="PQA119" s="950"/>
      <c r="PQB119" s="950"/>
      <c r="PQC119" s="950"/>
      <c r="PQD119" s="950"/>
      <c r="PQE119" s="950"/>
      <c r="PQF119" s="950"/>
      <c r="PQG119" s="950"/>
      <c r="PQH119" s="950"/>
      <c r="PQI119" s="950"/>
      <c r="PQJ119" s="950"/>
      <c r="PQK119" s="950"/>
      <c r="PQL119" s="950"/>
      <c r="PQM119" s="950"/>
      <c r="PQN119" s="950"/>
      <c r="PQO119" s="950"/>
      <c r="PQP119" s="950"/>
      <c r="PQQ119" s="950"/>
      <c r="PQR119" s="950"/>
      <c r="PQS119" s="950"/>
      <c r="PQT119" s="950"/>
      <c r="PQU119" s="950"/>
      <c r="PQV119" s="950"/>
      <c r="PQW119" s="950"/>
      <c r="PQX119" s="950"/>
      <c r="PQY119" s="950"/>
      <c r="PQZ119" s="950"/>
      <c r="PRA119" s="950"/>
      <c r="PRB119" s="950"/>
      <c r="PRC119" s="950"/>
      <c r="PRD119" s="950"/>
      <c r="PRE119" s="950"/>
      <c r="PRF119" s="950"/>
      <c r="PRG119" s="950"/>
      <c r="PRH119" s="950"/>
      <c r="PRI119" s="950"/>
      <c r="PRJ119" s="950"/>
      <c r="PRK119" s="950"/>
      <c r="PRL119" s="950"/>
      <c r="PRM119" s="950"/>
      <c r="PRN119" s="950"/>
      <c r="PRO119" s="950"/>
      <c r="PRP119" s="950"/>
      <c r="PRQ119" s="950"/>
      <c r="PRR119" s="950"/>
      <c r="PRS119" s="950"/>
      <c r="PRT119" s="950"/>
      <c r="PRU119" s="950"/>
      <c r="PRV119" s="950"/>
      <c r="PRW119" s="950"/>
      <c r="PRX119" s="950"/>
      <c r="PRY119" s="950"/>
      <c r="PRZ119" s="950"/>
      <c r="PSA119" s="950"/>
      <c r="PSB119" s="950"/>
      <c r="PSC119" s="950"/>
      <c r="PSD119" s="950"/>
      <c r="PSE119" s="950"/>
      <c r="PSF119" s="950"/>
      <c r="PSG119" s="950"/>
      <c r="PSH119" s="950"/>
      <c r="PSI119" s="950"/>
      <c r="PSJ119" s="950"/>
      <c r="PSK119" s="950"/>
      <c r="PSL119" s="950"/>
      <c r="PSM119" s="950"/>
      <c r="PSN119" s="950"/>
      <c r="PSO119" s="950"/>
      <c r="PSP119" s="950"/>
      <c r="PSQ119" s="950"/>
      <c r="PSR119" s="950"/>
      <c r="PSS119" s="950"/>
      <c r="PST119" s="950"/>
      <c r="PSU119" s="950"/>
      <c r="PSV119" s="950"/>
      <c r="PSW119" s="950"/>
      <c r="PSX119" s="950"/>
      <c r="PSY119" s="950"/>
      <c r="PSZ119" s="950"/>
      <c r="PTA119" s="950"/>
      <c r="PTB119" s="950"/>
      <c r="PTC119" s="950"/>
      <c r="PTD119" s="950"/>
      <c r="PTE119" s="950"/>
      <c r="PTF119" s="950"/>
      <c r="PTG119" s="950"/>
      <c r="PTH119" s="950"/>
      <c r="PTI119" s="950"/>
      <c r="PTJ119" s="950"/>
      <c r="PTK119" s="950"/>
      <c r="PTL119" s="950"/>
      <c r="PTM119" s="950"/>
      <c r="PTN119" s="950"/>
      <c r="PTO119" s="950"/>
      <c r="PTP119" s="950"/>
      <c r="PTQ119" s="950"/>
      <c r="PTR119" s="950"/>
      <c r="PTS119" s="950"/>
      <c r="PTT119" s="950"/>
      <c r="PTU119" s="950"/>
      <c r="PTV119" s="950"/>
      <c r="PTW119" s="950"/>
      <c r="PTX119" s="950"/>
      <c r="PTY119" s="950"/>
      <c r="PTZ119" s="950"/>
      <c r="PUA119" s="950"/>
      <c r="PUB119" s="950"/>
      <c r="PUC119" s="950"/>
      <c r="PUD119" s="950"/>
      <c r="PUE119" s="950"/>
      <c r="PUF119" s="950"/>
      <c r="PUG119" s="950"/>
      <c r="PUH119" s="950"/>
      <c r="PUI119" s="950"/>
      <c r="PUJ119" s="950"/>
      <c r="PUK119" s="950"/>
      <c r="PUL119" s="950"/>
      <c r="PUM119" s="950"/>
      <c r="PUN119" s="950"/>
      <c r="PUO119" s="950"/>
      <c r="PUP119" s="950"/>
      <c r="PUQ119" s="950"/>
      <c r="PUR119" s="950"/>
      <c r="PUS119" s="950"/>
      <c r="PUT119" s="950"/>
      <c r="PUU119" s="950"/>
      <c r="PUV119" s="950"/>
      <c r="PUW119" s="950"/>
      <c r="PUX119" s="950"/>
      <c r="PUY119" s="950"/>
      <c r="PUZ119" s="950"/>
      <c r="PVA119" s="950"/>
      <c r="PVB119" s="950"/>
      <c r="PVC119" s="950"/>
      <c r="PVD119" s="950"/>
      <c r="PVE119" s="950"/>
      <c r="PVF119" s="950"/>
      <c r="PVG119" s="950"/>
      <c r="PVH119" s="950"/>
      <c r="PVI119" s="950"/>
      <c r="PVJ119" s="950"/>
      <c r="PVK119" s="950"/>
      <c r="PVL119" s="950"/>
      <c r="PVM119" s="950"/>
      <c r="PVN119" s="950"/>
      <c r="PVO119" s="950"/>
      <c r="PVP119" s="950"/>
      <c r="PVQ119" s="950"/>
      <c r="PVR119" s="950"/>
      <c r="PVS119" s="950"/>
      <c r="PVT119" s="950"/>
      <c r="PVU119" s="950"/>
      <c r="PVV119" s="950"/>
      <c r="PVW119" s="950"/>
      <c r="PVX119" s="950"/>
      <c r="PVY119" s="950"/>
      <c r="PVZ119" s="950"/>
      <c r="PWA119" s="950"/>
      <c r="PWB119" s="950"/>
      <c r="PWC119" s="950"/>
      <c r="PWD119" s="950"/>
      <c r="PWE119" s="950"/>
      <c r="PWF119" s="950"/>
      <c r="PWG119" s="950"/>
      <c r="PWH119" s="950"/>
      <c r="PWI119" s="950"/>
      <c r="PWJ119" s="950"/>
      <c r="PWK119" s="950"/>
      <c r="PWL119" s="950"/>
      <c r="PWM119" s="950"/>
      <c r="PWN119" s="950"/>
      <c r="PWO119" s="950"/>
      <c r="PWP119" s="950"/>
      <c r="PWQ119" s="950"/>
      <c r="PWR119" s="950"/>
      <c r="PWS119" s="950"/>
      <c r="PWT119" s="950"/>
      <c r="PWU119" s="950"/>
      <c r="PWV119" s="950"/>
      <c r="PWW119" s="950"/>
      <c r="PWX119" s="950"/>
      <c r="PWY119" s="950"/>
      <c r="PWZ119" s="950"/>
      <c r="PXA119" s="950"/>
      <c r="PXB119" s="950"/>
      <c r="PXC119" s="950"/>
      <c r="PXD119" s="950"/>
      <c r="PXE119" s="950"/>
      <c r="PXF119" s="950"/>
      <c r="PXG119" s="950"/>
      <c r="PXH119" s="950"/>
      <c r="PXI119" s="950"/>
      <c r="PXJ119" s="950"/>
      <c r="PXK119" s="950"/>
      <c r="PXL119" s="950"/>
      <c r="PXM119" s="950"/>
      <c r="PXN119" s="950"/>
      <c r="PXO119" s="950"/>
      <c r="PXP119" s="950"/>
      <c r="PXQ119" s="950"/>
      <c r="PXR119" s="950"/>
      <c r="PXS119" s="950"/>
      <c r="PXT119" s="950"/>
      <c r="PXU119" s="950"/>
      <c r="PXV119" s="950"/>
      <c r="PXW119" s="950"/>
      <c r="PXX119" s="950"/>
      <c r="PXY119" s="950"/>
      <c r="PXZ119" s="950"/>
      <c r="PYA119" s="950"/>
      <c r="PYB119" s="950"/>
      <c r="PYC119" s="950"/>
      <c r="PYD119" s="950"/>
      <c r="PYE119" s="950"/>
      <c r="PYF119" s="950"/>
      <c r="PYG119" s="950"/>
      <c r="PYH119" s="950"/>
      <c r="PYI119" s="950"/>
      <c r="PYJ119" s="950"/>
      <c r="PYK119" s="950"/>
      <c r="PYL119" s="950"/>
      <c r="PYM119" s="950"/>
      <c r="PYN119" s="950"/>
      <c r="PYO119" s="950"/>
      <c r="PYP119" s="950"/>
      <c r="PYQ119" s="950"/>
      <c r="PYR119" s="950"/>
      <c r="PYS119" s="950"/>
      <c r="PYT119" s="950"/>
      <c r="PYU119" s="950"/>
      <c r="PYV119" s="950"/>
      <c r="PYW119" s="950"/>
      <c r="PYX119" s="950"/>
      <c r="PYY119" s="950"/>
      <c r="PYZ119" s="950"/>
      <c r="PZA119" s="950"/>
      <c r="PZB119" s="950"/>
      <c r="PZC119" s="950"/>
      <c r="PZD119" s="950"/>
      <c r="PZE119" s="950"/>
      <c r="PZF119" s="950"/>
      <c r="PZG119" s="950"/>
      <c r="PZH119" s="950"/>
      <c r="PZI119" s="950"/>
      <c r="PZJ119" s="950"/>
      <c r="PZK119" s="950"/>
      <c r="PZL119" s="950"/>
      <c r="PZM119" s="950"/>
      <c r="PZN119" s="950"/>
      <c r="PZO119" s="950"/>
      <c r="PZP119" s="950"/>
      <c r="PZQ119" s="950"/>
      <c r="PZR119" s="950"/>
      <c r="PZS119" s="950"/>
      <c r="PZT119" s="950"/>
      <c r="PZU119" s="950"/>
      <c r="PZV119" s="950"/>
      <c r="PZW119" s="950"/>
      <c r="PZX119" s="950"/>
      <c r="PZY119" s="950"/>
      <c r="PZZ119" s="950"/>
      <c r="QAA119" s="950"/>
      <c r="QAB119" s="950"/>
      <c r="QAC119" s="950"/>
      <c r="QAD119" s="950"/>
      <c r="QAE119" s="950"/>
      <c r="QAF119" s="950"/>
      <c r="QAG119" s="950"/>
      <c r="QAH119" s="950"/>
      <c r="QAI119" s="950"/>
      <c r="QAJ119" s="950"/>
      <c r="QAK119" s="950"/>
      <c r="QAL119" s="950"/>
      <c r="QAM119" s="950"/>
      <c r="QAN119" s="950"/>
      <c r="QAO119" s="950"/>
      <c r="QAP119" s="950"/>
      <c r="QAQ119" s="950"/>
      <c r="QAR119" s="950"/>
      <c r="QAS119" s="950"/>
      <c r="QAT119" s="950"/>
      <c r="QAU119" s="950"/>
      <c r="QAV119" s="950"/>
      <c r="QAW119" s="950"/>
      <c r="QAX119" s="950"/>
      <c r="QAY119" s="950"/>
      <c r="QAZ119" s="950"/>
      <c r="QBA119" s="950"/>
      <c r="QBB119" s="950"/>
      <c r="QBC119" s="950"/>
      <c r="QBD119" s="950"/>
      <c r="QBE119" s="950"/>
      <c r="QBF119" s="950"/>
      <c r="QBG119" s="950"/>
      <c r="QBH119" s="950"/>
      <c r="QBI119" s="950"/>
      <c r="QBJ119" s="950"/>
      <c r="QBK119" s="950"/>
      <c r="QBL119" s="950"/>
      <c r="QBM119" s="950"/>
      <c r="QBN119" s="950"/>
      <c r="QBO119" s="950"/>
      <c r="QBP119" s="950"/>
      <c r="QBQ119" s="950"/>
      <c r="QBR119" s="950"/>
      <c r="QBS119" s="950"/>
      <c r="QBT119" s="950"/>
      <c r="QBU119" s="950"/>
      <c r="QBV119" s="950"/>
      <c r="QBW119" s="950"/>
      <c r="QBX119" s="950"/>
      <c r="QBY119" s="950"/>
      <c r="QBZ119" s="950"/>
      <c r="QCA119" s="950"/>
      <c r="QCB119" s="950"/>
      <c r="QCC119" s="950"/>
      <c r="QCD119" s="950"/>
      <c r="QCE119" s="950"/>
      <c r="QCF119" s="950"/>
      <c r="QCG119" s="950"/>
      <c r="QCH119" s="950"/>
      <c r="QCI119" s="950"/>
      <c r="QCJ119" s="950"/>
      <c r="QCK119" s="950"/>
      <c r="QCL119" s="950"/>
      <c r="QCM119" s="950"/>
      <c r="QCN119" s="950"/>
      <c r="QCO119" s="950"/>
      <c r="QCP119" s="950"/>
      <c r="QCQ119" s="950"/>
      <c r="QCR119" s="950"/>
      <c r="QCS119" s="950"/>
      <c r="QCT119" s="950"/>
      <c r="QCU119" s="950"/>
      <c r="QCV119" s="950"/>
      <c r="QCW119" s="950"/>
      <c r="QCX119" s="950"/>
      <c r="QCY119" s="950"/>
      <c r="QCZ119" s="950"/>
      <c r="QDA119" s="950"/>
      <c r="QDB119" s="950"/>
      <c r="QDC119" s="950"/>
      <c r="QDD119" s="950"/>
      <c r="QDE119" s="950"/>
      <c r="QDF119" s="950"/>
      <c r="QDG119" s="950"/>
      <c r="QDH119" s="950"/>
      <c r="QDI119" s="950"/>
      <c r="QDJ119" s="950"/>
      <c r="QDK119" s="950"/>
      <c r="QDL119" s="950"/>
      <c r="QDM119" s="950"/>
      <c r="QDN119" s="950"/>
      <c r="QDO119" s="950"/>
      <c r="QDP119" s="950"/>
      <c r="QDQ119" s="950"/>
      <c r="QDR119" s="950"/>
      <c r="QDS119" s="950"/>
      <c r="QDT119" s="950"/>
      <c r="QDU119" s="950"/>
      <c r="QDV119" s="950"/>
      <c r="QDW119" s="950"/>
      <c r="QDX119" s="950"/>
      <c r="QDY119" s="950"/>
      <c r="QDZ119" s="950"/>
      <c r="QEA119" s="950"/>
      <c r="QEB119" s="950"/>
      <c r="QEC119" s="950"/>
      <c r="QED119" s="950"/>
      <c r="QEE119" s="950"/>
      <c r="QEF119" s="950"/>
      <c r="QEG119" s="950"/>
      <c r="QEH119" s="950"/>
      <c r="QEI119" s="950"/>
      <c r="QEJ119" s="950"/>
      <c r="QEK119" s="950"/>
      <c r="QEL119" s="950"/>
      <c r="QEM119" s="950"/>
      <c r="QEN119" s="950"/>
      <c r="QEO119" s="950"/>
      <c r="QEP119" s="950"/>
      <c r="QEQ119" s="950"/>
      <c r="QER119" s="950"/>
      <c r="QES119" s="950"/>
      <c r="QET119" s="950"/>
      <c r="QEU119" s="950"/>
      <c r="QEV119" s="950"/>
      <c r="QEW119" s="950"/>
      <c r="QEX119" s="950"/>
      <c r="QEY119" s="950"/>
      <c r="QEZ119" s="950"/>
      <c r="QFA119" s="950"/>
      <c r="QFB119" s="950"/>
      <c r="QFC119" s="950"/>
      <c r="QFD119" s="950"/>
      <c r="QFE119" s="950"/>
      <c r="QFF119" s="950"/>
      <c r="QFG119" s="950"/>
      <c r="QFH119" s="950"/>
      <c r="QFI119" s="950"/>
      <c r="QFJ119" s="950"/>
      <c r="QFK119" s="950"/>
      <c r="QFL119" s="950"/>
      <c r="QFM119" s="950"/>
      <c r="QFN119" s="950"/>
      <c r="QFO119" s="950"/>
      <c r="QFP119" s="950"/>
      <c r="QFQ119" s="950"/>
      <c r="QFR119" s="950"/>
      <c r="QFS119" s="950"/>
      <c r="QFT119" s="950"/>
      <c r="QFU119" s="950"/>
      <c r="QFV119" s="950"/>
      <c r="QFW119" s="950"/>
      <c r="QFX119" s="950"/>
      <c r="QFY119" s="950"/>
      <c r="QFZ119" s="950"/>
      <c r="QGA119" s="950"/>
      <c r="QGB119" s="950"/>
      <c r="QGC119" s="950"/>
      <c r="QGD119" s="950"/>
      <c r="QGE119" s="950"/>
      <c r="QGF119" s="950"/>
      <c r="QGG119" s="950"/>
      <c r="QGH119" s="950"/>
      <c r="QGI119" s="950"/>
      <c r="QGJ119" s="950"/>
      <c r="QGK119" s="950"/>
      <c r="QGL119" s="950"/>
      <c r="QGM119" s="950"/>
      <c r="QGN119" s="950"/>
      <c r="QGO119" s="950"/>
      <c r="QGP119" s="950"/>
      <c r="QGQ119" s="950"/>
      <c r="QGR119" s="950"/>
      <c r="QGS119" s="950"/>
      <c r="QGT119" s="950"/>
      <c r="QGU119" s="950"/>
      <c r="QGV119" s="950"/>
      <c r="QGW119" s="950"/>
      <c r="QGX119" s="950"/>
      <c r="QGY119" s="950"/>
      <c r="QGZ119" s="950"/>
      <c r="QHA119" s="950"/>
      <c r="QHB119" s="950"/>
      <c r="QHC119" s="950"/>
      <c r="QHD119" s="950"/>
      <c r="QHE119" s="950"/>
      <c r="QHF119" s="950"/>
      <c r="QHG119" s="950"/>
      <c r="QHH119" s="950"/>
      <c r="QHI119" s="950"/>
      <c r="QHJ119" s="950"/>
      <c r="QHK119" s="950"/>
      <c r="QHL119" s="950"/>
      <c r="QHM119" s="950"/>
      <c r="QHN119" s="950"/>
      <c r="QHO119" s="950"/>
      <c r="QHP119" s="950"/>
      <c r="QHQ119" s="950"/>
      <c r="QHR119" s="950"/>
      <c r="QHS119" s="950"/>
      <c r="QHT119" s="950"/>
      <c r="QHU119" s="950"/>
      <c r="QHV119" s="950"/>
      <c r="QHW119" s="950"/>
      <c r="QHX119" s="950"/>
      <c r="QHY119" s="950"/>
      <c r="QHZ119" s="950"/>
      <c r="QIA119" s="950"/>
      <c r="QIB119" s="950"/>
      <c r="QIC119" s="950"/>
      <c r="QID119" s="950"/>
      <c r="QIE119" s="950"/>
      <c r="QIF119" s="950"/>
      <c r="QIG119" s="950"/>
      <c r="QIH119" s="950"/>
      <c r="QII119" s="950"/>
      <c r="QIJ119" s="950"/>
      <c r="QIK119" s="950"/>
      <c r="QIL119" s="950"/>
      <c r="QIM119" s="950"/>
      <c r="QIN119" s="950"/>
      <c r="QIO119" s="950"/>
      <c r="QIP119" s="950"/>
      <c r="QIQ119" s="950"/>
      <c r="QIR119" s="950"/>
      <c r="QIS119" s="950"/>
      <c r="QIT119" s="950"/>
      <c r="QIU119" s="950"/>
      <c r="QIV119" s="950"/>
      <c r="QIW119" s="950"/>
      <c r="QIX119" s="950"/>
      <c r="QIY119" s="950"/>
      <c r="QIZ119" s="950"/>
      <c r="QJA119" s="950"/>
      <c r="QJB119" s="950"/>
      <c r="QJC119" s="950"/>
      <c r="QJD119" s="950"/>
      <c r="QJE119" s="950"/>
      <c r="QJF119" s="950"/>
      <c r="QJG119" s="950"/>
      <c r="QJH119" s="950"/>
      <c r="QJI119" s="950"/>
      <c r="QJJ119" s="950"/>
      <c r="QJK119" s="950"/>
      <c r="QJL119" s="950"/>
      <c r="QJM119" s="950"/>
      <c r="QJN119" s="950"/>
      <c r="QJO119" s="950"/>
      <c r="QJP119" s="950"/>
      <c r="QJQ119" s="950"/>
      <c r="QJR119" s="950"/>
      <c r="QJS119" s="950"/>
      <c r="QJT119" s="950"/>
      <c r="QJU119" s="950"/>
      <c r="QJV119" s="950"/>
      <c r="QJW119" s="950"/>
      <c r="QJX119" s="950"/>
      <c r="QJY119" s="950"/>
      <c r="QJZ119" s="950"/>
      <c r="QKA119" s="950"/>
      <c r="QKB119" s="950"/>
      <c r="QKC119" s="950"/>
      <c r="QKD119" s="950"/>
      <c r="QKE119" s="950"/>
      <c r="QKF119" s="950"/>
      <c r="QKG119" s="950"/>
      <c r="QKH119" s="950"/>
      <c r="QKI119" s="950"/>
      <c r="QKJ119" s="950"/>
      <c r="QKK119" s="950"/>
      <c r="QKL119" s="950"/>
      <c r="QKM119" s="950"/>
      <c r="QKN119" s="950"/>
      <c r="QKO119" s="950"/>
      <c r="QKP119" s="950"/>
      <c r="QKQ119" s="950"/>
      <c r="QKR119" s="950"/>
      <c r="QKS119" s="950"/>
      <c r="QKT119" s="950"/>
      <c r="QKU119" s="950"/>
      <c r="QKV119" s="950"/>
      <c r="QKW119" s="950"/>
      <c r="QKX119" s="950"/>
      <c r="QKY119" s="950"/>
      <c r="QKZ119" s="950"/>
      <c r="QLA119" s="950"/>
      <c r="QLB119" s="950"/>
      <c r="QLC119" s="950"/>
      <c r="QLD119" s="950"/>
      <c r="QLE119" s="950"/>
      <c r="QLF119" s="950"/>
      <c r="QLG119" s="950"/>
      <c r="QLH119" s="950"/>
      <c r="QLI119" s="950"/>
      <c r="QLJ119" s="950"/>
      <c r="QLK119" s="950"/>
      <c r="QLL119" s="950"/>
      <c r="QLM119" s="950"/>
      <c r="QLN119" s="950"/>
      <c r="QLO119" s="950"/>
      <c r="QLP119" s="950"/>
      <c r="QLQ119" s="950"/>
      <c r="QLR119" s="950"/>
      <c r="QLS119" s="950"/>
      <c r="QLT119" s="950"/>
      <c r="QLU119" s="950"/>
      <c r="QLV119" s="950"/>
      <c r="QLW119" s="950"/>
      <c r="QLX119" s="950"/>
      <c r="QLY119" s="950"/>
      <c r="QLZ119" s="950"/>
      <c r="QMA119" s="950"/>
      <c r="QMB119" s="950"/>
      <c r="QMC119" s="950"/>
      <c r="QMD119" s="950"/>
      <c r="QME119" s="950"/>
      <c r="QMF119" s="950"/>
      <c r="QMG119" s="950"/>
      <c r="QMH119" s="950"/>
      <c r="QMI119" s="950"/>
      <c r="QMJ119" s="950"/>
      <c r="QMK119" s="950"/>
      <c r="QML119" s="950"/>
      <c r="QMM119" s="950"/>
      <c r="QMN119" s="950"/>
      <c r="QMO119" s="950"/>
      <c r="QMP119" s="950"/>
      <c r="QMQ119" s="950"/>
      <c r="QMR119" s="950"/>
      <c r="QMS119" s="950"/>
      <c r="QMT119" s="950"/>
      <c r="QMU119" s="950"/>
      <c r="QMV119" s="950"/>
      <c r="QMW119" s="950"/>
      <c r="QMX119" s="950"/>
      <c r="QMY119" s="950"/>
      <c r="QMZ119" s="950"/>
      <c r="QNA119" s="950"/>
      <c r="QNB119" s="950"/>
      <c r="QNC119" s="950"/>
      <c r="QND119" s="950"/>
      <c r="QNE119" s="950"/>
      <c r="QNF119" s="950"/>
      <c r="QNG119" s="950"/>
      <c r="QNH119" s="950"/>
      <c r="QNI119" s="950"/>
      <c r="QNJ119" s="950"/>
      <c r="QNK119" s="950"/>
      <c r="QNL119" s="950"/>
      <c r="QNM119" s="950"/>
      <c r="QNN119" s="950"/>
      <c r="QNO119" s="950"/>
      <c r="QNP119" s="950"/>
      <c r="QNQ119" s="950"/>
      <c r="QNR119" s="950"/>
      <c r="QNS119" s="950"/>
      <c r="QNT119" s="950"/>
      <c r="QNU119" s="950"/>
      <c r="QNV119" s="950"/>
      <c r="QNW119" s="950"/>
      <c r="QNX119" s="950"/>
      <c r="QNY119" s="950"/>
      <c r="QNZ119" s="950"/>
      <c r="QOA119" s="950"/>
      <c r="QOB119" s="950"/>
      <c r="QOC119" s="950"/>
      <c r="QOD119" s="950"/>
      <c r="QOE119" s="950"/>
      <c r="QOF119" s="950"/>
      <c r="QOG119" s="950"/>
      <c r="QOH119" s="950"/>
      <c r="QOI119" s="950"/>
      <c r="QOJ119" s="950"/>
      <c r="QOK119" s="950"/>
      <c r="QOL119" s="950"/>
      <c r="QOM119" s="950"/>
      <c r="QON119" s="950"/>
      <c r="QOO119" s="950"/>
      <c r="QOP119" s="950"/>
      <c r="QOQ119" s="950"/>
      <c r="QOR119" s="950"/>
      <c r="QOS119" s="950"/>
      <c r="QOT119" s="950"/>
      <c r="QOU119" s="950"/>
      <c r="QOV119" s="950"/>
      <c r="QOW119" s="950"/>
      <c r="QOX119" s="950"/>
      <c r="QOY119" s="950"/>
      <c r="QOZ119" s="950"/>
      <c r="QPA119" s="950"/>
      <c r="QPB119" s="950"/>
      <c r="QPC119" s="950"/>
      <c r="QPD119" s="950"/>
      <c r="QPE119" s="950"/>
      <c r="QPF119" s="950"/>
      <c r="QPG119" s="950"/>
      <c r="QPH119" s="950"/>
      <c r="QPI119" s="950"/>
      <c r="QPJ119" s="950"/>
      <c r="QPK119" s="950"/>
      <c r="QPL119" s="950"/>
      <c r="QPM119" s="950"/>
      <c r="QPN119" s="950"/>
      <c r="QPO119" s="950"/>
      <c r="QPP119" s="950"/>
      <c r="QPQ119" s="950"/>
      <c r="QPR119" s="950"/>
      <c r="QPS119" s="950"/>
      <c r="QPT119" s="950"/>
      <c r="QPU119" s="950"/>
      <c r="QPV119" s="950"/>
      <c r="QPW119" s="950"/>
      <c r="QPX119" s="950"/>
      <c r="QPY119" s="950"/>
      <c r="QPZ119" s="950"/>
      <c r="QQA119" s="950"/>
      <c r="QQB119" s="950"/>
      <c r="QQC119" s="950"/>
      <c r="QQD119" s="950"/>
      <c r="QQE119" s="950"/>
      <c r="QQF119" s="950"/>
      <c r="QQG119" s="950"/>
      <c r="QQH119" s="950"/>
      <c r="QQI119" s="950"/>
      <c r="QQJ119" s="950"/>
      <c r="QQK119" s="950"/>
      <c r="QQL119" s="950"/>
      <c r="QQM119" s="950"/>
      <c r="QQN119" s="950"/>
      <c r="QQO119" s="950"/>
      <c r="QQP119" s="950"/>
      <c r="QQQ119" s="950"/>
      <c r="QQR119" s="950"/>
      <c r="QQS119" s="950"/>
      <c r="QQT119" s="950"/>
      <c r="QQU119" s="950"/>
      <c r="QQV119" s="950"/>
      <c r="QQW119" s="950"/>
      <c r="QQX119" s="950"/>
      <c r="QQY119" s="950"/>
      <c r="QQZ119" s="950"/>
      <c r="QRA119" s="950"/>
      <c r="QRB119" s="950"/>
      <c r="QRC119" s="950"/>
      <c r="QRD119" s="950"/>
      <c r="QRE119" s="950"/>
      <c r="QRF119" s="950"/>
      <c r="QRG119" s="950"/>
      <c r="QRH119" s="950"/>
      <c r="QRI119" s="950"/>
      <c r="QRJ119" s="950"/>
      <c r="QRK119" s="950"/>
      <c r="QRL119" s="950"/>
      <c r="QRM119" s="950"/>
      <c r="QRN119" s="950"/>
      <c r="QRO119" s="950"/>
      <c r="QRP119" s="950"/>
      <c r="QRQ119" s="950"/>
      <c r="QRR119" s="950"/>
      <c r="QRS119" s="950"/>
      <c r="QRT119" s="950"/>
      <c r="QRU119" s="950"/>
      <c r="QRV119" s="950"/>
      <c r="QRW119" s="950"/>
      <c r="QRX119" s="950"/>
      <c r="QRY119" s="950"/>
      <c r="QRZ119" s="950"/>
      <c r="QSA119" s="950"/>
      <c r="QSB119" s="950"/>
      <c r="QSC119" s="950"/>
      <c r="QSD119" s="950"/>
      <c r="QSE119" s="950"/>
      <c r="QSF119" s="950"/>
      <c r="QSG119" s="950"/>
      <c r="QSH119" s="950"/>
      <c r="QSI119" s="950"/>
      <c r="QSJ119" s="950"/>
      <c r="QSK119" s="950"/>
      <c r="QSL119" s="950"/>
      <c r="QSM119" s="950"/>
      <c r="QSN119" s="950"/>
      <c r="QSO119" s="950"/>
      <c r="QSP119" s="950"/>
      <c r="QSQ119" s="950"/>
      <c r="QSR119" s="950"/>
      <c r="QSS119" s="950"/>
      <c r="QST119" s="950"/>
      <c r="QSU119" s="950"/>
      <c r="QSV119" s="950"/>
      <c r="QSW119" s="950"/>
      <c r="QSX119" s="950"/>
      <c r="QSY119" s="950"/>
      <c r="QSZ119" s="950"/>
      <c r="QTA119" s="950"/>
      <c r="QTB119" s="950"/>
      <c r="QTC119" s="950"/>
      <c r="QTD119" s="950"/>
      <c r="QTE119" s="950"/>
      <c r="QTF119" s="950"/>
      <c r="QTG119" s="950"/>
      <c r="QTH119" s="950"/>
      <c r="QTI119" s="950"/>
      <c r="QTJ119" s="950"/>
      <c r="QTK119" s="950"/>
      <c r="QTL119" s="950"/>
      <c r="QTM119" s="950"/>
      <c r="QTN119" s="950"/>
      <c r="QTO119" s="950"/>
      <c r="QTP119" s="950"/>
      <c r="QTQ119" s="950"/>
      <c r="QTR119" s="950"/>
      <c r="QTS119" s="950"/>
      <c r="QTT119" s="950"/>
      <c r="QTU119" s="950"/>
      <c r="QTV119" s="950"/>
      <c r="QTW119" s="950"/>
      <c r="QTX119" s="950"/>
      <c r="QTY119" s="950"/>
      <c r="QTZ119" s="950"/>
      <c r="QUA119" s="950"/>
      <c r="QUB119" s="950"/>
      <c r="QUC119" s="950"/>
      <c r="QUD119" s="950"/>
      <c r="QUE119" s="950"/>
      <c r="QUF119" s="950"/>
      <c r="QUG119" s="950"/>
      <c r="QUH119" s="950"/>
      <c r="QUI119" s="950"/>
      <c r="QUJ119" s="950"/>
      <c r="QUK119" s="950"/>
      <c r="QUL119" s="950"/>
      <c r="QUM119" s="950"/>
      <c r="QUN119" s="950"/>
      <c r="QUO119" s="950"/>
      <c r="QUP119" s="950"/>
      <c r="QUQ119" s="950"/>
      <c r="QUR119" s="950"/>
      <c r="QUS119" s="950"/>
      <c r="QUT119" s="950"/>
      <c r="QUU119" s="950"/>
      <c r="QUV119" s="950"/>
      <c r="QUW119" s="950"/>
      <c r="QUX119" s="950"/>
      <c r="QUY119" s="950"/>
      <c r="QUZ119" s="950"/>
      <c r="QVA119" s="950"/>
      <c r="QVB119" s="950"/>
      <c r="QVC119" s="950"/>
      <c r="QVD119" s="950"/>
      <c r="QVE119" s="950"/>
      <c r="QVF119" s="950"/>
      <c r="QVG119" s="950"/>
      <c r="QVH119" s="950"/>
      <c r="QVI119" s="950"/>
      <c r="QVJ119" s="950"/>
      <c r="QVK119" s="950"/>
      <c r="QVL119" s="950"/>
      <c r="QVM119" s="950"/>
      <c r="QVN119" s="950"/>
      <c r="QVO119" s="950"/>
      <c r="QVP119" s="950"/>
      <c r="QVQ119" s="950"/>
      <c r="QVR119" s="950"/>
      <c r="QVS119" s="950"/>
      <c r="QVT119" s="950"/>
      <c r="QVU119" s="950"/>
      <c r="QVV119" s="950"/>
      <c r="QVW119" s="950"/>
      <c r="QVX119" s="950"/>
      <c r="QVY119" s="950"/>
      <c r="QVZ119" s="950"/>
      <c r="QWA119" s="950"/>
      <c r="QWB119" s="950"/>
      <c r="QWC119" s="950"/>
      <c r="QWD119" s="950"/>
      <c r="QWE119" s="950"/>
      <c r="QWF119" s="950"/>
      <c r="QWG119" s="950"/>
      <c r="QWH119" s="950"/>
      <c r="QWI119" s="950"/>
      <c r="QWJ119" s="950"/>
      <c r="QWK119" s="950"/>
      <c r="QWL119" s="950"/>
      <c r="QWM119" s="950"/>
      <c r="QWN119" s="950"/>
      <c r="QWO119" s="950"/>
      <c r="QWP119" s="950"/>
      <c r="QWQ119" s="950"/>
      <c r="QWR119" s="950"/>
      <c r="QWS119" s="950"/>
      <c r="QWT119" s="950"/>
      <c r="QWU119" s="950"/>
      <c r="QWV119" s="950"/>
      <c r="QWW119" s="950"/>
      <c r="QWX119" s="950"/>
      <c r="QWY119" s="950"/>
      <c r="QWZ119" s="950"/>
      <c r="QXA119" s="950"/>
      <c r="QXB119" s="950"/>
      <c r="QXC119" s="950"/>
      <c r="QXD119" s="950"/>
      <c r="QXE119" s="950"/>
      <c r="QXF119" s="950"/>
      <c r="QXG119" s="950"/>
      <c r="QXH119" s="950"/>
      <c r="QXI119" s="950"/>
      <c r="QXJ119" s="950"/>
      <c r="QXK119" s="950"/>
      <c r="QXL119" s="950"/>
      <c r="QXM119" s="950"/>
      <c r="QXN119" s="950"/>
      <c r="QXO119" s="950"/>
      <c r="QXP119" s="950"/>
      <c r="QXQ119" s="950"/>
      <c r="QXR119" s="950"/>
      <c r="QXS119" s="950"/>
      <c r="QXT119" s="950"/>
      <c r="QXU119" s="950"/>
      <c r="QXV119" s="950"/>
      <c r="QXW119" s="950"/>
      <c r="QXX119" s="950"/>
      <c r="QXY119" s="950"/>
      <c r="QXZ119" s="950"/>
      <c r="QYA119" s="950"/>
      <c r="QYB119" s="950"/>
      <c r="QYC119" s="950"/>
      <c r="QYD119" s="950"/>
      <c r="QYE119" s="950"/>
      <c r="QYF119" s="950"/>
      <c r="QYG119" s="950"/>
      <c r="QYH119" s="950"/>
      <c r="QYI119" s="950"/>
      <c r="QYJ119" s="950"/>
      <c r="QYK119" s="950"/>
      <c r="QYL119" s="950"/>
      <c r="QYM119" s="950"/>
      <c r="QYN119" s="950"/>
      <c r="QYO119" s="950"/>
      <c r="QYP119" s="950"/>
      <c r="QYQ119" s="950"/>
      <c r="QYR119" s="950"/>
      <c r="QYS119" s="950"/>
      <c r="QYT119" s="950"/>
      <c r="QYU119" s="950"/>
      <c r="QYV119" s="950"/>
      <c r="QYW119" s="950"/>
      <c r="QYX119" s="950"/>
      <c r="QYY119" s="950"/>
      <c r="QYZ119" s="950"/>
      <c r="QZA119" s="950"/>
      <c r="QZB119" s="950"/>
      <c r="QZC119" s="950"/>
      <c r="QZD119" s="950"/>
      <c r="QZE119" s="950"/>
      <c r="QZF119" s="950"/>
      <c r="QZG119" s="950"/>
      <c r="QZH119" s="950"/>
      <c r="QZI119" s="950"/>
      <c r="QZJ119" s="950"/>
      <c r="QZK119" s="950"/>
      <c r="QZL119" s="950"/>
      <c r="QZM119" s="950"/>
      <c r="QZN119" s="950"/>
      <c r="QZO119" s="950"/>
      <c r="QZP119" s="950"/>
      <c r="QZQ119" s="950"/>
      <c r="QZR119" s="950"/>
      <c r="QZS119" s="950"/>
      <c r="QZT119" s="950"/>
      <c r="QZU119" s="950"/>
      <c r="QZV119" s="950"/>
      <c r="QZW119" s="950"/>
      <c r="QZX119" s="950"/>
      <c r="QZY119" s="950"/>
      <c r="QZZ119" s="950"/>
      <c r="RAA119" s="950"/>
      <c r="RAB119" s="950"/>
      <c r="RAC119" s="950"/>
      <c r="RAD119" s="950"/>
      <c r="RAE119" s="950"/>
      <c r="RAF119" s="950"/>
      <c r="RAG119" s="950"/>
      <c r="RAH119" s="950"/>
      <c r="RAI119" s="950"/>
      <c r="RAJ119" s="950"/>
      <c r="RAK119" s="950"/>
      <c r="RAL119" s="950"/>
      <c r="RAM119" s="950"/>
      <c r="RAN119" s="950"/>
      <c r="RAO119" s="950"/>
      <c r="RAP119" s="950"/>
      <c r="RAQ119" s="950"/>
      <c r="RAR119" s="950"/>
      <c r="RAS119" s="950"/>
      <c r="RAT119" s="950"/>
      <c r="RAU119" s="950"/>
      <c r="RAV119" s="950"/>
      <c r="RAW119" s="950"/>
      <c r="RAX119" s="950"/>
      <c r="RAY119" s="950"/>
      <c r="RAZ119" s="950"/>
      <c r="RBA119" s="950"/>
      <c r="RBB119" s="950"/>
      <c r="RBC119" s="950"/>
      <c r="RBD119" s="950"/>
      <c r="RBE119" s="950"/>
      <c r="RBF119" s="950"/>
      <c r="RBG119" s="950"/>
      <c r="RBH119" s="950"/>
      <c r="RBI119" s="950"/>
      <c r="RBJ119" s="950"/>
      <c r="RBK119" s="950"/>
      <c r="RBL119" s="950"/>
      <c r="RBM119" s="950"/>
      <c r="RBN119" s="950"/>
      <c r="RBO119" s="950"/>
      <c r="RBP119" s="950"/>
      <c r="RBQ119" s="950"/>
      <c r="RBR119" s="950"/>
      <c r="RBS119" s="950"/>
      <c r="RBT119" s="950"/>
      <c r="RBU119" s="950"/>
      <c r="RBV119" s="950"/>
      <c r="RBW119" s="950"/>
      <c r="RBX119" s="950"/>
      <c r="RBY119" s="950"/>
      <c r="RBZ119" s="950"/>
      <c r="RCA119" s="950"/>
      <c r="RCB119" s="950"/>
      <c r="RCC119" s="950"/>
      <c r="RCD119" s="950"/>
      <c r="RCE119" s="950"/>
      <c r="RCF119" s="950"/>
      <c r="RCG119" s="950"/>
      <c r="RCH119" s="950"/>
      <c r="RCI119" s="950"/>
      <c r="RCJ119" s="950"/>
      <c r="RCK119" s="950"/>
      <c r="RCL119" s="950"/>
      <c r="RCM119" s="950"/>
      <c r="RCN119" s="950"/>
      <c r="RCO119" s="950"/>
      <c r="RCP119" s="950"/>
      <c r="RCQ119" s="950"/>
      <c r="RCR119" s="950"/>
      <c r="RCS119" s="950"/>
      <c r="RCT119" s="950"/>
      <c r="RCU119" s="950"/>
      <c r="RCV119" s="950"/>
      <c r="RCW119" s="950"/>
      <c r="RCX119" s="950"/>
      <c r="RCY119" s="950"/>
      <c r="RCZ119" s="950"/>
      <c r="RDA119" s="950"/>
      <c r="RDB119" s="950"/>
      <c r="RDC119" s="950"/>
      <c r="RDD119" s="950"/>
      <c r="RDE119" s="950"/>
      <c r="RDF119" s="950"/>
      <c r="RDG119" s="950"/>
      <c r="RDH119" s="950"/>
      <c r="RDI119" s="950"/>
      <c r="RDJ119" s="950"/>
      <c r="RDK119" s="950"/>
      <c r="RDL119" s="950"/>
      <c r="RDM119" s="950"/>
      <c r="RDN119" s="950"/>
      <c r="RDO119" s="950"/>
      <c r="RDP119" s="950"/>
      <c r="RDQ119" s="950"/>
      <c r="RDR119" s="950"/>
      <c r="RDS119" s="950"/>
      <c r="RDT119" s="950"/>
      <c r="RDU119" s="950"/>
      <c r="RDV119" s="950"/>
      <c r="RDW119" s="950"/>
      <c r="RDX119" s="950"/>
      <c r="RDY119" s="950"/>
      <c r="RDZ119" s="950"/>
      <c r="REA119" s="950"/>
      <c r="REB119" s="950"/>
      <c r="REC119" s="950"/>
      <c r="RED119" s="950"/>
      <c r="REE119" s="950"/>
      <c r="REF119" s="950"/>
      <c r="REG119" s="950"/>
      <c r="REH119" s="950"/>
      <c r="REI119" s="950"/>
      <c r="REJ119" s="950"/>
      <c r="REK119" s="950"/>
      <c r="REL119" s="950"/>
      <c r="REM119" s="950"/>
      <c r="REN119" s="950"/>
      <c r="REO119" s="950"/>
      <c r="REP119" s="950"/>
      <c r="REQ119" s="950"/>
      <c r="RER119" s="950"/>
      <c r="RES119" s="950"/>
      <c r="RET119" s="950"/>
      <c r="REU119" s="950"/>
      <c r="REV119" s="950"/>
      <c r="REW119" s="950"/>
      <c r="REX119" s="950"/>
      <c r="REY119" s="950"/>
      <c r="REZ119" s="950"/>
      <c r="RFA119" s="950"/>
      <c r="RFB119" s="950"/>
      <c r="RFC119" s="950"/>
      <c r="RFD119" s="950"/>
      <c r="RFE119" s="950"/>
      <c r="RFF119" s="950"/>
      <c r="RFG119" s="950"/>
      <c r="RFH119" s="950"/>
      <c r="RFI119" s="950"/>
      <c r="RFJ119" s="950"/>
      <c r="RFK119" s="950"/>
      <c r="RFL119" s="950"/>
      <c r="RFM119" s="950"/>
      <c r="RFN119" s="950"/>
      <c r="RFO119" s="950"/>
      <c r="RFP119" s="950"/>
      <c r="RFQ119" s="950"/>
      <c r="RFR119" s="950"/>
      <c r="RFS119" s="950"/>
      <c r="RFT119" s="950"/>
      <c r="RFU119" s="950"/>
      <c r="RFV119" s="950"/>
      <c r="RFW119" s="950"/>
      <c r="RFX119" s="950"/>
      <c r="RFY119" s="950"/>
      <c r="RFZ119" s="950"/>
      <c r="RGA119" s="950"/>
      <c r="RGB119" s="950"/>
      <c r="RGC119" s="950"/>
      <c r="RGD119" s="950"/>
      <c r="RGE119" s="950"/>
      <c r="RGF119" s="950"/>
      <c r="RGG119" s="950"/>
      <c r="RGH119" s="950"/>
      <c r="RGI119" s="950"/>
      <c r="RGJ119" s="950"/>
      <c r="RGK119" s="950"/>
      <c r="RGL119" s="950"/>
      <c r="RGM119" s="950"/>
      <c r="RGN119" s="950"/>
      <c r="RGO119" s="950"/>
      <c r="RGP119" s="950"/>
      <c r="RGQ119" s="950"/>
      <c r="RGR119" s="950"/>
      <c r="RGS119" s="950"/>
      <c r="RGT119" s="950"/>
      <c r="RGU119" s="950"/>
      <c r="RGV119" s="950"/>
      <c r="RGW119" s="950"/>
      <c r="RGX119" s="950"/>
      <c r="RGY119" s="950"/>
      <c r="RGZ119" s="950"/>
      <c r="RHA119" s="950"/>
      <c r="RHB119" s="950"/>
      <c r="RHC119" s="950"/>
      <c r="RHD119" s="950"/>
      <c r="RHE119" s="950"/>
      <c r="RHF119" s="950"/>
      <c r="RHG119" s="950"/>
      <c r="RHH119" s="950"/>
      <c r="RHI119" s="950"/>
      <c r="RHJ119" s="950"/>
      <c r="RHK119" s="950"/>
      <c r="RHL119" s="950"/>
      <c r="RHM119" s="950"/>
      <c r="RHN119" s="950"/>
      <c r="RHO119" s="950"/>
      <c r="RHP119" s="950"/>
      <c r="RHQ119" s="950"/>
      <c r="RHR119" s="950"/>
      <c r="RHS119" s="950"/>
      <c r="RHT119" s="950"/>
      <c r="RHU119" s="950"/>
      <c r="RHV119" s="950"/>
      <c r="RHW119" s="950"/>
      <c r="RHX119" s="950"/>
      <c r="RHY119" s="950"/>
      <c r="RHZ119" s="950"/>
      <c r="RIA119" s="950"/>
      <c r="RIB119" s="950"/>
      <c r="RIC119" s="950"/>
      <c r="RID119" s="950"/>
      <c r="RIE119" s="950"/>
      <c r="RIF119" s="950"/>
      <c r="RIG119" s="950"/>
      <c r="RIH119" s="950"/>
      <c r="RII119" s="950"/>
      <c r="RIJ119" s="950"/>
      <c r="RIK119" s="950"/>
      <c r="RIL119" s="950"/>
      <c r="RIM119" s="950"/>
      <c r="RIN119" s="950"/>
      <c r="RIO119" s="950"/>
      <c r="RIP119" s="950"/>
      <c r="RIQ119" s="950"/>
      <c r="RIR119" s="950"/>
      <c r="RIS119" s="950"/>
      <c r="RIT119" s="950"/>
      <c r="RIU119" s="950"/>
      <c r="RIV119" s="950"/>
      <c r="RIW119" s="950"/>
      <c r="RIX119" s="950"/>
      <c r="RIY119" s="950"/>
      <c r="RIZ119" s="950"/>
      <c r="RJA119" s="950"/>
      <c r="RJB119" s="950"/>
      <c r="RJC119" s="950"/>
      <c r="RJD119" s="950"/>
      <c r="RJE119" s="950"/>
      <c r="RJF119" s="950"/>
      <c r="RJG119" s="950"/>
      <c r="RJH119" s="950"/>
      <c r="RJI119" s="950"/>
      <c r="RJJ119" s="950"/>
      <c r="RJK119" s="950"/>
      <c r="RJL119" s="950"/>
      <c r="RJM119" s="950"/>
      <c r="RJN119" s="950"/>
      <c r="RJO119" s="950"/>
      <c r="RJP119" s="950"/>
      <c r="RJQ119" s="950"/>
      <c r="RJR119" s="950"/>
      <c r="RJS119" s="950"/>
      <c r="RJT119" s="950"/>
      <c r="RJU119" s="950"/>
      <c r="RJV119" s="950"/>
      <c r="RJW119" s="950"/>
      <c r="RJX119" s="950"/>
      <c r="RJY119" s="950"/>
      <c r="RJZ119" s="950"/>
      <c r="RKA119" s="950"/>
      <c r="RKB119" s="950"/>
      <c r="RKC119" s="950"/>
      <c r="RKD119" s="950"/>
      <c r="RKE119" s="950"/>
      <c r="RKF119" s="950"/>
      <c r="RKG119" s="950"/>
      <c r="RKH119" s="950"/>
      <c r="RKI119" s="950"/>
      <c r="RKJ119" s="950"/>
      <c r="RKK119" s="950"/>
      <c r="RKL119" s="950"/>
      <c r="RKM119" s="950"/>
      <c r="RKN119" s="950"/>
      <c r="RKO119" s="950"/>
      <c r="RKP119" s="950"/>
      <c r="RKQ119" s="950"/>
      <c r="RKR119" s="950"/>
      <c r="RKS119" s="950"/>
      <c r="RKT119" s="950"/>
      <c r="RKU119" s="950"/>
      <c r="RKV119" s="950"/>
      <c r="RKW119" s="950"/>
      <c r="RKX119" s="950"/>
      <c r="RKY119" s="950"/>
      <c r="RKZ119" s="950"/>
      <c r="RLA119" s="950"/>
      <c r="RLB119" s="950"/>
      <c r="RLC119" s="950"/>
      <c r="RLD119" s="950"/>
      <c r="RLE119" s="950"/>
      <c r="RLF119" s="950"/>
      <c r="RLG119" s="950"/>
      <c r="RLH119" s="950"/>
      <c r="RLI119" s="950"/>
      <c r="RLJ119" s="950"/>
      <c r="RLK119" s="950"/>
      <c r="RLL119" s="950"/>
      <c r="RLM119" s="950"/>
      <c r="RLN119" s="950"/>
      <c r="RLO119" s="950"/>
      <c r="RLP119" s="950"/>
      <c r="RLQ119" s="950"/>
      <c r="RLR119" s="950"/>
      <c r="RLS119" s="950"/>
      <c r="RLT119" s="950"/>
      <c r="RLU119" s="950"/>
      <c r="RLV119" s="950"/>
      <c r="RLW119" s="950"/>
      <c r="RLX119" s="950"/>
      <c r="RLY119" s="950"/>
      <c r="RLZ119" s="950"/>
      <c r="RMA119" s="950"/>
      <c r="RMB119" s="950"/>
      <c r="RMC119" s="950"/>
      <c r="RMD119" s="950"/>
      <c r="RME119" s="950"/>
      <c r="RMF119" s="950"/>
      <c r="RMG119" s="950"/>
      <c r="RMH119" s="950"/>
      <c r="RMI119" s="950"/>
      <c r="RMJ119" s="950"/>
      <c r="RMK119" s="950"/>
      <c r="RML119" s="950"/>
      <c r="RMM119" s="950"/>
      <c r="RMN119" s="950"/>
      <c r="RMO119" s="950"/>
      <c r="RMP119" s="950"/>
      <c r="RMQ119" s="950"/>
      <c r="RMR119" s="950"/>
      <c r="RMS119" s="950"/>
      <c r="RMT119" s="950"/>
      <c r="RMU119" s="950"/>
      <c r="RMV119" s="950"/>
      <c r="RMW119" s="950"/>
      <c r="RMX119" s="950"/>
      <c r="RMY119" s="950"/>
      <c r="RMZ119" s="950"/>
      <c r="RNA119" s="950"/>
      <c r="RNB119" s="950"/>
      <c r="RNC119" s="950"/>
      <c r="RND119" s="950"/>
      <c r="RNE119" s="950"/>
      <c r="RNF119" s="950"/>
      <c r="RNG119" s="950"/>
      <c r="RNH119" s="950"/>
      <c r="RNI119" s="950"/>
      <c r="RNJ119" s="950"/>
      <c r="RNK119" s="950"/>
      <c r="RNL119" s="950"/>
      <c r="RNM119" s="950"/>
      <c r="RNN119" s="950"/>
      <c r="RNO119" s="950"/>
      <c r="RNP119" s="950"/>
      <c r="RNQ119" s="950"/>
      <c r="RNR119" s="950"/>
      <c r="RNS119" s="950"/>
      <c r="RNT119" s="950"/>
      <c r="RNU119" s="950"/>
      <c r="RNV119" s="950"/>
      <c r="RNW119" s="950"/>
      <c r="RNX119" s="950"/>
      <c r="RNY119" s="950"/>
      <c r="RNZ119" s="950"/>
      <c r="ROA119" s="950"/>
      <c r="ROB119" s="950"/>
      <c r="ROC119" s="950"/>
      <c r="ROD119" s="950"/>
      <c r="ROE119" s="950"/>
      <c r="ROF119" s="950"/>
      <c r="ROG119" s="950"/>
      <c r="ROH119" s="950"/>
      <c r="ROI119" s="950"/>
      <c r="ROJ119" s="950"/>
      <c r="ROK119" s="950"/>
      <c r="ROL119" s="950"/>
      <c r="ROM119" s="950"/>
      <c r="RON119" s="950"/>
      <c r="ROO119" s="950"/>
      <c r="ROP119" s="950"/>
      <c r="ROQ119" s="950"/>
      <c r="ROR119" s="950"/>
      <c r="ROS119" s="950"/>
      <c r="ROT119" s="950"/>
      <c r="ROU119" s="950"/>
      <c r="ROV119" s="950"/>
      <c r="ROW119" s="950"/>
      <c r="ROX119" s="950"/>
      <c r="ROY119" s="950"/>
      <c r="ROZ119" s="950"/>
      <c r="RPA119" s="950"/>
      <c r="RPB119" s="950"/>
      <c r="RPC119" s="950"/>
      <c r="RPD119" s="950"/>
      <c r="RPE119" s="950"/>
      <c r="RPF119" s="950"/>
      <c r="RPG119" s="950"/>
      <c r="RPH119" s="950"/>
      <c r="RPI119" s="950"/>
      <c r="RPJ119" s="950"/>
      <c r="RPK119" s="950"/>
      <c r="RPL119" s="950"/>
      <c r="RPM119" s="950"/>
      <c r="RPN119" s="950"/>
      <c r="RPO119" s="950"/>
      <c r="RPP119" s="950"/>
      <c r="RPQ119" s="950"/>
      <c r="RPR119" s="950"/>
      <c r="RPS119" s="950"/>
      <c r="RPT119" s="950"/>
      <c r="RPU119" s="950"/>
      <c r="RPV119" s="950"/>
      <c r="RPW119" s="950"/>
      <c r="RPX119" s="950"/>
      <c r="RPY119" s="950"/>
      <c r="RPZ119" s="950"/>
      <c r="RQA119" s="950"/>
      <c r="RQB119" s="950"/>
      <c r="RQC119" s="950"/>
      <c r="RQD119" s="950"/>
      <c r="RQE119" s="950"/>
      <c r="RQF119" s="950"/>
      <c r="RQG119" s="950"/>
      <c r="RQH119" s="950"/>
      <c r="RQI119" s="950"/>
      <c r="RQJ119" s="950"/>
      <c r="RQK119" s="950"/>
      <c r="RQL119" s="950"/>
      <c r="RQM119" s="950"/>
      <c r="RQN119" s="950"/>
      <c r="RQO119" s="950"/>
      <c r="RQP119" s="950"/>
      <c r="RQQ119" s="950"/>
      <c r="RQR119" s="950"/>
      <c r="RQS119" s="950"/>
      <c r="RQT119" s="950"/>
      <c r="RQU119" s="950"/>
      <c r="RQV119" s="950"/>
      <c r="RQW119" s="950"/>
      <c r="RQX119" s="950"/>
      <c r="RQY119" s="950"/>
      <c r="RQZ119" s="950"/>
      <c r="RRA119" s="950"/>
      <c r="RRB119" s="950"/>
      <c r="RRC119" s="950"/>
      <c r="RRD119" s="950"/>
      <c r="RRE119" s="950"/>
      <c r="RRF119" s="950"/>
      <c r="RRG119" s="950"/>
      <c r="RRH119" s="950"/>
      <c r="RRI119" s="950"/>
      <c r="RRJ119" s="950"/>
      <c r="RRK119" s="950"/>
      <c r="RRL119" s="950"/>
      <c r="RRM119" s="950"/>
      <c r="RRN119" s="950"/>
      <c r="RRO119" s="950"/>
      <c r="RRP119" s="950"/>
      <c r="RRQ119" s="950"/>
      <c r="RRR119" s="950"/>
      <c r="RRS119" s="950"/>
      <c r="RRT119" s="950"/>
      <c r="RRU119" s="950"/>
      <c r="RRV119" s="950"/>
      <c r="RRW119" s="950"/>
      <c r="RRX119" s="950"/>
      <c r="RRY119" s="950"/>
      <c r="RRZ119" s="950"/>
      <c r="RSA119" s="950"/>
      <c r="RSB119" s="950"/>
      <c r="RSC119" s="950"/>
      <c r="RSD119" s="950"/>
      <c r="RSE119" s="950"/>
      <c r="RSF119" s="950"/>
      <c r="RSG119" s="950"/>
      <c r="RSH119" s="950"/>
      <c r="RSI119" s="950"/>
      <c r="RSJ119" s="950"/>
      <c r="RSK119" s="950"/>
      <c r="RSL119" s="950"/>
      <c r="RSM119" s="950"/>
      <c r="RSN119" s="950"/>
      <c r="RSO119" s="950"/>
      <c r="RSP119" s="950"/>
      <c r="RSQ119" s="950"/>
      <c r="RSR119" s="950"/>
      <c r="RSS119" s="950"/>
      <c r="RST119" s="950"/>
      <c r="RSU119" s="950"/>
      <c r="RSV119" s="950"/>
      <c r="RSW119" s="950"/>
      <c r="RSX119" s="950"/>
      <c r="RSY119" s="950"/>
      <c r="RSZ119" s="950"/>
      <c r="RTA119" s="950"/>
      <c r="RTB119" s="950"/>
      <c r="RTC119" s="950"/>
      <c r="RTD119" s="950"/>
      <c r="RTE119" s="950"/>
      <c r="RTF119" s="950"/>
      <c r="RTG119" s="950"/>
      <c r="RTH119" s="950"/>
      <c r="RTI119" s="950"/>
      <c r="RTJ119" s="950"/>
      <c r="RTK119" s="950"/>
      <c r="RTL119" s="950"/>
      <c r="RTM119" s="950"/>
      <c r="RTN119" s="950"/>
      <c r="RTO119" s="950"/>
      <c r="RTP119" s="950"/>
      <c r="RTQ119" s="950"/>
      <c r="RTR119" s="950"/>
      <c r="RTS119" s="950"/>
      <c r="RTT119" s="950"/>
      <c r="RTU119" s="950"/>
      <c r="RTV119" s="950"/>
      <c r="RTW119" s="950"/>
      <c r="RTX119" s="950"/>
      <c r="RTY119" s="950"/>
      <c r="RTZ119" s="950"/>
      <c r="RUA119" s="950"/>
      <c r="RUB119" s="950"/>
      <c r="RUC119" s="950"/>
      <c r="RUD119" s="950"/>
      <c r="RUE119" s="950"/>
      <c r="RUF119" s="950"/>
      <c r="RUG119" s="950"/>
      <c r="RUH119" s="950"/>
      <c r="RUI119" s="950"/>
      <c r="RUJ119" s="950"/>
      <c r="RUK119" s="950"/>
      <c r="RUL119" s="950"/>
      <c r="RUM119" s="950"/>
      <c r="RUN119" s="950"/>
      <c r="RUO119" s="950"/>
      <c r="RUP119" s="950"/>
      <c r="RUQ119" s="950"/>
      <c r="RUR119" s="950"/>
      <c r="RUS119" s="950"/>
      <c r="RUT119" s="950"/>
      <c r="RUU119" s="950"/>
      <c r="RUV119" s="950"/>
      <c r="RUW119" s="950"/>
      <c r="RUX119" s="950"/>
      <c r="RUY119" s="950"/>
      <c r="RUZ119" s="950"/>
      <c r="RVA119" s="950"/>
      <c r="RVB119" s="950"/>
      <c r="RVC119" s="950"/>
      <c r="RVD119" s="950"/>
      <c r="RVE119" s="950"/>
      <c r="RVF119" s="950"/>
      <c r="RVG119" s="950"/>
      <c r="RVH119" s="950"/>
      <c r="RVI119" s="950"/>
      <c r="RVJ119" s="950"/>
      <c r="RVK119" s="950"/>
      <c r="RVL119" s="950"/>
      <c r="RVM119" s="950"/>
      <c r="RVN119" s="950"/>
      <c r="RVO119" s="950"/>
      <c r="RVP119" s="950"/>
      <c r="RVQ119" s="950"/>
      <c r="RVR119" s="950"/>
      <c r="RVS119" s="950"/>
      <c r="RVT119" s="950"/>
      <c r="RVU119" s="950"/>
      <c r="RVV119" s="950"/>
      <c r="RVW119" s="950"/>
      <c r="RVX119" s="950"/>
      <c r="RVY119" s="950"/>
      <c r="RVZ119" s="950"/>
      <c r="RWA119" s="950"/>
      <c r="RWB119" s="950"/>
      <c r="RWC119" s="950"/>
      <c r="RWD119" s="950"/>
      <c r="RWE119" s="950"/>
      <c r="RWF119" s="950"/>
      <c r="RWG119" s="950"/>
      <c r="RWH119" s="950"/>
      <c r="RWI119" s="950"/>
      <c r="RWJ119" s="950"/>
      <c r="RWK119" s="950"/>
      <c r="RWL119" s="950"/>
      <c r="RWM119" s="950"/>
      <c r="RWN119" s="950"/>
      <c r="RWO119" s="950"/>
      <c r="RWP119" s="950"/>
      <c r="RWQ119" s="950"/>
      <c r="RWR119" s="950"/>
      <c r="RWS119" s="950"/>
      <c r="RWT119" s="950"/>
      <c r="RWU119" s="950"/>
      <c r="RWV119" s="950"/>
      <c r="RWW119" s="950"/>
      <c r="RWX119" s="950"/>
      <c r="RWY119" s="950"/>
      <c r="RWZ119" s="950"/>
      <c r="RXA119" s="950"/>
      <c r="RXB119" s="950"/>
      <c r="RXC119" s="950"/>
      <c r="RXD119" s="950"/>
      <c r="RXE119" s="950"/>
      <c r="RXF119" s="950"/>
      <c r="RXG119" s="950"/>
      <c r="RXH119" s="950"/>
      <c r="RXI119" s="950"/>
      <c r="RXJ119" s="950"/>
      <c r="RXK119" s="950"/>
      <c r="RXL119" s="950"/>
      <c r="RXM119" s="950"/>
      <c r="RXN119" s="950"/>
      <c r="RXO119" s="950"/>
      <c r="RXP119" s="950"/>
      <c r="RXQ119" s="950"/>
      <c r="RXR119" s="950"/>
      <c r="RXS119" s="950"/>
      <c r="RXT119" s="950"/>
      <c r="RXU119" s="950"/>
      <c r="RXV119" s="950"/>
      <c r="RXW119" s="950"/>
      <c r="RXX119" s="950"/>
      <c r="RXY119" s="950"/>
      <c r="RXZ119" s="950"/>
      <c r="RYA119" s="950"/>
      <c r="RYB119" s="950"/>
      <c r="RYC119" s="950"/>
      <c r="RYD119" s="950"/>
      <c r="RYE119" s="950"/>
      <c r="RYF119" s="950"/>
      <c r="RYG119" s="950"/>
      <c r="RYH119" s="950"/>
      <c r="RYI119" s="950"/>
      <c r="RYJ119" s="950"/>
      <c r="RYK119" s="950"/>
      <c r="RYL119" s="950"/>
      <c r="RYM119" s="950"/>
      <c r="RYN119" s="950"/>
      <c r="RYO119" s="950"/>
      <c r="RYP119" s="950"/>
      <c r="RYQ119" s="950"/>
      <c r="RYR119" s="950"/>
      <c r="RYS119" s="950"/>
      <c r="RYT119" s="950"/>
      <c r="RYU119" s="950"/>
      <c r="RYV119" s="950"/>
      <c r="RYW119" s="950"/>
      <c r="RYX119" s="950"/>
      <c r="RYY119" s="950"/>
      <c r="RYZ119" s="950"/>
      <c r="RZA119" s="950"/>
      <c r="RZB119" s="950"/>
      <c r="RZC119" s="950"/>
      <c r="RZD119" s="950"/>
      <c r="RZE119" s="950"/>
      <c r="RZF119" s="950"/>
      <c r="RZG119" s="950"/>
      <c r="RZH119" s="950"/>
      <c r="RZI119" s="950"/>
      <c r="RZJ119" s="950"/>
      <c r="RZK119" s="950"/>
      <c r="RZL119" s="950"/>
      <c r="RZM119" s="950"/>
      <c r="RZN119" s="950"/>
      <c r="RZO119" s="950"/>
      <c r="RZP119" s="950"/>
      <c r="RZQ119" s="950"/>
      <c r="RZR119" s="950"/>
      <c r="RZS119" s="950"/>
      <c r="RZT119" s="950"/>
      <c r="RZU119" s="950"/>
      <c r="RZV119" s="950"/>
      <c r="RZW119" s="950"/>
      <c r="RZX119" s="950"/>
      <c r="RZY119" s="950"/>
      <c r="RZZ119" s="950"/>
      <c r="SAA119" s="950"/>
      <c r="SAB119" s="950"/>
      <c r="SAC119" s="950"/>
      <c r="SAD119" s="950"/>
      <c r="SAE119" s="950"/>
      <c r="SAF119" s="950"/>
      <c r="SAG119" s="950"/>
      <c r="SAH119" s="950"/>
      <c r="SAI119" s="950"/>
      <c r="SAJ119" s="950"/>
      <c r="SAK119" s="950"/>
      <c r="SAL119" s="950"/>
      <c r="SAM119" s="950"/>
      <c r="SAN119" s="950"/>
      <c r="SAO119" s="950"/>
      <c r="SAP119" s="950"/>
      <c r="SAQ119" s="950"/>
      <c r="SAR119" s="950"/>
      <c r="SAS119" s="950"/>
      <c r="SAT119" s="950"/>
      <c r="SAU119" s="950"/>
      <c r="SAV119" s="950"/>
      <c r="SAW119" s="950"/>
      <c r="SAX119" s="950"/>
      <c r="SAY119" s="950"/>
      <c r="SAZ119" s="950"/>
      <c r="SBA119" s="950"/>
      <c r="SBB119" s="950"/>
      <c r="SBC119" s="950"/>
      <c r="SBD119" s="950"/>
      <c r="SBE119" s="950"/>
      <c r="SBF119" s="950"/>
      <c r="SBG119" s="950"/>
      <c r="SBH119" s="950"/>
      <c r="SBI119" s="950"/>
      <c r="SBJ119" s="950"/>
      <c r="SBK119" s="950"/>
      <c r="SBL119" s="950"/>
      <c r="SBM119" s="950"/>
      <c r="SBN119" s="950"/>
      <c r="SBO119" s="950"/>
      <c r="SBP119" s="950"/>
      <c r="SBQ119" s="950"/>
      <c r="SBR119" s="950"/>
      <c r="SBS119" s="950"/>
      <c r="SBT119" s="950"/>
      <c r="SBU119" s="950"/>
      <c r="SBV119" s="950"/>
      <c r="SBW119" s="950"/>
      <c r="SBX119" s="950"/>
      <c r="SBY119" s="950"/>
      <c r="SBZ119" s="950"/>
      <c r="SCA119" s="950"/>
      <c r="SCB119" s="950"/>
      <c r="SCC119" s="950"/>
      <c r="SCD119" s="950"/>
      <c r="SCE119" s="950"/>
      <c r="SCF119" s="950"/>
      <c r="SCG119" s="950"/>
      <c r="SCH119" s="950"/>
      <c r="SCI119" s="950"/>
      <c r="SCJ119" s="950"/>
      <c r="SCK119" s="950"/>
      <c r="SCL119" s="950"/>
      <c r="SCM119" s="950"/>
      <c r="SCN119" s="950"/>
      <c r="SCO119" s="950"/>
      <c r="SCP119" s="950"/>
      <c r="SCQ119" s="950"/>
      <c r="SCR119" s="950"/>
      <c r="SCS119" s="950"/>
      <c r="SCT119" s="950"/>
      <c r="SCU119" s="950"/>
      <c r="SCV119" s="950"/>
      <c r="SCW119" s="950"/>
      <c r="SCX119" s="950"/>
      <c r="SCY119" s="950"/>
      <c r="SCZ119" s="950"/>
      <c r="SDA119" s="950"/>
      <c r="SDB119" s="950"/>
      <c r="SDC119" s="950"/>
      <c r="SDD119" s="950"/>
      <c r="SDE119" s="950"/>
      <c r="SDF119" s="950"/>
      <c r="SDG119" s="950"/>
      <c r="SDH119" s="950"/>
      <c r="SDI119" s="950"/>
      <c r="SDJ119" s="950"/>
      <c r="SDK119" s="950"/>
      <c r="SDL119" s="950"/>
      <c r="SDM119" s="950"/>
      <c r="SDN119" s="950"/>
      <c r="SDO119" s="950"/>
      <c r="SDP119" s="950"/>
      <c r="SDQ119" s="950"/>
      <c r="SDR119" s="950"/>
      <c r="SDS119" s="950"/>
      <c r="SDT119" s="950"/>
      <c r="SDU119" s="950"/>
      <c r="SDV119" s="950"/>
      <c r="SDW119" s="950"/>
      <c r="SDX119" s="950"/>
      <c r="SDY119" s="950"/>
      <c r="SDZ119" s="950"/>
      <c r="SEA119" s="950"/>
      <c r="SEB119" s="950"/>
      <c r="SEC119" s="950"/>
      <c r="SED119" s="950"/>
      <c r="SEE119" s="950"/>
      <c r="SEF119" s="950"/>
      <c r="SEG119" s="950"/>
      <c r="SEH119" s="950"/>
      <c r="SEI119" s="950"/>
      <c r="SEJ119" s="950"/>
      <c r="SEK119" s="950"/>
      <c r="SEL119" s="950"/>
      <c r="SEM119" s="950"/>
      <c r="SEN119" s="950"/>
      <c r="SEO119" s="950"/>
      <c r="SEP119" s="950"/>
      <c r="SEQ119" s="950"/>
      <c r="SER119" s="950"/>
      <c r="SES119" s="950"/>
      <c r="SET119" s="950"/>
      <c r="SEU119" s="950"/>
      <c r="SEV119" s="950"/>
      <c r="SEW119" s="950"/>
      <c r="SEX119" s="950"/>
      <c r="SEY119" s="950"/>
      <c r="SEZ119" s="950"/>
      <c r="SFA119" s="950"/>
      <c r="SFB119" s="950"/>
      <c r="SFC119" s="950"/>
      <c r="SFD119" s="950"/>
      <c r="SFE119" s="950"/>
      <c r="SFF119" s="950"/>
      <c r="SFG119" s="950"/>
      <c r="SFH119" s="950"/>
      <c r="SFI119" s="950"/>
      <c r="SFJ119" s="950"/>
      <c r="SFK119" s="950"/>
      <c r="SFL119" s="950"/>
      <c r="SFM119" s="950"/>
      <c r="SFN119" s="950"/>
      <c r="SFO119" s="950"/>
      <c r="SFP119" s="950"/>
      <c r="SFQ119" s="950"/>
      <c r="SFR119" s="950"/>
      <c r="SFS119" s="950"/>
      <c r="SFT119" s="950"/>
      <c r="SFU119" s="950"/>
      <c r="SFV119" s="950"/>
      <c r="SFW119" s="950"/>
      <c r="SFX119" s="950"/>
      <c r="SFY119" s="950"/>
      <c r="SFZ119" s="950"/>
      <c r="SGA119" s="950"/>
      <c r="SGB119" s="950"/>
      <c r="SGC119" s="950"/>
      <c r="SGD119" s="950"/>
      <c r="SGE119" s="950"/>
      <c r="SGF119" s="950"/>
      <c r="SGG119" s="950"/>
      <c r="SGH119" s="950"/>
      <c r="SGI119" s="950"/>
      <c r="SGJ119" s="950"/>
      <c r="SGK119" s="950"/>
      <c r="SGL119" s="950"/>
      <c r="SGM119" s="950"/>
      <c r="SGN119" s="950"/>
      <c r="SGO119" s="950"/>
      <c r="SGP119" s="950"/>
      <c r="SGQ119" s="950"/>
      <c r="SGR119" s="950"/>
      <c r="SGS119" s="950"/>
      <c r="SGT119" s="950"/>
      <c r="SGU119" s="950"/>
      <c r="SGV119" s="950"/>
      <c r="SGW119" s="950"/>
      <c r="SGX119" s="950"/>
      <c r="SGY119" s="950"/>
      <c r="SGZ119" s="950"/>
      <c r="SHA119" s="950"/>
      <c r="SHB119" s="950"/>
      <c r="SHC119" s="950"/>
      <c r="SHD119" s="950"/>
      <c r="SHE119" s="950"/>
      <c r="SHF119" s="950"/>
      <c r="SHG119" s="950"/>
      <c r="SHH119" s="950"/>
      <c r="SHI119" s="950"/>
      <c r="SHJ119" s="950"/>
      <c r="SHK119" s="950"/>
      <c r="SHL119" s="950"/>
      <c r="SHM119" s="950"/>
      <c r="SHN119" s="950"/>
      <c r="SHO119" s="950"/>
      <c r="SHP119" s="950"/>
      <c r="SHQ119" s="950"/>
      <c r="SHR119" s="950"/>
      <c r="SHS119" s="950"/>
      <c r="SHT119" s="950"/>
      <c r="SHU119" s="950"/>
      <c r="SHV119" s="950"/>
      <c r="SHW119" s="950"/>
      <c r="SHX119" s="950"/>
      <c r="SHY119" s="950"/>
      <c r="SHZ119" s="950"/>
      <c r="SIA119" s="950"/>
      <c r="SIB119" s="950"/>
      <c r="SIC119" s="950"/>
      <c r="SID119" s="950"/>
      <c r="SIE119" s="950"/>
      <c r="SIF119" s="950"/>
      <c r="SIG119" s="950"/>
      <c r="SIH119" s="950"/>
      <c r="SII119" s="950"/>
      <c r="SIJ119" s="950"/>
      <c r="SIK119" s="950"/>
      <c r="SIL119" s="950"/>
      <c r="SIM119" s="950"/>
      <c r="SIN119" s="950"/>
      <c r="SIO119" s="950"/>
      <c r="SIP119" s="950"/>
      <c r="SIQ119" s="950"/>
      <c r="SIR119" s="950"/>
      <c r="SIS119" s="950"/>
      <c r="SIT119" s="950"/>
      <c r="SIU119" s="950"/>
      <c r="SIV119" s="950"/>
      <c r="SIW119" s="950"/>
      <c r="SIX119" s="950"/>
      <c r="SIY119" s="950"/>
      <c r="SIZ119" s="950"/>
      <c r="SJA119" s="950"/>
      <c r="SJB119" s="950"/>
      <c r="SJC119" s="950"/>
      <c r="SJD119" s="950"/>
      <c r="SJE119" s="950"/>
      <c r="SJF119" s="950"/>
      <c r="SJG119" s="950"/>
      <c r="SJH119" s="950"/>
      <c r="SJI119" s="950"/>
      <c r="SJJ119" s="950"/>
      <c r="SJK119" s="950"/>
      <c r="SJL119" s="950"/>
      <c r="SJM119" s="950"/>
      <c r="SJN119" s="950"/>
      <c r="SJO119" s="950"/>
      <c r="SJP119" s="950"/>
      <c r="SJQ119" s="950"/>
      <c r="SJR119" s="950"/>
      <c r="SJS119" s="950"/>
      <c r="SJT119" s="950"/>
      <c r="SJU119" s="950"/>
      <c r="SJV119" s="950"/>
      <c r="SJW119" s="950"/>
      <c r="SJX119" s="950"/>
      <c r="SJY119" s="950"/>
      <c r="SJZ119" s="950"/>
      <c r="SKA119" s="950"/>
      <c r="SKB119" s="950"/>
      <c r="SKC119" s="950"/>
      <c r="SKD119" s="950"/>
      <c r="SKE119" s="950"/>
      <c r="SKF119" s="950"/>
      <c r="SKG119" s="950"/>
      <c r="SKH119" s="950"/>
      <c r="SKI119" s="950"/>
      <c r="SKJ119" s="950"/>
      <c r="SKK119" s="950"/>
      <c r="SKL119" s="950"/>
      <c r="SKM119" s="950"/>
      <c r="SKN119" s="950"/>
      <c r="SKO119" s="950"/>
      <c r="SKP119" s="950"/>
      <c r="SKQ119" s="950"/>
      <c r="SKR119" s="950"/>
      <c r="SKS119" s="950"/>
      <c r="SKT119" s="950"/>
      <c r="SKU119" s="950"/>
      <c r="SKV119" s="950"/>
      <c r="SKW119" s="950"/>
      <c r="SKX119" s="950"/>
      <c r="SKY119" s="950"/>
      <c r="SKZ119" s="950"/>
      <c r="SLA119" s="950"/>
      <c r="SLB119" s="950"/>
      <c r="SLC119" s="950"/>
      <c r="SLD119" s="950"/>
      <c r="SLE119" s="950"/>
      <c r="SLF119" s="950"/>
      <c r="SLG119" s="950"/>
      <c r="SLH119" s="950"/>
      <c r="SLI119" s="950"/>
      <c r="SLJ119" s="950"/>
      <c r="SLK119" s="950"/>
      <c r="SLL119" s="950"/>
      <c r="SLM119" s="950"/>
      <c r="SLN119" s="950"/>
      <c r="SLO119" s="950"/>
      <c r="SLP119" s="950"/>
      <c r="SLQ119" s="950"/>
      <c r="SLR119" s="950"/>
      <c r="SLS119" s="950"/>
      <c r="SLT119" s="950"/>
      <c r="SLU119" s="950"/>
      <c r="SLV119" s="950"/>
      <c r="SLW119" s="950"/>
      <c r="SLX119" s="950"/>
      <c r="SLY119" s="950"/>
      <c r="SLZ119" s="950"/>
      <c r="SMA119" s="950"/>
      <c r="SMB119" s="950"/>
      <c r="SMC119" s="950"/>
      <c r="SMD119" s="950"/>
      <c r="SME119" s="950"/>
      <c r="SMF119" s="950"/>
      <c r="SMG119" s="950"/>
      <c r="SMH119" s="950"/>
      <c r="SMI119" s="950"/>
      <c r="SMJ119" s="950"/>
      <c r="SMK119" s="950"/>
      <c r="SML119" s="950"/>
      <c r="SMM119" s="950"/>
      <c r="SMN119" s="950"/>
      <c r="SMO119" s="950"/>
      <c r="SMP119" s="950"/>
      <c r="SMQ119" s="950"/>
      <c r="SMR119" s="950"/>
      <c r="SMS119" s="950"/>
      <c r="SMT119" s="950"/>
      <c r="SMU119" s="950"/>
      <c r="SMV119" s="950"/>
      <c r="SMW119" s="950"/>
      <c r="SMX119" s="950"/>
      <c r="SMY119" s="950"/>
      <c r="SMZ119" s="950"/>
      <c r="SNA119" s="950"/>
      <c r="SNB119" s="950"/>
      <c r="SNC119" s="950"/>
      <c r="SND119" s="950"/>
      <c r="SNE119" s="950"/>
      <c r="SNF119" s="950"/>
      <c r="SNG119" s="950"/>
      <c r="SNH119" s="950"/>
      <c r="SNI119" s="950"/>
      <c r="SNJ119" s="950"/>
      <c r="SNK119" s="950"/>
      <c r="SNL119" s="950"/>
      <c r="SNM119" s="950"/>
      <c r="SNN119" s="950"/>
      <c r="SNO119" s="950"/>
      <c r="SNP119" s="950"/>
      <c r="SNQ119" s="950"/>
      <c r="SNR119" s="950"/>
      <c r="SNS119" s="950"/>
      <c r="SNT119" s="950"/>
      <c r="SNU119" s="950"/>
      <c r="SNV119" s="950"/>
      <c r="SNW119" s="950"/>
      <c r="SNX119" s="950"/>
      <c r="SNY119" s="950"/>
      <c r="SNZ119" s="950"/>
      <c r="SOA119" s="950"/>
      <c r="SOB119" s="950"/>
      <c r="SOC119" s="950"/>
      <c r="SOD119" s="950"/>
      <c r="SOE119" s="950"/>
      <c r="SOF119" s="950"/>
      <c r="SOG119" s="950"/>
      <c r="SOH119" s="950"/>
      <c r="SOI119" s="950"/>
      <c r="SOJ119" s="950"/>
      <c r="SOK119" s="950"/>
      <c r="SOL119" s="950"/>
      <c r="SOM119" s="950"/>
      <c r="SON119" s="950"/>
      <c r="SOO119" s="950"/>
      <c r="SOP119" s="950"/>
      <c r="SOQ119" s="950"/>
      <c r="SOR119" s="950"/>
      <c r="SOS119" s="950"/>
      <c r="SOT119" s="950"/>
      <c r="SOU119" s="950"/>
      <c r="SOV119" s="950"/>
      <c r="SOW119" s="950"/>
      <c r="SOX119" s="950"/>
      <c r="SOY119" s="950"/>
      <c r="SOZ119" s="950"/>
      <c r="SPA119" s="950"/>
      <c r="SPB119" s="950"/>
      <c r="SPC119" s="950"/>
      <c r="SPD119" s="950"/>
      <c r="SPE119" s="950"/>
      <c r="SPF119" s="950"/>
      <c r="SPG119" s="950"/>
      <c r="SPH119" s="950"/>
      <c r="SPI119" s="950"/>
      <c r="SPJ119" s="950"/>
      <c r="SPK119" s="950"/>
      <c r="SPL119" s="950"/>
      <c r="SPM119" s="950"/>
      <c r="SPN119" s="950"/>
      <c r="SPO119" s="950"/>
      <c r="SPP119" s="950"/>
      <c r="SPQ119" s="950"/>
      <c r="SPR119" s="950"/>
      <c r="SPS119" s="950"/>
      <c r="SPT119" s="950"/>
      <c r="SPU119" s="950"/>
      <c r="SPV119" s="950"/>
      <c r="SPW119" s="950"/>
      <c r="SPX119" s="950"/>
      <c r="SPY119" s="950"/>
      <c r="SPZ119" s="950"/>
      <c r="SQA119" s="950"/>
      <c r="SQB119" s="950"/>
      <c r="SQC119" s="950"/>
      <c r="SQD119" s="950"/>
      <c r="SQE119" s="950"/>
      <c r="SQF119" s="950"/>
      <c r="SQG119" s="950"/>
      <c r="SQH119" s="950"/>
      <c r="SQI119" s="950"/>
      <c r="SQJ119" s="950"/>
      <c r="SQK119" s="950"/>
      <c r="SQL119" s="950"/>
      <c r="SQM119" s="950"/>
      <c r="SQN119" s="950"/>
      <c r="SQO119" s="950"/>
      <c r="SQP119" s="950"/>
      <c r="SQQ119" s="950"/>
      <c r="SQR119" s="950"/>
      <c r="SQS119" s="950"/>
      <c r="SQT119" s="950"/>
      <c r="SQU119" s="950"/>
      <c r="SQV119" s="950"/>
      <c r="SQW119" s="950"/>
      <c r="SQX119" s="950"/>
      <c r="SQY119" s="950"/>
      <c r="SQZ119" s="950"/>
      <c r="SRA119" s="950"/>
      <c r="SRB119" s="950"/>
      <c r="SRC119" s="950"/>
      <c r="SRD119" s="950"/>
      <c r="SRE119" s="950"/>
      <c r="SRF119" s="950"/>
      <c r="SRG119" s="950"/>
      <c r="SRH119" s="950"/>
      <c r="SRI119" s="950"/>
      <c r="SRJ119" s="950"/>
      <c r="SRK119" s="950"/>
      <c r="SRL119" s="950"/>
      <c r="SRM119" s="950"/>
      <c r="SRN119" s="950"/>
      <c r="SRO119" s="950"/>
      <c r="SRP119" s="950"/>
      <c r="SRQ119" s="950"/>
      <c r="SRR119" s="950"/>
      <c r="SRS119" s="950"/>
      <c r="SRT119" s="950"/>
      <c r="SRU119" s="950"/>
      <c r="SRV119" s="950"/>
      <c r="SRW119" s="950"/>
      <c r="SRX119" s="950"/>
      <c r="SRY119" s="950"/>
      <c r="SRZ119" s="950"/>
      <c r="SSA119" s="950"/>
      <c r="SSB119" s="950"/>
      <c r="SSC119" s="950"/>
      <c r="SSD119" s="950"/>
      <c r="SSE119" s="950"/>
      <c r="SSF119" s="950"/>
      <c r="SSG119" s="950"/>
      <c r="SSH119" s="950"/>
      <c r="SSI119" s="950"/>
      <c r="SSJ119" s="950"/>
      <c r="SSK119" s="950"/>
      <c r="SSL119" s="950"/>
      <c r="SSM119" s="950"/>
      <c r="SSN119" s="950"/>
      <c r="SSO119" s="950"/>
      <c r="SSP119" s="950"/>
      <c r="SSQ119" s="950"/>
      <c r="SSR119" s="950"/>
      <c r="SSS119" s="950"/>
      <c r="SST119" s="950"/>
      <c r="SSU119" s="950"/>
      <c r="SSV119" s="950"/>
      <c r="SSW119" s="950"/>
      <c r="SSX119" s="950"/>
      <c r="SSY119" s="950"/>
      <c r="SSZ119" s="950"/>
      <c r="STA119" s="950"/>
      <c r="STB119" s="950"/>
      <c r="STC119" s="950"/>
      <c r="STD119" s="950"/>
      <c r="STE119" s="950"/>
      <c r="STF119" s="950"/>
      <c r="STG119" s="950"/>
      <c r="STH119" s="950"/>
      <c r="STI119" s="950"/>
      <c r="STJ119" s="950"/>
      <c r="STK119" s="950"/>
      <c r="STL119" s="950"/>
      <c r="STM119" s="950"/>
      <c r="STN119" s="950"/>
      <c r="STO119" s="950"/>
      <c r="STP119" s="950"/>
      <c r="STQ119" s="950"/>
      <c r="STR119" s="950"/>
      <c r="STS119" s="950"/>
      <c r="STT119" s="950"/>
      <c r="STU119" s="950"/>
      <c r="STV119" s="950"/>
      <c r="STW119" s="950"/>
      <c r="STX119" s="950"/>
      <c r="STY119" s="950"/>
      <c r="STZ119" s="950"/>
      <c r="SUA119" s="950"/>
      <c r="SUB119" s="950"/>
      <c r="SUC119" s="950"/>
      <c r="SUD119" s="950"/>
      <c r="SUE119" s="950"/>
      <c r="SUF119" s="950"/>
      <c r="SUG119" s="950"/>
      <c r="SUH119" s="950"/>
      <c r="SUI119" s="950"/>
      <c r="SUJ119" s="950"/>
      <c r="SUK119" s="950"/>
      <c r="SUL119" s="950"/>
      <c r="SUM119" s="950"/>
      <c r="SUN119" s="950"/>
      <c r="SUO119" s="950"/>
      <c r="SUP119" s="950"/>
      <c r="SUQ119" s="950"/>
      <c r="SUR119" s="950"/>
      <c r="SUS119" s="950"/>
      <c r="SUT119" s="950"/>
      <c r="SUU119" s="950"/>
      <c r="SUV119" s="950"/>
      <c r="SUW119" s="950"/>
      <c r="SUX119" s="950"/>
      <c r="SUY119" s="950"/>
      <c r="SUZ119" s="950"/>
      <c r="SVA119" s="950"/>
      <c r="SVB119" s="950"/>
      <c r="SVC119" s="950"/>
      <c r="SVD119" s="950"/>
      <c r="SVE119" s="950"/>
      <c r="SVF119" s="950"/>
      <c r="SVG119" s="950"/>
      <c r="SVH119" s="950"/>
      <c r="SVI119" s="950"/>
      <c r="SVJ119" s="950"/>
      <c r="SVK119" s="950"/>
      <c r="SVL119" s="950"/>
      <c r="SVM119" s="950"/>
      <c r="SVN119" s="950"/>
      <c r="SVO119" s="950"/>
      <c r="SVP119" s="950"/>
      <c r="SVQ119" s="950"/>
      <c r="SVR119" s="950"/>
      <c r="SVS119" s="950"/>
      <c r="SVT119" s="950"/>
      <c r="SVU119" s="950"/>
      <c r="SVV119" s="950"/>
      <c r="SVW119" s="950"/>
      <c r="SVX119" s="950"/>
      <c r="SVY119" s="950"/>
      <c r="SVZ119" s="950"/>
      <c r="SWA119" s="950"/>
      <c r="SWB119" s="950"/>
      <c r="SWC119" s="950"/>
      <c r="SWD119" s="950"/>
      <c r="SWE119" s="950"/>
      <c r="SWF119" s="950"/>
      <c r="SWG119" s="950"/>
      <c r="SWH119" s="950"/>
      <c r="SWI119" s="950"/>
      <c r="SWJ119" s="950"/>
      <c r="SWK119" s="950"/>
      <c r="SWL119" s="950"/>
      <c r="SWM119" s="950"/>
      <c r="SWN119" s="950"/>
      <c r="SWO119" s="950"/>
      <c r="SWP119" s="950"/>
      <c r="SWQ119" s="950"/>
      <c r="SWR119" s="950"/>
      <c r="SWS119" s="950"/>
      <c r="SWT119" s="950"/>
      <c r="SWU119" s="950"/>
      <c r="SWV119" s="950"/>
      <c r="SWW119" s="950"/>
      <c r="SWX119" s="950"/>
      <c r="SWY119" s="950"/>
      <c r="SWZ119" s="950"/>
      <c r="SXA119" s="950"/>
      <c r="SXB119" s="950"/>
      <c r="SXC119" s="950"/>
      <c r="SXD119" s="950"/>
      <c r="SXE119" s="950"/>
      <c r="SXF119" s="950"/>
      <c r="SXG119" s="950"/>
      <c r="SXH119" s="950"/>
      <c r="SXI119" s="950"/>
      <c r="SXJ119" s="950"/>
      <c r="SXK119" s="950"/>
      <c r="SXL119" s="950"/>
      <c r="SXM119" s="950"/>
      <c r="SXN119" s="950"/>
      <c r="SXO119" s="950"/>
      <c r="SXP119" s="950"/>
      <c r="SXQ119" s="950"/>
      <c r="SXR119" s="950"/>
      <c r="SXS119" s="950"/>
      <c r="SXT119" s="950"/>
      <c r="SXU119" s="950"/>
      <c r="SXV119" s="950"/>
      <c r="SXW119" s="950"/>
      <c r="SXX119" s="950"/>
      <c r="SXY119" s="950"/>
      <c r="SXZ119" s="950"/>
      <c r="SYA119" s="950"/>
      <c r="SYB119" s="950"/>
      <c r="SYC119" s="950"/>
      <c r="SYD119" s="950"/>
      <c r="SYE119" s="950"/>
      <c r="SYF119" s="950"/>
      <c r="SYG119" s="950"/>
      <c r="SYH119" s="950"/>
      <c r="SYI119" s="950"/>
      <c r="SYJ119" s="950"/>
      <c r="SYK119" s="950"/>
      <c r="SYL119" s="950"/>
      <c r="SYM119" s="950"/>
      <c r="SYN119" s="950"/>
      <c r="SYO119" s="950"/>
      <c r="SYP119" s="950"/>
      <c r="SYQ119" s="950"/>
      <c r="SYR119" s="950"/>
      <c r="SYS119" s="950"/>
      <c r="SYT119" s="950"/>
      <c r="SYU119" s="950"/>
      <c r="SYV119" s="950"/>
      <c r="SYW119" s="950"/>
      <c r="SYX119" s="950"/>
      <c r="SYY119" s="950"/>
      <c r="SYZ119" s="950"/>
      <c r="SZA119" s="950"/>
      <c r="SZB119" s="950"/>
      <c r="SZC119" s="950"/>
      <c r="SZD119" s="950"/>
      <c r="SZE119" s="950"/>
      <c r="SZF119" s="950"/>
      <c r="SZG119" s="950"/>
      <c r="SZH119" s="950"/>
      <c r="SZI119" s="950"/>
      <c r="SZJ119" s="950"/>
      <c r="SZK119" s="950"/>
      <c r="SZL119" s="950"/>
      <c r="SZM119" s="950"/>
      <c r="SZN119" s="950"/>
      <c r="SZO119" s="950"/>
      <c r="SZP119" s="950"/>
      <c r="SZQ119" s="950"/>
      <c r="SZR119" s="950"/>
      <c r="SZS119" s="950"/>
      <c r="SZT119" s="950"/>
      <c r="SZU119" s="950"/>
      <c r="SZV119" s="950"/>
      <c r="SZW119" s="950"/>
      <c r="SZX119" s="950"/>
      <c r="SZY119" s="950"/>
      <c r="SZZ119" s="950"/>
      <c r="TAA119" s="950"/>
      <c r="TAB119" s="950"/>
      <c r="TAC119" s="950"/>
      <c r="TAD119" s="950"/>
      <c r="TAE119" s="950"/>
      <c r="TAF119" s="950"/>
      <c r="TAG119" s="950"/>
      <c r="TAH119" s="950"/>
      <c r="TAI119" s="950"/>
      <c r="TAJ119" s="950"/>
      <c r="TAK119" s="950"/>
      <c r="TAL119" s="950"/>
      <c r="TAM119" s="950"/>
      <c r="TAN119" s="950"/>
      <c r="TAO119" s="950"/>
      <c r="TAP119" s="950"/>
      <c r="TAQ119" s="950"/>
      <c r="TAR119" s="950"/>
      <c r="TAS119" s="950"/>
      <c r="TAT119" s="950"/>
      <c r="TAU119" s="950"/>
      <c r="TAV119" s="950"/>
      <c r="TAW119" s="950"/>
      <c r="TAX119" s="950"/>
      <c r="TAY119" s="950"/>
      <c r="TAZ119" s="950"/>
      <c r="TBA119" s="950"/>
      <c r="TBB119" s="950"/>
      <c r="TBC119" s="950"/>
      <c r="TBD119" s="950"/>
      <c r="TBE119" s="950"/>
      <c r="TBF119" s="950"/>
      <c r="TBG119" s="950"/>
      <c r="TBH119" s="950"/>
      <c r="TBI119" s="950"/>
      <c r="TBJ119" s="950"/>
      <c r="TBK119" s="950"/>
      <c r="TBL119" s="950"/>
      <c r="TBM119" s="950"/>
      <c r="TBN119" s="950"/>
      <c r="TBO119" s="950"/>
      <c r="TBP119" s="950"/>
      <c r="TBQ119" s="950"/>
      <c r="TBR119" s="950"/>
      <c r="TBS119" s="950"/>
      <c r="TBT119" s="950"/>
      <c r="TBU119" s="950"/>
      <c r="TBV119" s="950"/>
      <c r="TBW119" s="950"/>
      <c r="TBX119" s="950"/>
      <c r="TBY119" s="950"/>
      <c r="TBZ119" s="950"/>
      <c r="TCA119" s="950"/>
      <c r="TCB119" s="950"/>
      <c r="TCC119" s="950"/>
      <c r="TCD119" s="950"/>
      <c r="TCE119" s="950"/>
      <c r="TCF119" s="950"/>
      <c r="TCG119" s="950"/>
      <c r="TCH119" s="950"/>
      <c r="TCI119" s="950"/>
      <c r="TCJ119" s="950"/>
      <c r="TCK119" s="950"/>
      <c r="TCL119" s="950"/>
      <c r="TCM119" s="950"/>
      <c r="TCN119" s="950"/>
      <c r="TCO119" s="950"/>
      <c r="TCP119" s="950"/>
      <c r="TCQ119" s="950"/>
      <c r="TCR119" s="950"/>
      <c r="TCS119" s="950"/>
      <c r="TCT119" s="950"/>
      <c r="TCU119" s="950"/>
      <c r="TCV119" s="950"/>
      <c r="TCW119" s="950"/>
      <c r="TCX119" s="950"/>
      <c r="TCY119" s="950"/>
      <c r="TCZ119" s="950"/>
      <c r="TDA119" s="950"/>
      <c r="TDB119" s="950"/>
      <c r="TDC119" s="950"/>
      <c r="TDD119" s="950"/>
      <c r="TDE119" s="950"/>
      <c r="TDF119" s="950"/>
      <c r="TDG119" s="950"/>
      <c r="TDH119" s="950"/>
      <c r="TDI119" s="950"/>
      <c r="TDJ119" s="950"/>
      <c r="TDK119" s="950"/>
      <c r="TDL119" s="950"/>
      <c r="TDM119" s="950"/>
      <c r="TDN119" s="950"/>
      <c r="TDO119" s="950"/>
      <c r="TDP119" s="950"/>
      <c r="TDQ119" s="950"/>
      <c r="TDR119" s="950"/>
      <c r="TDS119" s="950"/>
      <c r="TDT119" s="950"/>
      <c r="TDU119" s="950"/>
      <c r="TDV119" s="950"/>
      <c r="TDW119" s="950"/>
      <c r="TDX119" s="950"/>
      <c r="TDY119" s="950"/>
      <c r="TDZ119" s="950"/>
      <c r="TEA119" s="950"/>
      <c r="TEB119" s="950"/>
      <c r="TEC119" s="950"/>
      <c r="TED119" s="950"/>
      <c r="TEE119" s="950"/>
      <c r="TEF119" s="950"/>
      <c r="TEG119" s="950"/>
      <c r="TEH119" s="950"/>
      <c r="TEI119" s="950"/>
      <c r="TEJ119" s="950"/>
      <c r="TEK119" s="950"/>
      <c r="TEL119" s="950"/>
      <c r="TEM119" s="950"/>
      <c r="TEN119" s="950"/>
      <c r="TEO119" s="950"/>
      <c r="TEP119" s="950"/>
      <c r="TEQ119" s="950"/>
      <c r="TER119" s="950"/>
      <c r="TES119" s="950"/>
      <c r="TET119" s="950"/>
      <c r="TEU119" s="950"/>
      <c r="TEV119" s="950"/>
      <c r="TEW119" s="950"/>
      <c r="TEX119" s="950"/>
      <c r="TEY119" s="950"/>
      <c r="TEZ119" s="950"/>
      <c r="TFA119" s="950"/>
      <c r="TFB119" s="950"/>
      <c r="TFC119" s="950"/>
      <c r="TFD119" s="950"/>
      <c r="TFE119" s="950"/>
      <c r="TFF119" s="950"/>
      <c r="TFG119" s="950"/>
      <c r="TFH119" s="950"/>
      <c r="TFI119" s="950"/>
      <c r="TFJ119" s="950"/>
      <c r="TFK119" s="950"/>
      <c r="TFL119" s="950"/>
      <c r="TFM119" s="950"/>
      <c r="TFN119" s="950"/>
      <c r="TFO119" s="950"/>
      <c r="TFP119" s="950"/>
      <c r="TFQ119" s="950"/>
      <c r="TFR119" s="950"/>
      <c r="TFS119" s="950"/>
      <c r="TFT119" s="950"/>
      <c r="TFU119" s="950"/>
      <c r="TFV119" s="950"/>
      <c r="TFW119" s="950"/>
      <c r="TFX119" s="950"/>
      <c r="TFY119" s="950"/>
      <c r="TFZ119" s="950"/>
      <c r="TGA119" s="950"/>
      <c r="TGB119" s="950"/>
      <c r="TGC119" s="950"/>
      <c r="TGD119" s="950"/>
      <c r="TGE119" s="950"/>
      <c r="TGF119" s="950"/>
      <c r="TGG119" s="950"/>
      <c r="TGH119" s="950"/>
      <c r="TGI119" s="950"/>
      <c r="TGJ119" s="950"/>
      <c r="TGK119" s="950"/>
      <c r="TGL119" s="950"/>
      <c r="TGM119" s="950"/>
      <c r="TGN119" s="950"/>
      <c r="TGO119" s="950"/>
      <c r="TGP119" s="950"/>
      <c r="TGQ119" s="950"/>
      <c r="TGR119" s="950"/>
      <c r="TGS119" s="950"/>
      <c r="TGT119" s="950"/>
      <c r="TGU119" s="950"/>
      <c r="TGV119" s="950"/>
      <c r="TGW119" s="950"/>
      <c r="TGX119" s="950"/>
      <c r="TGY119" s="950"/>
      <c r="TGZ119" s="950"/>
      <c r="THA119" s="950"/>
      <c r="THB119" s="950"/>
      <c r="THC119" s="950"/>
      <c r="THD119" s="950"/>
      <c r="THE119" s="950"/>
      <c r="THF119" s="950"/>
      <c r="THG119" s="950"/>
      <c r="THH119" s="950"/>
      <c r="THI119" s="950"/>
      <c r="THJ119" s="950"/>
      <c r="THK119" s="950"/>
      <c r="THL119" s="950"/>
      <c r="THM119" s="950"/>
      <c r="THN119" s="950"/>
      <c r="THO119" s="950"/>
      <c r="THP119" s="950"/>
      <c r="THQ119" s="950"/>
      <c r="THR119" s="950"/>
      <c r="THS119" s="950"/>
      <c r="THT119" s="950"/>
      <c r="THU119" s="950"/>
      <c r="THV119" s="950"/>
      <c r="THW119" s="950"/>
      <c r="THX119" s="950"/>
      <c r="THY119" s="950"/>
      <c r="THZ119" s="950"/>
      <c r="TIA119" s="950"/>
      <c r="TIB119" s="950"/>
      <c r="TIC119" s="950"/>
      <c r="TID119" s="950"/>
      <c r="TIE119" s="950"/>
      <c r="TIF119" s="950"/>
      <c r="TIG119" s="950"/>
      <c r="TIH119" s="950"/>
      <c r="TII119" s="950"/>
      <c r="TIJ119" s="950"/>
      <c r="TIK119" s="950"/>
      <c r="TIL119" s="950"/>
      <c r="TIM119" s="950"/>
      <c r="TIN119" s="950"/>
      <c r="TIO119" s="950"/>
      <c r="TIP119" s="950"/>
      <c r="TIQ119" s="950"/>
      <c r="TIR119" s="950"/>
      <c r="TIS119" s="950"/>
      <c r="TIT119" s="950"/>
      <c r="TIU119" s="950"/>
      <c r="TIV119" s="950"/>
      <c r="TIW119" s="950"/>
      <c r="TIX119" s="950"/>
      <c r="TIY119" s="950"/>
      <c r="TIZ119" s="950"/>
      <c r="TJA119" s="950"/>
      <c r="TJB119" s="950"/>
      <c r="TJC119" s="950"/>
      <c r="TJD119" s="950"/>
      <c r="TJE119" s="950"/>
      <c r="TJF119" s="950"/>
      <c r="TJG119" s="950"/>
      <c r="TJH119" s="950"/>
      <c r="TJI119" s="950"/>
      <c r="TJJ119" s="950"/>
      <c r="TJK119" s="950"/>
      <c r="TJL119" s="950"/>
      <c r="TJM119" s="950"/>
      <c r="TJN119" s="950"/>
      <c r="TJO119" s="950"/>
      <c r="TJP119" s="950"/>
      <c r="TJQ119" s="950"/>
      <c r="TJR119" s="950"/>
      <c r="TJS119" s="950"/>
      <c r="TJT119" s="950"/>
      <c r="TJU119" s="950"/>
      <c r="TJV119" s="950"/>
      <c r="TJW119" s="950"/>
      <c r="TJX119" s="950"/>
      <c r="TJY119" s="950"/>
      <c r="TJZ119" s="950"/>
      <c r="TKA119" s="950"/>
      <c r="TKB119" s="950"/>
      <c r="TKC119" s="950"/>
      <c r="TKD119" s="950"/>
      <c r="TKE119" s="950"/>
      <c r="TKF119" s="950"/>
      <c r="TKG119" s="950"/>
      <c r="TKH119" s="950"/>
      <c r="TKI119" s="950"/>
      <c r="TKJ119" s="950"/>
      <c r="TKK119" s="950"/>
      <c r="TKL119" s="950"/>
      <c r="TKM119" s="950"/>
      <c r="TKN119" s="950"/>
      <c r="TKO119" s="950"/>
      <c r="TKP119" s="950"/>
      <c r="TKQ119" s="950"/>
      <c r="TKR119" s="950"/>
      <c r="TKS119" s="950"/>
      <c r="TKT119" s="950"/>
      <c r="TKU119" s="950"/>
      <c r="TKV119" s="950"/>
      <c r="TKW119" s="950"/>
      <c r="TKX119" s="950"/>
      <c r="TKY119" s="950"/>
      <c r="TKZ119" s="950"/>
      <c r="TLA119" s="950"/>
      <c r="TLB119" s="950"/>
      <c r="TLC119" s="950"/>
      <c r="TLD119" s="950"/>
      <c r="TLE119" s="950"/>
      <c r="TLF119" s="950"/>
      <c r="TLG119" s="950"/>
      <c r="TLH119" s="950"/>
      <c r="TLI119" s="950"/>
      <c r="TLJ119" s="950"/>
      <c r="TLK119" s="950"/>
      <c r="TLL119" s="950"/>
      <c r="TLM119" s="950"/>
      <c r="TLN119" s="950"/>
      <c r="TLO119" s="950"/>
      <c r="TLP119" s="950"/>
      <c r="TLQ119" s="950"/>
      <c r="TLR119" s="950"/>
      <c r="TLS119" s="950"/>
      <c r="TLT119" s="950"/>
      <c r="TLU119" s="950"/>
      <c r="TLV119" s="950"/>
      <c r="TLW119" s="950"/>
      <c r="TLX119" s="950"/>
      <c r="TLY119" s="950"/>
      <c r="TLZ119" s="950"/>
      <c r="TMA119" s="950"/>
      <c r="TMB119" s="950"/>
      <c r="TMC119" s="950"/>
      <c r="TMD119" s="950"/>
      <c r="TME119" s="950"/>
      <c r="TMF119" s="950"/>
      <c r="TMG119" s="950"/>
      <c r="TMH119" s="950"/>
      <c r="TMI119" s="950"/>
      <c r="TMJ119" s="950"/>
      <c r="TMK119" s="950"/>
      <c r="TML119" s="950"/>
      <c r="TMM119" s="950"/>
      <c r="TMN119" s="950"/>
      <c r="TMO119" s="950"/>
      <c r="TMP119" s="950"/>
      <c r="TMQ119" s="950"/>
      <c r="TMR119" s="950"/>
      <c r="TMS119" s="950"/>
      <c r="TMT119" s="950"/>
      <c r="TMU119" s="950"/>
      <c r="TMV119" s="950"/>
      <c r="TMW119" s="950"/>
      <c r="TMX119" s="950"/>
      <c r="TMY119" s="950"/>
      <c r="TMZ119" s="950"/>
      <c r="TNA119" s="950"/>
      <c r="TNB119" s="950"/>
      <c r="TNC119" s="950"/>
      <c r="TND119" s="950"/>
      <c r="TNE119" s="950"/>
      <c r="TNF119" s="950"/>
      <c r="TNG119" s="950"/>
      <c r="TNH119" s="950"/>
      <c r="TNI119" s="950"/>
      <c r="TNJ119" s="950"/>
      <c r="TNK119" s="950"/>
      <c r="TNL119" s="950"/>
      <c r="TNM119" s="950"/>
      <c r="TNN119" s="950"/>
      <c r="TNO119" s="950"/>
      <c r="TNP119" s="950"/>
      <c r="TNQ119" s="950"/>
      <c r="TNR119" s="950"/>
      <c r="TNS119" s="950"/>
      <c r="TNT119" s="950"/>
      <c r="TNU119" s="950"/>
      <c r="TNV119" s="950"/>
      <c r="TNW119" s="950"/>
      <c r="TNX119" s="950"/>
      <c r="TNY119" s="950"/>
      <c r="TNZ119" s="950"/>
      <c r="TOA119" s="950"/>
      <c r="TOB119" s="950"/>
      <c r="TOC119" s="950"/>
      <c r="TOD119" s="950"/>
      <c r="TOE119" s="950"/>
      <c r="TOF119" s="950"/>
      <c r="TOG119" s="950"/>
      <c r="TOH119" s="950"/>
      <c r="TOI119" s="950"/>
      <c r="TOJ119" s="950"/>
      <c r="TOK119" s="950"/>
      <c r="TOL119" s="950"/>
      <c r="TOM119" s="950"/>
      <c r="TON119" s="950"/>
      <c r="TOO119" s="950"/>
      <c r="TOP119" s="950"/>
      <c r="TOQ119" s="950"/>
      <c r="TOR119" s="950"/>
      <c r="TOS119" s="950"/>
      <c r="TOT119" s="950"/>
      <c r="TOU119" s="950"/>
      <c r="TOV119" s="950"/>
      <c r="TOW119" s="950"/>
      <c r="TOX119" s="950"/>
      <c r="TOY119" s="950"/>
      <c r="TOZ119" s="950"/>
      <c r="TPA119" s="950"/>
      <c r="TPB119" s="950"/>
      <c r="TPC119" s="950"/>
      <c r="TPD119" s="950"/>
      <c r="TPE119" s="950"/>
      <c r="TPF119" s="950"/>
      <c r="TPG119" s="950"/>
      <c r="TPH119" s="950"/>
      <c r="TPI119" s="950"/>
      <c r="TPJ119" s="950"/>
      <c r="TPK119" s="950"/>
      <c r="TPL119" s="950"/>
      <c r="TPM119" s="950"/>
      <c r="TPN119" s="950"/>
      <c r="TPO119" s="950"/>
      <c r="TPP119" s="950"/>
      <c r="TPQ119" s="950"/>
      <c r="TPR119" s="950"/>
      <c r="TPS119" s="950"/>
      <c r="TPT119" s="950"/>
      <c r="TPU119" s="950"/>
      <c r="TPV119" s="950"/>
      <c r="TPW119" s="950"/>
      <c r="TPX119" s="950"/>
      <c r="TPY119" s="950"/>
      <c r="TPZ119" s="950"/>
      <c r="TQA119" s="950"/>
      <c r="TQB119" s="950"/>
      <c r="TQC119" s="950"/>
      <c r="TQD119" s="950"/>
      <c r="TQE119" s="950"/>
      <c r="TQF119" s="950"/>
      <c r="TQG119" s="950"/>
      <c r="TQH119" s="950"/>
      <c r="TQI119" s="950"/>
      <c r="TQJ119" s="950"/>
      <c r="TQK119" s="950"/>
      <c r="TQL119" s="950"/>
      <c r="TQM119" s="950"/>
      <c r="TQN119" s="950"/>
      <c r="TQO119" s="950"/>
      <c r="TQP119" s="950"/>
      <c r="TQQ119" s="950"/>
      <c r="TQR119" s="950"/>
      <c r="TQS119" s="950"/>
      <c r="TQT119" s="950"/>
      <c r="TQU119" s="950"/>
      <c r="TQV119" s="950"/>
      <c r="TQW119" s="950"/>
      <c r="TQX119" s="950"/>
      <c r="TQY119" s="950"/>
      <c r="TQZ119" s="950"/>
      <c r="TRA119" s="950"/>
      <c r="TRB119" s="950"/>
      <c r="TRC119" s="950"/>
      <c r="TRD119" s="950"/>
      <c r="TRE119" s="950"/>
      <c r="TRF119" s="950"/>
      <c r="TRG119" s="950"/>
      <c r="TRH119" s="950"/>
      <c r="TRI119" s="950"/>
      <c r="TRJ119" s="950"/>
      <c r="TRK119" s="950"/>
      <c r="TRL119" s="950"/>
      <c r="TRM119" s="950"/>
      <c r="TRN119" s="950"/>
      <c r="TRO119" s="950"/>
      <c r="TRP119" s="950"/>
      <c r="TRQ119" s="950"/>
      <c r="TRR119" s="950"/>
      <c r="TRS119" s="950"/>
      <c r="TRT119" s="950"/>
      <c r="TRU119" s="950"/>
      <c r="TRV119" s="950"/>
      <c r="TRW119" s="950"/>
      <c r="TRX119" s="950"/>
      <c r="TRY119" s="950"/>
      <c r="TRZ119" s="950"/>
      <c r="TSA119" s="950"/>
      <c r="TSB119" s="950"/>
      <c r="TSC119" s="950"/>
      <c r="TSD119" s="950"/>
      <c r="TSE119" s="950"/>
      <c r="TSF119" s="950"/>
      <c r="TSG119" s="950"/>
      <c r="TSH119" s="950"/>
      <c r="TSI119" s="950"/>
      <c r="TSJ119" s="950"/>
      <c r="TSK119" s="950"/>
      <c r="TSL119" s="950"/>
      <c r="TSM119" s="950"/>
      <c r="TSN119" s="950"/>
      <c r="TSO119" s="950"/>
      <c r="TSP119" s="950"/>
      <c r="TSQ119" s="950"/>
      <c r="TSR119" s="950"/>
      <c r="TSS119" s="950"/>
      <c r="TST119" s="950"/>
      <c r="TSU119" s="950"/>
      <c r="TSV119" s="950"/>
      <c r="TSW119" s="950"/>
      <c r="TSX119" s="950"/>
      <c r="TSY119" s="950"/>
      <c r="TSZ119" s="950"/>
      <c r="TTA119" s="950"/>
      <c r="TTB119" s="950"/>
      <c r="TTC119" s="950"/>
      <c r="TTD119" s="950"/>
      <c r="TTE119" s="950"/>
      <c r="TTF119" s="950"/>
      <c r="TTG119" s="950"/>
      <c r="TTH119" s="950"/>
      <c r="TTI119" s="950"/>
      <c r="TTJ119" s="950"/>
      <c r="TTK119" s="950"/>
      <c r="TTL119" s="950"/>
      <c r="TTM119" s="950"/>
      <c r="TTN119" s="950"/>
      <c r="TTO119" s="950"/>
      <c r="TTP119" s="950"/>
      <c r="TTQ119" s="950"/>
      <c r="TTR119" s="950"/>
      <c r="TTS119" s="950"/>
      <c r="TTT119" s="950"/>
      <c r="TTU119" s="950"/>
      <c r="TTV119" s="950"/>
      <c r="TTW119" s="950"/>
      <c r="TTX119" s="950"/>
      <c r="TTY119" s="950"/>
      <c r="TTZ119" s="950"/>
      <c r="TUA119" s="950"/>
      <c r="TUB119" s="950"/>
      <c r="TUC119" s="950"/>
      <c r="TUD119" s="950"/>
      <c r="TUE119" s="950"/>
      <c r="TUF119" s="950"/>
      <c r="TUG119" s="950"/>
      <c r="TUH119" s="950"/>
      <c r="TUI119" s="950"/>
      <c r="TUJ119" s="950"/>
      <c r="TUK119" s="950"/>
      <c r="TUL119" s="950"/>
      <c r="TUM119" s="950"/>
      <c r="TUN119" s="950"/>
      <c r="TUO119" s="950"/>
      <c r="TUP119" s="950"/>
      <c r="TUQ119" s="950"/>
      <c r="TUR119" s="950"/>
      <c r="TUS119" s="950"/>
      <c r="TUT119" s="950"/>
      <c r="TUU119" s="950"/>
      <c r="TUV119" s="950"/>
      <c r="TUW119" s="950"/>
      <c r="TUX119" s="950"/>
      <c r="TUY119" s="950"/>
      <c r="TUZ119" s="950"/>
      <c r="TVA119" s="950"/>
      <c r="TVB119" s="950"/>
      <c r="TVC119" s="950"/>
      <c r="TVD119" s="950"/>
      <c r="TVE119" s="950"/>
      <c r="TVF119" s="950"/>
      <c r="TVG119" s="950"/>
      <c r="TVH119" s="950"/>
      <c r="TVI119" s="950"/>
      <c r="TVJ119" s="950"/>
      <c r="TVK119" s="950"/>
      <c r="TVL119" s="950"/>
      <c r="TVM119" s="950"/>
      <c r="TVN119" s="950"/>
      <c r="TVO119" s="950"/>
      <c r="TVP119" s="950"/>
      <c r="TVQ119" s="950"/>
      <c r="TVR119" s="950"/>
      <c r="TVS119" s="950"/>
      <c r="TVT119" s="950"/>
      <c r="TVU119" s="950"/>
      <c r="TVV119" s="950"/>
      <c r="TVW119" s="950"/>
      <c r="TVX119" s="950"/>
      <c r="TVY119" s="950"/>
      <c r="TVZ119" s="950"/>
      <c r="TWA119" s="950"/>
      <c r="TWB119" s="950"/>
      <c r="TWC119" s="950"/>
      <c r="TWD119" s="950"/>
      <c r="TWE119" s="950"/>
      <c r="TWF119" s="950"/>
      <c r="TWG119" s="950"/>
      <c r="TWH119" s="950"/>
      <c r="TWI119" s="950"/>
      <c r="TWJ119" s="950"/>
      <c r="TWK119" s="950"/>
      <c r="TWL119" s="950"/>
      <c r="TWM119" s="950"/>
      <c r="TWN119" s="950"/>
      <c r="TWO119" s="950"/>
      <c r="TWP119" s="950"/>
      <c r="TWQ119" s="950"/>
      <c r="TWR119" s="950"/>
      <c r="TWS119" s="950"/>
      <c r="TWT119" s="950"/>
      <c r="TWU119" s="950"/>
      <c r="TWV119" s="950"/>
      <c r="TWW119" s="950"/>
      <c r="TWX119" s="950"/>
      <c r="TWY119" s="950"/>
      <c r="TWZ119" s="950"/>
      <c r="TXA119" s="950"/>
      <c r="TXB119" s="950"/>
      <c r="TXC119" s="950"/>
      <c r="TXD119" s="950"/>
      <c r="TXE119" s="950"/>
      <c r="TXF119" s="950"/>
      <c r="TXG119" s="950"/>
      <c r="TXH119" s="950"/>
      <c r="TXI119" s="950"/>
      <c r="TXJ119" s="950"/>
      <c r="TXK119" s="950"/>
      <c r="TXL119" s="950"/>
      <c r="TXM119" s="950"/>
      <c r="TXN119" s="950"/>
      <c r="TXO119" s="950"/>
      <c r="TXP119" s="950"/>
      <c r="TXQ119" s="950"/>
      <c r="TXR119" s="950"/>
      <c r="TXS119" s="950"/>
      <c r="TXT119" s="950"/>
      <c r="TXU119" s="950"/>
      <c r="TXV119" s="950"/>
      <c r="TXW119" s="950"/>
      <c r="TXX119" s="950"/>
      <c r="TXY119" s="950"/>
      <c r="TXZ119" s="950"/>
      <c r="TYA119" s="950"/>
      <c r="TYB119" s="950"/>
      <c r="TYC119" s="950"/>
      <c r="TYD119" s="950"/>
      <c r="TYE119" s="950"/>
      <c r="TYF119" s="950"/>
      <c r="TYG119" s="950"/>
      <c r="TYH119" s="950"/>
      <c r="TYI119" s="950"/>
      <c r="TYJ119" s="950"/>
      <c r="TYK119" s="950"/>
      <c r="TYL119" s="950"/>
      <c r="TYM119" s="950"/>
      <c r="TYN119" s="950"/>
      <c r="TYO119" s="950"/>
      <c r="TYP119" s="950"/>
      <c r="TYQ119" s="950"/>
      <c r="TYR119" s="950"/>
      <c r="TYS119" s="950"/>
      <c r="TYT119" s="950"/>
      <c r="TYU119" s="950"/>
      <c r="TYV119" s="950"/>
      <c r="TYW119" s="950"/>
      <c r="TYX119" s="950"/>
      <c r="TYY119" s="950"/>
      <c r="TYZ119" s="950"/>
      <c r="TZA119" s="950"/>
      <c r="TZB119" s="950"/>
      <c r="TZC119" s="950"/>
      <c r="TZD119" s="950"/>
      <c r="TZE119" s="950"/>
      <c r="TZF119" s="950"/>
      <c r="TZG119" s="950"/>
      <c r="TZH119" s="950"/>
      <c r="TZI119" s="950"/>
      <c r="TZJ119" s="950"/>
      <c r="TZK119" s="950"/>
      <c r="TZL119" s="950"/>
      <c r="TZM119" s="950"/>
      <c r="TZN119" s="950"/>
      <c r="TZO119" s="950"/>
      <c r="TZP119" s="950"/>
      <c r="TZQ119" s="950"/>
      <c r="TZR119" s="950"/>
      <c r="TZS119" s="950"/>
      <c r="TZT119" s="950"/>
      <c r="TZU119" s="950"/>
      <c r="TZV119" s="950"/>
      <c r="TZW119" s="950"/>
      <c r="TZX119" s="950"/>
      <c r="TZY119" s="950"/>
      <c r="TZZ119" s="950"/>
      <c r="UAA119" s="950"/>
      <c r="UAB119" s="950"/>
      <c r="UAC119" s="950"/>
      <c r="UAD119" s="950"/>
      <c r="UAE119" s="950"/>
      <c r="UAF119" s="950"/>
      <c r="UAG119" s="950"/>
      <c r="UAH119" s="950"/>
      <c r="UAI119" s="950"/>
      <c r="UAJ119" s="950"/>
      <c r="UAK119" s="950"/>
      <c r="UAL119" s="950"/>
      <c r="UAM119" s="950"/>
      <c r="UAN119" s="950"/>
      <c r="UAO119" s="950"/>
      <c r="UAP119" s="950"/>
      <c r="UAQ119" s="950"/>
      <c r="UAR119" s="950"/>
      <c r="UAS119" s="950"/>
      <c r="UAT119" s="950"/>
      <c r="UAU119" s="950"/>
      <c r="UAV119" s="950"/>
      <c r="UAW119" s="950"/>
      <c r="UAX119" s="950"/>
      <c r="UAY119" s="950"/>
      <c r="UAZ119" s="950"/>
      <c r="UBA119" s="950"/>
      <c r="UBB119" s="950"/>
      <c r="UBC119" s="950"/>
      <c r="UBD119" s="950"/>
      <c r="UBE119" s="950"/>
      <c r="UBF119" s="950"/>
      <c r="UBG119" s="950"/>
      <c r="UBH119" s="950"/>
      <c r="UBI119" s="950"/>
      <c r="UBJ119" s="950"/>
      <c r="UBK119" s="950"/>
      <c r="UBL119" s="950"/>
      <c r="UBM119" s="950"/>
      <c r="UBN119" s="950"/>
      <c r="UBO119" s="950"/>
      <c r="UBP119" s="950"/>
      <c r="UBQ119" s="950"/>
      <c r="UBR119" s="950"/>
      <c r="UBS119" s="950"/>
      <c r="UBT119" s="950"/>
      <c r="UBU119" s="950"/>
      <c r="UBV119" s="950"/>
      <c r="UBW119" s="950"/>
      <c r="UBX119" s="950"/>
      <c r="UBY119" s="950"/>
      <c r="UBZ119" s="950"/>
      <c r="UCA119" s="950"/>
      <c r="UCB119" s="950"/>
      <c r="UCC119" s="950"/>
      <c r="UCD119" s="950"/>
      <c r="UCE119" s="950"/>
      <c r="UCF119" s="950"/>
      <c r="UCG119" s="950"/>
      <c r="UCH119" s="950"/>
      <c r="UCI119" s="950"/>
      <c r="UCJ119" s="950"/>
      <c r="UCK119" s="950"/>
      <c r="UCL119" s="950"/>
      <c r="UCM119" s="950"/>
      <c r="UCN119" s="950"/>
      <c r="UCO119" s="950"/>
      <c r="UCP119" s="950"/>
      <c r="UCQ119" s="950"/>
      <c r="UCR119" s="950"/>
      <c r="UCS119" s="950"/>
      <c r="UCT119" s="950"/>
      <c r="UCU119" s="950"/>
      <c r="UCV119" s="950"/>
      <c r="UCW119" s="950"/>
      <c r="UCX119" s="950"/>
      <c r="UCY119" s="950"/>
      <c r="UCZ119" s="950"/>
      <c r="UDA119" s="950"/>
      <c r="UDB119" s="950"/>
      <c r="UDC119" s="950"/>
      <c r="UDD119" s="950"/>
      <c r="UDE119" s="950"/>
      <c r="UDF119" s="950"/>
      <c r="UDG119" s="950"/>
      <c r="UDH119" s="950"/>
      <c r="UDI119" s="950"/>
      <c r="UDJ119" s="950"/>
      <c r="UDK119" s="950"/>
      <c r="UDL119" s="950"/>
      <c r="UDM119" s="950"/>
      <c r="UDN119" s="950"/>
      <c r="UDO119" s="950"/>
      <c r="UDP119" s="950"/>
      <c r="UDQ119" s="950"/>
      <c r="UDR119" s="950"/>
      <c r="UDS119" s="950"/>
      <c r="UDT119" s="950"/>
      <c r="UDU119" s="950"/>
      <c r="UDV119" s="950"/>
      <c r="UDW119" s="950"/>
      <c r="UDX119" s="950"/>
      <c r="UDY119" s="950"/>
      <c r="UDZ119" s="950"/>
      <c r="UEA119" s="950"/>
      <c r="UEB119" s="950"/>
      <c r="UEC119" s="950"/>
      <c r="UED119" s="950"/>
      <c r="UEE119" s="950"/>
      <c r="UEF119" s="950"/>
      <c r="UEG119" s="950"/>
      <c r="UEH119" s="950"/>
      <c r="UEI119" s="950"/>
      <c r="UEJ119" s="950"/>
      <c r="UEK119" s="950"/>
      <c r="UEL119" s="950"/>
      <c r="UEM119" s="950"/>
      <c r="UEN119" s="950"/>
      <c r="UEO119" s="950"/>
      <c r="UEP119" s="950"/>
      <c r="UEQ119" s="950"/>
      <c r="UER119" s="950"/>
      <c r="UES119" s="950"/>
      <c r="UET119" s="950"/>
      <c r="UEU119" s="950"/>
      <c r="UEV119" s="950"/>
      <c r="UEW119" s="950"/>
      <c r="UEX119" s="950"/>
      <c r="UEY119" s="950"/>
      <c r="UEZ119" s="950"/>
      <c r="UFA119" s="950"/>
      <c r="UFB119" s="950"/>
      <c r="UFC119" s="950"/>
      <c r="UFD119" s="950"/>
      <c r="UFE119" s="950"/>
      <c r="UFF119" s="950"/>
      <c r="UFG119" s="950"/>
      <c r="UFH119" s="950"/>
      <c r="UFI119" s="950"/>
      <c r="UFJ119" s="950"/>
      <c r="UFK119" s="950"/>
      <c r="UFL119" s="950"/>
      <c r="UFM119" s="950"/>
      <c r="UFN119" s="950"/>
      <c r="UFO119" s="950"/>
      <c r="UFP119" s="950"/>
      <c r="UFQ119" s="950"/>
      <c r="UFR119" s="950"/>
      <c r="UFS119" s="950"/>
      <c r="UFT119" s="950"/>
      <c r="UFU119" s="950"/>
      <c r="UFV119" s="950"/>
      <c r="UFW119" s="950"/>
      <c r="UFX119" s="950"/>
      <c r="UFY119" s="950"/>
      <c r="UFZ119" s="950"/>
      <c r="UGA119" s="950"/>
      <c r="UGB119" s="950"/>
      <c r="UGC119" s="950"/>
      <c r="UGD119" s="950"/>
      <c r="UGE119" s="950"/>
      <c r="UGF119" s="950"/>
      <c r="UGG119" s="950"/>
      <c r="UGH119" s="950"/>
      <c r="UGI119" s="950"/>
      <c r="UGJ119" s="950"/>
      <c r="UGK119" s="950"/>
      <c r="UGL119" s="950"/>
      <c r="UGM119" s="950"/>
      <c r="UGN119" s="950"/>
      <c r="UGO119" s="950"/>
      <c r="UGP119" s="950"/>
      <c r="UGQ119" s="950"/>
      <c r="UGR119" s="950"/>
      <c r="UGS119" s="950"/>
      <c r="UGT119" s="950"/>
      <c r="UGU119" s="950"/>
      <c r="UGV119" s="950"/>
      <c r="UGW119" s="950"/>
      <c r="UGX119" s="950"/>
      <c r="UGY119" s="950"/>
      <c r="UGZ119" s="950"/>
      <c r="UHA119" s="950"/>
      <c r="UHB119" s="950"/>
      <c r="UHC119" s="950"/>
      <c r="UHD119" s="950"/>
      <c r="UHE119" s="950"/>
      <c r="UHF119" s="950"/>
      <c r="UHG119" s="950"/>
      <c r="UHH119" s="950"/>
      <c r="UHI119" s="950"/>
      <c r="UHJ119" s="950"/>
      <c r="UHK119" s="950"/>
      <c r="UHL119" s="950"/>
      <c r="UHM119" s="950"/>
      <c r="UHN119" s="950"/>
      <c r="UHO119" s="950"/>
      <c r="UHP119" s="950"/>
      <c r="UHQ119" s="950"/>
      <c r="UHR119" s="950"/>
      <c r="UHS119" s="950"/>
      <c r="UHT119" s="950"/>
      <c r="UHU119" s="950"/>
      <c r="UHV119" s="950"/>
      <c r="UHW119" s="950"/>
      <c r="UHX119" s="950"/>
      <c r="UHY119" s="950"/>
      <c r="UHZ119" s="950"/>
      <c r="UIA119" s="950"/>
      <c r="UIB119" s="950"/>
      <c r="UIC119" s="950"/>
      <c r="UID119" s="950"/>
      <c r="UIE119" s="950"/>
      <c r="UIF119" s="950"/>
      <c r="UIG119" s="950"/>
      <c r="UIH119" s="950"/>
      <c r="UII119" s="950"/>
      <c r="UIJ119" s="950"/>
      <c r="UIK119" s="950"/>
      <c r="UIL119" s="950"/>
      <c r="UIM119" s="950"/>
      <c r="UIN119" s="950"/>
      <c r="UIO119" s="950"/>
      <c r="UIP119" s="950"/>
      <c r="UIQ119" s="950"/>
      <c r="UIR119" s="950"/>
      <c r="UIS119" s="950"/>
      <c r="UIT119" s="950"/>
      <c r="UIU119" s="950"/>
      <c r="UIV119" s="950"/>
      <c r="UIW119" s="950"/>
      <c r="UIX119" s="950"/>
      <c r="UIY119" s="950"/>
      <c r="UIZ119" s="950"/>
      <c r="UJA119" s="950"/>
      <c r="UJB119" s="950"/>
      <c r="UJC119" s="950"/>
      <c r="UJD119" s="950"/>
      <c r="UJE119" s="950"/>
      <c r="UJF119" s="950"/>
      <c r="UJG119" s="950"/>
      <c r="UJH119" s="950"/>
      <c r="UJI119" s="950"/>
      <c r="UJJ119" s="950"/>
      <c r="UJK119" s="950"/>
      <c r="UJL119" s="950"/>
      <c r="UJM119" s="950"/>
      <c r="UJN119" s="950"/>
      <c r="UJO119" s="950"/>
      <c r="UJP119" s="950"/>
      <c r="UJQ119" s="950"/>
      <c r="UJR119" s="950"/>
      <c r="UJS119" s="950"/>
      <c r="UJT119" s="950"/>
      <c r="UJU119" s="950"/>
      <c r="UJV119" s="950"/>
      <c r="UJW119" s="950"/>
      <c r="UJX119" s="950"/>
      <c r="UJY119" s="950"/>
      <c r="UJZ119" s="950"/>
      <c r="UKA119" s="950"/>
      <c r="UKB119" s="950"/>
      <c r="UKC119" s="950"/>
      <c r="UKD119" s="950"/>
      <c r="UKE119" s="950"/>
      <c r="UKF119" s="950"/>
      <c r="UKG119" s="950"/>
      <c r="UKH119" s="950"/>
      <c r="UKI119" s="950"/>
      <c r="UKJ119" s="950"/>
      <c r="UKK119" s="950"/>
      <c r="UKL119" s="950"/>
      <c r="UKM119" s="950"/>
      <c r="UKN119" s="950"/>
      <c r="UKO119" s="950"/>
      <c r="UKP119" s="950"/>
      <c r="UKQ119" s="950"/>
      <c r="UKR119" s="950"/>
      <c r="UKS119" s="950"/>
      <c r="UKT119" s="950"/>
      <c r="UKU119" s="950"/>
      <c r="UKV119" s="950"/>
      <c r="UKW119" s="950"/>
      <c r="UKX119" s="950"/>
      <c r="UKY119" s="950"/>
      <c r="UKZ119" s="950"/>
      <c r="ULA119" s="950"/>
      <c r="ULB119" s="950"/>
      <c r="ULC119" s="950"/>
      <c r="ULD119" s="950"/>
      <c r="ULE119" s="950"/>
      <c r="ULF119" s="950"/>
      <c r="ULG119" s="950"/>
      <c r="ULH119" s="950"/>
      <c r="ULI119" s="950"/>
      <c r="ULJ119" s="950"/>
      <c r="ULK119" s="950"/>
      <c r="ULL119" s="950"/>
      <c r="ULM119" s="950"/>
      <c r="ULN119" s="950"/>
      <c r="ULO119" s="950"/>
      <c r="ULP119" s="950"/>
      <c r="ULQ119" s="950"/>
      <c r="ULR119" s="950"/>
      <c r="ULS119" s="950"/>
      <c r="ULT119" s="950"/>
      <c r="ULU119" s="950"/>
      <c r="ULV119" s="950"/>
      <c r="ULW119" s="950"/>
      <c r="ULX119" s="950"/>
      <c r="ULY119" s="950"/>
      <c r="ULZ119" s="950"/>
      <c r="UMA119" s="950"/>
      <c r="UMB119" s="950"/>
      <c r="UMC119" s="950"/>
      <c r="UMD119" s="950"/>
      <c r="UME119" s="950"/>
      <c r="UMF119" s="950"/>
      <c r="UMG119" s="950"/>
      <c r="UMH119" s="950"/>
      <c r="UMI119" s="950"/>
      <c r="UMJ119" s="950"/>
      <c r="UMK119" s="950"/>
      <c r="UML119" s="950"/>
      <c r="UMM119" s="950"/>
      <c r="UMN119" s="950"/>
      <c r="UMO119" s="950"/>
      <c r="UMP119" s="950"/>
      <c r="UMQ119" s="950"/>
      <c r="UMR119" s="950"/>
      <c r="UMS119" s="950"/>
      <c r="UMT119" s="950"/>
      <c r="UMU119" s="950"/>
      <c r="UMV119" s="950"/>
      <c r="UMW119" s="950"/>
      <c r="UMX119" s="950"/>
      <c r="UMY119" s="950"/>
      <c r="UMZ119" s="950"/>
      <c r="UNA119" s="950"/>
      <c r="UNB119" s="950"/>
      <c r="UNC119" s="950"/>
      <c r="UND119" s="950"/>
      <c r="UNE119" s="950"/>
      <c r="UNF119" s="950"/>
      <c r="UNG119" s="950"/>
      <c r="UNH119" s="950"/>
      <c r="UNI119" s="950"/>
      <c r="UNJ119" s="950"/>
      <c r="UNK119" s="950"/>
      <c r="UNL119" s="950"/>
      <c r="UNM119" s="950"/>
      <c r="UNN119" s="950"/>
      <c r="UNO119" s="950"/>
      <c r="UNP119" s="950"/>
      <c r="UNQ119" s="950"/>
      <c r="UNR119" s="950"/>
      <c r="UNS119" s="950"/>
      <c r="UNT119" s="950"/>
      <c r="UNU119" s="950"/>
      <c r="UNV119" s="950"/>
      <c r="UNW119" s="950"/>
      <c r="UNX119" s="950"/>
      <c r="UNY119" s="950"/>
      <c r="UNZ119" s="950"/>
      <c r="UOA119" s="950"/>
      <c r="UOB119" s="950"/>
      <c r="UOC119" s="950"/>
      <c r="UOD119" s="950"/>
      <c r="UOE119" s="950"/>
      <c r="UOF119" s="950"/>
      <c r="UOG119" s="950"/>
      <c r="UOH119" s="950"/>
      <c r="UOI119" s="950"/>
      <c r="UOJ119" s="950"/>
      <c r="UOK119" s="950"/>
      <c r="UOL119" s="950"/>
      <c r="UOM119" s="950"/>
      <c r="UON119" s="950"/>
      <c r="UOO119" s="950"/>
      <c r="UOP119" s="950"/>
      <c r="UOQ119" s="950"/>
      <c r="UOR119" s="950"/>
      <c r="UOS119" s="950"/>
      <c r="UOT119" s="950"/>
      <c r="UOU119" s="950"/>
      <c r="UOV119" s="950"/>
      <c r="UOW119" s="950"/>
      <c r="UOX119" s="950"/>
      <c r="UOY119" s="950"/>
      <c r="UOZ119" s="950"/>
      <c r="UPA119" s="950"/>
      <c r="UPB119" s="950"/>
      <c r="UPC119" s="950"/>
      <c r="UPD119" s="950"/>
      <c r="UPE119" s="950"/>
      <c r="UPF119" s="950"/>
      <c r="UPG119" s="950"/>
      <c r="UPH119" s="950"/>
      <c r="UPI119" s="950"/>
      <c r="UPJ119" s="950"/>
      <c r="UPK119" s="950"/>
      <c r="UPL119" s="950"/>
      <c r="UPM119" s="950"/>
      <c r="UPN119" s="950"/>
      <c r="UPO119" s="950"/>
      <c r="UPP119" s="950"/>
      <c r="UPQ119" s="950"/>
      <c r="UPR119" s="950"/>
      <c r="UPS119" s="950"/>
      <c r="UPT119" s="950"/>
      <c r="UPU119" s="950"/>
      <c r="UPV119" s="950"/>
      <c r="UPW119" s="950"/>
      <c r="UPX119" s="950"/>
      <c r="UPY119" s="950"/>
      <c r="UPZ119" s="950"/>
      <c r="UQA119" s="950"/>
      <c r="UQB119" s="950"/>
      <c r="UQC119" s="950"/>
      <c r="UQD119" s="950"/>
      <c r="UQE119" s="950"/>
      <c r="UQF119" s="950"/>
      <c r="UQG119" s="950"/>
      <c r="UQH119" s="950"/>
      <c r="UQI119" s="950"/>
      <c r="UQJ119" s="950"/>
      <c r="UQK119" s="950"/>
      <c r="UQL119" s="950"/>
      <c r="UQM119" s="950"/>
      <c r="UQN119" s="950"/>
      <c r="UQO119" s="950"/>
      <c r="UQP119" s="950"/>
      <c r="UQQ119" s="950"/>
      <c r="UQR119" s="950"/>
      <c r="UQS119" s="950"/>
      <c r="UQT119" s="950"/>
      <c r="UQU119" s="950"/>
      <c r="UQV119" s="950"/>
      <c r="UQW119" s="950"/>
      <c r="UQX119" s="950"/>
      <c r="UQY119" s="950"/>
      <c r="UQZ119" s="950"/>
      <c r="URA119" s="950"/>
      <c r="URB119" s="950"/>
      <c r="URC119" s="950"/>
      <c r="URD119" s="950"/>
      <c r="URE119" s="950"/>
      <c r="URF119" s="950"/>
      <c r="URG119" s="950"/>
      <c r="URH119" s="950"/>
      <c r="URI119" s="950"/>
      <c r="URJ119" s="950"/>
      <c r="URK119" s="950"/>
      <c r="URL119" s="950"/>
      <c r="URM119" s="950"/>
      <c r="URN119" s="950"/>
      <c r="URO119" s="950"/>
      <c r="URP119" s="950"/>
      <c r="URQ119" s="950"/>
      <c r="URR119" s="950"/>
      <c r="URS119" s="950"/>
      <c r="URT119" s="950"/>
      <c r="URU119" s="950"/>
      <c r="URV119" s="950"/>
      <c r="URW119" s="950"/>
      <c r="URX119" s="950"/>
      <c r="URY119" s="950"/>
      <c r="URZ119" s="950"/>
      <c r="USA119" s="950"/>
      <c r="USB119" s="950"/>
      <c r="USC119" s="950"/>
      <c r="USD119" s="950"/>
      <c r="USE119" s="950"/>
      <c r="USF119" s="950"/>
      <c r="USG119" s="950"/>
      <c r="USH119" s="950"/>
      <c r="USI119" s="950"/>
      <c r="USJ119" s="950"/>
      <c r="USK119" s="950"/>
      <c r="USL119" s="950"/>
      <c r="USM119" s="950"/>
      <c r="USN119" s="950"/>
      <c r="USO119" s="950"/>
      <c r="USP119" s="950"/>
      <c r="USQ119" s="950"/>
      <c r="USR119" s="950"/>
      <c r="USS119" s="950"/>
      <c r="UST119" s="950"/>
      <c r="USU119" s="950"/>
      <c r="USV119" s="950"/>
      <c r="USW119" s="950"/>
      <c r="USX119" s="950"/>
      <c r="USY119" s="950"/>
      <c r="USZ119" s="950"/>
      <c r="UTA119" s="950"/>
      <c r="UTB119" s="950"/>
      <c r="UTC119" s="950"/>
      <c r="UTD119" s="950"/>
      <c r="UTE119" s="950"/>
      <c r="UTF119" s="950"/>
      <c r="UTG119" s="950"/>
      <c r="UTH119" s="950"/>
      <c r="UTI119" s="950"/>
      <c r="UTJ119" s="950"/>
      <c r="UTK119" s="950"/>
      <c r="UTL119" s="950"/>
      <c r="UTM119" s="950"/>
      <c r="UTN119" s="950"/>
      <c r="UTO119" s="950"/>
      <c r="UTP119" s="950"/>
      <c r="UTQ119" s="950"/>
      <c r="UTR119" s="950"/>
      <c r="UTS119" s="950"/>
      <c r="UTT119" s="950"/>
      <c r="UTU119" s="950"/>
      <c r="UTV119" s="950"/>
      <c r="UTW119" s="950"/>
      <c r="UTX119" s="950"/>
      <c r="UTY119" s="950"/>
      <c r="UTZ119" s="950"/>
      <c r="UUA119" s="950"/>
      <c r="UUB119" s="950"/>
      <c r="UUC119" s="950"/>
      <c r="UUD119" s="950"/>
      <c r="UUE119" s="950"/>
      <c r="UUF119" s="950"/>
      <c r="UUG119" s="950"/>
      <c r="UUH119" s="950"/>
      <c r="UUI119" s="950"/>
      <c r="UUJ119" s="950"/>
      <c r="UUK119" s="950"/>
      <c r="UUL119" s="950"/>
      <c r="UUM119" s="950"/>
      <c r="UUN119" s="950"/>
      <c r="UUO119" s="950"/>
      <c r="UUP119" s="950"/>
      <c r="UUQ119" s="950"/>
      <c r="UUR119" s="950"/>
      <c r="UUS119" s="950"/>
      <c r="UUT119" s="950"/>
      <c r="UUU119" s="950"/>
      <c r="UUV119" s="950"/>
      <c r="UUW119" s="950"/>
      <c r="UUX119" s="950"/>
      <c r="UUY119" s="950"/>
      <c r="UUZ119" s="950"/>
      <c r="UVA119" s="950"/>
      <c r="UVB119" s="950"/>
      <c r="UVC119" s="950"/>
      <c r="UVD119" s="950"/>
      <c r="UVE119" s="950"/>
      <c r="UVF119" s="950"/>
      <c r="UVG119" s="950"/>
      <c r="UVH119" s="950"/>
      <c r="UVI119" s="950"/>
      <c r="UVJ119" s="950"/>
      <c r="UVK119" s="950"/>
      <c r="UVL119" s="950"/>
      <c r="UVM119" s="950"/>
      <c r="UVN119" s="950"/>
      <c r="UVO119" s="950"/>
      <c r="UVP119" s="950"/>
      <c r="UVQ119" s="950"/>
      <c r="UVR119" s="950"/>
      <c r="UVS119" s="950"/>
      <c r="UVT119" s="950"/>
      <c r="UVU119" s="950"/>
      <c r="UVV119" s="950"/>
      <c r="UVW119" s="950"/>
      <c r="UVX119" s="950"/>
      <c r="UVY119" s="950"/>
      <c r="UVZ119" s="950"/>
      <c r="UWA119" s="950"/>
      <c r="UWB119" s="950"/>
      <c r="UWC119" s="950"/>
      <c r="UWD119" s="950"/>
      <c r="UWE119" s="950"/>
      <c r="UWF119" s="950"/>
      <c r="UWG119" s="950"/>
      <c r="UWH119" s="950"/>
      <c r="UWI119" s="950"/>
      <c r="UWJ119" s="950"/>
      <c r="UWK119" s="950"/>
      <c r="UWL119" s="950"/>
      <c r="UWM119" s="950"/>
      <c r="UWN119" s="950"/>
      <c r="UWO119" s="950"/>
      <c r="UWP119" s="950"/>
      <c r="UWQ119" s="950"/>
      <c r="UWR119" s="950"/>
      <c r="UWS119" s="950"/>
      <c r="UWT119" s="950"/>
      <c r="UWU119" s="950"/>
      <c r="UWV119" s="950"/>
      <c r="UWW119" s="950"/>
      <c r="UWX119" s="950"/>
      <c r="UWY119" s="950"/>
      <c r="UWZ119" s="950"/>
      <c r="UXA119" s="950"/>
      <c r="UXB119" s="950"/>
      <c r="UXC119" s="950"/>
      <c r="UXD119" s="950"/>
      <c r="UXE119" s="950"/>
      <c r="UXF119" s="950"/>
      <c r="UXG119" s="950"/>
      <c r="UXH119" s="950"/>
      <c r="UXI119" s="950"/>
      <c r="UXJ119" s="950"/>
      <c r="UXK119" s="950"/>
      <c r="UXL119" s="950"/>
      <c r="UXM119" s="950"/>
      <c r="UXN119" s="950"/>
      <c r="UXO119" s="950"/>
      <c r="UXP119" s="950"/>
      <c r="UXQ119" s="950"/>
      <c r="UXR119" s="950"/>
      <c r="UXS119" s="950"/>
      <c r="UXT119" s="950"/>
      <c r="UXU119" s="950"/>
      <c r="UXV119" s="950"/>
      <c r="UXW119" s="950"/>
      <c r="UXX119" s="950"/>
      <c r="UXY119" s="950"/>
      <c r="UXZ119" s="950"/>
      <c r="UYA119" s="950"/>
      <c r="UYB119" s="950"/>
      <c r="UYC119" s="950"/>
      <c r="UYD119" s="950"/>
      <c r="UYE119" s="950"/>
      <c r="UYF119" s="950"/>
      <c r="UYG119" s="950"/>
      <c r="UYH119" s="950"/>
      <c r="UYI119" s="950"/>
      <c r="UYJ119" s="950"/>
      <c r="UYK119" s="950"/>
      <c r="UYL119" s="950"/>
      <c r="UYM119" s="950"/>
      <c r="UYN119" s="950"/>
      <c r="UYO119" s="950"/>
      <c r="UYP119" s="950"/>
      <c r="UYQ119" s="950"/>
      <c r="UYR119" s="950"/>
      <c r="UYS119" s="950"/>
      <c r="UYT119" s="950"/>
      <c r="UYU119" s="950"/>
      <c r="UYV119" s="950"/>
      <c r="UYW119" s="950"/>
      <c r="UYX119" s="950"/>
      <c r="UYY119" s="950"/>
      <c r="UYZ119" s="950"/>
      <c r="UZA119" s="950"/>
      <c r="UZB119" s="950"/>
      <c r="UZC119" s="950"/>
      <c r="UZD119" s="950"/>
      <c r="UZE119" s="950"/>
      <c r="UZF119" s="950"/>
      <c r="UZG119" s="950"/>
      <c r="UZH119" s="950"/>
      <c r="UZI119" s="950"/>
      <c r="UZJ119" s="950"/>
      <c r="UZK119" s="950"/>
      <c r="UZL119" s="950"/>
      <c r="UZM119" s="950"/>
      <c r="UZN119" s="950"/>
      <c r="UZO119" s="950"/>
      <c r="UZP119" s="950"/>
      <c r="UZQ119" s="950"/>
      <c r="UZR119" s="950"/>
      <c r="UZS119" s="950"/>
      <c r="UZT119" s="950"/>
      <c r="UZU119" s="950"/>
      <c r="UZV119" s="950"/>
      <c r="UZW119" s="950"/>
      <c r="UZX119" s="950"/>
      <c r="UZY119" s="950"/>
      <c r="UZZ119" s="950"/>
      <c r="VAA119" s="950"/>
      <c r="VAB119" s="950"/>
      <c r="VAC119" s="950"/>
      <c r="VAD119" s="950"/>
      <c r="VAE119" s="950"/>
      <c r="VAF119" s="950"/>
      <c r="VAG119" s="950"/>
      <c r="VAH119" s="950"/>
      <c r="VAI119" s="950"/>
      <c r="VAJ119" s="950"/>
      <c r="VAK119" s="950"/>
      <c r="VAL119" s="950"/>
      <c r="VAM119" s="950"/>
      <c r="VAN119" s="950"/>
      <c r="VAO119" s="950"/>
      <c r="VAP119" s="950"/>
      <c r="VAQ119" s="950"/>
      <c r="VAR119" s="950"/>
      <c r="VAS119" s="950"/>
      <c r="VAT119" s="950"/>
      <c r="VAU119" s="950"/>
      <c r="VAV119" s="950"/>
      <c r="VAW119" s="950"/>
      <c r="VAX119" s="950"/>
      <c r="VAY119" s="950"/>
      <c r="VAZ119" s="950"/>
      <c r="VBA119" s="950"/>
      <c r="VBB119" s="950"/>
      <c r="VBC119" s="950"/>
      <c r="VBD119" s="950"/>
      <c r="VBE119" s="950"/>
      <c r="VBF119" s="950"/>
      <c r="VBG119" s="950"/>
      <c r="VBH119" s="950"/>
      <c r="VBI119" s="950"/>
      <c r="VBJ119" s="950"/>
      <c r="VBK119" s="950"/>
      <c r="VBL119" s="950"/>
      <c r="VBM119" s="950"/>
      <c r="VBN119" s="950"/>
      <c r="VBO119" s="950"/>
      <c r="VBP119" s="950"/>
      <c r="VBQ119" s="950"/>
      <c r="VBR119" s="950"/>
      <c r="VBS119" s="950"/>
      <c r="VBT119" s="950"/>
      <c r="VBU119" s="950"/>
      <c r="VBV119" s="950"/>
      <c r="VBW119" s="950"/>
      <c r="VBX119" s="950"/>
      <c r="VBY119" s="950"/>
      <c r="VBZ119" s="950"/>
      <c r="VCA119" s="950"/>
      <c r="VCB119" s="950"/>
      <c r="VCC119" s="950"/>
      <c r="VCD119" s="950"/>
      <c r="VCE119" s="950"/>
      <c r="VCF119" s="950"/>
      <c r="VCG119" s="950"/>
      <c r="VCH119" s="950"/>
      <c r="VCI119" s="950"/>
      <c r="VCJ119" s="950"/>
      <c r="VCK119" s="950"/>
      <c r="VCL119" s="950"/>
      <c r="VCM119" s="950"/>
      <c r="VCN119" s="950"/>
      <c r="VCO119" s="950"/>
      <c r="VCP119" s="950"/>
      <c r="VCQ119" s="950"/>
      <c r="VCR119" s="950"/>
      <c r="VCS119" s="950"/>
      <c r="VCT119" s="950"/>
      <c r="VCU119" s="950"/>
      <c r="VCV119" s="950"/>
      <c r="VCW119" s="950"/>
      <c r="VCX119" s="950"/>
      <c r="VCY119" s="950"/>
      <c r="VCZ119" s="950"/>
      <c r="VDA119" s="950"/>
      <c r="VDB119" s="950"/>
      <c r="VDC119" s="950"/>
      <c r="VDD119" s="950"/>
      <c r="VDE119" s="950"/>
      <c r="VDF119" s="950"/>
      <c r="VDG119" s="950"/>
      <c r="VDH119" s="950"/>
      <c r="VDI119" s="950"/>
      <c r="VDJ119" s="950"/>
      <c r="VDK119" s="950"/>
      <c r="VDL119" s="950"/>
      <c r="VDM119" s="950"/>
      <c r="VDN119" s="950"/>
      <c r="VDO119" s="950"/>
      <c r="VDP119" s="950"/>
      <c r="VDQ119" s="950"/>
      <c r="VDR119" s="950"/>
      <c r="VDS119" s="950"/>
      <c r="VDT119" s="950"/>
      <c r="VDU119" s="950"/>
      <c r="VDV119" s="950"/>
      <c r="VDW119" s="950"/>
      <c r="VDX119" s="950"/>
      <c r="VDY119" s="950"/>
      <c r="VDZ119" s="950"/>
      <c r="VEA119" s="950"/>
      <c r="VEB119" s="950"/>
      <c r="VEC119" s="950"/>
      <c r="VED119" s="950"/>
      <c r="VEE119" s="950"/>
      <c r="VEF119" s="950"/>
      <c r="VEG119" s="950"/>
      <c r="VEH119" s="950"/>
      <c r="VEI119" s="950"/>
      <c r="VEJ119" s="950"/>
      <c r="VEK119" s="950"/>
      <c r="VEL119" s="950"/>
      <c r="VEM119" s="950"/>
      <c r="VEN119" s="950"/>
      <c r="VEO119" s="950"/>
      <c r="VEP119" s="950"/>
      <c r="VEQ119" s="950"/>
      <c r="VER119" s="950"/>
      <c r="VES119" s="950"/>
      <c r="VET119" s="950"/>
      <c r="VEU119" s="950"/>
      <c r="VEV119" s="950"/>
      <c r="VEW119" s="950"/>
      <c r="VEX119" s="950"/>
      <c r="VEY119" s="950"/>
      <c r="VEZ119" s="950"/>
      <c r="VFA119" s="950"/>
      <c r="VFB119" s="950"/>
      <c r="VFC119" s="950"/>
      <c r="VFD119" s="950"/>
      <c r="VFE119" s="950"/>
      <c r="VFF119" s="950"/>
      <c r="VFG119" s="950"/>
      <c r="VFH119" s="950"/>
      <c r="VFI119" s="950"/>
      <c r="VFJ119" s="950"/>
      <c r="VFK119" s="950"/>
      <c r="VFL119" s="950"/>
      <c r="VFM119" s="950"/>
      <c r="VFN119" s="950"/>
      <c r="VFO119" s="950"/>
      <c r="VFP119" s="950"/>
      <c r="VFQ119" s="950"/>
      <c r="VFR119" s="950"/>
      <c r="VFS119" s="950"/>
      <c r="VFT119" s="950"/>
      <c r="VFU119" s="950"/>
      <c r="VFV119" s="950"/>
      <c r="VFW119" s="950"/>
      <c r="VFX119" s="950"/>
      <c r="VFY119" s="950"/>
      <c r="VFZ119" s="950"/>
      <c r="VGA119" s="950"/>
      <c r="VGB119" s="950"/>
      <c r="VGC119" s="950"/>
      <c r="VGD119" s="950"/>
      <c r="VGE119" s="950"/>
      <c r="VGF119" s="950"/>
      <c r="VGG119" s="950"/>
      <c r="VGH119" s="950"/>
      <c r="VGI119" s="950"/>
      <c r="VGJ119" s="950"/>
      <c r="VGK119" s="950"/>
      <c r="VGL119" s="950"/>
      <c r="VGM119" s="950"/>
      <c r="VGN119" s="950"/>
      <c r="VGO119" s="950"/>
      <c r="VGP119" s="950"/>
      <c r="VGQ119" s="950"/>
      <c r="VGR119" s="950"/>
      <c r="VGS119" s="950"/>
      <c r="VGT119" s="950"/>
      <c r="VGU119" s="950"/>
      <c r="VGV119" s="950"/>
      <c r="VGW119" s="950"/>
      <c r="VGX119" s="950"/>
      <c r="VGY119" s="950"/>
      <c r="VGZ119" s="950"/>
      <c r="VHA119" s="950"/>
      <c r="VHB119" s="950"/>
      <c r="VHC119" s="950"/>
      <c r="VHD119" s="950"/>
      <c r="VHE119" s="950"/>
      <c r="VHF119" s="950"/>
      <c r="VHG119" s="950"/>
      <c r="VHH119" s="950"/>
      <c r="VHI119" s="950"/>
      <c r="VHJ119" s="950"/>
      <c r="VHK119" s="950"/>
      <c r="VHL119" s="950"/>
      <c r="VHM119" s="950"/>
      <c r="VHN119" s="950"/>
      <c r="VHO119" s="950"/>
      <c r="VHP119" s="950"/>
      <c r="VHQ119" s="950"/>
      <c r="VHR119" s="950"/>
      <c r="VHS119" s="950"/>
      <c r="VHT119" s="950"/>
      <c r="VHU119" s="950"/>
      <c r="VHV119" s="950"/>
      <c r="VHW119" s="950"/>
      <c r="VHX119" s="950"/>
      <c r="VHY119" s="950"/>
      <c r="VHZ119" s="950"/>
      <c r="VIA119" s="950"/>
      <c r="VIB119" s="950"/>
      <c r="VIC119" s="950"/>
      <c r="VID119" s="950"/>
      <c r="VIE119" s="950"/>
      <c r="VIF119" s="950"/>
      <c r="VIG119" s="950"/>
      <c r="VIH119" s="950"/>
      <c r="VII119" s="950"/>
      <c r="VIJ119" s="950"/>
      <c r="VIK119" s="950"/>
      <c r="VIL119" s="950"/>
      <c r="VIM119" s="950"/>
      <c r="VIN119" s="950"/>
      <c r="VIO119" s="950"/>
      <c r="VIP119" s="950"/>
      <c r="VIQ119" s="950"/>
      <c r="VIR119" s="950"/>
      <c r="VIS119" s="950"/>
      <c r="VIT119" s="950"/>
      <c r="VIU119" s="950"/>
      <c r="VIV119" s="950"/>
      <c r="VIW119" s="950"/>
      <c r="VIX119" s="950"/>
      <c r="VIY119" s="950"/>
      <c r="VIZ119" s="950"/>
      <c r="VJA119" s="950"/>
      <c r="VJB119" s="950"/>
      <c r="VJC119" s="950"/>
      <c r="VJD119" s="950"/>
      <c r="VJE119" s="950"/>
      <c r="VJF119" s="950"/>
      <c r="VJG119" s="950"/>
      <c r="VJH119" s="950"/>
      <c r="VJI119" s="950"/>
      <c r="VJJ119" s="950"/>
      <c r="VJK119" s="950"/>
      <c r="VJL119" s="950"/>
      <c r="VJM119" s="950"/>
      <c r="VJN119" s="950"/>
      <c r="VJO119" s="950"/>
      <c r="VJP119" s="950"/>
      <c r="VJQ119" s="950"/>
      <c r="VJR119" s="950"/>
      <c r="VJS119" s="950"/>
      <c r="VJT119" s="950"/>
      <c r="VJU119" s="950"/>
      <c r="VJV119" s="950"/>
      <c r="VJW119" s="950"/>
      <c r="VJX119" s="950"/>
      <c r="VJY119" s="950"/>
      <c r="VJZ119" s="950"/>
      <c r="VKA119" s="950"/>
      <c r="VKB119" s="950"/>
      <c r="VKC119" s="950"/>
      <c r="VKD119" s="950"/>
      <c r="VKE119" s="950"/>
      <c r="VKF119" s="950"/>
      <c r="VKG119" s="950"/>
      <c r="VKH119" s="950"/>
      <c r="VKI119" s="950"/>
      <c r="VKJ119" s="950"/>
      <c r="VKK119" s="950"/>
      <c r="VKL119" s="950"/>
      <c r="VKM119" s="950"/>
      <c r="VKN119" s="950"/>
      <c r="VKO119" s="950"/>
      <c r="VKP119" s="950"/>
      <c r="VKQ119" s="950"/>
      <c r="VKR119" s="950"/>
      <c r="VKS119" s="950"/>
      <c r="VKT119" s="950"/>
      <c r="VKU119" s="950"/>
      <c r="VKV119" s="950"/>
      <c r="VKW119" s="950"/>
      <c r="VKX119" s="950"/>
      <c r="VKY119" s="950"/>
      <c r="VKZ119" s="950"/>
      <c r="VLA119" s="950"/>
      <c r="VLB119" s="950"/>
      <c r="VLC119" s="950"/>
      <c r="VLD119" s="950"/>
      <c r="VLE119" s="950"/>
      <c r="VLF119" s="950"/>
      <c r="VLG119" s="950"/>
      <c r="VLH119" s="950"/>
      <c r="VLI119" s="950"/>
      <c r="VLJ119" s="950"/>
      <c r="VLK119" s="950"/>
      <c r="VLL119" s="950"/>
      <c r="VLM119" s="950"/>
      <c r="VLN119" s="950"/>
      <c r="VLO119" s="950"/>
      <c r="VLP119" s="950"/>
      <c r="VLQ119" s="950"/>
      <c r="VLR119" s="950"/>
      <c r="VLS119" s="950"/>
      <c r="VLT119" s="950"/>
      <c r="VLU119" s="950"/>
      <c r="VLV119" s="950"/>
      <c r="VLW119" s="950"/>
      <c r="VLX119" s="950"/>
      <c r="VLY119" s="950"/>
      <c r="VLZ119" s="950"/>
      <c r="VMA119" s="950"/>
      <c r="VMB119" s="950"/>
      <c r="VMC119" s="950"/>
      <c r="VMD119" s="950"/>
      <c r="VME119" s="950"/>
      <c r="VMF119" s="950"/>
      <c r="VMG119" s="950"/>
      <c r="VMH119" s="950"/>
      <c r="VMI119" s="950"/>
      <c r="VMJ119" s="950"/>
      <c r="VMK119" s="950"/>
      <c r="VML119" s="950"/>
      <c r="VMM119" s="950"/>
      <c r="VMN119" s="950"/>
      <c r="VMO119" s="950"/>
      <c r="VMP119" s="950"/>
      <c r="VMQ119" s="950"/>
      <c r="VMR119" s="950"/>
      <c r="VMS119" s="950"/>
      <c r="VMT119" s="950"/>
      <c r="VMU119" s="950"/>
      <c r="VMV119" s="950"/>
      <c r="VMW119" s="950"/>
      <c r="VMX119" s="950"/>
      <c r="VMY119" s="950"/>
      <c r="VMZ119" s="950"/>
      <c r="VNA119" s="950"/>
      <c r="VNB119" s="950"/>
      <c r="VNC119" s="950"/>
      <c r="VND119" s="950"/>
      <c r="VNE119" s="950"/>
      <c r="VNF119" s="950"/>
      <c r="VNG119" s="950"/>
      <c r="VNH119" s="950"/>
      <c r="VNI119" s="950"/>
      <c r="VNJ119" s="950"/>
      <c r="VNK119" s="950"/>
      <c r="VNL119" s="950"/>
      <c r="VNM119" s="950"/>
      <c r="VNN119" s="950"/>
      <c r="VNO119" s="950"/>
      <c r="VNP119" s="950"/>
      <c r="VNQ119" s="950"/>
      <c r="VNR119" s="950"/>
      <c r="VNS119" s="950"/>
      <c r="VNT119" s="950"/>
      <c r="VNU119" s="950"/>
      <c r="VNV119" s="950"/>
      <c r="VNW119" s="950"/>
      <c r="VNX119" s="950"/>
      <c r="VNY119" s="950"/>
      <c r="VNZ119" s="950"/>
      <c r="VOA119" s="950"/>
      <c r="VOB119" s="950"/>
      <c r="VOC119" s="950"/>
      <c r="VOD119" s="950"/>
      <c r="VOE119" s="950"/>
      <c r="VOF119" s="950"/>
      <c r="VOG119" s="950"/>
      <c r="VOH119" s="950"/>
      <c r="VOI119" s="950"/>
      <c r="VOJ119" s="950"/>
      <c r="VOK119" s="950"/>
      <c r="VOL119" s="950"/>
      <c r="VOM119" s="950"/>
      <c r="VON119" s="950"/>
      <c r="VOO119" s="950"/>
      <c r="VOP119" s="950"/>
      <c r="VOQ119" s="950"/>
      <c r="VOR119" s="950"/>
      <c r="VOS119" s="950"/>
      <c r="VOT119" s="950"/>
      <c r="VOU119" s="950"/>
      <c r="VOV119" s="950"/>
      <c r="VOW119" s="950"/>
      <c r="VOX119" s="950"/>
      <c r="VOY119" s="950"/>
      <c r="VOZ119" s="950"/>
      <c r="VPA119" s="950"/>
      <c r="VPB119" s="950"/>
      <c r="VPC119" s="950"/>
      <c r="VPD119" s="950"/>
      <c r="VPE119" s="950"/>
      <c r="VPF119" s="950"/>
      <c r="VPG119" s="950"/>
      <c r="VPH119" s="950"/>
      <c r="VPI119" s="950"/>
      <c r="VPJ119" s="950"/>
      <c r="VPK119" s="950"/>
      <c r="VPL119" s="950"/>
      <c r="VPM119" s="950"/>
      <c r="VPN119" s="950"/>
      <c r="VPO119" s="950"/>
      <c r="VPP119" s="950"/>
      <c r="VPQ119" s="950"/>
      <c r="VPR119" s="950"/>
      <c r="VPS119" s="950"/>
      <c r="VPT119" s="950"/>
      <c r="VPU119" s="950"/>
      <c r="VPV119" s="950"/>
      <c r="VPW119" s="950"/>
      <c r="VPX119" s="950"/>
      <c r="VPY119" s="950"/>
      <c r="VPZ119" s="950"/>
      <c r="VQA119" s="950"/>
      <c r="VQB119" s="950"/>
      <c r="VQC119" s="950"/>
      <c r="VQD119" s="950"/>
      <c r="VQE119" s="950"/>
      <c r="VQF119" s="950"/>
      <c r="VQG119" s="950"/>
      <c r="VQH119" s="950"/>
      <c r="VQI119" s="950"/>
      <c r="VQJ119" s="950"/>
      <c r="VQK119" s="950"/>
      <c r="VQL119" s="950"/>
      <c r="VQM119" s="950"/>
      <c r="VQN119" s="950"/>
      <c r="VQO119" s="950"/>
      <c r="VQP119" s="950"/>
      <c r="VQQ119" s="950"/>
      <c r="VQR119" s="950"/>
      <c r="VQS119" s="950"/>
      <c r="VQT119" s="950"/>
      <c r="VQU119" s="950"/>
      <c r="VQV119" s="950"/>
      <c r="VQW119" s="950"/>
      <c r="VQX119" s="950"/>
      <c r="VQY119" s="950"/>
      <c r="VQZ119" s="950"/>
      <c r="VRA119" s="950"/>
      <c r="VRB119" s="950"/>
      <c r="VRC119" s="950"/>
      <c r="VRD119" s="950"/>
      <c r="VRE119" s="950"/>
      <c r="VRF119" s="950"/>
      <c r="VRG119" s="950"/>
      <c r="VRH119" s="950"/>
      <c r="VRI119" s="950"/>
      <c r="VRJ119" s="950"/>
      <c r="VRK119" s="950"/>
      <c r="VRL119" s="950"/>
      <c r="VRM119" s="950"/>
      <c r="VRN119" s="950"/>
      <c r="VRO119" s="950"/>
      <c r="VRP119" s="950"/>
      <c r="VRQ119" s="950"/>
      <c r="VRR119" s="950"/>
      <c r="VRS119" s="950"/>
      <c r="VRT119" s="950"/>
      <c r="VRU119" s="950"/>
      <c r="VRV119" s="950"/>
      <c r="VRW119" s="950"/>
      <c r="VRX119" s="950"/>
      <c r="VRY119" s="950"/>
      <c r="VRZ119" s="950"/>
      <c r="VSA119" s="950"/>
      <c r="VSB119" s="950"/>
      <c r="VSC119" s="950"/>
      <c r="VSD119" s="950"/>
      <c r="VSE119" s="950"/>
      <c r="VSF119" s="950"/>
      <c r="VSG119" s="950"/>
      <c r="VSH119" s="950"/>
      <c r="VSI119" s="950"/>
      <c r="VSJ119" s="950"/>
      <c r="VSK119" s="950"/>
      <c r="VSL119" s="950"/>
      <c r="VSM119" s="950"/>
      <c r="VSN119" s="950"/>
      <c r="VSO119" s="950"/>
      <c r="VSP119" s="950"/>
      <c r="VSQ119" s="950"/>
      <c r="VSR119" s="950"/>
      <c r="VSS119" s="950"/>
      <c r="VST119" s="950"/>
      <c r="VSU119" s="950"/>
      <c r="VSV119" s="950"/>
      <c r="VSW119" s="950"/>
      <c r="VSX119" s="950"/>
      <c r="VSY119" s="950"/>
      <c r="VSZ119" s="950"/>
      <c r="VTA119" s="950"/>
      <c r="VTB119" s="950"/>
      <c r="VTC119" s="950"/>
      <c r="VTD119" s="950"/>
      <c r="VTE119" s="950"/>
      <c r="VTF119" s="950"/>
      <c r="VTG119" s="950"/>
      <c r="VTH119" s="950"/>
      <c r="VTI119" s="950"/>
      <c r="VTJ119" s="950"/>
      <c r="VTK119" s="950"/>
      <c r="VTL119" s="950"/>
      <c r="VTM119" s="950"/>
      <c r="VTN119" s="950"/>
      <c r="VTO119" s="950"/>
      <c r="VTP119" s="950"/>
      <c r="VTQ119" s="950"/>
      <c r="VTR119" s="950"/>
      <c r="VTS119" s="950"/>
      <c r="VTT119" s="950"/>
      <c r="VTU119" s="950"/>
      <c r="VTV119" s="950"/>
      <c r="VTW119" s="950"/>
      <c r="VTX119" s="950"/>
      <c r="VTY119" s="950"/>
      <c r="VTZ119" s="950"/>
      <c r="VUA119" s="950"/>
      <c r="VUB119" s="950"/>
      <c r="VUC119" s="950"/>
      <c r="VUD119" s="950"/>
      <c r="VUE119" s="950"/>
      <c r="VUF119" s="950"/>
      <c r="VUG119" s="950"/>
      <c r="VUH119" s="950"/>
      <c r="VUI119" s="950"/>
      <c r="VUJ119" s="950"/>
      <c r="VUK119" s="950"/>
      <c r="VUL119" s="950"/>
      <c r="VUM119" s="950"/>
      <c r="VUN119" s="950"/>
      <c r="VUO119" s="950"/>
      <c r="VUP119" s="950"/>
      <c r="VUQ119" s="950"/>
      <c r="VUR119" s="950"/>
      <c r="VUS119" s="950"/>
      <c r="VUT119" s="950"/>
      <c r="VUU119" s="950"/>
      <c r="VUV119" s="950"/>
      <c r="VUW119" s="950"/>
      <c r="VUX119" s="950"/>
      <c r="VUY119" s="950"/>
      <c r="VUZ119" s="950"/>
      <c r="VVA119" s="950"/>
      <c r="VVB119" s="950"/>
      <c r="VVC119" s="950"/>
      <c r="VVD119" s="950"/>
      <c r="VVE119" s="950"/>
      <c r="VVF119" s="950"/>
      <c r="VVG119" s="950"/>
      <c r="VVH119" s="950"/>
      <c r="VVI119" s="950"/>
      <c r="VVJ119" s="950"/>
      <c r="VVK119" s="950"/>
      <c r="VVL119" s="950"/>
      <c r="VVM119" s="950"/>
      <c r="VVN119" s="950"/>
      <c r="VVO119" s="950"/>
      <c r="VVP119" s="950"/>
      <c r="VVQ119" s="950"/>
      <c r="VVR119" s="950"/>
      <c r="VVS119" s="950"/>
      <c r="VVT119" s="950"/>
      <c r="VVU119" s="950"/>
      <c r="VVV119" s="950"/>
      <c r="VVW119" s="950"/>
      <c r="VVX119" s="950"/>
      <c r="VVY119" s="950"/>
      <c r="VVZ119" s="950"/>
      <c r="VWA119" s="950"/>
      <c r="VWB119" s="950"/>
      <c r="VWC119" s="950"/>
      <c r="VWD119" s="950"/>
      <c r="VWE119" s="950"/>
      <c r="VWF119" s="950"/>
      <c r="VWG119" s="950"/>
      <c r="VWH119" s="950"/>
      <c r="VWI119" s="950"/>
      <c r="VWJ119" s="950"/>
      <c r="VWK119" s="950"/>
      <c r="VWL119" s="950"/>
      <c r="VWM119" s="950"/>
      <c r="VWN119" s="950"/>
      <c r="VWO119" s="950"/>
      <c r="VWP119" s="950"/>
      <c r="VWQ119" s="950"/>
      <c r="VWR119" s="950"/>
      <c r="VWS119" s="950"/>
      <c r="VWT119" s="950"/>
      <c r="VWU119" s="950"/>
      <c r="VWV119" s="950"/>
      <c r="VWW119" s="950"/>
      <c r="VWX119" s="950"/>
      <c r="VWY119" s="950"/>
      <c r="VWZ119" s="950"/>
      <c r="VXA119" s="950"/>
      <c r="VXB119" s="950"/>
      <c r="VXC119" s="950"/>
      <c r="VXD119" s="950"/>
      <c r="VXE119" s="950"/>
      <c r="VXF119" s="950"/>
      <c r="VXG119" s="950"/>
      <c r="VXH119" s="950"/>
      <c r="VXI119" s="950"/>
      <c r="VXJ119" s="950"/>
      <c r="VXK119" s="950"/>
      <c r="VXL119" s="950"/>
      <c r="VXM119" s="950"/>
      <c r="VXN119" s="950"/>
      <c r="VXO119" s="950"/>
      <c r="VXP119" s="950"/>
      <c r="VXQ119" s="950"/>
      <c r="VXR119" s="950"/>
      <c r="VXS119" s="950"/>
      <c r="VXT119" s="950"/>
      <c r="VXU119" s="950"/>
      <c r="VXV119" s="950"/>
      <c r="VXW119" s="950"/>
      <c r="VXX119" s="950"/>
      <c r="VXY119" s="950"/>
      <c r="VXZ119" s="950"/>
      <c r="VYA119" s="950"/>
      <c r="VYB119" s="950"/>
      <c r="VYC119" s="950"/>
      <c r="VYD119" s="950"/>
      <c r="VYE119" s="950"/>
      <c r="VYF119" s="950"/>
      <c r="VYG119" s="950"/>
      <c r="VYH119" s="950"/>
      <c r="VYI119" s="950"/>
      <c r="VYJ119" s="950"/>
      <c r="VYK119" s="950"/>
      <c r="VYL119" s="950"/>
      <c r="VYM119" s="950"/>
      <c r="VYN119" s="950"/>
      <c r="VYO119" s="950"/>
      <c r="VYP119" s="950"/>
      <c r="VYQ119" s="950"/>
      <c r="VYR119" s="950"/>
      <c r="VYS119" s="950"/>
      <c r="VYT119" s="950"/>
      <c r="VYU119" s="950"/>
      <c r="VYV119" s="950"/>
      <c r="VYW119" s="950"/>
      <c r="VYX119" s="950"/>
      <c r="VYY119" s="950"/>
      <c r="VYZ119" s="950"/>
      <c r="VZA119" s="950"/>
      <c r="VZB119" s="950"/>
      <c r="VZC119" s="950"/>
      <c r="VZD119" s="950"/>
      <c r="VZE119" s="950"/>
      <c r="VZF119" s="950"/>
      <c r="VZG119" s="950"/>
      <c r="VZH119" s="950"/>
      <c r="VZI119" s="950"/>
      <c r="VZJ119" s="950"/>
      <c r="VZK119" s="950"/>
      <c r="VZL119" s="950"/>
      <c r="VZM119" s="950"/>
      <c r="VZN119" s="950"/>
      <c r="VZO119" s="950"/>
      <c r="VZP119" s="950"/>
      <c r="VZQ119" s="950"/>
      <c r="VZR119" s="950"/>
      <c r="VZS119" s="950"/>
      <c r="VZT119" s="950"/>
      <c r="VZU119" s="950"/>
      <c r="VZV119" s="950"/>
      <c r="VZW119" s="950"/>
      <c r="VZX119" s="950"/>
      <c r="VZY119" s="950"/>
      <c r="VZZ119" s="950"/>
      <c r="WAA119" s="950"/>
      <c r="WAB119" s="950"/>
      <c r="WAC119" s="950"/>
      <c r="WAD119" s="950"/>
      <c r="WAE119" s="950"/>
      <c r="WAF119" s="950"/>
      <c r="WAG119" s="950"/>
      <c r="WAH119" s="950"/>
      <c r="WAI119" s="950"/>
      <c r="WAJ119" s="950"/>
      <c r="WAK119" s="950"/>
      <c r="WAL119" s="950"/>
      <c r="WAM119" s="950"/>
      <c r="WAN119" s="950"/>
      <c r="WAO119" s="950"/>
      <c r="WAP119" s="950"/>
      <c r="WAQ119" s="950"/>
      <c r="WAR119" s="950"/>
      <c r="WAS119" s="950"/>
      <c r="WAT119" s="950"/>
      <c r="WAU119" s="950"/>
      <c r="WAV119" s="950"/>
      <c r="WAW119" s="950"/>
      <c r="WAX119" s="950"/>
      <c r="WAY119" s="950"/>
      <c r="WAZ119" s="950"/>
      <c r="WBA119" s="950"/>
      <c r="WBB119" s="950"/>
      <c r="WBC119" s="950"/>
      <c r="WBD119" s="950"/>
      <c r="WBE119" s="950"/>
      <c r="WBF119" s="950"/>
      <c r="WBG119" s="950"/>
      <c r="WBH119" s="950"/>
      <c r="WBI119" s="950"/>
      <c r="WBJ119" s="950"/>
      <c r="WBK119" s="950"/>
      <c r="WBL119" s="950"/>
      <c r="WBM119" s="950"/>
      <c r="WBN119" s="950"/>
      <c r="WBO119" s="950"/>
      <c r="WBP119" s="950"/>
      <c r="WBQ119" s="950"/>
      <c r="WBR119" s="950"/>
      <c r="WBS119" s="950"/>
      <c r="WBT119" s="950"/>
      <c r="WBU119" s="950"/>
      <c r="WBV119" s="950"/>
      <c r="WBW119" s="950"/>
      <c r="WBX119" s="950"/>
      <c r="WBY119" s="950"/>
      <c r="WBZ119" s="950"/>
      <c r="WCA119" s="950"/>
      <c r="WCB119" s="950"/>
      <c r="WCC119" s="950"/>
      <c r="WCD119" s="950"/>
      <c r="WCE119" s="950"/>
      <c r="WCF119" s="950"/>
      <c r="WCG119" s="950"/>
      <c r="WCH119" s="950"/>
      <c r="WCI119" s="950"/>
      <c r="WCJ119" s="950"/>
      <c r="WCK119" s="950"/>
      <c r="WCL119" s="950"/>
      <c r="WCM119" s="950"/>
      <c r="WCN119" s="950"/>
      <c r="WCO119" s="950"/>
      <c r="WCP119" s="950"/>
      <c r="WCQ119" s="950"/>
      <c r="WCR119" s="950"/>
      <c r="WCS119" s="950"/>
      <c r="WCT119" s="950"/>
      <c r="WCU119" s="950"/>
      <c r="WCV119" s="950"/>
      <c r="WCW119" s="950"/>
      <c r="WCX119" s="950"/>
      <c r="WCY119" s="950"/>
      <c r="WCZ119" s="950"/>
      <c r="WDA119" s="950"/>
      <c r="WDB119" s="950"/>
      <c r="WDC119" s="950"/>
      <c r="WDD119" s="950"/>
      <c r="WDE119" s="950"/>
      <c r="WDF119" s="950"/>
      <c r="WDG119" s="950"/>
      <c r="WDH119" s="950"/>
      <c r="WDI119" s="950"/>
      <c r="WDJ119" s="950"/>
      <c r="WDK119" s="950"/>
      <c r="WDL119" s="950"/>
      <c r="WDM119" s="950"/>
      <c r="WDN119" s="950"/>
      <c r="WDO119" s="950"/>
      <c r="WDP119" s="950"/>
      <c r="WDQ119" s="950"/>
      <c r="WDR119" s="950"/>
      <c r="WDS119" s="950"/>
      <c r="WDT119" s="950"/>
      <c r="WDU119" s="950"/>
      <c r="WDV119" s="950"/>
      <c r="WDW119" s="950"/>
      <c r="WDX119" s="950"/>
      <c r="WDY119" s="950"/>
      <c r="WDZ119" s="950"/>
      <c r="WEA119" s="950"/>
      <c r="WEB119" s="950"/>
      <c r="WEC119" s="950"/>
      <c r="WED119" s="950"/>
      <c r="WEE119" s="950"/>
      <c r="WEF119" s="950"/>
      <c r="WEG119" s="950"/>
      <c r="WEH119" s="950"/>
      <c r="WEI119" s="950"/>
      <c r="WEJ119" s="950"/>
      <c r="WEK119" s="950"/>
      <c r="WEL119" s="950"/>
      <c r="WEM119" s="950"/>
      <c r="WEN119" s="950"/>
      <c r="WEO119" s="950"/>
      <c r="WEP119" s="950"/>
      <c r="WEQ119" s="950"/>
      <c r="WER119" s="950"/>
      <c r="WES119" s="950"/>
      <c r="WET119" s="950"/>
      <c r="WEU119" s="950"/>
      <c r="WEV119" s="950"/>
      <c r="WEW119" s="950"/>
      <c r="WEX119" s="950"/>
      <c r="WEY119" s="950"/>
      <c r="WEZ119" s="950"/>
      <c r="WFA119" s="950"/>
      <c r="WFB119" s="950"/>
      <c r="WFC119" s="950"/>
      <c r="WFD119" s="950"/>
      <c r="WFE119" s="950"/>
      <c r="WFF119" s="950"/>
      <c r="WFG119" s="950"/>
      <c r="WFH119" s="950"/>
      <c r="WFI119" s="950"/>
      <c r="WFJ119" s="950"/>
      <c r="WFK119" s="950"/>
      <c r="WFL119" s="950"/>
      <c r="WFM119" s="950"/>
      <c r="WFN119" s="950"/>
      <c r="WFO119" s="950"/>
      <c r="WFP119" s="950"/>
      <c r="WFQ119" s="950"/>
      <c r="WFR119" s="950"/>
      <c r="WFS119" s="950"/>
      <c r="WFT119" s="950"/>
      <c r="WFU119" s="950"/>
      <c r="WFV119" s="950"/>
      <c r="WFW119" s="950"/>
      <c r="WFX119" s="950"/>
      <c r="WFY119" s="950"/>
      <c r="WFZ119" s="950"/>
      <c r="WGA119" s="950"/>
      <c r="WGB119" s="950"/>
      <c r="WGC119" s="950"/>
      <c r="WGD119" s="950"/>
      <c r="WGE119" s="950"/>
      <c r="WGF119" s="950"/>
      <c r="WGG119" s="950"/>
      <c r="WGH119" s="950"/>
      <c r="WGI119" s="950"/>
      <c r="WGJ119" s="950"/>
      <c r="WGK119" s="950"/>
      <c r="WGL119" s="950"/>
      <c r="WGM119" s="950"/>
      <c r="WGN119" s="950"/>
      <c r="WGO119" s="950"/>
      <c r="WGP119" s="950"/>
      <c r="WGQ119" s="950"/>
      <c r="WGR119" s="950"/>
      <c r="WGS119" s="950"/>
      <c r="WGT119" s="950"/>
      <c r="WGU119" s="950"/>
      <c r="WGV119" s="950"/>
      <c r="WGW119" s="950"/>
      <c r="WGX119" s="950"/>
      <c r="WGY119" s="950"/>
      <c r="WGZ119" s="950"/>
      <c r="WHA119" s="950"/>
      <c r="WHB119" s="950"/>
      <c r="WHC119" s="950"/>
      <c r="WHD119" s="950"/>
      <c r="WHE119" s="950"/>
      <c r="WHF119" s="950"/>
      <c r="WHG119" s="950"/>
      <c r="WHH119" s="950"/>
      <c r="WHI119" s="950"/>
      <c r="WHJ119" s="950"/>
      <c r="WHK119" s="950"/>
      <c r="WHL119" s="950"/>
      <c r="WHM119" s="950"/>
      <c r="WHN119" s="950"/>
      <c r="WHO119" s="950"/>
      <c r="WHP119" s="950"/>
      <c r="WHQ119" s="950"/>
      <c r="WHR119" s="950"/>
      <c r="WHS119" s="950"/>
      <c r="WHT119" s="950"/>
      <c r="WHU119" s="950"/>
      <c r="WHV119" s="950"/>
      <c r="WHW119" s="950"/>
      <c r="WHX119" s="950"/>
      <c r="WHY119" s="950"/>
      <c r="WHZ119" s="950"/>
      <c r="WIA119" s="950"/>
      <c r="WIB119" s="950"/>
      <c r="WIC119" s="950"/>
      <c r="WID119" s="950"/>
      <c r="WIE119" s="950"/>
      <c r="WIF119" s="950"/>
      <c r="WIG119" s="950"/>
      <c r="WIH119" s="950"/>
      <c r="WII119" s="950"/>
      <c r="WIJ119" s="950"/>
      <c r="WIK119" s="950"/>
      <c r="WIL119" s="950"/>
      <c r="WIM119" s="950"/>
      <c r="WIN119" s="950"/>
      <c r="WIO119" s="950"/>
      <c r="WIP119" s="950"/>
      <c r="WIQ119" s="950"/>
      <c r="WIR119" s="950"/>
      <c r="WIS119" s="950"/>
      <c r="WIT119" s="950"/>
      <c r="WIU119" s="950"/>
      <c r="WIV119" s="950"/>
      <c r="WIW119" s="950"/>
      <c r="WIX119" s="950"/>
      <c r="WIY119" s="950"/>
      <c r="WIZ119" s="950"/>
      <c r="WJA119" s="950"/>
      <c r="WJB119" s="950"/>
      <c r="WJC119" s="950"/>
      <c r="WJD119" s="950"/>
      <c r="WJE119" s="950"/>
      <c r="WJF119" s="950"/>
      <c r="WJG119" s="950"/>
      <c r="WJH119" s="950"/>
      <c r="WJI119" s="950"/>
      <c r="WJJ119" s="950"/>
      <c r="WJK119" s="950"/>
      <c r="WJL119" s="950"/>
      <c r="WJM119" s="950"/>
      <c r="WJN119" s="950"/>
      <c r="WJO119" s="950"/>
      <c r="WJP119" s="950"/>
      <c r="WJQ119" s="950"/>
      <c r="WJR119" s="950"/>
      <c r="WJS119" s="950"/>
      <c r="WJT119" s="950"/>
      <c r="WJU119" s="950"/>
      <c r="WJV119" s="950"/>
      <c r="WJW119" s="950"/>
      <c r="WJX119" s="950"/>
      <c r="WJY119" s="950"/>
      <c r="WJZ119" s="950"/>
      <c r="WKA119" s="950"/>
      <c r="WKB119" s="950"/>
      <c r="WKC119" s="950"/>
      <c r="WKD119" s="950"/>
      <c r="WKE119" s="950"/>
      <c r="WKF119" s="950"/>
      <c r="WKG119" s="950"/>
      <c r="WKH119" s="950"/>
      <c r="WKI119" s="950"/>
      <c r="WKJ119" s="950"/>
      <c r="WKK119" s="950"/>
      <c r="WKL119" s="950"/>
      <c r="WKM119" s="950"/>
      <c r="WKN119" s="950"/>
      <c r="WKO119" s="950"/>
      <c r="WKP119" s="950"/>
      <c r="WKQ119" s="950"/>
      <c r="WKR119" s="950"/>
      <c r="WKS119" s="950"/>
      <c r="WKT119" s="950"/>
      <c r="WKU119" s="950"/>
      <c r="WKV119" s="950"/>
      <c r="WKW119" s="950"/>
      <c r="WKX119" s="950"/>
      <c r="WKY119" s="950"/>
      <c r="WKZ119" s="950"/>
      <c r="WLA119" s="950"/>
      <c r="WLB119" s="950"/>
      <c r="WLC119" s="950"/>
      <c r="WLD119" s="950"/>
      <c r="WLE119" s="950"/>
      <c r="WLF119" s="950"/>
      <c r="WLG119" s="950"/>
      <c r="WLH119" s="950"/>
      <c r="WLI119" s="950"/>
      <c r="WLJ119" s="950"/>
      <c r="WLK119" s="950"/>
      <c r="WLL119" s="950"/>
      <c r="WLM119" s="950"/>
      <c r="WLN119" s="950"/>
      <c r="WLO119" s="950"/>
      <c r="WLP119" s="950"/>
      <c r="WLQ119" s="950"/>
      <c r="WLR119" s="950"/>
      <c r="WLS119" s="950"/>
      <c r="WLT119" s="950"/>
      <c r="WLU119" s="950"/>
      <c r="WLV119" s="950"/>
      <c r="WLW119" s="950"/>
      <c r="WLX119" s="950"/>
      <c r="WLY119" s="950"/>
      <c r="WLZ119" s="950"/>
      <c r="WMA119" s="950"/>
      <c r="WMB119" s="950"/>
      <c r="WMC119" s="950"/>
      <c r="WMD119" s="950"/>
      <c r="WME119" s="950"/>
      <c r="WMF119" s="950"/>
      <c r="WMG119" s="950"/>
      <c r="WMH119" s="950"/>
      <c r="WMI119" s="950"/>
      <c r="WMJ119" s="950"/>
      <c r="WMK119" s="950"/>
      <c r="WML119" s="950"/>
      <c r="WMM119" s="950"/>
      <c r="WMN119" s="950"/>
      <c r="WMO119" s="950"/>
      <c r="WMP119" s="950"/>
      <c r="WMQ119" s="950"/>
      <c r="WMR119" s="950"/>
      <c r="WMS119" s="950"/>
      <c r="WMT119" s="950"/>
      <c r="WMU119" s="950"/>
      <c r="WMV119" s="950"/>
      <c r="WMW119" s="950"/>
      <c r="WMX119" s="950"/>
      <c r="WMY119" s="950"/>
      <c r="WMZ119" s="950"/>
      <c r="WNA119" s="950"/>
      <c r="WNB119" s="950"/>
      <c r="WNC119" s="950"/>
      <c r="WND119" s="950"/>
      <c r="WNE119" s="950"/>
      <c r="WNF119" s="950"/>
      <c r="WNG119" s="950"/>
      <c r="WNH119" s="950"/>
      <c r="WNI119" s="950"/>
      <c r="WNJ119" s="950"/>
      <c r="WNK119" s="950"/>
      <c r="WNL119" s="950"/>
      <c r="WNM119" s="950"/>
      <c r="WNN119" s="950"/>
      <c r="WNO119" s="950"/>
      <c r="WNP119" s="950"/>
      <c r="WNQ119" s="950"/>
      <c r="WNR119" s="950"/>
      <c r="WNS119" s="950"/>
      <c r="WNT119" s="950"/>
      <c r="WNU119" s="950"/>
      <c r="WNV119" s="950"/>
      <c r="WNW119" s="950"/>
      <c r="WNX119" s="950"/>
      <c r="WNY119" s="950"/>
      <c r="WNZ119" s="950"/>
      <c r="WOA119" s="950"/>
      <c r="WOB119" s="950"/>
      <c r="WOC119" s="950"/>
      <c r="WOD119" s="950"/>
      <c r="WOE119" s="950"/>
      <c r="WOF119" s="950"/>
      <c r="WOG119" s="950"/>
      <c r="WOH119" s="950"/>
      <c r="WOI119" s="950"/>
      <c r="WOJ119" s="950"/>
      <c r="WOK119" s="950"/>
      <c r="WOL119" s="950"/>
      <c r="WOM119" s="950"/>
      <c r="WON119" s="950"/>
      <c r="WOO119" s="950"/>
      <c r="WOP119" s="950"/>
      <c r="WOQ119" s="950"/>
      <c r="WOR119" s="950"/>
      <c r="WOS119" s="950"/>
      <c r="WOT119" s="950"/>
      <c r="WOU119" s="950"/>
      <c r="WOV119" s="950"/>
      <c r="WOW119" s="950"/>
      <c r="WOX119" s="950"/>
      <c r="WOY119" s="950"/>
      <c r="WOZ119" s="950"/>
      <c r="WPA119" s="950"/>
      <c r="WPB119" s="950"/>
      <c r="WPC119" s="950"/>
      <c r="WPD119" s="950"/>
      <c r="WPE119" s="950"/>
      <c r="WPF119" s="950"/>
      <c r="WPG119" s="950"/>
      <c r="WPH119" s="950"/>
      <c r="WPI119" s="950"/>
      <c r="WPJ119" s="950"/>
      <c r="WPK119" s="950"/>
      <c r="WPL119" s="950"/>
      <c r="WPM119" s="950"/>
      <c r="WPN119" s="950"/>
      <c r="WPO119" s="950"/>
      <c r="WPP119" s="950"/>
      <c r="WPQ119" s="950"/>
      <c r="WPR119" s="950"/>
      <c r="WPS119" s="950"/>
      <c r="WPT119" s="950"/>
      <c r="WPU119" s="950"/>
      <c r="WPV119" s="950"/>
      <c r="WPW119" s="950"/>
      <c r="WPX119" s="950"/>
      <c r="WPY119" s="950"/>
      <c r="WPZ119" s="950"/>
      <c r="WQA119" s="950"/>
      <c r="WQB119" s="950"/>
      <c r="WQC119" s="950"/>
      <c r="WQD119" s="950"/>
      <c r="WQE119" s="950"/>
      <c r="WQF119" s="950"/>
      <c r="WQG119" s="950"/>
      <c r="WQH119" s="950"/>
      <c r="WQI119" s="950"/>
      <c r="WQJ119" s="950"/>
      <c r="WQK119" s="950"/>
      <c r="WQL119" s="950"/>
      <c r="WQM119" s="950"/>
      <c r="WQN119" s="950"/>
      <c r="WQO119" s="950"/>
      <c r="WQP119" s="950"/>
      <c r="WQQ119" s="950"/>
      <c r="WQR119" s="950"/>
      <c r="WQS119" s="950"/>
      <c r="WQT119" s="950"/>
      <c r="WQU119" s="950"/>
      <c r="WQV119" s="950"/>
      <c r="WQW119" s="950"/>
      <c r="WQX119" s="950"/>
      <c r="WQY119" s="950"/>
      <c r="WQZ119" s="950"/>
      <c r="WRA119" s="950"/>
      <c r="WRB119" s="950"/>
      <c r="WRC119" s="950"/>
      <c r="WRD119" s="950"/>
      <c r="WRE119" s="950"/>
      <c r="WRF119" s="950"/>
      <c r="WRG119" s="950"/>
      <c r="WRH119" s="950"/>
      <c r="WRI119" s="950"/>
      <c r="WRJ119" s="950"/>
      <c r="WRK119" s="950"/>
      <c r="WRL119" s="950"/>
      <c r="WRM119" s="950"/>
      <c r="WRN119" s="950"/>
      <c r="WRO119" s="950"/>
      <c r="WRP119" s="950"/>
      <c r="WRQ119" s="950"/>
      <c r="WRR119" s="950"/>
      <c r="WRS119" s="950"/>
      <c r="WRT119" s="950"/>
      <c r="WRU119" s="950"/>
      <c r="WRV119" s="950"/>
      <c r="WRW119" s="950"/>
      <c r="WRX119" s="950"/>
      <c r="WRY119" s="950"/>
      <c r="WRZ119" s="950"/>
      <c r="WSA119" s="950"/>
      <c r="WSB119" s="950"/>
      <c r="WSC119" s="950"/>
      <c r="WSD119" s="950"/>
      <c r="WSE119" s="950"/>
      <c r="WSF119" s="950"/>
      <c r="WSG119" s="950"/>
      <c r="WSH119" s="950"/>
      <c r="WSI119" s="950"/>
      <c r="WSJ119" s="950"/>
      <c r="WSK119" s="950"/>
      <c r="WSL119" s="950"/>
      <c r="WSM119" s="950"/>
      <c r="WSN119" s="950"/>
      <c r="WSO119" s="950"/>
      <c r="WSP119" s="950"/>
      <c r="WSQ119" s="950"/>
      <c r="WSR119" s="950"/>
      <c r="WSS119" s="950"/>
      <c r="WST119" s="950"/>
      <c r="WSU119" s="950"/>
      <c r="WSV119" s="950"/>
      <c r="WSW119" s="950"/>
      <c r="WSX119" s="950"/>
      <c r="WSY119" s="950"/>
      <c r="WSZ119" s="950"/>
      <c r="WTA119" s="950"/>
      <c r="WTB119" s="950"/>
      <c r="WTC119" s="950"/>
      <c r="WTD119" s="950"/>
      <c r="WTE119" s="950"/>
      <c r="WTF119" s="950"/>
      <c r="WTG119" s="950"/>
      <c r="WTH119" s="950"/>
      <c r="WTI119" s="950"/>
      <c r="WTJ119" s="950"/>
      <c r="WTK119" s="950"/>
      <c r="WTL119" s="950"/>
      <c r="WTM119" s="950"/>
      <c r="WTN119" s="950"/>
      <c r="WTO119" s="950"/>
      <c r="WTP119" s="950"/>
      <c r="WTQ119" s="950"/>
      <c r="WTR119" s="950"/>
      <c r="WTS119" s="950"/>
      <c r="WTT119" s="950"/>
      <c r="WTU119" s="950"/>
      <c r="WTV119" s="950"/>
      <c r="WTW119" s="950"/>
      <c r="WTX119" s="950"/>
      <c r="WTY119" s="950"/>
      <c r="WTZ119" s="950"/>
      <c r="WUA119" s="950"/>
      <c r="WUB119" s="950"/>
      <c r="WUC119" s="950"/>
      <c r="WUD119" s="950"/>
      <c r="WUE119" s="950"/>
      <c r="WUF119" s="950"/>
      <c r="WUG119" s="950"/>
      <c r="WUH119" s="950"/>
      <c r="WUI119" s="950"/>
      <c r="WUJ119" s="950"/>
      <c r="WUK119" s="950"/>
      <c r="WUL119" s="950"/>
      <c r="WUM119" s="950"/>
      <c r="WUN119" s="950"/>
      <c r="WUO119" s="950"/>
      <c r="WUP119" s="950"/>
      <c r="WUQ119" s="950"/>
      <c r="WUR119" s="950"/>
      <c r="WUS119" s="950"/>
      <c r="WUT119" s="950"/>
      <c r="WUU119" s="950"/>
      <c r="WUV119" s="950"/>
      <c r="WUW119" s="950"/>
      <c r="WUX119" s="950"/>
      <c r="WUY119" s="950"/>
      <c r="WUZ119" s="950"/>
      <c r="WVA119" s="950"/>
      <c r="WVB119" s="950"/>
      <c r="WVC119" s="950"/>
      <c r="WVD119" s="950"/>
      <c r="WVE119" s="950"/>
      <c r="WVF119" s="950"/>
      <c r="WVG119" s="950"/>
      <c r="WVH119" s="950"/>
      <c r="WVI119" s="950"/>
      <c r="WVJ119" s="950"/>
      <c r="WVK119" s="950"/>
      <c r="WVL119" s="950"/>
      <c r="WVM119" s="950"/>
      <c r="WVN119" s="950"/>
      <c r="WVO119" s="950"/>
      <c r="WVP119" s="950"/>
      <c r="WVQ119" s="950"/>
      <c r="WVR119" s="950"/>
      <c r="WVS119" s="950"/>
      <c r="WVT119" s="950"/>
      <c r="WVU119" s="950"/>
      <c r="WVV119" s="950"/>
      <c r="WVW119" s="950"/>
      <c r="WVX119" s="950"/>
      <c r="WVY119" s="950"/>
      <c r="WVZ119" s="950"/>
      <c r="WWA119" s="950"/>
      <c r="WWB119" s="950"/>
      <c r="WWC119" s="950"/>
      <c r="WWD119" s="950"/>
      <c r="WWE119" s="950"/>
      <c r="WWF119" s="950"/>
      <c r="WWG119" s="950"/>
      <c r="WWH119" s="950"/>
      <c r="WWI119" s="950"/>
      <c r="WWJ119" s="950"/>
      <c r="WWK119" s="950"/>
      <c r="WWL119" s="950"/>
      <c r="WWM119" s="950"/>
      <c r="WWN119" s="950"/>
      <c r="WWO119" s="950"/>
      <c r="WWP119" s="950"/>
      <c r="WWQ119" s="950"/>
      <c r="WWR119" s="950"/>
      <c r="WWS119" s="950"/>
      <c r="WWT119" s="950"/>
      <c r="WWU119" s="950"/>
      <c r="WWV119" s="950"/>
      <c r="WWW119" s="950"/>
      <c r="WWX119" s="950"/>
      <c r="WWY119" s="950"/>
      <c r="WWZ119" s="950"/>
      <c r="WXA119" s="950"/>
      <c r="WXB119" s="950"/>
      <c r="WXC119" s="950"/>
      <c r="WXD119" s="950"/>
      <c r="WXE119" s="950"/>
      <c r="WXF119" s="950"/>
      <c r="WXG119" s="950"/>
      <c r="WXH119" s="950"/>
      <c r="WXI119" s="950"/>
      <c r="WXJ119" s="950"/>
      <c r="WXK119" s="950"/>
      <c r="WXL119" s="950"/>
      <c r="WXM119" s="950"/>
      <c r="WXN119" s="950"/>
      <c r="WXO119" s="950"/>
      <c r="WXP119" s="950"/>
      <c r="WXQ119" s="950"/>
      <c r="WXR119" s="950"/>
      <c r="WXS119" s="950"/>
      <c r="WXT119" s="950"/>
      <c r="WXU119" s="950"/>
      <c r="WXV119" s="950"/>
      <c r="WXW119" s="950"/>
      <c r="WXX119" s="950"/>
      <c r="WXY119" s="950"/>
      <c r="WXZ119" s="950"/>
      <c r="WYA119" s="950"/>
      <c r="WYB119" s="950"/>
      <c r="WYC119" s="950"/>
      <c r="WYD119" s="950"/>
      <c r="WYE119" s="950"/>
      <c r="WYF119" s="950"/>
      <c r="WYG119" s="950"/>
      <c r="WYH119" s="950"/>
      <c r="WYI119" s="950"/>
      <c r="WYJ119" s="950"/>
      <c r="WYK119" s="950"/>
      <c r="WYL119" s="950"/>
      <c r="WYM119" s="950"/>
      <c r="WYN119" s="950"/>
      <c r="WYO119" s="950"/>
      <c r="WYP119" s="950"/>
      <c r="WYQ119" s="950"/>
      <c r="WYR119" s="950"/>
      <c r="WYS119" s="950"/>
      <c r="WYT119" s="950"/>
      <c r="WYU119" s="950"/>
      <c r="WYV119" s="950"/>
      <c r="WYW119" s="950"/>
      <c r="WYX119" s="950"/>
      <c r="WYY119" s="950"/>
      <c r="WYZ119" s="950"/>
      <c r="WZA119" s="950"/>
      <c r="WZB119" s="950"/>
      <c r="WZC119" s="950"/>
      <c r="WZD119" s="950"/>
      <c r="WZE119" s="950"/>
      <c r="WZF119" s="950"/>
      <c r="WZG119" s="950"/>
      <c r="WZH119" s="950"/>
      <c r="WZI119" s="950"/>
      <c r="WZJ119" s="950"/>
      <c r="WZK119" s="950"/>
      <c r="WZL119" s="950"/>
      <c r="WZM119" s="950"/>
      <c r="WZN119" s="950"/>
      <c r="WZO119" s="950"/>
      <c r="WZP119" s="950"/>
      <c r="WZQ119" s="950"/>
      <c r="WZR119" s="950"/>
      <c r="WZS119" s="950"/>
      <c r="WZT119" s="950"/>
      <c r="WZU119" s="950"/>
      <c r="WZV119" s="950"/>
      <c r="WZW119" s="950"/>
      <c r="WZX119" s="950"/>
      <c r="WZY119" s="950"/>
      <c r="WZZ119" s="950"/>
      <c r="XAA119" s="950"/>
      <c r="XAB119" s="950"/>
      <c r="XAC119" s="950"/>
      <c r="XAD119" s="950"/>
      <c r="XAE119" s="950"/>
      <c r="XAF119" s="950"/>
      <c r="XAG119" s="950"/>
      <c r="XAH119" s="950"/>
      <c r="XAI119" s="950"/>
      <c r="XAJ119" s="950"/>
      <c r="XAK119" s="950"/>
      <c r="XAL119" s="950"/>
      <c r="XAM119" s="950"/>
      <c r="XAN119" s="950"/>
      <c r="XAO119" s="950"/>
      <c r="XAP119" s="950"/>
      <c r="XAQ119" s="950"/>
      <c r="XAR119" s="950"/>
      <c r="XAS119" s="950"/>
      <c r="XAT119" s="950"/>
      <c r="XAU119" s="950"/>
      <c r="XAV119" s="950"/>
      <c r="XAW119" s="950"/>
      <c r="XAX119" s="950"/>
      <c r="XAY119" s="950"/>
      <c r="XAZ119" s="950"/>
      <c r="XBA119" s="950"/>
      <c r="XBB119" s="950"/>
      <c r="XBC119" s="950"/>
      <c r="XBD119" s="950"/>
      <c r="XBE119" s="950"/>
      <c r="XBF119" s="950"/>
      <c r="XBG119" s="950"/>
      <c r="XBH119" s="950"/>
      <c r="XBI119" s="950"/>
      <c r="XBJ119" s="950"/>
      <c r="XBK119" s="950"/>
      <c r="XBL119" s="950"/>
      <c r="XBM119" s="950"/>
      <c r="XBN119" s="950"/>
      <c r="XBO119" s="950"/>
      <c r="XBP119" s="950"/>
      <c r="XBQ119" s="950"/>
      <c r="XBR119" s="950"/>
      <c r="XBS119" s="950"/>
      <c r="XBT119" s="950"/>
      <c r="XBU119" s="950"/>
      <c r="XBV119" s="950"/>
      <c r="XBW119" s="950"/>
      <c r="XBX119" s="950"/>
      <c r="XBY119" s="950"/>
      <c r="XBZ119" s="950"/>
      <c r="XCA119" s="950"/>
      <c r="XCB119" s="950"/>
      <c r="XCC119" s="950"/>
      <c r="XCD119" s="950"/>
      <c r="XCE119" s="950"/>
      <c r="XCF119" s="950"/>
      <c r="XCG119" s="950"/>
      <c r="XCH119" s="950"/>
      <c r="XCI119" s="950"/>
      <c r="XCJ119" s="950"/>
      <c r="XCK119" s="950"/>
      <c r="XCL119" s="950"/>
      <c r="XCM119" s="950"/>
      <c r="XCN119" s="950"/>
      <c r="XCO119" s="950"/>
      <c r="XCP119" s="950"/>
      <c r="XCQ119" s="950"/>
      <c r="XCR119" s="950"/>
      <c r="XCS119" s="950"/>
      <c r="XCT119" s="950"/>
      <c r="XCU119" s="950"/>
      <c r="XCV119" s="950"/>
      <c r="XCW119" s="950"/>
      <c r="XCX119" s="950"/>
      <c r="XCY119" s="950"/>
      <c r="XCZ119" s="950"/>
      <c r="XDA119" s="950"/>
      <c r="XDB119" s="950"/>
      <c r="XDC119" s="950"/>
      <c r="XDD119" s="950"/>
      <c r="XDE119" s="950"/>
      <c r="XDF119" s="950"/>
      <c r="XDG119" s="950"/>
      <c r="XDH119" s="950"/>
      <c r="XDI119" s="950"/>
      <c r="XDJ119" s="950"/>
      <c r="XDK119" s="950"/>
      <c r="XDL119" s="950"/>
      <c r="XDM119" s="950"/>
      <c r="XDN119" s="950"/>
      <c r="XDO119" s="950"/>
      <c r="XDP119" s="950"/>
      <c r="XDQ119" s="950"/>
      <c r="XDR119" s="950"/>
      <c r="XDS119" s="950"/>
      <c r="XDT119" s="950"/>
      <c r="XDU119" s="950"/>
      <c r="XDV119" s="950"/>
      <c r="XDW119" s="950"/>
      <c r="XDX119" s="950"/>
      <c r="XDY119" s="950"/>
      <c r="XDZ119" s="950"/>
      <c r="XEA119" s="950"/>
      <c r="XEB119" s="950"/>
      <c r="XEC119" s="950"/>
      <c r="XED119" s="950"/>
      <c r="XEE119" s="950"/>
      <c r="XEF119" s="950"/>
      <c r="XEG119" s="950"/>
      <c r="XEH119" s="950"/>
      <c r="XEI119" s="950"/>
      <c r="XEJ119" s="950"/>
      <c r="XEK119" s="950"/>
      <c r="XEL119" s="950"/>
      <c r="XEM119" s="950"/>
      <c r="XEN119" s="950"/>
      <c r="XEO119" s="950"/>
      <c r="XEP119" s="950"/>
      <c r="XEQ119" s="950"/>
      <c r="XER119" s="950"/>
      <c r="XES119" s="950"/>
      <c r="XET119" s="950"/>
      <c r="XEU119" s="950"/>
      <c r="XEV119" s="950"/>
      <c r="XEW119" s="950"/>
      <c r="XEX119" s="950"/>
      <c r="XEY119" s="950"/>
      <c r="XEZ119" s="950"/>
      <c r="XFA119" s="950"/>
      <c r="XFB119" s="950"/>
    </row>
    <row r="120" spans="1:16382" s="925" customFormat="1" ht="12" customHeight="1">
      <c r="A120" s="914" t="s">
        <v>1650</v>
      </c>
      <c r="B120" s="914" t="s">
        <v>1651</v>
      </c>
      <c r="C120" s="926">
        <v>4.6900000000000004</v>
      </c>
      <c r="D120" s="926">
        <v>4.72</v>
      </c>
      <c r="E120" s="926"/>
      <c r="F120" s="926"/>
      <c r="G120" s="927">
        <v>959.02</v>
      </c>
      <c r="H120" s="927">
        <v>984.26</v>
      </c>
      <c r="I120" s="927">
        <v>988.95</v>
      </c>
      <c r="J120" s="927">
        <v>1089.6600000000001</v>
      </c>
      <c r="K120" s="927">
        <v>1108.7900000000002</v>
      </c>
      <c r="L120" s="927">
        <v>1132.3799999999999</v>
      </c>
      <c r="M120" s="927">
        <v>1093.8400000000001</v>
      </c>
      <c r="N120" s="927">
        <v>1091.48</v>
      </c>
      <c r="O120" s="927">
        <v>1104.8400000000001</v>
      </c>
      <c r="P120" s="927">
        <v>1109.5600000000002</v>
      </c>
      <c r="Q120" s="927">
        <v>1100.1200000000001</v>
      </c>
      <c r="R120" s="927">
        <v>1020.7199999999999</v>
      </c>
      <c r="S120" s="927">
        <v>12783.62</v>
      </c>
      <c r="T120" s="926"/>
      <c r="U120" s="934">
        <f t="shared" si="56"/>
        <v>204.48187633262259</v>
      </c>
      <c r="V120" s="934">
        <f t="shared" si="57"/>
        <v>209.86353944562899</v>
      </c>
      <c r="W120" s="934">
        <f t="shared" si="58"/>
        <v>210.86353944562899</v>
      </c>
      <c r="X120" s="934">
        <f t="shared" si="59"/>
        <v>232.3368869936034</v>
      </c>
      <c r="Y120" s="934">
        <f t="shared" si="60"/>
        <v>236.41577825159916</v>
      </c>
      <c r="Z120" s="934">
        <f t="shared" si="61"/>
        <v>239.91101694915253</v>
      </c>
      <c r="AA120" s="934">
        <f t="shared" si="62"/>
        <v>231.74576271186444</v>
      </c>
      <c r="AB120" s="934">
        <f t="shared" si="63"/>
        <v>231.24576271186442</v>
      </c>
      <c r="AC120" s="934">
        <f t="shared" si="64"/>
        <v>234.07627118644072</v>
      </c>
      <c r="AD120" s="934">
        <f t="shared" si="65"/>
        <v>235.07627118644072</v>
      </c>
      <c r="AE120" s="934">
        <f t="shared" si="66"/>
        <v>233.07627118644072</v>
      </c>
      <c r="AF120" s="934">
        <f t="shared" si="67"/>
        <v>216.25423728813558</v>
      </c>
      <c r="AG120" s="934">
        <f t="shared" si="51"/>
        <v>2715.3472136894229</v>
      </c>
      <c r="AH120" s="939">
        <f t="shared" si="52"/>
        <v>226.27893447411859</v>
      </c>
      <c r="AI120" s="950"/>
      <c r="AM120" s="947"/>
      <c r="AN120" s="930"/>
      <c r="AQ120" s="928">
        <v>226.27893447411859</v>
      </c>
      <c r="AS120" s="938">
        <f t="shared" ca="1" si="53"/>
        <v>4.9967166998507437</v>
      </c>
      <c r="AT120" s="937">
        <f t="shared" ca="1" si="54"/>
        <v>13567.820768535126</v>
      </c>
      <c r="AU120" s="937"/>
      <c r="AV120" s="936">
        <f t="shared" ca="1" si="55"/>
        <v>784.20076853512546</v>
      </c>
      <c r="BE120" s="928">
        <f t="shared" ref="BE120:BE144" si="68">$AQ120*$BD120</f>
        <v>0</v>
      </c>
      <c r="BG120" s="928">
        <f t="shared" ref="BG120:BG144" si="69">$AQ120*$BF120</f>
        <v>0</v>
      </c>
      <c r="BI120" s="928">
        <f t="shared" ref="BI120:BI144" si="70">$AQ120*$BH120</f>
        <v>0</v>
      </c>
    </row>
    <row r="121" spans="1:16382" s="925" customFormat="1" ht="12" customHeight="1">
      <c r="A121" s="914" t="s">
        <v>1652</v>
      </c>
      <c r="B121" s="914" t="s">
        <v>1653</v>
      </c>
      <c r="C121" s="926">
        <v>1.52</v>
      </c>
      <c r="D121" s="926">
        <f>C121</f>
        <v>1.52</v>
      </c>
      <c r="E121" s="926"/>
      <c r="F121" s="926"/>
      <c r="G121" s="927">
        <v>7.15</v>
      </c>
      <c r="H121" s="927">
        <v>7.6</v>
      </c>
      <c r="I121" s="927">
        <v>7.6</v>
      </c>
      <c r="J121" s="927">
        <v>6.84</v>
      </c>
      <c r="K121" s="927">
        <v>4.5599999999999996</v>
      </c>
      <c r="L121" s="927">
        <v>4.5599999999999996</v>
      </c>
      <c r="M121" s="927">
        <v>4.5599999999999996</v>
      </c>
      <c r="N121" s="927">
        <v>4.5599999999999996</v>
      </c>
      <c r="O121" s="927">
        <v>4.5599999999999996</v>
      </c>
      <c r="P121" s="927">
        <v>4.5599999999999996</v>
      </c>
      <c r="Q121" s="927">
        <v>4.5599999999999996</v>
      </c>
      <c r="R121" s="927">
        <v>3.04</v>
      </c>
      <c r="S121" s="927">
        <v>64.15000000000002</v>
      </c>
      <c r="T121" s="926"/>
      <c r="U121" s="934">
        <f t="shared" si="56"/>
        <v>4.7039473684210531</v>
      </c>
      <c r="V121" s="934">
        <f t="shared" si="57"/>
        <v>5</v>
      </c>
      <c r="W121" s="934">
        <f t="shared" si="58"/>
        <v>5</v>
      </c>
      <c r="X121" s="934">
        <f t="shared" si="59"/>
        <v>4.5</v>
      </c>
      <c r="Y121" s="934">
        <f t="shared" si="60"/>
        <v>2.9999999999999996</v>
      </c>
      <c r="Z121" s="934">
        <f t="shared" si="61"/>
        <v>2.9999999999999996</v>
      </c>
      <c r="AA121" s="934">
        <f t="shared" si="62"/>
        <v>2.9999999999999996</v>
      </c>
      <c r="AB121" s="934">
        <f t="shared" si="63"/>
        <v>2.9999999999999996</v>
      </c>
      <c r="AC121" s="934">
        <f t="shared" si="64"/>
        <v>2.9999999999999996</v>
      </c>
      <c r="AD121" s="934">
        <f t="shared" si="65"/>
        <v>2.9999999999999996</v>
      </c>
      <c r="AE121" s="934">
        <f t="shared" si="66"/>
        <v>2.9999999999999996</v>
      </c>
      <c r="AF121" s="934">
        <f t="shared" si="67"/>
        <v>2</v>
      </c>
      <c r="AG121" s="934">
        <f t="shared" si="51"/>
        <v>42.203947368421055</v>
      </c>
      <c r="AH121" s="939">
        <f t="shared" si="52"/>
        <v>3.5169956140350878</v>
      </c>
      <c r="AI121" s="950"/>
      <c r="AM121" s="947"/>
      <c r="AN121" s="930"/>
      <c r="AQ121" s="928">
        <v>3.5169956140350878</v>
      </c>
      <c r="AS121" s="938">
        <f t="shared" ca="1" si="53"/>
        <v>1.609112157579053</v>
      </c>
      <c r="AT121" s="937">
        <f t="shared" ca="1" si="54"/>
        <v>67.91088480835279</v>
      </c>
      <c r="AU121" s="937"/>
      <c r="AV121" s="936">
        <f t="shared" ca="1" si="55"/>
        <v>3.7608848083527704</v>
      </c>
      <c r="BE121" s="928">
        <f t="shared" si="68"/>
        <v>0</v>
      </c>
      <c r="BG121" s="928">
        <f t="shared" si="69"/>
        <v>0</v>
      </c>
      <c r="BI121" s="928">
        <f t="shared" si="70"/>
        <v>0</v>
      </c>
    </row>
    <row r="122" spans="1:16382" s="925" customFormat="1" ht="12" customHeight="1">
      <c r="A122" s="914" t="s">
        <v>1654</v>
      </c>
      <c r="B122" s="914" t="s">
        <v>1655</v>
      </c>
      <c r="C122" s="926">
        <v>3.59</v>
      </c>
      <c r="D122" s="926">
        <f>C122</f>
        <v>3.59</v>
      </c>
      <c r="E122" s="926"/>
      <c r="F122" s="926"/>
      <c r="G122" s="927">
        <v>6.76</v>
      </c>
      <c r="H122" s="927">
        <v>7.18</v>
      </c>
      <c r="I122" s="927">
        <v>7.18</v>
      </c>
      <c r="J122" s="927">
        <v>7.18</v>
      </c>
      <c r="K122" s="927">
        <v>7.18</v>
      </c>
      <c r="L122" s="927">
        <v>7.18</v>
      </c>
      <c r="M122" s="927">
        <v>7.18</v>
      </c>
      <c r="N122" s="927">
        <v>7.18</v>
      </c>
      <c r="O122" s="927">
        <v>7.18</v>
      </c>
      <c r="P122" s="927">
        <v>7.18</v>
      </c>
      <c r="Q122" s="927">
        <v>7.18</v>
      </c>
      <c r="R122" s="927">
        <v>7.18</v>
      </c>
      <c r="S122" s="927">
        <v>85.740000000000009</v>
      </c>
      <c r="T122" s="926"/>
      <c r="U122" s="934">
        <f t="shared" si="56"/>
        <v>1.883008356545961</v>
      </c>
      <c r="V122" s="934">
        <f t="shared" si="57"/>
        <v>2</v>
      </c>
      <c r="W122" s="934">
        <f t="shared" si="58"/>
        <v>2</v>
      </c>
      <c r="X122" s="934">
        <f t="shared" si="59"/>
        <v>2</v>
      </c>
      <c r="Y122" s="934">
        <f t="shared" si="60"/>
        <v>2</v>
      </c>
      <c r="Z122" s="934">
        <f t="shared" si="61"/>
        <v>2</v>
      </c>
      <c r="AA122" s="934">
        <f t="shared" si="62"/>
        <v>2</v>
      </c>
      <c r="AB122" s="934">
        <f t="shared" si="63"/>
        <v>2</v>
      </c>
      <c r="AC122" s="934">
        <f t="shared" si="64"/>
        <v>2</v>
      </c>
      <c r="AD122" s="934">
        <f t="shared" si="65"/>
        <v>2</v>
      </c>
      <c r="AE122" s="934">
        <f t="shared" si="66"/>
        <v>2</v>
      </c>
      <c r="AF122" s="934">
        <f t="shared" si="67"/>
        <v>2</v>
      </c>
      <c r="AG122" s="934">
        <f t="shared" si="51"/>
        <v>23.883008356545961</v>
      </c>
      <c r="AH122" s="939">
        <f t="shared" si="52"/>
        <v>1.99025069637883</v>
      </c>
      <c r="AI122" s="950"/>
      <c r="AM122" s="947"/>
      <c r="AN122" s="930"/>
      <c r="AQ122" s="928">
        <v>1.99025069637883</v>
      </c>
      <c r="AS122" s="938">
        <f t="shared" ca="1" si="53"/>
        <v>3.8004688458610527</v>
      </c>
      <c r="AT122" s="937">
        <f t="shared" ca="1" si="54"/>
        <v>90.766629204492105</v>
      </c>
      <c r="AU122" s="937"/>
      <c r="AV122" s="936">
        <f t="shared" ca="1" si="55"/>
        <v>5.0266292044920959</v>
      </c>
      <c r="BE122" s="928">
        <f t="shared" si="68"/>
        <v>0</v>
      </c>
      <c r="BG122" s="928">
        <f t="shared" si="69"/>
        <v>0</v>
      </c>
      <c r="BI122" s="928">
        <f t="shared" si="70"/>
        <v>0</v>
      </c>
    </row>
    <row r="123" spans="1:16382" s="925" customFormat="1" ht="12" customHeight="1">
      <c r="A123" s="914" t="s">
        <v>1656</v>
      </c>
      <c r="B123" s="914" t="s">
        <v>1657</v>
      </c>
      <c r="C123" s="926">
        <v>0.69</v>
      </c>
      <c r="D123" s="926">
        <v>0.69</v>
      </c>
      <c r="E123" s="926"/>
      <c r="F123" s="926"/>
      <c r="G123" s="927">
        <v>1.3</v>
      </c>
      <c r="H123" s="927">
        <v>1.38</v>
      </c>
      <c r="I123" s="927">
        <v>1.38</v>
      </c>
      <c r="J123" s="927">
        <v>1.38</v>
      </c>
      <c r="K123" s="927">
        <v>1.38</v>
      </c>
      <c r="L123" s="927">
        <v>1.38</v>
      </c>
      <c r="M123" s="927">
        <v>1.38</v>
      </c>
      <c r="N123" s="927">
        <v>1.38</v>
      </c>
      <c r="O123" s="927">
        <v>0.68</v>
      </c>
      <c r="P123" s="927">
        <v>0</v>
      </c>
      <c r="Q123" s="927">
        <v>0</v>
      </c>
      <c r="R123" s="927">
        <v>0</v>
      </c>
      <c r="S123" s="927">
        <v>11.639999999999997</v>
      </c>
      <c r="T123" s="926"/>
      <c r="U123" s="934">
        <f t="shared" si="56"/>
        <v>1.8840579710144929</v>
      </c>
      <c r="V123" s="934">
        <f t="shared" si="57"/>
        <v>2</v>
      </c>
      <c r="W123" s="934">
        <f t="shared" si="58"/>
        <v>2</v>
      </c>
      <c r="X123" s="934">
        <f t="shared" si="59"/>
        <v>2</v>
      </c>
      <c r="Y123" s="934">
        <f t="shared" si="60"/>
        <v>2</v>
      </c>
      <c r="Z123" s="934">
        <f t="shared" si="61"/>
        <v>2</v>
      </c>
      <c r="AA123" s="934">
        <f t="shared" si="62"/>
        <v>2</v>
      </c>
      <c r="AB123" s="934">
        <f t="shared" si="63"/>
        <v>2</v>
      </c>
      <c r="AC123" s="934">
        <f t="shared" si="64"/>
        <v>0.98550724637681175</v>
      </c>
      <c r="AD123" s="934">
        <f t="shared" si="65"/>
        <v>0</v>
      </c>
      <c r="AE123" s="934">
        <f t="shared" si="66"/>
        <v>0</v>
      </c>
      <c r="AF123" s="934">
        <f t="shared" si="67"/>
        <v>0</v>
      </c>
      <c r="AG123" s="934">
        <f t="shared" si="51"/>
        <v>16.869565217391305</v>
      </c>
      <c r="AH123" s="939">
        <f t="shared" si="52"/>
        <v>1.4057971014492754</v>
      </c>
      <c r="AI123" s="950"/>
      <c r="AM123" s="947"/>
      <c r="AN123" s="930"/>
      <c r="AQ123" s="928">
        <v>1.4057971014492754</v>
      </c>
      <c r="AS123" s="938">
        <f t="shared" ca="1" si="53"/>
        <v>0.73045222942733323</v>
      </c>
      <c r="AT123" s="937">
        <f t="shared" ca="1" si="54"/>
        <v>12.322411522513274</v>
      </c>
      <c r="AU123" s="937"/>
      <c r="AV123" s="936">
        <f t="shared" ca="1" si="55"/>
        <v>0.68241152251327719</v>
      </c>
      <c r="BE123" s="928">
        <f t="shared" si="68"/>
        <v>0</v>
      </c>
      <c r="BG123" s="928">
        <f t="shared" si="69"/>
        <v>0</v>
      </c>
      <c r="BI123" s="928">
        <f t="shared" si="70"/>
        <v>0</v>
      </c>
    </row>
    <row r="124" spans="1:16382" s="925" customFormat="1" ht="12" customHeight="1">
      <c r="A124" s="914" t="s">
        <v>1658</v>
      </c>
      <c r="B124" s="914" t="s">
        <v>1659</v>
      </c>
      <c r="C124" s="926">
        <v>35.72</v>
      </c>
      <c r="D124" s="926">
        <v>35.94</v>
      </c>
      <c r="E124" s="926"/>
      <c r="F124" s="926"/>
      <c r="G124" s="927">
        <v>0</v>
      </c>
      <c r="H124" s="927">
        <v>35.72</v>
      </c>
      <c r="I124" s="927">
        <v>0</v>
      </c>
      <c r="J124" s="927">
        <v>0</v>
      </c>
      <c r="K124" s="927">
        <v>0</v>
      </c>
      <c r="L124" s="927">
        <v>71.66</v>
      </c>
      <c r="M124" s="927">
        <v>0</v>
      </c>
      <c r="N124" s="927">
        <v>-35.72</v>
      </c>
      <c r="O124" s="927">
        <v>0</v>
      </c>
      <c r="P124" s="927">
        <v>0</v>
      </c>
      <c r="Q124" s="927">
        <v>0</v>
      </c>
      <c r="R124" s="927">
        <v>0</v>
      </c>
      <c r="S124" s="927">
        <v>71.66</v>
      </c>
      <c r="T124" s="926"/>
      <c r="U124" s="934">
        <f t="shared" si="56"/>
        <v>0</v>
      </c>
      <c r="V124" s="934">
        <f t="shared" si="57"/>
        <v>1</v>
      </c>
      <c r="W124" s="934">
        <f t="shared" si="58"/>
        <v>0</v>
      </c>
      <c r="X124" s="934">
        <f t="shared" si="59"/>
        <v>0</v>
      </c>
      <c r="Y124" s="934">
        <f t="shared" si="60"/>
        <v>0</v>
      </c>
      <c r="Z124" s="934">
        <f t="shared" si="61"/>
        <v>1.9938786867000557</v>
      </c>
      <c r="AA124" s="934">
        <f t="shared" si="62"/>
        <v>0</v>
      </c>
      <c r="AB124" s="934">
        <f t="shared" si="63"/>
        <v>-0.99387868670005564</v>
      </c>
      <c r="AC124" s="934">
        <f t="shared" si="64"/>
        <v>0</v>
      </c>
      <c r="AD124" s="934">
        <f t="shared" si="65"/>
        <v>0</v>
      </c>
      <c r="AE124" s="934">
        <f t="shared" si="66"/>
        <v>0</v>
      </c>
      <c r="AF124" s="934">
        <f t="shared" si="67"/>
        <v>0</v>
      </c>
      <c r="AG124" s="934">
        <f t="shared" ref="AG124:AG143" si="71">+SUM(U124:AF124)</f>
        <v>2</v>
      </c>
      <c r="AH124" s="939">
        <f t="shared" ref="AH124:AH143" si="72">SUM(U124:AF124)/12</f>
        <v>0.16666666666666666</v>
      </c>
      <c r="AI124" s="950"/>
      <c r="AM124" s="947"/>
      <c r="AN124" s="930"/>
      <c r="AQ124" s="928">
        <v>0.16666666666666666</v>
      </c>
      <c r="AS124" s="938">
        <f t="shared" ref="AS124:AS142" ca="1" si="73">D124*(1+$BA$2)</f>
        <v>38.047033515388925</v>
      </c>
      <c r="AT124" s="937">
        <f t="shared" ref="AT124:AT142" ca="1" si="74">AQ124*AS124*12</f>
        <v>76.09406703077785</v>
      </c>
      <c r="AU124" s="937"/>
      <c r="AV124" s="936">
        <f t="shared" ref="AV124:AV142" ca="1" si="75">AT124+AU124-S124</f>
        <v>4.4340670307778538</v>
      </c>
      <c r="BE124" s="928">
        <f t="shared" si="68"/>
        <v>0</v>
      </c>
      <c r="BG124" s="928">
        <f t="shared" si="69"/>
        <v>0</v>
      </c>
      <c r="BI124" s="928">
        <f t="shared" si="70"/>
        <v>0</v>
      </c>
    </row>
    <row r="125" spans="1:16382" s="925" customFormat="1" ht="12" customHeight="1">
      <c r="A125" s="914" t="s">
        <v>1660</v>
      </c>
      <c r="B125" s="914" t="s">
        <v>1661</v>
      </c>
      <c r="C125" s="926">
        <v>40.590000000000003</v>
      </c>
      <c r="D125" s="926">
        <v>40.840000000000003</v>
      </c>
      <c r="E125" s="926"/>
      <c r="F125" s="926"/>
      <c r="G125" s="927">
        <v>0</v>
      </c>
      <c r="H125" s="927">
        <v>0</v>
      </c>
      <c r="I125" s="927">
        <v>0</v>
      </c>
      <c r="J125" s="927">
        <v>0</v>
      </c>
      <c r="K125" s="927">
        <v>0</v>
      </c>
      <c r="L125" s="927">
        <v>0</v>
      </c>
      <c r="M125" s="927">
        <v>0</v>
      </c>
      <c r="N125" s="927">
        <v>0</v>
      </c>
      <c r="O125" s="927">
        <v>0</v>
      </c>
      <c r="P125" s="927">
        <v>0</v>
      </c>
      <c r="Q125" s="927">
        <v>0</v>
      </c>
      <c r="R125" s="927">
        <v>0</v>
      </c>
      <c r="S125" s="927">
        <v>0</v>
      </c>
      <c r="T125" s="926"/>
      <c r="U125" s="934">
        <f t="shared" si="56"/>
        <v>0</v>
      </c>
      <c r="V125" s="934">
        <f t="shared" si="57"/>
        <v>0</v>
      </c>
      <c r="W125" s="934">
        <f t="shared" si="58"/>
        <v>0</v>
      </c>
      <c r="X125" s="934">
        <f t="shared" si="59"/>
        <v>0</v>
      </c>
      <c r="Y125" s="934">
        <f t="shared" si="60"/>
        <v>0</v>
      </c>
      <c r="Z125" s="934">
        <f t="shared" si="61"/>
        <v>0</v>
      </c>
      <c r="AA125" s="934">
        <f t="shared" si="62"/>
        <v>0</v>
      </c>
      <c r="AB125" s="934">
        <f t="shared" si="63"/>
        <v>0</v>
      </c>
      <c r="AC125" s="934">
        <f t="shared" si="64"/>
        <v>0</v>
      </c>
      <c r="AD125" s="934">
        <f t="shared" si="65"/>
        <v>0</v>
      </c>
      <c r="AE125" s="934">
        <f t="shared" si="66"/>
        <v>0</v>
      </c>
      <c r="AF125" s="934">
        <f t="shared" si="67"/>
        <v>0</v>
      </c>
      <c r="AG125" s="934">
        <f t="shared" si="71"/>
        <v>0</v>
      </c>
      <c r="AH125" s="939">
        <f t="shared" si="72"/>
        <v>0</v>
      </c>
      <c r="AI125" s="950"/>
      <c r="AM125" s="947"/>
      <c r="AN125" s="930"/>
      <c r="AQ125" s="928">
        <v>0</v>
      </c>
      <c r="AS125" s="938">
        <f t="shared" ca="1" si="73"/>
        <v>43.234302970742455</v>
      </c>
      <c r="AT125" s="937">
        <f t="shared" ca="1" si="74"/>
        <v>0</v>
      </c>
      <c r="AU125" s="937"/>
      <c r="AV125" s="936">
        <f t="shared" ca="1" si="75"/>
        <v>0</v>
      </c>
      <c r="BE125" s="928">
        <f t="shared" si="68"/>
        <v>0</v>
      </c>
      <c r="BG125" s="928">
        <f t="shared" si="69"/>
        <v>0</v>
      </c>
      <c r="BI125" s="928">
        <f t="shared" si="70"/>
        <v>0</v>
      </c>
    </row>
    <row r="126" spans="1:16382" s="925" customFormat="1" ht="12" customHeight="1">
      <c r="A126" s="914" t="s">
        <v>1662</v>
      </c>
      <c r="B126" s="914" t="s">
        <v>1663</v>
      </c>
      <c r="C126" s="926">
        <v>21.72</v>
      </c>
      <c r="D126" s="926">
        <v>21.85</v>
      </c>
      <c r="E126" s="926"/>
      <c r="F126" s="926"/>
      <c r="G126" s="927">
        <v>0</v>
      </c>
      <c r="H126" s="927">
        <v>0</v>
      </c>
      <c r="I126" s="927">
        <v>0</v>
      </c>
      <c r="J126" s="927">
        <v>0</v>
      </c>
      <c r="K126" s="927">
        <v>0</v>
      </c>
      <c r="L126" s="927">
        <v>0</v>
      </c>
      <c r="M126" s="927">
        <v>0</v>
      </c>
      <c r="N126" s="927">
        <v>0</v>
      </c>
      <c r="O126" s="927">
        <v>0</v>
      </c>
      <c r="P126" s="927">
        <v>0</v>
      </c>
      <c r="Q126" s="927">
        <v>0</v>
      </c>
      <c r="R126" s="927">
        <v>0</v>
      </c>
      <c r="S126" s="927">
        <v>0</v>
      </c>
      <c r="T126" s="926"/>
      <c r="U126" s="934">
        <f t="shared" si="56"/>
        <v>0</v>
      </c>
      <c r="V126" s="934">
        <f t="shared" si="57"/>
        <v>0</v>
      </c>
      <c r="W126" s="934">
        <f t="shared" si="58"/>
        <v>0</v>
      </c>
      <c r="X126" s="934">
        <f t="shared" si="59"/>
        <v>0</v>
      </c>
      <c r="Y126" s="934">
        <f t="shared" si="60"/>
        <v>0</v>
      </c>
      <c r="Z126" s="934">
        <f t="shared" si="61"/>
        <v>0</v>
      </c>
      <c r="AA126" s="934">
        <f t="shared" si="62"/>
        <v>0</v>
      </c>
      <c r="AB126" s="934">
        <f t="shared" si="63"/>
        <v>0</v>
      </c>
      <c r="AC126" s="934">
        <f t="shared" si="64"/>
        <v>0</v>
      </c>
      <c r="AD126" s="934">
        <f t="shared" si="65"/>
        <v>0</v>
      </c>
      <c r="AE126" s="934">
        <f t="shared" si="66"/>
        <v>0</v>
      </c>
      <c r="AF126" s="934">
        <f t="shared" si="67"/>
        <v>0</v>
      </c>
      <c r="AG126" s="934">
        <f t="shared" si="71"/>
        <v>0</v>
      </c>
      <c r="AH126" s="939">
        <f t="shared" si="72"/>
        <v>0</v>
      </c>
      <c r="AI126" s="950"/>
      <c r="AM126" s="947"/>
      <c r="AN126" s="930"/>
      <c r="AQ126" s="928">
        <v>0</v>
      </c>
      <c r="AS126" s="938">
        <f t="shared" ca="1" si="73"/>
        <v>23.13098726519889</v>
      </c>
      <c r="AT126" s="937">
        <f t="shared" ca="1" si="74"/>
        <v>0</v>
      </c>
      <c r="AU126" s="937"/>
      <c r="AV126" s="936">
        <f t="shared" ca="1" si="75"/>
        <v>0</v>
      </c>
      <c r="BE126" s="928">
        <f t="shared" si="68"/>
        <v>0</v>
      </c>
      <c r="BG126" s="928">
        <f t="shared" si="69"/>
        <v>0</v>
      </c>
      <c r="BI126" s="928">
        <f t="shared" si="70"/>
        <v>0</v>
      </c>
    </row>
    <row r="127" spans="1:16382" s="925" customFormat="1" ht="12" customHeight="1">
      <c r="A127" s="914" t="s">
        <v>1664</v>
      </c>
      <c r="B127" s="914" t="s">
        <v>1665</v>
      </c>
      <c r="C127" s="926">
        <v>36.68</v>
      </c>
      <c r="D127" s="926">
        <v>36.68</v>
      </c>
      <c r="E127" s="926"/>
      <c r="F127" s="926"/>
      <c r="G127" s="927">
        <v>0</v>
      </c>
      <c r="H127" s="927">
        <v>0</v>
      </c>
      <c r="I127" s="927">
        <v>0</v>
      </c>
      <c r="J127" s="927">
        <v>0</v>
      </c>
      <c r="K127" s="927">
        <v>0</v>
      </c>
      <c r="L127" s="927">
        <v>0</v>
      </c>
      <c r="M127" s="927">
        <v>0</v>
      </c>
      <c r="N127" s="927">
        <v>0</v>
      </c>
      <c r="O127" s="927">
        <v>0</v>
      </c>
      <c r="P127" s="927">
        <v>0</v>
      </c>
      <c r="Q127" s="927">
        <v>0</v>
      </c>
      <c r="R127" s="927">
        <v>0</v>
      </c>
      <c r="S127" s="927">
        <v>0</v>
      </c>
      <c r="T127" s="926"/>
      <c r="U127" s="934">
        <f t="shared" si="56"/>
        <v>0</v>
      </c>
      <c r="V127" s="934">
        <f t="shared" si="57"/>
        <v>0</v>
      </c>
      <c r="W127" s="934">
        <f t="shared" si="58"/>
        <v>0</v>
      </c>
      <c r="X127" s="934">
        <f t="shared" si="59"/>
        <v>0</v>
      </c>
      <c r="Y127" s="934">
        <f t="shared" si="60"/>
        <v>0</v>
      </c>
      <c r="Z127" s="934">
        <f t="shared" si="61"/>
        <v>0</v>
      </c>
      <c r="AA127" s="934">
        <f t="shared" si="62"/>
        <v>0</v>
      </c>
      <c r="AB127" s="934">
        <f t="shared" si="63"/>
        <v>0</v>
      </c>
      <c r="AC127" s="934">
        <f t="shared" si="64"/>
        <v>0</v>
      </c>
      <c r="AD127" s="934">
        <f t="shared" si="65"/>
        <v>0</v>
      </c>
      <c r="AE127" s="934">
        <f t="shared" si="66"/>
        <v>0</v>
      </c>
      <c r="AF127" s="934">
        <f t="shared" si="67"/>
        <v>0</v>
      </c>
      <c r="AG127" s="934">
        <f t="shared" si="71"/>
        <v>0</v>
      </c>
      <c r="AH127" s="939">
        <f t="shared" si="72"/>
        <v>0</v>
      </c>
      <c r="AI127" s="950"/>
      <c r="AM127" s="947"/>
      <c r="AN127" s="930"/>
      <c r="AQ127" s="928">
        <v>0</v>
      </c>
      <c r="AS127" s="938">
        <f t="shared" ca="1" si="73"/>
        <v>38.830417065789256</v>
      </c>
      <c r="AT127" s="937">
        <f t="shared" ca="1" si="74"/>
        <v>0</v>
      </c>
      <c r="AU127" s="937"/>
      <c r="AV127" s="936">
        <f t="shared" ca="1" si="75"/>
        <v>0</v>
      </c>
      <c r="BE127" s="928">
        <f t="shared" si="68"/>
        <v>0</v>
      </c>
      <c r="BG127" s="928">
        <f t="shared" si="69"/>
        <v>0</v>
      </c>
      <c r="BI127" s="928">
        <f t="shared" si="70"/>
        <v>0</v>
      </c>
    </row>
    <row r="128" spans="1:16382" s="925" customFormat="1" ht="12" customHeight="1">
      <c r="A128" s="914" t="s">
        <v>1666</v>
      </c>
      <c r="B128" s="914" t="s">
        <v>1667</v>
      </c>
      <c r="C128" s="926">
        <v>21.72</v>
      </c>
      <c r="D128" s="926">
        <v>21.85</v>
      </c>
      <c r="E128" s="926"/>
      <c r="F128" s="926"/>
      <c r="G128" s="927">
        <v>243.12</v>
      </c>
      <c r="H128" s="927">
        <v>147.66</v>
      </c>
      <c r="I128" s="927">
        <v>390.96</v>
      </c>
      <c r="J128" s="927">
        <v>325.8</v>
      </c>
      <c r="K128" s="927">
        <v>173.76</v>
      </c>
      <c r="L128" s="927">
        <v>131.1</v>
      </c>
      <c r="M128" s="927">
        <v>152.94999999999999</v>
      </c>
      <c r="N128" s="927">
        <v>109.25</v>
      </c>
      <c r="O128" s="927">
        <v>240.35</v>
      </c>
      <c r="P128" s="927">
        <v>87.4</v>
      </c>
      <c r="Q128" s="927">
        <v>152.94999999999999</v>
      </c>
      <c r="R128" s="927">
        <v>327.75</v>
      </c>
      <c r="S128" s="927">
        <v>2483.0499999999997</v>
      </c>
      <c r="T128" s="926"/>
      <c r="U128" s="934">
        <f t="shared" si="56"/>
        <v>11.193370165745858</v>
      </c>
      <c r="V128" s="934">
        <f t="shared" si="57"/>
        <v>6.7983425414364644</v>
      </c>
      <c r="W128" s="934">
        <f t="shared" si="58"/>
        <v>18</v>
      </c>
      <c r="X128" s="934">
        <f t="shared" si="59"/>
        <v>15.000000000000002</v>
      </c>
      <c r="Y128" s="934">
        <f t="shared" si="60"/>
        <v>8</v>
      </c>
      <c r="Z128" s="934">
        <f t="shared" si="61"/>
        <v>5.9999999999999991</v>
      </c>
      <c r="AA128" s="934">
        <f t="shared" si="62"/>
        <v>6.9999999999999991</v>
      </c>
      <c r="AB128" s="934">
        <f t="shared" si="63"/>
        <v>5</v>
      </c>
      <c r="AC128" s="934">
        <f t="shared" si="64"/>
        <v>10.999999999999998</v>
      </c>
      <c r="AD128" s="934">
        <f t="shared" si="65"/>
        <v>4</v>
      </c>
      <c r="AE128" s="934">
        <f t="shared" si="66"/>
        <v>6.9999999999999991</v>
      </c>
      <c r="AF128" s="934">
        <f t="shared" si="67"/>
        <v>14.999999999999998</v>
      </c>
      <c r="AG128" s="934">
        <f t="shared" si="71"/>
        <v>113.99171270718232</v>
      </c>
      <c r="AH128" s="939">
        <f t="shared" si="72"/>
        <v>9.499309392265193</v>
      </c>
      <c r="AI128" s="950"/>
      <c r="AM128" s="947"/>
      <c r="AN128" s="930"/>
      <c r="AQ128" s="928">
        <v>9.499309392265193</v>
      </c>
      <c r="AS128" s="938">
        <f t="shared" ca="1" si="73"/>
        <v>23.13098726519889</v>
      </c>
      <c r="AT128" s="937">
        <f t="shared" ca="1" si="74"/>
        <v>2636.7408549680445</v>
      </c>
      <c r="AU128" s="937"/>
      <c r="AV128" s="936">
        <f t="shared" ca="1" si="75"/>
        <v>153.69085496804473</v>
      </c>
      <c r="BE128" s="928">
        <f t="shared" si="68"/>
        <v>0</v>
      </c>
      <c r="BG128" s="928">
        <f t="shared" si="69"/>
        <v>0</v>
      </c>
      <c r="BI128" s="928">
        <f t="shared" si="70"/>
        <v>0</v>
      </c>
    </row>
    <row r="129" spans="1:16382" s="925" customFormat="1" ht="12" customHeight="1">
      <c r="A129" s="914" t="s">
        <v>1668</v>
      </c>
      <c r="B129" s="914" t="s">
        <v>1669</v>
      </c>
      <c r="C129" s="926">
        <v>26.77</v>
      </c>
      <c r="D129" s="926">
        <v>26.93</v>
      </c>
      <c r="E129" s="926"/>
      <c r="F129" s="926"/>
      <c r="G129" s="927">
        <v>24.98</v>
      </c>
      <c r="H129" s="927">
        <v>0</v>
      </c>
      <c r="I129" s="927">
        <v>26.77</v>
      </c>
      <c r="J129" s="927">
        <v>0</v>
      </c>
      <c r="K129" s="927">
        <v>26.77</v>
      </c>
      <c r="L129" s="927">
        <v>107.72</v>
      </c>
      <c r="M129" s="927">
        <v>0</v>
      </c>
      <c r="N129" s="927">
        <v>0</v>
      </c>
      <c r="O129" s="927">
        <v>0</v>
      </c>
      <c r="P129" s="927">
        <v>0</v>
      </c>
      <c r="Q129" s="927">
        <v>0</v>
      </c>
      <c r="R129" s="927">
        <v>0</v>
      </c>
      <c r="S129" s="927">
        <v>186.24</v>
      </c>
      <c r="T129" s="926"/>
      <c r="U129" s="934">
        <f t="shared" si="56"/>
        <v>0.93313410534180052</v>
      </c>
      <c r="V129" s="934">
        <f t="shared" si="57"/>
        <v>0</v>
      </c>
      <c r="W129" s="934">
        <f t="shared" si="58"/>
        <v>1</v>
      </c>
      <c r="X129" s="934">
        <f t="shared" si="59"/>
        <v>0</v>
      </c>
      <c r="Y129" s="934">
        <f t="shared" si="60"/>
        <v>1</v>
      </c>
      <c r="Z129" s="934">
        <f t="shared" si="61"/>
        <v>4</v>
      </c>
      <c r="AA129" s="934">
        <f t="shared" si="62"/>
        <v>0</v>
      </c>
      <c r="AB129" s="934">
        <f t="shared" si="63"/>
        <v>0</v>
      </c>
      <c r="AC129" s="934">
        <f t="shared" si="64"/>
        <v>0</v>
      </c>
      <c r="AD129" s="934">
        <f t="shared" si="65"/>
        <v>0</v>
      </c>
      <c r="AE129" s="934">
        <f t="shared" si="66"/>
        <v>0</v>
      </c>
      <c r="AF129" s="934">
        <f t="shared" si="67"/>
        <v>0</v>
      </c>
      <c r="AG129" s="934">
        <f t="shared" si="71"/>
        <v>6.9331341053418001</v>
      </c>
      <c r="AH129" s="939">
        <f t="shared" si="72"/>
        <v>0.57776117544515004</v>
      </c>
      <c r="AI129" s="950"/>
      <c r="AM129" s="947"/>
      <c r="AN129" s="930"/>
      <c r="AQ129" s="928">
        <v>0.57776117544515004</v>
      </c>
      <c r="AS129" s="938">
        <f t="shared" ca="1" si="73"/>
        <v>28.508809476055195</v>
      </c>
      <c r="AT129" s="937">
        <f t="shared" ca="1" si="74"/>
        <v>197.65539928112977</v>
      </c>
      <c r="AU129" s="937"/>
      <c r="AV129" s="936">
        <f t="shared" ca="1" si="75"/>
        <v>11.415399281129766</v>
      </c>
      <c r="BE129" s="928">
        <f t="shared" si="68"/>
        <v>0</v>
      </c>
      <c r="BG129" s="928">
        <f t="shared" si="69"/>
        <v>0</v>
      </c>
      <c r="BI129" s="928">
        <f t="shared" si="70"/>
        <v>0</v>
      </c>
    </row>
    <row r="130" spans="1:16382" s="925" customFormat="1" ht="12" customHeight="1">
      <c r="A130" s="914" t="s">
        <v>1670</v>
      </c>
      <c r="B130" s="914" t="s">
        <v>1671</v>
      </c>
      <c r="C130" s="926">
        <v>26.77</v>
      </c>
      <c r="D130" s="926">
        <v>26.93</v>
      </c>
      <c r="E130" s="926"/>
      <c r="F130" s="926"/>
      <c r="G130" s="927">
        <v>0</v>
      </c>
      <c r="H130" s="927">
        <v>0</v>
      </c>
      <c r="I130" s="927">
        <v>53.54</v>
      </c>
      <c r="J130" s="927">
        <v>26.77</v>
      </c>
      <c r="K130" s="927">
        <v>0</v>
      </c>
      <c r="L130" s="927">
        <v>0</v>
      </c>
      <c r="M130" s="927">
        <v>0</v>
      </c>
      <c r="N130" s="927">
        <v>0</v>
      </c>
      <c r="O130" s="927">
        <v>0</v>
      </c>
      <c r="P130" s="927">
        <v>26.93</v>
      </c>
      <c r="Q130" s="927">
        <v>0</v>
      </c>
      <c r="R130" s="927">
        <v>26.93</v>
      </c>
      <c r="S130" s="927">
        <v>134.17000000000002</v>
      </c>
      <c r="T130" s="926"/>
      <c r="U130" s="934">
        <f t="shared" si="56"/>
        <v>0</v>
      </c>
      <c r="V130" s="934">
        <f t="shared" si="57"/>
        <v>0</v>
      </c>
      <c r="W130" s="934">
        <f t="shared" si="58"/>
        <v>2</v>
      </c>
      <c r="X130" s="934">
        <f t="shared" si="59"/>
        <v>1</v>
      </c>
      <c r="Y130" s="934">
        <f t="shared" si="60"/>
        <v>0</v>
      </c>
      <c r="Z130" s="934">
        <f t="shared" si="61"/>
        <v>0</v>
      </c>
      <c r="AA130" s="934">
        <f t="shared" si="62"/>
        <v>0</v>
      </c>
      <c r="AB130" s="934">
        <f t="shared" si="63"/>
        <v>0</v>
      </c>
      <c r="AC130" s="934">
        <f t="shared" si="64"/>
        <v>0</v>
      </c>
      <c r="AD130" s="934">
        <f t="shared" si="65"/>
        <v>1</v>
      </c>
      <c r="AE130" s="934">
        <f t="shared" si="66"/>
        <v>0</v>
      </c>
      <c r="AF130" s="934">
        <f t="shared" si="67"/>
        <v>1</v>
      </c>
      <c r="AG130" s="934">
        <f t="shared" si="71"/>
        <v>5</v>
      </c>
      <c r="AH130" s="939">
        <f t="shared" si="72"/>
        <v>0.41666666666666669</v>
      </c>
      <c r="AI130" s="950"/>
      <c r="AM130" s="947"/>
      <c r="AN130" s="947"/>
      <c r="AQ130" s="928">
        <v>0.41666666666666669</v>
      </c>
      <c r="AS130" s="938">
        <f t="shared" ca="1" si="73"/>
        <v>28.508809476055195</v>
      </c>
      <c r="AT130" s="937">
        <f t="shared" ca="1" si="74"/>
        <v>142.54404738027597</v>
      </c>
      <c r="AU130" s="937"/>
      <c r="AV130" s="936">
        <f t="shared" ca="1" si="75"/>
        <v>8.3740473802759539</v>
      </c>
      <c r="BE130" s="928">
        <f t="shared" si="68"/>
        <v>0</v>
      </c>
      <c r="BG130" s="928">
        <f t="shared" si="69"/>
        <v>0</v>
      </c>
      <c r="BI130" s="928">
        <f t="shared" si="70"/>
        <v>0</v>
      </c>
    </row>
    <row r="131" spans="1:16382" s="925" customFormat="1" ht="12" customHeight="1">
      <c r="A131" s="914" t="s">
        <v>1672</v>
      </c>
      <c r="B131" s="914" t="s">
        <v>1673</v>
      </c>
      <c r="C131" s="926">
        <v>31.12</v>
      </c>
      <c r="D131" s="926">
        <v>31.31</v>
      </c>
      <c r="E131" s="926"/>
      <c r="F131" s="926"/>
      <c r="G131" s="927">
        <v>29.03</v>
      </c>
      <c r="H131" s="927">
        <v>31.12</v>
      </c>
      <c r="I131" s="927">
        <v>31.12</v>
      </c>
      <c r="J131" s="927">
        <v>0</v>
      </c>
      <c r="K131" s="927">
        <v>31.12</v>
      </c>
      <c r="L131" s="927">
        <v>375.72</v>
      </c>
      <c r="M131" s="927">
        <v>125.24</v>
      </c>
      <c r="N131" s="927">
        <v>0</v>
      </c>
      <c r="O131" s="927">
        <v>0</v>
      </c>
      <c r="P131" s="927">
        <v>0</v>
      </c>
      <c r="Q131" s="927">
        <v>0</v>
      </c>
      <c r="R131" s="927">
        <v>0</v>
      </c>
      <c r="S131" s="927">
        <v>623.35</v>
      </c>
      <c r="T131" s="926"/>
      <c r="U131" s="934">
        <f t="shared" si="56"/>
        <v>0.93284061696658094</v>
      </c>
      <c r="V131" s="934">
        <f t="shared" si="57"/>
        <v>1</v>
      </c>
      <c r="W131" s="934">
        <f t="shared" si="58"/>
        <v>1</v>
      </c>
      <c r="X131" s="934">
        <f t="shared" si="59"/>
        <v>0</v>
      </c>
      <c r="Y131" s="934">
        <f t="shared" si="60"/>
        <v>1</v>
      </c>
      <c r="Z131" s="934">
        <f t="shared" si="61"/>
        <v>12.000000000000002</v>
      </c>
      <c r="AA131" s="934">
        <f t="shared" si="62"/>
        <v>4</v>
      </c>
      <c r="AB131" s="934">
        <f t="shared" si="63"/>
        <v>0</v>
      </c>
      <c r="AC131" s="934">
        <f t="shared" si="64"/>
        <v>0</v>
      </c>
      <c r="AD131" s="934">
        <f t="shared" si="65"/>
        <v>0</v>
      </c>
      <c r="AE131" s="934">
        <f t="shared" si="66"/>
        <v>0</v>
      </c>
      <c r="AF131" s="934">
        <f t="shared" si="67"/>
        <v>0</v>
      </c>
      <c r="AG131" s="934">
        <f t="shared" si="71"/>
        <v>19.932840616966583</v>
      </c>
      <c r="AH131" s="939">
        <f t="shared" si="72"/>
        <v>1.6610700514138819</v>
      </c>
      <c r="AI131" s="950"/>
      <c r="AM131" s="947"/>
      <c r="AN131" s="930"/>
      <c r="AQ131" s="928">
        <v>1.6610700514138819</v>
      </c>
      <c r="AS131" s="938">
        <f t="shared" ca="1" si="73"/>
        <v>33.145593193289571</v>
      </c>
      <c r="AT131" s="937">
        <f t="shared" ca="1" si="74"/>
        <v>660.68582627665342</v>
      </c>
      <c r="AU131" s="937"/>
      <c r="AV131" s="936">
        <f t="shared" ca="1" si="75"/>
        <v>37.335826276653393</v>
      </c>
      <c r="BE131" s="928">
        <f t="shared" si="68"/>
        <v>0</v>
      </c>
      <c r="BG131" s="928">
        <f t="shared" si="69"/>
        <v>0</v>
      </c>
      <c r="BI131" s="928">
        <f t="shared" si="70"/>
        <v>0</v>
      </c>
    </row>
    <row r="132" spans="1:16382" s="925" customFormat="1" ht="12" customHeight="1">
      <c r="A132" s="914" t="s">
        <v>1674</v>
      </c>
      <c r="B132" s="914" t="s">
        <v>1675</v>
      </c>
      <c r="C132" s="926">
        <v>13.51</v>
      </c>
      <c r="D132" s="926">
        <v>13.59</v>
      </c>
      <c r="E132" s="926"/>
      <c r="F132" s="926"/>
      <c r="G132" s="927">
        <v>340.2</v>
      </c>
      <c r="H132" s="927">
        <v>511.56</v>
      </c>
      <c r="I132" s="927">
        <v>391.78999999999996</v>
      </c>
      <c r="J132" s="927">
        <v>689.01</v>
      </c>
      <c r="K132" s="927">
        <v>743.05</v>
      </c>
      <c r="L132" s="927">
        <v>407.7</v>
      </c>
      <c r="M132" s="927">
        <v>637.74</v>
      </c>
      <c r="N132" s="927">
        <v>530.01</v>
      </c>
      <c r="O132" s="927">
        <v>462.06</v>
      </c>
      <c r="P132" s="927">
        <v>625.14</v>
      </c>
      <c r="Q132" s="927">
        <v>570.78</v>
      </c>
      <c r="R132" s="927">
        <v>733.86</v>
      </c>
      <c r="S132" s="927">
        <v>6642.9</v>
      </c>
      <c r="T132" s="926"/>
      <c r="U132" s="934">
        <f t="shared" si="56"/>
        <v>25.181347150259068</v>
      </c>
      <c r="V132" s="934">
        <f t="shared" si="57"/>
        <v>37.865284974093264</v>
      </c>
      <c r="W132" s="934">
        <f t="shared" si="58"/>
        <v>28.999999999999996</v>
      </c>
      <c r="X132" s="934">
        <f t="shared" si="59"/>
        <v>51</v>
      </c>
      <c r="Y132" s="934">
        <f t="shared" si="60"/>
        <v>55</v>
      </c>
      <c r="Z132" s="934">
        <f t="shared" si="61"/>
        <v>30</v>
      </c>
      <c r="AA132" s="934">
        <f t="shared" si="62"/>
        <v>46.927152317880797</v>
      </c>
      <c r="AB132" s="934">
        <f t="shared" si="63"/>
        <v>39</v>
      </c>
      <c r="AC132" s="934">
        <f t="shared" si="64"/>
        <v>34</v>
      </c>
      <c r="AD132" s="934">
        <f t="shared" si="65"/>
        <v>46</v>
      </c>
      <c r="AE132" s="934">
        <f t="shared" si="66"/>
        <v>42</v>
      </c>
      <c r="AF132" s="934">
        <f t="shared" si="67"/>
        <v>54</v>
      </c>
      <c r="AG132" s="934">
        <f t="shared" si="71"/>
        <v>489.97378444223312</v>
      </c>
      <c r="AH132" s="939">
        <f t="shared" si="72"/>
        <v>40.831148703519425</v>
      </c>
      <c r="AI132" s="950"/>
      <c r="AM132" s="947"/>
      <c r="AN132" s="932"/>
      <c r="AQ132" s="928">
        <v>40.831148703519425</v>
      </c>
      <c r="AS132" s="938">
        <f t="shared" ca="1" si="73"/>
        <v>14.386733040460086</v>
      </c>
      <c r="AT132" s="937">
        <f t="shared" ca="1" si="74"/>
        <v>7049.1220335943435</v>
      </c>
      <c r="AU132" s="937"/>
      <c r="AV132" s="936">
        <f t="shared" ca="1" si="75"/>
        <v>406.22203359434388</v>
      </c>
      <c r="BE132" s="928">
        <f t="shared" si="68"/>
        <v>0</v>
      </c>
      <c r="BG132" s="928">
        <f t="shared" si="69"/>
        <v>0</v>
      </c>
      <c r="BI132" s="928">
        <f t="shared" si="70"/>
        <v>0</v>
      </c>
    </row>
    <row r="133" spans="1:16382" s="925" customFormat="1" ht="12.75" customHeight="1">
      <c r="A133" s="914" t="s">
        <v>1676</v>
      </c>
      <c r="B133" s="914" t="s">
        <v>1677</v>
      </c>
      <c r="C133" s="926">
        <v>85.35</v>
      </c>
      <c r="D133" s="926">
        <v>85.87</v>
      </c>
      <c r="E133" s="926"/>
      <c r="F133" s="926"/>
      <c r="G133" s="927">
        <v>172.35</v>
      </c>
      <c r="H133" s="927">
        <v>91.5</v>
      </c>
      <c r="I133" s="927">
        <v>68.27000000000001</v>
      </c>
      <c r="J133" s="927">
        <v>42.68</v>
      </c>
      <c r="K133" s="927">
        <v>42.6</v>
      </c>
      <c r="L133" s="927">
        <v>73.710000000000008</v>
      </c>
      <c r="M133" s="927">
        <v>319.72000000000003</v>
      </c>
      <c r="N133" s="927">
        <v>98.1</v>
      </c>
      <c r="O133" s="927">
        <v>147.6</v>
      </c>
      <c r="P133" s="927">
        <v>196.8</v>
      </c>
      <c r="Q133" s="927">
        <v>24.6</v>
      </c>
      <c r="R133" s="927">
        <v>0</v>
      </c>
      <c r="S133" s="927">
        <v>1277.9299999999998</v>
      </c>
      <c r="T133" s="926"/>
      <c r="U133" s="934">
        <f t="shared" si="56"/>
        <v>2.0193321616871707</v>
      </c>
      <c r="V133" s="934">
        <f t="shared" si="57"/>
        <v>1.0720562390158173</v>
      </c>
      <c r="W133" s="934">
        <f t="shared" si="58"/>
        <v>0.7998828353837143</v>
      </c>
      <c r="X133" s="934">
        <f t="shared" si="59"/>
        <v>0.50005858230814293</v>
      </c>
      <c r="Y133" s="934">
        <f t="shared" si="60"/>
        <v>0.49912126537785595</v>
      </c>
      <c r="Z133" s="934">
        <f t="shared" si="61"/>
        <v>0.8583905904273903</v>
      </c>
      <c r="AA133" s="934">
        <f t="shared" si="62"/>
        <v>3.7233026668219402</v>
      </c>
      <c r="AB133" s="934">
        <f t="shared" si="63"/>
        <v>1.1424245953185046</v>
      </c>
      <c r="AC133" s="934">
        <f t="shared" si="64"/>
        <v>1.718877372772796</v>
      </c>
      <c r="AD133" s="934">
        <f t="shared" si="65"/>
        <v>2.2918364970303946</v>
      </c>
      <c r="AE133" s="934">
        <f t="shared" si="66"/>
        <v>0.28647956212879933</v>
      </c>
      <c r="AF133" s="934">
        <f t="shared" si="67"/>
        <v>0</v>
      </c>
      <c r="AG133" s="934">
        <f t="shared" si="71"/>
        <v>14.911762368272525</v>
      </c>
      <c r="AH133" s="939">
        <f t="shared" si="72"/>
        <v>1.2426468640227104</v>
      </c>
      <c r="AI133" s="950"/>
      <c r="AM133" s="947"/>
      <c r="AN133" s="930"/>
      <c r="AQ133" s="928">
        <v>1.2426468640227104</v>
      </c>
      <c r="AS133" s="938">
        <f t="shared" ca="1" si="73"/>
        <v>90.904250639021896</v>
      </c>
      <c r="AT133" s="937">
        <f t="shared" ca="1" si="74"/>
        <v>1355.5425837949804</v>
      </c>
      <c r="AU133" s="937"/>
      <c r="AV133" s="936">
        <f t="shared" ca="1" si="75"/>
        <v>77.612583794980537</v>
      </c>
      <c r="BE133" s="928">
        <f t="shared" si="68"/>
        <v>0</v>
      </c>
      <c r="BG133" s="928">
        <f t="shared" si="69"/>
        <v>0</v>
      </c>
      <c r="BI133" s="928">
        <f t="shared" si="70"/>
        <v>0</v>
      </c>
    </row>
    <row r="134" spans="1:16382" s="925" customFormat="1" ht="12" customHeight="1">
      <c r="A134" s="914" t="s">
        <v>1678</v>
      </c>
      <c r="B134" s="914" t="s">
        <v>1679</v>
      </c>
      <c r="C134" s="926">
        <v>1.38</v>
      </c>
      <c r="D134" s="926">
        <v>1.39</v>
      </c>
      <c r="E134" s="926"/>
      <c r="F134" s="926"/>
      <c r="G134" s="927">
        <v>1321.5</v>
      </c>
      <c r="H134" s="927">
        <v>1524.69</v>
      </c>
      <c r="I134" s="927">
        <v>1497.03</v>
      </c>
      <c r="J134" s="927">
        <v>1576.5900000000004</v>
      </c>
      <c r="K134" s="927">
        <v>1541.7800000000002</v>
      </c>
      <c r="L134" s="927">
        <v>1580.6200000000001</v>
      </c>
      <c r="M134" s="927">
        <v>1536.7</v>
      </c>
      <c r="N134" s="927">
        <v>1659.39</v>
      </c>
      <c r="O134" s="927">
        <v>1639.65</v>
      </c>
      <c r="P134" s="927">
        <v>1628.91</v>
      </c>
      <c r="Q134" s="927">
        <v>1618</v>
      </c>
      <c r="R134" s="927">
        <v>1808.39</v>
      </c>
      <c r="S134" s="927">
        <v>18933.25</v>
      </c>
      <c r="T134" s="926"/>
      <c r="U134" s="934">
        <f t="shared" si="56"/>
        <v>957.60869565217399</v>
      </c>
      <c r="V134" s="934">
        <f t="shared" si="57"/>
        <v>1104.8478260869567</v>
      </c>
      <c r="W134" s="934">
        <f t="shared" si="58"/>
        <v>1084.804347826087</v>
      </c>
      <c r="X134" s="934">
        <f t="shared" si="59"/>
        <v>1142.4565217391307</v>
      </c>
      <c r="Y134" s="934">
        <f t="shared" si="60"/>
        <v>1117.2318840579712</v>
      </c>
      <c r="Z134" s="934">
        <f t="shared" si="61"/>
        <v>1137.1366906474823</v>
      </c>
      <c r="AA134" s="934">
        <f t="shared" si="62"/>
        <v>1105.5395683453239</v>
      </c>
      <c r="AB134" s="934">
        <f t="shared" si="63"/>
        <v>1193.8057553956837</v>
      </c>
      <c r="AC134" s="934">
        <f t="shared" si="64"/>
        <v>1179.6043165467627</v>
      </c>
      <c r="AD134" s="934">
        <f t="shared" si="65"/>
        <v>1171.8776978417268</v>
      </c>
      <c r="AE134" s="934">
        <f t="shared" si="66"/>
        <v>1164.0287769784175</v>
      </c>
      <c r="AF134" s="934">
        <f t="shared" si="67"/>
        <v>1301.0000000000002</v>
      </c>
      <c r="AG134" s="934">
        <f t="shared" si="71"/>
        <v>13659.942081117717</v>
      </c>
      <c r="AH134" s="939">
        <f t="shared" si="72"/>
        <v>1138.3285067598097</v>
      </c>
      <c r="AI134" s="950"/>
      <c r="AM134" s="947"/>
      <c r="AN134" s="930"/>
      <c r="AQ134" s="928">
        <v>1138.3285067598097</v>
      </c>
      <c r="AS134" s="938">
        <f t="shared" ca="1" si="73"/>
        <v>1.4714907230492655</v>
      </c>
      <c r="AT134" s="937">
        <f t="shared" ca="1" si="74"/>
        <v>20100.478049754998</v>
      </c>
      <c r="AU134" s="937"/>
      <c r="AV134" s="936">
        <f t="shared" ca="1" si="75"/>
        <v>1167.2280497549982</v>
      </c>
      <c r="BE134" s="928">
        <f t="shared" si="68"/>
        <v>0</v>
      </c>
      <c r="BG134" s="928">
        <f t="shared" si="69"/>
        <v>0</v>
      </c>
      <c r="BI134" s="928">
        <f t="shared" si="70"/>
        <v>0</v>
      </c>
    </row>
    <row r="135" spans="1:16382" s="925" customFormat="1" ht="12" customHeight="1">
      <c r="A135" s="914" t="s">
        <v>1680</v>
      </c>
      <c r="B135" s="914" t="s">
        <v>1681</v>
      </c>
      <c r="C135" s="926">
        <v>1.38</v>
      </c>
      <c r="D135" s="926">
        <v>1.39</v>
      </c>
      <c r="E135" s="926"/>
      <c r="F135" s="926"/>
      <c r="G135" s="927">
        <v>0</v>
      </c>
      <c r="H135" s="927">
        <v>0</v>
      </c>
      <c r="I135" s="927">
        <v>0</v>
      </c>
      <c r="J135" s="927">
        <v>0</v>
      </c>
      <c r="K135" s="927">
        <v>0</v>
      </c>
      <c r="L135" s="927">
        <v>0</v>
      </c>
      <c r="M135" s="927">
        <v>0</v>
      </c>
      <c r="N135" s="927">
        <v>0</v>
      </c>
      <c r="O135" s="927">
        <v>0</v>
      </c>
      <c r="P135" s="927">
        <v>0</v>
      </c>
      <c r="Q135" s="927">
        <v>0</v>
      </c>
      <c r="R135" s="927">
        <v>0</v>
      </c>
      <c r="S135" s="927">
        <v>0</v>
      </c>
      <c r="T135" s="926"/>
      <c r="U135" s="934">
        <f t="shared" si="56"/>
        <v>0</v>
      </c>
      <c r="V135" s="934">
        <f t="shared" si="57"/>
        <v>0</v>
      </c>
      <c r="W135" s="934">
        <f t="shared" si="58"/>
        <v>0</v>
      </c>
      <c r="X135" s="934">
        <f t="shared" si="59"/>
        <v>0</v>
      </c>
      <c r="Y135" s="934">
        <f t="shared" si="60"/>
        <v>0</v>
      </c>
      <c r="Z135" s="934">
        <f t="shared" si="61"/>
        <v>0</v>
      </c>
      <c r="AA135" s="934">
        <f t="shared" si="62"/>
        <v>0</v>
      </c>
      <c r="AB135" s="934">
        <f t="shared" si="63"/>
        <v>0</v>
      </c>
      <c r="AC135" s="934">
        <f t="shared" si="64"/>
        <v>0</v>
      </c>
      <c r="AD135" s="934">
        <f t="shared" si="65"/>
        <v>0</v>
      </c>
      <c r="AE135" s="934">
        <f t="shared" si="66"/>
        <v>0</v>
      </c>
      <c r="AF135" s="934">
        <f t="shared" si="67"/>
        <v>0</v>
      </c>
      <c r="AG135" s="934">
        <f t="shared" si="71"/>
        <v>0</v>
      </c>
      <c r="AH135" s="939">
        <f t="shared" si="72"/>
        <v>0</v>
      </c>
      <c r="AI135" s="950"/>
      <c r="AM135" s="947"/>
      <c r="AN135" s="930"/>
      <c r="AQ135" s="928">
        <v>0</v>
      </c>
      <c r="AS135" s="938">
        <f t="shared" ca="1" si="73"/>
        <v>1.4714907230492655</v>
      </c>
      <c r="AT135" s="937">
        <f t="shared" ca="1" si="74"/>
        <v>0</v>
      </c>
      <c r="AU135" s="937"/>
      <c r="AV135" s="936">
        <f t="shared" ca="1" si="75"/>
        <v>0</v>
      </c>
      <c r="BE135" s="928">
        <f t="shared" si="68"/>
        <v>0</v>
      </c>
      <c r="BG135" s="928">
        <f t="shared" si="69"/>
        <v>0</v>
      </c>
      <c r="BI135" s="928">
        <f t="shared" si="70"/>
        <v>0</v>
      </c>
    </row>
    <row r="136" spans="1:16382" s="925" customFormat="1" ht="12" customHeight="1">
      <c r="A136" s="914" t="s">
        <v>1682</v>
      </c>
      <c r="B136" s="914" t="s">
        <v>1683</v>
      </c>
      <c r="C136" s="926">
        <v>1.38</v>
      </c>
      <c r="D136" s="926">
        <v>1.39</v>
      </c>
      <c r="E136" s="926"/>
      <c r="F136" s="926"/>
      <c r="G136" s="927">
        <v>2875.1299999999997</v>
      </c>
      <c r="H136" s="927">
        <v>3080.6000000000004</v>
      </c>
      <c r="I136" s="927">
        <v>3119.88</v>
      </c>
      <c r="J136" s="927">
        <v>3061.3399999999997</v>
      </c>
      <c r="K136" s="927">
        <v>3210.3</v>
      </c>
      <c r="L136" s="927">
        <v>3164</v>
      </c>
      <c r="M136" s="927">
        <v>3232.9700000000003</v>
      </c>
      <c r="N136" s="927">
        <v>3174.21</v>
      </c>
      <c r="O136" s="927">
        <v>3231.99</v>
      </c>
      <c r="P136" s="927">
        <v>3210.2799999999997</v>
      </c>
      <c r="Q136" s="927">
        <v>3288.5099999999998</v>
      </c>
      <c r="R136" s="927">
        <v>3338</v>
      </c>
      <c r="S136" s="927">
        <v>37987.21</v>
      </c>
      <c r="T136" s="926"/>
      <c r="U136" s="934">
        <f t="shared" si="56"/>
        <v>2083.427536231884</v>
      </c>
      <c r="V136" s="934">
        <f t="shared" si="57"/>
        <v>2232.3188405797105</v>
      </c>
      <c r="W136" s="934">
        <f t="shared" si="58"/>
        <v>2260.7826086956525</v>
      </c>
      <c r="X136" s="934">
        <f t="shared" si="59"/>
        <v>2218.3623188405795</v>
      </c>
      <c r="Y136" s="934">
        <f t="shared" si="60"/>
        <v>2326.3043478260875</v>
      </c>
      <c r="Z136" s="934">
        <f t="shared" si="61"/>
        <v>2276.2589928057555</v>
      </c>
      <c r="AA136" s="934">
        <f t="shared" si="62"/>
        <v>2325.8776978417268</v>
      </c>
      <c r="AB136" s="934">
        <f t="shared" si="63"/>
        <v>2283.6043165467627</v>
      </c>
      <c r="AC136" s="934">
        <f t="shared" si="64"/>
        <v>2325.1726618705038</v>
      </c>
      <c r="AD136" s="934">
        <f t="shared" si="65"/>
        <v>2309.5539568345325</v>
      </c>
      <c r="AE136" s="934">
        <f t="shared" si="66"/>
        <v>2365.8345323741005</v>
      </c>
      <c r="AF136" s="934">
        <f t="shared" si="67"/>
        <v>2401.4388489208636</v>
      </c>
      <c r="AG136" s="934">
        <f t="shared" si="71"/>
        <v>27408.936659368163</v>
      </c>
      <c r="AH136" s="939">
        <f t="shared" si="72"/>
        <v>2284.078054947347</v>
      </c>
      <c r="AI136" s="950"/>
      <c r="AM136" s="947"/>
      <c r="AN136" s="930"/>
      <c r="AQ136" s="928">
        <v>2284.078054947347</v>
      </c>
      <c r="AS136" s="938">
        <f t="shared" ca="1" si="73"/>
        <v>1.4714907230492655</v>
      </c>
      <c r="AT136" s="937">
        <f t="shared" ca="1" si="74"/>
        <v>40331.996022905179</v>
      </c>
      <c r="AU136" s="937"/>
      <c r="AV136" s="936">
        <f t="shared" ca="1" si="75"/>
        <v>2344.7860229051803</v>
      </c>
      <c r="BE136" s="928">
        <f t="shared" si="68"/>
        <v>0</v>
      </c>
      <c r="BG136" s="928">
        <f t="shared" si="69"/>
        <v>0</v>
      </c>
      <c r="BI136" s="928">
        <f t="shared" si="70"/>
        <v>0</v>
      </c>
    </row>
    <row r="137" spans="1:16382" s="925" customFormat="1" ht="12" customHeight="1">
      <c r="A137" s="914" t="s">
        <v>1684</v>
      </c>
      <c r="B137" s="914" t="s">
        <v>1685</v>
      </c>
      <c r="C137" s="926">
        <v>25.42</v>
      </c>
      <c r="D137" s="926">
        <v>25.57</v>
      </c>
      <c r="E137" s="926"/>
      <c r="F137" s="926"/>
      <c r="G137" s="927">
        <v>20.260000000000002</v>
      </c>
      <c r="H137" s="927">
        <v>41.980000000000004</v>
      </c>
      <c r="I137" s="927">
        <v>86.88</v>
      </c>
      <c r="J137" s="927">
        <v>65.16</v>
      </c>
      <c r="K137" s="927">
        <v>0</v>
      </c>
      <c r="L137" s="927">
        <v>0</v>
      </c>
      <c r="M137" s="927">
        <v>0</v>
      </c>
      <c r="N137" s="927">
        <v>0</v>
      </c>
      <c r="O137" s="927">
        <v>0</v>
      </c>
      <c r="P137" s="927">
        <v>0</v>
      </c>
      <c r="Q137" s="927">
        <v>0</v>
      </c>
      <c r="R137" s="927">
        <v>21.85</v>
      </c>
      <c r="S137" s="927">
        <v>236.13</v>
      </c>
      <c r="T137" s="926"/>
      <c r="U137" s="934">
        <f t="shared" si="56"/>
        <v>0.79701022816679779</v>
      </c>
      <c r="V137" s="934">
        <f t="shared" si="57"/>
        <v>1.6514555468135328</v>
      </c>
      <c r="W137" s="934">
        <f t="shared" si="58"/>
        <v>3.4177812745869391</v>
      </c>
      <c r="X137" s="934">
        <f t="shared" si="59"/>
        <v>2.5633359559402042</v>
      </c>
      <c r="Y137" s="934">
        <f t="shared" si="60"/>
        <v>0</v>
      </c>
      <c r="Z137" s="934">
        <f t="shared" si="61"/>
        <v>0</v>
      </c>
      <c r="AA137" s="934">
        <f t="shared" si="62"/>
        <v>0</v>
      </c>
      <c r="AB137" s="934">
        <f t="shared" si="63"/>
        <v>0</v>
      </c>
      <c r="AC137" s="934">
        <f t="shared" si="64"/>
        <v>0</v>
      </c>
      <c r="AD137" s="934">
        <f t="shared" si="65"/>
        <v>0</v>
      </c>
      <c r="AE137" s="934">
        <f t="shared" si="66"/>
        <v>0</v>
      </c>
      <c r="AF137" s="934">
        <f t="shared" si="67"/>
        <v>0.85451701212358233</v>
      </c>
      <c r="AG137" s="934">
        <f t="shared" si="71"/>
        <v>9.2841000176310562</v>
      </c>
      <c r="AH137" s="939">
        <f t="shared" si="72"/>
        <v>0.77367500146925472</v>
      </c>
      <c r="AI137" s="950"/>
      <c r="AM137" s="947"/>
      <c r="AN137" s="930"/>
      <c r="AQ137" s="928">
        <v>0.77367500146925472</v>
      </c>
      <c r="AS137" s="938">
        <f t="shared" ca="1" si="73"/>
        <v>27.069077545589728</v>
      </c>
      <c r="AT137" s="937">
        <f t="shared" ca="1" si="74"/>
        <v>251.31202331826603</v>
      </c>
      <c r="AU137" s="937"/>
      <c r="AV137" s="936">
        <f t="shared" ca="1" si="75"/>
        <v>15.182023318266033</v>
      </c>
      <c r="BE137" s="928">
        <f t="shared" si="68"/>
        <v>0</v>
      </c>
      <c r="BG137" s="928">
        <f t="shared" si="69"/>
        <v>0</v>
      </c>
      <c r="BI137" s="928">
        <f t="shared" si="70"/>
        <v>0</v>
      </c>
    </row>
    <row r="138" spans="1:16382" s="925" customFormat="1" ht="12" customHeight="1">
      <c r="A138" s="914" t="s">
        <v>1686</v>
      </c>
      <c r="B138" s="914" t="s">
        <v>1687</v>
      </c>
      <c r="C138" s="926">
        <v>25.42</v>
      </c>
      <c r="D138" s="926">
        <v>25.57</v>
      </c>
      <c r="E138" s="926"/>
      <c r="F138" s="926"/>
      <c r="G138" s="927">
        <v>0</v>
      </c>
      <c r="H138" s="927">
        <v>0</v>
      </c>
      <c r="I138" s="927">
        <v>0</v>
      </c>
      <c r="J138" s="927">
        <v>0</v>
      </c>
      <c r="K138" s="927">
        <v>0</v>
      </c>
      <c r="L138" s="927">
        <v>0</v>
      </c>
      <c r="M138" s="927">
        <v>0</v>
      </c>
      <c r="N138" s="927">
        <v>0</v>
      </c>
      <c r="O138" s="927">
        <v>0</v>
      </c>
      <c r="P138" s="927">
        <v>0</v>
      </c>
      <c r="Q138" s="927">
        <v>0</v>
      </c>
      <c r="R138" s="927">
        <v>26.93</v>
      </c>
      <c r="S138" s="927">
        <v>26.93</v>
      </c>
      <c r="T138" s="926"/>
      <c r="U138" s="934">
        <f t="shared" si="56"/>
        <v>0</v>
      </c>
      <c r="V138" s="934">
        <f t="shared" si="57"/>
        <v>0</v>
      </c>
      <c r="W138" s="934">
        <f t="shared" si="58"/>
        <v>0</v>
      </c>
      <c r="X138" s="934">
        <f t="shared" si="59"/>
        <v>0</v>
      </c>
      <c r="Y138" s="934">
        <f t="shared" si="60"/>
        <v>0</v>
      </c>
      <c r="Z138" s="934">
        <f t="shared" si="61"/>
        <v>0</v>
      </c>
      <c r="AA138" s="934">
        <f t="shared" si="62"/>
        <v>0</v>
      </c>
      <c r="AB138" s="934">
        <f t="shared" si="63"/>
        <v>0</v>
      </c>
      <c r="AC138" s="934">
        <f t="shared" si="64"/>
        <v>0</v>
      </c>
      <c r="AD138" s="934">
        <f t="shared" si="65"/>
        <v>0</v>
      </c>
      <c r="AE138" s="934">
        <f t="shared" si="66"/>
        <v>0</v>
      </c>
      <c r="AF138" s="934">
        <f t="shared" si="67"/>
        <v>1.0531873289010558</v>
      </c>
      <c r="AG138" s="934">
        <f t="shared" si="71"/>
        <v>1.0531873289010558</v>
      </c>
      <c r="AH138" s="939">
        <f t="shared" si="72"/>
        <v>8.7765610741754652E-2</v>
      </c>
      <c r="AI138" s="950"/>
      <c r="AM138" s="947"/>
      <c r="AN138" s="930"/>
      <c r="AQ138" s="928">
        <v>8.7765610741754652E-2</v>
      </c>
      <c r="AS138" s="938">
        <f t="shared" ca="1" si="73"/>
        <v>27.069077545589728</v>
      </c>
      <c r="AT138" s="937">
        <f t="shared" ca="1" si="74"/>
        <v>28.508809476055191</v>
      </c>
      <c r="AU138" s="937"/>
      <c r="AV138" s="936">
        <f t="shared" ca="1" si="75"/>
        <v>1.5788094760551914</v>
      </c>
      <c r="BE138" s="928">
        <f t="shared" si="68"/>
        <v>0</v>
      </c>
      <c r="BG138" s="928">
        <f t="shared" si="69"/>
        <v>0</v>
      </c>
      <c r="BI138" s="928">
        <f t="shared" si="70"/>
        <v>0</v>
      </c>
    </row>
    <row r="139" spans="1:16382" s="925" customFormat="1" ht="12" customHeight="1">
      <c r="A139" s="914" t="s">
        <v>1688</v>
      </c>
      <c r="B139" s="914" t="s">
        <v>1689</v>
      </c>
      <c r="C139" s="926">
        <v>25.42</v>
      </c>
      <c r="D139" s="926">
        <v>25.57</v>
      </c>
      <c r="E139" s="926"/>
      <c r="F139" s="926"/>
      <c r="G139" s="927">
        <v>0</v>
      </c>
      <c r="H139" s="927">
        <v>0</v>
      </c>
      <c r="I139" s="927">
        <v>0</v>
      </c>
      <c r="J139" s="927">
        <v>0</v>
      </c>
      <c r="K139" s="927">
        <v>53.54</v>
      </c>
      <c r="L139" s="927">
        <v>0</v>
      </c>
      <c r="M139" s="927">
        <v>0</v>
      </c>
      <c r="N139" s="927">
        <v>0</v>
      </c>
      <c r="O139" s="927">
        <v>0</v>
      </c>
      <c r="P139" s="927">
        <v>0</v>
      </c>
      <c r="Q139" s="927">
        <v>0</v>
      </c>
      <c r="R139" s="927">
        <v>0</v>
      </c>
      <c r="S139" s="927">
        <v>53.54</v>
      </c>
      <c r="T139" s="926"/>
      <c r="U139" s="934">
        <f t="shared" si="56"/>
        <v>0</v>
      </c>
      <c r="V139" s="934">
        <f t="shared" si="57"/>
        <v>0</v>
      </c>
      <c r="W139" s="934">
        <f t="shared" si="58"/>
        <v>0</v>
      </c>
      <c r="X139" s="934">
        <f t="shared" si="59"/>
        <v>0</v>
      </c>
      <c r="Y139" s="934">
        <f t="shared" si="60"/>
        <v>2.1062155782848149</v>
      </c>
      <c r="Z139" s="934">
        <f t="shared" si="61"/>
        <v>0</v>
      </c>
      <c r="AA139" s="934">
        <f t="shared" si="62"/>
        <v>0</v>
      </c>
      <c r="AB139" s="934">
        <f t="shared" si="63"/>
        <v>0</v>
      </c>
      <c r="AC139" s="934">
        <f t="shared" si="64"/>
        <v>0</v>
      </c>
      <c r="AD139" s="934">
        <f t="shared" si="65"/>
        <v>0</v>
      </c>
      <c r="AE139" s="934">
        <f t="shared" si="66"/>
        <v>0</v>
      </c>
      <c r="AF139" s="934">
        <f t="shared" si="67"/>
        <v>0</v>
      </c>
      <c r="AG139" s="934">
        <f t="shared" si="71"/>
        <v>2.1062155782848149</v>
      </c>
      <c r="AH139" s="939">
        <f t="shared" si="72"/>
        <v>0.17551796485706792</v>
      </c>
      <c r="AI139" s="950"/>
      <c r="AM139" s="947"/>
      <c r="AN139" s="930"/>
      <c r="AQ139" s="928">
        <v>0.17551796485706792</v>
      </c>
      <c r="AS139" s="938">
        <f t="shared" ca="1" si="73"/>
        <v>27.069077545589728</v>
      </c>
      <c r="AT139" s="937">
        <f t="shared" ca="1" si="74"/>
        <v>57.013312816320763</v>
      </c>
      <c r="AU139" s="937"/>
      <c r="AV139" s="936">
        <f t="shared" ca="1" si="75"/>
        <v>3.4733128163207638</v>
      </c>
      <c r="BE139" s="928">
        <f t="shared" si="68"/>
        <v>0</v>
      </c>
      <c r="BG139" s="928">
        <f t="shared" si="69"/>
        <v>0</v>
      </c>
      <c r="BI139" s="928">
        <f t="shared" si="70"/>
        <v>0</v>
      </c>
    </row>
    <row r="140" spans="1:16382" s="925" customFormat="1" ht="12" customHeight="1">
      <c r="A140" s="914" t="s">
        <v>1690</v>
      </c>
      <c r="B140" s="914" t="s">
        <v>1691</v>
      </c>
      <c r="C140" s="926">
        <v>17.47</v>
      </c>
      <c r="D140" s="926">
        <v>17.579999999999998</v>
      </c>
      <c r="E140" s="926"/>
      <c r="F140" s="926"/>
      <c r="G140" s="927">
        <v>0</v>
      </c>
      <c r="H140" s="927">
        <v>0</v>
      </c>
      <c r="I140" s="927">
        <v>0</v>
      </c>
      <c r="J140" s="927">
        <v>0</v>
      </c>
      <c r="K140" s="927">
        <v>0</v>
      </c>
      <c r="L140" s="927">
        <v>0</v>
      </c>
      <c r="M140" s="927">
        <v>0</v>
      </c>
      <c r="N140" s="927">
        <v>0</v>
      </c>
      <c r="O140" s="927">
        <v>0</v>
      </c>
      <c r="P140" s="927">
        <v>0</v>
      </c>
      <c r="Q140" s="927">
        <v>0</v>
      </c>
      <c r="R140" s="927">
        <v>0</v>
      </c>
      <c r="S140" s="927">
        <v>0</v>
      </c>
      <c r="T140" s="926"/>
      <c r="U140" s="934">
        <f t="shared" si="56"/>
        <v>0</v>
      </c>
      <c r="V140" s="934">
        <f t="shared" si="57"/>
        <v>0</v>
      </c>
      <c r="W140" s="934">
        <f t="shared" si="58"/>
        <v>0</v>
      </c>
      <c r="X140" s="934">
        <f t="shared" si="59"/>
        <v>0</v>
      </c>
      <c r="Y140" s="934">
        <f t="shared" si="60"/>
        <v>0</v>
      </c>
      <c r="Z140" s="934">
        <f t="shared" si="61"/>
        <v>0</v>
      </c>
      <c r="AA140" s="934">
        <f t="shared" si="62"/>
        <v>0</v>
      </c>
      <c r="AB140" s="934">
        <f t="shared" si="63"/>
        <v>0</v>
      </c>
      <c r="AC140" s="934">
        <f t="shared" si="64"/>
        <v>0</v>
      </c>
      <c r="AD140" s="934">
        <f t="shared" si="65"/>
        <v>0</v>
      </c>
      <c r="AE140" s="934">
        <f t="shared" si="66"/>
        <v>0</v>
      </c>
      <c r="AF140" s="934">
        <f t="shared" si="67"/>
        <v>0</v>
      </c>
      <c r="AG140" s="934">
        <f t="shared" si="71"/>
        <v>0</v>
      </c>
      <c r="AH140" s="939">
        <f t="shared" si="72"/>
        <v>0</v>
      </c>
      <c r="AI140" s="950"/>
      <c r="AM140" s="947"/>
      <c r="AN140" s="930"/>
      <c r="AQ140" s="928">
        <v>0</v>
      </c>
      <c r="AS140" s="938">
        <f t="shared" ca="1" si="73"/>
        <v>18.6106524541051</v>
      </c>
      <c r="AT140" s="937">
        <f t="shared" ca="1" si="74"/>
        <v>0</v>
      </c>
      <c r="AU140" s="937"/>
      <c r="AV140" s="936">
        <f t="shared" ca="1" si="75"/>
        <v>0</v>
      </c>
      <c r="BE140" s="928">
        <f t="shared" si="68"/>
        <v>0</v>
      </c>
      <c r="BG140" s="928">
        <f t="shared" si="69"/>
        <v>0</v>
      </c>
      <c r="BI140" s="928">
        <f t="shared" si="70"/>
        <v>0</v>
      </c>
    </row>
    <row r="141" spans="1:16382" s="925" customFormat="1" ht="12" customHeight="1">
      <c r="A141" s="914" t="s">
        <v>1692</v>
      </c>
      <c r="B141" s="914" t="s">
        <v>1693</v>
      </c>
      <c r="C141" s="926">
        <v>48.36</v>
      </c>
      <c r="D141" s="926">
        <v>48.65</v>
      </c>
      <c r="E141" s="951"/>
      <c r="F141" s="951"/>
      <c r="G141" s="927">
        <v>270.71999999999997</v>
      </c>
      <c r="H141" s="927">
        <v>335.28</v>
      </c>
      <c r="I141" s="927">
        <v>293.27999999999997</v>
      </c>
      <c r="J141" s="927">
        <v>383.52</v>
      </c>
      <c r="K141" s="927">
        <v>190.07999999999998</v>
      </c>
      <c r="L141" s="927">
        <v>194.89</v>
      </c>
      <c r="M141" s="927">
        <v>97.3</v>
      </c>
      <c r="N141" s="927">
        <v>291.89999999999998</v>
      </c>
      <c r="O141" s="927">
        <v>97.3</v>
      </c>
      <c r="P141" s="927">
        <v>97.59</v>
      </c>
      <c r="Q141" s="927">
        <v>194.6</v>
      </c>
      <c r="R141" s="927">
        <v>194.6</v>
      </c>
      <c r="S141" s="927">
        <v>2641.06</v>
      </c>
      <c r="T141" s="951"/>
      <c r="U141" s="934">
        <f t="shared" si="56"/>
        <v>5.5980148883374685</v>
      </c>
      <c r="V141" s="934">
        <f t="shared" si="57"/>
        <v>6.9330024813895781</v>
      </c>
      <c r="W141" s="934">
        <f t="shared" si="58"/>
        <v>6.064516129032258</v>
      </c>
      <c r="X141" s="934">
        <f t="shared" si="59"/>
        <v>7.9305210918114142</v>
      </c>
      <c r="Y141" s="934">
        <f t="shared" si="60"/>
        <v>3.9305210918114142</v>
      </c>
      <c r="Z141" s="934">
        <f t="shared" si="61"/>
        <v>4.0059609455292904</v>
      </c>
      <c r="AA141" s="934">
        <f t="shared" si="62"/>
        <v>2</v>
      </c>
      <c r="AB141" s="934">
        <f t="shared" si="63"/>
        <v>6</v>
      </c>
      <c r="AC141" s="934">
        <f t="shared" si="64"/>
        <v>2</v>
      </c>
      <c r="AD141" s="934">
        <f t="shared" si="65"/>
        <v>2.0059609455292908</v>
      </c>
      <c r="AE141" s="934">
        <f t="shared" si="66"/>
        <v>4</v>
      </c>
      <c r="AF141" s="934">
        <f t="shared" si="67"/>
        <v>4</v>
      </c>
      <c r="AG141" s="934">
        <f t="shared" si="71"/>
        <v>54.468497573440708</v>
      </c>
      <c r="AH141" s="939">
        <f t="shared" si="72"/>
        <v>4.5390414644533923</v>
      </c>
      <c r="AI141" s="950"/>
      <c r="AJ141" s="950"/>
      <c r="AK141" s="950"/>
      <c r="AL141" s="950"/>
      <c r="AM141" s="950"/>
      <c r="AN141" s="950"/>
      <c r="AO141" s="950"/>
      <c r="AP141" s="950"/>
      <c r="AQ141" s="928">
        <v>4.5390414644533923</v>
      </c>
      <c r="AR141" s="950"/>
      <c r="AS141" s="938">
        <f t="shared" ca="1" si="73"/>
        <v>51.502175306724297</v>
      </c>
      <c r="AT141" s="937">
        <f t="shared" ca="1" si="74"/>
        <v>2805.2461107212303</v>
      </c>
      <c r="AU141" s="937"/>
      <c r="AV141" s="936">
        <f t="shared" ca="1" si="75"/>
        <v>164.18611072123031</v>
      </c>
      <c r="AW141" s="950"/>
      <c r="AX141" s="950"/>
      <c r="AY141" s="950"/>
      <c r="AZ141" s="950"/>
      <c r="BA141" s="950"/>
      <c r="BB141" s="950"/>
      <c r="BC141" s="950"/>
      <c r="BD141" s="950"/>
      <c r="BE141" s="928">
        <f t="shared" si="68"/>
        <v>0</v>
      </c>
      <c r="BF141" s="950"/>
      <c r="BG141" s="928">
        <f t="shared" si="69"/>
        <v>0</v>
      </c>
      <c r="BH141" s="950"/>
      <c r="BI141" s="928">
        <f t="shared" si="70"/>
        <v>0</v>
      </c>
      <c r="BJ141" s="950"/>
      <c r="BK141" s="950"/>
      <c r="BL141" s="950"/>
      <c r="BM141" s="950"/>
      <c r="BN141" s="950"/>
      <c r="BO141" s="950"/>
      <c r="BP141" s="950"/>
      <c r="BQ141" s="950"/>
      <c r="BR141" s="950"/>
      <c r="BS141" s="950"/>
      <c r="BT141" s="950"/>
      <c r="BU141" s="950"/>
      <c r="BV141" s="950"/>
      <c r="BW141" s="950"/>
      <c r="BX141" s="950"/>
      <c r="BY141" s="950"/>
      <c r="BZ141" s="950"/>
      <c r="CA141" s="950"/>
      <c r="CB141" s="950"/>
      <c r="CC141" s="950"/>
      <c r="CD141" s="950"/>
      <c r="CE141" s="950"/>
      <c r="CF141" s="950"/>
      <c r="CG141" s="950"/>
      <c r="CH141" s="950"/>
      <c r="CI141" s="950"/>
      <c r="CJ141" s="950"/>
      <c r="CK141" s="950"/>
      <c r="CL141" s="950"/>
      <c r="CM141" s="950"/>
      <c r="CN141" s="950"/>
      <c r="CO141" s="950"/>
      <c r="CP141" s="950"/>
      <c r="CQ141" s="950"/>
      <c r="CR141" s="950"/>
      <c r="CS141" s="950"/>
      <c r="CT141" s="950"/>
      <c r="CU141" s="950"/>
      <c r="CV141" s="950"/>
      <c r="CW141" s="950"/>
      <c r="CX141" s="950"/>
      <c r="CY141" s="950"/>
      <c r="CZ141" s="950"/>
      <c r="DA141" s="950"/>
      <c r="DB141" s="950"/>
      <c r="DC141" s="950"/>
      <c r="DD141" s="950"/>
      <c r="DE141" s="950"/>
      <c r="DF141" s="950"/>
      <c r="DG141" s="950"/>
      <c r="DH141" s="950"/>
      <c r="DI141" s="950"/>
      <c r="DJ141" s="950"/>
      <c r="DK141" s="950"/>
      <c r="DL141" s="950"/>
      <c r="DM141" s="950"/>
      <c r="DN141" s="950"/>
      <c r="DO141" s="950"/>
      <c r="DP141" s="950"/>
      <c r="DQ141" s="950"/>
      <c r="DR141" s="950"/>
      <c r="DS141" s="950"/>
      <c r="DT141" s="950"/>
      <c r="DU141" s="950"/>
      <c r="DV141" s="950"/>
      <c r="DW141" s="950"/>
      <c r="DX141" s="950"/>
      <c r="DY141" s="950"/>
      <c r="DZ141" s="950"/>
      <c r="EA141" s="950"/>
      <c r="EB141" s="950"/>
      <c r="EC141" s="950"/>
      <c r="ED141" s="950"/>
      <c r="EE141" s="950"/>
      <c r="EF141" s="950"/>
      <c r="EG141" s="950"/>
      <c r="EH141" s="950"/>
      <c r="EI141" s="950"/>
      <c r="EJ141" s="950"/>
      <c r="EK141" s="950"/>
      <c r="EL141" s="950"/>
      <c r="EM141" s="950"/>
      <c r="EN141" s="950"/>
      <c r="EO141" s="950"/>
      <c r="EP141" s="950"/>
      <c r="EQ141" s="950"/>
      <c r="ER141" s="950"/>
      <c r="ES141" s="950"/>
      <c r="ET141" s="950"/>
      <c r="EU141" s="950"/>
      <c r="EV141" s="950"/>
      <c r="EW141" s="950"/>
      <c r="EX141" s="950"/>
      <c r="EY141" s="950"/>
      <c r="EZ141" s="950"/>
      <c r="FA141" s="950"/>
      <c r="FB141" s="950"/>
      <c r="FC141" s="950"/>
      <c r="FD141" s="950"/>
      <c r="FE141" s="950"/>
      <c r="FF141" s="950"/>
      <c r="FG141" s="950"/>
      <c r="FH141" s="950"/>
      <c r="FI141" s="950"/>
      <c r="FJ141" s="950"/>
      <c r="FK141" s="950"/>
      <c r="FL141" s="950"/>
      <c r="FM141" s="950"/>
      <c r="FN141" s="950"/>
      <c r="FO141" s="950"/>
      <c r="FP141" s="950"/>
      <c r="FQ141" s="950"/>
      <c r="FR141" s="950"/>
      <c r="FS141" s="950"/>
      <c r="FT141" s="950"/>
      <c r="FU141" s="950"/>
      <c r="FV141" s="950"/>
      <c r="FW141" s="950"/>
      <c r="FX141" s="950"/>
      <c r="FY141" s="950"/>
      <c r="FZ141" s="950"/>
      <c r="GA141" s="950"/>
      <c r="GB141" s="950"/>
      <c r="GC141" s="950"/>
      <c r="GD141" s="950"/>
      <c r="GE141" s="950"/>
      <c r="GF141" s="950"/>
      <c r="GG141" s="950"/>
      <c r="GH141" s="950"/>
      <c r="GI141" s="950"/>
      <c r="GJ141" s="950"/>
      <c r="GK141" s="950"/>
      <c r="GL141" s="950"/>
      <c r="GM141" s="950"/>
      <c r="GN141" s="950"/>
      <c r="GO141" s="950"/>
      <c r="GP141" s="950"/>
      <c r="GQ141" s="950"/>
      <c r="GR141" s="950"/>
      <c r="GS141" s="950"/>
      <c r="GT141" s="950"/>
      <c r="GU141" s="950"/>
      <c r="GV141" s="950"/>
      <c r="GW141" s="950"/>
      <c r="GX141" s="950"/>
      <c r="GY141" s="950"/>
      <c r="GZ141" s="950"/>
      <c r="HA141" s="950"/>
      <c r="HB141" s="950"/>
      <c r="HC141" s="950"/>
      <c r="HD141" s="950"/>
      <c r="HE141" s="950"/>
      <c r="HF141" s="950"/>
      <c r="HG141" s="950"/>
      <c r="HH141" s="950"/>
      <c r="HI141" s="950"/>
      <c r="HJ141" s="950"/>
      <c r="HK141" s="950"/>
      <c r="HL141" s="950"/>
      <c r="HM141" s="950"/>
      <c r="HN141" s="950"/>
      <c r="HO141" s="950"/>
      <c r="HP141" s="950"/>
      <c r="HQ141" s="950"/>
      <c r="HR141" s="950"/>
      <c r="HS141" s="950"/>
      <c r="HT141" s="950"/>
      <c r="HU141" s="950"/>
      <c r="HV141" s="950"/>
      <c r="HW141" s="950"/>
      <c r="HX141" s="950"/>
      <c r="HY141" s="950"/>
      <c r="HZ141" s="950"/>
      <c r="IA141" s="950"/>
      <c r="IB141" s="950"/>
      <c r="IC141" s="950"/>
      <c r="ID141" s="950"/>
      <c r="IE141" s="950"/>
      <c r="IF141" s="950"/>
      <c r="IG141" s="950"/>
      <c r="IH141" s="950"/>
      <c r="II141" s="950"/>
      <c r="IJ141" s="950"/>
      <c r="IK141" s="950"/>
      <c r="IL141" s="950"/>
      <c r="IM141" s="950"/>
      <c r="IN141" s="950"/>
      <c r="IO141" s="950"/>
      <c r="IP141" s="950"/>
      <c r="IQ141" s="950"/>
      <c r="IR141" s="950"/>
      <c r="IS141" s="950"/>
      <c r="IT141" s="950"/>
      <c r="IU141" s="950"/>
      <c r="IV141" s="950"/>
      <c r="IW141" s="950"/>
      <c r="IX141" s="950"/>
      <c r="IY141" s="950"/>
      <c r="IZ141" s="950"/>
      <c r="JA141" s="950"/>
      <c r="JB141" s="950"/>
      <c r="JC141" s="950"/>
      <c r="JD141" s="950"/>
      <c r="JE141" s="950"/>
      <c r="JF141" s="950"/>
      <c r="JG141" s="950"/>
      <c r="JH141" s="950"/>
      <c r="JI141" s="950"/>
      <c r="JJ141" s="950"/>
      <c r="JK141" s="950"/>
      <c r="JL141" s="950"/>
      <c r="JM141" s="950"/>
      <c r="JN141" s="950"/>
      <c r="JO141" s="950"/>
      <c r="JP141" s="950"/>
      <c r="JQ141" s="950"/>
      <c r="JR141" s="950"/>
      <c r="JS141" s="950"/>
      <c r="JT141" s="950"/>
      <c r="JU141" s="950"/>
      <c r="JV141" s="950"/>
      <c r="JW141" s="950"/>
      <c r="JX141" s="950"/>
      <c r="JY141" s="950"/>
      <c r="JZ141" s="950"/>
      <c r="KA141" s="950"/>
      <c r="KB141" s="950"/>
      <c r="KC141" s="950"/>
      <c r="KD141" s="950"/>
      <c r="KE141" s="950"/>
      <c r="KF141" s="950"/>
      <c r="KG141" s="950"/>
      <c r="KH141" s="950"/>
      <c r="KI141" s="950"/>
      <c r="KJ141" s="950"/>
      <c r="KK141" s="950"/>
      <c r="KL141" s="950"/>
      <c r="KM141" s="950"/>
      <c r="KN141" s="950"/>
      <c r="KO141" s="950"/>
      <c r="KP141" s="950"/>
      <c r="KQ141" s="950"/>
      <c r="KR141" s="950"/>
      <c r="KS141" s="950"/>
      <c r="KT141" s="950"/>
      <c r="KU141" s="950"/>
      <c r="KV141" s="950"/>
      <c r="KW141" s="950"/>
      <c r="KX141" s="950"/>
      <c r="KY141" s="950"/>
      <c r="KZ141" s="950"/>
      <c r="LA141" s="950"/>
      <c r="LB141" s="950"/>
      <c r="LC141" s="950"/>
      <c r="LD141" s="950"/>
      <c r="LE141" s="950"/>
      <c r="LF141" s="950"/>
      <c r="LG141" s="950"/>
      <c r="LH141" s="950"/>
      <c r="LI141" s="950"/>
      <c r="LJ141" s="950"/>
      <c r="LK141" s="950"/>
      <c r="LL141" s="950"/>
      <c r="LM141" s="950"/>
      <c r="LN141" s="950"/>
      <c r="LO141" s="950"/>
      <c r="LP141" s="950"/>
      <c r="LQ141" s="950"/>
      <c r="LR141" s="950"/>
      <c r="LS141" s="950"/>
      <c r="LT141" s="950"/>
      <c r="LU141" s="950"/>
      <c r="LV141" s="950"/>
      <c r="LW141" s="950"/>
      <c r="LX141" s="950"/>
      <c r="LY141" s="950"/>
      <c r="LZ141" s="950"/>
      <c r="MA141" s="950"/>
      <c r="MB141" s="950"/>
      <c r="MC141" s="950"/>
      <c r="MD141" s="950"/>
      <c r="ME141" s="950"/>
      <c r="MF141" s="950"/>
      <c r="MG141" s="950"/>
      <c r="MH141" s="950"/>
      <c r="MI141" s="950"/>
      <c r="MJ141" s="950"/>
      <c r="MK141" s="950"/>
      <c r="ML141" s="950"/>
      <c r="MM141" s="950"/>
      <c r="MN141" s="950"/>
      <c r="MO141" s="950"/>
      <c r="MP141" s="950"/>
      <c r="MQ141" s="950"/>
      <c r="MR141" s="950"/>
      <c r="MS141" s="950"/>
      <c r="MT141" s="950"/>
      <c r="MU141" s="950"/>
      <c r="MV141" s="950"/>
      <c r="MW141" s="950"/>
      <c r="MX141" s="950"/>
      <c r="MY141" s="950"/>
      <c r="MZ141" s="950"/>
      <c r="NA141" s="950"/>
      <c r="NB141" s="950"/>
      <c r="NC141" s="950"/>
      <c r="ND141" s="950"/>
      <c r="NE141" s="950"/>
      <c r="NF141" s="950"/>
      <c r="NG141" s="950"/>
      <c r="NH141" s="950"/>
      <c r="NI141" s="950"/>
      <c r="NJ141" s="950"/>
      <c r="NK141" s="950"/>
      <c r="NL141" s="950"/>
      <c r="NM141" s="950"/>
      <c r="NN141" s="950"/>
      <c r="NO141" s="950"/>
      <c r="NP141" s="950"/>
      <c r="NQ141" s="950"/>
      <c r="NR141" s="950"/>
      <c r="NS141" s="950"/>
      <c r="NT141" s="950"/>
      <c r="NU141" s="950"/>
      <c r="NV141" s="950"/>
      <c r="NW141" s="950"/>
      <c r="NX141" s="950"/>
      <c r="NY141" s="950"/>
      <c r="NZ141" s="950"/>
      <c r="OA141" s="950"/>
      <c r="OB141" s="950"/>
      <c r="OC141" s="950"/>
      <c r="OD141" s="950"/>
      <c r="OE141" s="950"/>
      <c r="OF141" s="950"/>
      <c r="OG141" s="950"/>
      <c r="OH141" s="950"/>
      <c r="OI141" s="950"/>
      <c r="OJ141" s="950"/>
      <c r="OK141" s="950"/>
      <c r="OL141" s="950"/>
      <c r="OM141" s="950"/>
      <c r="ON141" s="950"/>
      <c r="OO141" s="950"/>
      <c r="OP141" s="950"/>
      <c r="OQ141" s="950"/>
      <c r="OR141" s="950"/>
      <c r="OS141" s="950"/>
      <c r="OT141" s="950"/>
      <c r="OU141" s="950"/>
      <c r="OV141" s="950"/>
      <c r="OW141" s="950"/>
      <c r="OX141" s="950"/>
      <c r="OY141" s="950"/>
      <c r="OZ141" s="950"/>
      <c r="PA141" s="950"/>
      <c r="PB141" s="950"/>
      <c r="PC141" s="950"/>
      <c r="PD141" s="950"/>
      <c r="PE141" s="950"/>
      <c r="PF141" s="950"/>
      <c r="PG141" s="950"/>
      <c r="PH141" s="950"/>
      <c r="PI141" s="950"/>
      <c r="PJ141" s="950"/>
      <c r="PK141" s="950"/>
      <c r="PL141" s="950"/>
      <c r="PM141" s="950"/>
      <c r="PN141" s="950"/>
      <c r="PO141" s="950"/>
      <c r="PP141" s="950"/>
      <c r="PQ141" s="950"/>
      <c r="PR141" s="950"/>
      <c r="PS141" s="950"/>
      <c r="PT141" s="950"/>
      <c r="PU141" s="950"/>
      <c r="PV141" s="950"/>
      <c r="PW141" s="950"/>
      <c r="PX141" s="950"/>
      <c r="PY141" s="950"/>
      <c r="PZ141" s="950"/>
      <c r="QA141" s="950"/>
      <c r="QB141" s="950"/>
      <c r="QC141" s="950"/>
      <c r="QD141" s="950"/>
      <c r="QE141" s="950"/>
      <c r="QF141" s="950"/>
      <c r="QG141" s="950"/>
      <c r="QH141" s="950"/>
      <c r="QI141" s="950"/>
      <c r="QJ141" s="950"/>
      <c r="QK141" s="950"/>
      <c r="QL141" s="950"/>
      <c r="QM141" s="950"/>
      <c r="QN141" s="950"/>
      <c r="QO141" s="950"/>
      <c r="QP141" s="950"/>
      <c r="QQ141" s="950"/>
      <c r="QR141" s="950"/>
      <c r="QS141" s="950"/>
      <c r="QT141" s="950"/>
      <c r="QU141" s="950"/>
      <c r="QV141" s="950"/>
      <c r="QW141" s="950"/>
      <c r="QX141" s="950"/>
      <c r="QY141" s="950"/>
      <c r="QZ141" s="950"/>
      <c r="RA141" s="950"/>
      <c r="RB141" s="950"/>
      <c r="RC141" s="950"/>
      <c r="RD141" s="950"/>
      <c r="RE141" s="950"/>
      <c r="RF141" s="950"/>
      <c r="RG141" s="950"/>
      <c r="RH141" s="950"/>
      <c r="RI141" s="950"/>
      <c r="RJ141" s="950"/>
      <c r="RK141" s="950"/>
      <c r="RL141" s="950"/>
      <c r="RM141" s="950"/>
      <c r="RN141" s="950"/>
      <c r="RO141" s="950"/>
      <c r="RP141" s="950"/>
      <c r="RQ141" s="950"/>
      <c r="RR141" s="950"/>
      <c r="RS141" s="950"/>
      <c r="RT141" s="950"/>
      <c r="RU141" s="950"/>
      <c r="RV141" s="950"/>
      <c r="RW141" s="950"/>
      <c r="RX141" s="950"/>
      <c r="RY141" s="950"/>
      <c r="RZ141" s="950"/>
      <c r="SA141" s="950"/>
      <c r="SB141" s="950"/>
      <c r="SC141" s="950"/>
      <c r="SD141" s="950"/>
      <c r="SE141" s="950"/>
      <c r="SF141" s="950"/>
      <c r="SG141" s="950"/>
      <c r="SH141" s="950"/>
      <c r="SI141" s="950"/>
      <c r="SJ141" s="950"/>
      <c r="SK141" s="950"/>
      <c r="SL141" s="950"/>
      <c r="SM141" s="950"/>
      <c r="SN141" s="950"/>
      <c r="SO141" s="950"/>
      <c r="SP141" s="950"/>
      <c r="SQ141" s="950"/>
      <c r="SR141" s="950"/>
      <c r="SS141" s="950"/>
      <c r="ST141" s="950"/>
      <c r="SU141" s="950"/>
      <c r="SV141" s="950"/>
      <c r="SW141" s="950"/>
      <c r="SX141" s="950"/>
      <c r="SY141" s="950"/>
      <c r="SZ141" s="950"/>
      <c r="TA141" s="950"/>
      <c r="TB141" s="950"/>
      <c r="TC141" s="950"/>
      <c r="TD141" s="950"/>
      <c r="TE141" s="950"/>
      <c r="TF141" s="950"/>
      <c r="TG141" s="950"/>
      <c r="TH141" s="950"/>
      <c r="TI141" s="950"/>
      <c r="TJ141" s="950"/>
      <c r="TK141" s="950"/>
      <c r="TL141" s="950"/>
      <c r="TM141" s="950"/>
      <c r="TN141" s="950"/>
      <c r="TO141" s="950"/>
      <c r="TP141" s="950"/>
      <c r="TQ141" s="950"/>
      <c r="TR141" s="950"/>
      <c r="TS141" s="950"/>
      <c r="TT141" s="950"/>
      <c r="TU141" s="950"/>
      <c r="TV141" s="950"/>
      <c r="TW141" s="950"/>
      <c r="TX141" s="950"/>
      <c r="TY141" s="950"/>
      <c r="TZ141" s="950"/>
      <c r="UA141" s="950"/>
      <c r="UB141" s="950"/>
      <c r="UC141" s="950"/>
      <c r="UD141" s="950"/>
      <c r="UE141" s="950"/>
      <c r="UF141" s="950"/>
      <c r="UG141" s="950"/>
      <c r="UH141" s="950"/>
      <c r="UI141" s="950"/>
      <c r="UJ141" s="950"/>
      <c r="UK141" s="950"/>
      <c r="UL141" s="950"/>
      <c r="UM141" s="950"/>
      <c r="UN141" s="950"/>
      <c r="UO141" s="950"/>
      <c r="UP141" s="950"/>
      <c r="UQ141" s="950"/>
      <c r="UR141" s="950"/>
      <c r="US141" s="950"/>
      <c r="UT141" s="950"/>
      <c r="UU141" s="950"/>
      <c r="UV141" s="950"/>
      <c r="UW141" s="950"/>
      <c r="UX141" s="950"/>
      <c r="UY141" s="950"/>
      <c r="UZ141" s="950"/>
      <c r="VA141" s="950"/>
      <c r="VB141" s="950"/>
      <c r="VC141" s="950"/>
      <c r="VD141" s="950"/>
      <c r="VE141" s="950"/>
      <c r="VF141" s="950"/>
      <c r="VG141" s="950"/>
      <c r="VH141" s="950"/>
      <c r="VI141" s="950"/>
      <c r="VJ141" s="950"/>
      <c r="VK141" s="950"/>
      <c r="VL141" s="950"/>
      <c r="VM141" s="950"/>
      <c r="VN141" s="950"/>
      <c r="VO141" s="950"/>
      <c r="VP141" s="950"/>
      <c r="VQ141" s="950"/>
      <c r="VR141" s="950"/>
      <c r="VS141" s="950"/>
      <c r="VT141" s="950"/>
      <c r="VU141" s="950"/>
      <c r="VV141" s="950"/>
      <c r="VW141" s="950"/>
      <c r="VX141" s="950"/>
      <c r="VY141" s="950"/>
      <c r="VZ141" s="950"/>
      <c r="WA141" s="950"/>
      <c r="WB141" s="950"/>
      <c r="WC141" s="950"/>
      <c r="WD141" s="950"/>
      <c r="WE141" s="950"/>
      <c r="WF141" s="950"/>
      <c r="WG141" s="950"/>
      <c r="WH141" s="950"/>
      <c r="WI141" s="950"/>
      <c r="WJ141" s="950"/>
      <c r="WK141" s="950"/>
      <c r="WL141" s="950"/>
      <c r="WM141" s="950"/>
      <c r="WN141" s="950"/>
      <c r="WO141" s="950"/>
      <c r="WP141" s="950"/>
      <c r="WQ141" s="950"/>
      <c r="WR141" s="950"/>
      <c r="WS141" s="950"/>
      <c r="WT141" s="950"/>
      <c r="WU141" s="950"/>
      <c r="WV141" s="950"/>
      <c r="WW141" s="950"/>
      <c r="WX141" s="950"/>
      <c r="WY141" s="950"/>
      <c r="WZ141" s="950"/>
      <c r="XA141" s="950"/>
      <c r="XB141" s="950"/>
      <c r="XC141" s="950"/>
      <c r="XD141" s="950"/>
      <c r="XE141" s="950"/>
      <c r="XF141" s="950"/>
      <c r="XG141" s="950"/>
      <c r="XH141" s="950"/>
      <c r="XI141" s="950"/>
      <c r="XJ141" s="950"/>
      <c r="XK141" s="950"/>
      <c r="XL141" s="950"/>
      <c r="XM141" s="950"/>
      <c r="XN141" s="950"/>
      <c r="XO141" s="950"/>
      <c r="XP141" s="950"/>
      <c r="XQ141" s="950"/>
      <c r="XR141" s="950"/>
      <c r="XS141" s="950"/>
      <c r="XT141" s="950"/>
      <c r="XU141" s="950"/>
      <c r="XV141" s="950"/>
      <c r="XW141" s="950"/>
      <c r="XX141" s="950"/>
      <c r="XY141" s="950"/>
      <c r="XZ141" s="950"/>
      <c r="YA141" s="950"/>
      <c r="YB141" s="950"/>
      <c r="YC141" s="950"/>
      <c r="YD141" s="950"/>
      <c r="YE141" s="950"/>
      <c r="YF141" s="950"/>
      <c r="YG141" s="950"/>
      <c r="YH141" s="950"/>
      <c r="YI141" s="950"/>
      <c r="YJ141" s="950"/>
      <c r="YK141" s="950"/>
      <c r="YL141" s="950"/>
      <c r="YM141" s="950"/>
      <c r="YN141" s="950"/>
      <c r="YO141" s="950"/>
      <c r="YP141" s="950"/>
      <c r="YQ141" s="950"/>
      <c r="YR141" s="950"/>
      <c r="YS141" s="950"/>
      <c r="YT141" s="950"/>
      <c r="YU141" s="950"/>
      <c r="YV141" s="950"/>
      <c r="YW141" s="950"/>
      <c r="YX141" s="950"/>
      <c r="YY141" s="950"/>
      <c r="YZ141" s="950"/>
      <c r="ZA141" s="950"/>
      <c r="ZB141" s="950"/>
      <c r="ZC141" s="950"/>
      <c r="ZD141" s="950"/>
      <c r="ZE141" s="950"/>
      <c r="ZF141" s="950"/>
      <c r="ZG141" s="950"/>
      <c r="ZH141" s="950"/>
      <c r="ZI141" s="950"/>
      <c r="ZJ141" s="950"/>
      <c r="ZK141" s="950"/>
      <c r="ZL141" s="950"/>
      <c r="ZM141" s="950"/>
      <c r="ZN141" s="950"/>
      <c r="ZO141" s="950"/>
      <c r="ZP141" s="950"/>
      <c r="ZQ141" s="950"/>
      <c r="ZR141" s="950"/>
      <c r="ZS141" s="950"/>
      <c r="ZT141" s="950"/>
      <c r="ZU141" s="950"/>
      <c r="ZV141" s="950"/>
      <c r="ZW141" s="950"/>
      <c r="ZX141" s="950"/>
      <c r="ZY141" s="950"/>
      <c r="ZZ141" s="950"/>
      <c r="AAA141" s="950"/>
      <c r="AAB141" s="950"/>
      <c r="AAC141" s="950"/>
      <c r="AAD141" s="950"/>
      <c r="AAE141" s="950"/>
      <c r="AAF141" s="950"/>
      <c r="AAG141" s="950"/>
      <c r="AAH141" s="950"/>
      <c r="AAI141" s="950"/>
      <c r="AAJ141" s="950"/>
      <c r="AAK141" s="950"/>
      <c r="AAL141" s="950"/>
      <c r="AAM141" s="950"/>
      <c r="AAN141" s="950"/>
      <c r="AAO141" s="950"/>
      <c r="AAP141" s="950"/>
      <c r="AAQ141" s="950"/>
      <c r="AAR141" s="950"/>
      <c r="AAS141" s="950"/>
      <c r="AAT141" s="950"/>
      <c r="AAU141" s="950"/>
      <c r="AAV141" s="950"/>
      <c r="AAW141" s="950"/>
      <c r="AAX141" s="950"/>
      <c r="AAY141" s="950"/>
      <c r="AAZ141" s="950"/>
      <c r="ABA141" s="950"/>
      <c r="ABB141" s="950"/>
      <c r="ABC141" s="950"/>
      <c r="ABD141" s="950"/>
      <c r="ABE141" s="950"/>
      <c r="ABF141" s="950"/>
      <c r="ABG141" s="950"/>
      <c r="ABH141" s="950"/>
      <c r="ABI141" s="950"/>
      <c r="ABJ141" s="950"/>
      <c r="ABK141" s="950"/>
      <c r="ABL141" s="950"/>
      <c r="ABM141" s="950"/>
      <c r="ABN141" s="950"/>
      <c r="ABO141" s="950"/>
      <c r="ABP141" s="950"/>
      <c r="ABQ141" s="950"/>
      <c r="ABR141" s="950"/>
      <c r="ABS141" s="950"/>
      <c r="ABT141" s="950"/>
      <c r="ABU141" s="950"/>
      <c r="ABV141" s="950"/>
      <c r="ABW141" s="950"/>
      <c r="ABX141" s="950"/>
      <c r="ABY141" s="950"/>
      <c r="ABZ141" s="950"/>
      <c r="ACA141" s="950"/>
      <c r="ACB141" s="950"/>
      <c r="ACC141" s="950"/>
      <c r="ACD141" s="950"/>
      <c r="ACE141" s="950"/>
      <c r="ACF141" s="950"/>
      <c r="ACG141" s="950"/>
      <c r="ACH141" s="950"/>
      <c r="ACI141" s="950"/>
      <c r="ACJ141" s="950"/>
      <c r="ACK141" s="950"/>
      <c r="ACL141" s="950"/>
      <c r="ACM141" s="950"/>
      <c r="ACN141" s="950"/>
      <c r="ACO141" s="950"/>
      <c r="ACP141" s="950"/>
      <c r="ACQ141" s="950"/>
      <c r="ACR141" s="950"/>
      <c r="ACS141" s="950"/>
      <c r="ACT141" s="950"/>
      <c r="ACU141" s="950"/>
      <c r="ACV141" s="950"/>
      <c r="ACW141" s="950"/>
      <c r="ACX141" s="950"/>
      <c r="ACY141" s="950"/>
      <c r="ACZ141" s="950"/>
      <c r="ADA141" s="950"/>
      <c r="ADB141" s="950"/>
      <c r="ADC141" s="950"/>
      <c r="ADD141" s="950"/>
      <c r="ADE141" s="950"/>
      <c r="ADF141" s="950"/>
      <c r="ADG141" s="950"/>
      <c r="ADH141" s="950"/>
      <c r="ADI141" s="950"/>
      <c r="ADJ141" s="950"/>
      <c r="ADK141" s="950"/>
      <c r="ADL141" s="950"/>
      <c r="ADM141" s="950"/>
      <c r="ADN141" s="950"/>
      <c r="ADO141" s="950"/>
      <c r="ADP141" s="950"/>
      <c r="ADQ141" s="950"/>
      <c r="ADR141" s="950"/>
      <c r="ADS141" s="950"/>
      <c r="ADT141" s="950"/>
      <c r="ADU141" s="950"/>
      <c r="ADV141" s="950"/>
      <c r="ADW141" s="950"/>
      <c r="ADX141" s="950"/>
      <c r="ADY141" s="950"/>
      <c r="ADZ141" s="950"/>
      <c r="AEA141" s="950"/>
      <c r="AEB141" s="950"/>
      <c r="AEC141" s="950"/>
      <c r="AED141" s="950"/>
      <c r="AEE141" s="950"/>
      <c r="AEF141" s="950"/>
      <c r="AEG141" s="950"/>
      <c r="AEH141" s="950"/>
      <c r="AEI141" s="950"/>
      <c r="AEJ141" s="950"/>
      <c r="AEK141" s="950"/>
      <c r="AEL141" s="950"/>
      <c r="AEM141" s="950"/>
      <c r="AEN141" s="950"/>
      <c r="AEO141" s="950"/>
      <c r="AEP141" s="950"/>
      <c r="AEQ141" s="950"/>
      <c r="AER141" s="950"/>
      <c r="AES141" s="950"/>
      <c r="AET141" s="950"/>
      <c r="AEU141" s="950"/>
      <c r="AEV141" s="950"/>
      <c r="AEW141" s="950"/>
      <c r="AEX141" s="950"/>
      <c r="AEY141" s="950"/>
      <c r="AEZ141" s="950"/>
      <c r="AFA141" s="950"/>
      <c r="AFB141" s="950"/>
      <c r="AFC141" s="950"/>
      <c r="AFD141" s="950"/>
      <c r="AFE141" s="950"/>
      <c r="AFF141" s="950"/>
      <c r="AFG141" s="950"/>
      <c r="AFH141" s="950"/>
      <c r="AFI141" s="950"/>
      <c r="AFJ141" s="950"/>
      <c r="AFK141" s="950"/>
      <c r="AFL141" s="950"/>
      <c r="AFM141" s="950"/>
      <c r="AFN141" s="950"/>
      <c r="AFO141" s="950"/>
      <c r="AFP141" s="950"/>
      <c r="AFQ141" s="950"/>
      <c r="AFR141" s="950"/>
      <c r="AFS141" s="950"/>
      <c r="AFT141" s="950"/>
      <c r="AFU141" s="950"/>
      <c r="AFV141" s="950"/>
      <c r="AFW141" s="950"/>
      <c r="AFX141" s="950"/>
      <c r="AFY141" s="950"/>
      <c r="AFZ141" s="950"/>
      <c r="AGA141" s="950"/>
      <c r="AGB141" s="950"/>
      <c r="AGC141" s="950"/>
      <c r="AGD141" s="950"/>
      <c r="AGE141" s="950"/>
      <c r="AGF141" s="950"/>
      <c r="AGG141" s="950"/>
      <c r="AGH141" s="950"/>
      <c r="AGI141" s="950"/>
      <c r="AGJ141" s="950"/>
      <c r="AGK141" s="950"/>
      <c r="AGL141" s="950"/>
      <c r="AGM141" s="950"/>
      <c r="AGN141" s="950"/>
      <c r="AGO141" s="950"/>
      <c r="AGP141" s="950"/>
      <c r="AGQ141" s="950"/>
      <c r="AGR141" s="950"/>
      <c r="AGS141" s="950"/>
      <c r="AGT141" s="950"/>
      <c r="AGU141" s="950"/>
      <c r="AGV141" s="950"/>
      <c r="AGW141" s="950"/>
      <c r="AGX141" s="950"/>
      <c r="AGY141" s="950"/>
      <c r="AGZ141" s="950"/>
      <c r="AHA141" s="950"/>
      <c r="AHB141" s="950"/>
      <c r="AHC141" s="950"/>
      <c r="AHD141" s="950"/>
      <c r="AHE141" s="950"/>
      <c r="AHF141" s="950"/>
      <c r="AHG141" s="950"/>
      <c r="AHH141" s="950"/>
      <c r="AHI141" s="950"/>
      <c r="AHJ141" s="950"/>
      <c r="AHK141" s="950"/>
      <c r="AHL141" s="950"/>
      <c r="AHM141" s="950"/>
      <c r="AHN141" s="950"/>
      <c r="AHO141" s="950"/>
      <c r="AHP141" s="950"/>
      <c r="AHQ141" s="950"/>
      <c r="AHR141" s="950"/>
      <c r="AHS141" s="950"/>
      <c r="AHT141" s="950"/>
      <c r="AHU141" s="950"/>
      <c r="AHV141" s="950"/>
      <c r="AHW141" s="950"/>
      <c r="AHX141" s="950"/>
      <c r="AHY141" s="950"/>
      <c r="AHZ141" s="950"/>
      <c r="AIA141" s="950"/>
      <c r="AIB141" s="950"/>
      <c r="AIC141" s="950"/>
      <c r="AID141" s="950"/>
      <c r="AIE141" s="950"/>
      <c r="AIF141" s="950"/>
      <c r="AIG141" s="950"/>
      <c r="AIH141" s="950"/>
      <c r="AII141" s="950"/>
      <c r="AIJ141" s="950"/>
      <c r="AIK141" s="950"/>
      <c r="AIL141" s="950"/>
      <c r="AIM141" s="950"/>
      <c r="AIN141" s="950"/>
      <c r="AIO141" s="950"/>
      <c r="AIP141" s="950"/>
      <c r="AIQ141" s="950"/>
      <c r="AIR141" s="950"/>
      <c r="AIS141" s="950"/>
      <c r="AIT141" s="950"/>
      <c r="AIU141" s="950"/>
      <c r="AIV141" s="950"/>
      <c r="AIW141" s="950"/>
      <c r="AIX141" s="950"/>
      <c r="AIY141" s="950"/>
      <c r="AIZ141" s="950"/>
      <c r="AJA141" s="950"/>
      <c r="AJB141" s="950"/>
      <c r="AJC141" s="950"/>
      <c r="AJD141" s="950"/>
      <c r="AJE141" s="950"/>
      <c r="AJF141" s="950"/>
      <c r="AJG141" s="950"/>
      <c r="AJH141" s="950"/>
      <c r="AJI141" s="950"/>
      <c r="AJJ141" s="950"/>
      <c r="AJK141" s="950"/>
      <c r="AJL141" s="950"/>
      <c r="AJM141" s="950"/>
      <c r="AJN141" s="950"/>
      <c r="AJO141" s="950"/>
      <c r="AJP141" s="950"/>
      <c r="AJQ141" s="950"/>
      <c r="AJR141" s="950"/>
      <c r="AJS141" s="950"/>
      <c r="AJT141" s="950"/>
      <c r="AJU141" s="950"/>
      <c r="AJV141" s="950"/>
      <c r="AJW141" s="950"/>
      <c r="AJX141" s="950"/>
      <c r="AJY141" s="950"/>
      <c r="AJZ141" s="950"/>
      <c r="AKA141" s="950"/>
      <c r="AKB141" s="950"/>
      <c r="AKC141" s="950"/>
      <c r="AKD141" s="950"/>
      <c r="AKE141" s="950"/>
      <c r="AKF141" s="950"/>
      <c r="AKG141" s="950"/>
      <c r="AKH141" s="950"/>
      <c r="AKI141" s="950"/>
      <c r="AKJ141" s="950"/>
      <c r="AKK141" s="950"/>
      <c r="AKL141" s="950"/>
      <c r="AKM141" s="950"/>
      <c r="AKN141" s="950"/>
      <c r="AKO141" s="950"/>
      <c r="AKP141" s="950"/>
      <c r="AKQ141" s="950"/>
      <c r="AKR141" s="950"/>
      <c r="AKS141" s="950"/>
      <c r="AKT141" s="950"/>
      <c r="AKU141" s="950"/>
      <c r="AKV141" s="950"/>
      <c r="AKW141" s="950"/>
      <c r="AKX141" s="950"/>
      <c r="AKY141" s="950"/>
      <c r="AKZ141" s="950"/>
      <c r="ALA141" s="950"/>
      <c r="ALB141" s="950"/>
      <c r="ALC141" s="950"/>
      <c r="ALD141" s="950"/>
      <c r="ALE141" s="950"/>
      <c r="ALF141" s="950"/>
      <c r="ALG141" s="950"/>
      <c r="ALH141" s="950"/>
      <c r="ALI141" s="950"/>
      <c r="ALJ141" s="950"/>
      <c r="ALK141" s="950"/>
      <c r="ALL141" s="950"/>
      <c r="ALM141" s="950"/>
      <c r="ALN141" s="950"/>
      <c r="ALO141" s="950"/>
      <c r="ALP141" s="950"/>
      <c r="ALQ141" s="950"/>
      <c r="ALR141" s="950"/>
      <c r="ALS141" s="950"/>
      <c r="ALT141" s="950"/>
      <c r="ALU141" s="950"/>
      <c r="ALV141" s="950"/>
      <c r="ALW141" s="950"/>
      <c r="ALX141" s="950"/>
      <c r="ALY141" s="950"/>
      <c r="ALZ141" s="950"/>
      <c r="AMA141" s="950"/>
      <c r="AMB141" s="950"/>
      <c r="AMC141" s="950"/>
      <c r="AMD141" s="950"/>
      <c r="AME141" s="950"/>
      <c r="AMF141" s="950"/>
      <c r="AMG141" s="950"/>
      <c r="AMH141" s="950"/>
      <c r="AMI141" s="950"/>
      <c r="AMJ141" s="950"/>
      <c r="AMK141" s="950"/>
      <c r="AML141" s="950"/>
      <c r="AMM141" s="950"/>
      <c r="AMN141" s="950"/>
      <c r="AMO141" s="950"/>
      <c r="AMP141" s="950"/>
      <c r="AMQ141" s="950"/>
      <c r="AMR141" s="950"/>
      <c r="AMS141" s="950"/>
      <c r="AMT141" s="950"/>
      <c r="AMU141" s="950"/>
      <c r="AMV141" s="950"/>
      <c r="AMW141" s="950"/>
      <c r="AMX141" s="950"/>
      <c r="AMY141" s="950"/>
      <c r="AMZ141" s="950"/>
      <c r="ANA141" s="950"/>
      <c r="ANB141" s="950"/>
      <c r="ANC141" s="950"/>
      <c r="AND141" s="950"/>
      <c r="ANE141" s="950"/>
      <c r="ANF141" s="950"/>
      <c r="ANG141" s="950"/>
      <c r="ANH141" s="950"/>
      <c r="ANI141" s="950"/>
      <c r="ANJ141" s="950"/>
      <c r="ANK141" s="950"/>
      <c r="ANL141" s="950"/>
      <c r="ANM141" s="950"/>
      <c r="ANN141" s="950"/>
      <c r="ANO141" s="950"/>
      <c r="ANP141" s="950"/>
      <c r="ANQ141" s="950"/>
      <c r="ANR141" s="950"/>
      <c r="ANS141" s="950"/>
      <c r="ANT141" s="950"/>
      <c r="ANU141" s="950"/>
      <c r="ANV141" s="950"/>
      <c r="ANW141" s="950"/>
      <c r="ANX141" s="950"/>
      <c r="ANY141" s="950"/>
      <c r="ANZ141" s="950"/>
      <c r="AOA141" s="950"/>
      <c r="AOB141" s="950"/>
      <c r="AOC141" s="950"/>
      <c r="AOD141" s="950"/>
      <c r="AOE141" s="950"/>
      <c r="AOF141" s="950"/>
      <c r="AOG141" s="950"/>
      <c r="AOH141" s="950"/>
      <c r="AOI141" s="950"/>
      <c r="AOJ141" s="950"/>
      <c r="AOK141" s="950"/>
      <c r="AOL141" s="950"/>
      <c r="AOM141" s="950"/>
      <c r="AON141" s="950"/>
      <c r="AOO141" s="950"/>
      <c r="AOP141" s="950"/>
      <c r="AOQ141" s="950"/>
      <c r="AOR141" s="950"/>
      <c r="AOS141" s="950"/>
      <c r="AOT141" s="950"/>
      <c r="AOU141" s="950"/>
      <c r="AOV141" s="950"/>
      <c r="AOW141" s="950"/>
      <c r="AOX141" s="950"/>
      <c r="AOY141" s="950"/>
      <c r="AOZ141" s="950"/>
      <c r="APA141" s="950"/>
      <c r="APB141" s="950"/>
      <c r="APC141" s="950"/>
      <c r="APD141" s="950"/>
      <c r="APE141" s="950"/>
      <c r="APF141" s="950"/>
      <c r="APG141" s="950"/>
      <c r="APH141" s="950"/>
      <c r="API141" s="950"/>
      <c r="APJ141" s="950"/>
      <c r="APK141" s="950"/>
      <c r="APL141" s="950"/>
      <c r="APM141" s="950"/>
      <c r="APN141" s="950"/>
      <c r="APO141" s="950"/>
      <c r="APP141" s="950"/>
      <c r="APQ141" s="950"/>
      <c r="APR141" s="950"/>
      <c r="APS141" s="950"/>
      <c r="APT141" s="950"/>
      <c r="APU141" s="950"/>
      <c r="APV141" s="950"/>
      <c r="APW141" s="950"/>
      <c r="APX141" s="950"/>
      <c r="APY141" s="950"/>
      <c r="APZ141" s="950"/>
      <c r="AQA141" s="950"/>
      <c r="AQB141" s="950"/>
      <c r="AQC141" s="950"/>
      <c r="AQD141" s="950"/>
      <c r="AQE141" s="950"/>
      <c r="AQF141" s="950"/>
      <c r="AQG141" s="950"/>
      <c r="AQH141" s="950"/>
      <c r="AQI141" s="950"/>
      <c r="AQJ141" s="950"/>
      <c r="AQK141" s="950"/>
      <c r="AQL141" s="950"/>
      <c r="AQM141" s="950"/>
      <c r="AQN141" s="950"/>
      <c r="AQO141" s="950"/>
      <c r="AQP141" s="950"/>
      <c r="AQQ141" s="950"/>
      <c r="AQR141" s="950"/>
      <c r="AQS141" s="950"/>
      <c r="AQT141" s="950"/>
      <c r="AQU141" s="950"/>
      <c r="AQV141" s="950"/>
      <c r="AQW141" s="950"/>
      <c r="AQX141" s="950"/>
      <c r="AQY141" s="950"/>
      <c r="AQZ141" s="950"/>
      <c r="ARA141" s="950"/>
      <c r="ARB141" s="950"/>
      <c r="ARC141" s="950"/>
      <c r="ARD141" s="950"/>
      <c r="ARE141" s="950"/>
      <c r="ARF141" s="950"/>
      <c r="ARG141" s="950"/>
      <c r="ARH141" s="950"/>
      <c r="ARI141" s="950"/>
      <c r="ARJ141" s="950"/>
      <c r="ARK141" s="950"/>
      <c r="ARL141" s="950"/>
      <c r="ARM141" s="950"/>
      <c r="ARN141" s="950"/>
      <c r="ARO141" s="950"/>
      <c r="ARP141" s="950"/>
      <c r="ARQ141" s="950"/>
      <c r="ARR141" s="950"/>
      <c r="ARS141" s="950"/>
      <c r="ART141" s="950"/>
      <c r="ARU141" s="950"/>
      <c r="ARV141" s="950"/>
      <c r="ARW141" s="950"/>
      <c r="ARX141" s="950"/>
      <c r="ARY141" s="950"/>
      <c r="ARZ141" s="950"/>
      <c r="ASA141" s="950"/>
      <c r="ASB141" s="950"/>
      <c r="ASC141" s="950"/>
      <c r="ASD141" s="950"/>
      <c r="ASE141" s="950"/>
      <c r="ASF141" s="950"/>
      <c r="ASG141" s="950"/>
      <c r="ASH141" s="950"/>
      <c r="ASI141" s="950"/>
      <c r="ASJ141" s="950"/>
      <c r="ASK141" s="950"/>
      <c r="ASL141" s="950"/>
      <c r="ASM141" s="950"/>
      <c r="ASN141" s="950"/>
      <c r="ASO141" s="950"/>
      <c r="ASP141" s="950"/>
      <c r="ASQ141" s="950"/>
      <c r="ASR141" s="950"/>
      <c r="ASS141" s="950"/>
      <c r="AST141" s="950"/>
      <c r="ASU141" s="950"/>
      <c r="ASV141" s="950"/>
      <c r="ASW141" s="950"/>
      <c r="ASX141" s="950"/>
      <c r="ASY141" s="950"/>
      <c r="ASZ141" s="950"/>
      <c r="ATA141" s="950"/>
      <c r="ATB141" s="950"/>
      <c r="ATC141" s="950"/>
      <c r="ATD141" s="950"/>
      <c r="ATE141" s="950"/>
      <c r="ATF141" s="950"/>
      <c r="ATG141" s="950"/>
      <c r="ATH141" s="950"/>
      <c r="ATI141" s="950"/>
      <c r="ATJ141" s="950"/>
      <c r="ATK141" s="950"/>
      <c r="ATL141" s="950"/>
      <c r="ATM141" s="950"/>
      <c r="ATN141" s="950"/>
      <c r="ATO141" s="950"/>
      <c r="ATP141" s="950"/>
      <c r="ATQ141" s="950"/>
      <c r="ATR141" s="950"/>
      <c r="ATS141" s="950"/>
      <c r="ATT141" s="950"/>
      <c r="ATU141" s="950"/>
      <c r="ATV141" s="950"/>
      <c r="ATW141" s="950"/>
      <c r="ATX141" s="950"/>
      <c r="ATY141" s="950"/>
      <c r="ATZ141" s="950"/>
      <c r="AUA141" s="950"/>
      <c r="AUB141" s="950"/>
      <c r="AUC141" s="950"/>
      <c r="AUD141" s="950"/>
      <c r="AUE141" s="950"/>
      <c r="AUF141" s="950"/>
      <c r="AUG141" s="950"/>
      <c r="AUH141" s="950"/>
      <c r="AUI141" s="950"/>
      <c r="AUJ141" s="950"/>
      <c r="AUK141" s="950"/>
      <c r="AUL141" s="950"/>
      <c r="AUM141" s="950"/>
      <c r="AUN141" s="950"/>
      <c r="AUO141" s="950"/>
      <c r="AUP141" s="950"/>
      <c r="AUQ141" s="950"/>
      <c r="AUR141" s="950"/>
      <c r="AUS141" s="950"/>
      <c r="AUT141" s="950"/>
      <c r="AUU141" s="950"/>
      <c r="AUV141" s="950"/>
      <c r="AUW141" s="950"/>
      <c r="AUX141" s="950"/>
      <c r="AUY141" s="950"/>
      <c r="AUZ141" s="950"/>
      <c r="AVA141" s="950"/>
      <c r="AVB141" s="950"/>
      <c r="AVC141" s="950"/>
      <c r="AVD141" s="950"/>
      <c r="AVE141" s="950"/>
      <c r="AVF141" s="950"/>
      <c r="AVG141" s="950"/>
      <c r="AVH141" s="950"/>
      <c r="AVI141" s="950"/>
      <c r="AVJ141" s="950"/>
      <c r="AVK141" s="950"/>
      <c r="AVL141" s="950"/>
      <c r="AVM141" s="950"/>
      <c r="AVN141" s="950"/>
      <c r="AVO141" s="950"/>
      <c r="AVP141" s="950"/>
      <c r="AVQ141" s="950"/>
      <c r="AVR141" s="950"/>
      <c r="AVS141" s="950"/>
      <c r="AVT141" s="950"/>
      <c r="AVU141" s="950"/>
      <c r="AVV141" s="950"/>
      <c r="AVW141" s="950"/>
      <c r="AVX141" s="950"/>
      <c r="AVY141" s="950"/>
      <c r="AVZ141" s="950"/>
      <c r="AWA141" s="950"/>
      <c r="AWB141" s="950"/>
      <c r="AWC141" s="950"/>
      <c r="AWD141" s="950"/>
      <c r="AWE141" s="950"/>
      <c r="AWF141" s="950"/>
      <c r="AWG141" s="950"/>
      <c r="AWH141" s="950"/>
      <c r="AWI141" s="950"/>
      <c r="AWJ141" s="950"/>
      <c r="AWK141" s="950"/>
      <c r="AWL141" s="950"/>
      <c r="AWM141" s="950"/>
      <c r="AWN141" s="950"/>
      <c r="AWO141" s="950"/>
      <c r="AWP141" s="950"/>
      <c r="AWQ141" s="950"/>
      <c r="AWR141" s="950"/>
      <c r="AWS141" s="950"/>
      <c r="AWT141" s="950"/>
      <c r="AWU141" s="950"/>
      <c r="AWV141" s="950"/>
      <c r="AWW141" s="950"/>
      <c r="AWX141" s="950"/>
      <c r="AWY141" s="950"/>
      <c r="AWZ141" s="950"/>
      <c r="AXA141" s="950"/>
      <c r="AXB141" s="950"/>
      <c r="AXC141" s="950"/>
      <c r="AXD141" s="950"/>
      <c r="AXE141" s="950"/>
      <c r="AXF141" s="950"/>
      <c r="AXG141" s="950"/>
      <c r="AXH141" s="950"/>
      <c r="AXI141" s="950"/>
      <c r="AXJ141" s="950"/>
      <c r="AXK141" s="950"/>
      <c r="AXL141" s="950"/>
      <c r="AXM141" s="950"/>
      <c r="AXN141" s="950"/>
      <c r="AXO141" s="950"/>
      <c r="AXP141" s="950"/>
      <c r="AXQ141" s="950"/>
      <c r="AXR141" s="950"/>
      <c r="AXS141" s="950"/>
      <c r="AXT141" s="950"/>
      <c r="AXU141" s="950"/>
      <c r="AXV141" s="950"/>
      <c r="AXW141" s="950"/>
      <c r="AXX141" s="950"/>
      <c r="AXY141" s="950"/>
      <c r="AXZ141" s="950"/>
      <c r="AYA141" s="950"/>
      <c r="AYB141" s="950"/>
      <c r="AYC141" s="950"/>
      <c r="AYD141" s="950"/>
      <c r="AYE141" s="950"/>
      <c r="AYF141" s="950"/>
      <c r="AYG141" s="950"/>
      <c r="AYH141" s="950"/>
      <c r="AYI141" s="950"/>
      <c r="AYJ141" s="950"/>
      <c r="AYK141" s="950"/>
      <c r="AYL141" s="950"/>
      <c r="AYM141" s="950"/>
      <c r="AYN141" s="950"/>
      <c r="AYO141" s="950"/>
      <c r="AYP141" s="950"/>
      <c r="AYQ141" s="950"/>
      <c r="AYR141" s="950"/>
      <c r="AYS141" s="950"/>
      <c r="AYT141" s="950"/>
      <c r="AYU141" s="950"/>
      <c r="AYV141" s="950"/>
      <c r="AYW141" s="950"/>
      <c r="AYX141" s="950"/>
      <c r="AYY141" s="950"/>
      <c r="AYZ141" s="950"/>
      <c r="AZA141" s="950"/>
      <c r="AZB141" s="950"/>
      <c r="AZC141" s="950"/>
      <c r="AZD141" s="950"/>
      <c r="AZE141" s="950"/>
      <c r="AZF141" s="950"/>
      <c r="AZG141" s="950"/>
      <c r="AZH141" s="950"/>
      <c r="AZI141" s="950"/>
      <c r="AZJ141" s="950"/>
      <c r="AZK141" s="950"/>
      <c r="AZL141" s="950"/>
      <c r="AZM141" s="950"/>
      <c r="AZN141" s="950"/>
      <c r="AZO141" s="950"/>
      <c r="AZP141" s="950"/>
      <c r="AZQ141" s="950"/>
      <c r="AZR141" s="950"/>
      <c r="AZS141" s="950"/>
      <c r="AZT141" s="950"/>
      <c r="AZU141" s="950"/>
      <c r="AZV141" s="950"/>
      <c r="AZW141" s="950"/>
      <c r="AZX141" s="950"/>
      <c r="AZY141" s="950"/>
      <c r="AZZ141" s="950"/>
      <c r="BAA141" s="950"/>
      <c r="BAB141" s="950"/>
      <c r="BAC141" s="950"/>
      <c r="BAD141" s="950"/>
      <c r="BAE141" s="950"/>
      <c r="BAF141" s="950"/>
      <c r="BAG141" s="950"/>
      <c r="BAH141" s="950"/>
      <c r="BAI141" s="950"/>
      <c r="BAJ141" s="950"/>
      <c r="BAK141" s="950"/>
      <c r="BAL141" s="950"/>
      <c r="BAM141" s="950"/>
      <c r="BAN141" s="950"/>
      <c r="BAO141" s="950"/>
      <c r="BAP141" s="950"/>
      <c r="BAQ141" s="950"/>
      <c r="BAR141" s="950"/>
      <c r="BAS141" s="950"/>
      <c r="BAT141" s="950"/>
      <c r="BAU141" s="950"/>
      <c r="BAV141" s="950"/>
      <c r="BAW141" s="950"/>
      <c r="BAX141" s="950"/>
      <c r="BAY141" s="950"/>
      <c r="BAZ141" s="950"/>
      <c r="BBA141" s="950"/>
      <c r="BBB141" s="950"/>
      <c r="BBC141" s="950"/>
      <c r="BBD141" s="950"/>
      <c r="BBE141" s="950"/>
      <c r="BBF141" s="950"/>
      <c r="BBG141" s="950"/>
      <c r="BBH141" s="950"/>
      <c r="BBI141" s="950"/>
      <c r="BBJ141" s="950"/>
      <c r="BBK141" s="950"/>
      <c r="BBL141" s="950"/>
      <c r="BBM141" s="950"/>
      <c r="BBN141" s="950"/>
      <c r="BBO141" s="950"/>
      <c r="BBP141" s="950"/>
      <c r="BBQ141" s="950"/>
      <c r="BBR141" s="950"/>
      <c r="BBS141" s="950"/>
      <c r="BBT141" s="950"/>
      <c r="BBU141" s="950"/>
      <c r="BBV141" s="950"/>
      <c r="BBW141" s="950"/>
      <c r="BBX141" s="950"/>
      <c r="BBY141" s="950"/>
      <c r="BBZ141" s="950"/>
      <c r="BCA141" s="950"/>
      <c r="BCB141" s="950"/>
      <c r="BCC141" s="950"/>
      <c r="BCD141" s="950"/>
      <c r="BCE141" s="950"/>
      <c r="BCF141" s="950"/>
      <c r="BCG141" s="950"/>
      <c r="BCH141" s="950"/>
      <c r="BCI141" s="950"/>
      <c r="BCJ141" s="950"/>
      <c r="BCK141" s="950"/>
      <c r="BCL141" s="950"/>
      <c r="BCM141" s="950"/>
      <c r="BCN141" s="950"/>
      <c r="BCO141" s="950"/>
      <c r="BCP141" s="950"/>
      <c r="BCQ141" s="950"/>
      <c r="BCR141" s="950"/>
      <c r="BCS141" s="950"/>
      <c r="BCT141" s="950"/>
      <c r="BCU141" s="950"/>
      <c r="BCV141" s="950"/>
      <c r="BCW141" s="950"/>
      <c r="BCX141" s="950"/>
      <c r="BCY141" s="950"/>
      <c r="BCZ141" s="950"/>
      <c r="BDA141" s="950"/>
      <c r="BDB141" s="950"/>
      <c r="BDC141" s="950"/>
      <c r="BDD141" s="950"/>
      <c r="BDE141" s="950"/>
      <c r="BDF141" s="950"/>
      <c r="BDG141" s="950"/>
      <c r="BDH141" s="950"/>
      <c r="BDI141" s="950"/>
      <c r="BDJ141" s="950"/>
      <c r="BDK141" s="950"/>
      <c r="BDL141" s="950"/>
      <c r="BDM141" s="950"/>
      <c r="BDN141" s="950"/>
      <c r="BDO141" s="950"/>
      <c r="BDP141" s="950"/>
      <c r="BDQ141" s="950"/>
      <c r="BDR141" s="950"/>
      <c r="BDS141" s="950"/>
      <c r="BDT141" s="950"/>
      <c r="BDU141" s="950"/>
      <c r="BDV141" s="950"/>
      <c r="BDW141" s="950"/>
      <c r="BDX141" s="950"/>
      <c r="BDY141" s="950"/>
      <c r="BDZ141" s="950"/>
      <c r="BEA141" s="950"/>
      <c r="BEB141" s="950"/>
      <c r="BEC141" s="950"/>
      <c r="BED141" s="950"/>
      <c r="BEE141" s="950"/>
      <c r="BEF141" s="950"/>
      <c r="BEG141" s="950"/>
      <c r="BEH141" s="950"/>
      <c r="BEI141" s="950"/>
      <c r="BEJ141" s="950"/>
      <c r="BEK141" s="950"/>
      <c r="BEL141" s="950"/>
      <c r="BEM141" s="950"/>
      <c r="BEN141" s="950"/>
      <c r="BEO141" s="950"/>
      <c r="BEP141" s="950"/>
      <c r="BEQ141" s="950"/>
      <c r="BER141" s="950"/>
      <c r="BES141" s="950"/>
      <c r="BET141" s="950"/>
      <c r="BEU141" s="950"/>
      <c r="BEV141" s="950"/>
      <c r="BEW141" s="950"/>
      <c r="BEX141" s="950"/>
      <c r="BEY141" s="950"/>
      <c r="BEZ141" s="950"/>
      <c r="BFA141" s="950"/>
      <c r="BFB141" s="950"/>
      <c r="BFC141" s="950"/>
      <c r="BFD141" s="950"/>
      <c r="BFE141" s="950"/>
      <c r="BFF141" s="950"/>
      <c r="BFG141" s="950"/>
      <c r="BFH141" s="950"/>
      <c r="BFI141" s="950"/>
      <c r="BFJ141" s="950"/>
      <c r="BFK141" s="950"/>
      <c r="BFL141" s="950"/>
      <c r="BFM141" s="950"/>
      <c r="BFN141" s="950"/>
      <c r="BFO141" s="950"/>
      <c r="BFP141" s="950"/>
      <c r="BFQ141" s="950"/>
      <c r="BFR141" s="950"/>
      <c r="BFS141" s="950"/>
      <c r="BFT141" s="950"/>
      <c r="BFU141" s="950"/>
      <c r="BFV141" s="950"/>
      <c r="BFW141" s="950"/>
      <c r="BFX141" s="950"/>
      <c r="BFY141" s="950"/>
      <c r="BFZ141" s="950"/>
      <c r="BGA141" s="950"/>
      <c r="BGB141" s="950"/>
      <c r="BGC141" s="950"/>
      <c r="BGD141" s="950"/>
      <c r="BGE141" s="950"/>
      <c r="BGF141" s="950"/>
      <c r="BGG141" s="950"/>
      <c r="BGH141" s="950"/>
      <c r="BGI141" s="950"/>
      <c r="BGJ141" s="950"/>
      <c r="BGK141" s="950"/>
      <c r="BGL141" s="950"/>
      <c r="BGM141" s="950"/>
      <c r="BGN141" s="950"/>
      <c r="BGO141" s="950"/>
      <c r="BGP141" s="950"/>
      <c r="BGQ141" s="950"/>
      <c r="BGR141" s="950"/>
      <c r="BGS141" s="950"/>
      <c r="BGT141" s="950"/>
      <c r="BGU141" s="950"/>
      <c r="BGV141" s="950"/>
      <c r="BGW141" s="950"/>
      <c r="BGX141" s="950"/>
      <c r="BGY141" s="950"/>
      <c r="BGZ141" s="950"/>
      <c r="BHA141" s="950"/>
      <c r="BHB141" s="950"/>
      <c r="BHC141" s="950"/>
      <c r="BHD141" s="950"/>
      <c r="BHE141" s="950"/>
      <c r="BHF141" s="950"/>
      <c r="BHG141" s="950"/>
      <c r="BHH141" s="950"/>
      <c r="BHI141" s="950"/>
      <c r="BHJ141" s="950"/>
      <c r="BHK141" s="950"/>
      <c r="BHL141" s="950"/>
      <c r="BHM141" s="950"/>
      <c r="BHN141" s="950"/>
      <c r="BHO141" s="950"/>
      <c r="BHP141" s="950"/>
      <c r="BHQ141" s="950"/>
      <c r="BHR141" s="950"/>
      <c r="BHS141" s="950"/>
      <c r="BHT141" s="950"/>
      <c r="BHU141" s="950"/>
      <c r="BHV141" s="950"/>
      <c r="BHW141" s="950"/>
      <c r="BHX141" s="950"/>
      <c r="BHY141" s="950"/>
      <c r="BHZ141" s="950"/>
      <c r="BIA141" s="950"/>
      <c r="BIB141" s="950"/>
      <c r="BIC141" s="950"/>
      <c r="BID141" s="950"/>
      <c r="BIE141" s="950"/>
      <c r="BIF141" s="950"/>
      <c r="BIG141" s="950"/>
      <c r="BIH141" s="950"/>
      <c r="BII141" s="950"/>
      <c r="BIJ141" s="950"/>
      <c r="BIK141" s="950"/>
      <c r="BIL141" s="950"/>
      <c r="BIM141" s="950"/>
      <c r="BIN141" s="950"/>
      <c r="BIO141" s="950"/>
      <c r="BIP141" s="950"/>
      <c r="BIQ141" s="950"/>
      <c r="BIR141" s="950"/>
      <c r="BIS141" s="950"/>
      <c r="BIT141" s="950"/>
      <c r="BIU141" s="950"/>
      <c r="BIV141" s="950"/>
      <c r="BIW141" s="950"/>
      <c r="BIX141" s="950"/>
      <c r="BIY141" s="950"/>
      <c r="BIZ141" s="950"/>
      <c r="BJA141" s="950"/>
      <c r="BJB141" s="950"/>
      <c r="BJC141" s="950"/>
      <c r="BJD141" s="950"/>
      <c r="BJE141" s="950"/>
      <c r="BJF141" s="950"/>
      <c r="BJG141" s="950"/>
      <c r="BJH141" s="950"/>
      <c r="BJI141" s="950"/>
      <c r="BJJ141" s="950"/>
      <c r="BJK141" s="950"/>
      <c r="BJL141" s="950"/>
      <c r="BJM141" s="950"/>
      <c r="BJN141" s="950"/>
      <c r="BJO141" s="950"/>
      <c r="BJP141" s="950"/>
      <c r="BJQ141" s="950"/>
      <c r="BJR141" s="950"/>
      <c r="BJS141" s="950"/>
      <c r="BJT141" s="950"/>
      <c r="BJU141" s="950"/>
      <c r="BJV141" s="950"/>
      <c r="BJW141" s="950"/>
      <c r="BJX141" s="950"/>
      <c r="BJY141" s="950"/>
      <c r="BJZ141" s="950"/>
      <c r="BKA141" s="950"/>
      <c r="BKB141" s="950"/>
      <c r="BKC141" s="950"/>
      <c r="BKD141" s="950"/>
      <c r="BKE141" s="950"/>
      <c r="BKF141" s="950"/>
      <c r="BKG141" s="950"/>
      <c r="BKH141" s="950"/>
      <c r="BKI141" s="950"/>
      <c r="BKJ141" s="950"/>
      <c r="BKK141" s="950"/>
      <c r="BKL141" s="950"/>
      <c r="BKM141" s="950"/>
      <c r="BKN141" s="950"/>
      <c r="BKO141" s="950"/>
      <c r="BKP141" s="950"/>
      <c r="BKQ141" s="950"/>
      <c r="BKR141" s="950"/>
      <c r="BKS141" s="950"/>
      <c r="BKT141" s="950"/>
      <c r="BKU141" s="950"/>
      <c r="BKV141" s="950"/>
      <c r="BKW141" s="950"/>
      <c r="BKX141" s="950"/>
      <c r="BKY141" s="950"/>
      <c r="BKZ141" s="950"/>
      <c r="BLA141" s="950"/>
      <c r="BLB141" s="950"/>
      <c r="BLC141" s="950"/>
      <c r="BLD141" s="950"/>
      <c r="BLE141" s="950"/>
      <c r="BLF141" s="950"/>
      <c r="BLG141" s="950"/>
      <c r="BLH141" s="950"/>
      <c r="BLI141" s="950"/>
      <c r="BLJ141" s="950"/>
      <c r="BLK141" s="950"/>
      <c r="BLL141" s="950"/>
      <c r="BLM141" s="950"/>
      <c r="BLN141" s="950"/>
      <c r="BLO141" s="950"/>
      <c r="BLP141" s="950"/>
      <c r="BLQ141" s="950"/>
      <c r="BLR141" s="950"/>
      <c r="BLS141" s="950"/>
      <c r="BLT141" s="950"/>
      <c r="BLU141" s="950"/>
      <c r="BLV141" s="950"/>
      <c r="BLW141" s="950"/>
      <c r="BLX141" s="950"/>
      <c r="BLY141" s="950"/>
      <c r="BLZ141" s="950"/>
      <c r="BMA141" s="950"/>
      <c r="BMB141" s="950"/>
      <c r="BMC141" s="950"/>
      <c r="BMD141" s="950"/>
      <c r="BME141" s="950"/>
      <c r="BMF141" s="950"/>
      <c r="BMG141" s="950"/>
      <c r="BMH141" s="950"/>
      <c r="BMI141" s="950"/>
      <c r="BMJ141" s="950"/>
      <c r="BMK141" s="950"/>
      <c r="BML141" s="950"/>
      <c r="BMM141" s="950"/>
      <c r="BMN141" s="950"/>
      <c r="BMO141" s="950"/>
      <c r="BMP141" s="950"/>
      <c r="BMQ141" s="950"/>
      <c r="BMR141" s="950"/>
      <c r="BMS141" s="950"/>
      <c r="BMT141" s="950"/>
      <c r="BMU141" s="950"/>
      <c r="BMV141" s="950"/>
      <c r="BMW141" s="950"/>
      <c r="BMX141" s="950"/>
      <c r="BMY141" s="950"/>
      <c r="BMZ141" s="950"/>
      <c r="BNA141" s="950"/>
      <c r="BNB141" s="950"/>
      <c r="BNC141" s="950"/>
      <c r="BND141" s="950"/>
      <c r="BNE141" s="950"/>
      <c r="BNF141" s="950"/>
      <c r="BNG141" s="950"/>
      <c r="BNH141" s="950"/>
      <c r="BNI141" s="950"/>
      <c r="BNJ141" s="950"/>
      <c r="BNK141" s="950"/>
      <c r="BNL141" s="950"/>
      <c r="BNM141" s="950"/>
      <c r="BNN141" s="950"/>
      <c r="BNO141" s="950"/>
      <c r="BNP141" s="950"/>
      <c r="BNQ141" s="950"/>
      <c r="BNR141" s="950"/>
      <c r="BNS141" s="950"/>
      <c r="BNT141" s="950"/>
      <c r="BNU141" s="950"/>
      <c r="BNV141" s="950"/>
      <c r="BNW141" s="950"/>
      <c r="BNX141" s="950"/>
      <c r="BNY141" s="950"/>
      <c r="BNZ141" s="950"/>
      <c r="BOA141" s="950"/>
      <c r="BOB141" s="950"/>
      <c r="BOC141" s="950"/>
      <c r="BOD141" s="950"/>
      <c r="BOE141" s="950"/>
      <c r="BOF141" s="950"/>
      <c r="BOG141" s="950"/>
      <c r="BOH141" s="950"/>
      <c r="BOI141" s="950"/>
      <c r="BOJ141" s="950"/>
      <c r="BOK141" s="950"/>
      <c r="BOL141" s="950"/>
      <c r="BOM141" s="950"/>
      <c r="BON141" s="950"/>
      <c r="BOO141" s="950"/>
      <c r="BOP141" s="950"/>
      <c r="BOQ141" s="950"/>
      <c r="BOR141" s="950"/>
      <c r="BOS141" s="950"/>
      <c r="BOT141" s="950"/>
      <c r="BOU141" s="950"/>
      <c r="BOV141" s="950"/>
      <c r="BOW141" s="950"/>
      <c r="BOX141" s="950"/>
      <c r="BOY141" s="950"/>
      <c r="BOZ141" s="950"/>
      <c r="BPA141" s="950"/>
      <c r="BPB141" s="950"/>
      <c r="BPC141" s="950"/>
      <c r="BPD141" s="950"/>
      <c r="BPE141" s="950"/>
      <c r="BPF141" s="950"/>
      <c r="BPG141" s="950"/>
      <c r="BPH141" s="950"/>
      <c r="BPI141" s="950"/>
      <c r="BPJ141" s="950"/>
      <c r="BPK141" s="950"/>
      <c r="BPL141" s="950"/>
      <c r="BPM141" s="950"/>
      <c r="BPN141" s="950"/>
      <c r="BPO141" s="950"/>
      <c r="BPP141" s="950"/>
      <c r="BPQ141" s="950"/>
      <c r="BPR141" s="950"/>
      <c r="BPS141" s="950"/>
      <c r="BPT141" s="950"/>
      <c r="BPU141" s="950"/>
      <c r="BPV141" s="950"/>
      <c r="BPW141" s="950"/>
      <c r="BPX141" s="950"/>
      <c r="BPY141" s="950"/>
      <c r="BPZ141" s="950"/>
      <c r="BQA141" s="950"/>
      <c r="BQB141" s="950"/>
      <c r="BQC141" s="950"/>
      <c r="BQD141" s="950"/>
      <c r="BQE141" s="950"/>
      <c r="BQF141" s="950"/>
      <c r="BQG141" s="950"/>
      <c r="BQH141" s="950"/>
      <c r="BQI141" s="950"/>
      <c r="BQJ141" s="950"/>
      <c r="BQK141" s="950"/>
      <c r="BQL141" s="950"/>
      <c r="BQM141" s="950"/>
      <c r="BQN141" s="950"/>
      <c r="BQO141" s="950"/>
      <c r="BQP141" s="950"/>
      <c r="BQQ141" s="950"/>
      <c r="BQR141" s="950"/>
      <c r="BQS141" s="950"/>
      <c r="BQT141" s="950"/>
      <c r="BQU141" s="950"/>
      <c r="BQV141" s="950"/>
      <c r="BQW141" s="950"/>
      <c r="BQX141" s="950"/>
      <c r="BQY141" s="950"/>
      <c r="BQZ141" s="950"/>
      <c r="BRA141" s="950"/>
      <c r="BRB141" s="950"/>
      <c r="BRC141" s="950"/>
      <c r="BRD141" s="950"/>
      <c r="BRE141" s="950"/>
      <c r="BRF141" s="950"/>
      <c r="BRG141" s="950"/>
      <c r="BRH141" s="950"/>
      <c r="BRI141" s="950"/>
      <c r="BRJ141" s="950"/>
      <c r="BRK141" s="950"/>
      <c r="BRL141" s="950"/>
      <c r="BRM141" s="950"/>
      <c r="BRN141" s="950"/>
      <c r="BRO141" s="950"/>
      <c r="BRP141" s="950"/>
      <c r="BRQ141" s="950"/>
      <c r="BRR141" s="950"/>
      <c r="BRS141" s="950"/>
      <c r="BRT141" s="950"/>
      <c r="BRU141" s="950"/>
      <c r="BRV141" s="950"/>
      <c r="BRW141" s="950"/>
      <c r="BRX141" s="950"/>
      <c r="BRY141" s="950"/>
      <c r="BRZ141" s="950"/>
      <c r="BSA141" s="950"/>
      <c r="BSB141" s="950"/>
      <c r="BSC141" s="950"/>
      <c r="BSD141" s="950"/>
      <c r="BSE141" s="950"/>
      <c r="BSF141" s="950"/>
      <c r="BSG141" s="950"/>
      <c r="BSH141" s="950"/>
      <c r="BSI141" s="950"/>
      <c r="BSJ141" s="950"/>
      <c r="BSK141" s="950"/>
      <c r="BSL141" s="950"/>
      <c r="BSM141" s="950"/>
      <c r="BSN141" s="950"/>
      <c r="BSO141" s="950"/>
      <c r="BSP141" s="950"/>
      <c r="BSQ141" s="950"/>
      <c r="BSR141" s="950"/>
      <c r="BSS141" s="950"/>
      <c r="BST141" s="950"/>
      <c r="BSU141" s="950"/>
      <c r="BSV141" s="950"/>
      <c r="BSW141" s="950"/>
      <c r="BSX141" s="950"/>
      <c r="BSY141" s="950"/>
      <c r="BSZ141" s="950"/>
      <c r="BTA141" s="950"/>
      <c r="BTB141" s="950"/>
      <c r="BTC141" s="950"/>
      <c r="BTD141" s="950"/>
      <c r="BTE141" s="950"/>
      <c r="BTF141" s="950"/>
      <c r="BTG141" s="950"/>
      <c r="BTH141" s="950"/>
      <c r="BTI141" s="950"/>
      <c r="BTJ141" s="950"/>
      <c r="BTK141" s="950"/>
      <c r="BTL141" s="950"/>
      <c r="BTM141" s="950"/>
      <c r="BTN141" s="950"/>
      <c r="BTO141" s="950"/>
      <c r="BTP141" s="950"/>
      <c r="BTQ141" s="950"/>
      <c r="BTR141" s="950"/>
      <c r="BTS141" s="950"/>
      <c r="BTT141" s="950"/>
      <c r="BTU141" s="950"/>
      <c r="BTV141" s="950"/>
      <c r="BTW141" s="950"/>
      <c r="BTX141" s="950"/>
      <c r="BTY141" s="950"/>
      <c r="BTZ141" s="950"/>
      <c r="BUA141" s="950"/>
      <c r="BUB141" s="950"/>
      <c r="BUC141" s="950"/>
      <c r="BUD141" s="950"/>
      <c r="BUE141" s="950"/>
      <c r="BUF141" s="950"/>
      <c r="BUG141" s="950"/>
      <c r="BUH141" s="950"/>
      <c r="BUI141" s="950"/>
      <c r="BUJ141" s="950"/>
      <c r="BUK141" s="950"/>
      <c r="BUL141" s="950"/>
      <c r="BUM141" s="950"/>
      <c r="BUN141" s="950"/>
      <c r="BUO141" s="950"/>
      <c r="BUP141" s="950"/>
      <c r="BUQ141" s="950"/>
      <c r="BUR141" s="950"/>
      <c r="BUS141" s="950"/>
      <c r="BUT141" s="950"/>
      <c r="BUU141" s="950"/>
      <c r="BUV141" s="950"/>
      <c r="BUW141" s="950"/>
      <c r="BUX141" s="950"/>
      <c r="BUY141" s="950"/>
      <c r="BUZ141" s="950"/>
      <c r="BVA141" s="950"/>
      <c r="BVB141" s="950"/>
      <c r="BVC141" s="950"/>
      <c r="BVD141" s="950"/>
      <c r="BVE141" s="950"/>
      <c r="BVF141" s="950"/>
      <c r="BVG141" s="950"/>
      <c r="BVH141" s="950"/>
      <c r="BVI141" s="950"/>
      <c r="BVJ141" s="950"/>
      <c r="BVK141" s="950"/>
      <c r="BVL141" s="950"/>
      <c r="BVM141" s="950"/>
      <c r="BVN141" s="950"/>
      <c r="BVO141" s="950"/>
      <c r="BVP141" s="950"/>
      <c r="BVQ141" s="950"/>
      <c r="BVR141" s="950"/>
      <c r="BVS141" s="950"/>
      <c r="BVT141" s="950"/>
      <c r="BVU141" s="950"/>
      <c r="BVV141" s="950"/>
      <c r="BVW141" s="950"/>
      <c r="BVX141" s="950"/>
      <c r="BVY141" s="950"/>
      <c r="BVZ141" s="950"/>
      <c r="BWA141" s="950"/>
      <c r="BWB141" s="950"/>
      <c r="BWC141" s="950"/>
      <c r="BWD141" s="950"/>
      <c r="BWE141" s="950"/>
      <c r="BWF141" s="950"/>
      <c r="BWG141" s="950"/>
      <c r="BWH141" s="950"/>
      <c r="BWI141" s="950"/>
      <c r="BWJ141" s="950"/>
      <c r="BWK141" s="950"/>
      <c r="BWL141" s="950"/>
      <c r="BWM141" s="950"/>
      <c r="BWN141" s="950"/>
      <c r="BWO141" s="950"/>
      <c r="BWP141" s="950"/>
      <c r="BWQ141" s="950"/>
      <c r="BWR141" s="950"/>
      <c r="BWS141" s="950"/>
      <c r="BWT141" s="950"/>
      <c r="BWU141" s="950"/>
      <c r="BWV141" s="950"/>
      <c r="BWW141" s="950"/>
      <c r="BWX141" s="950"/>
      <c r="BWY141" s="950"/>
      <c r="BWZ141" s="950"/>
      <c r="BXA141" s="950"/>
      <c r="BXB141" s="950"/>
      <c r="BXC141" s="950"/>
      <c r="BXD141" s="950"/>
      <c r="BXE141" s="950"/>
      <c r="BXF141" s="950"/>
      <c r="BXG141" s="950"/>
      <c r="BXH141" s="950"/>
      <c r="BXI141" s="950"/>
      <c r="BXJ141" s="950"/>
      <c r="BXK141" s="950"/>
      <c r="BXL141" s="950"/>
      <c r="BXM141" s="950"/>
      <c r="BXN141" s="950"/>
      <c r="BXO141" s="950"/>
      <c r="BXP141" s="950"/>
      <c r="BXQ141" s="950"/>
      <c r="BXR141" s="950"/>
      <c r="BXS141" s="950"/>
      <c r="BXT141" s="950"/>
      <c r="BXU141" s="950"/>
      <c r="BXV141" s="950"/>
      <c r="BXW141" s="950"/>
      <c r="BXX141" s="950"/>
      <c r="BXY141" s="950"/>
      <c r="BXZ141" s="950"/>
      <c r="BYA141" s="950"/>
      <c r="BYB141" s="950"/>
      <c r="BYC141" s="950"/>
      <c r="BYD141" s="950"/>
      <c r="BYE141" s="950"/>
      <c r="BYF141" s="950"/>
      <c r="BYG141" s="950"/>
      <c r="BYH141" s="950"/>
      <c r="BYI141" s="950"/>
      <c r="BYJ141" s="950"/>
      <c r="BYK141" s="950"/>
      <c r="BYL141" s="950"/>
      <c r="BYM141" s="950"/>
      <c r="BYN141" s="950"/>
      <c r="BYO141" s="950"/>
      <c r="BYP141" s="950"/>
      <c r="BYQ141" s="950"/>
      <c r="BYR141" s="950"/>
      <c r="BYS141" s="950"/>
      <c r="BYT141" s="950"/>
      <c r="BYU141" s="950"/>
      <c r="BYV141" s="950"/>
      <c r="BYW141" s="950"/>
      <c r="BYX141" s="950"/>
      <c r="BYY141" s="950"/>
      <c r="BYZ141" s="950"/>
      <c r="BZA141" s="950"/>
      <c r="BZB141" s="950"/>
      <c r="BZC141" s="950"/>
      <c r="BZD141" s="950"/>
      <c r="BZE141" s="950"/>
      <c r="BZF141" s="950"/>
      <c r="BZG141" s="950"/>
      <c r="BZH141" s="950"/>
      <c r="BZI141" s="950"/>
      <c r="BZJ141" s="950"/>
      <c r="BZK141" s="950"/>
      <c r="BZL141" s="950"/>
      <c r="BZM141" s="950"/>
      <c r="BZN141" s="950"/>
      <c r="BZO141" s="950"/>
      <c r="BZP141" s="950"/>
      <c r="BZQ141" s="950"/>
      <c r="BZR141" s="950"/>
      <c r="BZS141" s="950"/>
      <c r="BZT141" s="950"/>
      <c r="BZU141" s="950"/>
      <c r="BZV141" s="950"/>
      <c r="BZW141" s="950"/>
      <c r="BZX141" s="950"/>
      <c r="BZY141" s="950"/>
      <c r="BZZ141" s="950"/>
      <c r="CAA141" s="950"/>
      <c r="CAB141" s="950"/>
      <c r="CAC141" s="950"/>
      <c r="CAD141" s="950"/>
      <c r="CAE141" s="950"/>
      <c r="CAF141" s="950"/>
      <c r="CAG141" s="950"/>
      <c r="CAH141" s="950"/>
      <c r="CAI141" s="950"/>
      <c r="CAJ141" s="950"/>
      <c r="CAK141" s="950"/>
      <c r="CAL141" s="950"/>
      <c r="CAM141" s="950"/>
      <c r="CAN141" s="950"/>
      <c r="CAO141" s="950"/>
      <c r="CAP141" s="950"/>
      <c r="CAQ141" s="950"/>
      <c r="CAR141" s="950"/>
      <c r="CAS141" s="950"/>
      <c r="CAT141" s="950"/>
      <c r="CAU141" s="950"/>
      <c r="CAV141" s="950"/>
      <c r="CAW141" s="950"/>
      <c r="CAX141" s="950"/>
      <c r="CAY141" s="950"/>
      <c r="CAZ141" s="950"/>
      <c r="CBA141" s="950"/>
      <c r="CBB141" s="950"/>
      <c r="CBC141" s="950"/>
      <c r="CBD141" s="950"/>
      <c r="CBE141" s="950"/>
      <c r="CBF141" s="950"/>
      <c r="CBG141" s="950"/>
      <c r="CBH141" s="950"/>
      <c r="CBI141" s="950"/>
      <c r="CBJ141" s="950"/>
      <c r="CBK141" s="950"/>
      <c r="CBL141" s="950"/>
      <c r="CBM141" s="950"/>
      <c r="CBN141" s="950"/>
      <c r="CBO141" s="950"/>
      <c r="CBP141" s="950"/>
      <c r="CBQ141" s="950"/>
      <c r="CBR141" s="950"/>
      <c r="CBS141" s="950"/>
      <c r="CBT141" s="950"/>
      <c r="CBU141" s="950"/>
      <c r="CBV141" s="950"/>
      <c r="CBW141" s="950"/>
      <c r="CBX141" s="950"/>
      <c r="CBY141" s="950"/>
      <c r="CBZ141" s="950"/>
      <c r="CCA141" s="950"/>
      <c r="CCB141" s="950"/>
      <c r="CCC141" s="950"/>
      <c r="CCD141" s="950"/>
      <c r="CCE141" s="950"/>
      <c r="CCF141" s="950"/>
      <c r="CCG141" s="950"/>
      <c r="CCH141" s="950"/>
      <c r="CCI141" s="950"/>
      <c r="CCJ141" s="950"/>
      <c r="CCK141" s="950"/>
      <c r="CCL141" s="950"/>
      <c r="CCM141" s="950"/>
      <c r="CCN141" s="950"/>
      <c r="CCO141" s="950"/>
      <c r="CCP141" s="950"/>
      <c r="CCQ141" s="950"/>
      <c r="CCR141" s="950"/>
      <c r="CCS141" s="950"/>
      <c r="CCT141" s="950"/>
      <c r="CCU141" s="950"/>
      <c r="CCV141" s="950"/>
      <c r="CCW141" s="950"/>
      <c r="CCX141" s="950"/>
      <c r="CCY141" s="950"/>
      <c r="CCZ141" s="950"/>
      <c r="CDA141" s="950"/>
      <c r="CDB141" s="950"/>
      <c r="CDC141" s="950"/>
      <c r="CDD141" s="950"/>
      <c r="CDE141" s="950"/>
      <c r="CDF141" s="950"/>
      <c r="CDG141" s="950"/>
      <c r="CDH141" s="950"/>
      <c r="CDI141" s="950"/>
      <c r="CDJ141" s="950"/>
      <c r="CDK141" s="950"/>
      <c r="CDL141" s="950"/>
      <c r="CDM141" s="950"/>
      <c r="CDN141" s="950"/>
      <c r="CDO141" s="950"/>
      <c r="CDP141" s="950"/>
      <c r="CDQ141" s="950"/>
      <c r="CDR141" s="950"/>
      <c r="CDS141" s="950"/>
      <c r="CDT141" s="950"/>
      <c r="CDU141" s="950"/>
      <c r="CDV141" s="950"/>
      <c r="CDW141" s="950"/>
      <c r="CDX141" s="950"/>
      <c r="CDY141" s="950"/>
      <c r="CDZ141" s="950"/>
      <c r="CEA141" s="950"/>
      <c r="CEB141" s="950"/>
      <c r="CEC141" s="950"/>
      <c r="CED141" s="950"/>
      <c r="CEE141" s="950"/>
      <c r="CEF141" s="950"/>
      <c r="CEG141" s="950"/>
      <c r="CEH141" s="950"/>
      <c r="CEI141" s="950"/>
      <c r="CEJ141" s="950"/>
      <c r="CEK141" s="950"/>
      <c r="CEL141" s="950"/>
      <c r="CEM141" s="950"/>
      <c r="CEN141" s="950"/>
      <c r="CEO141" s="950"/>
      <c r="CEP141" s="950"/>
      <c r="CEQ141" s="950"/>
      <c r="CER141" s="950"/>
      <c r="CES141" s="950"/>
      <c r="CET141" s="950"/>
      <c r="CEU141" s="950"/>
      <c r="CEV141" s="950"/>
      <c r="CEW141" s="950"/>
      <c r="CEX141" s="950"/>
      <c r="CEY141" s="950"/>
      <c r="CEZ141" s="950"/>
      <c r="CFA141" s="950"/>
      <c r="CFB141" s="950"/>
      <c r="CFC141" s="950"/>
      <c r="CFD141" s="950"/>
      <c r="CFE141" s="950"/>
      <c r="CFF141" s="950"/>
      <c r="CFG141" s="950"/>
      <c r="CFH141" s="950"/>
      <c r="CFI141" s="950"/>
      <c r="CFJ141" s="950"/>
      <c r="CFK141" s="950"/>
      <c r="CFL141" s="950"/>
      <c r="CFM141" s="950"/>
      <c r="CFN141" s="950"/>
      <c r="CFO141" s="950"/>
      <c r="CFP141" s="950"/>
      <c r="CFQ141" s="950"/>
      <c r="CFR141" s="950"/>
      <c r="CFS141" s="950"/>
      <c r="CFT141" s="950"/>
      <c r="CFU141" s="950"/>
      <c r="CFV141" s="950"/>
      <c r="CFW141" s="950"/>
      <c r="CFX141" s="950"/>
      <c r="CFY141" s="950"/>
      <c r="CFZ141" s="950"/>
      <c r="CGA141" s="950"/>
      <c r="CGB141" s="950"/>
      <c r="CGC141" s="950"/>
      <c r="CGD141" s="950"/>
      <c r="CGE141" s="950"/>
      <c r="CGF141" s="950"/>
      <c r="CGG141" s="950"/>
      <c r="CGH141" s="950"/>
      <c r="CGI141" s="950"/>
      <c r="CGJ141" s="950"/>
      <c r="CGK141" s="950"/>
      <c r="CGL141" s="950"/>
      <c r="CGM141" s="950"/>
      <c r="CGN141" s="950"/>
      <c r="CGO141" s="950"/>
      <c r="CGP141" s="950"/>
      <c r="CGQ141" s="950"/>
      <c r="CGR141" s="950"/>
      <c r="CGS141" s="950"/>
      <c r="CGT141" s="950"/>
      <c r="CGU141" s="950"/>
      <c r="CGV141" s="950"/>
      <c r="CGW141" s="950"/>
      <c r="CGX141" s="950"/>
      <c r="CGY141" s="950"/>
      <c r="CGZ141" s="950"/>
      <c r="CHA141" s="950"/>
      <c r="CHB141" s="950"/>
      <c r="CHC141" s="950"/>
      <c r="CHD141" s="950"/>
      <c r="CHE141" s="950"/>
      <c r="CHF141" s="950"/>
      <c r="CHG141" s="950"/>
      <c r="CHH141" s="950"/>
      <c r="CHI141" s="950"/>
      <c r="CHJ141" s="950"/>
      <c r="CHK141" s="950"/>
      <c r="CHL141" s="950"/>
      <c r="CHM141" s="950"/>
      <c r="CHN141" s="950"/>
      <c r="CHO141" s="950"/>
      <c r="CHP141" s="950"/>
      <c r="CHQ141" s="950"/>
      <c r="CHR141" s="950"/>
      <c r="CHS141" s="950"/>
      <c r="CHT141" s="950"/>
      <c r="CHU141" s="950"/>
      <c r="CHV141" s="950"/>
      <c r="CHW141" s="950"/>
      <c r="CHX141" s="950"/>
      <c r="CHY141" s="950"/>
      <c r="CHZ141" s="950"/>
      <c r="CIA141" s="950"/>
      <c r="CIB141" s="950"/>
      <c r="CIC141" s="950"/>
      <c r="CID141" s="950"/>
      <c r="CIE141" s="950"/>
      <c r="CIF141" s="950"/>
      <c r="CIG141" s="950"/>
      <c r="CIH141" s="950"/>
      <c r="CII141" s="950"/>
      <c r="CIJ141" s="950"/>
      <c r="CIK141" s="950"/>
      <c r="CIL141" s="950"/>
      <c r="CIM141" s="950"/>
      <c r="CIN141" s="950"/>
      <c r="CIO141" s="950"/>
      <c r="CIP141" s="950"/>
      <c r="CIQ141" s="950"/>
      <c r="CIR141" s="950"/>
      <c r="CIS141" s="950"/>
      <c r="CIT141" s="950"/>
      <c r="CIU141" s="950"/>
      <c r="CIV141" s="950"/>
      <c r="CIW141" s="950"/>
      <c r="CIX141" s="950"/>
      <c r="CIY141" s="950"/>
      <c r="CIZ141" s="950"/>
      <c r="CJA141" s="950"/>
      <c r="CJB141" s="950"/>
      <c r="CJC141" s="950"/>
      <c r="CJD141" s="950"/>
      <c r="CJE141" s="950"/>
      <c r="CJF141" s="950"/>
      <c r="CJG141" s="950"/>
      <c r="CJH141" s="950"/>
      <c r="CJI141" s="950"/>
      <c r="CJJ141" s="950"/>
      <c r="CJK141" s="950"/>
      <c r="CJL141" s="950"/>
      <c r="CJM141" s="950"/>
      <c r="CJN141" s="950"/>
      <c r="CJO141" s="950"/>
      <c r="CJP141" s="950"/>
      <c r="CJQ141" s="950"/>
      <c r="CJR141" s="950"/>
      <c r="CJS141" s="950"/>
      <c r="CJT141" s="950"/>
      <c r="CJU141" s="950"/>
      <c r="CJV141" s="950"/>
      <c r="CJW141" s="950"/>
      <c r="CJX141" s="950"/>
      <c r="CJY141" s="950"/>
      <c r="CJZ141" s="950"/>
      <c r="CKA141" s="950"/>
      <c r="CKB141" s="950"/>
      <c r="CKC141" s="950"/>
      <c r="CKD141" s="950"/>
      <c r="CKE141" s="950"/>
      <c r="CKF141" s="950"/>
      <c r="CKG141" s="950"/>
      <c r="CKH141" s="950"/>
      <c r="CKI141" s="950"/>
      <c r="CKJ141" s="950"/>
      <c r="CKK141" s="950"/>
      <c r="CKL141" s="950"/>
      <c r="CKM141" s="950"/>
      <c r="CKN141" s="950"/>
      <c r="CKO141" s="950"/>
      <c r="CKP141" s="950"/>
      <c r="CKQ141" s="950"/>
      <c r="CKR141" s="950"/>
      <c r="CKS141" s="950"/>
      <c r="CKT141" s="950"/>
      <c r="CKU141" s="950"/>
      <c r="CKV141" s="950"/>
      <c r="CKW141" s="950"/>
      <c r="CKX141" s="950"/>
      <c r="CKY141" s="950"/>
      <c r="CKZ141" s="950"/>
      <c r="CLA141" s="950"/>
      <c r="CLB141" s="950"/>
      <c r="CLC141" s="950"/>
      <c r="CLD141" s="950"/>
      <c r="CLE141" s="950"/>
      <c r="CLF141" s="950"/>
      <c r="CLG141" s="950"/>
      <c r="CLH141" s="950"/>
      <c r="CLI141" s="950"/>
      <c r="CLJ141" s="950"/>
      <c r="CLK141" s="950"/>
      <c r="CLL141" s="950"/>
      <c r="CLM141" s="950"/>
      <c r="CLN141" s="950"/>
      <c r="CLO141" s="950"/>
      <c r="CLP141" s="950"/>
      <c r="CLQ141" s="950"/>
      <c r="CLR141" s="950"/>
      <c r="CLS141" s="950"/>
      <c r="CLT141" s="950"/>
      <c r="CLU141" s="950"/>
      <c r="CLV141" s="950"/>
      <c r="CLW141" s="950"/>
      <c r="CLX141" s="950"/>
      <c r="CLY141" s="950"/>
      <c r="CLZ141" s="950"/>
      <c r="CMA141" s="950"/>
      <c r="CMB141" s="950"/>
      <c r="CMC141" s="950"/>
      <c r="CMD141" s="950"/>
      <c r="CME141" s="950"/>
      <c r="CMF141" s="950"/>
      <c r="CMG141" s="950"/>
      <c r="CMH141" s="950"/>
      <c r="CMI141" s="950"/>
      <c r="CMJ141" s="950"/>
      <c r="CMK141" s="950"/>
      <c r="CML141" s="950"/>
      <c r="CMM141" s="950"/>
      <c r="CMN141" s="950"/>
      <c r="CMO141" s="950"/>
      <c r="CMP141" s="950"/>
      <c r="CMQ141" s="950"/>
      <c r="CMR141" s="950"/>
      <c r="CMS141" s="950"/>
      <c r="CMT141" s="950"/>
      <c r="CMU141" s="950"/>
      <c r="CMV141" s="950"/>
      <c r="CMW141" s="950"/>
      <c r="CMX141" s="950"/>
      <c r="CMY141" s="950"/>
      <c r="CMZ141" s="950"/>
      <c r="CNA141" s="950"/>
      <c r="CNB141" s="950"/>
      <c r="CNC141" s="950"/>
      <c r="CND141" s="950"/>
      <c r="CNE141" s="950"/>
      <c r="CNF141" s="950"/>
      <c r="CNG141" s="950"/>
      <c r="CNH141" s="950"/>
      <c r="CNI141" s="950"/>
      <c r="CNJ141" s="950"/>
      <c r="CNK141" s="950"/>
      <c r="CNL141" s="950"/>
      <c r="CNM141" s="950"/>
      <c r="CNN141" s="950"/>
      <c r="CNO141" s="950"/>
      <c r="CNP141" s="950"/>
      <c r="CNQ141" s="950"/>
      <c r="CNR141" s="950"/>
      <c r="CNS141" s="950"/>
      <c r="CNT141" s="950"/>
      <c r="CNU141" s="950"/>
      <c r="CNV141" s="950"/>
      <c r="CNW141" s="950"/>
      <c r="CNX141" s="950"/>
      <c r="CNY141" s="950"/>
      <c r="CNZ141" s="950"/>
      <c r="COA141" s="950"/>
      <c r="COB141" s="950"/>
      <c r="COC141" s="950"/>
      <c r="COD141" s="950"/>
      <c r="COE141" s="950"/>
      <c r="COF141" s="950"/>
      <c r="COG141" s="950"/>
      <c r="COH141" s="950"/>
      <c r="COI141" s="950"/>
      <c r="COJ141" s="950"/>
      <c r="COK141" s="950"/>
      <c r="COL141" s="950"/>
      <c r="COM141" s="950"/>
      <c r="CON141" s="950"/>
      <c r="COO141" s="950"/>
      <c r="COP141" s="950"/>
      <c r="COQ141" s="950"/>
      <c r="COR141" s="950"/>
      <c r="COS141" s="950"/>
      <c r="COT141" s="950"/>
      <c r="COU141" s="950"/>
      <c r="COV141" s="950"/>
      <c r="COW141" s="950"/>
      <c r="COX141" s="950"/>
      <c r="COY141" s="950"/>
      <c r="COZ141" s="950"/>
      <c r="CPA141" s="950"/>
      <c r="CPB141" s="950"/>
      <c r="CPC141" s="950"/>
      <c r="CPD141" s="950"/>
      <c r="CPE141" s="950"/>
      <c r="CPF141" s="950"/>
      <c r="CPG141" s="950"/>
      <c r="CPH141" s="950"/>
      <c r="CPI141" s="950"/>
      <c r="CPJ141" s="950"/>
      <c r="CPK141" s="950"/>
      <c r="CPL141" s="950"/>
      <c r="CPM141" s="950"/>
      <c r="CPN141" s="950"/>
      <c r="CPO141" s="950"/>
      <c r="CPP141" s="950"/>
      <c r="CPQ141" s="950"/>
      <c r="CPR141" s="950"/>
      <c r="CPS141" s="950"/>
      <c r="CPT141" s="950"/>
      <c r="CPU141" s="950"/>
      <c r="CPV141" s="950"/>
      <c r="CPW141" s="950"/>
      <c r="CPX141" s="950"/>
      <c r="CPY141" s="950"/>
      <c r="CPZ141" s="950"/>
      <c r="CQA141" s="950"/>
      <c r="CQB141" s="950"/>
      <c r="CQC141" s="950"/>
      <c r="CQD141" s="950"/>
      <c r="CQE141" s="950"/>
      <c r="CQF141" s="950"/>
      <c r="CQG141" s="950"/>
      <c r="CQH141" s="950"/>
      <c r="CQI141" s="950"/>
      <c r="CQJ141" s="950"/>
      <c r="CQK141" s="950"/>
      <c r="CQL141" s="950"/>
      <c r="CQM141" s="950"/>
      <c r="CQN141" s="950"/>
      <c r="CQO141" s="950"/>
      <c r="CQP141" s="950"/>
      <c r="CQQ141" s="950"/>
      <c r="CQR141" s="950"/>
      <c r="CQS141" s="950"/>
      <c r="CQT141" s="950"/>
      <c r="CQU141" s="950"/>
      <c r="CQV141" s="950"/>
      <c r="CQW141" s="950"/>
      <c r="CQX141" s="950"/>
      <c r="CQY141" s="950"/>
      <c r="CQZ141" s="950"/>
      <c r="CRA141" s="950"/>
      <c r="CRB141" s="950"/>
      <c r="CRC141" s="950"/>
      <c r="CRD141" s="950"/>
      <c r="CRE141" s="950"/>
      <c r="CRF141" s="950"/>
      <c r="CRG141" s="950"/>
      <c r="CRH141" s="950"/>
      <c r="CRI141" s="950"/>
      <c r="CRJ141" s="950"/>
      <c r="CRK141" s="950"/>
      <c r="CRL141" s="950"/>
      <c r="CRM141" s="950"/>
      <c r="CRN141" s="950"/>
      <c r="CRO141" s="950"/>
      <c r="CRP141" s="950"/>
      <c r="CRQ141" s="950"/>
      <c r="CRR141" s="950"/>
      <c r="CRS141" s="950"/>
      <c r="CRT141" s="950"/>
      <c r="CRU141" s="950"/>
      <c r="CRV141" s="950"/>
      <c r="CRW141" s="950"/>
      <c r="CRX141" s="950"/>
      <c r="CRY141" s="950"/>
      <c r="CRZ141" s="950"/>
      <c r="CSA141" s="950"/>
      <c r="CSB141" s="950"/>
      <c r="CSC141" s="950"/>
      <c r="CSD141" s="950"/>
      <c r="CSE141" s="950"/>
      <c r="CSF141" s="950"/>
      <c r="CSG141" s="950"/>
      <c r="CSH141" s="950"/>
      <c r="CSI141" s="950"/>
      <c r="CSJ141" s="950"/>
      <c r="CSK141" s="950"/>
      <c r="CSL141" s="950"/>
      <c r="CSM141" s="950"/>
      <c r="CSN141" s="950"/>
      <c r="CSO141" s="950"/>
      <c r="CSP141" s="950"/>
      <c r="CSQ141" s="950"/>
      <c r="CSR141" s="950"/>
      <c r="CSS141" s="950"/>
      <c r="CST141" s="950"/>
      <c r="CSU141" s="950"/>
      <c r="CSV141" s="950"/>
      <c r="CSW141" s="950"/>
      <c r="CSX141" s="950"/>
      <c r="CSY141" s="950"/>
      <c r="CSZ141" s="950"/>
      <c r="CTA141" s="950"/>
      <c r="CTB141" s="950"/>
      <c r="CTC141" s="950"/>
      <c r="CTD141" s="950"/>
      <c r="CTE141" s="950"/>
      <c r="CTF141" s="950"/>
      <c r="CTG141" s="950"/>
      <c r="CTH141" s="950"/>
      <c r="CTI141" s="950"/>
      <c r="CTJ141" s="950"/>
      <c r="CTK141" s="950"/>
      <c r="CTL141" s="950"/>
      <c r="CTM141" s="950"/>
      <c r="CTN141" s="950"/>
      <c r="CTO141" s="950"/>
      <c r="CTP141" s="950"/>
      <c r="CTQ141" s="950"/>
      <c r="CTR141" s="950"/>
      <c r="CTS141" s="950"/>
      <c r="CTT141" s="950"/>
      <c r="CTU141" s="950"/>
      <c r="CTV141" s="950"/>
      <c r="CTW141" s="950"/>
      <c r="CTX141" s="950"/>
      <c r="CTY141" s="950"/>
      <c r="CTZ141" s="950"/>
      <c r="CUA141" s="950"/>
      <c r="CUB141" s="950"/>
      <c r="CUC141" s="950"/>
      <c r="CUD141" s="950"/>
      <c r="CUE141" s="950"/>
      <c r="CUF141" s="950"/>
      <c r="CUG141" s="950"/>
      <c r="CUH141" s="950"/>
      <c r="CUI141" s="950"/>
      <c r="CUJ141" s="950"/>
      <c r="CUK141" s="950"/>
      <c r="CUL141" s="950"/>
      <c r="CUM141" s="950"/>
      <c r="CUN141" s="950"/>
      <c r="CUO141" s="950"/>
      <c r="CUP141" s="950"/>
      <c r="CUQ141" s="950"/>
      <c r="CUR141" s="950"/>
      <c r="CUS141" s="950"/>
      <c r="CUT141" s="950"/>
      <c r="CUU141" s="950"/>
      <c r="CUV141" s="950"/>
      <c r="CUW141" s="950"/>
      <c r="CUX141" s="950"/>
      <c r="CUY141" s="950"/>
      <c r="CUZ141" s="950"/>
      <c r="CVA141" s="950"/>
      <c r="CVB141" s="950"/>
      <c r="CVC141" s="950"/>
      <c r="CVD141" s="950"/>
      <c r="CVE141" s="950"/>
      <c r="CVF141" s="950"/>
      <c r="CVG141" s="950"/>
      <c r="CVH141" s="950"/>
      <c r="CVI141" s="950"/>
      <c r="CVJ141" s="950"/>
      <c r="CVK141" s="950"/>
      <c r="CVL141" s="950"/>
      <c r="CVM141" s="950"/>
      <c r="CVN141" s="950"/>
      <c r="CVO141" s="950"/>
      <c r="CVP141" s="950"/>
      <c r="CVQ141" s="950"/>
      <c r="CVR141" s="950"/>
      <c r="CVS141" s="950"/>
      <c r="CVT141" s="950"/>
      <c r="CVU141" s="950"/>
      <c r="CVV141" s="950"/>
      <c r="CVW141" s="950"/>
      <c r="CVX141" s="950"/>
      <c r="CVY141" s="950"/>
      <c r="CVZ141" s="950"/>
      <c r="CWA141" s="950"/>
      <c r="CWB141" s="950"/>
      <c r="CWC141" s="950"/>
      <c r="CWD141" s="950"/>
      <c r="CWE141" s="950"/>
      <c r="CWF141" s="950"/>
      <c r="CWG141" s="950"/>
      <c r="CWH141" s="950"/>
      <c r="CWI141" s="950"/>
      <c r="CWJ141" s="950"/>
      <c r="CWK141" s="950"/>
      <c r="CWL141" s="950"/>
      <c r="CWM141" s="950"/>
      <c r="CWN141" s="950"/>
      <c r="CWO141" s="950"/>
      <c r="CWP141" s="950"/>
      <c r="CWQ141" s="950"/>
      <c r="CWR141" s="950"/>
      <c r="CWS141" s="950"/>
      <c r="CWT141" s="950"/>
      <c r="CWU141" s="950"/>
      <c r="CWV141" s="950"/>
      <c r="CWW141" s="950"/>
      <c r="CWX141" s="950"/>
      <c r="CWY141" s="950"/>
      <c r="CWZ141" s="950"/>
      <c r="CXA141" s="950"/>
      <c r="CXB141" s="950"/>
      <c r="CXC141" s="950"/>
      <c r="CXD141" s="950"/>
      <c r="CXE141" s="950"/>
      <c r="CXF141" s="950"/>
      <c r="CXG141" s="950"/>
      <c r="CXH141" s="950"/>
      <c r="CXI141" s="950"/>
      <c r="CXJ141" s="950"/>
      <c r="CXK141" s="950"/>
      <c r="CXL141" s="950"/>
      <c r="CXM141" s="950"/>
      <c r="CXN141" s="950"/>
      <c r="CXO141" s="950"/>
      <c r="CXP141" s="950"/>
      <c r="CXQ141" s="950"/>
      <c r="CXR141" s="950"/>
      <c r="CXS141" s="950"/>
      <c r="CXT141" s="950"/>
      <c r="CXU141" s="950"/>
      <c r="CXV141" s="950"/>
      <c r="CXW141" s="950"/>
      <c r="CXX141" s="950"/>
      <c r="CXY141" s="950"/>
      <c r="CXZ141" s="950"/>
      <c r="CYA141" s="950"/>
      <c r="CYB141" s="950"/>
      <c r="CYC141" s="950"/>
      <c r="CYD141" s="950"/>
      <c r="CYE141" s="950"/>
      <c r="CYF141" s="950"/>
      <c r="CYG141" s="950"/>
      <c r="CYH141" s="950"/>
      <c r="CYI141" s="950"/>
      <c r="CYJ141" s="950"/>
      <c r="CYK141" s="950"/>
      <c r="CYL141" s="950"/>
      <c r="CYM141" s="950"/>
      <c r="CYN141" s="950"/>
      <c r="CYO141" s="950"/>
      <c r="CYP141" s="950"/>
      <c r="CYQ141" s="950"/>
      <c r="CYR141" s="950"/>
      <c r="CYS141" s="950"/>
      <c r="CYT141" s="950"/>
      <c r="CYU141" s="950"/>
      <c r="CYV141" s="950"/>
      <c r="CYW141" s="950"/>
      <c r="CYX141" s="950"/>
      <c r="CYY141" s="950"/>
      <c r="CYZ141" s="950"/>
      <c r="CZA141" s="950"/>
      <c r="CZB141" s="950"/>
      <c r="CZC141" s="950"/>
      <c r="CZD141" s="950"/>
      <c r="CZE141" s="950"/>
      <c r="CZF141" s="950"/>
      <c r="CZG141" s="950"/>
      <c r="CZH141" s="950"/>
      <c r="CZI141" s="950"/>
      <c r="CZJ141" s="950"/>
      <c r="CZK141" s="950"/>
      <c r="CZL141" s="950"/>
      <c r="CZM141" s="950"/>
      <c r="CZN141" s="950"/>
      <c r="CZO141" s="950"/>
      <c r="CZP141" s="950"/>
      <c r="CZQ141" s="950"/>
      <c r="CZR141" s="950"/>
      <c r="CZS141" s="950"/>
      <c r="CZT141" s="950"/>
      <c r="CZU141" s="950"/>
      <c r="CZV141" s="950"/>
      <c r="CZW141" s="950"/>
      <c r="CZX141" s="950"/>
      <c r="CZY141" s="950"/>
      <c r="CZZ141" s="950"/>
      <c r="DAA141" s="950"/>
      <c r="DAB141" s="950"/>
      <c r="DAC141" s="950"/>
      <c r="DAD141" s="950"/>
      <c r="DAE141" s="950"/>
      <c r="DAF141" s="950"/>
      <c r="DAG141" s="950"/>
      <c r="DAH141" s="950"/>
      <c r="DAI141" s="950"/>
      <c r="DAJ141" s="950"/>
      <c r="DAK141" s="950"/>
      <c r="DAL141" s="950"/>
      <c r="DAM141" s="950"/>
      <c r="DAN141" s="950"/>
      <c r="DAO141" s="950"/>
      <c r="DAP141" s="950"/>
      <c r="DAQ141" s="950"/>
      <c r="DAR141" s="950"/>
      <c r="DAS141" s="950"/>
      <c r="DAT141" s="950"/>
      <c r="DAU141" s="950"/>
      <c r="DAV141" s="950"/>
      <c r="DAW141" s="950"/>
      <c r="DAX141" s="950"/>
      <c r="DAY141" s="950"/>
      <c r="DAZ141" s="950"/>
      <c r="DBA141" s="950"/>
      <c r="DBB141" s="950"/>
      <c r="DBC141" s="950"/>
      <c r="DBD141" s="950"/>
      <c r="DBE141" s="950"/>
      <c r="DBF141" s="950"/>
      <c r="DBG141" s="950"/>
      <c r="DBH141" s="950"/>
      <c r="DBI141" s="950"/>
      <c r="DBJ141" s="950"/>
      <c r="DBK141" s="950"/>
      <c r="DBL141" s="950"/>
      <c r="DBM141" s="950"/>
      <c r="DBN141" s="950"/>
      <c r="DBO141" s="950"/>
      <c r="DBP141" s="950"/>
      <c r="DBQ141" s="950"/>
      <c r="DBR141" s="950"/>
      <c r="DBS141" s="950"/>
      <c r="DBT141" s="950"/>
      <c r="DBU141" s="950"/>
      <c r="DBV141" s="950"/>
      <c r="DBW141" s="950"/>
      <c r="DBX141" s="950"/>
      <c r="DBY141" s="950"/>
      <c r="DBZ141" s="950"/>
      <c r="DCA141" s="950"/>
      <c r="DCB141" s="950"/>
      <c r="DCC141" s="950"/>
      <c r="DCD141" s="950"/>
      <c r="DCE141" s="950"/>
      <c r="DCF141" s="950"/>
      <c r="DCG141" s="950"/>
      <c r="DCH141" s="950"/>
      <c r="DCI141" s="950"/>
      <c r="DCJ141" s="950"/>
      <c r="DCK141" s="950"/>
      <c r="DCL141" s="950"/>
      <c r="DCM141" s="950"/>
      <c r="DCN141" s="950"/>
      <c r="DCO141" s="950"/>
      <c r="DCP141" s="950"/>
      <c r="DCQ141" s="950"/>
      <c r="DCR141" s="950"/>
      <c r="DCS141" s="950"/>
      <c r="DCT141" s="950"/>
      <c r="DCU141" s="950"/>
      <c r="DCV141" s="950"/>
      <c r="DCW141" s="950"/>
      <c r="DCX141" s="950"/>
      <c r="DCY141" s="950"/>
      <c r="DCZ141" s="950"/>
      <c r="DDA141" s="950"/>
      <c r="DDB141" s="950"/>
      <c r="DDC141" s="950"/>
      <c r="DDD141" s="950"/>
      <c r="DDE141" s="950"/>
      <c r="DDF141" s="950"/>
      <c r="DDG141" s="950"/>
      <c r="DDH141" s="950"/>
      <c r="DDI141" s="950"/>
      <c r="DDJ141" s="950"/>
      <c r="DDK141" s="950"/>
      <c r="DDL141" s="950"/>
      <c r="DDM141" s="950"/>
      <c r="DDN141" s="950"/>
      <c r="DDO141" s="950"/>
      <c r="DDP141" s="950"/>
      <c r="DDQ141" s="950"/>
      <c r="DDR141" s="950"/>
      <c r="DDS141" s="950"/>
      <c r="DDT141" s="950"/>
      <c r="DDU141" s="950"/>
      <c r="DDV141" s="950"/>
      <c r="DDW141" s="950"/>
      <c r="DDX141" s="950"/>
      <c r="DDY141" s="950"/>
      <c r="DDZ141" s="950"/>
      <c r="DEA141" s="950"/>
      <c r="DEB141" s="950"/>
      <c r="DEC141" s="950"/>
      <c r="DED141" s="950"/>
      <c r="DEE141" s="950"/>
      <c r="DEF141" s="950"/>
      <c r="DEG141" s="950"/>
      <c r="DEH141" s="950"/>
      <c r="DEI141" s="950"/>
      <c r="DEJ141" s="950"/>
      <c r="DEK141" s="950"/>
      <c r="DEL141" s="950"/>
      <c r="DEM141" s="950"/>
      <c r="DEN141" s="950"/>
      <c r="DEO141" s="950"/>
      <c r="DEP141" s="950"/>
      <c r="DEQ141" s="950"/>
      <c r="DER141" s="950"/>
      <c r="DES141" s="950"/>
      <c r="DET141" s="950"/>
      <c r="DEU141" s="950"/>
      <c r="DEV141" s="950"/>
      <c r="DEW141" s="950"/>
      <c r="DEX141" s="950"/>
      <c r="DEY141" s="950"/>
      <c r="DEZ141" s="950"/>
      <c r="DFA141" s="950"/>
      <c r="DFB141" s="950"/>
      <c r="DFC141" s="950"/>
      <c r="DFD141" s="950"/>
      <c r="DFE141" s="950"/>
      <c r="DFF141" s="950"/>
      <c r="DFG141" s="950"/>
      <c r="DFH141" s="950"/>
      <c r="DFI141" s="950"/>
      <c r="DFJ141" s="950"/>
      <c r="DFK141" s="950"/>
      <c r="DFL141" s="950"/>
      <c r="DFM141" s="950"/>
      <c r="DFN141" s="950"/>
      <c r="DFO141" s="950"/>
      <c r="DFP141" s="950"/>
      <c r="DFQ141" s="950"/>
      <c r="DFR141" s="950"/>
      <c r="DFS141" s="950"/>
      <c r="DFT141" s="950"/>
      <c r="DFU141" s="950"/>
      <c r="DFV141" s="950"/>
      <c r="DFW141" s="950"/>
      <c r="DFX141" s="950"/>
      <c r="DFY141" s="950"/>
      <c r="DFZ141" s="950"/>
      <c r="DGA141" s="950"/>
      <c r="DGB141" s="950"/>
      <c r="DGC141" s="950"/>
      <c r="DGD141" s="950"/>
      <c r="DGE141" s="950"/>
      <c r="DGF141" s="950"/>
      <c r="DGG141" s="950"/>
      <c r="DGH141" s="950"/>
      <c r="DGI141" s="950"/>
      <c r="DGJ141" s="950"/>
      <c r="DGK141" s="950"/>
      <c r="DGL141" s="950"/>
      <c r="DGM141" s="950"/>
      <c r="DGN141" s="950"/>
      <c r="DGO141" s="950"/>
      <c r="DGP141" s="950"/>
      <c r="DGQ141" s="950"/>
      <c r="DGR141" s="950"/>
      <c r="DGS141" s="950"/>
      <c r="DGT141" s="950"/>
      <c r="DGU141" s="950"/>
      <c r="DGV141" s="950"/>
      <c r="DGW141" s="950"/>
      <c r="DGX141" s="950"/>
      <c r="DGY141" s="950"/>
      <c r="DGZ141" s="950"/>
      <c r="DHA141" s="950"/>
      <c r="DHB141" s="950"/>
      <c r="DHC141" s="950"/>
      <c r="DHD141" s="950"/>
      <c r="DHE141" s="950"/>
      <c r="DHF141" s="950"/>
      <c r="DHG141" s="950"/>
      <c r="DHH141" s="950"/>
      <c r="DHI141" s="950"/>
      <c r="DHJ141" s="950"/>
      <c r="DHK141" s="950"/>
      <c r="DHL141" s="950"/>
      <c r="DHM141" s="950"/>
      <c r="DHN141" s="950"/>
      <c r="DHO141" s="950"/>
      <c r="DHP141" s="950"/>
      <c r="DHQ141" s="950"/>
      <c r="DHR141" s="950"/>
      <c r="DHS141" s="950"/>
      <c r="DHT141" s="950"/>
      <c r="DHU141" s="950"/>
      <c r="DHV141" s="950"/>
      <c r="DHW141" s="950"/>
      <c r="DHX141" s="950"/>
      <c r="DHY141" s="950"/>
      <c r="DHZ141" s="950"/>
      <c r="DIA141" s="950"/>
      <c r="DIB141" s="950"/>
      <c r="DIC141" s="950"/>
      <c r="DID141" s="950"/>
      <c r="DIE141" s="950"/>
      <c r="DIF141" s="950"/>
      <c r="DIG141" s="950"/>
      <c r="DIH141" s="950"/>
      <c r="DII141" s="950"/>
      <c r="DIJ141" s="950"/>
      <c r="DIK141" s="950"/>
      <c r="DIL141" s="950"/>
      <c r="DIM141" s="950"/>
      <c r="DIN141" s="950"/>
      <c r="DIO141" s="950"/>
      <c r="DIP141" s="950"/>
      <c r="DIQ141" s="950"/>
      <c r="DIR141" s="950"/>
      <c r="DIS141" s="950"/>
      <c r="DIT141" s="950"/>
      <c r="DIU141" s="950"/>
      <c r="DIV141" s="950"/>
      <c r="DIW141" s="950"/>
      <c r="DIX141" s="950"/>
      <c r="DIY141" s="950"/>
      <c r="DIZ141" s="950"/>
      <c r="DJA141" s="950"/>
      <c r="DJB141" s="950"/>
      <c r="DJC141" s="950"/>
      <c r="DJD141" s="950"/>
      <c r="DJE141" s="950"/>
      <c r="DJF141" s="950"/>
      <c r="DJG141" s="950"/>
      <c r="DJH141" s="950"/>
      <c r="DJI141" s="950"/>
      <c r="DJJ141" s="950"/>
      <c r="DJK141" s="950"/>
      <c r="DJL141" s="950"/>
      <c r="DJM141" s="950"/>
      <c r="DJN141" s="950"/>
      <c r="DJO141" s="950"/>
      <c r="DJP141" s="950"/>
      <c r="DJQ141" s="950"/>
      <c r="DJR141" s="950"/>
      <c r="DJS141" s="950"/>
      <c r="DJT141" s="950"/>
      <c r="DJU141" s="950"/>
      <c r="DJV141" s="950"/>
      <c r="DJW141" s="950"/>
      <c r="DJX141" s="950"/>
      <c r="DJY141" s="950"/>
      <c r="DJZ141" s="950"/>
      <c r="DKA141" s="950"/>
      <c r="DKB141" s="950"/>
      <c r="DKC141" s="950"/>
      <c r="DKD141" s="950"/>
      <c r="DKE141" s="950"/>
      <c r="DKF141" s="950"/>
      <c r="DKG141" s="950"/>
      <c r="DKH141" s="950"/>
      <c r="DKI141" s="950"/>
      <c r="DKJ141" s="950"/>
      <c r="DKK141" s="950"/>
      <c r="DKL141" s="950"/>
      <c r="DKM141" s="950"/>
      <c r="DKN141" s="950"/>
      <c r="DKO141" s="950"/>
      <c r="DKP141" s="950"/>
      <c r="DKQ141" s="950"/>
      <c r="DKR141" s="950"/>
      <c r="DKS141" s="950"/>
      <c r="DKT141" s="950"/>
      <c r="DKU141" s="950"/>
      <c r="DKV141" s="950"/>
      <c r="DKW141" s="950"/>
      <c r="DKX141" s="950"/>
      <c r="DKY141" s="950"/>
      <c r="DKZ141" s="950"/>
      <c r="DLA141" s="950"/>
      <c r="DLB141" s="950"/>
      <c r="DLC141" s="950"/>
      <c r="DLD141" s="950"/>
      <c r="DLE141" s="950"/>
      <c r="DLF141" s="950"/>
      <c r="DLG141" s="950"/>
      <c r="DLH141" s="950"/>
      <c r="DLI141" s="950"/>
      <c r="DLJ141" s="950"/>
      <c r="DLK141" s="950"/>
      <c r="DLL141" s="950"/>
      <c r="DLM141" s="950"/>
      <c r="DLN141" s="950"/>
      <c r="DLO141" s="950"/>
      <c r="DLP141" s="950"/>
      <c r="DLQ141" s="950"/>
      <c r="DLR141" s="950"/>
      <c r="DLS141" s="950"/>
      <c r="DLT141" s="950"/>
      <c r="DLU141" s="950"/>
      <c r="DLV141" s="950"/>
      <c r="DLW141" s="950"/>
      <c r="DLX141" s="950"/>
      <c r="DLY141" s="950"/>
      <c r="DLZ141" s="950"/>
      <c r="DMA141" s="950"/>
      <c r="DMB141" s="950"/>
      <c r="DMC141" s="950"/>
      <c r="DMD141" s="950"/>
      <c r="DME141" s="950"/>
      <c r="DMF141" s="950"/>
      <c r="DMG141" s="950"/>
      <c r="DMH141" s="950"/>
      <c r="DMI141" s="950"/>
      <c r="DMJ141" s="950"/>
      <c r="DMK141" s="950"/>
      <c r="DML141" s="950"/>
      <c r="DMM141" s="950"/>
      <c r="DMN141" s="950"/>
      <c r="DMO141" s="950"/>
      <c r="DMP141" s="950"/>
      <c r="DMQ141" s="950"/>
      <c r="DMR141" s="950"/>
      <c r="DMS141" s="950"/>
      <c r="DMT141" s="950"/>
      <c r="DMU141" s="950"/>
      <c r="DMV141" s="950"/>
      <c r="DMW141" s="950"/>
      <c r="DMX141" s="950"/>
      <c r="DMY141" s="950"/>
      <c r="DMZ141" s="950"/>
      <c r="DNA141" s="950"/>
      <c r="DNB141" s="950"/>
      <c r="DNC141" s="950"/>
      <c r="DND141" s="950"/>
      <c r="DNE141" s="950"/>
      <c r="DNF141" s="950"/>
      <c r="DNG141" s="950"/>
      <c r="DNH141" s="950"/>
      <c r="DNI141" s="950"/>
      <c r="DNJ141" s="950"/>
      <c r="DNK141" s="950"/>
      <c r="DNL141" s="950"/>
      <c r="DNM141" s="950"/>
      <c r="DNN141" s="950"/>
      <c r="DNO141" s="950"/>
      <c r="DNP141" s="950"/>
      <c r="DNQ141" s="950"/>
      <c r="DNR141" s="950"/>
      <c r="DNS141" s="950"/>
      <c r="DNT141" s="950"/>
      <c r="DNU141" s="950"/>
      <c r="DNV141" s="950"/>
      <c r="DNW141" s="950"/>
      <c r="DNX141" s="950"/>
      <c r="DNY141" s="950"/>
      <c r="DNZ141" s="950"/>
      <c r="DOA141" s="950"/>
      <c r="DOB141" s="950"/>
      <c r="DOC141" s="950"/>
      <c r="DOD141" s="950"/>
      <c r="DOE141" s="950"/>
      <c r="DOF141" s="950"/>
      <c r="DOG141" s="950"/>
      <c r="DOH141" s="950"/>
      <c r="DOI141" s="950"/>
      <c r="DOJ141" s="950"/>
      <c r="DOK141" s="950"/>
      <c r="DOL141" s="950"/>
      <c r="DOM141" s="950"/>
      <c r="DON141" s="950"/>
      <c r="DOO141" s="950"/>
      <c r="DOP141" s="950"/>
      <c r="DOQ141" s="950"/>
      <c r="DOR141" s="950"/>
      <c r="DOS141" s="950"/>
      <c r="DOT141" s="950"/>
      <c r="DOU141" s="950"/>
      <c r="DOV141" s="950"/>
      <c r="DOW141" s="950"/>
      <c r="DOX141" s="950"/>
      <c r="DOY141" s="950"/>
      <c r="DOZ141" s="950"/>
      <c r="DPA141" s="950"/>
      <c r="DPB141" s="950"/>
      <c r="DPC141" s="950"/>
      <c r="DPD141" s="950"/>
      <c r="DPE141" s="950"/>
      <c r="DPF141" s="950"/>
      <c r="DPG141" s="950"/>
      <c r="DPH141" s="950"/>
      <c r="DPI141" s="950"/>
      <c r="DPJ141" s="950"/>
      <c r="DPK141" s="950"/>
      <c r="DPL141" s="950"/>
      <c r="DPM141" s="950"/>
      <c r="DPN141" s="950"/>
      <c r="DPO141" s="950"/>
      <c r="DPP141" s="950"/>
      <c r="DPQ141" s="950"/>
      <c r="DPR141" s="950"/>
      <c r="DPS141" s="950"/>
      <c r="DPT141" s="950"/>
      <c r="DPU141" s="950"/>
      <c r="DPV141" s="950"/>
      <c r="DPW141" s="950"/>
      <c r="DPX141" s="950"/>
      <c r="DPY141" s="950"/>
      <c r="DPZ141" s="950"/>
      <c r="DQA141" s="950"/>
      <c r="DQB141" s="950"/>
      <c r="DQC141" s="950"/>
      <c r="DQD141" s="950"/>
      <c r="DQE141" s="950"/>
      <c r="DQF141" s="950"/>
      <c r="DQG141" s="950"/>
      <c r="DQH141" s="950"/>
      <c r="DQI141" s="950"/>
      <c r="DQJ141" s="950"/>
      <c r="DQK141" s="950"/>
      <c r="DQL141" s="950"/>
      <c r="DQM141" s="950"/>
      <c r="DQN141" s="950"/>
      <c r="DQO141" s="950"/>
      <c r="DQP141" s="950"/>
      <c r="DQQ141" s="950"/>
      <c r="DQR141" s="950"/>
      <c r="DQS141" s="950"/>
      <c r="DQT141" s="950"/>
      <c r="DQU141" s="950"/>
      <c r="DQV141" s="950"/>
      <c r="DQW141" s="950"/>
      <c r="DQX141" s="950"/>
      <c r="DQY141" s="950"/>
      <c r="DQZ141" s="950"/>
      <c r="DRA141" s="950"/>
      <c r="DRB141" s="950"/>
      <c r="DRC141" s="950"/>
      <c r="DRD141" s="950"/>
      <c r="DRE141" s="950"/>
      <c r="DRF141" s="950"/>
      <c r="DRG141" s="950"/>
      <c r="DRH141" s="950"/>
      <c r="DRI141" s="950"/>
      <c r="DRJ141" s="950"/>
      <c r="DRK141" s="950"/>
      <c r="DRL141" s="950"/>
      <c r="DRM141" s="950"/>
      <c r="DRN141" s="950"/>
      <c r="DRO141" s="950"/>
      <c r="DRP141" s="950"/>
      <c r="DRQ141" s="950"/>
      <c r="DRR141" s="950"/>
      <c r="DRS141" s="950"/>
      <c r="DRT141" s="950"/>
      <c r="DRU141" s="950"/>
      <c r="DRV141" s="950"/>
      <c r="DRW141" s="950"/>
      <c r="DRX141" s="950"/>
      <c r="DRY141" s="950"/>
      <c r="DRZ141" s="950"/>
      <c r="DSA141" s="950"/>
      <c r="DSB141" s="950"/>
      <c r="DSC141" s="950"/>
      <c r="DSD141" s="950"/>
      <c r="DSE141" s="950"/>
      <c r="DSF141" s="950"/>
      <c r="DSG141" s="950"/>
      <c r="DSH141" s="950"/>
      <c r="DSI141" s="950"/>
      <c r="DSJ141" s="950"/>
      <c r="DSK141" s="950"/>
      <c r="DSL141" s="950"/>
      <c r="DSM141" s="950"/>
      <c r="DSN141" s="950"/>
      <c r="DSO141" s="950"/>
      <c r="DSP141" s="950"/>
      <c r="DSQ141" s="950"/>
      <c r="DSR141" s="950"/>
      <c r="DSS141" s="950"/>
      <c r="DST141" s="950"/>
      <c r="DSU141" s="950"/>
      <c r="DSV141" s="950"/>
      <c r="DSW141" s="950"/>
      <c r="DSX141" s="950"/>
      <c r="DSY141" s="950"/>
      <c r="DSZ141" s="950"/>
      <c r="DTA141" s="950"/>
      <c r="DTB141" s="950"/>
      <c r="DTC141" s="950"/>
      <c r="DTD141" s="950"/>
      <c r="DTE141" s="950"/>
      <c r="DTF141" s="950"/>
      <c r="DTG141" s="950"/>
      <c r="DTH141" s="950"/>
      <c r="DTI141" s="950"/>
      <c r="DTJ141" s="950"/>
      <c r="DTK141" s="950"/>
      <c r="DTL141" s="950"/>
      <c r="DTM141" s="950"/>
      <c r="DTN141" s="950"/>
      <c r="DTO141" s="950"/>
      <c r="DTP141" s="950"/>
      <c r="DTQ141" s="950"/>
      <c r="DTR141" s="950"/>
      <c r="DTS141" s="950"/>
      <c r="DTT141" s="950"/>
      <c r="DTU141" s="950"/>
      <c r="DTV141" s="950"/>
      <c r="DTW141" s="950"/>
      <c r="DTX141" s="950"/>
      <c r="DTY141" s="950"/>
      <c r="DTZ141" s="950"/>
      <c r="DUA141" s="950"/>
      <c r="DUB141" s="950"/>
      <c r="DUC141" s="950"/>
      <c r="DUD141" s="950"/>
      <c r="DUE141" s="950"/>
      <c r="DUF141" s="950"/>
      <c r="DUG141" s="950"/>
      <c r="DUH141" s="950"/>
      <c r="DUI141" s="950"/>
      <c r="DUJ141" s="950"/>
      <c r="DUK141" s="950"/>
      <c r="DUL141" s="950"/>
      <c r="DUM141" s="950"/>
      <c r="DUN141" s="950"/>
      <c r="DUO141" s="950"/>
      <c r="DUP141" s="950"/>
      <c r="DUQ141" s="950"/>
      <c r="DUR141" s="950"/>
      <c r="DUS141" s="950"/>
      <c r="DUT141" s="950"/>
      <c r="DUU141" s="950"/>
      <c r="DUV141" s="950"/>
      <c r="DUW141" s="950"/>
      <c r="DUX141" s="950"/>
      <c r="DUY141" s="950"/>
      <c r="DUZ141" s="950"/>
      <c r="DVA141" s="950"/>
      <c r="DVB141" s="950"/>
      <c r="DVC141" s="950"/>
      <c r="DVD141" s="950"/>
      <c r="DVE141" s="950"/>
      <c r="DVF141" s="950"/>
      <c r="DVG141" s="950"/>
      <c r="DVH141" s="950"/>
      <c r="DVI141" s="950"/>
      <c r="DVJ141" s="950"/>
      <c r="DVK141" s="950"/>
      <c r="DVL141" s="950"/>
      <c r="DVM141" s="950"/>
      <c r="DVN141" s="950"/>
      <c r="DVO141" s="950"/>
      <c r="DVP141" s="950"/>
      <c r="DVQ141" s="950"/>
      <c r="DVR141" s="950"/>
      <c r="DVS141" s="950"/>
      <c r="DVT141" s="950"/>
      <c r="DVU141" s="950"/>
      <c r="DVV141" s="950"/>
      <c r="DVW141" s="950"/>
      <c r="DVX141" s="950"/>
      <c r="DVY141" s="950"/>
      <c r="DVZ141" s="950"/>
      <c r="DWA141" s="950"/>
      <c r="DWB141" s="950"/>
      <c r="DWC141" s="950"/>
      <c r="DWD141" s="950"/>
      <c r="DWE141" s="950"/>
      <c r="DWF141" s="950"/>
      <c r="DWG141" s="950"/>
      <c r="DWH141" s="950"/>
      <c r="DWI141" s="950"/>
      <c r="DWJ141" s="950"/>
      <c r="DWK141" s="950"/>
      <c r="DWL141" s="950"/>
      <c r="DWM141" s="950"/>
      <c r="DWN141" s="950"/>
      <c r="DWO141" s="950"/>
      <c r="DWP141" s="950"/>
      <c r="DWQ141" s="950"/>
      <c r="DWR141" s="950"/>
      <c r="DWS141" s="950"/>
      <c r="DWT141" s="950"/>
      <c r="DWU141" s="950"/>
      <c r="DWV141" s="950"/>
      <c r="DWW141" s="950"/>
      <c r="DWX141" s="950"/>
      <c r="DWY141" s="950"/>
      <c r="DWZ141" s="950"/>
      <c r="DXA141" s="950"/>
      <c r="DXB141" s="950"/>
      <c r="DXC141" s="950"/>
      <c r="DXD141" s="950"/>
      <c r="DXE141" s="950"/>
      <c r="DXF141" s="950"/>
      <c r="DXG141" s="950"/>
      <c r="DXH141" s="950"/>
      <c r="DXI141" s="950"/>
      <c r="DXJ141" s="950"/>
      <c r="DXK141" s="950"/>
      <c r="DXL141" s="950"/>
      <c r="DXM141" s="950"/>
      <c r="DXN141" s="950"/>
      <c r="DXO141" s="950"/>
      <c r="DXP141" s="950"/>
      <c r="DXQ141" s="950"/>
      <c r="DXR141" s="950"/>
      <c r="DXS141" s="950"/>
      <c r="DXT141" s="950"/>
      <c r="DXU141" s="950"/>
      <c r="DXV141" s="950"/>
      <c r="DXW141" s="950"/>
      <c r="DXX141" s="950"/>
      <c r="DXY141" s="950"/>
      <c r="DXZ141" s="950"/>
      <c r="DYA141" s="950"/>
      <c r="DYB141" s="950"/>
      <c r="DYC141" s="950"/>
      <c r="DYD141" s="950"/>
      <c r="DYE141" s="950"/>
      <c r="DYF141" s="950"/>
      <c r="DYG141" s="950"/>
      <c r="DYH141" s="950"/>
      <c r="DYI141" s="950"/>
      <c r="DYJ141" s="950"/>
      <c r="DYK141" s="950"/>
      <c r="DYL141" s="950"/>
      <c r="DYM141" s="950"/>
      <c r="DYN141" s="950"/>
      <c r="DYO141" s="950"/>
      <c r="DYP141" s="950"/>
      <c r="DYQ141" s="950"/>
      <c r="DYR141" s="950"/>
      <c r="DYS141" s="950"/>
      <c r="DYT141" s="950"/>
      <c r="DYU141" s="950"/>
      <c r="DYV141" s="950"/>
      <c r="DYW141" s="950"/>
      <c r="DYX141" s="950"/>
      <c r="DYY141" s="950"/>
      <c r="DYZ141" s="950"/>
      <c r="DZA141" s="950"/>
      <c r="DZB141" s="950"/>
      <c r="DZC141" s="950"/>
      <c r="DZD141" s="950"/>
      <c r="DZE141" s="950"/>
      <c r="DZF141" s="950"/>
      <c r="DZG141" s="950"/>
      <c r="DZH141" s="950"/>
      <c r="DZI141" s="950"/>
      <c r="DZJ141" s="950"/>
      <c r="DZK141" s="950"/>
      <c r="DZL141" s="950"/>
      <c r="DZM141" s="950"/>
      <c r="DZN141" s="950"/>
      <c r="DZO141" s="950"/>
      <c r="DZP141" s="950"/>
      <c r="DZQ141" s="950"/>
      <c r="DZR141" s="950"/>
      <c r="DZS141" s="950"/>
      <c r="DZT141" s="950"/>
      <c r="DZU141" s="950"/>
      <c r="DZV141" s="950"/>
      <c r="DZW141" s="950"/>
      <c r="DZX141" s="950"/>
      <c r="DZY141" s="950"/>
      <c r="DZZ141" s="950"/>
      <c r="EAA141" s="950"/>
      <c r="EAB141" s="950"/>
      <c r="EAC141" s="950"/>
      <c r="EAD141" s="950"/>
      <c r="EAE141" s="950"/>
      <c r="EAF141" s="950"/>
      <c r="EAG141" s="950"/>
      <c r="EAH141" s="950"/>
      <c r="EAI141" s="950"/>
      <c r="EAJ141" s="950"/>
      <c r="EAK141" s="950"/>
      <c r="EAL141" s="950"/>
      <c r="EAM141" s="950"/>
      <c r="EAN141" s="950"/>
      <c r="EAO141" s="950"/>
      <c r="EAP141" s="950"/>
      <c r="EAQ141" s="950"/>
      <c r="EAR141" s="950"/>
      <c r="EAS141" s="950"/>
      <c r="EAT141" s="950"/>
      <c r="EAU141" s="950"/>
      <c r="EAV141" s="950"/>
      <c r="EAW141" s="950"/>
      <c r="EAX141" s="950"/>
      <c r="EAY141" s="950"/>
      <c r="EAZ141" s="950"/>
      <c r="EBA141" s="950"/>
      <c r="EBB141" s="950"/>
      <c r="EBC141" s="950"/>
      <c r="EBD141" s="950"/>
      <c r="EBE141" s="950"/>
      <c r="EBF141" s="950"/>
      <c r="EBG141" s="950"/>
      <c r="EBH141" s="950"/>
      <c r="EBI141" s="950"/>
      <c r="EBJ141" s="950"/>
      <c r="EBK141" s="950"/>
      <c r="EBL141" s="950"/>
      <c r="EBM141" s="950"/>
      <c r="EBN141" s="950"/>
      <c r="EBO141" s="950"/>
      <c r="EBP141" s="950"/>
      <c r="EBQ141" s="950"/>
      <c r="EBR141" s="950"/>
      <c r="EBS141" s="950"/>
      <c r="EBT141" s="950"/>
      <c r="EBU141" s="950"/>
      <c r="EBV141" s="950"/>
      <c r="EBW141" s="950"/>
      <c r="EBX141" s="950"/>
      <c r="EBY141" s="950"/>
      <c r="EBZ141" s="950"/>
      <c r="ECA141" s="950"/>
      <c r="ECB141" s="950"/>
      <c r="ECC141" s="950"/>
      <c r="ECD141" s="950"/>
      <c r="ECE141" s="950"/>
      <c r="ECF141" s="950"/>
      <c r="ECG141" s="950"/>
      <c r="ECH141" s="950"/>
      <c r="ECI141" s="950"/>
      <c r="ECJ141" s="950"/>
      <c r="ECK141" s="950"/>
      <c r="ECL141" s="950"/>
      <c r="ECM141" s="950"/>
      <c r="ECN141" s="950"/>
      <c r="ECO141" s="950"/>
      <c r="ECP141" s="950"/>
      <c r="ECQ141" s="950"/>
      <c r="ECR141" s="950"/>
      <c r="ECS141" s="950"/>
      <c r="ECT141" s="950"/>
      <c r="ECU141" s="950"/>
      <c r="ECV141" s="950"/>
      <c r="ECW141" s="950"/>
      <c r="ECX141" s="950"/>
      <c r="ECY141" s="950"/>
      <c r="ECZ141" s="950"/>
      <c r="EDA141" s="950"/>
      <c r="EDB141" s="950"/>
      <c r="EDC141" s="950"/>
      <c r="EDD141" s="950"/>
      <c r="EDE141" s="950"/>
      <c r="EDF141" s="950"/>
      <c r="EDG141" s="950"/>
      <c r="EDH141" s="950"/>
      <c r="EDI141" s="950"/>
      <c r="EDJ141" s="950"/>
      <c r="EDK141" s="950"/>
      <c r="EDL141" s="950"/>
      <c r="EDM141" s="950"/>
      <c r="EDN141" s="950"/>
      <c r="EDO141" s="950"/>
      <c r="EDP141" s="950"/>
      <c r="EDQ141" s="950"/>
      <c r="EDR141" s="950"/>
      <c r="EDS141" s="950"/>
      <c r="EDT141" s="950"/>
      <c r="EDU141" s="950"/>
      <c r="EDV141" s="950"/>
      <c r="EDW141" s="950"/>
      <c r="EDX141" s="950"/>
      <c r="EDY141" s="950"/>
      <c r="EDZ141" s="950"/>
      <c r="EEA141" s="950"/>
      <c r="EEB141" s="950"/>
      <c r="EEC141" s="950"/>
      <c r="EED141" s="950"/>
      <c r="EEE141" s="950"/>
      <c r="EEF141" s="950"/>
      <c r="EEG141" s="950"/>
      <c r="EEH141" s="950"/>
      <c r="EEI141" s="950"/>
      <c r="EEJ141" s="950"/>
      <c r="EEK141" s="950"/>
      <c r="EEL141" s="950"/>
      <c r="EEM141" s="950"/>
      <c r="EEN141" s="950"/>
      <c r="EEO141" s="950"/>
      <c r="EEP141" s="950"/>
      <c r="EEQ141" s="950"/>
      <c r="EER141" s="950"/>
      <c r="EES141" s="950"/>
      <c r="EET141" s="950"/>
      <c r="EEU141" s="950"/>
      <c r="EEV141" s="950"/>
      <c r="EEW141" s="950"/>
      <c r="EEX141" s="950"/>
      <c r="EEY141" s="950"/>
      <c r="EEZ141" s="950"/>
      <c r="EFA141" s="950"/>
      <c r="EFB141" s="950"/>
      <c r="EFC141" s="950"/>
      <c r="EFD141" s="950"/>
      <c r="EFE141" s="950"/>
      <c r="EFF141" s="950"/>
      <c r="EFG141" s="950"/>
      <c r="EFH141" s="950"/>
      <c r="EFI141" s="950"/>
      <c r="EFJ141" s="950"/>
      <c r="EFK141" s="950"/>
      <c r="EFL141" s="950"/>
      <c r="EFM141" s="950"/>
      <c r="EFN141" s="950"/>
      <c r="EFO141" s="950"/>
      <c r="EFP141" s="950"/>
      <c r="EFQ141" s="950"/>
      <c r="EFR141" s="950"/>
      <c r="EFS141" s="950"/>
      <c r="EFT141" s="950"/>
      <c r="EFU141" s="950"/>
      <c r="EFV141" s="950"/>
      <c r="EFW141" s="950"/>
      <c r="EFX141" s="950"/>
      <c r="EFY141" s="950"/>
      <c r="EFZ141" s="950"/>
      <c r="EGA141" s="950"/>
      <c r="EGB141" s="950"/>
      <c r="EGC141" s="950"/>
      <c r="EGD141" s="950"/>
      <c r="EGE141" s="950"/>
      <c r="EGF141" s="950"/>
      <c r="EGG141" s="950"/>
      <c r="EGH141" s="950"/>
      <c r="EGI141" s="950"/>
      <c r="EGJ141" s="950"/>
      <c r="EGK141" s="950"/>
      <c r="EGL141" s="950"/>
      <c r="EGM141" s="950"/>
      <c r="EGN141" s="950"/>
      <c r="EGO141" s="950"/>
      <c r="EGP141" s="950"/>
      <c r="EGQ141" s="950"/>
      <c r="EGR141" s="950"/>
      <c r="EGS141" s="950"/>
      <c r="EGT141" s="950"/>
      <c r="EGU141" s="950"/>
      <c r="EGV141" s="950"/>
      <c r="EGW141" s="950"/>
      <c r="EGX141" s="950"/>
      <c r="EGY141" s="950"/>
      <c r="EGZ141" s="950"/>
      <c r="EHA141" s="950"/>
      <c r="EHB141" s="950"/>
      <c r="EHC141" s="950"/>
      <c r="EHD141" s="950"/>
      <c r="EHE141" s="950"/>
      <c r="EHF141" s="950"/>
      <c r="EHG141" s="950"/>
      <c r="EHH141" s="950"/>
      <c r="EHI141" s="950"/>
      <c r="EHJ141" s="950"/>
      <c r="EHK141" s="950"/>
      <c r="EHL141" s="950"/>
      <c r="EHM141" s="950"/>
      <c r="EHN141" s="950"/>
      <c r="EHO141" s="950"/>
      <c r="EHP141" s="950"/>
      <c r="EHQ141" s="950"/>
      <c r="EHR141" s="950"/>
      <c r="EHS141" s="950"/>
      <c r="EHT141" s="950"/>
      <c r="EHU141" s="950"/>
      <c r="EHV141" s="950"/>
      <c r="EHW141" s="950"/>
      <c r="EHX141" s="950"/>
      <c r="EHY141" s="950"/>
      <c r="EHZ141" s="950"/>
      <c r="EIA141" s="950"/>
      <c r="EIB141" s="950"/>
      <c r="EIC141" s="950"/>
      <c r="EID141" s="950"/>
      <c r="EIE141" s="950"/>
      <c r="EIF141" s="950"/>
      <c r="EIG141" s="950"/>
      <c r="EIH141" s="950"/>
      <c r="EII141" s="950"/>
      <c r="EIJ141" s="950"/>
      <c r="EIK141" s="950"/>
      <c r="EIL141" s="950"/>
      <c r="EIM141" s="950"/>
      <c r="EIN141" s="950"/>
      <c r="EIO141" s="950"/>
      <c r="EIP141" s="950"/>
      <c r="EIQ141" s="950"/>
      <c r="EIR141" s="950"/>
      <c r="EIS141" s="950"/>
      <c r="EIT141" s="950"/>
      <c r="EIU141" s="950"/>
      <c r="EIV141" s="950"/>
      <c r="EIW141" s="950"/>
      <c r="EIX141" s="950"/>
      <c r="EIY141" s="950"/>
      <c r="EIZ141" s="950"/>
      <c r="EJA141" s="950"/>
      <c r="EJB141" s="950"/>
      <c r="EJC141" s="950"/>
      <c r="EJD141" s="950"/>
      <c r="EJE141" s="950"/>
      <c r="EJF141" s="950"/>
      <c r="EJG141" s="950"/>
      <c r="EJH141" s="950"/>
      <c r="EJI141" s="950"/>
      <c r="EJJ141" s="950"/>
      <c r="EJK141" s="950"/>
      <c r="EJL141" s="950"/>
      <c r="EJM141" s="950"/>
      <c r="EJN141" s="950"/>
      <c r="EJO141" s="950"/>
      <c r="EJP141" s="950"/>
      <c r="EJQ141" s="950"/>
      <c r="EJR141" s="950"/>
      <c r="EJS141" s="950"/>
      <c r="EJT141" s="950"/>
      <c r="EJU141" s="950"/>
      <c r="EJV141" s="950"/>
      <c r="EJW141" s="950"/>
      <c r="EJX141" s="950"/>
      <c r="EJY141" s="950"/>
      <c r="EJZ141" s="950"/>
      <c r="EKA141" s="950"/>
      <c r="EKB141" s="950"/>
      <c r="EKC141" s="950"/>
      <c r="EKD141" s="950"/>
      <c r="EKE141" s="950"/>
      <c r="EKF141" s="950"/>
      <c r="EKG141" s="950"/>
      <c r="EKH141" s="950"/>
      <c r="EKI141" s="950"/>
      <c r="EKJ141" s="950"/>
      <c r="EKK141" s="950"/>
      <c r="EKL141" s="950"/>
      <c r="EKM141" s="950"/>
      <c r="EKN141" s="950"/>
      <c r="EKO141" s="950"/>
      <c r="EKP141" s="950"/>
      <c r="EKQ141" s="950"/>
      <c r="EKR141" s="950"/>
      <c r="EKS141" s="950"/>
      <c r="EKT141" s="950"/>
      <c r="EKU141" s="950"/>
      <c r="EKV141" s="950"/>
      <c r="EKW141" s="950"/>
      <c r="EKX141" s="950"/>
      <c r="EKY141" s="950"/>
      <c r="EKZ141" s="950"/>
      <c r="ELA141" s="950"/>
      <c r="ELB141" s="950"/>
      <c r="ELC141" s="950"/>
      <c r="ELD141" s="950"/>
      <c r="ELE141" s="950"/>
      <c r="ELF141" s="950"/>
      <c r="ELG141" s="950"/>
      <c r="ELH141" s="950"/>
      <c r="ELI141" s="950"/>
      <c r="ELJ141" s="950"/>
      <c r="ELK141" s="950"/>
      <c r="ELL141" s="950"/>
      <c r="ELM141" s="950"/>
      <c r="ELN141" s="950"/>
      <c r="ELO141" s="950"/>
      <c r="ELP141" s="950"/>
      <c r="ELQ141" s="950"/>
      <c r="ELR141" s="950"/>
      <c r="ELS141" s="950"/>
      <c r="ELT141" s="950"/>
      <c r="ELU141" s="950"/>
      <c r="ELV141" s="950"/>
      <c r="ELW141" s="950"/>
      <c r="ELX141" s="950"/>
      <c r="ELY141" s="950"/>
      <c r="ELZ141" s="950"/>
      <c r="EMA141" s="950"/>
      <c r="EMB141" s="950"/>
      <c r="EMC141" s="950"/>
      <c r="EMD141" s="950"/>
      <c r="EME141" s="950"/>
      <c r="EMF141" s="950"/>
      <c r="EMG141" s="950"/>
      <c r="EMH141" s="950"/>
      <c r="EMI141" s="950"/>
      <c r="EMJ141" s="950"/>
      <c r="EMK141" s="950"/>
      <c r="EML141" s="950"/>
      <c r="EMM141" s="950"/>
      <c r="EMN141" s="950"/>
      <c r="EMO141" s="950"/>
      <c r="EMP141" s="950"/>
      <c r="EMQ141" s="950"/>
      <c r="EMR141" s="950"/>
      <c r="EMS141" s="950"/>
      <c r="EMT141" s="950"/>
      <c r="EMU141" s="950"/>
      <c r="EMV141" s="950"/>
      <c r="EMW141" s="950"/>
      <c r="EMX141" s="950"/>
      <c r="EMY141" s="950"/>
      <c r="EMZ141" s="950"/>
      <c r="ENA141" s="950"/>
      <c r="ENB141" s="950"/>
      <c r="ENC141" s="950"/>
      <c r="END141" s="950"/>
      <c r="ENE141" s="950"/>
      <c r="ENF141" s="950"/>
      <c r="ENG141" s="950"/>
      <c r="ENH141" s="950"/>
      <c r="ENI141" s="950"/>
      <c r="ENJ141" s="950"/>
      <c r="ENK141" s="950"/>
      <c r="ENL141" s="950"/>
      <c r="ENM141" s="950"/>
      <c r="ENN141" s="950"/>
      <c r="ENO141" s="950"/>
      <c r="ENP141" s="950"/>
      <c r="ENQ141" s="950"/>
      <c r="ENR141" s="950"/>
      <c r="ENS141" s="950"/>
      <c r="ENT141" s="950"/>
      <c r="ENU141" s="950"/>
      <c r="ENV141" s="950"/>
      <c r="ENW141" s="950"/>
      <c r="ENX141" s="950"/>
      <c r="ENY141" s="950"/>
      <c r="ENZ141" s="950"/>
      <c r="EOA141" s="950"/>
      <c r="EOB141" s="950"/>
      <c r="EOC141" s="950"/>
      <c r="EOD141" s="950"/>
      <c r="EOE141" s="950"/>
      <c r="EOF141" s="950"/>
      <c r="EOG141" s="950"/>
      <c r="EOH141" s="950"/>
      <c r="EOI141" s="950"/>
      <c r="EOJ141" s="950"/>
      <c r="EOK141" s="950"/>
      <c r="EOL141" s="950"/>
      <c r="EOM141" s="950"/>
      <c r="EON141" s="950"/>
      <c r="EOO141" s="950"/>
      <c r="EOP141" s="950"/>
      <c r="EOQ141" s="950"/>
      <c r="EOR141" s="950"/>
      <c r="EOS141" s="950"/>
      <c r="EOT141" s="950"/>
      <c r="EOU141" s="950"/>
      <c r="EOV141" s="950"/>
      <c r="EOW141" s="950"/>
      <c r="EOX141" s="950"/>
      <c r="EOY141" s="950"/>
      <c r="EOZ141" s="950"/>
      <c r="EPA141" s="950"/>
      <c r="EPB141" s="950"/>
      <c r="EPC141" s="950"/>
      <c r="EPD141" s="950"/>
      <c r="EPE141" s="950"/>
      <c r="EPF141" s="950"/>
      <c r="EPG141" s="950"/>
      <c r="EPH141" s="950"/>
      <c r="EPI141" s="950"/>
      <c r="EPJ141" s="950"/>
      <c r="EPK141" s="950"/>
      <c r="EPL141" s="950"/>
      <c r="EPM141" s="950"/>
      <c r="EPN141" s="950"/>
      <c r="EPO141" s="950"/>
      <c r="EPP141" s="950"/>
      <c r="EPQ141" s="950"/>
      <c r="EPR141" s="950"/>
      <c r="EPS141" s="950"/>
      <c r="EPT141" s="950"/>
      <c r="EPU141" s="950"/>
      <c r="EPV141" s="950"/>
      <c r="EPW141" s="950"/>
      <c r="EPX141" s="950"/>
      <c r="EPY141" s="950"/>
      <c r="EPZ141" s="950"/>
      <c r="EQA141" s="950"/>
      <c r="EQB141" s="950"/>
      <c r="EQC141" s="950"/>
      <c r="EQD141" s="950"/>
      <c r="EQE141" s="950"/>
      <c r="EQF141" s="950"/>
      <c r="EQG141" s="950"/>
      <c r="EQH141" s="950"/>
      <c r="EQI141" s="950"/>
      <c r="EQJ141" s="950"/>
      <c r="EQK141" s="950"/>
      <c r="EQL141" s="950"/>
      <c r="EQM141" s="950"/>
      <c r="EQN141" s="950"/>
      <c r="EQO141" s="950"/>
      <c r="EQP141" s="950"/>
      <c r="EQQ141" s="950"/>
      <c r="EQR141" s="950"/>
      <c r="EQS141" s="950"/>
      <c r="EQT141" s="950"/>
      <c r="EQU141" s="950"/>
      <c r="EQV141" s="950"/>
      <c r="EQW141" s="950"/>
      <c r="EQX141" s="950"/>
      <c r="EQY141" s="950"/>
      <c r="EQZ141" s="950"/>
      <c r="ERA141" s="950"/>
      <c r="ERB141" s="950"/>
      <c r="ERC141" s="950"/>
      <c r="ERD141" s="950"/>
      <c r="ERE141" s="950"/>
      <c r="ERF141" s="950"/>
      <c r="ERG141" s="950"/>
      <c r="ERH141" s="950"/>
      <c r="ERI141" s="950"/>
      <c r="ERJ141" s="950"/>
      <c r="ERK141" s="950"/>
      <c r="ERL141" s="950"/>
      <c r="ERM141" s="950"/>
      <c r="ERN141" s="950"/>
      <c r="ERO141" s="950"/>
      <c r="ERP141" s="950"/>
      <c r="ERQ141" s="950"/>
      <c r="ERR141" s="950"/>
      <c r="ERS141" s="950"/>
      <c r="ERT141" s="950"/>
      <c r="ERU141" s="950"/>
      <c r="ERV141" s="950"/>
      <c r="ERW141" s="950"/>
      <c r="ERX141" s="950"/>
      <c r="ERY141" s="950"/>
      <c r="ERZ141" s="950"/>
      <c r="ESA141" s="950"/>
      <c r="ESB141" s="950"/>
      <c r="ESC141" s="950"/>
      <c r="ESD141" s="950"/>
      <c r="ESE141" s="950"/>
      <c r="ESF141" s="950"/>
      <c r="ESG141" s="950"/>
      <c r="ESH141" s="950"/>
      <c r="ESI141" s="950"/>
      <c r="ESJ141" s="950"/>
      <c r="ESK141" s="950"/>
      <c r="ESL141" s="950"/>
      <c r="ESM141" s="950"/>
      <c r="ESN141" s="950"/>
      <c r="ESO141" s="950"/>
      <c r="ESP141" s="950"/>
      <c r="ESQ141" s="950"/>
      <c r="ESR141" s="950"/>
      <c r="ESS141" s="950"/>
      <c r="EST141" s="950"/>
      <c r="ESU141" s="950"/>
      <c r="ESV141" s="950"/>
      <c r="ESW141" s="950"/>
      <c r="ESX141" s="950"/>
      <c r="ESY141" s="950"/>
      <c r="ESZ141" s="950"/>
      <c r="ETA141" s="950"/>
      <c r="ETB141" s="950"/>
      <c r="ETC141" s="950"/>
      <c r="ETD141" s="950"/>
      <c r="ETE141" s="950"/>
      <c r="ETF141" s="950"/>
      <c r="ETG141" s="950"/>
      <c r="ETH141" s="950"/>
      <c r="ETI141" s="950"/>
      <c r="ETJ141" s="950"/>
      <c r="ETK141" s="950"/>
      <c r="ETL141" s="950"/>
      <c r="ETM141" s="950"/>
      <c r="ETN141" s="950"/>
      <c r="ETO141" s="950"/>
      <c r="ETP141" s="950"/>
      <c r="ETQ141" s="950"/>
      <c r="ETR141" s="950"/>
      <c r="ETS141" s="950"/>
      <c r="ETT141" s="950"/>
      <c r="ETU141" s="950"/>
      <c r="ETV141" s="950"/>
      <c r="ETW141" s="950"/>
      <c r="ETX141" s="950"/>
      <c r="ETY141" s="950"/>
      <c r="ETZ141" s="950"/>
      <c r="EUA141" s="950"/>
      <c r="EUB141" s="950"/>
      <c r="EUC141" s="950"/>
      <c r="EUD141" s="950"/>
      <c r="EUE141" s="950"/>
      <c r="EUF141" s="950"/>
      <c r="EUG141" s="950"/>
      <c r="EUH141" s="950"/>
      <c r="EUI141" s="950"/>
      <c r="EUJ141" s="950"/>
      <c r="EUK141" s="950"/>
      <c r="EUL141" s="950"/>
      <c r="EUM141" s="950"/>
      <c r="EUN141" s="950"/>
      <c r="EUO141" s="950"/>
      <c r="EUP141" s="950"/>
      <c r="EUQ141" s="950"/>
      <c r="EUR141" s="950"/>
      <c r="EUS141" s="950"/>
      <c r="EUT141" s="950"/>
      <c r="EUU141" s="950"/>
      <c r="EUV141" s="950"/>
      <c r="EUW141" s="950"/>
      <c r="EUX141" s="950"/>
      <c r="EUY141" s="950"/>
      <c r="EUZ141" s="950"/>
      <c r="EVA141" s="950"/>
      <c r="EVB141" s="950"/>
      <c r="EVC141" s="950"/>
      <c r="EVD141" s="950"/>
      <c r="EVE141" s="950"/>
      <c r="EVF141" s="950"/>
      <c r="EVG141" s="950"/>
      <c r="EVH141" s="950"/>
      <c r="EVI141" s="950"/>
      <c r="EVJ141" s="950"/>
      <c r="EVK141" s="950"/>
      <c r="EVL141" s="950"/>
      <c r="EVM141" s="950"/>
      <c r="EVN141" s="950"/>
      <c r="EVO141" s="950"/>
      <c r="EVP141" s="950"/>
      <c r="EVQ141" s="950"/>
      <c r="EVR141" s="950"/>
      <c r="EVS141" s="950"/>
      <c r="EVT141" s="950"/>
      <c r="EVU141" s="950"/>
      <c r="EVV141" s="950"/>
      <c r="EVW141" s="950"/>
      <c r="EVX141" s="950"/>
      <c r="EVY141" s="950"/>
      <c r="EVZ141" s="950"/>
      <c r="EWA141" s="950"/>
      <c r="EWB141" s="950"/>
      <c r="EWC141" s="950"/>
      <c r="EWD141" s="950"/>
      <c r="EWE141" s="950"/>
      <c r="EWF141" s="950"/>
      <c r="EWG141" s="950"/>
      <c r="EWH141" s="950"/>
      <c r="EWI141" s="950"/>
      <c r="EWJ141" s="950"/>
      <c r="EWK141" s="950"/>
      <c r="EWL141" s="950"/>
      <c r="EWM141" s="950"/>
      <c r="EWN141" s="950"/>
      <c r="EWO141" s="950"/>
      <c r="EWP141" s="950"/>
      <c r="EWQ141" s="950"/>
      <c r="EWR141" s="950"/>
      <c r="EWS141" s="950"/>
      <c r="EWT141" s="950"/>
      <c r="EWU141" s="950"/>
      <c r="EWV141" s="950"/>
      <c r="EWW141" s="950"/>
      <c r="EWX141" s="950"/>
      <c r="EWY141" s="950"/>
      <c r="EWZ141" s="950"/>
      <c r="EXA141" s="950"/>
      <c r="EXB141" s="950"/>
      <c r="EXC141" s="950"/>
      <c r="EXD141" s="950"/>
      <c r="EXE141" s="950"/>
      <c r="EXF141" s="950"/>
      <c r="EXG141" s="950"/>
      <c r="EXH141" s="950"/>
      <c r="EXI141" s="950"/>
      <c r="EXJ141" s="950"/>
      <c r="EXK141" s="950"/>
      <c r="EXL141" s="950"/>
      <c r="EXM141" s="950"/>
      <c r="EXN141" s="950"/>
      <c r="EXO141" s="950"/>
      <c r="EXP141" s="950"/>
      <c r="EXQ141" s="950"/>
      <c r="EXR141" s="950"/>
      <c r="EXS141" s="950"/>
      <c r="EXT141" s="950"/>
      <c r="EXU141" s="950"/>
      <c r="EXV141" s="950"/>
      <c r="EXW141" s="950"/>
      <c r="EXX141" s="950"/>
      <c r="EXY141" s="950"/>
      <c r="EXZ141" s="950"/>
      <c r="EYA141" s="950"/>
      <c r="EYB141" s="950"/>
      <c r="EYC141" s="950"/>
      <c r="EYD141" s="950"/>
      <c r="EYE141" s="950"/>
      <c r="EYF141" s="950"/>
      <c r="EYG141" s="950"/>
      <c r="EYH141" s="950"/>
      <c r="EYI141" s="950"/>
      <c r="EYJ141" s="950"/>
      <c r="EYK141" s="950"/>
      <c r="EYL141" s="950"/>
      <c r="EYM141" s="950"/>
      <c r="EYN141" s="950"/>
      <c r="EYO141" s="950"/>
      <c r="EYP141" s="950"/>
      <c r="EYQ141" s="950"/>
      <c r="EYR141" s="950"/>
      <c r="EYS141" s="950"/>
      <c r="EYT141" s="950"/>
      <c r="EYU141" s="950"/>
      <c r="EYV141" s="950"/>
      <c r="EYW141" s="950"/>
      <c r="EYX141" s="950"/>
      <c r="EYY141" s="950"/>
      <c r="EYZ141" s="950"/>
      <c r="EZA141" s="950"/>
      <c r="EZB141" s="950"/>
      <c r="EZC141" s="950"/>
      <c r="EZD141" s="950"/>
      <c r="EZE141" s="950"/>
      <c r="EZF141" s="950"/>
      <c r="EZG141" s="950"/>
      <c r="EZH141" s="950"/>
      <c r="EZI141" s="950"/>
      <c r="EZJ141" s="950"/>
      <c r="EZK141" s="950"/>
      <c r="EZL141" s="950"/>
      <c r="EZM141" s="950"/>
      <c r="EZN141" s="950"/>
      <c r="EZO141" s="950"/>
      <c r="EZP141" s="950"/>
      <c r="EZQ141" s="950"/>
      <c r="EZR141" s="950"/>
      <c r="EZS141" s="950"/>
      <c r="EZT141" s="950"/>
      <c r="EZU141" s="950"/>
      <c r="EZV141" s="950"/>
      <c r="EZW141" s="950"/>
      <c r="EZX141" s="950"/>
      <c r="EZY141" s="950"/>
      <c r="EZZ141" s="950"/>
      <c r="FAA141" s="950"/>
      <c r="FAB141" s="950"/>
      <c r="FAC141" s="950"/>
      <c r="FAD141" s="950"/>
      <c r="FAE141" s="950"/>
      <c r="FAF141" s="950"/>
      <c r="FAG141" s="950"/>
      <c r="FAH141" s="950"/>
      <c r="FAI141" s="950"/>
      <c r="FAJ141" s="950"/>
      <c r="FAK141" s="950"/>
      <c r="FAL141" s="950"/>
      <c r="FAM141" s="950"/>
      <c r="FAN141" s="950"/>
      <c r="FAO141" s="950"/>
      <c r="FAP141" s="950"/>
      <c r="FAQ141" s="950"/>
      <c r="FAR141" s="950"/>
      <c r="FAS141" s="950"/>
      <c r="FAT141" s="950"/>
      <c r="FAU141" s="950"/>
      <c r="FAV141" s="950"/>
      <c r="FAW141" s="950"/>
      <c r="FAX141" s="950"/>
      <c r="FAY141" s="950"/>
      <c r="FAZ141" s="950"/>
      <c r="FBA141" s="950"/>
      <c r="FBB141" s="950"/>
      <c r="FBC141" s="950"/>
      <c r="FBD141" s="950"/>
      <c r="FBE141" s="950"/>
      <c r="FBF141" s="950"/>
      <c r="FBG141" s="950"/>
      <c r="FBH141" s="950"/>
      <c r="FBI141" s="950"/>
      <c r="FBJ141" s="950"/>
      <c r="FBK141" s="950"/>
      <c r="FBL141" s="950"/>
      <c r="FBM141" s="950"/>
      <c r="FBN141" s="950"/>
      <c r="FBO141" s="950"/>
      <c r="FBP141" s="950"/>
      <c r="FBQ141" s="950"/>
      <c r="FBR141" s="950"/>
      <c r="FBS141" s="950"/>
      <c r="FBT141" s="950"/>
      <c r="FBU141" s="950"/>
      <c r="FBV141" s="950"/>
      <c r="FBW141" s="950"/>
      <c r="FBX141" s="950"/>
      <c r="FBY141" s="950"/>
      <c r="FBZ141" s="950"/>
      <c r="FCA141" s="950"/>
      <c r="FCB141" s="950"/>
      <c r="FCC141" s="950"/>
      <c r="FCD141" s="950"/>
      <c r="FCE141" s="950"/>
      <c r="FCF141" s="950"/>
      <c r="FCG141" s="950"/>
      <c r="FCH141" s="950"/>
      <c r="FCI141" s="950"/>
      <c r="FCJ141" s="950"/>
      <c r="FCK141" s="950"/>
      <c r="FCL141" s="950"/>
      <c r="FCM141" s="950"/>
      <c r="FCN141" s="950"/>
      <c r="FCO141" s="950"/>
      <c r="FCP141" s="950"/>
      <c r="FCQ141" s="950"/>
      <c r="FCR141" s="950"/>
      <c r="FCS141" s="950"/>
      <c r="FCT141" s="950"/>
      <c r="FCU141" s="950"/>
      <c r="FCV141" s="950"/>
      <c r="FCW141" s="950"/>
      <c r="FCX141" s="950"/>
      <c r="FCY141" s="950"/>
      <c r="FCZ141" s="950"/>
      <c r="FDA141" s="950"/>
      <c r="FDB141" s="950"/>
      <c r="FDC141" s="950"/>
      <c r="FDD141" s="950"/>
      <c r="FDE141" s="950"/>
      <c r="FDF141" s="950"/>
      <c r="FDG141" s="950"/>
      <c r="FDH141" s="950"/>
      <c r="FDI141" s="950"/>
      <c r="FDJ141" s="950"/>
      <c r="FDK141" s="950"/>
      <c r="FDL141" s="950"/>
      <c r="FDM141" s="950"/>
      <c r="FDN141" s="950"/>
      <c r="FDO141" s="950"/>
      <c r="FDP141" s="950"/>
      <c r="FDQ141" s="950"/>
      <c r="FDR141" s="950"/>
      <c r="FDS141" s="950"/>
      <c r="FDT141" s="950"/>
      <c r="FDU141" s="950"/>
      <c r="FDV141" s="950"/>
      <c r="FDW141" s="950"/>
      <c r="FDX141" s="950"/>
      <c r="FDY141" s="950"/>
      <c r="FDZ141" s="950"/>
      <c r="FEA141" s="950"/>
      <c r="FEB141" s="950"/>
      <c r="FEC141" s="950"/>
      <c r="FED141" s="950"/>
      <c r="FEE141" s="950"/>
      <c r="FEF141" s="950"/>
      <c r="FEG141" s="950"/>
      <c r="FEH141" s="950"/>
      <c r="FEI141" s="950"/>
      <c r="FEJ141" s="950"/>
      <c r="FEK141" s="950"/>
      <c r="FEL141" s="950"/>
      <c r="FEM141" s="950"/>
      <c r="FEN141" s="950"/>
      <c r="FEO141" s="950"/>
      <c r="FEP141" s="950"/>
      <c r="FEQ141" s="950"/>
      <c r="FER141" s="950"/>
      <c r="FES141" s="950"/>
      <c r="FET141" s="950"/>
      <c r="FEU141" s="950"/>
      <c r="FEV141" s="950"/>
      <c r="FEW141" s="950"/>
      <c r="FEX141" s="950"/>
      <c r="FEY141" s="950"/>
      <c r="FEZ141" s="950"/>
      <c r="FFA141" s="950"/>
      <c r="FFB141" s="950"/>
      <c r="FFC141" s="950"/>
      <c r="FFD141" s="950"/>
      <c r="FFE141" s="950"/>
      <c r="FFF141" s="950"/>
      <c r="FFG141" s="950"/>
      <c r="FFH141" s="950"/>
      <c r="FFI141" s="950"/>
      <c r="FFJ141" s="950"/>
      <c r="FFK141" s="950"/>
      <c r="FFL141" s="950"/>
      <c r="FFM141" s="950"/>
      <c r="FFN141" s="950"/>
      <c r="FFO141" s="950"/>
      <c r="FFP141" s="950"/>
      <c r="FFQ141" s="950"/>
      <c r="FFR141" s="950"/>
      <c r="FFS141" s="950"/>
      <c r="FFT141" s="950"/>
      <c r="FFU141" s="950"/>
      <c r="FFV141" s="950"/>
      <c r="FFW141" s="950"/>
      <c r="FFX141" s="950"/>
      <c r="FFY141" s="950"/>
      <c r="FFZ141" s="950"/>
      <c r="FGA141" s="950"/>
      <c r="FGB141" s="950"/>
      <c r="FGC141" s="950"/>
      <c r="FGD141" s="950"/>
      <c r="FGE141" s="950"/>
      <c r="FGF141" s="950"/>
      <c r="FGG141" s="950"/>
      <c r="FGH141" s="950"/>
      <c r="FGI141" s="950"/>
      <c r="FGJ141" s="950"/>
      <c r="FGK141" s="950"/>
      <c r="FGL141" s="950"/>
      <c r="FGM141" s="950"/>
      <c r="FGN141" s="950"/>
      <c r="FGO141" s="950"/>
      <c r="FGP141" s="950"/>
      <c r="FGQ141" s="950"/>
      <c r="FGR141" s="950"/>
      <c r="FGS141" s="950"/>
      <c r="FGT141" s="950"/>
      <c r="FGU141" s="950"/>
      <c r="FGV141" s="950"/>
      <c r="FGW141" s="950"/>
      <c r="FGX141" s="950"/>
      <c r="FGY141" s="950"/>
      <c r="FGZ141" s="950"/>
      <c r="FHA141" s="950"/>
      <c r="FHB141" s="950"/>
      <c r="FHC141" s="950"/>
      <c r="FHD141" s="950"/>
      <c r="FHE141" s="950"/>
      <c r="FHF141" s="950"/>
      <c r="FHG141" s="950"/>
      <c r="FHH141" s="950"/>
      <c r="FHI141" s="950"/>
      <c r="FHJ141" s="950"/>
      <c r="FHK141" s="950"/>
      <c r="FHL141" s="950"/>
      <c r="FHM141" s="950"/>
      <c r="FHN141" s="950"/>
      <c r="FHO141" s="950"/>
      <c r="FHP141" s="950"/>
      <c r="FHQ141" s="950"/>
      <c r="FHR141" s="950"/>
      <c r="FHS141" s="950"/>
      <c r="FHT141" s="950"/>
      <c r="FHU141" s="950"/>
      <c r="FHV141" s="950"/>
      <c r="FHW141" s="950"/>
      <c r="FHX141" s="950"/>
      <c r="FHY141" s="950"/>
      <c r="FHZ141" s="950"/>
      <c r="FIA141" s="950"/>
      <c r="FIB141" s="950"/>
      <c r="FIC141" s="950"/>
      <c r="FID141" s="950"/>
      <c r="FIE141" s="950"/>
      <c r="FIF141" s="950"/>
      <c r="FIG141" s="950"/>
      <c r="FIH141" s="950"/>
      <c r="FII141" s="950"/>
      <c r="FIJ141" s="950"/>
      <c r="FIK141" s="950"/>
      <c r="FIL141" s="950"/>
      <c r="FIM141" s="950"/>
      <c r="FIN141" s="950"/>
      <c r="FIO141" s="950"/>
      <c r="FIP141" s="950"/>
      <c r="FIQ141" s="950"/>
      <c r="FIR141" s="950"/>
      <c r="FIS141" s="950"/>
      <c r="FIT141" s="950"/>
      <c r="FIU141" s="950"/>
      <c r="FIV141" s="950"/>
      <c r="FIW141" s="950"/>
      <c r="FIX141" s="950"/>
      <c r="FIY141" s="950"/>
      <c r="FIZ141" s="950"/>
      <c r="FJA141" s="950"/>
      <c r="FJB141" s="950"/>
      <c r="FJC141" s="950"/>
      <c r="FJD141" s="950"/>
      <c r="FJE141" s="950"/>
      <c r="FJF141" s="950"/>
      <c r="FJG141" s="950"/>
      <c r="FJH141" s="950"/>
      <c r="FJI141" s="950"/>
      <c r="FJJ141" s="950"/>
      <c r="FJK141" s="950"/>
      <c r="FJL141" s="950"/>
      <c r="FJM141" s="950"/>
      <c r="FJN141" s="950"/>
      <c r="FJO141" s="950"/>
      <c r="FJP141" s="950"/>
      <c r="FJQ141" s="950"/>
      <c r="FJR141" s="950"/>
      <c r="FJS141" s="950"/>
      <c r="FJT141" s="950"/>
      <c r="FJU141" s="950"/>
      <c r="FJV141" s="950"/>
      <c r="FJW141" s="950"/>
      <c r="FJX141" s="950"/>
      <c r="FJY141" s="950"/>
      <c r="FJZ141" s="950"/>
      <c r="FKA141" s="950"/>
      <c r="FKB141" s="950"/>
      <c r="FKC141" s="950"/>
      <c r="FKD141" s="950"/>
      <c r="FKE141" s="950"/>
      <c r="FKF141" s="950"/>
      <c r="FKG141" s="950"/>
      <c r="FKH141" s="950"/>
      <c r="FKI141" s="950"/>
      <c r="FKJ141" s="950"/>
      <c r="FKK141" s="950"/>
      <c r="FKL141" s="950"/>
      <c r="FKM141" s="950"/>
      <c r="FKN141" s="950"/>
      <c r="FKO141" s="950"/>
      <c r="FKP141" s="950"/>
      <c r="FKQ141" s="950"/>
      <c r="FKR141" s="950"/>
      <c r="FKS141" s="950"/>
      <c r="FKT141" s="950"/>
      <c r="FKU141" s="950"/>
      <c r="FKV141" s="950"/>
      <c r="FKW141" s="950"/>
      <c r="FKX141" s="950"/>
      <c r="FKY141" s="950"/>
      <c r="FKZ141" s="950"/>
      <c r="FLA141" s="950"/>
      <c r="FLB141" s="950"/>
      <c r="FLC141" s="950"/>
      <c r="FLD141" s="950"/>
      <c r="FLE141" s="950"/>
      <c r="FLF141" s="950"/>
      <c r="FLG141" s="950"/>
      <c r="FLH141" s="950"/>
      <c r="FLI141" s="950"/>
      <c r="FLJ141" s="950"/>
      <c r="FLK141" s="950"/>
      <c r="FLL141" s="950"/>
      <c r="FLM141" s="950"/>
      <c r="FLN141" s="950"/>
      <c r="FLO141" s="950"/>
      <c r="FLP141" s="950"/>
      <c r="FLQ141" s="950"/>
      <c r="FLR141" s="950"/>
      <c r="FLS141" s="950"/>
      <c r="FLT141" s="950"/>
      <c r="FLU141" s="950"/>
      <c r="FLV141" s="950"/>
      <c r="FLW141" s="950"/>
      <c r="FLX141" s="950"/>
      <c r="FLY141" s="950"/>
      <c r="FLZ141" s="950"/>
      <c r="FMA141" s="950"/>
      <c r="FMB141" s="950"/>
      <c r="FMC141" s="950"/>
      <c r="FMD141" s="950"/>
      <c r="FME141" s="950"/>
      <c r="FMF141" s="950"/>
      <c r="FMG141" s="950"/>
      <c r="FMH141" s="950"/>
      <c r="FMI141" s="950"/>
      <c r="FMJ141" s="950"/>
      <c r="FMK141" s="950"/>
      <c r="FML141" s="950"/>
      <c r="FMM141" s="950"/>
      <c r="FMN141" s="950"/>
      <c r="FMO141" s="950"/>
      <c r="FMP141" s="950"/>
      <c r="FMQ141" s="950"/>
      <c r="FMR141" s="950"/>
      <c r="FMS141" s="950"/>
      <c r="FMT141" s="950"/>
      <c r="FMU141" s="950"/>
      <c r="FMV141" s="950"/>
      <c r="FMW141" s="950"/>
      <c r="FMX141" s="950"/>
      <c r="FMY141" s="950"/>
      <c r="FMZ141" s="950"/>
      <c r="FNA141" s="950"/>
      <c r="FNB141" s="950"/>
      <c r="FNC141" s="950"/>
      <c r="FND141" s="950"/>
      <c r="FNE141" s="950"/>
      <c r="FNF141" s="950"/>
      <c r="FNG141" s="950"/>
      <c r="FNH141" s="950"/>
      <c r="FNI141" s="950"/>
      <c r="FNJ141" s="950"/>
      <c r="FNK141" s="950"/>
      <c r="FNL141" s="950"/>
      <c r="FNM141" s="950"/>
      <c r="FNN141" s="950"/>
      <c r="FNO141" s="950"/>
      <c r="FNP141" s="950"/>
      <c r="FNQ141" s="950"/>
      <c r="FNR141" s="950"/>
      <c r="FNS141" s="950"/>
      <c r="FNT141" s="950"/>
      <c r="FNU141" s="950"/>
      <c r="FNV141" s="950"/>
      <c r="FNW141" s="950"/>
      <c r="FNX141" s="950"/>
      <c r="FNY141" s="950"/>
      <c r="FNZ141" s="950"/>
      <c r="FOA141" s="950"/>
      <c r="FOB141" s="950"/>
      <c r="FOC141" s="950"/>
      <c r="FOD141" s="950"/>
      <c r="FOE141" s="950"/>
      <c r="FOF141" s="950"/>
      <c r="FOG141" s="950"/>
      <c r="FOH141" s="950"/>
      <c r="FOI141" s="950"/>
      <c r="FOJ141" s="950"/>
      <c r="FOK141" s="950"/>
      <c r="FOL141" s="950"/>
      <c r="FOM141" s="950"/>
      <c r="FON141" s="950"/>
      <c r="FOO141" s="950"/>
      <c r="FOP141" s="950"/>
      <c r="FOQ141" s="950"/>
      <c r="FOR141" s="950"/>
      <c r="FOS141" s="950"/>
      <c r="FOT141" s="950"/>
      <c r="FOU141" s="950"/>
      <c r="FOV141" s="950"/>
      <c r="FOW141" s="950"/>
      <c r="FOX141" s="950"/>
      <c r="FOY141" s="950"/>
      <c r="FOZ141" s="950"/>
      <c r="FPA141" s="950"/>
      <c r="FPB141" s="950"/>
      <c r="FPC141" s="950"/>
      <c r="FPD141" s="950"/>
      <c r="FPE141" s="950"/>
      <c r="FPF141" s="950"/>
      <c r="FPG141" s="950"/>
      <c r="FPH141" s="950"/>
      <c r="FPI141" s="950"/>
      <c r="FPJ141" s="950"/>
      <c r="FPK141" s="950"/>
      <c r="FPL141" s="950"/>
      <c r="FPM141" s="950"/>
      <c r="FPN141" s="950"/>
      <c r="FPO141" s="950"/>
      <c r="FPP141" s="950"/>
      <c r="FPQ141" s="950"/>
      <c r="FPR141" s="950"/>
      <c r="FPS141" s="950"/>
      <c r="FPT141" s="950"/>
      <c r="FPU141" s="950"/>
      <c r="FPV141" s="950"/>
      <c r="FPW141" s="950"/>
      <c r="FPX141" s="950"/>
      <c r="FPY141" s="950"/>
      <c r="FPZ141" s="950"/>
      <c r="FQA141" s="950"/>
      <c r="FQB141" s="950"/>
      <c r="FQC141" s="950"/>
      <c r="FQD141" s="950"/>
      <c r="FQE141" s="950"/>
      <c r="FQF141" s="950"/>
      <c r="FQG141" s="950"/>
      <c r="FQH141" s="950"/>
      <c r="FQI141" s="950"/>
      <c r="FQJ141" s="950"/>
      <c r="FQK141" s="950"/>
      <c r="FQL141" s="950"/>
      <c r="FQM141" s="950"/>
      <c r="FQN141" s="950"/>
      <c r="FQO141" s="950"/>
      <c r="FQP141" s="950"/>
      <c r="FQQ141" s="950"/>
      <c r="FQR141" s="950"/>
      <c r="FQS141" s="950"/>
      <c r="FQT141" s="950"/>
      <c r="FQU141" s="950"/>
      <c r="FQV141" s="950"/>
      <c r="FQW141" s="950"/>
      <c r="FQX141" s="950"/>
      <c r="FQY141" s="950"/>
      <c r="FQZ141" s="950"/>
      <c r="FRA141" s="950"/>
      <c r="FRB141" s="950"/>
      <c r="FRC141" s="950"/>
      <c r="FRD141" s="950"/>
      <c r="FRE141" s="950"/>
      <c r="FRF141" s="950"/>
      <c r="FRG141" s="950"/>
      <c r="FRH141" s="950"/>
      <c r="FRI141" s="950"/>
      <c r="FRJ141" s="950"/>
      <c r="FRK141" s="950"/>
      <c r="FRL141" s="950"/>
      <c r="FRM141" s="950"/>
      <c r="FRN141" s="950"/>
      <c r="FRO141" s="950"/>
      <c r="FRP141" s="950"/>
      <c r="FRQ141" s="950"/>
      <c r="FRR141" s="950"/>
      <c r="FRS141" s="950"/>
      <c r="FRT141" s="950"/>
      <c r="FRU141" s="950"/>
      <c r="FRV141" s="950"/>
      <c r="FRW141" s="950"/>
      <c r="FRX141" s="950"/>
      <c r="FRY141" s="950"/>
      <c r="FRZ141" s="950"/>
      <c r="FSA141" s="950"/>
      <c r="FSB141" s="950"/>
      <c r="FSC141" s="950"/>
      <c r="FSD141" s="950"/>
      <c r="FSE141" s="950"/>
      <c r="FSF141" s="950"/>
      <c r="FSG141" s="950"/>
      <c r="FSH141" s="950"/>
      <c r="FSI141" s="950"/>
      <c r="FSJ141" s="950"/>
      <c r="FSK141" s="950"/>
      <c r="FSL141" s="950"/>
      <c r="FSM141" s="950"/>
      <c r="FSN141" s="950"/>
      <c r="FSO141" s="950"/>
      <c r="FSP141" s="950"/>
      <c r="FSQ141" s="950"/>
      <c r="FSR141" s="950"/>
      <c r="FSS141" s="950"/>
      <c r="FST141" s="950"/>
      <c r="FSU141" s="950"/>
      <c r="FSV141" s="950"/>
      <c r="FSW141" s="950"/>
      <c r="FSX141" s="950"/>
      <c r="FSY141" s="950"/>
      <c r="FSZ141" s="950"/>
      <c r="FTA141" s="950"/>
      <c r="FTB141" s="950"/>
      <c r="FTC141" s="950"/>
      <c r="FTD141" s="950"/>
      <c r="FTE141" s="950"/>
      <c r="FTF141" s="950"/>
      <c r="FTG141" s="950"/>
      <c r="FTH141" s="950"/>
      <c r="FTI141" s="950"/>
      <c r="FTJ141" s="950"/>
      <c r="FTK141" s="950"/>
      <c r="FTL141" s="950"/>
      <c r="FTM141" s="950"/>
      <c r="FTN141" s="950"/>
      <c r="FTO141" s="950"/>
      <c r="FTP141" s="950"/>
      <c r="FTQ141" s="950"/>
      <c r="FTR141" s="950"/>
      <c r="FTS141" s="950"/>
      <c r="FTT141" s="950"/>
      <c r="FTU141" s="950"/>
      <c r="FTV141" s="950"/>
      <c r="FTW141" s="950"/>
      <c r="FTX141" s="950"/>
      <c r="FTY141" s="950"/>
      <c r="FTZ141" s="950"/>
      <c r="FUA141" s="950"/>
      <c r="FUB141" s="950"/>
      <c r="FUC141" s="950"/>
      <c r="FUD141" s="950"/>
      <c r="FUE141" s="950"/>
      <c r="FUF141" s="950"/>
      <c r="FUG141" s="950"/>
      <c r="FUH141" s="950"/>
      <c r="FUI141" s="950"/>
      <c r="FUJ141" s="950"/>
      <c r="FUK141" s="950"/>
      <c r="FUL141" s="950"/>
      <c r="FUM141" s="950"/>
      <c r="FUN141" s="950"/>
      <c r="FUO141" s="950"/>
      <c r="FUP141" s="950"/>
      <c r="FUQ141" s="950"/>
      <c r="FUR141" s="950"/>
      <c r="FUS141" s="950"/>
      <c r="FUT141" s="950"/>
      <c r="FUU141" s="950"/>
      <c r="FUV141" s="950"/>
      <c r="FUW141" s="950"/>
      <c r="FUX141" s="950"/>
      <c r="FUY141" s="950"/>
      <c r="FUZ141" s="950"/>
      <c r="FVA141" s="950"/>
      <c r="FVB141" s="950"/>
      <c r="FVC141" s="950"/>
      <c r="FVD141" s="950"/>
      <c r="FVE141" s="950"/>
      <c r="FVF141" s="950"/>
      <c r="FVG141" s="950"/>
      <c r="FVH141" s="950"/>
      <c r="FVI141" s="950"/>
      <c r="FVJ141" s="950"/>
      <c r="FVK141" s="950"/>
      <c r="FVL141" s="950"/>
      <c r="FVM141" s="950"/>
      <c r="FVN141" s="950"/>
      <c r="FVO141" s="950"/>
      <c r="FVP141" s="950"/>
      <c r="FVQ141" s="950"/>
      <c r="FVR141" s="950"/>
      <c r="FVS141" s="950"/>
      <c r="FVT141" s="950"/>
      <c r="FVU141" s="950"/>
      <c r="FVV141" s="950"/>
      <c r="FVW141" s="950"/>
      <c r="FVX141" s="950"/>
      <c r="FVY141" s="950"/>
      <c r="FVZ141" s="950"/>
      <c r="FWA141" s="950"/>
      <c r="FWB141" s="950"/>
      <c r="FWC141" s="950"/>
      <c r="FWD141" s="950"/>
      <c r="FWE141" s="950"/>
      <c r="FWF141" s="950"/>
      <c r="FWG141" s="950"/>
      <c r="FWH141" s="950"/>
      <c r="FWI141" s="950"/>
      <c r="FWJ141" s="950"/>
      <c r="FWK141" s="950"/>
      <c r="FWL141" s="950"/>
      <c r="FWM141" s="950"/>
      <c r="FWN141" s="950"/>
      <c r="FWO141" s="950"/>
      <c r="FWP141" s="950"/>
      <c r="FWQ141" s="950"/>
      <c r="FWR141" s="950"/>
      <c r="FWS141" s="950"/>
      <c r="FWT141" s="950"/>
      <c r="FWU141" s="950"/>
      <c r="FWV141" s="950"/>
      <c r="FWW141" s="950"/>
      <c r="FWX141" s="950"/>
      <c r="FWY141" s="950"/>
      <c r="FWZ141" s="950"/>
      <c r="FXA141" s="950"/>
      <c r="FXB141" s="950"/>
      <c r="FXC141" s="950"/>
      <c r="FXD141" s="950"/>
      <c r="FXE141" s="950"/>
      <c r="FXF141" s="950"/>
      <c r="FXG141" s="950"/>
      <c r="FXH141" s="950"/>
      <c r="FXI141" s="950"/>
      <c r="FXJ141" s="950"/>
      <c r="FXK141" s="950"/>
      <c r="FXL141" s="950"/>
      <c r="FXM141" s="950"/>
      <c r="FXN141" s="950"/>
      <c r="FXO141" s="950"/>
      <c r="FXP141" s="950"/>
      <c r="FXQ141" s="950"/>
      <c r="FXR141" s="950"/>
      <c r="FXS141" s="950"/>
      <c r="FXT141" s="950"/>
      <c r="FXU141" s="950"/>
      <c r="FXV141" s="950"/>
      <c r="FXW141" s="950"/>
      <c r="FXX141" s="950"/>
      <c r="FXY141" s="950"/>
      <c r="FXZ141" s="950"/>
      <c r="FYA141" s="950"/>
      <c r="FYB141" s="950"/>
      <c r="FYC141" s="950"/>
      <c r="FYD141" s="950"/>
      <c r="FYE141" s="950"/>
      <c r="FYF141" s="950"/>
      <c r="FYG141" s="950"/>
      <c r="FYH141" s="950"/>
      <c r="FYI141" s="950"/>
      <c r="FYJ141" s="950"/>
      <c r="FYK141" s="950"/>
      <c r="FYL141" s="950"/>
      <c r="FYM141" s="950"/>
      <c r="FYN141" s="950"/>
      <c r="FYO141" s="950"/>
      <c r="FYP141" s="950"/>
      <c r="FYQ141" s="950"/>
      <c r="FYR141" s="950"/>
      <c r="FYS141" s="950"/>
      <c r="FYT141" s="950"/>
      <c r="FYU141" s="950"/>
      <c r="FYV141" s="950"/>
      <c r="FYW141" s="950"/>
      <c r="FYX141" s="950"/>
      <c r="FYY141" s="950"/>
      <c r="FYZ141" s="950"/>
      <c r="FZA141" s="950"/>
      <c r="FZB141" s="950"/>
      <c r="FZC141" s="950"/>
      <c r="FZD141" s="950"/>
      <c r="FZE141" s="950"/>
      <c r="FZF141" s="950"/>
      <c r="FZG141" s="950"/>
      <c r="FZH141" s="950"/>
      <c r="FZI141" s="950"/>
      <c r="FZJ141" s="950"/>
      <c r="FZK141" s="950"/>
      <c r="FZL141" s="950"/>
      <c r="FZM141" s="950"/>
      <c r="FZN141" s="950"/>
      <c r="FZO141" s="950"/>
      <c r="FZP141" s="950"/>
      <c r="FZQ141" s="950"/>
      <c r="FZR141" s="950"/>
      <c r="FZS141" s="950"/>
      <c r="FZT141" s="950"/>
      <c r="FZU141" s="950"/>
      <c r="FZV141" s="950"/>
      <c r="FZW141" s="950"/>
      <c r="FZX141" s="950"/>
      <c r="FZY141" s="950"/>
      <c r="FZZ141" s="950"/>
      <c r="GAA141" s="950"/>
      <c r="GAB141" s="950"/>
      <c r="GAC141" s="950"/>
      <c r="GAD141" s="950"/>
      <c r="GAE141" s="950"/>
      <c r="GAF141" s="950"/>
      <c r="GAG141" s="950"/>
      <c r="GAH141" s="950"/>
      <c r="GAI141" s="950"/>
      <c r="GAJ141" s="950"/>
      <c r="GAK141" s="950"/>
      <c r="GAL141" s="950"/>
      <c r="GAM141" s="950"/>
      <c r="GAN141" s="950"/>
      <c r="GAO141" s="950"/>
      <c r="GAP141" s="950"/>
      <c r="GAQ141" s="950"/>
      <c r="GAR141" s="950"/>
      <c r="GAS141" s="950"/>
      <c r="GAT141" s="950"/>
      <c r="GAU141" s="950"/>
      <c r="GAV141" s="950"/>
      <c r="GAW141" s="950"/>
      <c r="GAX141" s="950"/>
      <c r="GAY141" s="950"/>
      <c r="GAZ141" s="950"/>
      <c r="GBA141" s="950"/>
      <c r="GBB141" s="950"/>
      <c r="GBC141" s="950"/>
      <c r="GBD141" s="950"/>
      <c r="GBE141" s="950"/>
      <c r="GBF141" s="950"/>
      <c r="GBG141" s="950"/>
      <c r="GBH141" s="950"/>
      <c r="GBI141" s="950"/>
      <c r="GBJ141" s="950"/>
      <c r="GBK141" s="950"/>
      <c r="GBL141" s="950"/>
      <c r="GBM141" s="950"/>
      <c r="GBN141" s="950"/>
      <c r="GBO141" s="950"/>
      <c r="GBP141" s="950"/>
      <c r="GBQ141" s="950"/>
      <c r="GBR141" s="950"/>
      <c r="GBS141" s="950"/>
      <c r="GBT141" s="950"/>
      <c r="GBU141" s="950"/>
      <c r="GBV141" s="950"/>
      <c r="GBW141" s="950"/>
      <c r="GBX141" s="950"/>
      <c r="GBY141" s="950"/>
      <c r="GBZ141" s="950"/>
      <c r="GCA141" s="950"/>
      <c r="GCB141" s="950"/>
      <c r="GCC141" s="950"/>
      <c r="GCD141" s="950"/>
      <c r="GCE141" s="950"/>
      <c r="GCF141" s="950"/>
      <c r="GCG141" s="950"/>
      <c r="GCH141" s="950"/>
      <c r="GCI141" s="950"/>
      <c r="GCJ141" s="950"/>
      <c r="GCK141" s="950"/>
      <c r="GCL141" s="950"/>
      <c r="GCM141" s="950"/>
      <c r="GCN141" s="950"/>
      <c r="GCO141" s="950"/>
      <c r="GCP141" s="950"/>
      <c r="GCQ141" s="950"/>
      <c r="GCR141" s="950"/>
      <c r="GCS141" s="950"/>
      <c r="GCT141" s="950"/>
      <c r="GCU141" s="950"/>
      <c r="GCV141" s="950"/>
      <c r="GCW141" s="950"/>
      <c r="GCX141" s="950"/>
      <c r="GCY141" s="950"/>
      <c r="GCZ141" s="950"/>
      <c r="GDA141" s="950"/>
      <c r="GDB141" s="950"/>
      <c r="GDC141" s="950"/>
      <c r="GDD141" s="950"/>
      <c r="GDE141" s="950"/>
      <c r="GDF141" s="950"/>
      <c r="GDG141" s="950"/>
      <c r="GDH141" s="950"/>
      <c r="GDI141" s="950"/>
      <c r="GDJ141" s="950"/>
      <c r="GDK141" s="950"/>
      <c r="GDL141" s="950"/>
      <c r="GDM141" s="950"/>
      <c r="GDN141" s="950"/>
      <c r="GDO141" s="950"/>
      <c r="GDP141" s="950"/>
      <c r="GDQ141" s="950"/>
      <c r="GDR141" s="950"/>
      <c r="GDS141" s="950"/>
      <c r="GDT141" s="950"/>
      <c r="GDU141" s="950"/>
      <c r="GDV141" s="950"/>
      <c r="GDW141" s="950"/>
      <c r="GDX141" s="950"/>
      <c r="GDY141" s="950"/>
      <c r="GDZ141" s="950"/>
      <c r="GEA141" s="950"/>
      <c r="GEB141" s="950"/>
      <c r="GEC141" s="950"/>
      <c r="GED141" s="950"/>
      <c r="GEE141" s="950"/>
      <c r="GEF141" s="950"/>
      <c r="GEG141" s="950"/>
      <c r="GEH141" s="950"/>
      <c r="GEI141" s="950"/>
      <c r="GEJ141" s="950"/>
      <c r="GEK141" s="950"/>
      <c r="GEL141" s="950"/>
      <c r="GEM141" s="950"/>
      <c r="GEN141" s="950"/>
      <c r="GEO141" s="950"/>
      <c r="GEP141" s="950"/>
      <c r="GEQ141" s="950"/>
      <c r="GER141" s="950"/>
      <c r="GES141" s="950"/>
      <c r="GET141" s="950"/>
      <c r="GEU141" s="950"/>
      <c r="GEV141" s="950"/>
      <c r="GEW141" s="950"/>
      <c r="GEX141" s="950"/>
      <c r="GEY141" s="950"/>
      <c r="GEZ141" s="950"/>
      <c r="GFA141" s="950"/>
      <c r="GFB141" s="950"/>
      <c r="GFC141" s="950"/>
      <c r="GFD141" s="950"/>
      <c r="GFE141" s="950"/>
      <c r="GFF141" s="950"/>
      <c r="GFG141" s="950"/>
      <c r="GFH141" s="950"/>
      <c r="GFI141" s="950"/>
      <c r="GFJ141" s="950"/>
      <c r="GFK141" s="950"/>
      <c r="GFL141" s="950"/>
      <c r="GFM141" s="950"/>
      <c r="GFN141" s="950"/>
      <c r="GFO141" s="950"/>
      <c r="GFP141" s="950"/>
      <c r="GFQ141" s="950"/>
      <c r="GFR141" s="950"/>
      <c r="GFS141" s="950"/>
      <c r="GFT141" s="950"/>
      <c r="GFU141" s="950"/>
      <c r="GFV141" s="950"/>
      <c r="GFW141" s="950"/>
      <c r="GFX141" s="950"/>
      <c r="GFY141" s="950"/>
      <c r="GFZ141" s="950"/>
      <c r="GGA141" s="950"/>
      <c r="GGB141" s="950"/>
      <c r="GGC141" s="950"/>
      <c r="GGD141" s="950"/>
      <c r="GGE141" s="950"/>
      <c r="GGF141" s="950"/>
      <c r="GGG141" s="950"/>
      <c r="GGH141" s="950"/>
      <c r="GGI141" s="950"/>
      <c r="GGJ141" s="950"/>
      <c r="GGK141" s="950"/>
      <c r="GGL141" s="950"/>
      <c r="GGM141" s="950"/>
      <c r="GGN141" s="950"/>
      <c r="GGO141" s="950"/>
      <c r="GGP141" s="950"/>
      <c r="GGQ141" s="950"/>
      <c r="GGR141" s="950"/>
      <c r="GGS141" s="950"/>
      <c r="GGT141" s="950"/>
      <c r="GGU141" s="950"/>
      <c r="GGV141" s="950"/>
      <c r="GGW141" s="950"/>
      <c r="GGX141" s="950"/>
      <c r="GGY141" s="950"/>
      <c r="GGZ141" s="950"/>
      <c r="GHA141" s="950"/>
      <c r="GHB141" s="950"/>
      <c r="GHC141" s="950"/>
      <c r="GHD141" s="950"/>
      <c r="GHE141" s="950"/>
      <c r="GHF141" s="950"/>
      <c r="GHG141" s="950"/>
      <c r="GHH141" s="950"/>
      <c r="GHI141" s="950"/>
      <c r="GHJ141" s="950"/>
      <c r="GHK141" s="950"/>
      <c r="GHL141" s="950"/>
      <c r="GHM141" s="950"/>
      <c r="GHN141" s="950"/>
      <c r="GHO141" s="950"/>
      <c r="GHP141" s="950"/>
      <c r="GHQ141" s="950"/>
      <c r="GHR141" s="950"/>
      <c r="GHS141" s="950"/>
      <c r="GHT141" s="950"/>
      <c r="GHU141" s="950"/>
      <c r="GHV141" s="950"/>
      <c r="GHW141" s="950"/>
      <c r="GHX141" s="950"/>
      <c r="GHY141" s="950"/>
      <c r="GHZ141" s="950"/>
      <c r="GIA141" s="950"/>
      <c r="GIB141" s="950"/>
      <c r="GIC141" s="950"/>
      <c r="GID141" s="950"/>
      <c r="GIE141" s="950"/>
      <c r="GIF141" s="950"/>
      <c r="GIG141" s="950"/>
      <c r="GIH141" s="950"/>
      <c r="GII141" s="950"/>
      <c r="GIJ141" s="950"/>
      <c r="GIK141" s="950"/>
      <c r="GIL141" s="950"/>
      <c r="GIM141" s="950"/>
      <c r="GIN141" s="950"/>
      <c r="GIO141" s="950"/>
      <c r="GIP141" s="950"/>
      <c r="GIQ141" s="950"/>
      <c r="GIR141" s="950"/>
      <c r="GIS141" s="950"/>
      <c r="GIT141" s="950"/>
      <c r="GIU141" s="950"/>
      <c r="GIV141" s="950"/>
      <c r="GIW141" s="950"/>
      <c r="GIX141" s="950"/>
      <c r="GIY141" s="950"/>
      <c r="GIZ141" s="950"/>
      <c r="GJA141" s="950"/>
      <c r="GJB141" s="950"/>
      <c r="GJC141" s="950"/>
      <c r="GJD141" s="950"/>
      <c r="GJE141" s="950"/>
      <c r="GJF141" s="950"/>
      <c r="GJG141" s="950"/>
      <c r="GJH141" s="950"/>
      <c r="GJI141" s="950"/>
      <c r="GJJ141" s="950"/>
      <c r="GJK141" s="950"/>
      <c r="GJL141" s="950"/>
      <c r="GJM141" s="950"/>
      <c r="GJN141" s="950"/>
      <c r="GJO141" s="950"/>
      <c r="GJP141" s="950"/>
      <c r="GJQ141" s="950"/>
      <c r="GJR141" s="950"/>
      <c r="GJS141" s="950"/>
      <c r="GJT141" s="950"/>
      <c r="GJU141" s="950"/>
      <c r="GJV141" s="950"/>
      <c r="GJW141" s="950"/>
      <c r="GJX141" s="950"/>
      <c r="GJY141" s="950"/>
      <c r="GJZ141" s="950"/>
      <c r="GKA141" s="950"/>
      <c r="GKB141" s="950"/>
      <c r="GKC141" s="950"/>
      <c r="GKD141" s="950"/>
      <c r="GKE141" s="950"/>
      <c r="GKF141" s="950"/>
      <c r="GKG141" s="950"/>
      <c r="GKH141" s="950"/>
      <c r="GKI141" s="950"/>
      <c r="GKJ141" s="950"/>
      <c r="GKK141" s="950"/>
      <c r="GKL141" s="950"/>
      <c r="GKM141" s="950"/>
      <c r="GKN141" s="950"/>
      <c r="GKO141" s="950"/>
      <c r="GKP141" s="950"/>
      <c r="GKQ141" s="950"/>
      <c r="GKR141" s="950"/>
      <c r="GKS141" s="950"/>
      <c r="GKT141" s="950"/>
      <c r="GKU141" s="950"/>
      <c r="GKV141" s="950"/>
      <c r="GKW141" s="950"/>
      <c r="GKX141" s="950"/>
      <c r="GKY141" s="950"/>
      <c r="GKZ141" s="950"/>
      <c r="GLA141" s="950"/>
      <c r="GLB141" s="950"/>
      <c r="GLC141" s="950"/>
      <c r="GLD141" s="950"/>
      <c r="GLE141" s="950"/>
      <c r="GLF141" s="950"/>
      <c r="GLG141" s="950"/>
      <c r="GLH141" s="950"/>
      <c r="GLI141" s="950"/>
      <c r="GLJ141" s="950"/>
      <c r="GLK141" s="950"/>
      <c r="GLL141" s="950"/>
      <c r="GLM141" s="950"/>
      <c r="GLN141" s="950"/>
      <c r="GLO141" s="950"/>
      <c r="GLP141" s="950"/>
      <c r="GLQ141" s="950"/>
      <c r="GLR141" s="950"/>
      <c r="GLS141" s="950"/>
      <c r="GLT141" s="950"/>
      <c r="GLU141" s="950"/>
      <c r="GLV141" s="950"/>
      <c r="GLW141" s="950"/>
      <c r="GLX141" s="950"/>
      <c r="GLY141" s="950"/>
      <c r="GLZ141" s="950"/>
      <c r="GMA141" s="950"/>
      <c r="GMB141" s="950"/>
      <c r="GMC141" s="950"/>
      <c r="GMD141" s="950"/>
      <c r="GME141" s="950"/>
      <c r="GMF141" s="950"/>
      <c r="GMG141" s="950"/>
      <c r="GMH141" s="950"/>
      <c r="GMI141" s="950"/>
      <c r="GMJ141" s="950"/>
      <c r="GMK141" s="950"/>
      <c r="GML141" s="950"/>
      <c r="GMM141" s="950"/>
      <c r="GMN141" s="950"/>
      <c r="GMO141" s="950"/>
      <c r="GMP141" s="950"/>
      <c r="GMQ141" s="950"/>
      <c r="GMR141" s="950"/>
      <c r="GMS141" s="950"/>
      <c r="GMT141" s="950"/>
      <c r="GMU141" s="950"/>
      <c r="GMV141" s="950"/>
      <c r="GMW141" s="950"/>
      <c r="GMX141" s="950"/>
      <c r="GMY141" s="950"/>
      <c r="GMZ141" s="950"/>
      <c r="GNA141" s="950"/>
      <c r="GNB141" s="950"/>
      <c r="GNC141" s="950"/>
      <c r="GND141" s="950"/>
      <c r="GNE141" s="950"/>
      <c r="GNF141" s="950"/>
      <c r="GNG141" s="950"/>
      <c r="GNH141" s="950"/>
      <c r="GNI141" s="950"/>
      <c r="GNJ141" s="950"/>
      <c r="GNK141" s="950"/>
      <c r="GNL141" s="950"/>
      <c r="GNM141" s="950"/>
      <c r="GNN141" s="950"/>
      <c r="GNO141" s="950"/>
      <c r="GNP141" s="950"/>
      <c r="GNQ141" s="950"/>
      <c r="GNR141" s="950"/>
      <c r="GNS141" s="950"/>
      <c r="GNT141" s="950"/>
      <c r="GNU141" s="950"/>
      <c r="GNV141" s="950"/>
      <c r="GNW141" s="950"/>
      <c r="GNX141" s="950"/>
      <c r="GNY141" s="950"/>
      <c r="GNZ141" s="950"/>
      <c r="GOA141" s="950"/>
      <c r="GOB141" s="950"/>
      <c r="GOC141" s="950"/>
      <c r="GOD141" s="950"/>
      <c r="GOE141" s="950"/>
      <c r="GOF141" s="950"/>
      <c r="GOG141" s="950"/>
      <c r="GOH141" s="950"/>
      <c r="GOI141" s="950"/>
      <c r="GOJ141" s="950"/>
      <c r="GOK141" s="950"/>
      <c r="GOL141" s="950"/>
      <c r="GOM141" s="950"/>
      <c r="GON141" s="950"/>
      <c r="GOO141" s="950"/>
      <c r="GOP141" s="950"/>
      <c r="GOQ141" s="950"/>
      <c r="GOR141" s="950"/>
      <c r="GOS141" s="950"/>
      <c r="GOT141" s="950"/>
      <c r="GOU141" s="950"/>
      <c r="GOV141" s="950"/>
      <c r="GOW141" s="950"/>
      <c r="GOX141" s="950"/>
      <c r="GOY141" s="950"/>
      <c r="GOZ141" s="950"/>
      <c r="GPA141" s="950"/>
      <c r="GPB141" s="950"/>
      <c r="GPC141" s="950"/>
      <c r="GPD141" s="950"/>
      <c r="GPE141" s="950"/>
      <c r="GPF141" s="950"/>
      <c r="GPG141" s="950"/>
      <c r="GPH141" s="950"/>
      <c r="GPI141" s="950"/>
      <c r="GPJ141" s="950"/>
      <c r="GPK141" s="950"/>
      <c r="GPL141" s="950"/>
      <c r="GPM141" s="950"/>
      <c r="GPN141" s="950"/>
      <c r="GPO141" s="950"/>
      <c r="GPP141" s="950"/>
      <c r="GPQ141" s="950"/>
      <c r="GPR141" s="950"/>
      <c r="GPS141" s="950"/>
      <c r="GPT141" s="950"/>
      <c r="GPU141" s="950"/>
      <c r="GPV141" s="950"/>
      <c r="GPW141" s="950"/>
      <c r="GPX141" s="950"/>
      <c r="GPY141" s="950"/>
      <c r="GPZ141" s="950"/>
      <c r="GQA141" s="950"/>
      <c r="GQB141" s="950"/>
      <c r="GQC141" s="950"/>
      <c r="GQD141" s="950"/>
      <c r="GQE141" s="950"/>
      <c r="GQF141" s="950"/>
      <c r="GQG141" s="950"/>
      <c r="GQH141" s="950"/>
      <c r="GQI141" s="950"/>
      <c r="GQJ141" s="950"/>
      <c r="GQK141" s="950"/>
      <c r="GQL141" s="950"/>
      <c r="GQM141" s="950"/>
      <c r="GQN141" s="950"/>
      <c r="GQO141" s="950"/>
      <c r="GQP141" s="950"/>
      <c r="GQQ141" s="950"/>
      <c r="GQR141" s="950"/>
      <c r="GQS141" s="950"/>
      <c r="GQT141" s="950"/>
      <c r="GQU141" s="950"/>
      <c r="GQV141" s="950"/>
      <c r="GQW141" s="950"/>
      <c r="GQX141" s="950"/>
      <c r="GQY141" s="950"/>
      <c r="GQZ141" s="950"/>
      <c r="GRA141" s="950"/>
      <c r="GRB141" s="950"/>
      <c r="GRC141" s="950"/>
      <c r="GRD141" s="950"/>
      <c r="GRE141" s="950"/>
      <c r="GRF141" s="950"/>
      <c r="GRG141" s="950"/>
      <c r="GRH141" s="950"/>
      <c r="GRI141" s="950"/>
      <c r="GRJ141" s="950"/>
      <c r="GRK141" s="950"/>
      <c r="GRL141" s="950"/>
      <c r="GRM141" s="950"/>
      <c r="GRN141" s="950"/>
      <c r="GRO141" s="950"/>
      <c r="GRP141" s="950"/>
      <c r="GRQ141" s="950"/>
      <c r="GRR141" s="950"/>
      <c r="GRS141" s="950"/>
      <c r="GRT141" s="950"/>
      <c r="GRU141" s="950"/>
      <c r="GRV141" s="950"/>
      <c r="GRW141" s="950"/>
      <c r="GRX141" s="950"/>
      <c r="GRY141" s="950"/>
      <c r="GRZ141" s="950"/>
      <c r="GSA141" s="950"/>
      <c r="GSB141" s="950"/>
      <c r="GSC141" s="950"/>
      <c r="GSD141" s="950"/>
      <c r="GSE141" s="950"/>
      <c r="GSF141" s="950"/>
      <c r="GSG141" s="950"/>
      <c r="GSH141" s="950"/>
      <c r="GSI141" s="950"/>
      <c r="GSJ141" s="950"/>
      <c r="GSK141" s="950"/>
      <c r="GSL141" s="950"/>
      <c r="GSM141" s="950"/>
      <c r="GSN141" s="950"/>
      <c r="GSO141" s="950"/>
      <c r="GSP141" s="950"/>
      <c r="GSQ141" s="950"/>
      <c r="GSR141" s="950"/>
      <c r="GSS141" s="950"/>
      <c r="GST141" s="950"/>
      <c r="GSU141" s="950"/>
      <c r="GSV141" s="950"/>
      <c r="GSW141" s="950"/>
      <c r="GSX141" s="950"/>
      <c r="GSY141" s="950"/>
      <c r="GSZ141" s="950"/>
      <c r="GTA141" s="950"/>
      <c r="GTB141" s="950"/>
      <c r="GTC141" s="950"/>
      <c r="GTD141" s="950"/>
      <c r="GTE141" s="950"/>
      <c r="GTF141" s="950"/>
      <c r="GTG141" s="950"/>
      <c r="GTH141" s="950"/>
      <c r="GTI141" s="950"/>
      <c r="GTJ141" s="950"/>
      <c r="GTK141" s="950"/>
      <c r="GTL141" s="950"/>
      <c r="GTM141" s="950"/>
      <c r="GTN141" s="950"/>
      <c r="GTO141" s="950"/>
      <c r="GTP141" s="950"/>
      <c r="GTQ141" s="950"/>
      <c r="GTR141" s="950"/>
      <c r="GTS141" s="950"/>
      <c r="GTT141" s="950"/>
      <c r="GTU141" s="950"/>
      <c r="GTV141" s="950"/>
      <c r="GTW141" s="950"/>
      <c r="GTX141" s="950"/>
      <c r="GTY141" s="950"/>
      <c r="GTZ141" s="950"/>
      <c r="GUA141" s="950"/>
      <c r="GUB141" s="950"/>
      <c r="GUC141" s="950"/>
      <c r="GUD141" s="950"/>
      <c r="GUE141" s="950"/>
      <c r="GUF141" s="950"/>
      <c r="GUG141" s="950"/>
      <c r="GUH141" s="950"/>
      <c r="GUI141" s="950"/>
      <c r="GUJ141" s="950"/>
      <c r="GUK141" s="950"/>
      <c r="GUL141" s="950"/>
      <c r="GUM141" s="950"/>
      <c r="GUN141" s="950"/>
      <c r="GUO141" s="950"/>
      <c r="GUP141" s="950"/>
      <c r="GUQ141" s="950"/>
      <c r="GUR141" s="950"/>
      <c r="GUS141" s="950"/>
      <c r="GUT141" s="950"/>
      <c r="GUU141" s="950"/>
      <c r="GUV141" s="950"/>
      <c r="GUW141" s="950"/>
      <c r="GUX141" s="950"/>
      <c r="GUY141" s="950"/>
      <c r="GUZ141" s="950"/>
      <c r="GVA141" s="950"/>
      <c r="GVB141" s="950"/>
      <c r="GVC141" s="950"/>
      <c r="GVD141" s="950"/>
      <c r="GVE141" s="950"/>
      <c r="GVF141" s="950"/>
      <c r="GVG141" s="950"/>
      <c r="GVH141" s="950"/>
      <c r="GVI141" s="950"/>
      <c r="GVJ141" s="950"/>
      <c r="GVK141" s="950"/>
      <c r="GVL141" s="950"/>
      <c r="GVM141" s="950"/>
      <c r="GVN141" s="950"/>
      <c r="GVO141" s="950"/>
      <c r="GVP141" s="950"/>
      <c r="GVQ141" s="950"/>
      <c r="GVR141" s="950"/>
      <c r="GVS141" s="950"/>
      <c r="GVT141" s="950"/>
      <c r="GVU141" s="950"/>
      <c r="GVV141" s="950"/>
      <c r="GVW141" s="950"/>
      <c r="GVX141" s="950"/>
      <c r="GVY141" s="950"/>
      <c r="GVZ141" s="950"/>
      <c r="GWA141" s="950"/>
      <c r="GWB141" s="950"/>
      <c r="GWC141" s="950"/>
      <c r="GWD141" s="950"/>
      <c r="GWE141" s="950"/>
      <c r="GWF141" s="950"/>
      <c r="GWG141" s="950"/>
      <c r="GWH141" s="950"/>
      <c r="GWI141" s="950"/>
      <c r="GWJ141" s="950"/>
      <c r="GWK141" s="950"/>
      <c r="GWL141" s="950"/>
      <c r="GWM141" s="950"/>
      <c r="GWN141" s="950"/>
      <c r="GWO141" s="950"/>
      <c r="GWP141" s="950"/>
      <c r="GWQ141" s="950"/>
      <c r="GWR141" s="950"/>
      <c r="GWS141" s="950"/>
      <c r="GWT141" s="950"/>
      <c r="GWU141" s="950"/>
      <c r="GWV141" s="950"/>
      <c r="GWW141" s="950"/>
      <c r="GWX141" s="950"/>
      <c r="GWY141" s="950"/>
      <c r="GWZ141" s="950"/>
      <c r="GXA141" s="950"/>
      <c r="GXB141" s="950"/>
      <c r="GXC141" s="950"/>
      <c r="GXD141" s="950"/>
      <c r="GXE141" s="950"/>
      <c r="GXF141" s="950"/>
      <c r="GXG141" s="950"/>
      <c r="GXH141" s="950"/>
      <c r="GXI141" s="950"/>
      <c r="GXJ141" s="950"/>
      <c r="GXK141" s="950"/>
      <c r="GXL141" s="950"/>
      <c r="GXM141" s="950"/>
      <c r="GXN141" s="950"/>
      <c r="GXO141" s="950"/>
      <c r="GXP141" s="950"/>
      <c r="GXQ141" s="950"/>
      <c r="GXR141" s="950"/>
      <c r="GXS141" s="950"/>
      <c r="GXT141" s="950"/>
      <c r="GXU141" s="950"/>
      <c r="GXV141" s="950"/>
      <c r="GXW141" s="950"/>
      <c r="GXX141" s="950"/>
      <c r="GXY141" s="950"/>
      <c r="GXZ141" s="950"/>
      <c r="GYA141" s="950"/>
      <c r="GYB141" s="950"/>
      <c r="GYC141" s="950"/>
      <c r="GYD141" s="950"/>
      <c r="GYE141" s="950"/>
      <c r="GYF141" s="950"/>
      <c r="GYG141" s="950"/>
      <c r="GYH141" s="950"/>
      <c r="GYI141" s="950"/>
      <c r="GYJ141" s="950"/>
      <c r="GYK141" s="950"/>
      <c r="GYL141" s="950"/>
      <c r="GYM141" s="950"/>
      <c r="GYN141" s="950"/>
      <c r="GYO141" s="950"/>
      <c r="GYP141" s="950"/>
      <c r="GYQ141" s="950"/>
      <c r="GYR141" s="950"/>
      <c r="GYS141" s="950"/>
      <c r="GYT141" s="950"/>
      <c r="GYU141" s="950"/>
      <c r="GYV141" s="950"/>
      <c r="GYW141" s="950"/>
      <c r="GYX141" s="950"/>
      <c r="GYY141" s="950"/>
      <c r="GYZ141" s="950"/>
      <c r="GZA141" s="950"/>
      <c r="GZB141" s="950"/>
      <c r="GZC141" s="950"/>
      <c r="GZD141" s="950"/>
      <c r="GZE141" s="950"/>
      <c r="GZF141" s="950"/>
      <c r="GZG141" s="950"/>
      <c r="GZH141" s="950"/>
      <c r="GZI141" s="950"/>
      <c r="GZJ141" s="950"/>
      <c r="GZK141" s="950"/>
      <c r="GZL141" s="950"/>
      <c r="GZM141" s="950"/>
      <c r="GZN141" s="950"/>
      <c r="GZO141" s="950"/>
      <c r="GZP141" s="950"/>
      <c r="GZQ141" s="950"/>
      <c r="GZR141" s="950"/>
      <c r="GZS141" s="950"/>
      <c r="GZT141" s="950"/>
      <c r="GZU141" s="950"/>
      <c r="GZV141" s="950"/>
      <c r="GZW141" s="950"/>
      <c r="GZX141" s="950"/>
      <c r="GZY141" s="950"/>
      <c r="GZZ141" s="950"/>
      <c r="HAA141" s="950"/>
      <c r="HAB141" s="950"/>
      <c r="HAC141" s="950"/>
      <c r="HAD141" s="950"/>
      <c r="HAE141" s="950"/>
      <c r="HAF141" s="950"/>
      <c r="HAG141" s="950"/>
      <c r="HAH141" s="950"/>
      <c r="HAI141" s="950"/>
      <c r="HAJ141" s="950"/>
      <c r="HAK141" s="950"/>
      <c r="HAL141" s="950"/>
      <c r="HAM141" s="950"/>
      <c r="HAN141" s="950"/>
      <c r="HAO141" s="950"/>
      <c r="HAP141" s="950"/>
      <c r="HAQ141" s="950"/>
      <c r="HAR141" s="950"/>
      <c r="HAS141" s="950"/>
      <c r="HAT141" s="950"/>
      <c r="HAU141" s="950"/>
      <c r="HAV141" s="950"/>
      <c r="HAW141" s="950"/>
      <c r="HAX141" s="950"/>
      <c r="HAY141" s="950"/>
      <c r="HAZ141" s="950"/>
      <c r="HBA141" s="950"/>
      <c r="HBB141" s="950"/>
      <c r="HBC141" s="950"/>
      <c r="HBD141" s="950"/>
      <c r="HBE141" s="950"/>
      <c r="HBF141" s="950"/>
      <c r="HBG141" s="950"/>
      <c r="HBH141" s="950"/>
      <c r="HBI141" s="950"/>
      <c r="HBJ141" s="950"/>
      <c r="HBK141" s="950"/>
      <c r="HBL141" s="950"/>
      <c r="HBM141" s="950"/>
      <c r="HBN141" s="950"/>
      <c r="HBO141" s="950"/>
      <c r="HBP141" s="950"/>
      <c r="HBQ141" s="950"/>
      <c r="HBR141" s="950"/>
      <c r="HBS141" s="950"/>
      <c r="HBT141" s="950"/>
      <c r="HBU141" s="950"/>
      <c r="HBV141" s="950"/>
      <c r="HBW141" s="950"/>
      <c r="HBX141" s="950"/>
      <c r="HBY141" s="950"/>
      <c r="HBZ141" s="950"/>
      <c r="HCA141" s="950"/>
      <c r="HCB141" s="950"/>
      <c r="HCC141" s="950"/>
      <c r="HCD141" s="950"/>
      <c r="HCE141" s="950"/>
      <c r="HCF141" s="950"/>
      <c r="HCG141" s="950"/>
      <c r="HCH141" s="950"/>
      <c r="HCI141" s="950"/>
      <c r="HCJ141" s="950"/>
      <c r="HCK141" s="950"/>
      <c r="HCL141" s="950"/>
      <c r="HCM141" s="950"/>
      <c r="HCN141" s="950"/>
      <c r="HCO141" s="950"/>
      <c r="HCP141" s="950"/>
      <c r="HCQ141" s="950"/>
      <c r="HCR141" s="950"/>
      <c r="HCS141" s="950"/>
      <c r="HCT141" s="950"/>
      <c r="HCU141" s="950"/>
      <c r="HCV141" s="950"/>
      <c r="HCW141" s="950"/>
      <c r="HCX141" s="950"/>
      <c r="HCY141" s="950"/>
      <c r="HCZ141" s="950"/>
      <c r="HDA141" s="950"/>
      <c r="HDB141" s="950"/>
      <c r="HDC141" s="950"/>
      <c r="HDD141" s="950"/>
      <c r="HDE141" s="950"/>
      <c r="HDF141" s="950"/>
      <c r="HDG141" s="950"/>
      <c r="HDH141" s="950"/>
      <c r="HDI141" s="950"/>
      <c r="HDJ141" s="950"/>
      <c r="HDK141" s="950"/>
      <c r="HDL141" s="950"/>
      <c r="HDM141" s="950"/>
      <c r="HDN141" s="950"/>
      <c r="HDO141" s="950"/>
      <c r="HDP141" s="950"/>
      <c r="HDQ141" s="950"/>
      <c r="HDR141" s="950"/>
      <c r="HDS141" s="950"/>
      <c r="HDT141" s="950"/>
      <c r="HDU141" s="950"/>
      <c r="HDV141" s="950"/>
      <c r="HDW141" s="950"/>
      <c r="HDX141" s="950"/>
      <c r="HDY141" s="950"/>
      <c r="HDZ141" s="950"/>
      <c r="HEA141" s="950"/>
      <c r="HEB141" s="950"/>
      <c r="HEC141" s="950"/>
      <c r="HED141" s="950"/>
      <c r="HEE141" s="950"/>
      <c r="HEF141" s="950"/>
      <c r="HEG141" s="950"/>
      <c r="HEH141" s="950"/>
      <c r="HEI141" s="950"/>
      <c r="HEJ141" s="950"/>
      <c r="HEK141" s="950"/>
      <c r="HEL141" s="950"/>
      <c r="HEM141" s="950"/>
      <c r="HEN141" s="950"/>
      <c r="HEO141" s="950"/>
      <c r="HEP141" s="950"/>
      <c r="HEQ141" s="950"/>
      <c r="HER141" s="950"/>
      <c r="HES141" s="950"/>
      <c r="HET141" s="950"/>
      <c r="HEU141" s="950"/>
      <c r="HEV141" s="950"/>
      <c r="HEW141" s="950"/>
      <c r="HEX141" s="950"/>
      <c r="HEY141" s="950"/>
      <c r="HEZ141" s="950"/>
      <c r="HFA141" s="950"/>
      <c r="HFB141" s="950"/>
      <c r="HFC141" s="950"/>
      <c r="HFD141" s="950"/>
      <c r="HFE141" s="950"/>
      <c r="HFF141" s="950"/>
      <c r="HFG141" s="950"/>
      <c r="HFH141" s="950"/>
      <c r="HFI141" s="950"/>
      <c r="HFJ141" s="950"/>
      <c r="HFK141" s="950"/>
      <c r="HFL141" s="950"/>
      <c r="HFM141" s="950"/>
      <c r="HFN141" s="950"/>
      <c r="HFO141" s="950"/>
      <c r="HFP141" s="950"/>
      <c r="HFQ141" s="950"/>
      <c r="HFR141" s="950"/>
      <c r="HFS141" s="950"/>
      <c r="HFT141" s="950"/>
      <c r="HFU141" s="950"/>
      <c r="HFV141" s="950"/>
      <c r="HFW141" s="950"/>
      <c r="HFX141" s="950"/>
      <c r="HFY141" s="950"/>
      <c r="HFZ141" s="950"/>
      <c r="HGA141" s="950"/>
      <c r="HGB141" s="950"/>
      <c r="HGC141" s="950"/>
      <c r="HGD141" s="950"/>
      <c r="HGE141" s="950"/>
      <c r="HGF141" s="950"/>
      <c r="HGG141" s="950"/>
      <c r="HGH141" s="950"/>
      <c r="HGI141" s="950"/>
      <c r="HGJ141" s="950"/>
      <c r="HGK141" s="950"/>
      <c r="HGL141" s="950"/>
      <c r="HGM141" s="950"/>
      <c r="HGN141" s="950"/>
      <c r="HGO141" s="950"/>
      <c r="HGP141" s="950"/>
      <c r="HGQ141" s="950"/>
      <c r="HGR141" s="950"/>
      <c r="HGS141" s="950"/>
      <c r="HGT141" s="950"/>
      <c r="HGU141" s="950"/>
      <c r="HGV141" s="950"/>
      <c r="HGW141" s="950"/>
      <c r="HGX141" s="950"/>
      <c r="HGY141" s="950"/>
      <c r="HGZ141" s="950"/>
      <c r="HHA141" s="950"/>
      <c r="HHB141" s="950"/>
      <c r="HHC141" s="950"/>
      <c r="HHD141" s="950"/>
      <c r="HHE141" s="950"/>
      <c r="HHF141" s="950"/>
      <c r="HHG141" s="950"/>
      <c r="HHH141" s="950"/>
      <c r="HHI141" s="950"/>
      <c r="HHJ141" s="950"/>
      <c r="HHK141" s="950"/>
      <c r="HHL141" s="950"/>
      <c r="HHM141" s="950"/>
      <c r="HHN141" s="950"/>
      <c r="HHO141" s="950"/>
      <c r="HHP141" s="950"/>
      <c r="HHQ141" s="950"/>
      <c r="HHR141" s="950"/>
      <c r="HHS141" s="950"/>
      <c r="HHT141" s="950"/>
      <c r="HHU141" s="950"/>
      <c r="HHV141" s="950"/>
      <c r="HHW141" s="950"/>
      <c r="HHX141" s="950"/>
      <c r="HHY141" s="950"/>
      <c r="HHZ141" s="950"/>
      <c r="HIA141" s="950"/>
      <c r="HIB141" s="950"/>
      <c r="HIC141" s="950"/>
      <c r="HID141" s="950"/>
      <c r="HIE141" s="950"/>
      <c r="HIF141" s="950"/>
      <c r="HIG141" s="950"/>
      <c r="HIH141" s="950"/>
      <c r="HII141" s="950"/>
      <c r="HIJ141" s="950"/>
      <c r="HIK141" s="950"/>
      <c r="HIL141" s="950"/>
      <c r="HIM141" s="950"/>
      <c r="HIN141" s="950"/>
      <c r="HIO141" s="950"/>
      <c r="HIP141" s="950"/>
      <c r="HIQ141" s="950"/>
      <c r="HIR141" s="950"/>
      <c r="HIS141" s="950"/>
      <c r="HIT141" s="950"/>
      <c r="HIU141" s="950"/>
      <c r="HIV141" s="950"/>
      <c r="HIW141" s="950"/>
      <c r="HIX141" s="950"/>
      <c r="HIY141" s="950"/>
      <c r="HIZ141" s="950"/>
      <c r="HJA141" s="950"/>
      <c r="HJB141" s="950"/>
      <c r="HJC141" s="950"/>
      <c r="HJD141" s="950"/>
      <c r="HJE141" s="950"/>
      <c r="HJF141" s="950"/>
      <c r="HJG141" s="950"/>
      <c r="HJH141" s="950"/>
      <c r="HJI141" s="950"/>
      <c r="HJJ141" s="950"/>
      <c r="HJK141" s="950"/>
      <c r="HJL141" s="950"/>
      <c r="HJM141" s="950"/>
      <c r="HJN141" s="950"/>
      <c r="HJO141" s="950"/>
      <c r="HJP141" s="950"/>
      <c r="HJQ141" s="950"/>
      <c r="HJR141" s="950"/>
      <c r="HJS141" s="950"/>
      <c r="HJT141" s="950"/>
      <c r="HJU141" s="950"/>
      <c r="HJV141" s="950"/>
      <c r="HJW141" s="950"/>
      <c r="HJX141" s="950"/>
      <c r="HJY141" s="950"/>
      <c r="HJZ141" s="950"/>
      <c r="HKA141" s="950"/>
      <c r="HKB141" s="950"/>
      <c r="HKC141" s="950"/>
      <c r="HKD141" s="950"/>
      <c r="HKE141" s="950"/>
      <c r="HKF141" s="950"/>
      <c r="HKG141" s="950"/>
      <c r="HKH141" s="950"/>
      <c r="HKI141" s="950"/>
      <c r="HKJ141" s="950"/>
      <c r="HKK141" s="950"/>
      <c r="HKL141" s="950"/>
      <c r="HKM141" s="950"/>
      <c r="HKN141" s="950"/>
      <c r="HKO141" s="950"/>
      <c r="HKP141" s="950"/>
      <c r="HKQ141" s="950"/>
      <c r="HKR141" s="950"/>
      <c r="HKS141" s="950"/>
      <c r="HKT141" s="950"/>
      <c r="HKU141" s="950"/>
      <c r="HKV141" s="950"/>
      <c r="HKW141" s="950"/>
      <c r="HKX141" s="950"/>
      <c r="HKY141" s="950"/>
      <c r="HKZ141" s="950"/>
      <c r="HLA141" s="950"/>
      <c r="HLB141" s="950"/>
      <c r="HLC141" s="950"/>
      <c r="HLD141" s="950"/>
      <c r="HLE141" s="950"/>
      <c r="HLF141" s="950"/>
      <c r="HLG141" s="950"/>
      <c r="HLH141" s="950"/>
      <c r="HLI141" s="950"/>
      <c r="HLJ141" s="950"/>
      <c r="HLK141" s="950"/>
      <c r="HLL141" s="950"/>
      <c r="HLM141" s="950"/>
      <c r="HLN141" s="950"/>
      <c r="HLO141" s="950"/>
      <c r="HLP141" s="950"/>
      <c r="HLQ141" s="950"/>
      <c r="HLR141" s="950"/>
      <c r="HLS141" s="950"/>
      <c r="HLT141" s="950"/>
      <c r="HLU141" s="950"/>
      <c r="HLV141" s="950"/>
      <c r="HLW141" s="950"/>
      <c r="HLX141" s="950"/>
      <c r="HLY141" s="950"/>
      <c r="HLZ141" s="950"/>
      <c r="HMA141" s="950"/>
      <c r="HMB141" s="950"/>
      <c r="HMC141" s="950"/>
      <c r="HMD141" s="950"/>
      <c r="HME141" s="950"/>
      <c r="HMF141" s="950"/>
      <c r="HMG141" s="950"/>
      <c r="HMH141" s="950"/>
      <c r="HMI141" s="950"/>
      <c r="HMJ141" s="950"/>
      <c r="HMK141" s="950"/>
      <c r="HML141" s="950"/>
      <c r="HMM141" s="950"/>
      <c r="HMN141" s="950"/>
      <c r="HMO141" s="950"/>
      <c r="HMP141" s="950"/>
      <c r="HMQ141" s="950"/>
      <c r="HMR141" s="950"/>
      <c r="HMS141" s="950"/>
      <c r="HMT141" s="950"/>
      <c r="HMU141" s="950"/>
      <c r="HMV141" s="950"/>
      <c r="HMW141" s="950"/>
      <c r="HMX141" s="950"/>
      <c r="HMY141" s="950"/>
      <c r="HMZ141" s="950"/>
      <c r="HNA141" s="950"/>
      <c r="HNB141" s="950"/>
      <c r="HNC141" s="950"/>
      <c r="HND141" s="950"/>
      <c r="HNE141" s="950"/>
      <c r="HNF141" s="950"/>
      <c r="HNG141" s="950"/>
      <c r="HNH141" s="950"/>
      <c r="HNI141" s="950"/>
      <c r="HNJ141" s="950"/>
      <c r="HNK141" s="950"/>
      <c r="HNL141" s="950"/>
      <c r="HNM141" s="950"/>
      <c r="HNN141" s="950"/>
      <c r="HNO141" s="950"/>
      <c r="HNP141" s="950"/>
      <c r="HNQ141" s="950"/>
      <c r="HNR141" s="950"/>
      <c r="HNS141" s="950"/>
      <c r="HNT141" s="950"/>
      <c r="HNU141" s="950"/>
      <c r="HNV141" s="950"/>
      <c r="HNW141" s="950"/>
      <c r="HNX141" s="950"/>
      <c r="HNY141" s="950"/>
      <c r="HNZ141" s="950"/>
      <c r="HOA141" s="950"/>
      <c r="HOB141" s="950"/>
      <c r="HOC141" s="950"/>
      <c r="HOD141" s="950"/>
      <c r="HOE141" s="950"/>
      <c r="HOF141" s="950"/>
      <c r="HOG141" s="950"/>
      <c r="HOH141" s="950"/>
      <c r="HOI141" s="950"/>
      <c r="HOJ141" s="950"/>
      <c r="HOK141" s="950"/>
      <c r="HOL141" s="950"/>
      <c r="HOM141" s="950"/>
      <c r="HON141" s="950"/>
      <c r="HOO141" s="950"/>
      <c r="HOP141" s="950"/>
      <c r="HOQ141" s="950"/>
      <c r="HOR141" s="950"/>
      <c r="HOS141" s="950"/>
      <c r="HOT141" s="950"/>
      <c r="HOU141" s="950"/>
      <c r="HOV141" s="950"/>
      <c r="HOW141" s="950"/>
      <c r="HOX141" s="950"/>
      <c r="HOY141" s="950"/>
      <c r="HOZ141" s="950"/>
      <c r="HPA141" s="950"/>
      <c r="HPB141" s="950"/>
      <c r="HPC141" s="950"/>
      <c r="HPD141" s="950"/>
      <c r="HPE141" s="950"/>
      <c r="HPF141" s="950"/>
      <c r="HPG141" s="950"/>
      <c r="HPH141" s="950"/>
      <c r="HPI141" s="950"/>
      <c r="HPJ141" s="950"/>
      <c r="HPK141" s="950"/>
      <c r="HPL141" s="950"/>
      <c r="HPM141" s="950"/>
      <c r="HPN141" s="950"/>
      <c r="HPO141" s="950"/>
      <c r="HPP141" s="950"/>
      <c r="HPQ141" s="950"/>
      <c r="HPR141" s="950"/>
      <c r="HPS141" s="950"/>
      <c r="HPT141" s="950"/>
      <c r="HPU141" s="950"/>
      <c r="HPV141" s="950"/>
      <c r="HPW141" s="950"/>
      <c r="HPX141" s="950"/>
      <c r="HPY141" s="950"/>
      <c r="HPZ141" s="950"/>
      <c r="HQA141" s="950"/>
      <c r="HQB141" s="950"/>
      <c r="HQC141" s="950"/>
      <c r="HQD141" s="950"/>
      <c r="HQE141" s="950"/>
      <c r="HQF141" s="950"/>
      <c r="HQG141" s="950"/>
      <c r="HQH141" s="950"/>
      <c r="HQI141" s="950"/>
      <c r="HQJ141" s="950"/>
      <c r="HQK141" s="950"/>
      <c r="HQL141" s="950"/>
      <c r="HQM141" s="950"/>
      <c r="HQN141" s="950"/>
      <c r="HQO141" s="950"/>
      <c r="HQP141" s="950"/>
      <c r="HQQ141" s="950"/>
      <c r="HQR141" s="950"/>
      <c r="HQS141" s="950"/>
      <c r="HQT141" s="950"/>
      <c r="HQU141" s="950"/>
      <c r="HQV141" s="950"/>
      <c r="HQW141" s="950"/>
      <c r="HQX141" s="950"/>
      <c r="HQY141" s="950"/>
      <c r="HQZ141" s="950"/>
      <c r="HRA141" s="950"/>
      <c r="HRB141" s="950"/>
      <c r="HRC141" s="950"/>
      <c r="HRD141" s="950"/>
      <c r="HRE141" s="950"/>
      <c r="HRF141" s="950"/>
      <c r="HRG141" s="950"/>
      <c r="HRH141" s="950"/>
      <c r="HRI141" s="950"/>
      <c r="HRJ141" s="950"/>
      <c r="HRK141" s="950"/>
      <c r="HRL141" s="950"/>
      <c r="HRM141" s="950"/>
      <c r="HRN141" s="950"/>
      <c r="HRO141" s="950"/>
      <c r="HRP141" s="950"/>
      <c r="HRQ141" s="950"/>
      <c r="HRR141" s="950"/>
      <c r="HRS141" s="950"/>
      <c r="HRT141" s="950"/>
      <c r="HRU141" s="950"/>
      <c r="HRV141" s="950"/>
      <c r="HRW141" s="950"/>
      <c r="HRX141" s="950"/>
      <c r="HRY141" s="950"/>
      <c r="HRZ141" s="950"/>
      <c r="HSA141" s="950"/>
      <c r="HSB141" s="950"/>
      <c r="HSC141" s="950"/>
      <c r="HSD141" s="950"/>
      <c r="HSE141" s="950"/>
      <c r="HSF141" s="950"/>
      <c r="HSG141" s="950"/>
      <c r="HSH141" s="950"/>
      <c r="HSI141" s="950"/>
      <c r="HSJ141" s="950"/>
      <c r="HSK141" s="950"/>
      <c r="HSL141" s="950"/>
      <c r="HSM141" s="950"/>
      <c r="HSN141" s="950"/>
      <c r="HSO141" s="950"/>
      <c r="HSP141" s="950"/>
      <c r="HSQ141" s="950"/>
      <c r="HSR141" s="950"/>
      <c r="HSS141" s="950"/>
      <c r="HST141" s="950"/>
      <c r="HSU141" s="950"/>
      <c r="HSV141" s="950"/>
      <c r="HSW141" s="950"/>
      <c r="HSX141" s="950"/>
      <c r="HSY141" s="950"/>
      <c r="HSZ141" s="950"/>
      <c r="HTA141" s="950"/>
      <c r="HTB141" s="950"/>
      <c r="HTC141" s="950"/>
      <c r="HTD141" s="950"/>
      <c r="HTE141" s="950"/>
      <c r="HTF141" s="950"/>
      <c r="HTG141" s="950"/>
      <c r="HTH141" s="950"/>
      <c r="HTI141" s="950"/>
      <c r="HTJ141" s="950"/>
      <c r="HTK141" s="950"/>
      <c r="HTL141" s="950"/>
      <c r="HTM141" s="950"/>
      <c r="HTN141" s="950"/>
      <c r="HTO141" s="950"/>
      <c r="HTP141" s="950"/>
      <c r="HTQ141" s="950"/>
      <c r="HTR141" s="950"/>
      <c r="HTS141" s="950"/>
      <c r="HTT141" s="950"/>
      <c r="HTU141" s="950"/>
      <c r="HTV141" s="950"/>
      <c r="HTW141" s="950"/>
      <c r="HTX141" s="950"/>
      <c r="HTY141" s="950"/>
      <c r="HTZ141" s="950"/>
      <c r="HUA141" s="950"/>
      <c r="HUB141" s="950"/>
      <c r="HUC141" s="950"/>
      <c r="HUD141" s="950"/>
      <c r="HUE141" s="950"/>
      <c r="HUF141" s="950"/>
      <c r="HUG141" s="950"/>
      <c r="HUH141" s="950"/>
      <c r="HUI141" s="950"/>
      <c r="HUJ141" s="950"/>
      <c r="HUK141" s="950"/>
      <c r="HUL141" s="950"/>
      <c r="HUM141" s="950"/>
      <c r="HUN141" s="950"/>
      <c r="HUO141" s="950"/>
      <c r="HUP141" s="950"/>
      <c r="HUQ141" s="950"/>
      <c r="HUR141" s="950"/>
      <c r="HUS141" s="950"/>
      <c r="HUT141" s="950"/>
      <c r="HUU141" s="950"/>
      <c r="HUV141" s="950"/>
      <c r="HUW141" s="950"/>
      <c r="HUX141" s="950"/>
      <c r="HUY141" s="950"/>
      <c r="HUZ141" s="950"/>
      <c r="HVA141" s="950"/>
      <c r="HVB141" s="950"/>
      <c r="HVC141" s="950"/>
      <c r="HVD141" s="950"/>
      <c r="HVE141" s="950"/>
      <c r="HVF141" s="950"/>
      <c r="HVG141" s="950"/>
      <c r="HVH141" s="950"/>
      <c r="HVI141" s="950"/>
      <c r="HVJ141" s="950"/>
      <c r="HVK141" s="950"/>
      <c r="HVL141" s="950"/>
      <c r="HVM141" s="950"/>
      <c r="HVN141" s="950"/>
      <c r="HVO141" s="950"/>
      <c r="HVP141" s="950"/>
      <c r="HVQ141" s="950"/>
      <c r="HVR141" s="950"/>
      <c r="HVS141" s="950"/>
      <c r="HVT141" s="950"/>
      <c r="HVU141" s="950"/>
      <c r="HVV141" s="950"/>
      <c r="HVW141" s="950"/>
      <c r="HVX141" s="950"/>
      <c r="HVY141" s="950"/>
      <c r="HVZ141" s="950"/>
      <c r="HWA141" s="950"/>
      <c r="HWB141" s="950"/>
      <c r="HWC141" s="950"/>
      <c r="HWD141" s="950"/>
      <c r="HWE141" s="950"/>
      <c r="HWF141" s="950"/>
      <c r="HWG141" s="950"/>
      <c r="HWH141" s="950"/>
      <c r="HWI141" s="950"/>
      <c r="HWJ141" s="950"/>
      <c r="HWK141" s="950"/>
      <c r="HWL141" s="950"/>
      <c r="HWM141" s="950"/>
      <c r="HWN141" s="950"/>
      <c r="HWO141" s="950"/>
      <c r="HWP141" s="950"/>
      <c r="HWQ141" s="950"/>
      <c r="HWR141" s="950"/>
      <c r="HWS141" s="950"/>
      <c r="HWT141" s="950"/>
      <c r="HWU141" s="950"/>
      <c r="HWV141" s="950"/>
      <c r="HWW141" s="950"/>
      <c r="HWX141" s="950"/>
      <c r="HWY141" s="950"/>
      <c r="HWZ141" s="950"/>
      <c r="HXA141" s="950"/>
      <c r="HXB141" s="950"/>
      <c r="HXC141" s="950"/>
      <c r="HXD141" s="950"/>
      <c r="HXE141" s="950"/>
      <c r="HXF141" s="950"/>
      <c r="HXG141" s="950"/>
      <c r="HXH141" s="950"/>
      <c r="HXI141" s="950"/>
      <c r="HXJ141" s="950"/>
      <c r="HXK141" s="950"/>
      <c r="HXL141" s="950"/>
      <c r="HXM141" s="950"/>
      <c r="HXN141" s="950"/>
      <c r="HXO141" s="950"/>
      <c r="HXP141" s="950"/>
      <c r="HXQ141" s="950"/>
      <c r="HXR141" s="950"/>
      <c r="HXS141" s="950"/>
      <c r="HXT141" s="950"/>
      <c r="HXU141" s="950"/>
      <c r="HXV141" s="950"/>
      <c r="HXW141" s="950"/>
      <c r="HXX141" s="950"/>
      <c r="HXY141" s="950"/>
      <c r="HXZ141" s="950"/>
      <c r="HYA141" s="950"/>
      <c r="HYB141" s="950"/>
      <c r="HYC141" s="950"/>
      <c r="HYD141" s="950"/>
      <c r="HYE141" s="950"/>
      <c r="HYF141" s="950"/>
      <c r="HYG141" s="950"/>
      <c r="HYH141" s="950"/>
      <c r="HYI141" s="950"/>
      <c r="HYJ141" s="950"/>
      <c r="HYK141" s="950"/>
      <c r="HYL141" s="950"/>
      <c r="HYM141" s="950"/>
      <c r="HYN141" s="950"/>
      <c r="HYO141" s="950"/>
      <c r="HYP141" s="950"/>
      <c r="HYQ141" s="950"/>
      <c r="HYR141" s="950"/>
      <c r="HYS141" s="950"/>
      <c r="HYT141" s="950"/>
      <c r="HYU141" s="950"/>
      <c r="HYV141" s="950"/>
      <c r="HYW141" s="950"/>
      <c r="HYX141" s="950"/>
      <c r="HYY141" s="950"/>
      <c r="HYZ141" s="950"/>
      <c r="HZA141" s="950"/>
      <c r="HZB141" s="950"/>
      <c r="HZC141" s="950"/>
      <c r="HZD141" s="950"/>
      <c r="HZE141" s="950"/>
      <c r="HZF141" s="950"/>
      <c r="HZG141" s="950"/>
      <c r="HZH141" s="950"/>
      <c r="HZI141" s="950"/>
      <c r="HZJ141" s="950"/>
      <c r="HZK141" s="950"/>
      <c r="HZL141" s="950"/>
      <c r="HZM141" s="950"/>
      <c r="HZN141" s="950"/>
      <c r="HZO141" s="950"/>
      <c r="HZP141" s="950"/>
      <c r="HZQ141" s="950"/>
      <c r="HZR141" s="950"/>
      <c r="HZS141" s="950"/>
      <c r="HZT141" s="950"/>
      <c r="HZU141" s="950"/>
      <c r="HZV141" s="950"/>
      <c r="HZW141" s="950"/>
      <c r="HZX141" s="950"/>
      <c r="HZY141" s="950"/>
      <c r="HZZ141" s="950"/>
      <c r="IAA141" s="950"/>
      <c r="IAB141" s="950"/>
      <c r="IAC141" s="950"/>
      <c r="IAD141" s="950"/>
      <c r="IAE141" s="950"/>
      <c r="IAF141" s="950"/>
      <c r="IAG141" s="950"/>
      <c r="IAH141" s="950"/>
      <c r="IAI141" s="950"/>
      <c r="IAJ141" s="950"/>
      <c r="IAK141" s="950"/>
      <c r="IAL141" s="950"/>
      <c r="IAM141" s="950"/>
      <c r="IAN141" s="950"/>
      <c r="IAO141" s="950"/>
      <c r="IAP141" s="950"/>
      <c r="IAQ141" s="950"/>
      <c r="IAR141" s="950"/>
      <c r="IAS141" s="950"/>
      <c r="IAT141" s="950"/>
      <c r="IAU141" s="950"/>
      <c r="IAV141" s="950"/>
      <c r="IAW141" s="950"/>
      <c r="IAX141" s="950"/>
      <c r="IAY141" s="950"/>
      <c r="IAZ141" s="950"/>
      <c r="IBA141" s="950"/>
      <c r="IBB141" s="950"/>
      <c r="IBC141" s="950"/>
      <c r="IBD141" s="950"/>
      <c r="IBE141" s="950"/>
      <c r="IBF141" s="950"/>
      <c r="IBG141" s="950"/>
      <c r="IBH141" s="950"/>
      <c r="IBI141" s="950"/>
      <c r="IBJ141" s="950"/>
      <c r="IBK141" s="950"/>
      <c r="IBL141" s="950"/>
      <c r="IBM141" s="950"/>
      <c r="IBN141" s="950"/>
      <c r="IBO141" s="950"/>
      <c r="IBP141" s="950"/>
      <c r="IBQ141" s="950"/>
      <c r="IBR141" s="950"/>
      <c r="IBS141" s="950"/>
      <c r="IBT141" s="950"/>
      <c r="IBU141" s="950"/>
      <c r="IBV141" s="950"/>
      <c r="IBW141" s="950"/>
      <c r="IBX141" s="950"/>
      <c r="IBY141" s="950"/>
      <c r="IBZ141" s="950"/>
      <c r="ICA141" s="950"/>
      <c r="ICB141" s="950"/>
      <c r="ICC141" s="950"/>
      <c r="ICD141" s="950"/>
      <c r="ICE141" s="950"/>
      <c r="ICF141" s="950"/>
      <c r="ICG141" s="950"/>
      <c r="ICH141" s="950"/>
      <c r="ICI141" s="950"/>
      <c r="ICJ141" s="950"/>
      <c r="ICK141" s="950"/>
      <c r="ICL141" s="950"/>
      <c r="ICM141" s="950"/>
      <c r="ICN141" s="950"/>
      <c r="ICO141" s="950"/>
      <c r="ICP141" s="950"/>
      <c r="ICQ141" s="950"/>
      <c r="ICR141" s="950"/>
      <c r="ICS141" s="950"/>
      <c r="ICT141" s="950"/>
      <c r="ICU141" s="950"/>
      <c r="ICV141" s="950"/>
      <c r="ICW141" s="950"/>
      <c r="ICX141" s="950"/>
      <c r="ICY141" s="950"/>
      <c r="ICZ141" s="950"/>
      <c r="IDA141" s="950"/>
      <c r="IDB141" s="950"/>
      <c r="IDC141" s="950"/>
      <c r="IDD141" s="950"/>
      <c r="IDE141" s="950"/>
      <c r="IDF141" s="950"/>
      <c r="IDG141" s="950"/>
      <c r="IDH141" s="950"/>
      <c r="IDI141" s="950"/>
      <c r="IDJ141" s="950"/>
      <c r="IDK141" s="950"/>
      <c r="IDL141" s="950"/>
      <c r="IDM141" s="950"/>
      <c r="IDN141" s="950"/>
      <c r="IDO141" s="950"/>
      <c r="IDP141" s="950"/>
      <c r="IDQ141" s="950"/>
      <c r="IDR141" s="950"/>
      <c r="IDS141" s="950"/>
      <c r="IDT141" s="950"/>
      <c r="IDU141" s="950"/>
      <c r="IDV141" s="950"/>
      <c r="IDW141" s="950"/>
      <c r="IDX141" s="950"/>
      <c r="IDY141" s="950"/>
      <c r="IDZ141" s="950"/>
      <c r="IEA141" s="950"/>
      <c r="IEB141" s="950"/>
      <c r="IEC141" s="950"/>
      <c r="IED141" s="950"/>
      <c r="IEE141" s="950"/>
      <c r="IEF141" s="950"/>
      <c r="IEG141" s="950"/>
      <c r="IEH141" s="950"/>
      <c r="IEI141" s="950"/>
      <c r="IEJ141" s="950"/>
      <c r="IEK141" s="950"/>
      <c r="IEL141" s="950"/>
      <c r="IEM141" s="950"/>
      <c r="IEN141" s="950"/>
      <c r="IEO141" s="950"/>
      <c r="IEP141" s="950"/>
      <c r="IEQ141" s="950"/>
      <c r="IER141" s="950"/>
      <c r="IES141" s="950"/>
      <c r="IET141" s="950"/>
      <c r="IEU141" s="950"/>
      <c r="IEV141" s="950"/>
      <c r="IEW141" s="950"/>
      <c r="IEX141" s="950"/>
      <c r="IEY141" s="950"/>
      <c r="IEZ141" s="950"/>
      <c r="IFA141" s="950"/>
      <c r="IFB141" s="950"/>
      <c r="IFC141" s="950"/>
      <c r="IFD141" s="950"/>
      <c r="IFE141" s="950"/>
      <c r="IFF141" s="950"/>
      <c r="IFG141" s="950"/>
      <c r="IFH141" s="950"/>
      <c r="IFI141" s="950"/>
      <c r="IFJ141" s="950"/>
      <c r="IFK141" s="950"/>
      <c r="IFL141" s="950"/>
      <c r="IFM141" s="950"/>
      <c r="IFN141" s="950"/>
      <c r="IFO141" s="950"/>
      <c r="IFP141" s="950"/>
      <c r="IFQ141" s="950"/>
      <c r="IFR141" s="950"/>
      <c r="IFS141" s="950"/>
      <c r="IFT141" s="950"/>
      <c r="IFU141" s="950"/>
      <c r="IFV141" s="950"/>
      <c r="IFW141" s="950"/>
      <c r="IFX141" s="950"/>
      <c r="IFY141" s="950"/>
      <c r="IFZ141" s="950"/>
      <c r="IGA141" s="950"/>
      <c r="IGB141" s="950"/>
      <c r="IGC141" s="950"/>
      <c r="IGD141" s="950"/>
      <c r="IGE141" s="950"/>
      <c r="IGF141" s="950"/>
      <c r="IGG141" s="950"/>
      <c r="IGH141" s="950"/>
      <c r="IGI141" s="950"/>
      <c r="IGJ141" s="950"/>
      <c r="IGK141" s="950"/>
      <c r="IGL141" s="950"/>
      <c r="IGM141" s="950"/>
      <c r="IGN141" s="950"/>
      <c r="IGO141" s="950"/>
      <c r="IGP141" s="950"/>
      <c r="IGQ141" s="950"/>
      <c r="IGR141" s="950"/>
      <c r="IGS141" s="950"/>
      <c r="IGT141" s="950"/>
      <c r="IGU141" s="950"/>
      <c r="IGV141" s="950"/>
      <c r="IGW141" s="950"/>
      <c r="IGX141" s="950"/>
      <c r="IGY141" s="950"/>
      <c r="IGZ141" s="950"/>
      <c r="IHA141" s="950"/>
      <c r="IHB141" s="950"/>
      <c r="IHC141" s="950"/>
      <c r="IHD141" s="950"/>
      <c r="IHE141" s="950"/>
      <c r="IHF141" s="950"/>
      <c r="IHG141" s="950"/>
      <c r="IHH141" s="950"/>
      <c r="IHI141" s="950"/>
      <c r="IHJ141" s="950"/>
      <c r="IHK141" s="950"/>
      <c r="IHL141" s="950"/>
      <c r="IHM141" s="950"/>
      <c r="IHN141" s="950"/>
      <c r="IHO141" s="950"/>
      <c r="IHP141" s="950"/>
      <c r="IHQ141" s="950"/>
      <c r="IHR141" s="950"/>
      <c r="IHS141" s="950"/>
      <c r="IHT141" s="950"/>
      <c r="IHU141" s="950"/>
      <c r="IHV141" s="950"/>
      <c r="IHW141" s="950"/>
      <c r="IHX141" s="950"/>
      <c r="IHY141" s="950"/>
      <c r="IHZ141" s="950"/>
      <c r="IIA141" s="950"/>
      <c r="IIB141" s="950"/>
      <c r="IIC141" s="950"/>
      <c r="IID141" s="950"/>
      <c r="IIE141" s="950"/>
      <c r="IIF141" s="950"/>
      <c r="IIG141" s="950"/>
      <c r="IIH141" s="950"/>
      <c r="III141" s="950"/>
      <c r="IIJ141" s="950"/>
      <c r="IIK141" s="950"/>
      <c r="IIL141" s="950"/>
      <c r="IIM141" s="950"/>
      <c r="IIN141" s="950"/>
      <c r="IIO141" s="950"/>
      <c r="IIP141" s="950"/>
      <c r="IIQ141" s="950"/>
      <c r="IIR141" s="950"/>
      <c r="IIS141" s="950"/>
      <c r="IIT141" s="950"/>
      <c r="IIU141" s="950"/>
      <c r="IIV141" s="950"/>
      <c r="IIW141" s="950"/>
      <c r="IIX141" s="950"/>
      <c r="IIY141" s="950"/>
      <c r="IIZ141" s="950"/>
      <c r="IJA141" s="950"/>
      <c r="IJB141" s="950"/>
      <c r="IJC141" s="950"/>
      <c r="IJD141" s="950"/>
      <c r="IJE141" s="950"/>
      <c r="IJF141" s="950"/>
      <c r="IJG141" s="950"/>
      <c r="IJH141" s="950"/>
      <c r="IJI141" s="950"/>
      <c r="IJJ141" s="950"/>
      <c r="IJK141" s="950"/>
      <c r="IJL141" s="950"/>
      <c r="IJM141" s="950"/>
      <c r="IJN141" s="950"/>
      <c r="IJO141" s="950"/>
      <c r="IJP141" s="950"/>
      <c r="IJQ141" s="950"/>
      <c r="IJR141" s="950"/>
      <c r="IJS141" s="950"/>
      <c r="IJT141" s="950"/>
      <c r="IJU141" s="950"/>
      <c r="IJV141" s="950"/>
      <c r="IJW141" s="950"/>
      <c r="IJX141" s="950"/>
      <c r="IJY141" s="950"/>
      <c r="IJZ141" s="950"/>
      <c r="IKA141" s="950"/>
      <c r="IKB141" s="950"/>
      <c r="IKC141" s="950"/>
      <c r="IKD141" s="950"/>
      <c r="IKE141" s="950"/>
      <c r="IKF141" s="950"/>
      <c r="IKG141" s="950"/>
      <c r="IKH141" s="950"/>
      <c r="IKI141" s="950"/>
      <c r="IKJ141" s="950"/>
      <c r="IKK141" s="950"/>
      <c r="IKL141" s="950"/>
      <c r="IKM141" s="950"/>
      <c r="IKN141" s="950"/>
      <c r="IKO141" s="950"/>
      <c r="IKP141" s="950"/>
      <c r="IKQ141" s="950"/>
      <c r="IKR141" s="950"/>
      <c r="IKS141" s="950"/>
      <c r="IKT141" s="950"/>
      <c r="IKU141" s="950"/>
      <c r="IKV141" s="950"/>
      <c r="IKW141" s="950"/>
      <c r="IKX141" s="950"/>
      <c r="IKY141" s="950"/>
      <c r="IKZ141" s="950"/>
      <c r="ILA141" s="950"/>
      <c r="ILB141" s="950"/>
      <c r="ILC141" s="950"/>
      <c r="ILD141" s="950"/>
      <c r="ILE141" s="950"/>
      <c r="ILF141" s="950"/>
      <c r="ILG141" s="950"/>
      <c r="ILH141" s="950"/>
      <c r="ILI141" s="950"/>
      <c r="ILJ141" s="950"/>
      <c r="ILK141" s="950"/>
      <c r="ILL141" s="950"/>
      <c r="ILM141" s="950"/>
      <c r="ILN141" s="950"/>
      <c r="ILO141" s="950"/>
      <c r="ILP141" s="950"/>
      <c r="ILQ141" s="950"/>
      <c r="ILR141" s="950"/>
      <c r="ILS141" s="950"/>
      <c r="ILT141" s="950"/>
      <c r="ILU141" s="950"/>
      <c r="ILV141" s="950"/>
      <c r="ILW141" s="950"/>
      <c r="ILX141" s="950"/>
      <c r="ILY141" s="950"/>
      <c r="ILZ141" s="950"/>
      <c r="IMA141" s="950"/>
      <c r="IMB141" s="950"/>
      <c r="IMC141" s="950"/>
      <c r="IMD141" s="950"/>
      <c r="IME141" s="950"/>
      <c r="IMF141" s="950"/>
      <c r="IMG141" s="950"/>
      <c r="IMH141" s="950"/>
      <c r="IMI141" s="950"/>
      <c r="IMJ141" s="950"/>
      <c r="IMK141" s="950"/>
      <c r="IML141" s="950"/>
      <c r="IMM141" s="950"/>
      <c r="IMN141" s="950"/>
      <c r="IMO141" s="950"/>
      <c r="IMP141" s="950"/>
      <c r="IMQ141" s="950"/>
      <c r="IMR141" s="950"/>
      <c r="IMS141" s="950"/>
      <c r="IMT141" s="950"/>
      <c r="IMU141" s="950"/>
      <c r="IMV141" s="950"/>
      <c r="IMW141" s="950"/>
      <c r="IMX141" s="950"/>
      <c r="IMY141" s="950"/>
      <c r="IMZ141" s="950"/>
      <c r="INA141" s="950"/>
      <c r="INB141" s="950"/>
      <c r="INC141" s="950"/>
      <c r="IND141" s="950"/>
      <c r="INE141" s="950"/>
      <c r="INF141" s="950"/>
      <c r="ING141" s="950"/>
      <c r="INH141" s="950"/>
      <c r="INI141" s="950"/>
      <c r="INJ141" s="950"/>
      <c r="INK141" s="950"/>
      <c r="INL141" s="950"/>
      <c r="INM141" s="950"/>
      <c r="INN141" s="950"/>
      <c r="INO141" s="950"/>
      <c r="INP141" s="950"/>
      <c r="INQ141" s="950"/>
      <c r="INR141" s="950"/>
      <c r="INS141" s="950"/>
      <c r="INT141" s="950"/>
      <c r="INU141" s="950"/>
      <c r="INV141" s="950"/>
      <c r="INW141" s="950"/>
      <c r="INX141" s="950"/>
      <c r="INY141" s="950"/>
      <c r="INZ141" s="950"/>
      <c r="IOA141" s="950"/>
      <c r="IOB141" s="950"/>
      <c r="IOC141" s="950"/>
      <c r="IOD141" s="950"/>
      <c r="IOE141" s="950"/>
      <c r="IOF141" s="950"/>
      <c r="IOG141" s="950"/>
      <c r="IOH141" s="950"/>
      <c r="IOI141" s="950"/>
      <c r="IOJ141" s="950"/>
      <c r="IOK141" s="950"/>
      <c r="IOL141" s="950"/>
      <c r="IOM141" s="950"/>
      <c r="ION141" s="950"/>
      <c r="IOO141" s="950"/>
      <c r="IOP141" s="950"/>
      <c r="IOQ141" s="950"/>
      <c r="IOR141" s="950"/>
      <c r="IOS141" s="950"/>
      <c r="IOT141" s="950"/>
      <c r="IOU141" s="950"/>
      <c r="IOV141" s="950"/>
      <c r="IOW141" s="950"/>
      <c r="IOX141" s="950"/>
      <c r="IOY141" s="950"/>
      <c r="IOZ141" s="950"/>
      <c r="IPA141" s="950"/>
      <c r="IPB141" s="950"/>
      <c r="IPC141" s="950"/>
      <c r="IPD141" s="950"/>
      <c r="IPE141" s="950"/>
      <c r="IPF141" s="950"/>
      <c r="IPG141" s="950"/>
      <c r="IPH141" s="950"/>
      <c r="IPI141" s="950"/>
      <c r="IPJ141" s="950"/>
      <c r="IPK141" s="950"/>
      <c r="IPL141" s="950"/>
      <c r="IPM141" s="950"/>
      <c r="IPN141" s="950"/>
      <c r="IPO141" s="950"/>
      <c r="IPP141" s="950"/>
      <c r="IPQ141" s="950"/>
      <c r="IPR141" s="950"/>
      <c r="IPS141" s="950"/>
      <c r="IPT141" s="950"/>
      <c r="IPU141" s="950"/>
      <c r="IPV141" s="950"/>
      <c r="IPW141" s="950"/>
      <c r="IPX141" s="950"/>
      <c r="IPY141" s="950"/>
      <c r="IPZ141" s="950"/>
      <c r="IQA141" s="950"/>
      <c r="IQB141" s="950"/>
      <c r="IQC141" s="950"/>
      <c r="IQD141" s="950"/>
      <c r="IQE141" s="950"/>
      <c r="IQF141" s="950"/>
      <c r="IQG141" s="950"/>
      <c r="IQH141" s="950"/>
      <c r="IQI141" s="950"/>
      <c r="IQJ141" s="950"/>
      <c r="IQK141" s="950"/>
      <c r="IQL141" s="950"/>
      <c r="IQM141" s="950"/>
      <c r="IQN141" s="950"/>
      <c r="IQO141" s="950"/>
      <c r="IQP141" s="950"/>
      <c r="IQQ141" s="950"/>
      <c r="IQR141" s="950"/>
      <c r="IQS141" s="950"/>
      <c r="IQT141" s="950"/>
      <c r="IQU141" s="950"/>
      <c r="IQV141" s="950"/>
      <c r="IQW141" s="950"/>
      <c r="IQX141" s="950"/>
      <c r="IQY141" s="950"/>
      <c r="IQZ141" s="950"/>
      <c r="IRA141" s="950"/>
      <c r="IRB141" s="950"/>
      <c r="IRC141" s="950"/>
      <c r="IRD141" s="950"/>
      <c r="IRE141" s="950"/>
      <c r="IRF141" s="950"/>
      <c r="IRG141" s="950"/>
      <c r="IRH141" s="950"/>
      <c r="IRI141" s="950"/>
      <c r="IRJ141" s="950"/>
      <c r="IRK141" s="950"/>
      <c r="IRL141" s="950"/>
      <c r="IRM141" s="950"/>
      <c r="IRN141" s="950"/>
      <c r="IRO141" s="950"/>
      <c r="IRP141" s="950"/>
      <c r="IRQ141" s="950"/>
      <c r="IRR141" s="950"/>
      <c r="IRS141" s="950"/>
      <c r="IRT141" s="950"/>
      <c r="IRU141" s="950"/>
      <c r="IRV141" s="950"/>
      <c r="IRW141" s="950"/>
      <c r="IRX141" s="950"/>
      <c r="IRY141" s="950"/>
      <c r="IRZ141" s="950"/>
      <c r="ISA141" s="950"/>
      <c r="ISB141" s="950"/>
      <c r="ISC141" s="950"/>
      <c r="ISD141" s="950"/>
      <c r="ISE141" s="950"/>
      <c r="ISF141" s="950"/>
      <c r="ISG141" s="950"/>
      <c r="ISH141" s="950"/>
      <c r="ISI141" s="950"/>
      <c r="ISJ141" s="950"/>
      <c r="ISK141" s="950"/>
      <c r="ISL141" s="950"/>
      <c r="ISM141" s="950"/>
      <c r="ISN141" s="950"/>
      <c r="ISO141" s="950"/>
      <c r="ISP141" s="950"/>
      <c r="ISQ141" s="950"/>
      <c r="ISR141" s="950"/>
      <c r="ISS141" s="950"/>
      <c r="IST141" s="950"/>
      <c r="ISU141" s="950"/>
      <c r="ISV141" s="950"/>
      <c r="ISW141" s="950"/>
      <c r="ISX141" s="950"/>
      <c r="ISY141" s="950"/>
      <c r="ISZ141" s="950"/>
      <c r="ITA141" s="950"/>
      <c r="ITB141" s="950"/>
      <c r="ITC141" s="950"/>
      <c r="ITD141" s="950"/>
      <c r="ITE141" s="950"/>
      <c r="ITF141" s="950"/>
      <c r="ITG141" s="950"/>
      <c r="ITH141" s="950"/>
      <c r="ITI141" s="950"/>
      <c r="ITJ141" s="950"/>
      <c r="ITK141" s="950"/>
      <c r="ITL141" s="950"/>
      <c r="ITM141" s="950"/>
      <c r="ITN141" s="950"/>
      <c r="ITO141" s="950"/>
      <c r="ITP141" s="950"/>
      <c r="ITQ141" s="950"/>
      <c r="ITR141" s="950"/>
      <c r="ITS141" s="950"/>
      <c r="ITT141" s="950"/>
      <c r="ITU141" s="950"/>
      <c r="ITV141" s="950"/>
      <c r="ITW141" s="950"/>
      <c r="ITX141" s="950"/>
      <c r="ITY141" s="950"/>
      <c r="ITZ141" s="950"/>
      <c r="IUA141" s="950"/>
      <c r="IUB141" s="950"/>
      <c r="IUC141" s="950"/>
      <c r="IUD141" s="950"/>
      <c r="IUE141" s="950"/>
      <c r="IUF141" s="950"/>
      <c r="IUG141" s="950"/>
      <c r="IUH141" s="950"/>
      <c r="IUI141" s="950"/>
      <c r="IUJ141" s="950"/>
      <c r="IUK141" s="950"/>
      <c r="IUL141" s="950"/>
      <c r="IUM141" s="950"/>
      <c r="IUN141" s="950"/>
      <c r="IUO141" s="950"/>
      <c r="IUP141" s="950"/>
      <c r="IUQ141" s="950"/>
      <c r="IUR141" s="950"/>
      <c r="IUS141" s="950"/>
      <c r="IUT141" s="950"/>
      <c r="IUU141" s="950"/>
      <c r="IUV141" s="950"/>
      <c r="IUW141" s="950"/>
      <c r="IUX141" s="950"/>
      <c r="IUY141" s="950"/>
      <c r="IUZ141" s="950"/>
      <c r="IVA141" s="950"/>
      <c r="IVB141" s="950"/>
      <c r="IVC141" s="950"/>
      <c r="IVD141" s="950"/>
      <c r="IVE141" s="950"/>
      <c r="IVF141" s="950"/>
      <c r="IVG141" s="950"/>
      <c r="IVH141" s="950"/>
      <c r="IVI141" s="950"/>
      <c r="IVJ141" s="950"/>
      <c r="IVK141" s="950"/>
      <c r="IVL141" s="950"/>
      <c r="IVM141" s="950"/>
      <c r="IVN141" s="950"/>
      <c r="IVO141" s="950"/>
      <c r="IVP141" s="950"/>
      <c r="IVQ141" s="950"/>
      <c r="IVR141" s="950"/>
      <c r="IVS141" s="950"/>
      <c r="IVT141" s="950"/>
      <c r="IVU141" s="950"/>
      <c r="IVV141" s="950"/>
      <c r="IVW141" s="950"/>
      <c r="IVX141" s="950"/>
      <c r="IVY141" s="950"/>
      <c r="IVZ141" s="950"/>
      <c r="IWA141" s="950"/>
      <c r="IWB141" s="950"/>
      <c r="IWC141" s="950"/>
      <c r="IWD141" s="950"/>
      <c r="IWE141" s="950"/>
      <c r="IWF141" s="950"/>
      <c r="IWG141" s="950"/>
      <c r="IWH141" s="950"/>
      <c r="IWI141" s="950"/>
      <c r="IWJ141" s="950"/>
      <c r="IWK141" s="950"/>
      <c r="IWL141" s="950"/>
      <c r="IWM141" s="950"/>
      <c r="IWN141" s="950"/>
      <c r="IWO141" s="950"/>
      <c r="IWP141" s="950"/>
      <c r="IWQ141" s="950"/>
      <c r="IWR141" s="950"/>
      <c r="IWS141" s="950"/>
      <c r="IWT141" s="950"/>
      <c r="IWU141" s="950"/>
      <c r="IWV141" s="950"/>
      <c r="IWW141" s="950"/>
      <c r="IWX141" s="950"/>
      <c r="IWY141" s="950"/>
      <c r="IWZ141" s="950"/>
      <c r="IXA141" s="950"/>
      <c r="IXB141" s="950"/>
      <c r="IXC141" s="950"/>
      <c r="IXD141" s="950"/>
      <c r="IXE141" s="950"/>
      <c r="IXF141" s="950"/>
      <c r="IXG141" s="950"/>
      <c r="IXH141" s="950"/>
      <c r="IXI141" s="950"/>
      <c r="IXJ141" s="950"/>
      <c r="IXK141" s="950"/>
      <c r="IXL141" s="950"/>
      <c r="IXM141" s="950"/>
      <c r="IXN141" s="950"/>
      <c r="IXO141" s="950"/>
      <c r="IXP141" s="950"/>
      <c r="IXQ141" s="950"/>
      <c r="IXR141" s="950"/>
      <c r="IXS141" s="950"/>
      <c r="IXT141" s="950"/>
      <c r="IXU141" s="950"/>
      <c r="IXV141" s="950"/>
      <c r="IXW141" s="950"/>
      <c r="IXX141" s="950"/>
      <c r="IXY141" s="950"/>
      <c r="IXZ141" s="950"/>
      <c r="IYA141" s="950"/>
      <c r="IYB141" s="950"/>
      <c r="IYC141" s="950"/>
      <c r="IYD141" s="950"/>
      <c r="IYE141" s="950"/>
      <c r="IYF141" s="950"/>
      <c r="IYG141" s="950"/>
      <c r="IYH141" s="950"/>
      <c r="IYI141" s="950"/>
      <c r="IYJ141" s="950"/>
      <c r="IYK141" s="950"/>
      <c r="IYL141" s="950"/>
      <c r="IYM141" s="950"/>
      <c r="IYN141" s="950"/>
      <c r="IYO141" s="950"/>
      <c r="IYP141" s="950"/>
      <c r="IYQ141" s="950"/>
      <c r="IYR141" s="950"/>
      <c r="IYS141" s="950"/>
      <c r="IYT141" s="950"/>
      <c r="IYU141" s="950"/>
      <c r="IYV141" s="950"/>
      <c r="IYW141" s="950"/>
      <c r="IYX141" s="950"/>
      <c r="IYY141" s="950"/>
      <c r="IYZ141" s="950"/>
      <c r="IZA141" s="950"/>
      <c r="IZB141" s="950"/>
      <c r="IZC141" s="950"/>
      <c r="IZD141" s="950"/>
      <c r="IZE141" s="950"/>
      <c r="IZF141" s="950"/>
      <c r="IZG141" s="950"/>
      <c r="IZH141" s="950"/>
      <c r="IZI141" s="950"/>
      <c r="IZJ141" s="950"/>
      <c r="IZK141" s="950"/>
      <c r="IZL141" s="950"/>
      <c r="IZM141" s="950"/>
      <c r="IZN141" s="950"/>
      <c r="IZO141" s="950"/>
      <c r="IZP141" s="950"/>
      <c r="IZQ141" s="950"/>
      <c r="IZR141" s="950"/>
      <c r="IZS141" s="950"/>
      <c r="IZT141" s="950"/>
      <c r="IZU141" s="950"/>
      <c r="IZV141" s="950"/>
      <c r="IZW141" s="950"/>
      <c r="IZX141" s="950"/>
      <c r="IZY141" s="950"/>
      <c r="IZZ141" s="950"/>
      <c r="JAA141" s="950"/>
      <c r="JAB141" s="950"/>
      <c r="JAC141" s="950"/>
      <c r="JAD141" s="950"/>
      <c r="JAE141" s="950"/>
      <c r="JAF141" s="950"/>
      <c r="JAG141" s="950"/>
      <c r="JAH141" s="950"/>
      <c r="JAI141" s="950"/>
      <c r="JAJ141" s="950"/>
      <c r="JAK141" s="950"/>
      <c r="JAL141" s="950"/>
      <c r="JAM141" s="950"/>
      <c r="JAN141" s="950"/>
      <c r="JAO141" s="950"/>
      <c r="JAP141" s="950"/>
      <c r="JAQ141" s="950"/>
      <c r="JAR141" s="950"/>
      <c r="JAS141" s="950"/>
      <c r="JAT141" s="950"/>
      <c r="JAU141" s="950"/>
      <c r="JAV141" s="950"/>
      <c r="JAW141" s="950"/>
      <c r="JAX141" s="950"/>
      <c r="JAY141" s="950"/>
      <c r="JAZ141" s="950"/>
      <c r="JBA141" s="950"/>
      <c r="JBB141" s="950"/>
      <c r="JBC141" s="950"/>
      <c r="JBD141" s="950"/>
      <c r="JBE141" s="950"/>
      <c r="JBF141" s="950"/>
      <c r="JBG141" s="950"/>
      <c r="JBH141" s="950"/>
      <c r="JBI141" s="950"/>
      <c r="JBJ141" s="950"/>
      <c r="JBK141" s="950"/>
      <c r="JBL141" s="950"/>
      <c r="JBM141" s="950"/>
      <c r="JBN141" s="950"/>
      <c r="JBO141" s="950"/>
      <c r="JBP141" s="950"/>
      <c r="JBQ141" s="950"/>
      <c r="JBR141" s="950"/>
      <c r="JBS141" s="950"/>
      <c r="JBT141" s="950"/>
      <c r="JBU141" s="950"/>
      <c r="JBV141" s="950"/>
      <c r="JBW141" s="950"/>
      <c r="JBX141" s="950"/>
      <c r="JBY141" s="950"/>
      <c r="JBZ141" s="950"/>
      <c r="JCA141" s="950"/>
      <c r="JCB141" s="950"/>
      <c r="JCC141" s="950"/>
      <c r="JCD141" s="950"/>
      <c r="JCE141" s="950"/>
      <c r="JCF141" s="950"/>
      <c r="JCG141" s="950"/>
      <c r="JCH141" s="950"/>
      <c r="JCI141" s="950"/>
      <c r="JCJ141" s="950"/>
      <c r="JCK141" s="950"/>
      <c r="JCL141" s="950"/>
      <c r="JCM141" s="950"/>
      <c r="JCN141" s="950"/>
      <c r="JCO141" s="950"/>
      <c r="JCP141" s="950"/>
      <c r="JCQ141" s="950"/>
      <c r="JCR141" s="950"/>
      <c r="JCS141" s="950"/>
      <c r="JCT141" s="950"/>
      <c r="JCU141" s="950"/>
      <c r="JCV141" s="950"/>
      <c r="JCW141" s="950"/>
      <c r="JCX141" s="950"/>
      <c r="JCY141" s="950"/>
      <c r="JCZ141" s="950"/>
      <c r="JDA141" s="950"/>
      <c r="JDB141" s="950"/>
      <c r="JDC141" s="950"/>
      <c r="JDD141" s="950"/>
      <c r="JDE141" s="950"/>
      <c r="JDF141" s="950"/>
      <c r="JDG141" s="950"/>
      <c r="JDH141" s="950"/>
      <c r="JDI141" s="950"/>
      <c r="JDJ141" s="950"/>
      <c r="JDK141" s="950"/>
      <c r="JDL141" s="950"/>
      <c r="JDM141" s="950"/>
      <c r="JDN141" s="950"/>
      <c r="JDO141" s="950"/>
      <c r="JDP141" s="950"/>
      <c r="JDQ141" s="950"/>
      <c r="JDR141" s="950"/>
      <c r="JDS141" s="950"/>
      <c r="JDT141" s="950"/>
      <c r="JDU141" s="950"/>
      <c r="JDV141" s="950"/>
      <c r="JDW141" s="950"/>
      <c r="JDX141" s="950"/>
      <c r="JDY141" s="950"/>
      <c r="JDZ141" s="950"/>
      <c r="JEA141" s="950"/>
      <c r="JEB141" s="950"/>
      <c r="JEC141" s="950"/>
      <c r="JED141" s="950"/>
      <c r="JEE141" s="950"/>
      <c r="JEF141" s="950"/>
      <c r="JEG141" s="950"/>
      <c r="JEH141" s="950"/>
      <c r="JEI141" s="950"/>
      <c r="JEJ141" s="950"/>
      <c r="JEK141" s="950"/>
      <c r="JEL141" s="950"/>
      <c r="JEM141" s="950"/>
      <c r="JEN141" s="950"/>
      <c r="JEO141" s="950"/>
      <c r="JEP141" s="950"/>
      <c r="JEQ141" s="950"/>
      <c r="JER141" s="950"/>
      <c r="JES141" s="950"/>
      <c r="JET141" s="950"/>
      <c r="JEU141" s="950"/>
      <c r="JEV141" s="950"/>
      <c r="JEW141" s="950"/>
      <c r="JEX141" s="950"/>
      <c r="JEY141" s="950"/>
      <c r="JEZ141" s="950"/>
      <c r="JFA141" s="950"/>
      <c r="JFB141" s="950"/>
      <c r="JFC141" s="950"/>
      <c r="JFD141" s="950"/>
      <c r="JFE141" s="950"/>
      <c r="JFF141" s="950"/>
      <c r="JFG141" s="950"/>
      <c r="JFH141" s="950"/>
      <c r="JFI141" s="950"/>
      <c r="JFJ141" s="950"/>
      <c r="JFK141" s="950"/>
      <c r="JFL141" s="950"/>
      <c r="JFM141" s="950"/>
      <c r="JFN141" s="950"/>
      <c r="JFO141" s="950"/>
      <c r="JFP141" s="950"/>
      <c r="JFQ141" s="950"/>
      <c r="JFR141" s="950"/>
      <c r="JFS141" s="950"/>
      <c r="JFT141" s="950"/>
      <c r="JFU141" s="950"/>
      <c r="JFV141" s="950"/>
      <c r="JFW141" s="950"/>
      <c r="JFX141" s="950"/>
      <c r="JFY141" s="950"/>
      <c r="JFZ141" s="950"/>
      <c r="JGA141" s="950"/>
      <c r="JGB141" s="950"/>
      <c r="JGC141" s="950"/>
      <c r="JGD141" s="950"/>
      <c r="JGE141" s="950"/>
      <c r="JGF141" s="950"/>
      <c r="JGG141" s="950"/>
      <c r="JGH141" s="950"/>
      <c r="JGI141" s="950"/>
      <c r="JGJ141" s="950"/>
      <c r="JGK141" s="950"/>
      <c r="JGL141" s="950"/>
      <c r="JGM141" s="950"/>
      <c r="JGN141" s="950"/>
      <c r="JGO141" s="950"/>
      <c r="JGP141" s="950"/>
      <c r="JGQ141" s="950"/>
      <c r="JGR141" s="950"/>
      <c r="JGS141" s="950"/>
      <c r="JGT141" s="950"/>
      <c r="JGU141" s="950"/>
      <c r="JGV141" s="950"/>
      <c r="JGW141" s="950"/>
      <c r="JGX141" s="950"/>
      <c r="JGY141" s="950"/>
      <c r="JGZ141" s="950"/>
      <c r="JHA141" s="950"/>
      <c r="JHB141" s="950"/>
      <c r="JHC141" s="950"/>
      <c r="JHD141" s="950"/>
      <c r="JHE141" s="950"/>
      <c r="JHF141" s="950"/>
      <c r="JHG141" s="950"/>
      <c r="JHH141" s="950"/>
      <c r="JHI141" s="950"/>
      <c r="JHJ141" s="950"/>
      <c r="JHK141" s="950"/>
      <c r="JHL141" s="950"/>
      <c r="JHM141" s="950"/>
      <c r="JHN141" s="950"/>
      <c r="JHO141" s="950"/>
      <c r="JHP141" s="950"/>
      <c r="JHQ141" s="950"/>
      <c r="JHR141" s="950"/>
      <c r="JHS141" s="950"/>
      <c r="JHT141" s="950"/>
      <c r="JHU141" s="950"/>
      <c r="JHV141" s="950"/>
      <c r="JHW141" s="950"/>
      <c r="JHX141" s="950"/>
      <c r="JHY141" s="950"/>
      <c r="JHZ141" s="950"/>
      <c r="JIA141" s="950"/>
      <c r="JIB141" s="950"/>
      <c r="JIC141" s="950"/>
      <c r="JID141" s="950"/>
      <c r="JIE141" s="950"/>
      <c r="JIF141" s="950"/>
      <c r="JIG141" s="950"/>
      <c r="JIH141" s="950"/>
      <c r="JII141" s="950"/>
      <c r="JIJ141" s="950"/>
      <c r="JIK141" s="950"/>
      <c r="JIL141" s="950"/>
      <c r="JIM141" s="950"/>
      <c r="JIN141" s="950"/>
      <c r="JIO141" s="950"/>
      <c r="JIP141" s="950"/>
      <c r="JIQ141" s="950"/>
      <c r="JIR141" s="950"/>
      <c r="JIS141" s="950"/>
      <c r="JIT141" s="950"/>
      <c r="JIU141" s="950"/>
      <c r="JIV141" s="950"/>
      <c r="JIW141" s="950"/>
      <c r="JIX141" s="950"/>
      <c r="JIY141" s="950"/>
      <c r="JIZ141" s="950"/>
      <c r="JJA141" s="950"/>
      <c r="JJB141" s="950"/>
      <c r="JJC141" s="950"/>
      <c r="JJD141" s="950"/>
      <c r="JJE141" s="950"/>
      <c r="JJF141" s="950"/>
      <c r="JJG141" s="950"/>
      <c r="JJH141" s="950"/>
      <c r="JJI141" s="950"/>
      <c r="JJJ141" s="950"/>
      <c r="JJK141" s="950"/>
      <c r="JJL141" s="950"/>
      <c r="JJM141" s="950"/>
      <c r="JJN141" s="950"/>
      <c r="JJO141" s="950"/>
      <c r="JJP141" s="950"/>
      <c r="JJQ141" s="950"/>
      <c r="JJR141" s="950"/>
      <c r="JJS141" s="950"/>
      <c r="JJT141" s="950"/>
      <c r="JJU141" s="950"/>
      <c r="JJV141" s="950"/>
      <c r="JJW141" s="950"/>
      <c r="JJX141" s="950"/>
      <c r="JJY141" s="950"/>
      <c r="JJZ141" s="950"/>
      <c r="JKA141" s="950"/>
      <c r="JKB141" s="950"/>
      <c r="JKC141" s="950"/>
      <c r="JKD141" s="950"/>
      <c r="JKE141" s="950"/>
      <c r="JKF141" s="950"/>
      <c r="JKG141" s="950"/>
      <c r="JKH141" s="950"/>
      <c r="JKI141" s="950"/>
      <c r="JKJ141" s="950"/>
      <c r="JKK141" s="950"/>
      <c r="JKL141" s="950"/>
      <c r="JKM141" s="950"/>
      <c r="JKN141" s="950"/>
      <c r="JKO141" s="950"/>
      <c r="JKP141" s="950"/>
      <c r="JKQ141" s="950"/>
      <c r="JKR141" s="950"/>
      <c r="JKS141" s="950"/>
      <c r="JKT141" s="950"/>
      <c r="JKU141" s="950"/>
      <c r="JKV141" s="950"/>
      <c r="JKW141" s="950"/>
      <c r="JKX141" s="950"/>
      <c r="JKY141" s="950"/>
      <c r="JKZ141" s="950"/>
      <c r="JLA141" s="950"/>
      <c r="JLB141" s="950"/>
      <c r="JLC141" s="950"/>
      <c r="JLD141" s="950"/>
      <c r="JLE141" s="950"/>
      <c r="JLF141" s="950"/>
      <c r="JLG141" s="950"/>
      <c r="JLH141" s="950"/>
      <c r="JLI141" s="950"/>
      <c r="JLJ141" s="950"/>
      <c r="JLK141" s="950"/>
      <c r="JLL141" s="950"/>
      <c r="JLM141" s="950"/>
      <c r="JLN141" s="950"/>
      <c r="JLO141" s="950"/>
      <c r="JLP141" s="950"/>
      <c r="JLQ141" s="950"/>
      <c r="JLR141" s="950"/>
      <c r="JLS141" s="950"/>
      <c r="JLT141" s="950"/>
      <c r="JLU141" s="950"/>
      <c r="JLV141" s="950"/>
      <c r="JLW141" s="950"/>
      <c r="JLX141" s="950"/>
      <c r="JLY141" s="950"/>
      <c r="JLZ141" s="950"/>
      <c r="JMA141" s="950"/>
      <c r="JMB141" s="950"/>
      <c r="JMC141" s="950"/>
      <c r="JMD141" s="950"/>
      <c r="JME141" s="950"/>
      <c r="JMF141" s="950"/>
      <c r="JMG141" s="950"/>
      <c r="JMH141" s="950"/>
      <c r="JMI141" s="950"/>
      <c r="JMJ141" s="950"/>
      <c r="JMK141" s="950"/>
      <c r="JML141" s="950"/>
      <c r="JMM141" s="950"/>
      <c r="JMN141" s="950"/>
      <c r="JMO141" s="950"/>
      <c r="JMP141" s="950"/>
      <c r="JMQ141" s="950"/>
      <c r="JMR141" s="950"/>
      <c r="JMS141" s="950"/>
      <c r="JMT141" s="950"/>
      <c r="JMU141" s="950"/>
      <c r="JMV141" s="950"/>
      <c r="JMW141" s="950"/>
      <c r="JMX141" s="950"/>
      <c r="JMY141" s="950"/>
      <c r="JMZ141" s="950"/>
      <c r="JNA141" s="950"/>
      <c r="JNB141" s="950"/>
      <c r="JNC141" s="950"/>
      <c r="JND141" s="950"/>
      <c r="JNE141" s="950"/>
      <c r="JNF141" s="950"/>
      <c r="JNG141" s="950"/>
      <c r="JNH141" s="950"/>
      <c r="JNI141" s="950"/>
      <c r="JNJ141" s="950"/>
      <c r="JNK141" s="950"/>
      <c r="JNL141" s="950"/>
      <c r="JNM141" s="950"/>
      <c r="JNN141" s="950"/>
      <c r="JNO141" s="950"/>
      <c r="JNP141" s="950"/>
      <c r="JNQ141" s="950"/>
      <c r="JNR141" s="950"/>
      <c r="JNS141" s="950"/>
      <c r="JNT141" s="950"/>
      <c r="JNU141" s="950"/>
      <c r="JNV141" s="950"/>
      <c r="JNW141" s="950"/>
      <c r="JNX141" s="950"/>
      <c r="JNY141" s="950"/>
      <c r="JNZ141" s="950"/>
      <c r="JOA141" s="950"/>
      <c r="JOB141" s="950"/>
      <c r="JOC141" s="950"/>
      <c r="JOD141" s="950"/>
      <c r="JOE141" s="950"/>
      <c r="JOF141" s="950"/>
      <c r="JOG141" s="950"/>
      <c r="JOH141" s="950"/>
      <c r="JOI141" s="950"/>
      <c r="JOJ141" s="950"/>
      <c r="JOK141" s="950"/>
      <c r="JOL141" s="950"/>
      <c r="JOM141" s="950"/>
      <c r="JON141" s="950"/>
      <c r="JOO141" s="950"/>
      <c r="JOP141" s="950"/>
      <c r="JOQ141" s="950"/>
      <c r="JOR141" s="950"/>
      <c r="JOS141" s="950"/>
      <c r="JOT141" s="950"/>
      <c r="JOU141" s="950"/>
      <c r="JOV141" s="950"/>
      <c r="JOW141" s="950"/>
      <c r="JOX141" s="950"/>
      <c r="JOY141" s="950"/>
      <c r="JOZ141" s="950"/>
      <c r="JPA141" s="950"/>
      <c r="JPB141" s="950"/>
      <c r="JPC141" s="950"/>
      <c r="JPD141" s="950"/>
      <c r="JPE141" s="950"/>
      <c r="JPF141" s="950"/>
      <c r="JPG141" s="950"/>
      <c r="JPH141" s="950"/>
      <c r="JPI141" s="950"/>
      <c r="JPJ141" s="950"/>
      <c r="JPK141" s="950"/>
      <c r="JPL141" s="950"/>
      <c r="JPM141" s="950"/>
      <c r="JPN141" s="950"/>
      <c r="JPO141" s="950"/>
      <c r="JPP141" s="950"/>
      <c r="JPQ141" s="950"/>
      <c r="JPR141" s="950"/>
      <c r="JPS141" s="950"/>
      <c r="JPT141" s="950"/>
      <c r="JPU141" s="950"/>
      <c r="JPV141" s="950"/>
      <c r="JPW141" s="950"/>
      <c r="JPX141" s="950"/>
      <c r="JPY141" s="950"/>
      <c r="JPZ141" s="950"/>
      <c r="JQA141" s="950"/>
      <c r="JQB141" s="950"/>
      <c r="JQC141" s="950"/>
      <c r="JQD141" s="950"/>
      <c r="JQE141" s="950"/>
      <c r="JQF141" s="950"/>
      <c r="JQG141" s="950"/>
      <c r="JQH141" s="950"/>
      <c r="JQI141" s="950"/>
      <c r="JQJ141" s="950"/>
      <c r="JQK141" s="950"/>
      <c r="JQL141" s="950"/>
      <c r="JQM141" s="950"/>
      <c r="JQN141" s="950"/>
      <c r="JQO141" s="950"/>
      <c r="JQP141" s="950"/>
      <c r="JQQ141" s="950"/>
      <c r="JQR141" s="950"/>
      <c r="JQS141" s="950"/>
      <c r="JQT141" s="950"/>
      <c r="JQU141" s="950"/>
      <c r="JQV141" s="950"/>
      <c r="JQW141" s="950"/>
      <c r="JQX141" s="950"/>
      <c r="JQY141" s="950"/>
      <c r="JQZ141" s="950"/>
      <c r="JRA141" s="950"/>
      <c r="JRB141" s="950"/>
      <c r="JRC141" s="950"/>
      <c r="JRD141" s="950"/>
      <c r="JRE141" s="950"/>
      <c r="JRF141" s="950"/>
      <c r="JRG141" s="950"/>
      <c r="JRH141" s="950"/>
      <c r="JRI141" s="950"/>
      <c r="JRJ141" s="950"/>
      <c r="JRK141" s="950"/>
      <c r="JRL141" s="950"/>
      <c r="JRM141" s="950"/>
      <c r="JRN141" s="950"/>
      <c r="JRO141" s="950"/>
      <c r="JRP141" s="950"/>
      <c r="JRQ141" s="950"/>
      <c r="JRR141" s="950"/>
      <c r="JRS141" s="950"/>
      <c r="JRT141" s="950"/>
      <c r="JRU141" s="950"/>
      <c r="JRV141" s="950"/>
      <c r="JRW141" s="950"/>
      <c r="JRX141" s="950"/>
      <c r="JRY141" s="950"/>
      <c r="JRZ141" s="950"/>
      <c r="JSA141" s="950"/>
      <c r="JSB141" s="950"/>
      <c r="JSC141" s="950"/>
      <c r="JSD141" s="950"/>
      <c r="JSE141" s="950"/>
      <c r="JSF141" s="950"/>
      <c r="JSG141" s="950"/>
      <c r="JSH141" s="950"/>
      <c r="JSI141" s="950"/>
      <c r="JSJ141" s="950"/>
      <c r="JSK141" s="950"/>
      <c r="JSL141" s="950"/>
      <c r="JSM141" s="950"/>
      <c r="JSN141" s="950"/>
      <c r="JSO141" s="950"/>
      <c r="JSP141" s="950"/>
      <c r="JSQ141" s="950"/>
      <c r="JSR141" s="950"/>
      <c r="JSS141" s="950"/>
      <c r="JST141" s="950"/>
      <c r="JSU141" s="950"/>
      <c r="JSV141" s="950"/>
      <c r="JSW141" s="950"/>
      <c r="JSX141" s="950"/>
      <c r="JSY141" s="950"/>
      <c r="JSZ141" s="950"/>
      <c r="JTA141" s="950"/>
      <c r="JTB141" s="950"/>
      <c r="JTC141" s="950"/>
      <c r="JTD141" s="950"/>
      <c r="JTE141" s="950"/>
      <c r="JTF141" s="950"/>
      <c r="JTG141" s="950"/>
      <c r="JTH141" s="950"/>
      <c r="JTI141" s="950"/>
      <c r="JTJ141" s="950"/>
      <c r="JTK141" s="950"/>
      <c r="JTL141" s="950"/>
      <c r="JTM141" s="950"/>
      <c r="JTN141" s="950"/>
      <c r="JTO141" s="950"/>
      <c r="JTP141" s="950"/>
      <c r="JTQ141" s="950"/>
      <c r="JTR141" s="950"/>
      <c r="JTS141" s="950"/>
      <c r="JTT141" s="950"/>
      <c r="JTU141" s="950"/>
      <c r="JTV141" s="950"/>
      <c r="JTW141" s="950"/>
      <c r="JTX141" s="950"/>
      <c r="JTY141" s="950"/>
      <c r="JTZ141" s="950"/>
      <c r="JUA141" s="950"/>
      <c r="JUB141" s="950"/>
      <c r="JUC141" s="950"/>
      <c r="JUD141" s="950"/>
      <c r="JUE141" s="950"/>
      <c r="JUF141" s="950"/>
      <c r="JUG141" s="950"/>
      <c r="JUH141" s="950"/>
      <c r="JUI141" s="950"/>
      <c r="JUJ141" s="950"/>
      <c r="JUK141" s="950"/>
      <c r="JUL141" s="950"/>
      <c r="JUM141" s="950"/>
      <c r="JUN141" s="950"/>
      <c r="JUO141" s="950"/>
      <c r="JUP141" s="950"/>
      <c r="JUQ141" s="950"/>
      <c r="JUR141" s="950"/>
      <c r="JUS141" s="950"/>
      <c r="JUT141" s="950"/>
      <c r="JUU141" s="950"/>
      <c r="JUV141" s="950"/>
      <c r="JUW141" s="950"/>
      <c r="JUX141" s="950"/>
      <c r="JUY141" s="950"/>
      <c r="JUZ141" s="950"/>
      <c r="JVA141" s="950"/>
      <c r="JVB141" s="950"/>
      <c r="JVC141" s="950"/>
      <c r="JVD141" s="950"/>
      <c r="JVE141" s="950"/>
      <c r="JVF141" s="950"/>
      <c r="JVG141" s="950"/>
      <c r="JVH141" s="950"/>
      <c r="JVI141" s="950"/>
      <c r="JVJ141" s="950"/>
      <c r="JVK141" s="950"/>
      <c r="JVL141" s="950"/>
      <c r="JVM141" s="950"/>
      <c r="JVN141" s="950"/>
      <c r="JVO141" s="950"/>
      <c r="JVP141" s="950"/>
      <c r="JVQ141" s="950"/>
      <c r="JVR141" s="950"/>
      <c r="JVS141" s="950"/>
      <c r="JVT141" s="950"/>
      <c r="JVU141" s="950"/>
      <c r="JVV141" s="950"/>
      <c r="JVW141" s="950"/>
      <c r="JVX141" s="950"/>
      <c r="JVY141" s="950"/>
      <c r="JVZ141" s="950"/>
      <c r="JWA141" s="950"/>
      <c r="JWB141" s="950"/>
      <c r="JWC141" s="950"/>
      <c r="JWD141" s="950"/>
      <c r="JWE141" s="950"/>
      <c r="JWF141" s="950"/>
      <c r="JWG141" s="950"/>
      <c r="JWH141" s="950"/>
      <c r="JWI141" s="950"/>
      <c r="JWJ141" s="950"/>
      <c r="JWK141" s="950"/>
      <c r="JWL141" s="950"/>
      <c r="JWM141" s="950"/>
      <c r="JWN141" s="950"/>
      <c r="JWO141" s="950"/>
      <c r="JWP141" s="950"/>
      <c r="JWQ141" s="950"/>
      <c r="JWR141" s="950"/>
      <c r="JWS141" s="950"/>
      <c r="JWT141" s="950"/>
      <c r="JWU141" s="950"/>
      <c r="JWV141" s="950"/>
      <c r="JWW141" s="950"/>
      <c r="JWX141" s="950"/>
      <c r="JWY141" s="950"/>
      <c r="JWZ141" s="950"/>
      <c r="JXA141" s="950"/>
      <c r="JXB141" s="950"/>
      <c r="JXC141" s="950"/>
      <c r="JXD141" s="950"/>
      <c r="JXE141" s="950"/>
      <c r="JXF141" s="950"/>
      <c r="JXG141" s="950"/>
      <c r="JXH141" s="950"/>
      <c r="JXI141" s="950"/>
      <c r="JXJ141" s="950"/>
      <c r="JXK141" s="950"/>
      <c r="JXL141" s="950"/>
      <c r="JXM141" s="950"/>
      <c r="JXN141" s="950"/>
      <c r="JXO141" s="950"/>
      <c r="JXP141" s="950"/>
      <c r="JXQ141" s="950"/>
      <c r="JXR141" s="950"/>
      <c r="JXS141" s="950"/>
      <c r="JXT141" s="950"/>
      <c r="JXU141" s="950"/>
      <c r="JXV141" s="950"/>
      <c r="JXW141" s="950"/>
      <c r="JXX141" s="950"/>
      <c r="JXY141" s="950"/>
      <c r="JXZ141" s="950"/>
      <c r="JYA141" s="950"/>
      <c r="JYB141" s="950"/>
      <c r="JYC141" s="950"/>
      <c r="JYD141" s="950"/>
      <c r="JYE141" s="950"/>
      <c r="JYF141" s="950"/>
      <c r="JYG141" s="950"/>
      <c r="JYH141" s="950"/>
      <c r="JYI141" s="950"/>
      <c r="JYJ141" s="950"/>
      <c r="JYK141" s="950"/>
      <c r="JYL141" s="950"/>
      <c r="JYM141" s="950"/>
      <c r="JYN141" s="950"/>
      <c r="JYO141" s="950"/>
      <c r="JYP141" s="950"/>
      <c r="JYQ141" s="950"/>
      <c r="JYR141" s="950"/>
      <c r="JYS141" s="950"/>
      <c r="JYT141" s="950"/>
      <c r="JYU141" s="950"/>
      <c r="JYV141" s="950"/>
      <c r="JYW141" s="950"/>
      <c r="JYX141" s="950"/>
      <c r="JYY141" s="950"/>
      <c r="JYZ141" s="950"/>
      <c r="JZA141" s="950"/>
      <c r="JZB141" s="950"/>
      <c r="JZC141" s="950"/>
      <c r="JZD141" s="950"/>
      <c r="JZE141" s="950"/>
      <c r="JZF141" s="950"/>
      <c r="JZG141" s="950"/>
      <c r="JZH141" s="950"/>
      <c r="JZI141" s="950"/>
      <c r="JZJ141" s="950"/>
      <c r="JZK141" s="950"/>
      <c r="JZL141" s="950"/>
      <c r="JZM141" s="950"/>
      <c r="JZN141" s="950"/>
      <c r="JZO141" s="950"/>
      <c r="JZP141" s="950"/>
      <c r="JZQ141" s="950"/>
      <c r="JZR141" s="950"/>
      <c r="JZS141" s="950"/>
      <c r="JZT141" s="950"/>
      <c r="JZU141" s="950"/>
      <c r="JZV141" s="950"/>
      <c r="JZW141" s="950"/>
      <c r="JZX141" s="950"/>
      <c r="JZY141" s="950"/>
      <c r="JZZ141" s="950"/>
      <c r="KAA141" s="950"/>
      <c r="KAB141" s="950"/>
      <c r="KAC141" s="950"/>
      <c r="KAD141" s="950"/>
      <c r="KAE141" s="950"/>
      <c r="KAF141" s="950"/>
      <c r="KAG141" s="950"/>
      <c r="KAH141" s="950"/>
      <c r="KAI141" s="950"/>
      <c r="KAJ141" s="950"/>
      <c r="KAK141" s="950"/>
      <c r="KAL141" s="950"/>
      <c r="KAM141" s="950"/>
      <c r="KAN141" s="950"/>
      <c r="KAO141" s="950"/>
      <c r="KAP141" s="950"/>
      <c r="KAQ141" s="950"/>
      <c r="KAR141" s="950"/>
      <c r="KAS141" s="950"/>
      <c r="KAT141" s="950"/>
      <c r="KAU141" s="950"/>
      <c r="KAV141" s="950"/>
      <c r="KAW141" s="950"/>
      <c r="KAX141" s="950"/>
      <c r="KAY141" s="950"/>
      <c r="KAZ141" s="950"/>
      <c r="KBA141" s="950"/>
      <c r="KBB141" s="950"/>
      <c r="KBC141" s="950"/>
      <c r="KBD141" s="950"/>
      <c r="KBE141" s="950"/>
      <c r="KBF141" s="950"/>
      <c r="KBG141" s="950"/>
      <c r="KBH141" s="950"/>
      <c r="KBI141" s="950"/>
      <c r="KBJ141" s="950"/>
      <c r="KBK141" s="950"/>
      <c r="KBL141" s="950"/>
      <c r="KBM141" s="950"/>
      <c r="KBN141" s="950"/>
      <c r="KBO141" s="950"/>
      <c r="KBP141" s="950"/>
      <c r="KBQ141" s="950"/>
      <c r="KBR141" s="950"/>
      <c r="KBS141" s="950"/>
      <c r="KBT141" s="950"/>
      <c r="KBU141" s="950"/>
      <c r="KBV141" s="950"/>
      <c r="KBW141" s="950"/>
      <c r="KBX141" s="950"/>
      <c r="KBY141" s="950"/>
      <c r="KBZ141" s="950"/>
      <c r="KCA141" s="950"/>
      <c r="KCB141" s="950"/>
      <c r="KCC141" s="950"/>
      <c r="KCD141" s="950"/>
      <c r="KCE141" s="950"/>
      <c r="KCF141" s="950"/>
      <c r="KCG141" s="950"/>
      <c r="KCH141" s="950"/>
      <c r="KCI141" s="950"/>
      <c r="KCJ141" s="950"/>
      <c r="KCK141" s="950"/>
      <c r="KCL141" s="950"/>
      <c r="KCM141" s="950"/>
      <c r="KCN141" s="950"/>
      <c r="KCO141" s="950"/>
      <c r="KCP141" s="950"/>
      <c r="KCQ141" s="950"/>
      <c r="KCR141" s="950"/>
      <c r="KCS141" s="950"/>
      <c r="KCT141" s="950"/>
      <c r="KCU141" s="950"/>
      <c r="KCV141" s="950"/>
      <c r="KCW141" s="950"/>
      <c r="KCX141" s="950"/>
      <c r="KCY141" s="950"/>
      <c r="KCZ141" s="950"/>
      <c r="KDA141" s="950"/>
      <c r="KDB141" s="950"/>
      <c r="KDC141" s="950"/>
      <c r="KDD141" s="950"/>
      <c r="KDE141" s="950"/>
      <c r="KDF141" s="950"/>
      <c r="KDG141" s="950"/>
      <c r="KDH141" s="950"/>
      <c r="KDI141" s="950"/>
      <c r="KDJ141" s="950"/>
      <c r="KDK141" s="950"/>
      <c r="KDL141" s="950"/>
      <c r="KDM141" s="950"/>
      <c r="KDN141" s="950"/>
      <c r="KDO141" s="950"/>
      <c r="KDP141" s="950"/>
      <c r="KDQ141" s="950"/>
      <c r="KDR141" s="950"/>
      <c r="KDS141" s="950"/>
      <c r="KDT141" s="950"/>
      <c r="KDU141" s="950"/>
      <c r="KDV141" s="950"/>
      <c r="KDW141" s="950"/>
      <c r="KDX141" s="950"/>
      <c r="KDY141" s="950"/>
      <c r="KDZ141" s="950"/>
      <c r="KEA141" s="950"/>
      <c r="KEB141" s="950"/>
      <c r="KEC141" s="950"/>
      <c r="KED141" s="950"/>
      <c r="KEE141" s="950"/>
      <c r="KEF141" s="950"/>
      <c r="KEG141" s="950"/>
      <c r="KEH141" s="950"/>
      <c r="KEI141" s="950"/>
      <c r="KEJ141" s="950"/>
      <c r="KEK141" s="950"/>
      <c r="KEL141" s="950"/>
      <c r="KEM141" s="950"/>
      <c r="KEN141" s="950"/>
      <c r="KEO141" s="950"/>
      <c r="KEP141" s="950"/>
      <c r="KEQ141" s="950"/>
      <c r="KER141" s="950"/>
      <c r="KES141" s="950"/>
      <c r="KET141" s="950"/>
      <c r="KEU141" s="950"/>
      <c r="KEV141" s="950"/>
      <c r="KEW141" s="950"/>
      <c r="KEX141" s="950"/>
      <c r="KEY141" s="950"/>
      <c r="KEZ141" s="950"/>
      <c r="KFA141" s="950"/>
      <c r="KFB141" s="950"/>
      <c r="KFC141" s="950"/>
      <c r="KFD141" s="950"/>
      <c r="KFE141" s="950"/>
      <c r="KFF141" s="950"/>
      <c r="KFG141" s="950"/>
      <c r="KFH141" s="950"/>
      <c r="KFI141" s="950"/>
      <c r="KFJ141" s="950"/>
      <c r="KFK141" s="950"/>
      <c r="KFL141" s="950"/>
      <c r="KFM141" s="950"/>
      <c r="KFN141" s="950"/>
      <c r="KFO141" s="950"/>
      <c r="KFP141" s="950"/>
      <c r="KFQ141" s="950"/>
      <c r="KFR141" s="950"/>
      <c r="KFS141" s="950"/>
      <c r="KFT141" s="950"/>
      <c r="KFU141" s="950"/>
      <c r="KFV141" s="950"/>
      <c r="KFW141" s="950"/>
      <c r="KFX141" s="950"/>
      <c r="KFY141" s="950"/>
      <c r="KFZ141" s="950"/>
      <c r="KGA141" s="950"/>
      <c r="KGB141" s="950"/>
      <c r="KGC141" s="950"/>
      <c r="KGD141" s="950"/>
      <c r="KGE141" s="950"/>
      <c r="KGF141" s="950"/>
      <c r="KGG141" s="950"/>
      <c r="KGH141" s="950"/>
      <c r="KGI141" s="950"/>
      <c r="KGJ141" s="950"/>
      <c r="KGK141" s="950"/>
      <c r="KGL141" s="950"/>
      <c r="KGM141" s="950"/>
      <c r="KGN141" s="950"/>
      <c r="KGO141" s="950"/>
      <c r="KGP141" s="950"/>
      <c r="KGQ141" s="950"/>
      <c r="KGR141" s="950"/>
      <c r="KGS141" s="950"/>
      <c r="KGT141" s="950"/>
      <c r="KGU141" s="950"/>
      <c r="KGV141" s="950"/>
      <c r="KGW141" s="950"/>
      <c r="KGX141" s="950"/>
      <c r="KGY141" s="950"/>
      <c r="KGZ141" s="950"/>
      <c r="KHA141" s="950"/>
      <c r="KHB141" s="950"/>
      <c r="KHC141" s="950"/>
      <c r="KHD141" s="950"/>
      <c r="KHE141" s="950"/>
      <c r="KHF141" s="950"/>
      <c r="KHG141" s="950"/>
      <c r="KHH141" s="950"/>
      <c r="KHI141" s="950"/>
      <c r="KHJ141" s="950"/>
      <c r="KHK141" s="950"/>
      <c r="KHL141" s="950"/>
      <c r="KHM141" s="950"/>
      <c r="KHN141" s="950"/>
      <c r="KHO141" s="950"/>
      <c r="KHP141" s="950"/>
      <c r="KHQ141" s="950"/>
      <c r="KHR141" s="950"/>
      <c r="KHS141" s="950"/>
      <c r="KHT141" s="950"/>
      <c r="KHU141" s="950"/>
      <c r="KHV141" s="950"/>
      <c r="KHW141" s="950"/>
      <c r="KHX141" s="950"/>
      <c r="KHY141" s="950"/>
      <c r="KHZ141" s="950"/>
      <c r="KIA141" s="950"/>
      <c r="KIB141" s="950"/>
      <c r="KIC141" s="950"/>
      <c r="KID141" s="950"/>
      <c r="KIE141" s="950"/>
      <c r="KIF141" s="950"/>
      <c r="KIG141" s="950"/>
      <c r="KIH141" s="950"/>
      <c r="KII141" s="950"/>
      <c r="KIJ141" s="950"/>
      <c r="KIK141" s="950"/>
      <c r="KIL141" s="950"/>
      <c r="KIM141" s="950"/>
      <c r="KIN141" s="950"/>
      <c r="KIO141" s="950"/>
      <c r="KIP141" s="950"/>
      <c r="KIQ141" s="950"/>
      <c r="KIR141" s="950"/>
      <c r="KIS141" s="950"/>
      <c r="KIT141" s="950"/>
      <c r="KIU141" s="950"/>
      <c r="KIV141" s="950"/>
      <c r="KIW141" s="950"/>
      <c r="KIX141" s="950"/>
      <c r="KIY141" s="950"/>
      <c r="KIZ141" s="950"/>
      <c r="KJA141" s="950"/>
      <c r="KJB141" s="950"/>
      <c r="KJC141" s="950"/>
      <c r="KJD141" s="950"/>
      <c r="KJE141" s="950"/>
      <c r="KJF141" s="950"/>
      <c r="KJG141" s="950"/>
      <c r="KJH141" s="950"/>
      <c r="KJI141" s="950"/>
      <c r="KJJ141" s="950"/>
      <c r="KJK141" s="950"/>
      <c r="KJL141" s="950"/>
      <c r="KJM141" s="950"/>
      <c r="KJN141" s="950"/>
      <c r="KJO141" s="950"/>
      <c r="KJP141" s="950"/>
      <c r="KJQ141" s="950"/>
      <c r="KJR141" s="950"/>
      <c r="KJS141" s="950"/>
      <c r="KJT141" s="950"/>
      <c r="KJU141" s="950"/>
      <c r="KJV141" s="950"/>
      <c r="KJW141" s="950"/>
      <c r="KJX141" s="950"/>
      <c r="KJY141" s="950"/>
      <c r="KJZ141" s="950"/>
      <c r="KKA141" s="950"/>
      <c r="KKB141" s="950"/>
      <c r="KKC141" s="950"/>
      <c r="KKD141" s="950"/>
      <c r="KKE141" s="950"/>
      <c r="KKF141" s="950"/>
      <c r="KKG141" s="950"/>
      <c r="KKH141" s="950"/>
      <c r="KKI141" s="950"/>
      <c r="KKJ141" s="950"/>
      <c r="KKK141" s="950"/>
      <c r="KKL141" s="950"/>
      <c r="KKM141" s="950"/>
      <c r="KKN141" s="950"/>
      <c r="KKO141" s="950"/>
      <c r="KKP141" s="950"/>
      <c r="KKQ141" s="950"/>
      <c r="KKR141" s="950"/>
      <c r="KKS141" s="950"/>
      <c r="KKT141" s="950"/>
      <c r="KKU141" s="950"/>
      <c r="KKV141" s="950"/>
      <c r="KKW141" s="950"/>
      <c r="KKX141" s="950"/>
      <c r="KKY141" s="950"/>
      <c r="KKZ141" s="950"/>
      <c r="KLA141" s="950"/>
      <c r="KLB141" s="950"/>
      <c r="KLC141" s="950"/>
      <c r="KLD141" s="950"/>
      <c r="KLE141" s="950"/>
      <c r="KLF141" s="950"/>
      <c r="KLG141" s="950"/>
      <c r="KLH141" s="950"/>
      <c r="KLI141" s="950"/>
      <c r="KLJ141" s="950"/>
      <c r="KLK141" s="950"/>
      <c r="KLL141" s="950"/>
      <c r="KLM141" s="950"/>
      <c r="KLN141" s="950"/>
      <c r="KLO141" s="950"/>
      <c r="KLP141" s="950"/>
      <c r="KLQ141" s="950"/>
      <c r="KLR141" s="950"/>
      <c r="KLS141" s="950"/>
      <c r="KLT141" s="950"/>
      <c r="KLU141" s="950"/>
      <c r="KLV141" s="950"/>
      <c r="KLW141" s="950"/>
      <c r="KLX141" s="950"/>
      <c r="KLY141" s="950"/>
      <c r="KLZ141" s="950"/>
      <c r="KMA141" s="950"/>
      <c r="KMB141" s="950"/>
      <c r="KMC141" s="950"/>
      <c r="KMD141" s="950"/>
      <c r="KME141" s="950"/>
      <c r="KMF141" s="950"/>
      <c r="KMG141" s="950"/>
      <c r="KMH141" s="950"/>
      <c r="KMI141" s="950"/>
      <c r="KMJ141" s="950"/>
      <c r="KMK141" s="950"/>
      <c r="KML141" s="950"/>
      <c r="KMM141" s="950"/>
      <c r="KMN141" s="950"/>
      <c r="KMO141" s="950"/>
      <c r="KMP141" s="950"/>
      <c r="KMQ141" s="950"/>
      <c r="KMR141" s="950"/>
      <c r="KMS141" s="950"/>
      <c r="KMT141" s="950"/>
      <c r="KMU141" s="950"/>
      <c r="KMV141" s="950"/>
      <c r="KMW141" s="950"/>
      <c r="KMX141" s="950"/>
      <c r="KMY141" s="950"/>
      <c r="KMZ141" s="950"/>
      <c r="KNA141" s="950"/>
      <c r="KNB141" s="950"/>
      <c r="KNC141" s="950"/>
      <c r="KND141" s="950"/>
      <c r="KNE141" s="950"/>
      <c r="KNF141" s="950"/>
      <c r="KNG141" s="950"/>
      <c r="KNH141" s="950"/>
      <c r="KNI141" s="950"/>
      <c r="KNJ141" s="950"/>
      <c r="KNK141" s="950"/>
      <c r="KNL141" s="950"/>
      <c r="KNM141" s="950"/>
      <c r="KNN141" s="950"/>
      <c r="KNO141" s="950"/>
      <c r="KNP141" s="950"/>
      <c r="KNQ141" s="950"/>
      <c r="KNR141" s="950"/>
      <c r="KNS141" s="950"/>
      <c r="KNT141" s="950"/>
      <c r="KNU141" s="950"/>
      <c r="KNV141" s="950"/>
      <c r="KNW141" s="950"/>
      <c r="KNX141" s="950"/>
      <c r="KNY141" s="950"/>
      <c r="KNZ141" s="950"/>
      <c r="KOA141" s="950"/>
      <c r="KOB141" s="950"/>
      <c r="KOC141" s="950"/>
      <c r="KOD141" s="950"/>
      <c r="KOE141" s="950"/>
      <c r="KOF141" s="950"/>
      <c r="KOG141" s="950"/>
      <c r="KOH141" s="950"/>
      <c r="KOI141" s="950"/>
      <c r="KOJ141" s="950"/>
      <c r="KOK141" s="950"/>
      <c r="KOL141" s="950"/>
      <c r="KOM141" s="950"/>
      <c r="KON141" s="950"/>
      <c r="KOO141" s="950"/>
      <c r="KOP141" s="950"/>
      <c r="KOQ141" s="950"/>
      <c r="KOR141" s="950"/>
      <c r="KOS141" s="950"/>
      <c r="KOT141" s="950"/>
      <c r="KOU141" s="950"/>
      <c r="KOV141" s="950"/>
      <c r="KOW141" s="950"/>
      <c r="KOX141" s="950"/>
      <c r="KOY141" s="950"/>
      <c r="KOZ141" s="950"/>
      <c r="KPA141" s="950"/>
      <c r="KPB141" s="950"/>
      <c r="KPC141" s="950"/>
      <c r="KPD141" s="950"/>
      <c r="KPE141" s="950"/>
      <c r="KPF141" s="950"/>
      <c r="KPG141" s="950"/>
      <c r="KPH141" s="950"/>
      <c r="KPI141" s="950"/>
      <c r="KPJ141" s="950"/>
      <c r="KPK141" s="950"/>
      <c r="KPL141" s="950"/>
      <c r="KPM141" s="950"/>
      <c r="KPN141" s="950"/>
      <c r="KPO141" s="950"/>
      <c r="KPP141" s="950"/>
      <c r="KPQ141" s="950"/>
      <c r="KPR141" s="950"/>
      <c r="KPS141" s="950"/>
      <c r="KPT141" s="950"/>
      <c r="KPU141" s="950"/>
      <c r="KPV141" s="950"/>
      <c r="KPW141" s="950"/>
      <c r="KPX141" s="950"/>
      <c r="KPY141" s="950"/>
      <c r="KPZ141" s="950"/>
      <c r="KQA141" s="950"/>
      <c r="KQB141" s="950"/>
      <c r="KQC141" s="950"/>
      <c r="KQD141" s="950"/>
      <c r="KQE141" s="950"/>
      <c r="KQF141" s="950"/>
      <c r="KQG141" s="950"/>
      <c r="KQH141" s="950"/>
      <c r="KQI141" s="950"/>
      <c r="KQJ141" s="950"/>
      <c r="KQK141" s="950"/>
      <c r="KQL141" s="950"/>
      <c r="KQM141" s="950"/>
      <c r="KQN141" s="950"/>
      <c r="KQO141" s="950"/>
      <c r="KQP141" s="950"/>
      <c r="KQQ141" s="950"/>
      <c r="KQR141" s="950"/>
      <c r="KQS141" s="950"/>
      <c r="KQT141" s="950"/>
      <c r="KQU141" s="950"/>
      <c r="KQV141" s="950"/>
      <c r="KQW141" s="950"/>
      <c r="KQX141" s="950"/>
      <c r="KQY141" s="950"/>
      <c r="KQZ141" s="950"/>
      <c r="KRA141" s="950"/>
      <c r="KRB141" s="950"/>
      <c r="KRC141" s="950"/>
      <c r="KRD141" s="950"/>
      <c r="KRE141" s="950"/>
      <c r="KRF141" s="950"/>
      <c r="KRG141" s="950"/>
      <c r="KRH141" s="950"/>
      <c r="KRI141" s="950"/>
      <c r="KRJ141" s="950"/>
      <c r="KRK141" s="950"/>
      <c r="KRL141" s="950"/>
      <c r="KRM141" s="950"/>
      <c r="KRN141" s="950"/>
      <c r="KRO141" s="950"/>
      <c r="KRP141" s="950"/>
      <c r="KRQ141" s="950"/>
      <c r="KRR141" s="950"/>
      <c r="KRS141" s="950"/>
      <c r="KRT141" s="950"/>
      <c r="KRU141" s="950"/>
      <c r="KRV141" s="950"/>
      <c r="KRW141" s="950"/>
      <c r="KRX141" s="950"/>
      <c r="KRY141" s="950"/>
      <c r="KRZ141" s="950"/>
      <c r="KSA141" s="950"/>
      <c r="KSB141" s="950"/>
      <c r="KSC141" s="950"/>
      <c r="KSD141" s="950"/>
      <c r="KSE141" s="950"/>
      <c r="KSF141" s="950"/>
      <c r="KSG141" s="950"/>
      <c r="KSH141" s="950"/>
      <c r="KSI141" s="950"/>
      <c r="KSJ141" s="950"/>
      <c r="KSK141" s="950"/>
      <c r="KSL141" s="950"/>
      <c r="KSM141" s="950"/>
      <c r="KSN141" s="950"/>
      <c r="KSO141" s="950"/>
      <c r="KSP141" s="950"/>
      <c r="KSQ141" s="950"/>
      <c r="KSR141" s="950"/>
      <c r="KSS141" s="950"/>
      <c r="KST141" s="950"/>
      <c r="KSU141" s="950"/>
      <c r="KSV141" s="950"/>
      <c r="KSW141" s="950"/>
      <c r="KSX141" s="950"/>
      <c r="KSY141" s="950"/>
      <c r="KSZ141" s="950"/>
      <c r="KTA141" s="950"/>
      <c r="KTB141" s="950"/>
      <c r="KTC141" s="950"/>
      <c r="KTD141" s="950"/>
      <c r="KTE141" s="950"/>
      <c r="KTF141" s="950"/>
      <c r="KTG141" s="950"/>
      <c r="KTH141" s="950"/>
      <c r="KTI141" s="950"/>
      <c r="KTJ141" s="950"/>
      <c r="KTK141" s="950"/>
      <c r="KTL141" s="950"/>
      <c r="KTM141" s="950"/>
      <c r="KTN141" s="950"/>
      <c r="KTO141" s="950"/>
      <c r="KTP141" s="950"/>
      <c r="KTQ141" s="950"/>
      <c r="KTR141" s="950"/>
      <c r="KTS141" s="950"/>
      <c r="KTT141" s="950"/>
      <c r="KTU141" s="950"/>
      <c r="KTV141" s="950"/>
      <c r="KTW141" s="950"/>
      <c r="KTX141" s="950"/>
      <c r="KTY141" s="950"/>
      <c r="KTZ141" s="950"/>
      <c r="KUA141" s="950"/>
      <c r="KUB141" s="950"/>
      <c r="KUC141" s="950"/>
      <c r="KUD141" s="950"/>
      <c r="KUE141" s="950"/>
      <c r="KUF141" s="950"/>
      <c r="KUG141" s="950"/>
      <c r="KUH141" s="950"/>
      <c r="KUI141" s="950"/>
      <c r="KUJ141" s="950"/>
      <c r="KUK141" s="950"/>
      <c r="KUL141" s="950"/>
      <c r="KUM141" s="950"/>
      <c r="KUN141" s="950"/>
      <c r="KUO141" s="950"/>
      <c r="KUP141" s="950"/>
      <c r="KUQ141" s="950"/>
      <c r="KUR141" s="950"/>
      <c r="KUS141" s="950"/>
      <c r="KUT141" s="950"/>
      <c r="KUU141" s="950"/>
      <c r="KUV141" s="950"/>
      <c r="KUW141" s="950"/>
      <c r="KUX141" s="950"/>
      <c r="KUY141" s="950"/>
      <c r="KUZ141" s="950"/>
      <c r="KVA141" s="950"/>
      <c r="KVB141" s="950"/>
      <c r="KVC141" s="950"/>
      <c r="KVD141" s="950"/>
      <c r="KVE141" s="950"/>
      <c r="KVF141" s="950"/>
      <c r="KVG141" s="950"/>
      <c r="KVH141" s="950"/>
      <c r="KVI141" s="950"/>
      <c r="KVJ141" s="950"/>
      <c r="KVK141" s="950"/>
      <c r="KVL141" s="950"/>
      <c r="KVM141" s="950"/>
      <c r="KVN141" s="950"/>
      <c r="KVO141" s="950"/>
      <c r="KVP141" s="950"/>
      <c r="KVQ141" s="950"/>
      <c r="KVR141" s="950"/>
      <c r="KVS141" s="950"/>
      <c r="KVT141" s="950"/>
      <c r="KVU141" s="950"/>
      <c r="KVV141" s="950"/>
      <c r="KVW141" s="950"/>
      <c r="KVX141" s="950"/>
      <c r="KVY141" s="950"/>
      <c r="KVZ141" s="950"/>
      <c r="KWA141" s="950"/>
      <c r="KWB141" s="950"/>
      <c r="KWC141" s="950"/>
      <c r="KWD141" s="950"/>
      <c r="KWE141" s="950"/>
      <c r="KWF141" s="950"/>
      <c r="KWG141" s="950"/>
      <c r="KWH141" s="950"/>
      <c r="KWI141" s="950"/>
      <c r="KWJ141" s="950"/>
      <c r="KWK141" s="950"/>
      <c r="KWL141" s="950"/>
      <c r="KWM141" s="950"/>
      <c r="KWN141" s="950"/>
      <c r="KWO141" s="950"/>
      <c r="KWP141" s="950"/>
      <c r="KWQ141" s="950"/>
      <c r="KWR141" s="950"/>
      <c r="KWS141" s="950"/>
      <c r="KWT141" s="950"/>
      <c r="KWU141" s="950"/>
      <c r="KWV141" s="950"/>
      <c r="KWW141" s="950"/>
      <c r="KWX141" s="950"/>
      <c r="KWY141" s="950"/>
      <c r="KWZ141" s="950"/>
      <c r="KXA141" s="950"/>
      <c r="KXB141" s="950"/>
      <c r="KXC141" s="950"/>
      <c r="KXD141" s="950"/>
      <c r="KXE141" s="950"/>
      <c r="KXF141" s="950"/>
      <c r="KXG141" s="950"/>
      <c r="KXH141" s="950"/>
      <c r="KXI141" s="950"/>
      <c r="KXJ141" s="950"/>
      <c r="KXK141" s="950"/>
      <c r="KXL141" s="950"/>
      <c r="KXM141" s="950"/>
      <c r="KXN141" s="950"/>
      <c r="KXO141" s="950"/>
      <c r="KXP141" s="950"/>
      <c r="KXQ141" s="950"/>
      <c r="KXR141" s="950"/>
      <c r="KXS141" s="950"/>
      <c r="KXT141" s="950"/>
      <c r="KXU141" s="950"/>
      <c r="KXV141" s="950"/>
      <c r="KXW141" s="950"/>
      <c r="KXX141" s="950"/>
      <c r="KXY141" s="950"/>
      <c r="KXZ141" s="950"/>
      <c r="KYA141" s="950"/>
      <c r="KYB141" s="950"/>
      <c r="KYC141" s="950"/>
      <c r="KYD141" s="950"/>
      <c r="KYE141" s="950"/>
      <c r="KYF141" s="950"/>
      <c r="KYG141" s="950"/>
      <c r="KYH141" s="950"/>
      <c r="KYI141" s="950"/>
      <c r="KYJ141" s="950"/>
      <c r="KYK141" s="950"/>
      <c r="KYL141" s="950"/>
      <c r="KYM141" s="950"/>
      <c r="KYN141" s="950"/>
      <c r="KYO141" s="950"/>
      <c r="KYP141" s="950"/>
      <c r="KYQ141" s="950"/>
      <c r="KYR141" s="950"/>
      <c r="KYS141" s="950"/>
      <c r="KYT141" s="950"/>
      <c r="KYU141" s="950"/>
      <c r="KYV141" s="950"/>
      <c r="KYW141" s="950"/>
      <c r="KYX141" s="950"/>
      <c r="KYY141" s="950"/>
      <c r="KYZ141" s="950"/>
      <c r="KZA141" s="950"/>
      <c r="KZB141" s="950"/>
      <c r="KZC141" s="950"/>
      <c r="KZD141" s="950"/>
      <c r="KZE141" s="950"/>
      <c r="KZF141" s="950"/>
      <c r="KZG141" s="950"/>
      <c r="KZH141" s="950"/>
      <c r="KZI141" s="950"/>
      <c r="KZJ141" s="950"/>
      <c r="KZK141" s="950"/>
      <c r="KZL141" s="950"/>
      <c r="KZM141" s="950"/>
      <c r="KZN141" s="950"/>
      <c r="KZO141" s="950"/>
      <c r="KZP141" s="950"/>
      <c r="KZQ141" s="950"/>
      <c r="KZR141" s="950"/>
      <c r="KZS141" s="950"/>
      <c r="KZT141" s="950"/>
      <c r="KZU141" s="950"/>
      <c r="KZV141" s="950"/>
      <c r="KZW141" s="950"/>
      <c r="KZX141" s="950"/>
      <c r="KZY141" s="950"/>
      <c r="KZZ141" s="950"/>
      <c r="LAA141" s="950"/>
      <c r="LAB141" s="950"/>
      <c r="LAC141" s="950"/>
      <c r="LAD141" s="950"/>
      <c r="LAE141" s="950"/>
      <c r="LAF141" s="950"/>
      <c r="LAG141" s="950"/>
      <c r="LAH141" s="950"/>
      <c r="LAI141" s="950"/>
      <c r="LAJ141" s="950"/>
      <c r="LAK141" s="950"/>
      <c r="LAL141" s="950"/>
      <c r="LAM141" s="950"/>
      <c r="LAN141" s="950"/>
      <c r="LAO141" s="950"/>
      <c r="LAP141" s="950"/>
      <c r="LAQ141" s="950"/>
      <c r="LAR141" s="950"/>
      <c r="LAS141" s="950"/>
      <c r="LAT141" s="950"/>
      <c r="LAU141" s="950"/>
      <c r="LAV141" s="950"/>
      <c r="LAW141" s="950"/>
      <c r="LAX141" s="950"/>
      <c r="LAY141" s="950"/>
      <c r="LAZ141" s="950"/>
      <c r="LBA141" s="950"/>
      <c r="LBB141" s="950"/>
      <c r="LBC141" s="950"/>
      <c r="LBD141" s="950"/>
      <c r="LBE141" s="950"/>
      <c r="LBF141" s="950"/>
      <c r="LBG141" s="950"/>
      <c r="LBH141" s="950"/>
      <c r="LBI141" s="950"/>
      <c r="LBJ141" s="950"/>
      <c r="LBK141" s="950"/>
      <c r="LBL141" s="950"/>
      <c r="LBM141" s="950"/>
      <c r="LBN141" s="950"/>
      <c r="LBO141" s="950"/>
      <c r="LBP141" s="950"/>
      <c r="LBQ141" s="950"/>
      <c r="LBR141" s="950"/>
      <c r="LBS141" s="950"/>
      <c r="LBT141" s="950"/>
      <c r="LBU141" s="950"/>
      <c r="LBV141" s="950"/>
      <c r="LBW141" s="950"/>
      <c r="LBX141" s="950"/>
      <c r="LBY141" s="950"/>
      <c r="LBZ141" s="950"/>
      <c r="LCA141" s="950"/>
      <c r="LCB141" s="950"/>
      <c r="LCC141" s="950"/>
      <c r="LCD141" s="950"/>
      <c r="LCE141" s="950"/>
      <c r="LCF141" s="950"/>
      <c r="LCG141" s="950"/>
      <c r="LCH141" s="950"/>
      <c r="LCI141" s="950"/>
      <c r="LCJ141" s="950"/>
      <c r="LCK141" s="950"/>
      <c r="LCL141" s="950"/>
      <c r="LCM141" s="950"/>
      <c r="LCN141" s="950"/>
      <c r="LCO141" s="950"/>
      <c r="LCP141" s="950"/>
      <c r="LCQ141" s="950"/>
      <c r="LCR141" s="950"/>
      <c r="LCS141" s="950"/>
      <c r="LCT141" s="950"/>
      <c r="LCU141" s="950"/>
      <c r="LCV141" s="950"/>
      <c r="LCW141" s="950"/>
      <c r="LCX141" s="950"/>
      <c r="LCY141" s="950"/>
      <c r="LCZ141" s="950"/>
      <c r="LDA141" s="950"/>
      <c r="LDB141" s="950"/>
      <c r="LDC141" s="950"/>
      <c r="LDD141" s="950"/>
      <c r="LDE141" s="950"/>
      <c r="LDF141" s="950"/>
      <c r="LDG141" s="950"/>
      <c r="LDH141" s="950"/>
      <c r="LDI141" s="950"/>
      <c r="LDJ141" s="950"/>
      <c r="LDK141" s="950"/>
      <c r="LDL141" s="950"/>
      <c r="LDM141" s="950"/>
      <c r="LDN141" s="950"/>
      <c r="LDO141" s="950"/>
      <c r="LDP141" s="950"/>
      <c r="LDQ141" s="950"/>
      <c r="LDR141" s="950"/>
      <c r="LDS141" s="950"/>
      <c r="LDT141" s="950"/>
      <c r="LDU141" s="950"/>
      <c r="LDV141" s="950"/>
      <c r="LDW141" s="950"/>
      <c r="LDX141" s="950"/>
      <c r="LDY141" s="950"/>
      <c r="LDZ141" s="950"/>
      <c r="LEA141" s="950"/>
      <c r="LEB141" s="950"/>
      <c r="LEC141" s="950"/>
      <c r="LED141" s="950"/>
      <c r="LEE141" s="950"/>
      <c r="LEF141" s="950"/>
      <c r="LEG141" s="950"/>
      <c r="LEH141" s="950"/>
      <c r="LEI141" s="950"/>
      <c r="LEJ141" s="950"/>
      <c r="LEK141" s="950"/>
      <c r="LEL141" s="950"/>
      <c r="LEM141" s="950"/>
      <c r="LEN141" s="950"/>
      <c r="LEO141" s="950"/>
      <c r="LEP141" s="950"/>
      <c r="LEQ141" s="950"/>
      <c r="LER141" s="950"/>
      <c r="LES141" s="950"/>
      <c r="LET141" s="950"/>
      <c r="LEU141" s="950"/>
      <c r="LEV141" s="950"/>
      <c r="LEW141" s="950"/>
      <c r="LEX141" s="950"/>
      <c r="LEY141" s="950"/>
      <c r="LEZ141" s="950"/>
      <c r="LFA141" s="950"/>
      <c r="LFB141" s="950"/>
      <c r="LFC141" s="950"/>
      <c r="LFD141" s="950"/>
      <c r="LFE141" s="950"/>
      <c r="LFF141" s="950"/>
      <c r="LFG141" s="950"/>
      <c r="LFH141" s="950"/>
      <c r="LFI141" s="950"/>
      <c r="LFJ141" s="950"/>
      <c r="LFK141" s="950"/>
      <c r="LFL141" s="950"/>
      <c r="LFM141" s="950"/>
      <c r="LFN141" s="950"/>
      <c r="LFO141" s="950"/>
      <c r="LFP141" s="950"/>
      <c r="LFQ141" s="950"/>
      <c r="LFR141" s="950"/>
      <c r="LFS141" s="950"/>
      <c r="LFT141" s="950"/>
      <c r="LFU141" s="950"/>
      <c r="LFV141" s="950"/>
      <c r="LFW141" s="950"/>
      <c r="LFX141" s="950"/>
      <c r="LFY141" s="950"/>
      <c r="LFZ141" s="950"/>
      <c r="LGA141" s="950"/>
      <c r="LGB141" s="950"/>
      <c r="LGC141" s="950"/>
      <c r="LGD141" s="950"/>
      <c r="LGE141" s="950"/>
      <c r="LGF141" s="950"/>
      <c r="LGG141" s="950"/>
      <c r="LGH141" s="950"/>
      <c r="LGI141" s="950"/>
      <c r="LGJ141" s="950"/>
      <c r="LGK141" s="950"/>
      <c r="LGL141" s="950"/>
      <c r="LGM141" s="950"/>
      <c r="LGN141" s="950"/>
      <c r="LGO141" s="950"/>
      <c r="LGP141" s="950"/>
      <c r="LGQ141" s="950"/>
      <c r="LGR141" s="950"/>
      <c r="LGS141" s="950"/>
      <c r="LGT141" s="950"/>
      <c r="LGU141" s="950"/>
      <c r="LGV141" s="950"/>
      <c r="LGW141" s="950"/>
      <c r="LGX141" s="950"/>
      <c r="LGY141" s="950"/>
      <c r="LGZ141" s="950"/>
      <c r="LHA141" s="950"/>
      <c r="LHB141" s="950"/>
      <c r="LHC141" s="950"/>
      <c r="LHD141" s="950"/>
      <c r="LHE141" s="950"/>
      <c r="LHF141" s="950"/>
      <c r="LHG141" s="950"/>
      <c r="LHH141" s="950"/>
      <c r="LHI141" s="950"/>
      <c r="LHJ141" s="950"/>
      <c r="LHK141" s="950"/>
      <c r="LHL141" s="950"/>
      <c r="LHM141" s="950"/>
      <c r="LHN141" s="950"/>
      <c r="LHO141" s="950"/>
      <c r="LHP141" s="950"/>
      <c r="LHQ141" s="950"/>
      <c r="LHR141" s="950"/>
      <c r="LHS141" s="950"/>
      <c r="LHT141" s="950"/>
      <c r="LHU141" s="950"/>
      <c r="LHV141" s="950"/>
      <c r="LHW141" s="950"/>
      <c r="LHX141" s="950"/>
      <c r="LHY141" s="950"/>
      <c r="LHZ141" s="950"/>
      <c r="LIA141" s="950"/>
      <c r="LIB141" s="950"/>
      <c r="LIC141" s="950"/>
      <c r="LID141" s="950"/>
      <c r="LIE141" s="950"/>
      <c r="LIF141" s="950"/>
      <c r="LIG141" s="950"/>
      <c r="LIH141" s="950"/>
      <c r="LII141" s="950"/>
      <c r="LIJ141" s="950"/>
      <c r="LIK141" s="950"/>
      <c r="LIL141" s="950"/>
      <c r="LIM141" s="950"/>
      <c r="LIN141" s="950"/>
      <c r="LIO141" s="950"/>
      <c r="LIP141" s="950"/>
      <c r="LIQ141" s="950"/>
      <c r="LIR141" s="950"/>
      <c r="LIS141" s="950"/>
      <c r="LIT141" s="950"/>
      <c r="LIU141" s="950"/>
      <c r="LIV141" s="950"/>
      <c r="LIW141" s="950"/>
      <c r="LIX141" s="950"/>
      <c r="LIY141" s="950"/>
      <c r="LIZ141" s="950"/>
      <c r="LJA141" s="950"/>
      <c r="LJB141" s="950"/>
      <c r="LJC141" s="950"/>
      <c r="LJD141" s="950"/>
      <c r="LJE141" s="950"/>
      <c r="LJF141" s="950"/>
      <c r="LJG141" s="950"/>
      <c r="LJH141" s="950"/>
      <c r="LJI141" s="950"/>
      <c r="LJJ141" s="950"/>
      <c r="LJK141" s="950"/>
      <c r="LJL141" s="950"/>
      <c r="LJM141" s="950"/>
      <c r="LJN141" s="950"/>
      <c r="LJO141" s="950"/>
      <c r="LJP141" s="950"/>
      <c r="LJQ141" s="950"/>
      <c r="LJR141" s="950"/>
      <c r="LJS141" s="950"/>
      <c r="LJT141" s="950"/>
      <c r="LJU141" s="950"/>
      <c r="LJV141" s="950"/>
      <c r="LJW141" s="950"/>
      <c r="LJX141" s="950"/>
      <c r="LJY141" s="950"/>
      <c r="LJZ141" s="950"/>
      <c r="LKA141" s="950"/>
      <c r="LKB141" s="950"/>
      <c r="LKC141" s="950"/>
      <c r="LKD141" s="950"/>
      <c r="LKE141" s="950"/>
      <c r="LKF141" s="950"/>
      <c r="LKG141" s="950"/>
      <c r="LKH141" s="950"/>
      <c r="LKI141" s="950"/>
      <c r="LKJ141" s="950"/>
      <c r="LKK141" s="950"/>
      <c r="LKL141" s="950"/>
      <c r="LKM141" s="950"/>
      <c r="LKN141" s="950"/>
      <c r="LKO141" s="950"/>
      <c r="LKP141" s="950"/>
      <c r="LKQ141" s="950"/>
      <c r="LKR141" s="950"/>
      <c r="LKS141" s="950"/>
      <c r="LKT141" s="950"/>
      <c r="LKU141" s="950"/>
      <c r="LKV141" s="950"/>
      <c r="LKW141" s="950"/>
      <c r="LKX141" s="950"/>
      <c r="LKY141" s="950"/>
      <c r="LKZ141" s="950"/>
      <c r="LLA141" s="950"/>
      <c r="LLB141" s="950"/>
      <c r="LLC141" s="950"/>
      <c r="LLD141" s="950"/>
      <c r="LLE141" s="950"/>
      <c r="LLF141" s="950"/>
      <c r="LLG141" s="950"/>
      <c r="LLH141" s="950"/>
      <c r="LLI141" s="950"/>
      <c r="LLJ141" s="950"/>
      <c r="LLK141" s="950"/>
      <c r="LLL141" s="950"/>
      <c r="LLM141" s="950"/>
      <c r="LLN141" s="950"/>
      <c r="LLO141" s="950"/>
      <c r="LLP141" s="950"/>
      <c r="LLQ141" s="950"/>
      <c r="LLR141" s="950"/>
      <c r="LLS141" s="950"/>
      <c r="LLT141" s="950"/>
      <c r="LLU141" s="950"/>
      <c r="LLV141" s="950"/>
      <c r="LLW141" s="950"/>
      <c r="LLX141" s="950"/>
      <c r="LLY141" s="950"/>
      <c r="LLZ141" s="950"/>
      <c r="LMA141" s="950"/>
      <c r="LMB141" s="950"/>
      <c r="LMC141" s="950"/>
      <c r="LMD141" s="950"/>
      <c r="LME141" s="950"/>
      <c r="LMF141" s="950"/>
      <c r="LMG141" s="950"/>
      <c r="LMH141" s="950"/>
      <c r="LMI141" s="950"/>
      <c r="LMJ141" s="950"/>
      <c r="LMK141" s="950"/>
      <c r="LML141" s="950"/>
      <c r="LMM141" s="950"/>
      <c r="LMN141" s="950"/>
      <c r="LMO141" s="950"/>
      <c r="LMP141" s="950"/>
      <c r="LMQ141" s="950"/>
      <c r="LMR141" s="950"/>
      <c r="LMS141" s="950"/>
      <c r="LMT141" s="950"/>
      <c r="LMU141" s="950"/>
      <c r="LMV141" s="950"/>
      <c r="LMW141" s="950"/>
      <c r="LMX141" s="950"/>
      <c r="LMY141" s="950"/>
      <c r="LMZ141" s="950"/>
      <c r="LNA141" s="950"/>
      <c r="LNB141" s="950"/>
      <c r="LNC141" s="950"/>
      <c r="LND141" s="950"/>
      <c r="LNE141" s="950"/>
      <c r="LNF141" s="950"/>
      <c r="LNG141" s="950"/>
      <c r="LNH141" s="950"/>
      <c r="LNI141" s="950"/>
      <c r="LNJ141" s="950"/>
      <c r="LNK141" s="950"/>
      <c r="LNL141" s="950"/>
      <c r="LNM141" s="950"/>
      <c r="LNN141" s="950"/>
      <c r="LNO141" s="950"/>
      <c r="LNP141" s="950"/>
      <c r="LNQ141" s="950"/>
      <c r="LNR141" s="950"/>
      <c r="LNS141" s="950"/>
      <c r="LNT141" s="950"/>
      <c r="LNU141" s="950"/>
      <c r="LNV141" s="950"/>
      <c r="LNW141" s="950"/>
      <c r="LNX141" s="950"/>
      <c r="LNY141" s="950"/>
      <c r="LNZ141" s="950"/>
      <c r="LOA141" s="950"/>
      <c r="LOB141" s="950"/>
      <c r="LOC141" s="950"/>
      <c r="LOD141" s="950"/>
      <c r="LOE141" s="950"/>
      <c r="LOF141" s="950"/>
      <c r="LOG141" s="950"/>
      <c r="LOH141" s="950"/>
      <c r="LOI141" s="950"/>
      <c r="LOJ141" s="950"/>
      <c r="LOK141" s="950"/>
      <c r="LOL141" s="950"/>
      <c r="LOM141" s="950"/>
      <c r="LON141" s="950"/>
      <c r="LOO141" s="950"/>
      <c r="LOP141" s="950"/>
      <c r="LOQ141" s="950"/>
      <c r="LOR141" s="950"/>
      <c r="LOS141" s="950"/>
      <c r="LOT141" s="950"/>
      <c r="LOU141" s="950"/>
      <c r="LOV141" s="950"/>
      <c r="LOW141" s="950"/>
      <c r="LOX141" s="950"/>
      <c r="LOY141" s="950"/>
      <c r="LOZ141" s="950"/>
      <c r="LPA141" s="950"/>
      <c r="LPB141" s="950"/>
      <c r="LPC141" s="950"/>
      <c r="LPD141" s="950"/>
      <c r="LPE141" s="950"/>
      <c r="LPF141" s="950"/>
      <c r="LPG141" s="950"/>
      <c r="LPH141" s="950"/>
      <c r="LPI141" s="950"/>
      <c r="LPJ141" s="950"/>
      <c r="LPK141" s="950"/>
      <c r="LPL141" s="950"/>
      <c r="LPM141" s="950"/>
      <c r="LPN141" s="950"/>
      <c r="LPO141" s="950"/>
      <c r="LPP141" s="950"/>
      <c r="LPQ141" s="950"/>
      <c r="LPR141" s="950"/>
      <c r="LPS141" s="950"/>
      <c r="LPT141" s="950"/>
      <c r="LPU141" s="950"/>
      <c r="LPV141" s="950"/>
      <c r="LPW141" s="950"/>
      <c r="LPX141" s="950"/>
      <c r="LPY141" s="950"/>
      <c r="LPZ141" s="950"/>
      <c r="LQA141" s="950"/>
      <c r="LQB141" s="950"/>
      <c r="LQC141" s="950"/>
      <c r="LQD141" s="950"/>
      <c r="LQE141" s="950"/>
      <c r="LQF141" s="950"/>
      <c r="LQG141" s="950"/>
      <c r="LQH141" s="950"/>
      <c r="LQI141" s="950"/>
      <c r="LQJ141" s="950"/>
      <c r="LQK141" s="950"/>
      <c r="LQL141" s="950"/>
      <c r="LQM141" s="950"/>
      <c r="LQN141" s="950"/>
      <c r="LQO141" s="950"/>
      <c r="LQP141" s="950"/>
      <c r="LQQ141" s="950"/>
      <c r="LQR141" s="950"/>
      <c r="LQS141" s="950"/>
      <c r="LQT141" s="950"/>
      <c r="LQU141" s="950"/>
      <c r="LQV141" s="950"/>
      <c r="LQW141" s="950"/>
      <c r="LQX141" s="950"/>
      <c r="LQY141" s="950"/>
      <c r="LQZ141" s="950"/>
      <c r="LRA141" s="950"/>
      <c r="LRB141" s="950"/>
      <c r="LRC141" s="950"/>
      <c r="LRD141" s="950"/>
      <c r="LRE141" s="950"/>
      <c r="LRF141" s="950"/>
      <c r="LRG141" s="950"/>
      <c r="LRH141" s="950"/>
      <c r="LRI141" s="950"/>
      <c r="LRJ141" s="950"/>
      <c r="LRK141" s="950"/>
      <c r="LRL141" s="950"/>
      <c r="LRM141" s="950"/>
      <c r="LRN141" s="950"/>
      <c r="LRO141" s="950"/>
      <c r="LRP141" s="950"/>
      <c r="LRQ141" s="950"/>
      <c r="LRR141" s="950"/>
      <c r="LRS141" s="950"/>
      <c r="LRT141" s="950"/>
      <c r="LRU141" s="950"/>
      <c r="LRV141" s="950"/>
      <c r="LRW141" s="950"/>
      <c r="LRX141" s="950"/>
      <c r="LRY141" s="950"/>
      <c r="LRZ141" s="950"/>
      <c r="LSA141" s="950"/>
      <c r="LSB141" s="950"/>
      <c r="LSC141" s="950"/>
      <c r="LSD141" s="950"/>
      <c r="LSE141" s="950"/>
      <c r="LSF141" s="950"/>
      <c r="LSG141" s="950"/>
      <c r="LSH141" s="950"/>
      <c r="LSI141" s="950"/>
      <c r="LSJ141" s="950"/>
      <c r="LSK141" s="950"/>
      <c r="LSL141" s="950"/>
      <c r="LSM141" s="950"/>
      <c r="LSN141" s="950"/>
      <c r="LSO141" s="950"/>
      <c r="LSP141" s="950"/>
      <c r="LSQ141" s="950"/>
      <c r="LSR141" s="950"/>
      <c r="LSS141" s="950"/>
      <c r="LST141" s="950"/>
      <c r="LSU141" s="950"/>
      <c r="LSV141" s="950"/>
      <c r="LSW141" s="950"/>
      <c r="LSX141" s="950"/>
      <c r="LSY141" s="950"/>
      <c r="LSZ141" s="950"/>
      <c r="LTA141" s="950"/>
      <c r="LTB141" s="950"/>
      <c r="LTC141" s="950"/>
      <c r="LTD141" s="950"/>
      <c r="LTE141" s="950"/>
      <c r="LTF141" s="950"/>
      <c r="LTG141" s="950"/>
      <c r="LTH141" s="950"/>
      <c r="LTI141" s="950"/>
      <c r="LTJ141" s="950"/>
      <c r="LTK141" s="950"/>
      <c r="LTL141" s="950"/>
      <c r="LTM141" s="950"/>
      <c r="LTN141" s="950"/>
      <c r="LTO141" s="950"/>
      <c r="LTP141" s="950"/>
      <c r="LTQ141" s="950"/>
      <c r="LTR141" s="950"/>
      <c r="LTS141" s="950"/>
      <c r="LTT141" s="950"/>
      <c r="LTU141" s="950"/>
      <c r="LTV141" s="950"/>
      <c r="LTW141" s="950"/>
      <c r="LTX141" s="950"/>
      <c r="LTY141" s="950"/>
      <c r="LTZ141" s="950"/>
      <c r="LUA141" s="950"/>
      <c r="LUB141" s="950"/>
      <c r="LUC141" s="950"/>
      <c r="LUD141" s="950"/>
      <c r="LUE141" s="950"/>
      <c r="LUF141" s="950"/>
      <c r="LUG141" s="950"/>
      <c r="LUH141" s="950"/>
      <c r="LUI141" s="950"/>
      <c r="LUJ141" s="950"/>
      <c r="LUK141" s="950"/>
      <c r="LUL141" s="950"/>
      <c r="LUM141" s="950"/>
      <c r="LUN141" s="950"/>
      <c r="LUO141" s="950"/>
      <c r="LUP141" s="950"/>
      <c r="LUQ141" s="950"/>
      <c r="LUR141" s="950"/>
      <c r="LUS141" s="950"/>
      <c r="LUT141" s="950"/>
      <c r="LUU141" s="950"/>
      <c r="LUV141" s="950"/>
      <c r="LUW141" s="950"/>
      <c r="LUX141" s="950"/>
      <c r="LUY141" s="950"/>
      <c r="LUZ141" s="950"/>
      <c r="LVA141" s="950"/>
      <c r="LVB141" s="950"/>
      <c r="LVC141" s="950"/>
      <c r="LVD141" s="950"/>
      <c r="LVE141" s="950"/>
      <c r="LVF141" s="950"/>
      <c r="LVG141" s="950"/>
      <c r="LVH141" s="950"/>
      <c r="LVI141" s="950"/>
      <c r="LVJ141" s="950"/>
      <c r="LVK141" s="950"/>
      <c r="LVL141" s="950"/>
      <c r="LVM141" s="950"/>
      <c r="LVN141" s="950"/>
      <c r="LVO141" s="950"/>
      <c r="LVP141" s="950"/>
      <c r="LVQ141" s="950"/>
      <c r="LVR141" s="950"/>
      <c r="LVS141" s="950"/>
      <c r="LVT141" s="950"/>
      <c r="LVU141" s="950"/>
      <c r="LVV141" s="950"/>
      <c r="LVW141" s="950"/>
      <c r="LVX141" s="950"/>
      <c r="LVY141" s="950"/>
      <c r="LVZ141" s="950"/>
      <c r="LWA141" s="950"/>
      <c r="LWB141" s="950"/>
      <c r="LWC141" s="950"/>
      <c r="LWD141" s="950"/>
      <c r="LWE141" s="950"/>
      <c r="LWF141" s="950"/>
      <c r="LWG141" s="950"/>
      <c r="LWH141" s="950"/>
      <c r="LWI141" s="950"/>
      <c r="LWJ141" s="950"/>
      <c r="LWK141" s="950"/>
      <c r="LWL141" s="950"/>
      <c r="LWM141" s="950"/>
      <c r="LWN141" s="950"/>
      <c r="LWO141" s="950"/>
      <c r="LWP141" s="950"/>
      <c r="LWQ141" s="950"/>
      <c r="LWR141" s="950"/>
      <c r="LWS141" s="950"/>
      <c r="LWT141" s="950"/>
      <c r="LWU141" s="950"/>
      <c r="LWV141" s="950"/>
      <c r="LWW141" s="950"/>
      <c r="LWX141" s="950"/>
      <c r="LWY141" s="950"/>
      <c r="LWZ141" s="950"/>
      <c r="LXA141" s="950"/>
      <c r="LXB141" s="950"/>
      <c r="LXC141" s="950"/>
      <c r="LXD141" s="950"/>
      <c r="LXE141" s="950"/>
      <c r="LXF141" s="950"/>
      <c r="LXG141" s="950"/>
      <c r="LXH141" s="950"/>
      <c r="LXI141" s="950"/>
      <c r="LXJ141" s="950"/>
      <c r="LXK141" s="950"/>
      <c r="LXL141" s="950"/>
      <c r="LXM141" s="950"/>
      <c r="LXN141" s="950"/>
      <c r="LXO141" s="950"/>
      <c r="LXP141" s="950"/>
      <c r="LXQ141" s="950"/>
      <c r="LXR141" s="950"/>
      <c r="LXS141" s="950"/>
      <c r="LXT141" s="950"/>
      <c r="LXU141" s="950"/>
      <c r="LXV141" s="950"/>
      <c r="LXW141" s="950"/>
      <c r="LXX141" s="950"/>
      <c r="LXY141" s="950"/>
      <c r="LXZ141" s="950"/>
      <c r="LYA141" s="950"/>
      <c r="LYB141" s="950"/>
      <c r="LYC141" s="950"/>
      <c r="LYD141" s="950"/>
      <c r="LYE141" s="950"/>
      <c r="LYF141" s="950"/>
      <c r="LYG141" s="950"/>
      <c r="LYH141" s="950"/>
      <c r="LYI141" s="950"/>
      <c r="LYJ141" s="950"/>
      <c r="LYK141" s="950"/>
      <c r="LYL141" s="950"/>
      <c r="LYM141" s="950"/>
      <c r="LYN141" s="950"/>
      <c r="LYO141" s="950"/>
      <c r="LYP141" s="950"/>
      <c r="LYQ141" s="950"/>
      <c r="LYR141" s="950"/>
      <c r="LYS141" s="950"/>
      <c r="LYT141" s="950"/>
      <c r="LYU141" s="950"/>
      <c r="LYV141" s="950"/>
      <c r="LYW141" s="950"/>
      <c r="LYX141" s="950"/>
      <c r="LYY141" s="950"/>
      <c r="LYZ141" s="950"/>
      <c r="LZA141" s="950"/>
      <c r="LZB141" s="950"/>
      <c r="LZC141" s="950"/>
      <c r="LZD141" s="950"/>
      <c r="LZE141" s="950"/>
      <c r="LZF141" s="950"/>
      <c r="LZG141" s="950"/>
      <c r="LZH141" s="950"/>
      <c r="LZI141" s="950"/>
      <c r="LZJ141" s="950"/>
      <c r="LZK141" s="950"/>
      <c r="LZL141" s="950"/>
      <c r="LZM141" s="950"/>
      <c r="LZN141" s="950"/>
      <c r="LZO141" s="950"/>
      <c r="LZP141" s="950"/>
      <c r="LZQ141" s="950"/>
      <c r="LZR141" s="950"/>
      <c r="LZS141" s="950"/>
      <c r="LZT141" s="950"/>
      <c r="LZU141" s="950"/>
      <c r="LZV141" s="950"/>
      <c r="LZW141" s="950"/>
      <c r="LZX141" s="950"/>
      <c r="LZY141" s="950"/>
      <c r="LZZ141" s="950"/>
      <c r="MAA141" s="950"/>
      <c r="MAB141" s="950"/>
      <c r="MAC141" s="950"/>
      <c r="MAD141" s="950"/>
      <c r="MAE141" s="950"/>
      <c r="MAF141" s="950"/>
      <c r="MAG141" s="950"/>
      <c r="MAH141" s="950"/>
      <c r="MAI141" s="950"/>
      <c r="MAJ141" s="950"/>
      <c r="MAK141" s="950"/>
      <c r="MAL141" s="950"/>
      <c r="MAM141" s="950"/>
      <c r="MAN141" s="950"/>
      <c r="MAO141" s="950"/>
      <c r="MAP141" s="950"/>
      <c r="MAQ141" s="950"/>
      <c r="MAR141" s="950"/>
      <c r="MAS141" s="950"/>
      <c r="MAT141" s="950"/>
      <c r="MAU141" s="950"/>
      <c r="MAV141" s="950"/>
      <c r="MAW141" s="950"/>
      <c r="MAX141" s="950"/>
      <c r="MAY141" s="950"/>
      <c r="MAZ141" s="950"/>
      <c r="MBA141" s="950"/>
      <c r="MBB141" s="950"/>
      <c r="MBC141" s="950"/>
      <c r="MBD141" s="950"/>
      <c r="MBE141" s="950"/>
      <c r="MBF141" s="950"/>
      <c r="MBG141" s="950"/>
      <c r="MBH141" s="950"/>
      <c r="MBI141" s="950"/>
      <c r="MBJ141" s="950"/>
      <c r="MBK141" s="950"/>
      <c r="MBL141" s="950"/>
      <c r="MBM141" s="950"/>
      <c r="MBN141" s="950"/>
      <c r="MBO141" s="950"/>
      <c r="MBP141" s="950"/>
      <c r="MBQ141" s="950"/>
      <c r="MBR141" s="950"/>
      <c r="MBS141" s="950"/>
      <c r="MBT141" s="950"/>
      <c r="MBU141" s="950"/>
      <c r="MBV141" s="950"/>
      <c r="MBW141" s="950"/>
      <c r="MBX141" s="950"/>
      <c r="MBY141" s="950"/>
      <c r="MBZ141" s="950"/>
      <c r="MCA141" s="950"/>
      <c r="MCB141" s="950"/>
      <c r="MCC141" s="950"/>
      <c r="MCD141" s="950"/>
      <c r="MCE141" s="950"/>
      <c r="MCF141" s="950"/>
      <c r="MCG141" s="950"/>
      <c r="MCH141" s="950"/>
      <c r="MCI141" s="950"/>
      <c r="MCJ141" s="950"/>
      <c r="MCK141" s="950"/>
      <c r="MCL141" s="950"/>
      <c r="MCM141" s="950"/>
      <c r="MCN141" s="950"/>
      <c r="MCO141" s="950"/>
      <c r="MCP141" s="950"/>
      <c r="MCQ141" s="950"/>
      <c r="MCR141" s="950"/>
      <c r="MCS141" s="950"/>
      <c r="MCT141" s="950"/>
      <c r="MCU141" s="950"/>
      <c r="MCV141" s="950"/>
      <c r="MCW141" s="950"/>
      <c r="MCX141" s="950"/>
      <c r="MCY141" s="950"/>
      <c r="MCZ141" s="950"/>
      <c r="MDA141" s="950"/>
      <c r="MDB141" s="950"/>
      <c r="MDC141" s="950"/>
      <c r="MDD141" s="950"/>
      <c r="MDE141" s="950"/>
      <c r="MDF141" s="950"/>
      <c r="MDG141" s="950"/>
      <c r="MDH141" s="950"/>
      <c r="MDI141" s="950"/>
      <c r="MDJ141" s="950"/>
      <c r="MDK141" s="950"/>
      <c r="MDL141" s="950"/>
      <c r="MDM141" s="950"/>
      <c r="MDN141" s="950"/>
      <c r="MDO141" s="950"/>
      <c r="MDP141" s="950"/>
      <c r="MDQ141" s="950"/>
      <c r="MDR141" s="950"/>
      <c r="MDS141" s="950"/>
      <c r="MDT141" s="950"/>
      <c r="MDU141" s="950"/>
      <c r="MDV141" s="950"/>
      <c r="MDW141" s="950"/>
      <c r="MDX141" s="950"/>
      <c r="MDY141" s="950"/>
      <c r="MDZ141" s="950"/>
      <c r="MEA141" s="950"/>
      <c r="MEB141" s="950"/>
      <c r="MEC141" s="950"/>
      <c r="MED141" s="950"/>
      <c r="MEE141" s="950"/>
      <c r="MEF141" s="950"/>
      <c r="MEG141" s="950"/>
      <c r="MEH141" s="950"/>
      <c r="MEI141" s="950"/>
      <c r="MEJ141" s="950"/>
      <c r="MEK141" s="950"/>
      <c r="MEL141" s="950"/>
      <c r="MEM141" s="950"/>
      <c r="MEN141" s="950"/>
      <c r="MEO141" s="950"/>
      <c r="MEP141" s="950"/>
      <c r="MEQ141" s="950"/>
      <c r="MER141" s="950"/>
      <c r="MES141" s="950"/>
      <c r="MET141" s="950"/>
      <c r="MEU141" s="950"/>
      <c r="MEV141" s="950"/>
      <c r="MEW141" s="950"/>
      <c r="MEX141" s="950"/>
      <c r="MEY141" s="950"/>
      <c r="MEZ141" s="950"/>
      <c r="MFA141" s="950"/>
      <c r="MFB141" s="950"/>
      <c r="MFC141" s="950"/>
      <c r="MFD141" s="950"/>
      <c r="MFE141" s="950"/>
      <c r="MFF141" s="950"/>
      <c r="MFG141" s="950"/>
      <c r="MFH141" s="950"/>
      <c r="MFI141" s="950"/>
      <c r="MFJ141" s="950"/>
      <c r="MFK141" s="950"/>
      <c r="MFL141" s="950"/>
      <c r="MFM141" s="950"/>
      <c r="MFN141" s="950"/>
      <c r="MFO141" s="950"/>
      <c r="MFP141" s="950"/>
      <c r="MFQ141" s="950"/>
      <c r="MFR141" s="950"/>
      <c r="MFS141" s="950"/>
      <c r="MFT141" s="950"/>
      <c r="MFU141" s="950"/>
      <c r="MFV141" s="950"/>
      <c r="MFW141" s="950"/>
      <c r="MFX141" s="950"/>
      <c r="MFY141" s="950"/>
      <c r="MFZ141" s="950"/>
      <c r="MGA141" s="950"/>
      <c r="MGB141" s="950"/>
      <c r="MGC141" s="950"/>
      <c r="MGD141" s="950"/>
      <c r="MGE141" s="950"/>
      <c r="MGF141" s="950"/>
      <c r="MGG141" s="950"/>
      <c r="MGH141" s="950"/>
      <c r="MGI141" s="950"/>
      <c r="MGJ141" s="950"/>
      <c r="MGK141" s="950"/>
      <c r="MGL141" s="950"/>
      <c r="MGM141" s="950"/>
      <c r="MGN141" s="950"/>
      <c r="MGO141" s="950"/>
      <c r="MGP141" s="950"/>
      <c r="MGQ141" s="950"/>
      <c r="MGR141" s="950"/>
      <c r="MGS141" s="950"/>
      <c r="MGT141" s="950"/>
      <c r="MGU141" s="950"/>
      <c r="MGV141" s="950"/>
      <c r="MGW141" s="950"/>
      <c r="MGX141" s="950"/>
      <c r="MGY141" s="950"/>
      <c r="MGZ141" s="950"/>
      <c r="MHA141" s="950"/>
      <c r="MHB141" s="950"/>
      <c r="MHC141" s="950"/>
      <c r="MHD141" s="950"/>
      <c r="MHE141" s="950"/>
      <c r="MHF141" s="950"/>
      <c r="MHG141" s="950"/>
      <c r="MHH141" s="950"/>
      <c r="MHI141" s="950"/>
      <c r="MHJ141" s="950"/>
      <c r="MHK141" s="950"/>
      <c r="MHL141" s="950"/>
      <c r="MHM141" s="950"/>
      <c r="MHN141" s="950"/>
      <c r="MHO141" s="950"/>
      <c r="MHP141" s="950"/>
      <c r="MHQ141" s="950"/>
      <c r="MHR141" s="950"/>
      <c r="MHS141" s="950"/>
      <c r="MHT141" s="950"/>
      <c r="MHU141" s="950"/>
      <c r="MHV141" s="950"/>
      <c r="MHW141" s="950"/>
      <c r="MHX141" s="950"/>
      <c r="MHY141" s="950"/>
      <c r="MHZ141" s="950"/>
      <c r="MIA141" s="950"/>
      <c r="MIB141" s="950"/>
      <c r="MIC141" s="950"/>
      <c r="MID141" s="950"/>
      <c r="MIE141" s="950"/>
      <c r="MIF141" s="950"/>
      <c r="MIG141" s="950"/>
      <c r="MIH141" s="950"/>
      <c r="MII141" s="950"/>
      <c r="MIJ141" s="950"/>
      <c r="MIK141" s="950"/>
      <c r="MIL141" s="950"/>
      <c r="MIM141" s="950"/>
      <c r="MIN141" s="950"/>
      <c r="MIO141" s="950"/>
      <c r="MIP141" s="950"/>
      <c r="MIQ141" s="950"/>
      <c r="MIR141" s="950"/>
      <c r="MIS141" s="950"/>
      <c r="MIT141" s="950"/>
      <c r="MIU141" s="950"/>
      <c r="MIV141" s="950"/>
      <c r="MIW141" s="950"/>
      <c r="MIX141" s="950"/>
      <c r="MIY141" s="950"/>
      <c r="MIZ141" s="950"/>
      <c r="MJA141" s="950"/>
      <c r="MJB141" s="950"/>
      <c r="MJC141" s="950"/>
      <c r="MJD141" s="950"/>
      <c r="MJE141" s="950"/>
      <c r="MJF141" s="950"/>
      <c r="MJG141" s="950"/>
      <c r="MJH141" s="950"/>
      <c r="MJI141" s="950"/>
      <c r="MJJ141" s="950"/>
      <c r="MJK141" s="950"/>
      <c r="MJL141" s="950"/>
      <c r="MJM141" s="950"/>
      <c r="MJN141" s="950"/>
      <c r="MJO141" s="950"/>
      <c r="MJP141" s="950"/>
      <c r="MJQ141" s="950"/>
      <c r="MJR141" s="950"/>
      <c r="MJS141" s="950"/>
      <c r="MJT141" s="950"/>
      <c r="MJU141" s="950"/>
      <c r="MJV141" s="950"/>
      <c r="MJW141" s="950"/>
      <c r="MJX141" s="950"/>
      <c r="MJY141" s="950"/>
      <c r="MJZ141" s="950"/>
      <c r="MKA141" s="950"/>
      <c r="MKB141" s="950"/>
      <c r="MKC141" s="950"/>
      <c r="MKD141" s="950"/>
      <c r="MKE141" s="950"/>
      <c r="MKF141" s="950"/>
      <c r="MKG141" s="950"/>
      <c r="MKH141" s="950"/>
      <c r="MKI141" s="950"/>
      <c r="MKJ141" s="950"/>
      <c r="MKK141" s="950"/>
      <c r="MKL141" s="950"/>
      <c r="MKM141" s="950"/>
      <c r="MKN141" s="950"/>
      <c r="MKO141" s="950"/>
      <c r="MKP141" s="950"/>
      <c r="MKQ141" s="950"/>
      <c r="MKR141" s="950"/>
      <c r="MKS141" s="950"/>
      <c r="MKT141" s="950"/>
      <c r="MKU141" s="950"/>
      <c r="MKV141" s="950"/>
      <c r="MKW141" s="950"/>
      <c r="MKX141" s="950"/>
      <c r="MKY141" s="950"/>
      <c r="MKZ141" s="950"/>
      <c r="MLA141" s="950"/>
      <c r="MLB141" s="950"/>
      <c r="MLC141" s="950"/>
      <c r="MLD141" s="950"/>
      <c r="MLE141" s="950"/>
      <c r="MLF141" s="950"/>
      <c r="MLG141" s="950"/>
      <c r="MLH141" s="950"/>
      <c r="MLI141" s="950"/>
      <c r="MLJ141" s="950"/>
      <c r="MLK141" s="950"/>
      <c r="MLL141" s="950"/>
      <c r="MLM141" s="950"/>
      <c r="MLN141" s="950"/>
      <c r="MLO141" s="950"/>
      <c r="MLP141" s="950"/>
      <c r="MLQ141" s="950"/>
      <c r="MLR141" s="950"/>
      <c r="MLS141" s="950"/>
      <c r="MLT141" s="950"/>
      <c r="MLU141" s="950"/>
      <c r="MLV141" s="950"/>
      <c r="MLW141" s="950"/>
      <c r="MLX141" s="950"/>
      <c r="MLY141" s="950"/>
      <c r="MLZ141" s="950"/>
      <c r="MMA141" s="950"/>
      <c r="MMB141" s="950"/>
      <c r="MMC141" s="950"/>
      <c r="MMD141" s="950"/>
      <c r="MME141" s="950"/>
      <c r="MMF141" s="950"/>
      <c r="MMG141" s="950"/>
      <c r="MMH141" s="950"/>
      <c r="MMI141" s="950"/>
      <c r="MMJ141" s="950"/>
      <c r="MMK141" s="950"/>
      <c r="MML141" s="950"/>
      <c r="MMM141" s="950"/>
      <c r="MMN141" s="950"/>
      <c r="MMO141" s="950"/>
      <c r="MMP141" s="950"/>
      <c r="MMQ141" s="950"/>
      <c r="MMR141" s="950"/>
      <c r="MMS141" s="950"/>
      <c r="MMT141" s="950"/>
      <c r="MMU141" s="950"/>
      <c r="MMV141" s="950"/>
      <c r="MMW141" s="950"/>
      <c r="MMX141" s="950"/>
      <c r="MMY141" s="950"/>
      <c r="MMZ141" s="950"/>
      <c r="MNA141" s="950"/>
      <c r="MNB141" s="950"/>
      <c r="MNC141" s="950"/>
      <c r="MND141" s="950"/>
      <c r="MNE141" s="950"/>
      <c r="MNF141" s="950"/>
      <c r="MNG141" s="950"/>
      <c r="MNH141" s="950"/>
      <c r="MNI141" s="950"/>
      <c r="MNJ141" s="950"/>
      <c r="MNK141" s="950"/>
      <c r="MNL141" s="950"/>
      <c r="MNM141" s="950"/>
      <c r="MNN141" s="950"/>
      <c r="MNO141" s="950"/>
      <c r="MNP141" s="950"/>
      <c r="MNQ141" s="950"/>
      <c r="MNR141" s="950"/>
      <c r="MNS141" s="950"/>
      <c r="MNT141" s="950"/>
      <c r="MNU141" s="950"/>
      <c r="MNV141" s="950"/>
      <c r="MNW141" s="950"/>
      <c r="MNX141" s="950"/>
      <c r="MNY141" s="950"/>
      <c r="MNZ141" s="950"/>
      <c r="MOA141" s="950"/>
      <c r="MOB141" s="950"/>
      <c r="MOC141" s="950"/>
      <c r="MOD141" s="950"/>
      <c r="MOE141" s="950"/>
      <c r="MOF141" s="950"/>
      <c r="MOG141" s="950"/>
      <c r="MOH141" s="950"/>
      <c r="MOI141" s="950"/>
      <c r="MOJ141" s="950"/>
      <c r="MOK141" s="950"/>
      <c r="MOL141" s="950"/>
      <c r="MOM141" s="950"/>
      <c r="MON141" s="950"/>
      <c r="MOO141" s="950"/>
      <c r="MOP141" s="950"/>
      <c r="MOQ141" s="950"/>
      <c r="MOR141" s="950"/>
      <c r="MOS141" s="950"/>
      <c r="MOT141" s="950"/>
      <c r="MOU141" s="950"/>
      <c r="MOV141" s="950"/>
      <c r="MOW141" s="950"/>
      <c r="MOX141" s="950"/>
      <c r="MOY141" s="950"/>
      <c r="MOZ141" s="950"/>
      <c r="MPA141" s="950"/>
      <c r="MPB141" s="950"/>
      <c r="MPC141" s="950"/>
      <c r="MPD141" s="950"/>
      <c r="MPE141" s="950"/>
      <c r="MPF141" s="950"/>
      <c r="MPG141" s="950"/>
      <c r="MPH141" s="950"/>
      <c r="MPI141" s="950"/>
      <c r="MPJ141" s="950"/>
      <c r="MPK141" s="950"/>
      <c r="MPL141" s="950"/>
      <c r="MPM141" s="950"/>
      <c r="MPN141" s="950"/>
      <c r="MPO141" s="950"/>
      <c r="MPP141" s="950"/>
      <c r="MPQ141" s="950"/>
      <c r="MPR141" s="950"/>
      <c r="MPS141" s="950"/>
      <c r="MPT141" s="950"/>
      <c r="MPU141" s="950"/>
      <c r="MPV141" s="950"/>
      <c r="MPW141" s="950"/>
      <c r="MPX141" s="950"/>
      <c r="MPY141" s="950"/>
      <c r="MPZ141" s="950"/>
      <c r="MQA141" s="950"/>
      <c r="MQB141" s="950"/>
      <c r="MQC141" s="950"/>
      <c r="MQD141" s="950"/>
      <c r="MQE141" s="950"/>
      <c r="MQF141" s="950"/>
      <c r="MQG141" s="950"/>
      <c r="MQH141" s="950"/>
      <c r="MQI141" s="950"/>
      <c r="MQJ141" s="950"/>
      <c r="MQK141" s="950"/>
      <c r="MQL141" s="950"/>
      <c r="MQM141" s="950"/>
      <c r="MQN141" s="950"/>
      <c r="MQO141" s="950"/>
      <c r="MQP141" s="950"/>
      <c r="MQQ141" s="950"/>
      <c r="MQR141" s="950"/>
      <c r="MQS141" s="950"/>
      <c r="MQT141" s="950"/>
      <c r="MQU141" s="950"/>
      <c r="MQV141" s="950"/>
      <c r="MQW141" s="950"/>
      <c r="MQX141" s="950"/>
      <c r="MQY141" s="950"/>
      <c r="MQZ141" s="950"/>
      <c r="MRA141" s="950"/>
      <c r="MRB141" s="950"/>
      <c r="MRC141" s="950"/>
      <c r="MRD141" s="950"/>
      <c r="MRE141" s="950"/>
      <c r="MRF141" s="950"/>
      <c r="MRG141" s="950"/>
      <c r="MRH141" s="950"/>
      <c r="MRI141" s="950"/>
      <c r="MRJ141" s="950"/>
      <c r="MRK141" s="950"/>
      <c r="MRL141" s="950"/>
      <c r="MRM141" s="950"/>
      <c r="MRN141" s="950"/>
      <c r="MRO141" s="950"/>
      <c r="MRP141" s="950"/>
      <c r="MRQ141" s="950"/>
      <c r="MRR141" s="950"/>
      <c r="MRS141" s="950"/>
      <c r="MRT141" s="950"/>
      <c r="MRU141" s="950"/>
      <c r="MRV141" s="950"/>
      <c r="MRW141" s="950"/>
      <c r="MRX141" s="950"/>
      <c r="MRY141" s="950"/>
      <c r="MRZ141" s="950"/>
      <c r="MSA141" s="950"/>
      <c r="MSB141" s="950"/>
      <c r="MSC141" s="950"/>
      <c r="MSD141" s="950"/>
      <c r="MSE141" s="950"/>
      <c r="MSF141" s="950"/>
      <c r="MSG141" s="950"/>
      <c r="MSH141" s="950"/>
      <c r="MSI141" s="950"/>
      <c r="MSJ141" s="950"/>
      <c r="MSK141" s="950"/>
      <c r="MSL141" s="950"/>
      <c r="MSM141" s="950"/>
      <c r="MSN141" s="950"/>
      <c r="MSO141" s="950"/>
      <c r="MSP141" s="950"/>
      <c r="MSQ141" s="950"/>
      <c r="MSR141" s="950"/>
      <c r="MSS141" s="950"/>
      <c r="MST141" s="950"/>
      <c r="MSU141" s="950"/>
      <c r="MSV141" s="950"/>
      <c r="MSW141" s="950"/>
      <c r="MSX141" s="950"/>
      <c r="MSY141" s="950"/>
      <c r="MSZ141" s="950"/>
      <c r="MTA141" s="950"/>
      <c r="MTB141" s="950"/>
      <c r="MTC141" s="950"/>
      <c r="MTD141" s="950"/>
      <c r="MTE141" s="950"/>
      <c r="MTF141" s="950"/>
      <c r="MTG141" s="950"/>
      <c r="MTH141" s="950"/>
      <c r="MTI141" s="950"/>
      <c r="MTJ141" s="950"/>
      <c r="MTK141" s="950"/>
      <c r="MTL141" s="950"/>
      <c r="MTM141" s="950"/>
      <c r="MTN141" s="950"/>
      <c r="MTO141" s="950"/>
      <c r="MTP141" s="950"/>
      <c r="MTQ141" s="950"/>
      <c r="MTR141" s="950"/>
      <c r="MTS141" s="950"/>
      <c r="MTT141" s="950"/>
      <c r="MTU141" s="950"/>
      <c r="MTV141" s="950"/>
      <c r="MTW141" s="950"/>
      <c r="MTX141" s="950"/>
      <c r="MTY141" s="950"/>
      <c r="MTZ141" s="950"/>
      <c r="MUA141" s="950"/>
      <c r="MUB141" s="950"/>
      <c r="MUC141" s="950"/>
      <c r="MUD141" s="950"/>
      <c r="MUE141" s="950"/>
      <c r="MUF141" s="950"/>
      <c r="MUG141" s="950"/>
      <c r="MUH141" s="950"/>
      <c r="MUI141" s="950"/>
      <c r="MUJ141" s="950"/>
      <c r="MUK141" s="950"/>
      <c r="MUL141" s="950"/>
      <c r="MUM141" s="950"/>
      <c r="MUN141" s="950"/>
      <c r="MUO141" s="950"/>
      <c r="MUP141" s="950"/>
      <c r="MUQ141" s="950"/>
      <c r="MUR141" s="950"/>
      <c r="MUS141" s="950"/>
      <c r="MUT141" s="950"/>
      <c r="MUU141" s="950"/>
      <c r="MUV141" s="950"/>
      <c r="MUW141" s="950"/>
      <c r="MUX141" s="950"/>
      <c r="MUY141" s="950"/>
      <c r="MUZ141" s="950"/>
      <c r="MVA141" s="950"/>
      <c r="MVB141" s="950"/>
      <c r="MVC141" s="950"/>
      <c r="MVD141" s="950"/>
      <c r="MVE141" s="950"/>
      <c r="MVF141" s="950"/>
      <c r="MVG141" s="950"/>
      <c r="MVH141" s="950"/>
      <c r="MVI141" s="950"/>
      <c r="MVJ141" s="950"/>
      <c r="MVK141" s="950"/>
      <c r="MVL141" s="950"/>
      <c r="MVM141" s="950"/>
      <c r="MVN141" s="950"/>
      <c r="MVO141" s="950"/>
      <c r="MVP141" s="950"/>
      <c r="MVQ141" s="950"/>
      <c r="MVR141" s="950"/>
      <c r="MVS141" s="950"/>
      <c r="MVT141" s="950"/>
      <c r="MVU141" s="950"/>
      <c r="MVV141" s="950"/>
      <c r="MVW141" s="950"/>
      <c r="MVX141" s="950"/>
      <c r="MVY141" s="950"/>
      <c r="MVZ141" s="950"/>
      <c r="MWA141" s="950"/>
      <c r="MWB141" s="950"/>
      <c r="MWC141" s="950"/>
      <c r="MWD141" s="950"/>
      <c r="MWE141" s="950"/>
      <c r="MWF141" s="950"/>
      <c r="MWG141" s="950"/>
      <c r="MWH141" s="950"/>
      <c r="MWI141" s="950"/>
      <c r="MWJ141" s="950"/>
      <c r="MWK141" s="950"/>
      <c r="MWL141" s="950"/>
      <c r="MWM141" s="950"/>
      <c r="MWN141" s="950"/>
      <c r="MWO141" s="950"/>
      <c r="MWP141" s="950"/>
      <c r="MWQ141" s="950"/>
      <c r="MWR141" s="950"/>
      <c r="MWS141" s="950"/>
      <c r="MWT141" s="950"/>
      <c r="MWU141" s="950"/>
      <c r="MWV141" s="950"/>
      <c r="MWW141" s="950"/>
      <c r="MWX141" s="950"/>
      <c r="MWY141" s="950"/>
      <c r="MWZ141" s="950"/>
      <c r="MXA141" s="950"/>
      <c r="MXB141" s="950"/>
      <c r="MXC141" s="950"/>
      <c r="MXD141" s="950"/>
      <c r="MXE141" s="950"/>
      <c r="MXF141" s="950"/>
      <c r="MXG141" s="950"/>
      <c r="MXH141" s="950"/>
      <c r="MXI141" s="950"/>
      <c r="MXJ141" s="950"/>
      <c r="MXK141" s="950"/>
      <c r="MXL141" s="950"/>
      <c r="MXM141" s="950"/>
      <c r="MXN141" s="950"/>
      <c r="MXO141" s="950"/>
      <c r="MXP141" s="950"/>
      <c r="MXQ141" s="950"/>
      <c r="MXR141" s="950"/>
      <c r="MXS141" s="950"/>
      <c r="MXT141" s="950"/>
      <c r="MXU141" s="950"/>
      <c r="MXV141" s="950"/>
      <c r="MXW141" s="950"/>
      <c r="MXX141" s="950"/>
      <c r="MXY141" s="950"/>
      <c r="MXZ141" s="950"/>
      <c r="MYA141" s="950"/>
      <c r="MYB141" s="950"/>
      <c r="MYC141" s="950"/>
      <c r="MYD141" s="950"/>
      <c r="MYE141" s="950"/>
      <c r="MYF141" s="950"/>
      <c r="MYG141" s="950"/>
      <c r="MYH141" s="950"/>
      <c r="MYI141" s="950"/>
      <c r="MYJ141" s="950"/>
      <c r="MYK141" s="950"/>
      <c r="MYL141" s="950"/>
      <c r="MYM141" s="950"/>
      <c r="MYN141" s="950"/>
      <c r="MYO141" s="950"/>
      <c r="MYP141" s="950"/>
      <c r="MYQ141" s="950"/>
      <c r="MYR141" s="950"/>
      <c r="MYS141" s="950"/>
      <c r="MYT141" s="950"/>
      <c r="MYU141" s="950"/>
      <c r="MYV141" s="950"/>
      <c r="MYW141" s="950"/>
      <c r="MYX141" s="950"/>
      <c r="MYY141" s="950"/>
      <c r="MYZ141" s="950"/>
      <c r="MZA141" s="950"/>
      <c r="MZB141" s="950"/>
      <c r="MZC141" s="950"/>
      <c r="MZD141" s="950"/>
      <c r="MZE141" s="950"/>
      <c r="MZF141" s="950"/>
      <c r="MZG141" s="950"/>
      <c r="MZH141" s="950"/>
      <c r="MZI141" s="950"/>
      <c r="MZJ141" s="950"/>
      <c r="MZK141" s="950"/>
      <c r="MZL141" s="950"/>
      <c r="MZM141" s="950"/>
      <c r="MZN141" s="950"/>
      <c r="MZO141" s="950"/>
      <c r="MZP141" s="950"/>
      <c r="MZQ141" s="950"/>
      <c r="MZR141" s="950"/>
      <c r="MZS141" s="950"/>
      <c r="MZT141" s="950"/>
      <c r="MZU141" s="950"/>
      <c r="MZV141" s="950"/>
      <c r="MZW141" s="950"/>
      <c r="MZX141" s="950"/>
      <c r="MZY141" s="950"/>
      <c r="MZZ141" s="950"/>
      <c r="NAA141" s="950"/>
      <c r="NAB141" s="950"/>
      <c r="NAC141" s="950"/>
      <c r="NAD141" s="950"/>
      <c r="NAE141" s="950"/>
      <c r="NAF141" s="950"/>
      <c r="NAG141" s="950"/>
      <c r="NAH141" s="950"/>
      <c r="NAI141" s="950"/>
      <c r="NAJ141" s="950"/>
      <c r="NAK141" s="950"/>
      <c r="NAL141" s="950"/>
      <c r="NAM141" s="950"/>
      <c r="NAN141" s="950"/>
      <c r="NAO141" s="950"/>
      <c r="NAP141" s="950"/>
      <c r="NAQ141" s="950"/>
      <c r="NAR141" s="950"/>
      <c r="NAS141" s="950"/>
      <c r="NAT141" s="950"/>
      <c r="NAU141" s="950"/>
      <c r="NAV141" s="950"/>
      <c r="NAW141" s="950"/>
      <c r="NAX141" s="950"/>
      <c r="NAY141" s="950"/>
      <c r="NAZ141" s="950"/>
      <c r="NBA141" s="950"/>
      <c r="NBB141" s="950"/>
      <c r="NBC141" s="950"/>
      <c r="NBD141" s="950"/>
      <c r="NBE141" s="950"/>
      <c r="NBF141" s="950"/>
      <c r="NBG141" s="950"/>
      <c r="NBH141" s="950"/>
      <c r="NBI141" s="950"/>
      <c r="NBJ141" s="950"/>
      <c r="NBK141" s="950"/>
      <c r="NBL141" s="950"/>
      <c r="NBM141" s="950"/>
      <c r="NBN141" s="950"/>
      <c r="NBO141" s="950"/>
      <c r="NBP141" s="950"/>
      <c r="NBQ141" s="950"/>
      <c r="NBR141" s="950"/>
      <c r="NBS141" s="950"/>
      <c r="NBT141" s="950"/>
      <c r="NBU141" s="950"/>
      <c r="NBV141" s="950"/>
      <c r="NBW141" s="950"/>
      <c r="NBX141" s="950"/>
      <c r="NBY141" s="950"/>
      <c r="NBZ141" s="950"/>
      <c r="NCA141" s="950"/>
      <c r="NCB141" s="950"/>
      <c r="NCC141" s="950"/>
      <c r="NCD141" s="950"/>
      <c r="NCE141" s="950"/>
      <c r="NCF141" s="950"/>
      <c r="NCG141" s="950"/>
      <c r="NCH141" s="950"/>
      <c r="NCI141" s="950"/>
      <c r="NCJ141" s="950"/>
      <c r="NCK141" s="950"/>
      <c r="NCL141" s="950"/>
      <c r="NCM141" s="950"/>
      <c r="NCN141" s="950"/>
      <c r="NCO141" s="950"/>
      <c r="NCP141" s="950"/>
      <c r="NCQ141" s="950"/>
      <c r="NCR141" s="950"/>
      <c r="NCS141" s="950"/>
      <c r="NCT141" s="950"/>
      <c r="NCU141" s="950"/>
      <c r="NCV141" s="950"/>
      <c r="NCW141" s="950"/>
      <c r="NCX141" s="950"/>
      <c r="NCY141" s="950"/>
      <c r="NCZ141" s="950"/>
      <c r="NDA141" s="950"/>
      <c r="NDB141" s="950"/>
      <c r="NDC141" s="950"/>
      <c r="NDD141" s="950"/>
      <c r="NDE141" s="950"/>
      <c r="NDF141" s="950"/>
      <c r="NDG141" s="950"/>
      <c r="NDH141" s="950"/>
      <c r="NDI141" s="950"/>
      <c r="NDJ141" s="950"/>
      <c r="NDK141" s="950"/>
      <c r="NDL141" s="950"/>
      <c r="NDM141" s="950"/>
      <c r="NDN141" s="950"/>
      <c r="NDO141" s="950"/>
      <c r="NDP141" s="950"/>
      <c r="NDQ141" s="950"/>
      <c r="NDR141" s="950"/>
      <c r="NDS141" s="950"/>
      <c r="NDT141" s="950"/>
      <c r="NDU141" s="950"/>
      <c r="NDV141" s="950"/>
      <c r="NDW141" s="950"/>
      <c r="NDX141" s="950"/>
      <c r="NDY141" s="950"/>
      <c r="NDZ141" s="950"/>
      <c r="NEA141" s="950"/>
      <c r="NEB141" s="950"/>
      <c r="NEC141" s="950"/>
      <c r="NED141" s="950"/>
      <c r="NEE141" s="950"/>
      <c r="NEF141" s="950"/>
      <c r="NEG141" s="950"/>
      <c r="NEH141" s="950"/>
      <c r="NEI141" s="950"/>
      <c r="NEJ141" s="950"/>
      <c r="NEK141" s="950"/>
      <c r="NEL141" s="950"/>
      <c r="NEM141" s="950"/>
      <c r="NEN141" s="950"/>
      <c r="NEO141" s="950"/>
      <c r="NEP141" s="950"/>
      <c r="NEQ141" s="950"/>
      <c r="NER141" s="950"/>
      <c r="NES141" s="950"/>
      <c r="NET141" s="950"/>
      <c r="NEU141" s="950"/>
      <c r="NEV141" s="950"/>
      <c r="NEW141" s="950"/>
      <c r="NEX141" s="950"/>
      <c r="NEY141" s="950"/>
      <c r="NEZ141" s="950"/>
      <c r="NFA141" s="950"/>
      <c r="NFB141" s="950"/>
      <c r="NFC141" s="950"/>
      <c r="NFD141" s="950"/>
      <c r="NFE141" s="950"/>
      <c r="NFF141" s="950"/>
      <c r="NFG141" s="950"/>
      <c r="NFH141" s="950"/>
      <c r="NFI141" s="950"/>
      <c r="NFJ141" s="950"/>
      <c r="NFK141" s="950"/>
      <c r="NFL141" s="950"/>
      <c r="NFM141" s="950"/>
      <c r="NFN141" s="950"/>
      <c r="NFO141" s="950"/>
      <c r="NFP141" s="950"/>
      <c r="NFQ141" s="950"/>
      <c r="NFR141" s="950"/>
      <c r="NFS141" s="950"/>
      <c r="NFT141" s="950"/>
      <c r="NFU141" s="950"/>
      <c r="NFV141" s="950"/>
      <c r="NFW141" s="950"/>
      <c r="NFX141" s="950"/>
      <c r="NFY141" s="950"/>
      <c r="NFZ141" s="950"/>
      <c r="NGA141" s="950"/>
      <c r="NGB141" s="950"/>
      <c r="NGC141" s="950"/>
      <c r="NGD141" s="950"/>
      <c r="NGE141" s="950"/>
      <c r="NGF141" s="950"/>
      <c r="NGG141" s="950"/>
      <c r="NGH141" s="950"/>
      <c r="NGI141" s="950"/>
      <c r="NGJ141" s="950"/>
      <c r="NGK141" s="950"/>
      <c r="NGL141" s="950"/>
      <c r="NGM141" s="950"/>
      <c r="NGN141" s="950"/>
      <c r="NGO141" s="950"/>
      <c r="NGP141" s="950"/>
      <c r="NGQ141" s="950"/>
      <c r="NGR141" s="950"/>
      <c r="NGS141" s="950"/>
      <c r="NGT141" s="950"/>
      <c r="NGU141" s="950"/>
      <c r="NGV141" s="950"/>
      <c r="NGW141" s="950"/>
      <c r="NGX141" s="950"/>
      <c r="NGY141" s="950"/>
      <c r="NGZ141" s="950"/>
      <c r="NHA141" s="950"/>
      <c r="NHB141" s="950"/>
      <c r="NHC141" s="950"/>
      <c r="NHD141" s="950"/>
      <c r="NHE141" s="950"/>
      <c r="NHF141" s="950"/>
      <c r="NHG141" s="950"/>
      <c r="NHH141" s="950"/>
      <c r="NHI141" s="950"/>
      <c r="NHJ141" s="950"/>
      <c r="NHK141" s="950"/>
      <c r="NHL141" s="950"/>
      <c r="NHM141" s="950"/>
      <c r="NHN141" s="950"/>
      <c r="NHO141" s="950"/>
      <c r="NHP141" s="950"/>
      <c r="NHQ141" s="950"/>
      <c r="NHR141" s="950"/>
      <c r="NHS141" s="950"/>
      <c r="NHT141" s="950"/>
      <c r="NHU141" s="950"/>
      <c r="NHV141" s="950"/>
      <c r="NHW141" s="950"/>
      <c r="NHX141" s="950"/>
      <c r="NHY141" s="950"/>
      <c r="NHZ141" s="950"/>
      <c r="NIA141" s="950"/>
      <c r="NIB141" s="950"/>
      <c r="NIC141" s="950"/>
      <c r="NID141" s="950"/>
      <c r="NIE141" s="950"/>
      <c r="NIF141" s="950"/>
      <c r="NIG141" s="950"/>
      <c r="NIH141" s="950"/>
      <c r="NII141" s="950"/>
      <c r="NIJ141" s="950"/>
      <c r="NIK141" s="950"/>
      <c r="NIL141" s="950"/>
      <c r="NIM141" s="950"/>
      <c r="NIN141" s="950"/>
      <c r="NIO141" s="950"/>
      <c r="NIP141" s="950"/>
      <c r="NIQ141" s="950"/>
      <c r="NIR141" s="950"/>
      <c r="NIS141" s="950"/>
      <c r="NIT141" s="950"/>
      <c r="NIU141" s="950"/>
      <c r="NIV141" s="950"/>
      <c r="NIW141" s="950"/>
      <c r="NIX141" s="950"/>
      <c r="NIY141" s="950"/>
      <c r="NIZ141" s="950"/>
      <c r="NJA141" s="950"/>
      <c r="NJB141" s="950"/>
      <c r="NJC141" s="950"/>
      <c r="NJD141" s="950"/>
      <c r="NJE141" s="950"/>
      <c r="NJF141" s="950"/>
      <c r="NJG141" s="950"/>
      <c r="NJH141" s="950"/>
      <c r="NJI141" s="950"/>
      <c r="NJJ141" s="950"/>
      <c r="NJK141" s="950"/>
      <c r="NJL141" s="950"/>
      <c r="NJM141" s="950"/>
      <c r="NJN141" s="950"/>
      <c r="NJO141" s="950"/>
      <c r="NJP141" s="950"/>
      <c r="NJQ141" s="950"/>
      <c r="NJR141" s="950"/>
      <c r="NJS141" s="950"/>
      <c r="NJT141" s="950"/>
      <c r="NJU141" s="950"/>
      <c r="NJV141" s="950"/>
      <c r="NJW141" s="950"/>
      <c r="NJX141" s="950"/>
      <c r="NJY141" s="950"/>
      <c r="NJZ141" s="950"/>
      <c r="NKA141" s="950"/>
      <c r="NKB141" s="950"/>
      <c r="NKC141" s="950"/>
      <c r="NKD141" s="950"/>
      <c r="NKE141" s="950"/>
      <c r="NKF141" s="950"/>
      <c r="NKG141" s="950"/>
      <c r="NKH141" s="950"/>
      <c r="NKI141" s="950"/>
      <c r="NKJ141" s="950"/>
      <c r="NKK141" s="950"/>
      <c r="NKL141" s="950"/>
      <c r="NKM141" s="950"/>
      <c r="NKN141" s="950"/>
      <c r="NKO141" s="950"/>
      <c r="NKP141" s="950"/>
      <c r="NKQ141" s="950"/>
      <c r="NKR141" s="950"/>
      <c r="NKS141" s="950"/>
      <c r="NKT141" s="950"/>
      <c r="NKU141" s="950"/>
      <c r="NKV141" s="950"/>
      <c r="NKW141" s="950"/>
      <c r="NKX141" s="950"/>
      <c r="NKY141" s="950"/>
      <c r="NKZ141" s="950"/>
      <c r="NLA141" s="950"/>
      <c r="NLB141" s="950"/>
      <c r="NLC141" s="950"/>
      <c r="NLD141" s="950"/>
      <c r="NLE141" s="950"/>
      <c r="NLF141" s="950"/>
      <c r="NLG141" s="950"/>
      <c r="NLH141" s="950"/>
      <c r="NLI141" s="950"/>
      <c r="NLJ141" s="950"/>
      <c r="NLK141" s="950"/>
      <c r="NLL141" s="950"/>
      <c r="NLM141" s="950"/>
      <c r="NLN141" s="950"/>
      <c r="NLO141" s="950"/>
      <c r="NLP141" s="950"/>
      <c r="NLQ141" s="950"/>
      <c r="NLR141" s="950"/>
      <c r="NLS141" s="950"/>
      <c r="NLT141" s="950"/>
      <c r="NLU141" s="950"/>
      <c r="NLV141" s="950"/>
      <c r="NLW141" s="950"/>
      <c r="NLX141" s="950"/>
      <c r="NLY141" s="950"/>
      <c r="NLZ141" s="950"/>
      <c r="NMA141" s="950"/>
      <c r="NMB141" s="950"/>
      <c r="NMC141" s="950"/>
      <c r="NMD141" s="950"/>
      <c r="NME141" s="950"/>
      <c r="NMF141" s="950"/>
      <c r="NMG141" s="950"/>
      <c r="NMH141" s="950"/>
      <c r="NMI141" s="950"/>
      <c r="NMJ141" s="950"/>
      <c r="NMK141" s="950"/>
      <c r="NML141" s="950"/>
      <c r="NMM141" s="950"/>
      <c r="NMN141" s="950"/>
      <c r="NMO141" s="950"/>
      <c r="NMP141" s="950"/>
      <c r="NMQ141" s="950"/>
      <c r="NMR141" s="950"/>
      <c r="NMS141" s="950"/>
      <c r="NMT141" s="950"/>
      <c r="NMU141" s="950"/>
      <c r="NMV141" s="950"/>
      <c r="NMW141" s="950"/>
      <c r="NMX141" s="950"/>
      <c r="NMY141" s="950"/>
      <c r="NMZ141" s="950"/>
      <c r="NNA141" s="950"/>
      <c r="NNB141" s="950"/>
      <c r="NNC141" s="950"/>
      <c r="NND141" s="950"/>
      <c r="NNE141" s="950"/>
      <c r="NNF141" s="950"/>
      <c r="NNG141" s="950"/>
      <c r="NNH141" s="950"/>
      <c r="NNI141" s="950"/>
      <c r="NNJ141" s="950"/>
      <c r="NNK141" s="950"/>
      <c r="NNL141" s="950"/>
      <c r="NNM141" s="950"/>
      <c r="NNN141" s="950"/>
      <c r="NNO141" s="950"/>
      <c r="NNP141" s="950"/>
      <c r="NNQ141" s="950"/>
      <c r="NNR141" s="950"/>
      <c r="NNS141" s="950"/>
      <c r="NNT141" s="950"/>
      <c r="NNU141" s="950"/>
      <c r="NNV141" s="950"/>
      <c r="NNW141" s="950"/>
      <c r="NNX141" s="950"/>
      <c r="NNY141" s="950"/>
      <c r="NNZ141" s="950"/>
      <c r="NOA141" s="950"/>
      <c r="NOB141" s="950"/>
      <c r="NOC141" s="950"/>
      <c r="NOD141" s="950"/>
      <c r="NOE141" s="950"/>
      <c r="NOF141" s="950"/>
      <c r="NOG141" s="950"/>
      <c r="NOH141" s="950"/>
      <c r="NOI141" s="950"/>
      <c r="NOJ141" s="950"/>
      <c r="NOK141" s="950"/>
      <c r="NOL141" s="950"/>
      <c r="NOM141" s="950"/>
      <c r="NON141" s="950"/>
      <c r="NOO141" s="950"/>
      <c r="NOP141" s="950"/>
      <c r="NOQ141" s="950"/>
      <c r="NOR141" s="950"/>
      <c r="NOS141" s="950"/>
      <c r="NOT141" s="950"/>
      <c r="NOU141" s="950"/>
      <c r="NOV141" s="950"/>
      <c r="NOW141" s="950"/>
      <c r="NOX141" s="950"/>
      <c r="NOY141" s="950"/>
      <c r="NOZ141" s="950"/>
      <c r="NPA141" s="950"/>
      <c r="NPB141" s="950"/>
      <c r="NPC141" s="950"/>
      <c r="NPD141" s="950"/>
      <c r="NPE141" s="950"/>
      <c r="NPF141" s="950"/>
      <c r="NPG141" s="950"/>
      <c r="NPH141" s="950"/>
      <c r="NPI141" s="950"/>
      <c r="NPJ141" s="950"/>
      <c r="NPK141" s="950"/>
      <c r="NPL141" s="950"/>
      <c r="NPM141" s="950"/>
      <c r="NPN141" s="950"/>
      <c r="NPO141" s="950"/>
      <c r="NPP141" s="950"/>
      <c r="NPQ141" s="950"/>
      <c r="NPR141" s="950"/>
      <c r="NPS141" s="950"/>
      <c r="NPT141" s="950"/>
      <c r="NPU141" s="950"/>
      <c r="NPV141" s="950"/>
      <c r="NPW141" s="950"/>
      <c r="NPX141" s="950"/>
      <c r="NPY141" s="950"/>
      <c r="NPZ141" s="950"/>
      <c r="NQA141" s="950"/>
      <c r="NQB141" s="950"/>
      <c r="NQC141" s="950"/>
      <c r="NQD141" s="950"/>
      <c r="NQE141" s="950"/>
      <c r="NQF141" s="950"/>
      <c r="NQG141" s="950"/>
      <c r="NQH141" s="950"/>
      <c r="NQI141" s="950"/>
      <c r="NQJ141" s="950"/>
      <c r="NQK141" s="950"/>
      <c r="NQL141" s="950"/>
      <c r="NQM141" s="950"/>
      <c r="NQN141" s="950"/>
      <c r="NQO141" s="950"/>
      <c r="NQP141" s="950"/>
      <c r="NQQ141" s="950"/>
      <c r="NQR141" s="950"/>
      <c r="NQS141" s="950"/>
      <c r="NQT141" s="950"/>
      <c r="NQU141" s="950"/>
      <c r="NQV141" s="950"/>
      <c r="NQW141" s="950"/>
      <c r="NQX141" s="950"/>
      <c r="NQY141" s="950"/>
      <c r="NQZ141" s="950"/>
      <c r="NRA141" s="950"/>
      <c r="NRB141" s="950"/>
      <c r="NRC141" s="950"/>
      <c r="NRD141" s="950"/>
      <c r="NRE141" s="950"/>
      <c r="NRF141" s="950"/>
      <c r="NRG141" s="950"/>
      <c r="NRH141" s="950"/>
      <c r="NRI141" s="950"/>
      <c r="NRJ141" s="950"/>
      <c r="NRK141" s="950"/>
      <c r="NRL141" s="950"/>
      <c r="NRM141" s="950"/>
      <c r="NRN141" s="950"/>
      <c r="NRO141" s="950"/>
      <c r="NRP141" s="950"/>
      <c r="NRQ141" s="950"/>
      <c r="NRR141" s="950"/>
      <c r="NRS141" s="950"/>
      <c r="NRT141" s="950"/>
      <c r="NRU141" s="950"/>
      <c r="NRV141" s="950"/>
      <c r="NRW141" s="950"/>
      <c r="NRX141" s="950"/>
      <c r="NRY141" s="950"/>
      <c r="NRZ141" s="950"/>
      <c r="NSA141" s="950"/>
      <c r="NSB141" s="950"/>
      <c r="NSC141" s="950"/>
      <c r="NSD141" s="950"/>
      <c r="NSE141" s="950"/>
      <c r="NSF141" s="950"/>
      <c r="NSG141" s="950"/>
      <c r="NSH141" s="950"/>
      <c r="NSI141" s="950"/>
      <c r="NSJ141" s="950"/>
      <c r="NSK141" s="950"/>
      <c r="NSL141" s="950"/>
      <c r="NSM141" s="950"/>
      <c r="NSN141" s="950"/>
      <c r="NSO141" s="950"/>
      <c r="NSP141" s="950"/>
      <c r="NSQ141" s="950"/>
      <c r="NSR141" s="950"/>
      <c r="NSS141" s="950"/>
      <c r="NST141" s="950"/>
      <c r="NSU141" s="950"/>
      <c r="NSV141" s="950"/>
      <c r="NSW141" s="950"/>
      <c r="NSX141" s="950"/>
      <c r="NSY141" s="950"/>
      <c r="NSZ141" s="950"/>
      <c r="NTA141" s="950"/>
      <c r="NTB141" s="950"/>
      <c r="NTC141" s="950"/>
      <c r="NTD141" s="950"/>
      <c r="NTE141" s="950"/>
      <c r="NTF141" s="950"/>
      <c r="NTG141" s="950"/>
      <c r="NTH141" s="950"/>
      <c r="NTI141" s="950"/>
      <c r="NTJ141" s="950"/>
      <c r="NTK141" s="950"/>
      <c r="NTL141" s="950"/>
      <c r="NTM141" s="950"/>
      <c r="NTN141" s="950"/>
      <c r="NTO141" s="950"/>
      <c r="NTP141" s="950"/>
      <c r="NTQ141" s="950"/>
      <c r="NTR141" s="950"/>
      <c r="NTS141" s="950"/>
      <c r="NTT141" s="950"/>
      <c r="NTU141" s="950"/>
      <c r="NTV141" s="950"/>
      <c r="NTW141" s="950"/>
      <c r="NTX141" s="950"/>
      <c r="NTY141" s="950"/>
      <c r="NTZ141" s="950"/>
      <c r="NUA141" s="950"/>
      <c r="NUB141" s="950"/>
      <c r="NUC141" s="950"/>
      <c r="NUD141" s="950"/>
      <c r="NUE141" s="950"/>
      <c r="NUF141" s="950"/>
      <c r="NUG141" s="950"/>
      <c r="NUH141" s="950"/>
      <c r="NUI141" s="950"/>
      <c r="NUJ141" s="950"/>
      <c r="NUK141" s="950"/>
      <c r="NUL141" s="950"/>
      <c r="NUM141" s="950"/>
      <c r="NUN141" s="950"/>
      <c r="NUO141" s="950"/>
      <c r="NUP141" s="950"/>
      <c r="NUQ141" s="950"/>
      <c r="NUR141" s="950"/>
      <c r="NUS141" s="950"/>
      <c r="NUT141" s="950"/>
      <c r="NUU141" s="950"/>
      <c r="NUV141" s="950"/>
      <c r="NUW141" s="950"/>
      <c r="NUX141" s="950"/>
      <c r="NUY141" s="950"/>
      <c r="NUZ141" s="950"/>
      <c r="NVA141" s="950"/>
      <c r="NVB141" s="950"/>
      <c r="NVC141" s="950"/>
      <c r="NVD141" s="950"/>
      <c r="NVE141" s="950"/>
      <c r="NVF141" s="950"/>
      <c r="NVG141" s="950"/>
      <c r="NVH141" s="950"/>
      <c r="NVI141" s="950"/>
      <c r="NVJ141" s="950"/>
      <c r="NVK141" s="950"/>
      <c r="NVL141" s="950"/>
      <c r="NVM141" s="950"/>
      <c r="NVN141" s="950"/>
      <c r="NVO141" s="950"/>
      <c r="NVP141" s="950"/>
      <c r="NVQ141" s="950"/>
      <c r="NVR141" s="950"/>
      <c r="NVS141" s="950"/>
      <c r="NVT141" s="950"/>
      <c r="NVU141" s="950"/>
      <c r="NVV141" s="950"/>
      <c r="NVW141" s="950"/>
      <c r="NVX141" s="950"/>
      <c r="NVY141" s="950"/>
      <c r="NVZ141" s="950"/>
      <c r="NWA141" s="950"/>
      <c r="NWB141" s="950"/>
      <c r="NWC141" s="950"/>
      <c r="NWD141" s="950"/>
      <c r="NWE141" s="950"/>
      <c r="NWF141" s="950"/>
      <c r="NWG141" s="950"/>
      <c r="NWH141" s="950"/>
      <c r="NWI141" s="950"/>
      <c r="NWJ141" s="950"/>
      <c r="NWK141" s="950"/>
      <c r="NWL141" s="950"/>
      <c r="NWM141" s="950"/>
      <c r="NWN141" s="950"/>
      <c r="NWO141" s="950"/>
      <c r="NWP141" s="950"/>
      <c r="NWQ141" s="950"/>
      <c r="NWR141" s="950"/>
      <c r="NWS141" s="950"/>
      <c r="NWT141" s="950"/>
      <c r="NWU141" s="950"/>
      <c r="NWV141" s="950"/>
      <c r="NWW141" s="950"/>
      <c r="NWX141" s="950"/>
      <c r="NWY141" s="950"/>
      <c r="NWZ141" s="950"/>
      <c r="NXA141" s="950"/>
      <c r="NXB141" s="950"/>
      <c r="NXC141" s="950"/>
      <c r="NXD141" s="950"/>
      <c r="NXE141" s="950"/>
      <c r="NXF141" s="950"/>
      <c r="NXG141" s="950"/>
      <c r="NXH141" s="950"/>
      <c r="NXI141" s="950"/>
      <c r="NXJ141" s="950"/>
      <c r="NXK141" s="950"/>
      <c r="NXL141" s="950"/>
      <c r="NXM141" s="950"/>
      <c r="NXN141" s="950"/>
      <c r="NXO141" s="950"/>
      <c r="NXP141" s="950"/>
      <c r="NXQ141" s="950"/>
      <c r="NXR141" s="950"/>
      <c r="NXS141" s="950"/>
      <c r="NXT141" s="950"/>
      <c r="NXU141" s="950"/>
      <c r="NXV141" s="950"/>
      <c r="NXW141" s="950"/>
      <c r="NXX141" s="950"/>
      <c r="NXY141" s="950"/>
      <c r="NXZ141" s="950"/>
      <c r="NYA141" s="950"/>
      <c r="NYB141" s="950"/>
      <c r="NYC141" s="950"/>
      <c r="NYD141" s="950"/>
      <c r="NYE141" s="950"/>
      <c r="NYF141" s="950"/>
      <c r="NYG141" s="950"/>
      <c r="NYH141" s="950"/>
      <c r="NYI141" s="950"/>
      <c r="NYJ141" s="950"/>
      <c r="NYK141" s="950"/>
      <c r="NYL141" s="950"/>
      <c r="NYM141" s="950"/>
      <c r="NYN141" s="950"/>
      <c r="NYO141" s="950"/>
      <c r="NYP141" s="950"/>
      <c r="NYQ141" s="950"/>
      <c r="NYR141" s="950"/>
      <c r="NYS141" s="950"/>
      <c r="NYT141" s="950"/>
      <c r="NYU141" s="950"/>
      <c r="NYV141" s="950"/>
      <c r="NYW141" s="950"/>
      <c r="NYX141" s="950"/>
      <c r="NYY141" s="950"/>
      <c r="NYZ141" s="950"/>
      <c r="NZA141" s="950"/>
      <c r="NZB141" s="950"/>
      <c r="NZC141" s="950"/>
      <c r="NZD141" s="950"/>
      <c r="NZE141" s="950"/>
      <c r="NZF141" s="950"/>
      <c r="NZG141" s="950"/>
      <c r="NZH141" s="950"/>
      <c r="NZI141" s="950"/>
      <c r="NZJ141" s="950"/>
      <c r="NZK141" s="950"/>
      <c r="NZL141" s="950"/>
      <c r="NZM141" s="950"/>
      <c r="NZN141" s="950"/>
      <c r="NZO141" s="950"/>
      <c r="NZP141" s="950"/>
      <c r="NZQ141" s="950"/>
      <c r="NZR141" s="950"/>
      <c r="NZS141" s="950"/>
      <c r="NZT141" s="950"/>
      <c r="NZU141" s="950"/>
      <c r="NZV141" s="950"/>
      <c r="NZW141" s="950"/>
      <c r="NZX141" s="950"/>
      <c r="NZY141" s="950"/>
      <c r="NZZ141" s="950"/>
      <c r="OAA141" s="950"/>
      <c r="OAB141" s="950"/>
      <c r="OAC141" s="950"/>
      <c r="OAD141" s="950"/>
      <c r="OAE141" s="950"/>
      <c r="OAF141" s="950"/>
      <c r="OAG141" s="950"/>
      <c r="OAH141" s="950"/>
      <c r="OAI141" s="950"/>
      <c r="OAJ141" s="950"/>
      <c r="OAK141" s="950"/>
      <c r="OAL141" s="950"/>
      <c r="OAM141" s="950"/>
      <c r="OAN141" s="950"/>
      <c r="OAO141" s="950"/>
      <c r="OAP141" s="950"/>
      <c r="OAQ141" s="950"/>
      <c r="OAR141" s="950"/>
      <c r="OAS141" s="950"/>
      <c r="OAT141" s="950"/>
      <c r="OAU141" s="950"/>
      <c r="OAV141" s="950"/>
      <c r="OAW141" s="950"/>
      <c r="OAX141" s="950"/>
      <c r="OAY141" s="950"/>
      <c r="OAZ141" s="950"/>
      <c r="OBA141" s="950"/>
      <c r="OBB141" s="950"/>
      <c r="OBC141" s="950"/>
      <c r="OBD141" s="950"/>
      <c r="OBE141" s="950"/>
      <c r="OBF141" s="950"/>
      <c r="OBG141" s="950"/>
      <c r="OBH141" s="950"/>
      <c r="OBI141" s="950"/>
      <c r="OBJ141" s="950"/>
      <c r="OBK141" s="950"/>
      <c r="OBL141" s="950"/>
      <c r="OBM141" s="950"/>
      <c r="OBN141" s="950"/>
      <c r="OBO141" s="950"/>
      <c r="OBP141" s="950"/>
      <c r="OBQ141" s="950"/>
      <c r="OBR141" s="950"/>
      <c r="OBS141" s="950"/>
      <c r="OBT141" s="950"/>
      <c r="OBU141" s="950"/>
      <c r="OBV141" s="950"/>
      <c r="OBW141" s="950"/>
      <c r="OBX141" s="950"/>
      <c r="OBY141" s="950"/>
      <c r="OBZ141" s="950"/>
      <c r="OCA141" s="950"/>
      <c r="OCB141" s="950"/>
      <c r="OCC141" s="950"/>
      <c r="OCD141" s="950"/>
      <c r="OCE141" s="950"/>
      <c r="OCF141" s="950"/>
      <c r="OCG141" s="950"/>
      <c r="OCH141" s="950"/>
      <c r="OCI141" s="950"/>
      <c r="OCJ141" s="950"/>
      <c r="OCK141" s="950"/>
      <c r="OCL141" s="950"/>
      <c r="OCM141" s="950"/>
      <c r="OCN141" s="950"/>
      <c r="OCO141" s="950"/>
      <c r="OCP141" s="950"/>
      <c r="OCQ141" s="950"/>
      <c r="OCR141" s="950"/>
      <c r="OCS141" s="950"/>
      <c r="OCT141" s="950"/>
      <c r="OCU141" s="950"/>
      <c r="OCV141" s="950"/>
      <c r="OCW141" s="950"/>
      <c r="OCX141" s="950"/>
      <c r="OCY141" s="950"/>
      <c r="OCZ141" s="950"/>
      <c r="ODA141" s="950"/>
      <c r="ODB141" s="950"/>
      <c r="ODC141" s="950"/>
      <c r="ODD141" s="950"/>
      <c r="ODE141" s="950"/>
      <c r="ODF141" s="950"/>
      <c r="ODG141" s="950"/>
      <c r="ODH141" s="950"/>
      <c r="ODI141" s="950"/>
      <c r="ODJ141" s="950"/>
      <c r="ODK141" s="950"/>
      <c r="ODL141" s="950"/>
      <c r="ODM141" s="950"/>
      <c r="ODN141" s="950"/>
      <c r="ODO141" s="950"/>
      <c r="ODP141" s="950"/>
      <c r="ODQ141" s="950"/>
      <c r="ODR141" s="950"/>
      <c r="ODS141" s="950"/>
      <c r="ODT141" s="950"/>
      <c r="ODU141" s="950"/>
      <c r="ODV141" s="950"/>
      <c r="ODW141" s="950"/>
      <c r="ODX141" s="950"/>
      <c r="ODY141" s="950"/>
      <c r="ODZ141" s="950"/>
      <c r="OEA141" s="950"/>
      <c r="OEB141" s="950"/>
      <c r="OEC141" s="950"/>
      <c r="OED141" s="950"/>
      <c r="OEE141" s="950"/>
      <c r="OEF141" s="950"/>
      <c r="OEG141" s="950"/>
      <c r="OEH141" s="950"/>
      <c r="OEI141" s="950"/>
      <c r="OEJ141" s="950"/>
      <c r="OEK141" s="950"/>
      <c r="OEL141" s="950"/>
      <c r="OEM141" s="950"/>
      <c r="OEN141" s="950"/>
      <c r="OEO141" s="950"/>
      <c r="OEP141" s="950"/>
      <c r="OEQ141" s="950"/>
      <c r="OER141" s="950"/>
      <c r="OES141" s="950"/>
      <c r="OET141" s="950"/>
      <c r="OEU141" s="950"/>
      <c r="OEV141" s="950"/>
      <c r="OEW141" s="950"/>
      <c r="OEX141" s="950"/>
      <c r="OEY141" s="950"/>
      <c r="OEZ141" s="950"/>
      <c r="OFA141" s="950"/>
      <c r="OFB141" s="950"/>
      <c r="OFC141" s="950"/>
      <c r="OFD141" s="950"/>
      <c r="OFE141" s="950"/>
      <c r="OFF141" s="950"/>
      <c r="OFG141" s="950"/>
      <c r="OFH141" s="950"/>
      <c r="OFI141" s="950"/>
      <c r="OFJ141" s="950"/>
      <c r="OFK141" s="950"/>
      <c r="OFL141" s="950"/>
      <c r="OFM141" s="950"/>
      <c r="OFN141" s="950"/>
      <c r="OFO141" s="950"/>
      <c r="OFP141" s="950"/>
      <c r="OFQ141" s="950"/>
      <c r="OFR141" s="950"/>
      <c r="OFS141" s="950"/>
      <c r="OFT141" s="950"/>
      <c r="OFU141" s="950"/>
      <c r="OFV141" s="950"/>
      <c r="OFW141" s="950"/>
      <c r="OFX141" s="950"/>
      <c r="OFY141" s="950"/>
      <c r="OFZ141" s="950"/>
      <c r="OGA141" s="950"/>
      <c r="OGB141" s="950"/>
      <c r="OGC141" s="950"/>
      <c r="OGD141" s="950"/>
      <c r="OGE141" s="950"/>
      <c r="OGF141" s="950"/>
      <c r="OGG141" s="950"/>
      <c r="OGH141" s="950"/>
      <c r="OGI141" s="950"/>
      <c r="OGJ141" s="950"/>
      <c r="OGK141" s="950"/>
      <c r="OGL141" s="950"/>
      <c r="OGM141" s="950"/>
      <c r="OGN141" s="950"/>
      <c r="OGO141" s="950"/>
      <c r="OGP141" s="950"/>
      <c r="OGQ141" s="950"/>
      <c r="OGR141" s="950"/>
      <c r="OGS141" s="950"/>
      <c r="OGT141" s="950"/>
      <c r="OGU141" s="950"/>
      <c r="OGV141" s="950"/>
      <c r="OGW141" s="950"/>
      <c r="OGX141" s="950"/>
      <c r="OGY141" s="950"/>
      <c r="OGZ141" s="950"/>
      <c r="OHA141" s="950"/>
      <c r="OHB141" s="950"/>
      <c r="OHC141" s="950"/>
      <c r="OHD141" s="950"/>
      <c r="OHE141" s="950"/>
      <c r="OHF141" s="950"/>
      <c r="OHG141" s="950"/>
      <c r="OHH141" s="950"/>
      <c r="OHI141" s="950"/>
      <c r="OHJ141" s="950"/>
      <c r="OHK141" s="950"/>
      <c r="OHL141" s="950"/>
      <c r="OHM141" s="950"/>
      <c r="OHN141" s="950"/>
      <c r="OHO141" s="950"/>
      <c r="OHP141" s="950"/>
      <c r="OHQ141" s="950"/>
      <c r="OHR141" s="950"/>
      <c r="OHS141" s="950"/>
      <c r="OHT141" s="950"/>
      <c r="OHU141" s="950"/>
      <c r="OHV141" s="950"/>
      <c r="OHW141" s="950"/>
      <c r="OHX141" s="950"/>
      <c r="OHY141" s="950"/>
      <c r="OHZ141" s="950"/>
      <c r="OIA141" s="950"/>
      <c r="OIB141" s="950"/>
      <c r="OIC141" s="950"/>
      <c r="OID141" s="950"/>
      <c r="OIE141" s="950"/>
      <c r="OIF141" s="950"/>
      <c r="OIG141" s="950"/>
      <c r="OIH141" s="950"/>
      <c r="OII141" s="950"/>
      <c r="OIJ141" s="950"/>
      <c r="OIK141" s="950"/>
      <c r="OIL141" s="950"/>
      <c r="OIM141" s="950"/>
      <c r="OIN141" s="950"/>
      <c r="OIO141" s="950"/>
      <c r="OIP141" s="950"/>
      <c r="OIQ141" s="950"/>
      <c r="OIR141" s="950"/>
      <c r="OIS141" s="950"/>
      <c r="OIT141" s="950"/>
      <c r="OIU141" s="950"/>
      <c r="OIV141" s="950"/>
      <c r="OIW141" s="950"/>
      <c r="OIX141" s="950"/>
      <c r="OIY141" s="950"/>
      <c r="OIZ141" s="950"/>
      <c r="OJA141" s="950"/>
      <c r="OJB141" s="950"/>
      <c r="OJC141" s="950"/>
      <c r="OJD141" s="950"/>
      <c r="OJE141" s="950"/>
      <c r="OJF141" s="950"/>
      <c r="OJG141" s="950"/>
      <c r="OJH141" s="950"/>
      <c r="OJI141" s="950"/>
      <c r="OJJ141" s="950"/>
      <c r="OJK141" s="950"/>
      <c r="OJL141" s="950"/>
      <c r="OJM141" s="950"/>
      <c r="OJN141" s="950"/>
      <c r="OJO141" s="950"/>
      <c r="OJP141" s="950"/>
      <c r="OJQ141" s="950"/>
      <c r="OJR141" s="950"/>
      <c r="OJS141" s="950"/>
      <c r="OJT141" s="950"/>
      <c r="OJU141" s="950"/>
      <c r="OJV141" s="950"/>
      <c r="OJW141" s="950"/>
      <c r="OJX141" s="950"/>
      <c r="OJY141" s="950"/>
      <c r="OJZ141" s="950"/>
      <c r="OKA141" s="950"/>
      <c r="OKB141" s="950"/>
      <c r="OKC141" s="950"/>
      <c r="OKD141" s="950"/>
      <c r="OKE141" s="950"/>
      <c r="OKF141" s="950"/>
      <c r="OKG141" s="950"/>
      <c r="OKH141" s="950"/>
      <c r="OKI141" s="950"/>
      <c r="OKJ141" s="950"/>
      <c r="OKK141" s="950"/>
      <c r="OKL141" s="950"/>
      <c r="OKM141" s="950"/>
      <c r="OKN141" s="950"/>
      <c r="OKO141" s="950"/>
      <c r="OKP141" s="950"/>
      <c r="OKQ141" s="950"/>
      <c r="OKR141" s="950"/>
      <c r="OKS141" s="950"/>
      <c r="OKT141" s="950"/>
      <c r="OKU141" s="950"/>
      <c r="OKV141" s="950"/>
      <c r="OKW141" s="950"/>
      <c r="OKX141" s="950"/>
      <c r="OKY141" s="950"/>
      <c r="OKZ141" s="950"/>
      <c r="OLA141" s="950"/>
      <c r="OLB141" s="950"/>
      <c r="OLC141" s="950"/>
      <c r="OLD141" s="950"/>
      <c r="OLE141" s="950"/>
      <c r="OLF141" s="950"/>
      <c r="OLG141" s="950"/>
      <c r="OLH141" s="950"/>
      <c r="OLI141" s="950"/>
      <c r="OLJ141" s="950"/>
      <c r="OLK141" s="950"/>
      <c r="OLL141" s="950"/>
      <c r="OLM141" s="950"/>
      <c r="OLN141" s="950"/>
      <c r="OLO141" s="950"/>
      <c r="OLP141" s="950"/>
      <c r="OLQ141" s="950"/>
      <c r="OLR141" s="950"/>
      <c r="OLS141" s="950"/>
      <c r="OLT141" s="950"/>
      <c r="OLU141" s="950"/>
      <c r="OLV141" s="950"/>
      <c r="OLW141" s="950"/>
      <c r="OLX141" s="950"/>
      <c r="OLY141" s="950"/>
      <c r="OLZ141" s="950"/>
      <c r="OMA141" s="950"/>
      <c r="OMB141" s="950"/>
      <c r="OMC141" s="950"/>
      <c r="OMD141" s="950"/>
      <c r="OME141" s="950"/>
      <c r="OMF141" s="950"/>
      <c r="OMG141" s="950"/>
      <c r="OMH141" s="950"/>
      <c r="OMI141" s="950"/>
      <c r="OMJ141" s="950"/>
      <c r="OMK141" s="950"/>
      <c r="OML141" s="950"/>
      <c r="OMM141" s="950"/>
      <c r="OMN141" s="950"/>
      <c r="OMO141" s="950"/>
      <c r="OMP141" s="950"/>
      <c r="OMQ141" s="950"/>
      <c r="OMR141" s="950"/>
      <c r="OMS141" s="950"/>
      <c r="OMT141" s="950"/>
      <c r="OMU141" s="950"/>
      <c r="OMV141" s="950"/>
      <c r="OMW141" s="950"/>
      <c r="OMX141" s="950"/>
      <c r="OMY141" s="950"/>
      <c r="OMZ141" s="950"/>
      <c r="ONA141" s="950"/>
      <c r="ONB141" s="950"/>
      <c r="ONC141" s="950"/>
      <c r="OND141" s="950"/>
      <c r="ONE141" s="950"/>
      <c r="ONF141" s="950"/>
      <c r="ONG141" s="950"/>
      <c r="ONH141" s="950"/>
      <c r="ONI141" s="950"/>
      <c r="ONJ141" s="950"/>
      <c r="ONK141" s="950"/>
      <c r="ONL141" s="950"/>
      <c r="ONM141" s="950"/>
      <c r="ONN141" s="950"/>
      <c r="ONO141" s="950"/>
      <c r="ONP141" s="950"/>
      <c r="ONQ141" s="950"/>
      <c r="ONR141" s="950"/>
      <c r="ONS141" s="950"/>
      <c r="ONT141" s="950"/>
      <c r="ONU141" s="950"/>
      <c r="ONV141" s="950"/>
      <c r="ONW141" s="950"/>
      <c r="ONX141" s="950"/>
      <c r="ONY141" s="950"/>
      <c r="ONZ141" s="950"/>
      <c r="OOA141" s="950"/>
      <c r="OOB141" s="950"/>
      <c r="OOC141" s="950"/>
      <c r="OOD141" s="950"/>
      <c r="OOE141" s="950"/>
      <c r="OOF141" s="950"/>
      <c r="OOG141" s="950"/>
      <c r="OOH141" s="950"/>
      <c r="OOI141" s="950"/>
      <c r="OOJ141" s="950"/>
      <c r="OOK141" s="950"/>
      <c r="OOL141" s="950"/>
      <c r="OOM141" s="950"/>
      <c r="OON141" s="950"/>
      <c r="OOO141" s="950"/>
      <c r="OOP141" s="950"/>
      <c r="OOQ141" s="950"/>
      <c r="OOR141" s="950"/>
      <c r="OOS141" s="950"/>
      <c r="OOT141" s="950"/>
      <c r="OOU141" s="950"/>
      <c r="OOV141" s="950"/>
      <c r="OOW141" s="950"/>
      <c r="OOX141" s="950"/>
      <c r="OOY141" s="950"/>
      <c r="OOZ141" s="950"/>
      <c r="OPA141" s="950"/>
      <c r="OPB141" s="950"/>
      <c r="OPC141" s="950"/>
      <c r="OPD141" s="950"/>
      <c r="OPE141" s="950"/>
      <c r="OPF141" s="950"/>
      <c r="OPG141" s="950"/>
      <c r="OPH141" s="950"/>
      <c r="OPI141" s="950"/>
      <c r="OPJ141" s="950"/>
      <c r="OPK141" s="950"/>
      <c r="OPL141" s="950"/>
      <c r="OPM141" s="950"/>
      <c r="OPN141" s="950"/>
      <c r="OPO141" s="950"/>
      <c r="OPP141" s="950"/>
      <c r="OPQ141" s="950"/>
      <c r="OPR141" s="950"/>
      <c r="OPS141" s="950"/>
      <c r="OPT141" s="950"/>
      <c r="OPU141" s="950"/>
      <c r="OPV141" s="950"/>
      <c r="OPW141" s="950"/>
      <c r="OPX141" s="950"/>
      <c r="OPY141" s="950"/>
      <c r="OPZ141" s="950"/>
      <c r="OQA141" s="950"/>
      <c r="OQB141" s="950"/>
      <c r="OQC141" s="950"/>
      <c r="OQD141" s="950"/>
      <c r="OQE141" s="950"/>
      <c r="OQF141" s="950"/>
      <c r="OQG141" s="950"/>
      <c r="OQH141" s="950"/>
      <c r="OQI141" s="950"/>
      <c r="OQJ141" s="950"/>
      <c r="OQK141" s="950"/>
      <c r="OQL141" s="950"/>
      <c r="OQM141" s="950"/>
      <c r="OQN141" s="950"/>
      <c r="OQO141" s="950"/>
      <c r="OQP141" s="950"/>
      <c r="OQQ141" s="950"/>
      <c r="OQR141" s="950"/>
      <c r="OQS141" s="950"/>
      <c r="OQT141" s="950"/>
      <c r="OQU141" s="950"/>
      <c r="OQV141" s="950"/>
      <c r="OQW141" s="950"/>
      <c r="OQX141" s="950"/>
      <c r="OQY141" s="950"/>
      <c r="OQZ141" s="950"/>
      <c r="ORA141" s="950"/>
      <c r="ORB141" s="950"/>
      <c r="ORC141" s="950"/>
      <c r="ORD141" s="950"/>
      <c r="ORE141" s="950"/>
      <c r="ORF141" s="950"/>
      <c r="ORG141" s="950"/>
      <c r="ORH141" s="950"/>
      <c r="ORI141" s="950"/>
      <c r="ORJ141" s="950"/>
      <c r="ORK141" s="950"/>
      <c r="ORL141" s="950"/>
      <c r="ORM141" s="950"/>
      <c r="ORN141" s="950"/>
      <c r="ORO141" s="950"/>
      <c r="ORP141" s="950"/>
      <c r="ORQ141" s="950"/>
      <c r="ORR141" s="950"/>
      <c r="ORS141" s="950"/>
      <c r="ORT141" s="950"/>
      <c r="ORU141" s="950"/>
      <c r="ORV141" s="950"/>
      <c r="ORW141" s="950"/>
      <c r="ORX141" s="950"/>
      <c r="ORY141" s="950"/>
      <c r="ORZ141" s="950"/>
      <c r="OSA141" s="950"/>
      <c r="OSB141" s="950"/>
      <c r="OSC141" s="950"/>
      <c r="OSD141" s="950"/>
      <c r="OSE141" s="950"/>
      <c r="OSF141" s="950"/>
      <c r="OSG141" s="950"/>
      <c r="OSH141" s="950"/>
      <c r="OSI141" s="950"/>
      <c r="OSJ141" s="950"/>
      <c r="OSK141" s="950"/>
      <c r="OSL141" s="950"/>
      <c r="OSM141" s="950"/>
      <c r="OSN141" s="950"/>
      <c r="OSO141" s="950"/>
      <c r="OSP141" s="950"/>
      <c r="OSQ141" s="950"/>
      <c r="OSR141" s="950"/>
      <c r="OSS141" s="950"/>
      <c r="OST141" s="950"/>
      <c r="OSU141" s="950"/>
      <c r="OSV141" s="950"/>
      <c r="OSW141" s="950"/>
      <c r="OSX141" s="950"/>
      <c r="OSY141" s="950"/>
      <c r="OSZ141" s="950"/>
      <c r="OTA141" s="950"/>
      <c r="OTB141" s="950"/>
      <c r="OTC141" s="950"/>
      <c r="OTD141" s="950"/>
      <c r="OTE141" s="950"/>
      <c r="OTF141" s="950"/>
      <c r="OTG141" s="950"/>
      <c r="OTH141" s="950"/>
      <c r="OTI141" s="950"/>
      <c r="OTJ141" s="950"/>
      <c r="OTK141" s="950"/>
      <c r="OTL141" s="950"/>
      <c r="OTM141" s="950"/>
      <c r="OTN141" s="950"/>
      <c r="OTO141" s="950"/>
      <c r="OTP141" s="950"/>
      <c r="OTQ141" s="950"/>
      <c r="OTR141" s="950"/>
      <c r="OTS141" s="950"/>
      <c r="OTT141" s="950"/>
      <c r="OTU141" s="950"/>
      <c r="OTV141" s="950"/>
      <c r="OTW141" s="950"/>
      <c r="OTX141" s="950"/>
      <c r="OTY141" s="950"/>
      <c r="OTZ141" s="950"/>
      <c r="OUA141" s="950"/>
      <c r="OUB141" s="950"/>
      <c r="OUC141" s="950"/>
      <c r="OUD141" s="950"/>
      <c r="OUE141" s="950"/>
      <c r="OUF141" s="950"/>
      <c r="OUG141" s="950"/>
      <c r="OUH141" s="950"/>
      <c r="OUI141" s="950"/>
      <c r="OUJ141" s="950"/>
      <c r="OUK141" s="950"/>
      <c r="OUL141" s="950"/>
      <c r="OUM141" s="950"/>
      <c r="OUN141" s="950"/>
      <c r="OUO141" s="950"/>
      <c r="OUP141" s="950"/>
      <c r="OUQ141" s="950"/>
      <c r="OUR141" s="950"/>
      <c r="OUS141" s="950"/>
      <c r="OUT141" s="950"/>
      <c r="OUU141" s="950"/>
      <c r="OUV141" s="950"/>
      <c r="OUW141" s="950"/>
      <c r="OUX141" s="950"/>
      <c r="OUY141" s="950"/>
      <c r="OUZ141" s="950"/>
      <c r="OVA141" s="950"/>
      <c r="OVB141" s="950"/>
      <c r="OVC141" s="950"/>
      <c r="OVD141" s="950"/>
      <c r="OVE141" s="950"/>
      <c r="OVF141" s="950"/>
      <c r="OVG141" s="950"/>
      <c r="OVH141" s="950"/>
      <c r="OVI141" s="950"/>
      <c r="OVJ141" s="950"/>
      <c r="OVK141" s="950"/>
      <c r="OVL141" s="950"/>
      <c r="OVM141" s="950"/>
      <c r="OVN141" s="950"/>
      <c r="OVO141" s="950"/>
      <c r="OVP141" s="950"/>
      <c r="OVQ141" s="950"/>
      <c r="OVR141" s="950"/>
      <c r="OVS141" s="950"/>
      <c r="OVT141" s="950"/>
      <c r="OVU141" s="950"/>
      <c r="OVV141" s="950"/>
      <c r="OVW141" s="950"/>
      <c r="OVX141" s="950"/>
      <c r="OVY141" s="950"/>
      <c r="OVZ141" s="950"/>
      <c r="OWA141" s="950"/>
      <c r="OWB141" s="950"/>
      <c r="OWC141" s="950"/>
      <c r="OWD141" s="950"/>
      <c r="OWE141" s="950"/>
      <c r="OWF141" s="950"/>
      <c r="OWG141" s="950"/>
      <c r="OWH141" s="950"/>
      <c r="OWI141" s="950"/>
      <c r="OWJ141" s="950"/>
      <c r="OWK141" s="950"/>
      <c r="OWL141" s="950"/>
      <c r="OWM141" s="950"/>
      <c r="OWN141" s="950"/>
      <c r="OWO141" s="950"/>
      <c r="OWP141" s="950"/>
      <c r="OWQ141" s="950"/>
      <c r="OWR141" s="950"/>
      <c r="OWS141" s="950"/>
      <c r="OWT141" s="950"/>
      <c r="OWU141" s="950"/>
      <c r="OWV141" s="950"/>
      <c r="OWW141" s="950"/>
      <c r="OWX141" s="950"/>
      <c r="OWY141" s="950"/>
      <c r="OWZ141" s="950"/>
      <c r="OXA141" s="950"/>
      <c r="OXB141" s="950"/>
      <c r="OXC141" s="950"/>
      <c r="OXD141" s="950"/>
      <c r="OXE141" s="950"/>
      <c r="OXF141" s="950"/>
      <c r="OXG141" s="950"/>
      <c r="OXH141" s="950"/>
      <c r="OXI141" s="950"/>
      <c r="OXJ141" s="950"/>
      <c r="OXK141" s="950"/>
      <c r="OXL141" s="950"/>
      <c r="OXM141" s="950"/>
      <c r="OXN141" s="950"/>
      <c r="OXO141" s="950"/>
      <c r="OXP141" s="950"/>
      <c r="OXQ141" s="950"/>
      <c r="OXR141" s="950"/>
      <c r="OXS141" s="950"/>
      <c r="OXT141" s="950"/>
      <c r="OXU141" s="950"/>
      <c r="OXV141" s="950"/>
      <c r="OXW141" s="950"/>
      <c r="OXX141" s="950"/>
      <c r="OXY141" s="950"/>
      <c r="OXZ141" s="950"/>
      <c r="OYA141" s="950"/>
      <c r="OYB141" s="950"/>
      <c r="OYC141" s="950"/>
      <c r="OYD141" s="950"/>
      <c r="OYE141" s="950"/>
      <c r="OYF141" s="950"/>
      <c r="OYG141" s="950"/>
      <c r="OYH141" s="950"/>
      <c r="OYI141" s="950"/>
      <c r="OYJ141" s="950"/>
      <c r="OYK141" s="950"/>
      <c r="OYL141" s="950"/>
      <c r="OYM141" s="950"/>
      <c r="OYN141" s="950"/>
      <c r="OYO141" s="950"/>
      <c r="OYP141" s="950"/>
      <c r="OYQ141" s="950"/>
      <c r="OYR141" s="950"/>
      <c r="OYS141" s="950"/>
      <c r="OYT141" s="950"/>
      <c r="OYU141" s="950"/>
      <c r="OYV141" s="950"/>
      <c r="OYW141" s="950"/>
      <c r="OYX141" s="950"/>
      <c r="OYY141" s="950"/>
      <c r="OYZ141" s="950"/>
      <c r="OZA141" s="950"/>
      <c r="OZB141" s="950"/>
      <c r="OZC141" s="950"/>
      <c r="OZD141" s="950"/>
      <c r="OZE141" s="950"/>
      <c r="OZF141" s="950"/>
      <c r="OZG141" s="950"/>
      <c r="OZH141" s="950"/>
      <c r="OZI141" s="950"/>
      <c r="OZJ141" s="950"/>
      <c r="OZK141" s="950"/>
      <c r="OZL141" s="950"/>
      <c r="OZM141" s="950"/>
      <c r="OZN141" s="950"/>
      <c r="OZO141" s="950"/>
      <c r="OZP141" s="950"/>
      <c r="OZQ141" s="950"/>
      <c r="OZR141" s="950"/>
      <c r="OZS141" s="950"/>
      <c r="OZT141" s="950"/>
      <c r="OZU141" s="950"/>
      <c r="OZV141" s="950"/>
      <c r="OZW141" s="950"/>
      <c r="OZX141" s="950"/>
      <c r="OZY141" s="950"/>
      <c r="OZZ141" s="950"/>
      <c r="PAA141" s="950"/>
      <c r="PAB141" s="950"/>
      <c r="PAC141" s="950"/>
      <c r="PAD141" s="950"/>
      <c r="PAE141" s="950"/>
      <c r="PAF141" s="950"/>
      <c r="PAG141" s="950"/>
      <c r="PAH141" s="950"/>
      <c r="PAI141" s="950"/>
      <c r="PAJ141" s="950"/>
      <c r="PAK141" s="950"/>
      <c r="PAL141" s="950"/>
      <c r="PAM141" s="950"/>
      <c r="PAN141" s="950"/>
      <c r="PAO141" s="950"/>
      <c r="PAP141" s="950"/>
      <c r="PAQ141" s="950"/>
      <c r="PAR141" s="950"/>
      <c r="PAS141" s="950"/>
      <c r="PAT141" s="950"/>
      <c r="PAU141" s="950"/>
      <c r="PAV141" s="950"/>
      <c r="PAW141" s="950"/>
      <c r="PAX141" s="950"/>
      <c r="PAY141" s="950"/>
      <c r="PAZ141" s="950"/>
      <c r="PBA141" s="950"/>
      <c r="PBB141" s="950"/>
      <c r="PBC141" s="950"/>
      <c r="PBD141" s="950"/>
      <c r="PBE141" s="950"/>
      <c r="PBF141" s="950"/>
      <c r="PBG141" s="950"/>
      <c r="PBH141" s="950"/>
      <c r="PBI141" s="950"/>
      <c r="PBJ141" s="950"/>
      <c r="PBK141" s="950"/>
      <c r="PBL141" s="950"/>
      <c r="PBM141" s="950"/>
      <c r="PBN141" s="950"/>
      <c r="PBO141" s="950"/>
      <c r="PBP141" s="950"/>
      <c r="PBQ141" s="950"/>
      <c r="PBR141" s="950"/>
      <c r="PBS141" s="950"/>
      <c r="PBT141" s="950"/>
      <c r="PBU141" s="950"/>
      <c r="PBV141" s="950"/>
      <c r="PBW141" s="950"/>
      <c r="PBX141" s="950"/>
      <c r="PBY141" s="950"/>
      <c r="PBZ141" s="950"/>
      <c r="PCA141" s="950"/>
      <c r="PCB141" s="950"/>
      <c r="PCC141" s="950"/>
      <c r="PCD141" s="950"/>
      <c r="PCE141" s="950"/>
      <c r="PCF141" s="950"/>
      <c r="PCG141" s="950"/>
      <c r="PCH141" s="950"/>
      <c r="PCI141" s="950"/>
      <c r="PCJ141" s="950"/>
      <c r="PCK141" s="950"/>
      <c r="PCL141" s="950"/>
      <c r="PCM141" s="950"/>
      <c r="PCN141" s="950"/>
      <c r="PCO141" s="950"/>
      <c r="PCP141" s="950"/>
      <c r="PCQ141" s="950"/>
      <c r="PCR141" s="950"/>
      <c r="PCS141" s="950"/>
      <c r="PCT141" s="950"/>
      <c r="PCU141" s="950"/>
      <c r="PCV141" s="950"/>
      <c r="PCW141" s="950"/>
      <c r="PCX141" s="950"/>
      <c r="PCY141" s="950"/>
      <c r="PCZ141" s="950"/>
      <c r="PDA141" s="950"/>
      <c r="PDB141" s="950"/>
      <c r="PDC141" s="950"/>
      <c r="PDD141" s="950"/>
      <c r="PDE141" s="950"/>
      <c r="PDF141" s="950"/>
      <c r="PDG141" s="950"/>
      <c r="PDH141" s="950"/>
      <c r="PDI141" s="950"/>
      <c r="PDJ141" s="950"/>
      <c r="PDK141" s="950"/>
      <c r="PDL141" s="950"/>
      <c r="PDM141" s="950"/>
      <c r="PDN141" s="950"/>
      <c r="PDO141" s="950"/>
      <c r="PDP141" s="950"/>
      <c r="PDQ141" s="950"/>
      <c r="PDR141" s="950"/>
      <c r="PDS141" s="950"/>
      <c r="PDT141" s="950"/>
      <c r="PDU141" s="950"/>
      <c r="PDV141" s="950"/>
      <c r="PDW141" s="950"/>
      <c r="PDX141" s="950"/>
      <c r="PDY141" s="950"/>
      <c r="PDZ141" s="950"/>
      <c r="PEA141" s="950"/>
      <c r="PEB141" s="950"/>
      <c r="PEC141" s="950"/>
      <c r="PED141" s="950"/>
      <c r="PEE141" s="950"/>
      <c r="PEF141" s="950"/>
      <c r="PEG141" s="950"/>
      <c r="PEH141" s="950"/>
      <c r="PEI141" s="950"/>
      <c r="PEJ141" s="950"/>
      <c r="PEK141" s="950"/>
      <c r="PEL141" s="950"/>
      <c r="PEM141" s="950"/>
      <c r="PEN141" s="950"/>
      <c r="PEO141" s="950"/>
      <c r="PEP141" s="950"/>
      <c r="PEQ141" s="950"/>
      <c r="PER141" s="950"/>
      <c r="PES141" s="950"/>
      <c r="PET141" s="950"/>
      <c r="PEU141" s="950"/>
      <c r="PEV141" s="950"/>
      <c r="PEW141" s="950"/>
      <c r="PEX141" s="950"/>
      <c r="PEY141" s="950"/>
      <c r="PEZ141" s="950"/>
      <c r="PFA141" s="950"/>
      <c r="PFB141" s="950"/>
      <c r="PFC141" s="950"/>
      <c r="PFD141" s="950"/>
      <c r="PFE141" s="950"/>
      <c r="PFF141" s="950"/>
      <c r="PFG141" s="950"/>
      <c r="PFH141" s="950"/>
      <c r="PFI141" s="950"/>
      <c r="PFJ141" s="950"/>
      <c r="PFK141" s="950"/>
      <c r="PFL141" s="950"/>
      <c r="PFM141" s="950"/>
      <c r="PFN141" s="950"/>
      <c r="PFO141" s="950"/>
      <c r="PFP141" s="950"/>
      <c r="PFQ141" s="950"/>
      <c r="PFR141" s="950"/>
      <c r="PFS141" s="950"/>
      <c r="PFT141" s="950"/>
      <c r="PFU141" s="950"/>
      <c r="PFV141" s="950"/>
      <c r="PFW141" s="950"/>
      <c r="PFX141" s="950"/>
      <c r="PFY141" s="950"/>
      <c r="PFZ141" s="950"/>
      <c r="PGA141" s="950"/>
      <c r="PGB141" s="950"/>
      <c r="PGC141" s="950"/>
      <c r="PGD141" s="950"/>
      <c r="PGE141" s="950"/>
      <c r="PGF141" s="950"/>
      <c r="PGG141" s="950"/>
      <c r="PGH141" s="950"/>
      <c r="PGI141" s="950"/>
      <c r="PGJ141" s="950"/>
      <c r="PGK141" s="950"/>
      <c r="PGL141" s="950"/>
      <c r="PGM141" s="950"/>
      <c r="PGN141" s="950"/>
      <c r="PGO141" s="950"/>
      <c r="PGP141" s="950"/>
      <c r="PGQ141" s="950"/>
      <c r="PGR141" s="950"/>
      <c r="PGS141" s="950"/>
      <c r="PGT141" s="950"/>
      <c r="PGU141" s="950"/>
      <c r="PGV141" s="950"/>
      <c r="PGW141" s="950"/>
      <c r="PGX141" s="950"/>
      <c r="PGY141" s="950"/>
      <c r="PGZ141" s="950"/>
      <c r="PHA141" s="950"/>
      <c r="PHB141" s="950"/>
      <c r="PHC141" s="950"/>
      <c r="PHD141" s="950"/>
      <c r="PHE141" s="950"/>
      <c r="PHF141" s="950"/>
      <c r="PHG141" s="950"/>
      <c r="PHH141" s="950"/>
      <c r="PHI141" s="950"/>
      <c r="PHJ141" s="950"/>
      <c r="PHK141" s="950"/>
      <c r="PHL141" s="950"/>
      <c r="PHM141" s="950"/>
      <c r="PHN141" s="950"/>
      <c r="PHO141" s="950"/>
      <c r="PHP141" s="950"/>
      <c r="PHQ141" s="950"/>
      <c r="PHR141" s="950"/>
      <c r="PHS141" s="950"/>
      <c r="PHT141" s="950"/>
      <c r="PHU141" s="950"/>
      <c r="PHV141" s="950"/>
      <c r="PHW141" s="950"/>
      <c r="PHX141" s="950"/>
      <c r="PHY141" s="950"/>
      <c r="PHZ141" s="950"/>
      <c r="PIA141" s="950"/>
      <c r="PIB141" s="950"/>
      <c r="PIC141" s="950"/>
      <c r="PID141" s="950"/>
      <c r="PIE141" s="950"/>
      <c r="PIF141" s="950"/>
      <c r="PIG141" s="950"/>
      <c r="PIH141" s="950"/>
      <c r="PII141" s="950"/>
      <c r="PIJ141" s="950"/>
      <c r="PIK141" s="950"/>
      <c r="PIL141" s="950"/>
      <c r="PIM141" s="950"/>
      <c r="PIN141" s="950"/>
      <c r="PIO141" s="950"/>
      <c r="PIP141" s="950"/>
      <c r="PIQ141" s="950"/>
      <c r="PIR141" s="950"/>
      <c r="PIS141" s="950"/>
      <c r="PIT141" s="950"/>
      <c r="PIU141" s="950"/>
      <c r="PIV141" s="950"/>
      <c r="PIW141" s="950"/>
      <c r="PIX141" s="950"/>
      <c r="PIY141" s="950"/>
      <c r="PIZ141" s="950"/>
      <c r="PJA141" s="950"/>
      <c r="PJB141" s="950"/>
      <c r="PJC141" s="950"/>
      <c r="PJD141" s="950"/>
      <c r="PJE141" s="950"/>
      <c r="PJF141" s="950"/>
      <c r="PJG141" s="950"/>
      <c r="PJH141" s="950"/>
      <c r="PJI141" s="950"/>
      <c r="PJJ141" s="950"/>
      <c r="PJK141" s="950"/>
      <c r="PJL141" s="950"/>
      <c r="PJM141" s="950"/>
      <c r="PJN141" s="950"/>
      <c r="PJO141" s="950"/>
      <c r="PJP141" s="950"/>
      <c r="PJQ141" s="950"/>
      <c r="PJR141" s="950"/>
      <c r="PJS141" s="950"/>
      <c r="PJT141" s="950"/>
      <c r="PJU141" s="950"/>
      <c r="PJV141" s="950"/>
      <c r="PJW141" s="950"/>
      <c r="PJX141" s="950"/>
      <c r="PJY141" s="950"/>
      <c r="PJZ141" s="950"/>
      <c r="PKA141" s="950"/>
      <c r="PKB141" s="950"/>
      <c r="PKC141" s="950"/>
      <c r="PKD141" s="950"/>
      <c r="PKE141" s="950"/>
      <c r="PKF141" s="950"/>
      <c r="PKG141" s="950"/>
      <c r="PKH141" s="950"/>
      <c r="PKI141" s="950"/>
      <c r="PKJ141" s="950"/>
      <c r="PKK141" s="950"/>
      <c r="PKL141" s="950"/>
      <c r="PKM141" s="950"/>
      <c r="PKN141" s="950"/>
      <c r="PKO141" s="950"/>
      <c r="PKP141" s="950"/>
      <c r="PKQ141" s="950"/>
      <c r="PKR141" s="950"/>
      <c r="PKS141" s="950"/>
      <c r="PKT141" s="950"/>
      <c r="PKU141" s="950"/>
      <c r="PKV141" s="950"/>
      <c r="PKW141" s="950"/>
      <c r="PKX141" s="950"/>
      <c r="PKY141" s="950"/>
      <c r="PKZ141" s="950"/>
      <c r="PLA141" s="950"/>
      <c r="PLB141" s="950"/>
      <c r="PLC141" s="950"/>
      <c r="PLD141" s="950"/>
      <c r="PLE141" s="950"/>
      <c r="PLF141" s="950"/>
      <c r="PLG141" s="950"/>
      <c r="PLH141" s="950"/>
      <c r="PLI141" s="950"/>
      <c r="PLJ141" s="950"/>
      <c r="PLK141" s="950"/>
      <c r="PLL141" s="950"/>
      <c r="PLM141" s="950"/>
      <c r="PLN141" s="950"/>
      <c r="PLO141" s="950"/>
      <c r="PLP141" s="950"/>
      <c r="PLQ141" s="950"/>
      <c r="PLR141" s="950"/>
      <c r="PLS141" s="950"/>
      <c r="PLT141" s="950"/>
      <c r="PLU141" s="950"/>
      <c r="PLV141" s="950"/>
      <c r="PLW141" s="950"/>
      <c r="PLX141" s="950"/>
      <c r="PLY141" s="950"/>
      <c r="PLZ141" s="950"/>
      <c r="PMA141" s="950"/>
      <c r="PMB141" s="950"/>
      <c r="PMC141" s="950"/>
      <c r="PMD141" s="950"/>
      <c r="PME141" s="950"/>
      <c r="PMF141" s="950"/>
      <c r="PMG141" s="950"/>
      <c r="PMH141" s="950"/>
      <c r="PMI141" s="950"/>
      <c r="PMJ141" s="950"/>
      <c r="PMK141" s="950"/>
      <c r="PML141" s="950"/>
      <c r="PMM141" s="950"/>
      <c r="PMN141" s="950"/>
      <c r="PMO141" s="950"/>
      <c r="PMP141" s="950"/>
      <c r="PMQ141" s="950"/>
      <c r="PMR141" s="950"/>
      <c r="PMS141" s="950"/>
      <c r="PMT141" s="950"/>
      <c r="PMU141" s="950"/>
      <c r="PMV141" s="950"/>
      <c r="PMW141" s="950"/>
      <c r="PMX141" s="950"/>
      <c r="PMY141" s="950"/>
      <c r="PMZ141" s="950"/>
      <c r="PNA141" s="950"/>
      <c r="PNB141" s="950"/>
      <c r="PNC141" s="950"/>
      <c r="PND141" s="950"/>
      <c r="PNE141" s="950"/>
      <c r="PNF141" s="950"/>
      <c r="PNG141" s="950"/>
      <c r="PNH141" s="950"/>
      <c r="PNI141" s="950"/>
      <c r="PNJ141" s="950"/>
      <c r="PNK141" s="950"/>
      <c r="PNL141" s="950"/>
      <c r="PNM141" s="950"/>
      <c r="PNN141" s="950"/>
      <c r="PNO141" s="950"/>
      <c r="PNP141" s="950"/>
      <c r="PNQ141" s="950"/>
      <c r="PNR141" s="950"/>
      <c r="PNS141" s="950"/>
      <c r="PNT141" s="950"/>
      <c r="PNU141" s="950"/>
      <c r="PNV141" s="950"/>
      <c r="PNW141" s="950"/>
      <c r="PNX141" s="950"/>
      <c r="PNY141" s="950"/>
      <c r="PNZ141" s="950"/>
      <c r="POA141" s="950"/>
      <c r="POB141" s="950"/>
      <c r="POC141" s="950"/>
      <c r="POD141" s="950"/>
      <c r="POE141" s="950"/>
      <c r="POF141" s="950"/>
      <c r="POG141" s="950"/>
      <c r="POH141" s="950"/>
      <c r="POI141" s="950"/>
      <c r="POJ141" s="950"/>
      <c r="POK141" s="950"/>
      <c r="POL141" s="950"/>
      <c r="POM141" s="950"/>
      <c r="PON141" s="950"/>
      <c r="POO141" s="950"/>
      <c r="POP141" s="950"/>
      <c r="POQ141" s="950"/>
      <c r="POR141" s="950"/>
      <c r="POS141" s="950"/>
      <c r="POT141" s="950"/>
      <c r="POU141" s="950"/>
      <c r="POV141" s="950"/>
      <c r="POW141" s="950"/>
      <c r="POX141" s="950"/>
      <c r="POY141" s="950"/>
      <c r="POZ141" s="950"/>
      <c r="PPA141" s="950"/>
      <c r="PPB141" s="950"/>
      <c r="PPC141" s="950"/>
      <c r="PPD141" s="950"/>
      <c r="PPE141" s="950"/>
      <c r="PPF141" s="950"/>
      <c r="PPG141" s="950"/>
      <c r="PPH141" s="950"/>
      <c r="PPI141" s="950"/>
      <c r="PPJ141" s="950"/>
      <c r="PPK141" s="950"/>
      <c r="PPL141" s="950"/>
      <c r="PPM141" s="950"/>
      <c r="PPN141" s="950"/>
      <c r="PPO141" s="950"/>
      <c r="PPP141" s="950"/>
      <c r="PPQ141" s="950"/>
      <c r="PPR141" s="950"/>
      <c r="PPS141" s="950"/>
      <c r="PPT141" s="950"/>
      <c r="PPU141" s="950"/>
      <c r="PPV141" s="950"/>
      <c r="PPW141" s="950"/>
      <c r="PPX141" s="950"/>
      <c r="PPY141" s="950"/>
      <c r="PPZ141" s="950"/>
      <c r="PQA141" s="950"/>
      <c r="PQB141" s="950"/>
      <c r="PQC141" s="950"/>
      <c r="PQD141" s="950"/>
      <c r="PQE141" s="950"/>
      <c r="PQF141" s="950"/>
      <c r="PQG141" s="950"/>
      <c r="PQH141" s="950"/>
      <c r="PQI141" s="950"/>
      <c r="PQJ141" s="950"/>
      <c r="PQK141" s="950"/>
      <c r="PQL141" s="950"/>
      <c r="PQM141" s="950"/>
      <c r="PQN141" s="950"/>
      <c r="PQO141" s="950"/>
      <c r="PQP141" s="950"/>
      <c r="PQQ141" s="950"/>
      <c r="PQR141" s="950"/>
      <c r="PQS141" s="950"/>
      <c r="PQT141" s="950"/>
      <c r="PQU141" s="950"/>
      <c r="PQV141" s="950"/>
      <c r="PQW141" s="950"/>
      <c r="PQX141" s="950"/>
      <c r="PQY141" s="950"/>
      <c r="PQZ141" s="950"/>
      <c r="PRA141" s="950"/>
      <c r="PRB141" s="950"/>
      <c r="PRC141" s="950"/>
      <c r="PRD141" s="950"/>
      <c r="PRE141" s="950"/>
      <c r="PRF141" s="950"/>
      <c r="PRG141" s="950"/>
      <c r="PRH141" s="950"/>
      <c r="PRI141" s="950"/>
      <c r="PRJ141" s="950"/>
      <c r="PRK141" s="950"/>
      <c r="PRL141" s="950"/>
      <c r="PRM141" s="950"/>
      <c r="PRN141" s="950"/>
      <c r="PRO141" s="950"/>
      <c r="PRP141" s="950"/>
      <c r="PRQ141" s="950"/>
      <c r="PRR141" s="950"/>
      <c r="PRS141" s="950"/>
      <c r="PRT141" s="950"/>
      <c r="PRU141" s="950"/>
      <c r="PRV141" s="950"/>
      <c r="PRW141" s="950"/>
      <c r="PRX141" s="950"/>
      <c r="PRY141" s="950"/>
      <c r="PRZ141" s="950"/>
      <c r="PSA141" s="950"/>
      <c r="PSB141" s="950"/>
      <c r="PSC141" s="950"/>
      <c r="PSD141" s="950"/>
      <c r="PSE141" s="950"/>
      <c r="PSF141" s="950"/>
      <c r="PSG141" s="950"/>
      <c r="PSH141" s="950"/>
      <c r="PSI141" s="950"/>
      <c r="PSJ141" s="950"/>
      <c r="PSK141" s="950"/>
      <c r="PSL141" s="950"/>
      <c r="PSM141" s="950"/>
      <c r="PSN141" s="950"/>
      <c r="PSO141" s="950"/>
      <c r="PSP141" s="950"/>
      <c r="PSQ141" s="950"/>
      <c r="PSR141" s="950"/>
      <c r="PSS141" s="950"/>
      <c r="PST141" s="950"/>
      <c r="PSU141" s="950"/>
      <c r="PSV141" s="950"/>
      <c r="PSW141" s="950"/>
      <c r="PSX141" s="950"/>
      <c r="PSY141" s="950"/>
      <c r="PSZ141" s="950"/>
      <c r="PTA141" s="950"/>
      <c r="PTB141" s="950"/>
      <c r="PTC141" s="950"/>
      <c r="PTD141" s="950"/>
      <c r="PTE141" s="950"/>
      <c r="PTF141" s="950"/>
      <c r="PTG141" s="950"/>
      <c r="PTH141" s="950"/>
      <c r="PTI141" s="950"/>
      <c r="PTJ141" s="950"/>
      <c r="PTK141" s="950"/>
      <c r="PTL141" s="950"/>
      <c r="PTM141" s="950"/>
      <c r="PTN141" s="950"/>
      <c r="PTO141" s="950"/>
      <c r="PTP141" s="950"/>
      <c r="PTQ141" s="950"/>
      <c r="PTR141" s="950"/>
      <c r="PTS141" s="950"/>
      <c r="PTT141" s="950"/>
      <c r="PTU141" s="950"/>
      <c r="PTV141" s="950"/>
      <c r="PTW141" s="950"/>
      <c r="PTX141" s="950"/>
      <c r="PTY141" s="950"/>
      <c r="PTZ141" s="950"/>
      <c r="PUA141" s="950"/>
      <c r="PUB141" s="950"/>
      <c r="PUC141" s="950"/>
      <c r="PUD141" s="950"/>
      <c r="PUE141" s="950"/>
      <c r="PUF141" s="950"/>
      <c r="PUG141" s="950"/>
      <c r="PUH141" s="950"/>
      <c r="PUI141" s="950"/>
      <c r="PUJ141" s="950"/>
      <c r="PUK141" s="950"/>
      <c r="PUL141" s="950"/>
      <c r="PUM141" s="950"/>
      <c r="PUN141" s="950"/>
      <c r="PUO141" s="950"/>
      <c r="PUP141" s="950"/>
      <c r="PUQ141" s="950"/>
      <c r="PUR141" s="950"/>
      <c r="PUS141" s="950"/>
      <c r="PUT141" s="950"/>
      <c r="PUU141" s="950"/>
      <c r="PUV141" s="950"/>
      <c r="PUW141" s="950"/>
      <c r="PUX141" s="950"/>
      <c r="PUY141" s="950"/>
      <c r="PUZ141" s="950"/>
      <c r="PVA141" s="950"/>
      <c r="PVB141" s="950"/>
      <c r="PVC141" s="950"/>
      <c r="PVD141" s="950"/>
      <c r="PVE141" s="950"/>
      <c r="PVF141" s="950"/>
      <c r="PVG141" s="950"/>
      <c r="PVH141" s="950"/>
      <c r="PVI141" s="950"/>
      <c r="PVJ141" s="950"/>
      <c r="PVK141" s="950"/>
      <c r="PVL141" s="950"/>
      <c r="PVM141" s="950"/>
      <c r="PVN141" s="950"/>
      <c r="PVO141" s="950"/>
      <c r="PVP141" s="950"/>
      <c r="PVQ141" s="950"/>
      <c r="PVR141" s="950"/>
      <c r="PVS141" s="950"/>
      <c r="PVT141" s="950"/>
      <c r="PVU141" s="950"/>
      <c r="PVV141" s="950"/>
      <c r="PVW141" s="950"/>
      <c r="PVX141" s="950"/>
      <c r="PVY141" s="950"/>
      <c r="PVZ141" s="950"/>
      <c r="PWA141" s="950"/>
      <c r="PWB141" s="950"/>
      <c r="PWC141" s="950"/>
      <c r="PWD141" s="950"/>
      <c r="PWE141" s="950"/>
      <c r="PWF141" s="950"/>
      <c r="PWG141" s="950"/>
      <c r="PWH141" s="950"/>
      <c r="PWI141" s="950"/>
      <c r="PWJ141" s="950"/>
      <c r="PWK141" s="950"/>
      <c r="PWL141" s="950"/>
      <c r="PWM141" s="950"/>
      <c r="PWN141" s="950"/>
      <c r="PWO141" s="950"/>
      <c r="PWP141" s="950"/>
      <c r="PWQ141" s="950"/>
      <c r="PWR141" s="950"/>
      <c r="PWS141" s="950"/>
      <c r="PWT141" s="950"/>
      <c r="PWU141" s="950"/>
      <c r="PWV141" s="950"/>
      <c r="PWW141" s="950"/>
      <c r="PWX141" s="950"/>
      <c r="PWY141" s="950"/>
      <c r="PWZ141" s="950"/>
      <c r="PXA141" s="950"/>
      <c r="PXB141" s="950"/>
      <c r="PXC141" s="950"/>
      <c r="PXD141" s="950"/>
      <c r="PXE141" s="950"/>
      <c r="PXF141" s="950"/>
      <c r="PXG141" s="950"/>
      <c r="PXH141" s="950"/>
      <c r="PXI141" s="950"/>
      <c r="PXJ141" s="950"/>
      <c r="PXK141" s="950"/>
      <c r="PXL141" s="950"/>
      <c r="PXM141" s="950"/>
      <c r="PXN141" s="950"/>
      <c r="PXO141" s="950"/>
      <c r="PXP141" s="950"/>
      <c r="PXQ141" s="950"/>
      <c r="PXR141" s="950"/>
      <c r="PXS141" s="950"/>
      <c r="PXT141" s="950"/>
      <c r="PXU141" s="950"/>
      <c r="PXV141" s="950"/>
      <c r="PXW141" s="950"/>
      <c r="PXX141" s="950"/>
      <c r="PXY141" s="950"/>
      <c r="PXZ141" s="950"/>
      <c r="PYA141" s="950"/>
      <c r="PYB141" s="950"/>
      <c r="PYC141" s="950"/>
      <c r="PYD141" s="950"/>
      <c r="PYE141" s="950"/>
      <c r="PYF141" s="950"/>
      <c r="PYG141" s="950"/>
      <c r="PYH141" s="950"/>
      <c r="PYI141" s="950"/>
      <c r="PYJ141" s="950"/>
      <c r="PYK141" s="950"/>
      <c r="PYL141" s="950"/>
      <c r="PYM141" s="950"/>
      <c r="PYN141" s="950"/>
      <c r="PYO141" s="950"/>
      <c r="PYP141" s="950"/>
      <c r="PYQ141" s="950"/>
      <c r="PYR141" s="950"/>
      <c r="PYS141" s="950"/>
      <c r="PYT141" s="950"/>
      <c r="PYU141" s="950"/>
      <c r="PYV141" s="950"/>
      <c r="PYW141" s="950"/>
      <c r="PYX141" s="950"/>
      <c r="PYY141" s="950"/>
      <c r="PYZ141" s="950"/>
      <c r="PZA141" s="950"/>
      <c r="PZB141" s="950"/>
      <c r="PZC141" s="950"/>
      <c r="PZD141" s="950"/>
      <c r="PZE141" s="950"/>
      <c r="PZF141" s="950"/>
      <c r="PZG141" s="950"/>
      <c r="PZH141" s="950"/>
      <c r="PZI141" s="950"/>
      <c r="PZJ141" s="950"/>
      <c r="PZK141" s="950"/>
      <c r="PZL141" s="950"/>
      <c r="PZM141" s="950"/>
      <c r="PZN141" s="950"/>
      <c r="PZO141" s="950"/>
      <c r="PZP141" s="950"/>
      <c r="PZQ141" s="950"/>
      <c r="PZR141" s="950"/>
      <c r="PZS141" s="950"/>
      <c r="PZT141" s="950"/>
      <c r="PZU141" s="950"/>
      <c r="PZV141" s="950"/>
      <c r="PZW141" s="950"/>
      <c r="PZX141" s="950"/>
      <c r="PZY141" s="950"/>
      <c r="PZZ141" s="950"/>
      <c r="QAA141" s="950"/>
      <c r="QAB141" s="950"/>
      <c r="QAC141" s="950"/>
      <c r="QAD141" s="950"/>
      <c r="QAE141" s="950"/>
      <c r="QAF141" s="950"/>
      <c r="QAG141" s="950"/>
      <c r="QAH141" s="950"/>
      <c r="QAI141" s="950"/>
      <c r="QAJ141" s="950"/>
      <c r="QAK141" s="950"/>
      <c r="QAL141" s="950"/>
      <c r="QAM141" s="950"/>
      <c r="QAN141" s="950"/>
      <c r="QAO141" s="950"/>
      <c r="QAP141" s="950"/>
      <c r="QAQ141" s="950"/>
      <c r="QAR141" s="950"/>
      <c r="QAS141" s="950"/>
      <c r="QAT141" s="950"/>
      <c r="QAU141" s="950"/>
      <c r="QAV141" s="950"/>
      <c r="QAW141" s="950"/>
      <c r="QAX141" s="950"/>
      <c r="QAY141" s="950"/>
      <c r="QAZ141" s="950"/>
      <c r="QBA141" s="950"/>
      <c r="QBB141" s="950"/>
      <c r="QBC141" s="950"/>
      <c r="QBD141" s="950"/>
      <c r="QBE141" s="950"/>
      <c r="QBF141" s="950"/>
      <c r="QBG141" s="950"/>
      <c r="QBH141" s="950"/>
      <c r="QBI141" s="950"/>
      <c r="QBJ141" s="950"/>
      <c r="QBK141" s="950"/>
      <c r="QBL141" s="950"/>
      <c r="QBM141" s="950"/>
      <c r="QBN141" s="950"/>
      <c r="QBO141" s="950"/>
      <c r="QBP141" s="950"/>
      <c r="QBQ141" s="950"/>
      <c r="QBR141" s="950"/>
      <c r="QBS141" s="950"/>
      <c r="QBT141" s="950"/>
      <c r="QBU141" s="950"/>
      <c r="QBV141" s="950"/>
      <c r="QBW141" s="950"/>
      <c r="QBX141" s="950"/>
      <c r="QBY141" s="950"/>
      <c r="QBZ141" s="950"/>
      <c r="QCA141" s="950"/>
      <c r="QCB141" s="950"/>
      <c r="QCC141" s="950"/>
      <c r="QCD141" s="950"/>
      <c r="QCE141" s="950"/>
      <c r="QCF141" s="950"/>
      <c r="QCG141" s="950"/>
      <c r="QCH141" s="950"/>
      <c r="QCI141" s="950"/>
      <c r="QCJ141" s="950"/>
      <c r="QCK141" s="950"/>
      <c r="QCL141" s="950"/>
      <c r="QCM141" s="950"/>
      <c r="QCN141" s="950"/>
      <c r="QCO141" s="950"/>
      <c r="QCP141" s="950"/>
      <c r="QCQ141" s="950"/>
      <c r="QCR141" s="950"/>
      <c r="QCS141" s="950"/>
      <c r="QCT141" s="950"/>
      <c r="QCU141" s="950"/>
      <c r="QCV141" s="950"/>
      <c r="QCW141" s="950"/>
      <c r="QCX141" s="950"/>
      <c r="QCY141" s="950"/>
      <c r="QCZ141" s="950"/>
      <c r="QDA141" s="950"/>
      <c r="QDB141" s="950"/>
      <c r="QDC141" s="950"/>
      <c r="QDD141" s="950"/>
      <c r="QDE141" s="950"/>
      <c r="QDF141" s="950"/>
      <c r="QDG141" s="950"/>
      <c r="QDH141" s="950"/>
      <c r="QDI141" s="950"/>
      <c r="QDJ141" s="950"/>
      <c r="QDK141" s="950"/>
      <c r="QDL141" s="950"/>
      <c r="QDM141" s="950"/>
      <c r="QDN141" s="950"/>
      <c r="QDO141" s="950"/>
      <c r="QDP141" s="950"/>
      <c r="QDQ141" s="950"/>
      <c r="QDR141" s="950"/>
      <c r="QDS141" s="950"/>
      <c r="QDT141" s="950"/>
      <c r="QDU141" s="950"/>
      <c r="QDV141" s="950"/>
      <c r="QDW141" s="950"/>
      <c r="QDX141" s="950"/>
      <c r="QDY141" s="950"/>
      <c r="QDZ141" s="950"/>
      <c r="QEA141" s="950"/>
      <c r="QEB141" s="950"/>
      <c r="QEC141" s="950"/>
      <c r="QED141" s="950"/>
      <c r="QEE141" s="950"/>
      <c r="QEF141" s="950"/>
      <c r="QEG141" s="950"/>
      <c r="QEH141" s="950"/>
      <c r="QEI141" s="950"/>
      <c r="QEJ141" s="950"/>
      <c r="QEK141" s="950"/>
      <c r="QEL141" s="950"/>
      <c r="QEM141" s="950"/>
      <c r="QEN141" s="950"/>
      <c r="QEO141" s="950"/>
      <c r="QEP141" s="950"/>
      <c r="QEQ141" s="950"/>
      <c r="QER141" s="950"/>
      <c r="QES141" s="950"/>
      <c r="QET141" s="950"/>
      <c r="QEU141" s="950"/>
      <c r="QEV141" s="950"/>
      <c r="QEW141" s="950"/>
      <c r="QEX141" s="950"/>
      <c r="QEY141" s="950"/>
      <c r="QEZ141" s="950"/>
      <c r="QFA141" s="950"/>
      <c r="QFB141" s="950"/>
      <c r="QFC141" s="950"/>
      <c r="QFD141" s="950"/>
      <c r="QFE141" s="950"/>
      <c r="QFF141" s="950"/>
      <c r="QFG141" s="950"/>
      <c r="QFH141" s="950"/>
      <c r="QFI141" s="950"/>
      <c r="QFJ141" s="950"/>
      <c r="QFK141" s="950"/>
      <c r="QFL141" s="950"/>
      <c r="QFM141" s="950"/>
      <c r="QFN141" s="950"/>
      <c r="QFO141" s="950"/>
      <c r="QFP141" s="950"/>
      <c r="QFQ141" s="950"/>
      <c r="QFR141" s="950"/>
      <c r="QFS141" s="950"/>
      <c r="QFT141" s="950"/>
      <c r="QFU141" s="950"/>
      <c r="QFV141" s="950"/>
      <c r="QFW141" s="950"/>
      <c r="QFX141" s="950"/>
      <c r="QFY141" s="950"/>
      <c r="QFZ141" s="950"/>
      <c r="QGA141" s="950"/>
      <c r="QGB141" s="950"/>
      <c r="QGC141" s="950"/>
      <c r="QGD141" s="950"/>
      <c r="QGE141" s="950"/>
      <c r="QGF141" s="950"/>
      <c r="QGG141" s="950"/>
      <c r="QGH141" s="950"/>
      <c r="QGI141" s="950"/>
      <c r="QGJ141" s="950"/>
      <c r="QGK141" s="950"/>
      <c r="QGL141" s="950"/>
      <c r="QGM141" s="950"/>
      <c r="QGN141" s="950"/>
      <c r="QGO141" s="950"/>
      <c r="QGP141" s="950"/>
      <c r="QGQ141" s="950"/>
      <c r="QGR141" s="950"/>
      <c r="QGS141" s="950"/>
      <c r="QGT141" s="950"/>
      <c r="QGU141" s="950"/>
      <c r="QGV141" s="950"/>
      <c r="QGW141" s="950"/>
      <c r="QGX141" s="950"/>
      <c r="QGY141" s="950"/>
      <c r="QGZ141" s="950"/>
      <c r="QHA141" s="950"/>
      <c r="QHB141" s="950"/>
      <c r="QHC141" s="950"/>
      <c r="QHD141" s="950"/>
      <c r="QHE141" s="950"/>
      <c r="QHF141" s="950"/>
      <c r="QHG141" s="950"/>
      <c r="QHH141" s="950"/>
      <c r="QHI141" s="950"/>
      <c r="QHJ141" s="950"/>
      <c r="QHK141" s="950"/>
      <c r="QHL141" s="950"/>
      <c r="QHM141" s="950"/>
      <c r="QHN141" s="950"/>
      <c r="QHO141" s="950"/>
      <c r="QHP141" s="950"/>
      <c r="QHQ141" s="950"/>
      <c r="QHR141" s="950"/>
      <c r="QHS141" s="950"/>
      <c r="QHT141" s="950"/>
      <c r="QHU141" s="950"/>
      <c r="QHV141" s="950"/>
      <c r="QHW141" s="950"/>
      <c r="QHX141" s="950"/>
      <c r="QHY141" s="950"/>
      <c r="QHZ141" s="950"/>
      <c r="QIA141" s="950"/>
      <c r="QIB141" s="950"/>
      <c r="QIC141" s="950"/>
      <c r="QID141" s="950"/>
      <c r="QIE141" s="950"/>
      <c r="QIF141" s="950"/>
      <c r="QIG141" s="950"/>
      <c r="QIH141" s="950"/>
      <c r="QII141" s="950"/>
      <c r="QIJ141" s="950"/>
      <c r="QIK141" s="950"/>
      <c r="QIL141" s="950"/>
      <c r="QIM141" s="950"/>
      <c r="QIN141" s="950"/>
      <c r="QIO141" s="950"/>
      <c r="QIP141" s="950"/>
      <c r="QIQ141" s="950"/>
      <c r="QIR141" s="950"/>
      <c r="QIS141" s="950"/>
      <c r="QIT141" s="950"/>
      <c r="QIU141" s="950"/>
      <c r="QIV141" s="950"/>
      <c r="QIW141" s="950"/>
      <c r="QIX141" s="950"/>
      <c r="QIY141" s="950"/>
      <c r="QIZ141" s="950"/>
      <c r="QJA141" s="950"/>
      <c r="QJB141" s="950"/>
      <c r="QJC141" s="950"/>
      <c r="QJD141" s="950"/>
      <c r="QJE141" s="950"/>
      <c r="QJF141" s="950"/>
      <c r="QJG141" s="950"/>
      <c r="QJH141" s="950"/>
      <c r="QJI141" s="950"/>
      <c r="QJJ141" s="950"/>
      <c r="QJK141" s="950"/>
      <c r="QJL141" s="950"/>
      <c r="QJM141" s="950"/>
      <c r="QJN141" s="950"/>
      <c r="QJO141" s="950"/>
      <c r="QJP141" s="950"/>
      <c r="QJQ141" s="950"/>
      <c r="QJR141" s="950"/>
      <c r="QJS141" s="950"/>
      <c r="QJT141" s="950"/>
      <c r="QJU141" s="950"/>
      <c r="QJV141" s="950"/>
      <c r="QJW141" s="950"/>
      <c r="QJX141" s="950"/>
      <c r="QJY141" s="950"/>
      <c r="QJZ141" s="950"/>
      <c r="QKA141" s="950"/>
      <c r="QKB141" s="950"/>
      <c r="QKC141" s="950"/>
      <c r="QKD141" s="950"/>
      <c r="QKE141" s="950"/>
      <c r="QKF141" s="950"/>
      <c r="QKG141" s="950"/>
      <c r="QKH141" s="950"/>
      <c r="QKI141" s="950"/>
      <c r="QKJ141" s="950"/>
      <c r="QKK141" s="950"/>
      <c r="QKL141" s="950"/>
      <c r="QKM141" s="950"/>
      <c r="QKN141" s="950"/>
      <c r="QKO141" s="950"/>
      <c r="QKP141" s="950"/>
      <c r="QKQ141" s="950"/>
      <c r="QKR141" s="950"/>
      <c r="QKS141" s="950"/>
      <c r="QKT141" s="950"/>
      <c r="QKU141" s="950"/>
      <c r="QKV141" s="950"/>
      <c r="QKW141" s="950"/>
      <c r="QKX141" s="950"/>
      <c r="QKY141" s="950"/>
      <c r="QKZ141" s="950"/>
      <c r="QLA141" s="950"/>
      <c r="QLB141" s="950"/>
      <c r="QLC141" s="950"/>
      <c r="QLD141" s="950"/>
      <c r="QLE141" s="950"/>
      <c r="QLF141" s="950"/>
      <c r="QLG141" s="950"/>
      <c r="QLH141" s="950"/>
      <c r="QLI141" s="950"/>
      <c r="QLJ141" s="950"/>
      <c r="QLK141" s="950"/>
      <c r="QLL141" s="950"/>
      <c r="QLM141" s="950"/>
      <c r="QLN141" s="950"/>
      <c r="QLO141" s="950"/>
      <c r="QLP141" s="950"/>
      <c r="QLQ141" s="950"/>
      <c r="QLR141" s="950"/>
      <c r="QLS141" s="950"/>
      <c r="QLT141" s="950"/>
      <c r="QLU141" s="950"/>
      <c r="QLV141" s="950"/>
      <c r="QLW141" s="950"/>
      <c r="QLX141" s="950"/>
      <c r="QLY141" s="950"/>
      <c r="QLZ141" s="950"/>
      <c r="QMA141" s="950"/>
      <c r="QMB141" s="950"/>
      <c r="QMC141" s="950"/>
      <c r="QMD141" s="950"/>
      <c r="QME141" s="950"/>
      <c r="QMF141" s="950"/>
      <c r="QMG141" s="950"/>
      <c r="QMH141" s="950"/>
      <c r="QMI141" s="950"/>
      <c r="QMJ141" s="950"/>
      <c r="QMK141" s="950"/>
      <c r="QML141" s="950"/>
      <c r="QMM141" s="950"/>
      <c r="QMN141" s="950"/>
      <c r="QMO141" s="950"/>
      <c r="QMP141" s="950"/>
      <c r="QMQ141" s="950"/>
      <c r="QMR141" s="950"/>
      <c r="QMS141" s="950"/>
      <c r="QMT141" s="950"/>
      <c r="QMU141" s="950"/>
      <c r="QMV141" s="950"/>
      <c r="QMW141" s="950"/>
      <c r="QMX141" s="950"/>
      <c r="QMY141" s="950"/>
      <c r="QMZ141" s="950"/>
      <c r="QNA141" s="950"/>
      <c r="QNB141" s="950"/>
      <c r="QNC141" s="950"/>
      <c r="QND141" s="950"/>
      <c r="QNE141" s="950"/>
      <c r="QNF141" s="950"/>
      <c r="QNG141" s="950"/>
      <c r="QNH141" s="950"/>
      <c r="QNI141" s="950"/>
      <c r="QNJ141" s="950"/>
      <c r="QNK141" s="950"/>
      <c r="QNL141" s="950"/>
      <c r="QNM141" s="950"/>
      <c r="QNN141" s="950"/>
      <c r="QNO141" s="950"/>
      <c r="QNP141" s="950"/>
      <c r="QNQ141" s="950"/>
      <c r="QNR141" s="950"/>
      <c r="QNS141" s="950"/>
      <c r="QNT141" s="950"/>
      <c r="QNU141" s="950"/>
      <c r="QNV141" s="950"/>
      <c r="QNW141" s="950"/>
      <c r="QNX141" s="950"/>
      <c r="QNY141" s="950"/>
      <c r="QNZ141" s="950"/>
      <c r="QOA141" s="950"/>
      <c r="QOB141" s="950"/>
      <c r="QOC141" s="950"/>
      <c r="QOD141" s="950"/>
      <c r="QOE141" s="950"/>
      <c r="QOF141" s="950"/>
      <c r="QOG141" s="950"/>
      <c r="QOH141" s="950"/>
      <c r="QOI141" s="950"/>
      <c r="QOJ141" s="950"/>
      <c r="QOK141" s="950"/>
      <c r="QOL141" s="950"/>
      <c r="QOM141" s="950"/>
      <c r="QON141" s="950"/>
      <c r="QOO141" s="950"/>
      <c r="QOP141" s="950"/>
      <c r="QOQ141" s="950"/>
      <c r="QOR141" s="950"/>
      <c r="QOS141" s="950"/>
      <c r="QOT141" s="950"/>
      <c r="QOU141" s="950"/>
      <c r="QOV141" s="950"/>
      <c r="QOW141" s="950"/>
      <c r="QOX141" s="950"/>
      <c r="QOY141" s="950"/>
      <c r="QOZ141" s="950"/>
      <c r="QPA141" s="950"/>
      <c r="QPB141" s="950"/>
      <c r="QPC141" s="950"/>
      <c r="QPD141" s="950"/>
      <c r="QPE141" s="950"/>
      <c r="QPF141" s="950"/>
      <c r="QPG141" s="950"/>
      <c r="QPH141" s="950"/>
      <c r="QPI141" s="950"/>
      <c r="QPJ141" s="950"/>
      <c r="QPK141" s="950"/>
      <c r="QPL141" s="950"/>
      <c r="QPM141" s="950"/>
      <c r="QPN141" s="950"/>
      <c r="QPO141" s="950"/>
      <c r="QPP141" s="950"/>
      <c r="QPQ141" s="950"/>
      <c r="QPR141" s="950"/>
      <c r="QPS141" s="950"/>
      <c r="QPT141" s="950"/>
      <c r="QPU141" s="950"/>
      <c r="QPV141" s="950"/>
      <c r="QPW141" s="950"/>
      <c r="QPX141" s="950"/>
      <c r="QPY141" s="950"/>
      <c r="QPZ141" s="950"/>
      <c r="QQA141" s="950"/>
      <c r="QQB141" s="950"/>
      <c r="QQC141" s="950"/>
      <c r="QQD141" s="950"/>
      <c r="QQE141" s="950"/>
      <c r="QQF141" s="950"/>
      <c r="QQG141" s="950"/>
      <c r="QQH141" s="950"/>
      <c r="QQI141" s="950"/>
      <c r="QQJ141" s="950"/>
      <c r="QQK141" s="950"/>
      <c r="QQL141" s="950"/>
      <c r="QQM141" s="950"/>
      <c r="QQN141" s="950"/>
      <c r="QQO141" s="950"/>
      <c r="QQP141" s="950"/>
      <c r="QQQ141" s="950"/>
      <c r="QQR141" s="950"/>
      <c r="QQS141" s="950"/>
      <c r="QQT141" s="950"/>
      <c r="QQU141" s="950"/>
      <c r="QQV141" s="950"/>
      <c r="QQW141" s="950"/>
      <c r="QQX141" s="950"/>
      <c r="QQY141" s="950"/>
      <c r="QQZ141" s="950"/>
      <c r="QRA141" s="950"/>
      <c r="QRB141" s="950"/>
      <c r="QRC141" s="950"/>
      <c r="QRD141" s="950"/>
      <c r="QRE141" s="950"/>
      <c r="QRF141" s="950"/>
      <c r="QRG141" s="950"/>
      <c r="QRH141" s="950"/>
      <c r="QRI141" s="950"/>
      <c r="QRJ141" s="950"/>
      <c r="QRK141" s="950"/>
      <c r="QRL141" s="950"/>
      <c r="QRM141" s="950"/>
      <c r="QRN141" s="950"/>
      <c r="QRO141" s="950"/>
      <c r="QRP141" s="950"/>
      <c r="QRQ141" s="950"/>
      <c r="QRR141" s="950"/>
      <c r="QRS141" s="950"/>
      <c r="QRT141" s="950"/>
      <c r="QRU141" s="950"/>
      <c r="QRV141" s="950"/>
      <c r="QRW141" s="950"/>
      <c r="QRX141" s="950"/>
      <c r="QRY141" s="950"/>
      <c r="QRZ141" s="950"/>
      <c r="QSA141" s="950"/>
      <c r="QSB141" s="950"/>
      <c r="QSC141" s="950"/>
      <c r="QSD141" s="950"/>
      <c r="QSE141" s="950"/>
      <c r="QSF141" s="950"/>
      <c r="QSG141" s="950"/>
      <c r="QSH141" s="950"/>
      <c r="QSI141" s="950"/>
      <c r="QSJ141" s="950"/>
      <c r="QSK141" s="950"/>
      <c r="QSL141" s="950"/>
      <c r="QSM141" s="950"/>
      <c r="QSN141" s="950"/>
      <c r="QSO141" s="950"/>
      <c r="QSP141" s="950"/>
      <c r="QSQ141" s="950"/>
      <c r="QSR141" s="950"/>
      <c r="QSS141" s="950"/>
      <c r="QST141" s="950"/>
      <c r="QSU141" s="950"/>
      <c r="QSV141" s="950"/>
      <c r="QSW141" s="950"/>
      <c r="QSX141" s="950"/>
      <c r="QSY141" s="950"/>
      <c r="QSZ141" s="950"/>
      <c r="QTA141" s="950"/>
      <c r="QTB141" s="950"/>
      <c r="QTC141" s="950"/>
      <c r="QTD141" s="950"/>
      <c r="QTE141" s="950"/>
      <c r="QTF141" s="950"/>
      <c r="QTG141" s="950"/>
      <c r="QTH141" s="950"/>
      <c r="QTI141" s="950"/>
      <c r="QTJ141" s="950"/>
      <c r="QTK141" s="950"/>
      <c r="QTL141" s="950"/>
      <c r="QTM141" s="950"/>
      <c r="QTN141" s="950"/>
      <c r="QTO141" s="950"/>
      <c r="QTP141" s="950"/>
      <c r="QTQ141" s="950"/>
      <c r="QTR141" s="950"/>
      <c r="QTS141" s="950"/>
      <c r="QTT141" s="950"/>
      <c r="QTU141" s="950"/>
      <c r="QTV141" s="950"/>
      <c r="QTW141" s="950"/>
      <c r="QTX141" s="950"/>
      <c r="QTY141" s="950"/>
      <c r="QTZ141" s="950"/>
      <c r="QUA141" s="950"/>
      <c r="QUB141" s="950"/>
      <c r="QUC141" s="950"/>
      <c r="QUD141" s="950"/>
      <c r="QUE141" s="950"/>
      <c r="QUF141" s="950"/>
      <c r="QUG141" s="950"/>
      <c r="QUH141" s="950"/>
      <c r="QUI141" s="950"/>
      <c r="QUJ141" s="950"/>
      <c r="QUK141" s="950"/>
      <c r="QUL141" s="950"/>
      <c r="QUM141" s="950"/>
      <c r="QUN141" s="950"/>
      <c r="QUO141" s="950"/>
      <c r="QUP141" s="950"/>
      <c r="QUQ141" s="950"/>
      <c r="QUR141" s="950"/>
      <c r="QUS141" s="950"/>
      <c r="QUT141" s="950"/>
      <c r="QUU141" s="950"/>
      <c r="QUV141" s="950"/>
      <c r="QUW141" s="950"/>
      <c r="QUX141" s="950"/>
      <c r="QUY141" s="950"/>
      <c r="QUZ141" s="950"/>
      <c r="QVA141" s="950"/>
      <c r="QVB141" s="950"/>
      <c r="QVC141" s="950"/>
      <c r="QVD141" s="950"/>
      <c r="QVE141" s="950"/>
      <c r="QVF141" s="950"/>
      <c r="QVG141" s="950"/>
      <c r="QVH141" s="950"/>
      <c r="QVI141" s="950"/>
      <c r="QVJ141" s="950"/>
      <c r="QVK141" s="950"/>
      <c r="QVL141" s="950"/>
      <c r="QVM141" s="950"/>
      <c r="QVN141" s="950"/>
      <c r="QVO141" s="950"/>
      <c r="QVP141" s="950"/>
      <c r="QVQ141" s="950"/>
      <c r="QVR141" s="950"/>
      <c r="QVS141" s="950"/>
      <c r="QVT141" s="950"/>
      <c r="QVU141" s="950"/>
      <c r="QVV141" s="950"/>
      <c r="QVW141" s="950"/>
      <c r="QVX141" s="950"/>
      <c r="QVY141" s="950"/>
      <c r="QVZ141" s="950"/>
      <c r="QWA141" s="950"/>
      <c r="QWB141" s="950"/>
      <c r="QWC141" s="950"/>
      <c r="QWD141" s="950"/>
      <c r="QWE141" s="950"/>
      <c r="QWF141" s="950"/>
      <c r="QWG141" s="950"/>
      <c r="QWH141" s="950"/>
      <c r="QWI141" s="950"/>
      <c r="QWJ141" s="950"/>
      <c r="QWK141" s="950"/>
      <c r="QWL141" s="950"/>
      <c r="QWM141" s="950"/>
      <c r="QWN141" s="950"/>
      <c r="QWO141" s="950"/>
      <c r="QWP141" s="950"/>
      <c r="QWQ141" s="950"/>
      <c r="QWR141" s="950"/>
      <c r="QWS141" s="950"/>
      <c r="QWT141" s="950"/>
      <c r="QWU141" s="950"/>
      <c r="QWV141" s="950"/>
      <c r="QWW141" s="950"/>
      <c r="QWX141" s="950"/>
      <c r="QWY141" s="950"/>
      <c r="QWZ141" s="950"/>
      <c r="QXA141" s="950"/>
      <c r="QXB141" s="950"/>
      <c r="QXC141" s="950"/>
      <c r="QXD141" s="950"/>
      <c r="QXE141" s="950"/>
      <c r="QXF141" s="950"/>
      <c r="QXG141" s="950"/>
      <c r="QXH141" s="950"/>
      <c r="QXI141" s="950"/>
      <c r="QXJ141" s="950"/>
      <c r="QXK141" s="950"/>
      <c r="QXL141" s="950"/>
      <c r="QXM141" s="950"/>
      <c r="QXN141" s="950"/>
      <c r="QXO141" s="950"/>
      <c r="QXP141" s="950"/>
      <c r="QXQ141" s="950"/>
      <c r="QXR141" s="950"/>
      <c r="QXS141" s="950"/>
      <c r="QXT141" s="950"/>
      <c r="QXU141" s="950"/>
      <c r="QXV141" s="950"/>
      <c r="QXW141" s="950"/>
      <c r="QXX141" s="950"/>
      <c r="QXY141" s="950"/>
      <c r="QXZ141" s="950"/>
      <c r="QYA141" s="950"/>
      <c r="QYB141" s="950"/>
      <c r="QYC141" s="950"/>
      <c r="QYD141" s="950"/>
      <c r="QYE141" s="950"/>
      <c r="QYF141" s="950"/>
      <c r="QYG141" s="950"/>
      <c r="QYH141" s="950"/>
      <c r="QYI141" s="950"/>
      <c r="QYJ141" s="950"/>
      <c r="QYK141" s="950"/>
      <c r="QYL141" s="950"/>
      <c r="QYM141" s="950"/>
      <c r="QYN141" s="950"/>
      <c r="QYO141" s="950"/>
      <c r="QYP141" s="950"/>
      <c r="QYQ141" s="950"/>
      <c r="QYR141" s="950"/>
      <c r="QYS141" s="950"/>
      <c r="QYT141" s="950"/>
      <c r="QYU141" s="950"/>
      <c r="QYV141" s="950"/>
      <c r="QYW141" s="950"/>
      <c r="QYX141" s="950"/>
      <c r="QYY141" s="950"/>
      <c r="QYZ141" s="950"/>
      <c r="QZA141" s="950"/>
      <c r="QZB141" s="950"/>
      <c r="QZC141" s="950"/>
      <c r="QZD141" s="950"/>
      <c r="QZE141" s="950"/>
      <c r="QZF141" s="950"/>
      <c r="QZG141" s="950"/>
      <c r="QZH141" s="950"/>
      <c r="QZI141" s="950"/>
      <c r="QZJ141" s="950"/>
      <c r="QZK141" s="950"/>
      <c r="QZL141" s="950"/>
      <c r="QZM141" s="950"/>
      <c r="QZN141" s="950"/>
      <c r="QZO141" s="950"/>
      <c r="QZP141" s="950"/>
      <c r="QZQ141" s="950"/>
      <c r="QZR141" s="950"/>
      <c r="QZS141" s="950"/>
      <c r="QZT141" s="950"/>
      <c r="QZU141" s="950"/>
      <c r="QZV141" s="950"/>
      <c r="QZW141" s="950"/>
      <c r="QZX141" s="950"/>
      <c r="QZY141" s="950"/>
      <c r="QZZ141" s="950"/>
      <c r="RAA141" s="950"/>
      <c r="RAB141" s="950"/>
      <c r="RAC141" s="950"/>
      <c r="RAD141" s="950"/>
      <c r="RAE141" s="950"/>
      <c r="RAF141" s="950"/>
      <c r="RAG141" s="950"/>
      <c r="RAH141" s="950"/>
      <c r="RAI141" s="950"/>
      <c r="RAJ141" s="950"/>
      <c r="RAK141" s="950"/>
      <c r="RAL141" s="950"/>
      <c r="RAM141" s="950"/>
      <c r="RAN141" s="950"/>
      <c r="RAO141" s="950"/>
      <c r="RAP141" s="950"/>
      <c r="RAQ141" s="950"/>
      <c r="RAR141" s="950"/>
      <c r="RAS141" s="950"/>
      <c r="RAT141" s="950"/>
      <c r="RAU141" s="950"/>
      <c r="RAV141" s="950"/>
      <c r="RAW141" s="950"/>
      <c r="RAX141" s="950"/>
      <c r="RAY141" s="950"/>
      <c r="RAZ141" s="950"/>
      <c r="RBA141" s="950"/>
      <c r="RBB141" s="950"/>
      <c r="RBC141" s="950"/>
      <c r="RBD141" s="950"/>
      <c r="RBE141" s="950"/>
      <c r="RBF141" s="950"/>
      <c r="RBG141" s="950"/>
      <c r="RBH141" s="950"/>
      <c r="RBI141" s="950"/>
      <c r="RBJ141" s="950"/>
      <c r="RBK141" s="950"/>
      <c r="RBL141" s="950"/>
      <c r="RBM141" s="950"/>
      <c r="RBN141" s="950"/>
      <c r="RBO141" s="950"/>
      <c r="RBP141" s="950"/>
      <c r="RBQ141" s="950"/>
      <c r="RBR141" s="950"/>
      <c r="RBS141" s="950"/>
      <c r="RBT141" s="950"/>
      <c r="RBU141" s="950"/>
      <c r="RBV141" s="950"/>
      <c r="RBW141" s="950"/>
      <c r="RBX141" s="950"/>
      <c r="RBY141" s="950"/>
      <c r="RBZ141" s="950"/>
      <c r="RCA141" s="950"/>
      <c r="RCB141" s="950"/>
      <c r="RCC141" s="950"/>
      <c r="RCD141" s="950"/>
      <c r="RCE141" s="950"/>
      <c r="RCF141" s="950"/>
      <c r="RCG141" s="950"/>
      <c r="RCH141" s="950"/>
      <c r="RCI141" s="950"/>
      <c r="RCJ141" s="950"/>
      <c r="RCK141" s="950"/>
      <c r="RCL141" s="950"/>
      <c r="RCM141" s="950"/>
      <c r="RCN141" s="950"/>
      <c r="RCO141" s="950"/>
      <c r="RCP141" s="950"/>
      <c r="RCQ141" s="950"/>
      <c r="RCR141" s="950"/>
      <c r="RCS141" s="950"/>
      <c r="RCT141" s="950"/>
      <c r="RCU141" s="950"/>
      <c r="RCV141" s="950"/>
      <c r="RCW141" s="950"/>
      <c r="RCX141" s="950"/>
      <c r="RCY141" s="950"/>
      <c r="RCZ141" s="950"/>
      <c r="RDA141" s="950"/>
      <c r="RDB141" s="950"/>
      <c r="RDC141" s="950"/>
      <c r="RDD141" s="950"/>
      <c r="RDE141" s="950"/>
      <c r="RDF141" s="950"/>
      <c r="RDG141" s="950"/>
      <c r="RDH141" s="950"/>
      <c r="RDI141" s="950"/>
      <c r="RDJ141" s="950"/>
      <c r="RDK141" s="950"/>
      <c r="RDL141" s="950"/>
      <c r="RDM141" s="950"/>
      <c r="RDN141" s="950"/>
      <c r="RDO141" s="950"/>
      <c r="RDP141" s="950"/>
      <c r="RDQ141" s="950"/>
      <c r="RDR141" s="950"/>
      <c r="RDS141" s="950"/>
      <c r="RDT141" s="950"/>
      <c r="RDU141" s="950"/>
      <c r="RDV141" s="950"/>
      <c r="RDW141" s="950"/>
      <c r="RDX141" s="950"/>
      <c r="RDY141" s="950"/>
      <c r="RDZ141" s="950"/>
      <c r="REA141" s="950"/>
      <c r="REB141" s="950"/>
      <c r="REC141" s="950"/>
      <c r="RED141" s="950"/>
      <c r="REE141" s="950"/>
      <c r="REF141" s="950"/>
      <c r="REG141" s="950"/>
      <c r="REH141" s="950"/>
      <c r="REI141" s="950"/>
      <c r="REJ141" s="950"/>
      <c r="REK141" s="950"/>
      <c r="REL141" s="950"/>
      <c r="REM141" s="950"/>
      <c r="REN141" s="950"/>
      <c r="REO141" s="950"/>
      <c r="REP141" s="950"/>
      <c r="REQ141" s="950"/>
      <c r="RER141" s="950"/>
      <c r="RES141" s="950"/>
      <c r="RET141" s="950"/>
      <c r="REU141" s="950"/>
      <c r="REV141" s="950"/>
      <c r="REW141" s="950"/>
      <c r="REX141" s="950"/>
      <c r="REY141" s="950"/>
      <c r="REZ141" s="950"/>
      <c r="RFA141" s="950"/>
      <c r="RFB141" s="950"/>
      <c r="RFC141" s="950"/>
      <c r="RFD141" s="950"/>
      <c r="RFE141" s="950"/>
      <c r="RFF141" s="950"/>
      <c r="RFG141" s="950"/>
      <c r="RFH141" s="950"/>
      <c r="RFI141" s="950"/>
      <c r="RFJ141" s="950"/>
      <c r="RFK141" s="950"/>
      <c r="RFL141" s="950"/>
      <c r="RFM141" s="950"/>
      <c r="RFN141" s="950"/>
      <c r="RFO141" s="950"/>
      <c r="RFP141" s="950"/>
      <c r="RFQ141" s="950"/>
      <c r="RFR141" s="950"/>
      <c r="RFS141" s="950"/>
      <c r="RFT141" s="950"/>
      <c r="RFU141" s="950"/>
      <c r="RFV141" s="950"/>
      <c r="RFW141" s="950"/>
      <c r="RFX141" s="950"/>
      <c r="RFY141" s="950"/>
      <c r="RFZ141" s="950"/>
      <c r="RGA141" s="950"/>
      <c r="RGB141" s="950"/>
      <c r="RGC141" s="950"/>
      <c r="RGD141" s="950"/>
      <c r="RGE141" s="950"/>
      <c r="RGF141" s="950"/>
      <c r="RGG141" s="950"/>
      <c r="RGH141" s="950"/>
      <c r="RGI141" s="950"/>
      <c r="RGJ141" s="950"/>
      <c r="RGK141" s="950"/>
      <c r="RGL141" s="950"/>
      <c r="RGM141" s="950"/>
      <c r="RGN141" s="950"/>
      <c r="RGO141" s="950"/>
      <c r="RGP141" s="950"/>
      <c r="RGQ141" s="950"/>
      <c r="RGR141" s="950"/>
      <c r="RGS141" s="950"/>
      <c r="RGT141" s="950"/>
      <c r="RGU141" s="950"/>
      <c r="RGV141" s="950"/>
      <c r="RGW141" s="950"/>
      <c r="RGX141" s="950"/>
      <c r="RGY141" s="950"/>
      <c r="RGZ141" s="950"/>
      <c r="RHA141" s="950"/>
      <c r="RHB141" s="950"/>
      <c r="RHC141" s="950"/>
      <c r="RHD141" s="950"/>
      <c r="RHE141" s="950"/>
      <c r="RHF141" s="950"/>
      <c r="RHG141" s="950"/>
      <c r="RHH141" s="950"/>
      <c r="RHI141" s="950"/>
      <c r="RHJ141" s="950"/>
      <c r="RHK141" s="950"/>
      <c r="RHL141" s="950"/>
      <c r="RHM141" s="950"/>
      <c r="RHN141" s="950"/>
      <c r="RHO141" s="950"/>
      <c r="RHP141" s="950"/>
      <c r="RHQ141" s="950"/>
      <c r="RHR141" s="950"/>
      <c r="RHS141" s="950"/>
      <c r="RHT141" s="950"/>
      <c r="RHU141" s="950"/>
      <c r="RHV141" s="950"/>
      <c r="RHW141" s="950"/>
      <c r="RHX141" s="950"/>
      <c r="RHY141" s="950"/>
      <c r="RHZ141" s="950"/>
      <c r="RIA141" s="950"/>
      <c r="RIB141" s="950"/>
      <c r="RIC141" s="950"/>
      <c r="RID141" s="950"/>
      <c r="RIE141" s="950"/>
      <c r="RIF141" s="950"/>
      <c r="RIG141" s="950"/>
      <c r="RIH141" s="950"/>
      <c r="RII141" s="950"/>
      <c r="RIJ141" s="950"/>
      <c r="RIK141" s="950"/>
      <c r="RIL141" s="950"/>
      <c r="RIM141" s="950"/>
      <c r="RIN141" s="950"/>
      <c r="RIO141" s="950"/>
      <c r="RIP141" s="950"/>
      <c r="RIQ141" s="950"/>
      <c r="RIR141" s="950"/>
      <c r="RIS141" s="950"/>
      <c r="RIT141" s="950"/>
      <c r="RIU141" s="950"/>
      <c r="RIV141" s="950"/>
      <c r="RIW141" s="950"/>
      <c r="RIX141" s="950"/>
      <c r="RIY141" s="950"/>
      <c r="RIZ141" s="950"/>
      <c r="RJA141" s="950"/>
      <c r="RJB141" s="950"/>
      <c r="RJC141" s="950"/>
      <c r="RJD141" s="950"/>
      <c r="RJE141" s="950"/>
      <c r="RJF141" s="950"/>
      <c r="RJG141" s="950"/>
      <c r="RJH141" s="950"/>
      <c r="RJI141" s="950"/>
      <c r="RJJ141" s="950"/>
      <c r="RJK141" s="950"/>
      <c r="RJL141" s="950"/>
      <c r="RJM141" s="950"/>
      <c r="RJN141" s="950"/>
      <c r="RJO141" s="950"/>
      <c r="RJP141" s="950"/>
      <c r="RJQ141" s="950"/>
      <c r="RJR141" s="950"/>
      <c r="RJS141" s="950"/>
      <c r="RJT141" s="950"/>
      <c r="RJU141" s="950"/>
      <c r="RJV141" s="950"/>
      <c r="RJW141" s="950"/>
      <c r="RJX141" s="950"/>
      <c r="RJY141" s="950"/>
      <c r="RJZ141" s="950"/>
      <c r="RKA141" s="950"/>
      <c r="RKB141" s="950"/>
      <c r="RKC141" s="950"/>
      <c r="RKD141" s="950"/>
      <c r="RKE141" s="950"/>
      <c r="RKF141" s="950"/>
      <c r="RKG141" s="950"/>
      <c r="RKH141" s="950"/>
      <c r="RKI141" s="950"/>
      <c r="RKJ141" s="950"/>
      <c r="RKK141" s="950"/>
      <c r="RKL141" s="950"/>
      <c r="RKM141" s="950"/>
      <c r="RKN141" s="950"/>
      <c r="RKO141" s="950"/>
      <c r="RKP141" s="950"/>
      <c r="RKQ141" s="950"/>
      <c r="RKR141" s="950"/>
      <c r="RKS141" s="950"/>
      <c r="RKT141" s="950"/>
      <c r="RKU141" s="950"/>
      <c r="RKV141" s="950"/>
      <c r="RKW141" s="950"/>
      <c r="RKX141" s="950"/>
      <c r="RKY141" s="950"/>
      <c r="RKZ141" s="950"/>
      <c r="RLA141" s="950"/>
      <c r="RLB141" s="950"/>
      <c r="RLC141" s="950"/>
      <c r="RLD141" s="950"/>
      <c r="RLE141" s="950"/>
      <c r="RLF141" s="950"/>
      <c r="RLG141" s="950"/>
      <c r="RLH141" s="950"/>
      <c r="RLI141" s="950"/>
      <c r="RLJ141" s="950"/>
      <c r="RLK141" s="950"/>
      <c r="RLL141" s="950"/>
      <c r="RLM141" s="950"/>
      <c r="RLN141" s="950"/>
      <c r="RLO141" s="950"/>
      <c r="RLP141" s="950"/>
      <c r="RLQ141" s="950"/>
      <c r="RLR141" s="950"/>
      <c r="RLS141" s="950"/>
      <c r="RLT141" s="950"/>
      <c r="RLU141" s="950"/>
      <c r="RLV141" s="950"/>
      <c r="RLW141" s="950"/>
      <c r="RLX141" s="950"/>
      <c r="RLY141" s="950"/>
      <c r="RLZ141" s="950"/>
      <c r="RMA141" s="950"/>
      <c r="RMB141" s="950"/>
      <c r="RMC141" s="950"/>
      <c r="RMD141" s="950"/>
      <c r="RME141" s="950"/>
      <c r="RMF141" s="950"/>
      <c r="RMG141" s="950"/>
      <c r="RMH141" s="950"/>
      <c r="RMI141" s="950"/>
      <c r="RMJ141" s="950"/>
      <c r="RMK141" s="950"/>
      <c r="RML141" s="950"/>
      <c r="RMM141" s="950"/>
      <c r="RMN141" s="950"/>
      <c r="RMO141" s="950"/>
      <c r="RMP141" s="950"/>
      <c r="RMQ141" s="950"/>
      <c r="RMR141" s="950"/>
      <c r="RMS141" s="950"/>
      <c r="RMT141" s="950"/>
      <c r="RMU141" s="950"/>
      <c r="RMV141" s="950"/>
      <c r="RMW141" s="950"/>
      <c r="RMX141" s="950"/>
      <c r="RMY141" s="950"/>
      <c r="RMZ141" s="950"/>
      <c r="RNA141" s="950"/>
      <c r="RNB141" s="950"/>
      <c r="RNC141" s="950"/>
      <c r="RND141" s="950"/>
      <c r="RNE141" s="950"/>
      <c r="RNF141" s="950"/>
      <c r="RNG141" s="950"/>
      <c r="RNH141" s="950"/>
      <c r="RNI141" s="950"/>
      <c r="RNJ141" s="950"/>
      <c r="RNK141" s="950"/>
      <c r="RNL141" s="950"/>
      <c r="RNM141" s="950"/>
      <c r="RNN141" s="950"/>
      <c r="RNO141" s="950"/>
      <c r="RNP141" s="950"/>
      <c r="RNQ141" s="950"/>
      <c r="RNR141" s="950"/>
      <c r="RNS141" s="950"/>
      <c r="RNT141" s="950"/>
      <c r="RNU141" s="950"/>
      <c r="RNV141" s="950"/>
      <c r="RNW141" s="950"/>
      <c r="RNX141" s="950"/>
      <c r="RNY141" s="950"/>
      <c r="RNZ141" s="950"/>
      <c r="ROA141" s="950"/>
      <c r="ROB141" s="950"/>
      <c r="ROC141" s="950"/>
      <c r="ROD141" s="950"/>
      <c r="ROE141" s="950"/>
      <c r="ROF141" s="950"/>
      <c r="ROG141" s="950"/>
      <c r="ROH141" s="950"/>
      <c r="ROI141" s="950"/>
      <c r="ROJ141" s="950"/>
      <c r="ROK141" s="950"/>
      <c r="ROL141" s="950"/>
      <c r="ROM141" s="950"/>
      <c r="RON141" s="950"/>
      <c r="ROO141" s="950"/>
      <c r="ROP141" s="950"/>
      <c r="ROQ141" s="950"/>
      <c r="ROR141" s="950"/>
      <c r="ROS141" s="950"/>
      <c r="ROT141" s="950"/>
      <c r="ROU141" s="950"/>
      <c r="ROV141" s="950"/>
      <c r="ROW141" s="950"/>
      <c r="ROX141" s="950"/>
      <c r="ROY141" s="950"/>
      <c r="ROZ141" s="950"/>
      <c r="RPA141" s="950"/>
      <c r="RPB141" s="950"/>
      <c r="RPC141" s="950"/>
      <c r="RPD141" s="950"/>
      <c r="RPE141" s="950"/>
      <c r="RPF141" s="950"/>
      <c r="RPG141" s="950"/>
      <c r="RPH141" s="950"/>
      <c r="RPI141" s="950"/>
      <c r="RPJ141" s="950"/>
      <c r="RPK141" s="950"/>
      <c r="RPL141" s="950"/>
      <c r="RPM141" s="950"/>
      <c r="RPN141" s="950"/>
      <c r="RPO141" s="950"/>
      <c r="RPP141" s="950"/>
      <c r="RPQ141" s="950"/>
      <c r="RPR141" s="950"/>
      <c r="RPS141" s="950"/>
      <c r="RPT141" s="950"/>
      <c r="RPU141" s="950"/>
      <c r="RPV141" s="950"/>
      <c r="RPW141" s="950"/>
      <c r="RPX141" s="950"/>
      <c r="RPY141" s="950"/>
      <c r="RPZ141" s="950"/>
      <c r="RQA141" s="950"/>
      <c r="RQB141" s="950"/>
      <c r="RQC141" s="950"/>
      <c r="RQD141" s="950"/>
      <c r="RQE141" s="950"/>
      <c r="RQF141" s="950"/>
      <c r="RQG141" s="950"/>
      <c r="RQH141" s="950"/>
      <c r="RQI141" s="950"/>
      <c r="RQJ141" s="950"/>
      <c r="RQK141" s="950"/>
      <c r="RQL141" s="950"/>
      <c r="RQM141" s="950"/>
      <c r="RQN141" s="950"/>
      <c r="RQO141" s="950"/>
      <c r="RQP141" s="950"/>
      <c r="RQQ141" s="950"/>
      <c r="RQR141" s="950"/>
      <c r="RQS141" s="950"/>
      <c r="RQT141" s="950"/>
      <c r="RQU141" s="950"/>
      <c r="RQV141" s="950"/>
      <c r="RQW141" s="950"/>
      <c r="RQX141" s="950"/>
      <c r="RQY141" s="950"/>
      <c r="RQZ141" s="950"/>
      <c r="RRA141" s="950"/>
      <c r="RRB141" s="950"/>
      <c r="RRC141" s="950"/>
      <c r="RRD141" s="950"/>
      <c r="RRE141" s="950"/>
      <c r="RRF141" s="950"/>
      <c r="RRG141" s="950"/>
      <c r="RRH141" s="950"/>
      <c r="RRI141" s="950"/>
      <c r="RRJ141" s="950"/>
      <c r="RRK141" s="950"/>
      <c r="RRL141" s="950"/>
      <c r="RRM141" s="950"/>
      <c r="RRN141" s="950"/>
      <c r="RRO141" s="950"/>
      <c r="RRP141" s="950"/>
      <c r="RRQ141" s="950"/>
      <c r="RRR141" s="950"/>
      <c r="RRS141" s="950"/>
      <c r="RRT141" s="950"/>
      <c r="RRU141" s="950"/>
      <c r="RRV141" s="950"/>
      <c r="RRW141" s="950"/>
      <c r="RRX141" s="950"/>
      <c r="RRY141" s="950"/>
      <c r="RRZ141" s="950"/>
      <c r="RSA141" s="950"/>
      <c r="RSB141" s="950"/>
      <c r="RSC141" s="950"/>
      <c r="RSD141" s="950"/>
      <c r="RSE141" s="950"/>
      <c r="RSF141" s="950"/>
      <c r="RSG141" s="950"/>
      <c r="RSH141" s="950"/>
      <c r="RSI141" s="950"/>
      <c r="RSJ141" s="950"/>
      <c r="RSK141" s="950"/>
      <c r="RSL141" s="950"/>
      <c r="RSM141" s="950"/>
      <c r="RSN141" s="950"/>
      <c r="RSO141" s="950"/>
      <c r="RSP141" s="950"/>
      <c r="RSQ141" s="950"/>
      <c r="RSR141" s="950"/>
      <c r="RSS141" s="950"/>
      <c r="RST141" s="950"/>
      <c r="RSU141" s="950"/>
      <c r="RSV141" s="950"/>
      <c r="RSW141" s="950"/>
      <c r="RSX141" s="950"/>
      <c r="RSY141" s="950"/>
      <c r="RSZ141" s="950"/>
      <c r="RTA141" s="950"/>
      <c r="RTB141" s="950"/>
      <c r="RTC141" s="950"/>
      <c r="RTD141" s="950"/>
      <c r="RTE141" s="950"/>
      <c r="RTF141" s="950"/>
      <c r="RTG141" s="950"/>
      <c r="RTH141" s="950"/>
      <c r="RTI141" s="950"/>
      <c r="RTJ141" s="950"/>
      <c r="RTK141" s="950"/>
      <c r="RTL141" s="950"/>
      <c r="RTM141" s="950"/>
      <c r="RTN141" s="950"/>
      <c r="RTO141" s="950"/>
      <c r="RTP141" s="950"/>
      <c r="RTQ141" s="950"/>
      <c r="RTR141" s="950"/>
      <c r="RTS141" s="950"/>
      <c r="RTT141" s="950"/>
      <c r="RTU141" s="950"/>
      <c r="RTV141" s="950"/>
      <c r="RTW141" s="950"/>
      <c r="RTX141" s="950"/>
      <c r="RTY141" s="950"/>
      <c r="RTZ141" s="950"/>
      <c r="RUA141" s="950"/>
      <c r="RUB141" s="950"/>
      <c r="RUC141" s="950"/>
      <c r="RUD141" s="950"/>
      <c r="RUE141" s="950"/>
      <c r="RUF141" s="950"/>
      <c r="RUG141" s="950"/>
      <c r="RUH141" s="950"/>
      <c r="RUI141" s="950"/>
      <c r="RUJ141" s="950"/>
      <c r="RUK141" s="950"/>
      <c r="RUL141" s="950"/>
      <c r="RUM141" s="950"/>
      <c r="RUN141" s="950"/>
      <c r="RUO141" s="950"/>
      <c r="RUP141" s="950"/>
      <c r="RUQ141" s="950"/>
      <c r="RUR141" s="950"/>
      <c r="RUS141" s="950"/>
      <c r="RUT141" s="950"/>
      <c r="RUU141" s="950"/>
      <c r="RUV141" s="950"/>
      <c r="RUW141" s="950"/>
      <c r="RUX141" s="950"/>
      <c r="RUY141" s="950"/>
      <c r="RUZ141" s="950"/>
      <c r="RVA141" s="950"/>
      <c r="RVB141" s="950"/>
      <c r="RVC141" s="950"/>
      <c r="RVD141" s="950"/>
      <c r="RVE141" s="950"/>
      <c r="RVF141" s="950"/>
      <c r="RVG141" s="950"/>
      <c r="RVH141" s="950"/>
      <c r="RVI141" s="950"/>
      <c r="RVJ141" s="950"/>
      <c r="RVK141" s="950"/>
      <c r="RVL141" s="950"/>
      <c r="RVM141" s="950"/>
      <c r="RVN141" s="950"/>
      <c r="RVO141" s="950"/>
      <c r="RVP141" s="950"/>
      <c r="RVQ141" s="950"/>
      <c r="RVR141" s="950"/>
      <c r="RVS141" s="950"/>
      <c r="RVT141" s="950"/>
      <c r="RVU141" s="950"/>
      <c r="RVV141" s="950"/>
      <c r="RVW141" s="950"/>
      <c r="RVX141" s="950"/>
      <c r="RVY141" s="950"/>
      <c r="RVZ141" s="950"/>
      <c r="RWA141" s="950"/>
      <c r="RWB141" s="950"/>
      <c r="RWC141" s="950"/>
      <c r="RWD141" s="950"/>
      <c r="RWE141" s="950"/>
      <c r="RWF141" s="950"/>
      <c r="RWG141" s="950"/>
      <c r="RWH141" s="950"/>
      <c r="RWI141" s="950"/>
      <c r="RWJ141" s="950"/>
      <c r="RWK141" s="950"/>
      <c r="RWL141" s="950"/>
      <c r="RWM141" s="950"/>
      <c r="RWN141" s="950"/>
      <c r="RWO141" s="950"/>
      <c r="RWP141" s="950"/>
      <c r="RWQ141" s="950"/>
      <c r="RWR141" s="950"/>
      <c r="RWS141" s="950"/>
      <c r="RWT141" s="950"/>
      <c r="RWU141" s="950"/>
      <c r="RWV141" s="950"/>
      <c r="RWW141" s="950"/>
      <c r="RWX141" s="950"/>
      <c r="RWY141" s="950"/>
      <c r="RWZ141" s="950"/>
      <c r="RXA141" s="950"/>
      <c r="RXB141" s="950"/>
      <c r="RXC141" s="950"/>
      <c r="RXD141" s="950"/>
      <c r="RXE141" s="950"/>
      <c r="RXF141" s="950"/>
      <c r="RXG141" s="950"/>
      <c r="RXH141" s="950"/>
      <c r="RXI141" s="950"/>
      <c r="RXJ141" s="950"/>
      <c r="RXK141" s="950"/>
      <c r="RXL141" s="950"/>
      <c r="RXM141" s="950"/>
      <c r="RXN141" s="950"/>
      <c r="RXO141" s="950"/>
      <c r="RXP141" s="950"/>
      <c r="RXQ141" s="950"/>
      <c r="RXR141" s="950"/>
      <c r="RXS141" s="950"/>
      <c r="RXT141" s="950"/>
      <c r="RXU141" s="950"/>
      <c r="RXV141" s="950"/>
      <c r="RXW141" s="950"/>
      <c r="RXX141" s="950"/>
      <c r="RXY141" s="950"/>
      <c r="RXZ141" s="950"/>
      <c r="RYA141" s="950"/>
      <c r="RYB141" s="950"/>
      <c r="RYC141" s="950"/>
      <c r="RYD141" s="950"/>
      <c r="RYE141" s="950"/>
      <c r="RYF141" s="950"/>
      <c r="RYG141" s="950"/>
      <c r="RYH141" s="950"/>
      <c r="RYI141" s="950"/>
      <c r="RYJ141" s="950"/>
      <c r="RYK141" s="950"/>
      <c r="RYL141" s="950"/>
      <c r="RYM141" s="950"/>
      <c r="RYN141" s="950"/>
      <c r="RYO141" s="950"/>
      <c r="RYP141" s="950"/>
      <c r="RYQ141" s="950"/>
      <c r="RYR141" s="950"/>
      <c r="RYS141" s="950"/>
      <c r="RYT141" s="950"/>
      <c r="RYU141" s="950"/>
      <c r="RYV141" s="950"/>
      <c r="RYW141" s="950"/>
      <c r="RYX141" s="950"/>
      <c r="RYY141" s="950"/>
      <c r="RYZ141" s="950"/>
      <c r="RZA141" s="950"/>
      <c r="RZB141" s="950"/>
      <c r="RZC141" s="950"/>
      <c r="RZD141" s="950"/>
      <c r="RZE141" s="950"/>
      <c r="RZF141" s="950"/>
      <c r="RZG141" s="950"/>
      <c r="RZH141" s="950"/>
      <c r="RZI141" s="950"/>
      <c r="RZJ141" s="950"/>
      <c r="RZK141" s="950"/>
      <c r="RZL141" s="950"/>
      <c r="RZM141" s="950"/>
      <c r="RZN141" s="950"/>
      <c r="RZO141" s="950"/>
      <c r="RZP141" s="950"/>
      <c r="RZQ141" s="950"/>
      <c r="RZR141" s="950"/>
      <c r="RZS141" s="950"/>
      <c r="RZT141" s="950"/>
      <c r="RZU141" s="950"/>
      <c r="RZV141" s="950"/>
      <c r="RZW141" s="950"/>
      <c r="RZX141" s="950"/>
      <c r="RZY141" s="950"/>
      <c r="RZZ141" s="950"/>
      <c r="SAA141" s="950"/>
      <c r="SAB141" s="950"/>
      <c r="SAC141" s="950"/>
      <c r="SAD141" s="950"/>
      <c r="SAE141" s="950"/>
      <c r="SAF141" s="950"/>
      <c r="SAG141" s="950"/>
      <c r="SAH141" s="950"/>
      <c r="SAI141" s="950"/>
      <c r="SAJ141" s="950"/>
      <c r="SAK141" s="950"/>
      <c r="SAL141" s="950"/>
      <c r="SAM141" s="950"/>
      <c r="SAN141" s="950"/>
      <c r="SAO141" s="950"/>
      <c r="SAP141" s="950"/>
      <c r="SAQ141" s="950"/>
      <c r="SAR141" s="950"/>
      <c r="SAS141" s="950"/>
      <c r="SAT141" s="950"/>
      <c r="SAU141" s="950"/>
      <c r="SAV141" s="950"/>
      <c r="SAW141" s="950"/>
      <c r="SAX141" s="950"/>
      <c r="SAY141" s="950"/>
      <c r="SAZ141" s="950"/>
      <c r="SBA141" s="950"/>
      <c r="SBB141" s="950"/>
      <c r="SBC141" s="950"/>
      <c r="SBD141" s="950"/>
      <c r="SBE141" s="950"/>
      <c r="SBF141" s="950"/>
      <c r="SBG141" s="950"/>
      <c r="SBH141" s="950"/>
      <c r="SBI141" s="950"/>
      <c r="SBJ141" s="950"/>
      <c r="SBK141" s="950"/>
      <c r="SBL141" s="950"/>
      <c r="SBM141" s="950"/>
      <c r="SBN141" s="950"/>
      <c r="SBO141" s="950"/>
      <c r="SBP141" s="950"/>
      <c r="SBQ141" s="950"/>
      <c r="SBR141" s="950"/>
      <c r="SBS141" s="950"/>
      <c r="SBT141" s="950"/>
      <c r="SBU141" s="950"/>
      <c r="SBV141" s="950"/>
      <c r="SBW141" s="950"/>
      <c r="SBX141" s="950"/>
      <c r="SBY141" s="950"/>
      <c r="SBZ141" s="950"/>
      <c r="SCA141" s="950"/>
      <c r="SCB141" s="950"/>
      <c r="SCC141" s="950"/>
      <c r="SCD141" s="950"/>
      <c r="SCE141" s="950"/>
      <c r="SCF141" s="950"/>
      <c r="SCG141" s="950"/>
      <c r="SCH141" s="950"/>
      <c r="SCI141" s="950"/>
      <c r="SCJ141" s="950"/>
      <c r="SCK141" s="950"/>
      <c r="SCL141" s="950"/>
      <c r="SCM141" s="950"/>
      <c r="SCN141" s="950"/>
      <c r="SCO141" s="950"/>
      <c r="SCP141" s="950"/>
      <c r="SCQ141" s="950"/>
      <c r="SCR141" s="950"/>
      <c r="SCS141" s="950"/>
      <c r="SCT141" s="950"/>
      <c r="SCU141" s="950"/>
      <c r="SCV141" s="950"/>
      <c r="SCW141" s="950"/>
      <c r="SCX141" s="950"/>
      <c r="SCY141" s="950"/>
      <c r="SCZ141" s="950"/>
      <c r="SDA141" s="950"/>
      <c r="SDB141" s="950"/>
      <c r="SDC141" s="950"/>
      <c r="SDD141" s="950"/>
      <c r="SDE141" s="950"/>
      <c r="SDF141" s="950"/>
      <c r="SDG141" s="950"/>
      <c r="SDH141" s="950"/>
      <c r="SDI141" s="950"/>
      <c r="SDJ141" s="950"/>
      <c r="SDK141" s="950"/>
      <c r="SDL141" s="950"/>
      <c r="SDM141" s="950"/>
      <c r="SDN141" s="950"/>
      <c r="SDO141" s="950"/>
      <c r="SDP141" s="950"/>
      <c r="SDQ141" s="950"/>
      <c r="SDR141" s="950"/>
      <c r="SDS141" s="950"/>
      <c r="SDT141" s="950"/>
      <c r="SDU141" s="950"/>
      <c r="SDV141" s="950"/>
      <c r="SDW141" s="950"/>
      <c r="SDX141" s="950"/>
      <c r="SDY141" s="950"/>
      <c r="SDZ141" s="950"/>
      <c r="SEA141" s="950"/>
      <c r="SEB141" s="950"/>
      <c r="SEC141" s="950"/>
      <c r="SED141" s="950"/>
      <c r="SEE141" s="950"/>
      <c r="SEF141" s="950"/>
      <c r="SEG141" s="950"/>
      <c r="SEH141" s="950"/>
      <c r="SEI141" s="950"/>
      <c r="SEJ141" s="950"/>
      <c r="SEK141" s="950"/>
      <c r="SEL141" s="950"/>
      <c r="SEM141" s="950"/>
      <c r="SEN141" s="950"/>
      <c r="SEO141" s="950"/>
      <c r="SEP141" s="950"/>
      <c r="SEQ141" s="950"/>
      <c r="SER141" s="950"/>
      <c r="SES141" s="950"/>
      <c r="SET141" s="950"/>
      <c r="SEU141" s="950"/>
      <c r="SEV141" s="950"/>
      <c r="SEW141" s="950"/>
      <c r="SEX141" s="950"/>
      <c r="SEY141" s="950"/>
      <c r="SEZ141" s="950"/>
      <c r="SFA141" s="950"/>
      <c r="SFB141" s="950"/>
      <c r="SFC141" s="950"/>
      <c r="SFD141" s="950"/>
      <c r="SFE141" s="950"/>
      <c r="SFF141" s="950"/>
      <c r="SFG141" s="950"/>
      <c r="SFH141" s="950"/>
      <c r="SFI141" s="950"/>
      <c r="SFJ141" s="950"/>
      <c r="SFK141" s="950"/>
      <c r="SFL141" s="950"/>
      <c r="SFM141" s="950"/>
      <c r="SFN141" s="950"/>
      <c r="SFO141" s="950"/>
      <c r="SFP141" s="950"/>
      <c r="SFQ141" s="950"/>
      <c r="SFR141" s="950"/>
      <c r="SFS141" s="950"/>
      <c r="SFT141" s="950"/>
      <c r="SFU141" s="950"/>
      <c r="SFV141" s="950"/>
      <c r="SFW141" s="950"/>
      <c r="SFX141" s="950"/>
      <c r="SFY141" s="950"/>
      <c r="SFZ141" s="950"/>
      <c r="SGA141" s="950"/>
      <c r="SGB141" s="950"/>
      <c r="SGC141" s="950"/>
      <c r="SGD141" s="950"/>
      <c r="SGE141" s="950"/>
      <c r="SGF141" s="950"/>
      <c r="SGG141" s="950"/>
      <c r="SGH141" s="950"/>
      <c r="SGI141" s="950"/>
      <c r="SGJ141" s="950"/>
      <c r="SGK141" s="950"/>
      <c r="SGL141" s="950"/>
      <c r="SGM141" s="950"/>
      <c r="SGN141" s="950"/>
      <c r="SGO141" s="950"/>
      <c r="SGP141" s="950"/>
      <c r="SGQ141" s="950"/>
      <c r="SGR141" s="950"/>
      <c r="SGS141" s="950"/>
      <c r="SGT141" s="950"/>
      <c r="SGU141" s="950"/>
      <c r="SGV141" s="950"/>
      <c r="SGW141" s="950"/>
      <c r="SGX141" s="950"/>
      <c r="SGY141" s="950"/>
      <c r="SGZ141" s="950"/>
      <c r="SHA141" s="950"/>
      <c r="SHB141" s="950"/>
      <c r="SHC141" s="950"/>
      <c r="SHD141" s="950"/>
      <c r="SHE141" s="950"/>
      <c r="SHF141" s="950"/>
      <c r="SHG141" s="950"/>
      <c r="SHH141" s="950"/>
      <c r="SHI141" s="950"/>
      <c r="SHJ141" s="950"/>
      <c r="SHK141" s="950"/>
      <c r="SHL141" s="950"/>
      <c r="SHM141" s="950"/>
      <c r="SHN141" s="950"/>
      <c r="SHO141" s="950"/>
      <c r="SHP141" s="950"/>
      <c r="SHQ141" s="950"/>
      <c r="SHR141" s="950"/>
      <c r="SHS141" s="950"/>
      <c r="SHT141" s="950"/>
      <c r="SHU141" s="950"/>
      <c r="SHV141" s="950"/>
      <c r="SHW141" s="950"/>
      <c r="SHX141" s="950"/>
      <c r="SHY141" s="950"/>
      <c r="SHZ141" s="950"/>
      <c r="SIA141" s="950"/>
      <c r="SIB141" s="950"/>
      <c r="SIC141" s="950"/>
      <c r="SID141" s="950"/>
      <c r="SIE141" s="950"/>
      <c r="SIF141" s="950"/>
      <c r="SIG141" s="950"/>
      <c r="SIH141" s="950"/>
      <c r="SII141" s="950"/>
      <c r="SIJ141" s="950"/>
      <c r="SIK141" s="950"/>
      <c r="SIL141" s="950"/>
      <c r="SIM141" s="950"/>
      <c r="SIN141" s="950"/>
      <c r="SIO141" s="950"/>
      <c r="SIP141" s="950"/>
      <c r="SIQ141" s="950"/>
      <c r="SIR141" s="950"/>
      <c r="SIS141" s="950"/>
      <c r="SIT141" s="950"/>
      <c r="SIU141" s="950"/>
      <c r="SIV141" s="950"/>
      <c r="SIW141" s="950"/>
      <c r="SIX141" s="950"/>
      <c r="SIY141" s="950"/>
      <c r="SIZ141" s="950"/>
      <c r="SJA141" s="950"/>
      <c r="SJB141" s="950"/>
      <c r="SJC141" s="950"/>
      <c r="SJD141" s="950"/>
      <c r="SJE141" s="950"/>
      <c r="SJF141" s="950"/>
      <c r="SJG141" s="950"/>
      <c r="SJH141" s="950"/>
      <c r="SJI141" s="950"/>
      <c r="SJJ141" s="950"/>
      <c r="SJK141" s="950"/>
      <c r="SJL141" s="950"/>
      <c r="SJM141" s="950"/>
      <c r="SJN141" s="950"/>
      <c r="SJO141" s="950"/>
      <c r="SJP141" s="950"/>
      <c r="SJQ141" s="950"/>
      <c r="SJR141" s="950"/>
      <c r="SJS141" s="950"/>
      <c r="SJT141" s="950"/>
      <c r="SJU141" s="950"/>
      <c r="SJV141" s="950"/>
      <c r="SJW141" s="950"/>
      <c r="SJX141" s="950"/>
      <c r="SJY141" s="950"/>
      <c r="SJZ141" s="950"/>
      <c r="SKA141" s="950"/>
      <c r="SKB141" s="950"/>
      <c r="SKC141" s="950"/>
      <c r="SKD141" s="950"/>
      <c r="SKE141" s="950"/>
      <c r="SKF141" s="950"/>
      <c r="SKG141" s="950"/>
      <c r="SKH141" s="950"/>
      <c r="SKI141" s="950"/>
      <c r="SKJ141" s="950"/>
      <c r="SKK141" s="950"/>
      <c r="SKL141" s="950"/>
      <c r="SKM141" s="950"/>
      <c r="SKN141" s="950"/>
      <c r="SKO141" s="950"/>
      <c r="SKP141" s="950"/>
      <c r="SKQ141" s="950"/>
      <c r="SKR141" s="950"/>
      <c r="SKS141" s="950"/>
      <c r="SKT141" s="950"/>
      <c r="SKU141" s="950"/>
      <c r="SKV141" s="950"/>
      <c r="SKW141" s="950"/>
      <c r="SKX141" s="950"/>
      <c r="SKY141" s="950"/>
      <c r="SKZ141" s="950"/>
      <c r="SLA141" s="950"/>
      <c r="SLB141" s="950"/>
      <c r="SLC141" s="950"/>
      <c r="SLD141" s="950"/>
      <c r="SLE141" s="950"/>
      <c r="SLF141" s="950"/>
      <c r="SLG141" s="950"/>
      <c r="SLH141" s="950"/>
      <c r="SLI141" s="950"/>
      <c r="SLJ141" s="950"/>
      <c r="SLK141" s="950"/>
      <c r="SLL141" s="950"/>
      <c r="SLM141" s="950"/>
      <c r="SLN141" s="950"/>
      <c r="SLO141" s="950"/>
      <c r="SLP141" s="950"/>
      <c r="SLQ141" s="950"/>
      <c r="SLR141" s="950"/>
      <c r="SLS141" s="950"/>
      <c r="SLT141" s="950"/>
      <c r="SLU141" s="950"/>
      <c r="SLV141" s="950"/>
      <c r="SLW141" s="950"/>
      <c r="SLX141" s="950"/>
      <c r="SLY141" s="950"/>
      <c r="SLZ141" s="950"/>
      <c r="SMA141" s="950"/>
      <c r="SMB141" s="950"/>
      <c r="SMC141" s="950"/>
      <c r="SMD141" s="950"/>
      <c r="SME141" s="950"/>
      <c r="SMF141" s="950"/>
      <c r="SMG141" s="950"/>
      <c r="SMH141" s="950"/>
      <c r="SMI141" s="950"/>
      <c r="SMJ141" s="950"/>
      <c r="SMK141" s="950"/>
      <c r="SML141" s="950"/>
      <c r="SMM141" s="950"/>
      <c r="SMN141" s="950"/>
      <c r="SMO141" s="950"/>
      <c r="SMP141" s="950"/>
      <c r="SMQ141" s="950"/>
      <c r="SMR141" s="950"/>
      <c r="SMS141" s="950"/>
      <c r="SMT141" s="950"/>
      <c r="SMU141" s="950"/>
      <c r="SMV141" s="950"/>
      <c r="SMW141" s="950"/>
      <c r="SMX141" s="950"/>
      <c r="SMY141" s="950"/>
      <c r="SMZ141" s="950"/>
      <c r="SNA141" s="950"/>
      <c r="SNB141" s="950"/>
      <c r="SNC141" s="950"/>
      <c r="SND141" s="950"/>
      <c r="SNE141" s="950"/>
      <c r="SNF141" s="950"/>
      <c r="SNG141" s="950"/>
      <c r="SNH141" s="950"/>
      <c r="SNI141" s="950"/>
      <c r="SNJ141" s="950"/>
      <c r="SNK141" s="950"/>
      <c r="SNL141" s="950"/>
      <c r="SNM141" s="950"/>
      <c r="SNN141" s="950"/>
      <c r="SNO141" s="950"/>
      <c r="SNP141" s="950"/>
      <c r="SNQ141" s="950"/>
      <c r="SNR141" s="950"/>
      <c r="SNS141" s="950"/>
      <c r="SNT141" s="950"/>
      <c r="SNU141" s="950"/>
      <c r="SNV141" s="950"/>
      <c r="SNW141" s="950"/>
      <c r="SNX141" s="950"/>
      <c r="SNY141" s="950"/>
      <c r="SNZ141" s="950"/>
      <c r="SOA141" s="950"/>
      <c r="SOB141" s="950"/>
      <c r="SOC141" s="950"/>
      <c r="SOD141" s="950"/>
      <c r="SOE141" s="950"/>
      <c r="SOF141" s="950"/>
      <c r="SOG141" s="950"/>
      <c r="SOH141" s="950"/>
      <c r="SOI141" s="950"/>
      <c r="SOJ141" s="950"/>
      <c r="SOK141" s="950"/>
      <c r="SOL141" s="950"/>
      <c r="SOM141" s="950"/>
      <c r="SON141" s="950"/>
      <c r="SOO141" s="950"/>
      <c r="SOP141" s="950"/>
      <c r="SOQ141" s="950"/>
      <c r="SOR141" s="950"/>
      <c r="SOS141" s="950"/>
      <c r="SOT141" s="950"/>
      <c r="SOU141" s="950"/>
      <c r="SOV141" s="950"/>
      <c r="SOW141" s="950"/>
      <c r="SOX141" s="950"/>
      <c r="SOY141" s="950"/>
      <c r="SOZ141" s="950"/>
      <c r="SPA141" s="950"/>
      <c r="SPB141" s="950"/>
      <c r="SPC141" s="950"/>
      <c r="SPD141" s="950"/>
      <c r="SPE141" s="950"/>
      <c r="SPF141" s="950"/>
      <c r="SPG141" s="950"/>
      <c r="SPH141" s="950"/>
      <c r="SPI141" s="950"/>
      <c r="SPJ141" s="950"/>
      <c r="SPK141" s="950"/>
      <c r="SPL141" s="950"/>
      <c r="SPM141" s="950"/>
      <c r="SPN141" s="950"/>
      <c r="SPO141" s="950"/>
      <c r="SPP141" s="950"/>
      <c r="SPQ141" s="950"/>
      <c r="SPR141" s="950"/>
      <c r="SPS141" s="950"/>
      <c r="SPT141" s="950"/>
      <c r="SPU141" s="950"/>
      <c r="SPV141" s="950"/>
      <c r="SPW141" s="950"/>
      <c r="SPX141" s="950"/>
      <c r="SPY141" s="950"/>
      <c r="SPZ141" s="950"/>
      <c r="SQA141" s="950"/>
      <c r="SQB141" s="950"/>
      <c r="SQC141" s="950"/>
      <c r="SQD141" s="950"/>
      <c r="SQE141" s="950"/>
      <c r="SQF141" s="950"/>
      <c r="SQG141" s="950"/>
      <c r="SQH141" s="950"/>
      <c r="SQI141" s="950"/>
      <c r="SQJ141" s="950"/>
      <c r="SQK141" s="950"/>
      <c r="SQL141" s="950"/>
      <c r="SQM141" s="950"/>
      <c r="SQN141" s="950"/>
      <c r="SQO141" s="950"/>
      <c r="SQP141" s="950"/>
      <c r="SQQ141" s="950"/>
      <c r="SQR141" s="950"/>
      <c r="SQS141" s="950"/>
      <c r="SQT141" s="950"/>
      <c r="SQU141" s="950"/>
      <c r="SQV141" s="950"/>
      <c r="SQW141" s="950"/>
      <c r="SQX141" s="950"/>
      <c r="SQY141" s="950"/>
      <c r="SQZ141" s="950"/>
      <c r="SRA141" s="950"/>
      <c r="SRB141" s="950"/>
      <c r="SRC141" s="950"/>
      <c r="SRD141" s="950"/>
      <c r="SRE141" s="950"/>
      <c r="SRF141" s="950"/>
      <c r="SRG141" s="950"/>
      <c r="SRH141" s="950"/>
      <c r="SRI141" s="950"/>
      <c r="SRJ141" s="950"/>
      <c r="SRK141" s="950"/>
      <c r="SRL141" s="950"/>
      <c r="SRM141" s="950"/>
      <c r="SRN141" s="950"/>
      <c r="SRO141" s="950"/>
      <c r="SRP141" s="950"/>
      <c r="SRQ141" s="950"/>
      <c r="SRR141" s="950"/>
      <c r="SRS141" s="950"/>
      <c r="SRT141" s="950"/>
      <c r="SRU141" s="950"/>
      <c r="SRV141" s="950"/>
      <c r="SRW141" s="950"/>
      <c r="SRX141" s="950"/>
      <c r="SRY141" s="950"/>
      <c r="SRZ141" s="950"/>
      <c r="SSA141" s="950"/>
      <c r="SSB141" s="950"/>
      <c r="SSC141" s="950"/>
      <c r="SSD141" s="950"/>
      <c r="SSE141" s="950"/>
      <c r="SSF141" s="950"/>
      <c r="SSG141" s="950"/>
      <c r="SSH141" s="950"/>
      <c r="SSI141" s="950"/>
      <c r="SSJ141" s="950"/>
      <c r="SSK141" s="950"/>
      <c r="SSL141" s="950"/>
      <c r="SSM141" s="950"/>
      <c r="SSN141" s="950"/>
      <c r="SSO141" s="950"/>
      <c r="SSP141" s="950"/>
      <c r="SSQ141" s="950"/>
      <c r="SSR141" s="950"/>
      <c r="SSS141" s="950"/>
      <c r="SST141" s="950"/>
      <c r="SSU141" s="950"/>
      <c r="SSV141" s="950"/>
      <c r="SSW141" s="950"/>
      <c r="SSX141" s="950"/>
      <c r="SSY141" s="950"/>
      <c r="SSZ141" s="950"/>
      <c r="STA141" s="950"/>
      <c r="STB141" s="950"/>
      <c r="STC141" s="950"/>
      <c r="STD141" s="950"/>
      <c r="STE141" s="950"/>
      <c r="STF141" s="950"/>
      <c r="STG141" s="950"/>
      <c r="STH141" s="950"/>
      <c r="STI141" s="950"/>
      <c r="STJ141" s="950"/>
      <c r="STK141" s="950"/>
      <c r="STL141" s="950"/>
      <c r="STM141" s="950"/>
      <c r="STN141" s="950"/>
      <c r="STO141" s="950"/>
      <c r="STP141" s="950"/>
      <c r="STQ141" s="950"/>
      <c r="STR141" s="950"/>
      <c r="STS141" s="950"/>
      <c r="STT141" s="950"/>
      <c r="STU141" s="950"/>
      <c r="STV141" s="950"/>
      <c r="STW141" s="950"/>
      <c r="STX141" s="950"/>
      <c r="STY141" s="950"/>
      <c r="STZ141" s="950"/>
      <c r="SUA141" s="950"/>
      <c r="SUB141" s="950"/>
      <c r="SUC141" s="950"/>
      <c r="SUD141" s="950"/>
      <c r="SUE141" s="950"/>
      <c r="SUF141" s="950"/>
      <c r="SUG141" s="950"/>
      <c r="SUH141" s="950"/>
      <c r="SUI141" s="950"/>
      <c r="SUJ141" s="950"/>
      <c r="SUK141" s="950"/>
      <c r="SUL141" s="950"/>
      <c r="SUM141" s="950"/>
      <c r="SUN141" s="950"/>
      <c r="SUO141" s="950"/>
      <c r="SUP141" s="950"/>
      <c r="SUQ141" s="950"/>
      <c r="SUR141" s="950"/>
      <c r="SUS141" s="950"/>
      <c r="SUT141" s="950"/>
      <c r="SUU141" s="950"/>
      <c r="SUV141" s="950"/>
      <c r="SUW141" s="950"/>
      <c r="SUX141" s="950"/>
      <c r="SUY141" s="950"/>
      <c r="SUZ141" s="950"/>
      <c r="SVA141" s="950"/>
      <c r="SVB141" s="950"/>
      <c r="SVC141" s="950"/>
      <c r="SVD141" s="950"/>
      <c r="SVE141" s="950"/>
      <c r="SVF141" s="950"/>
      <c r="SVG141" s="950"/>
      <c r="SVH141" s="950"/>
      <c r="SVI141" s="950"/>
      <c r="SVJ141" s="950"/>
      <c r="SVK141" s="950"/>
      <c r="SVL141" s="950"/>
      <c r="SVM141" s="950"/>
      <c r="SVN141" s="950"/>
      <c r="SVO141" s="950"/>
      <c r="SVP141" s="950"/>
      <c r="SVQ141" s="950"/>
      <c r="SVR141" s="950"/>
      <c r="SVS141" s="950"/>
      <c r="SVT141" s="950"/>
      <c r="SVU141" s="950"/>
      <c r="SVV141" s="950"/>
      <c r="SVW141" s="950"/>
      <c r="SVX141" s="950"/>
      <c r="SVY141" s="950"/>
      <c r="SVZ141" s="950"/>
      <c r="SWA141" s="950"/>
      <c r="SWB141" s="950"/>
      <c r="SWC141" s="950"/>
      <c r="SWD141" s="950"/>
      <c r="SWE141" s="950"/>
      <c r="SWF141" s="950"/>
      <c r="SWG141" s="950"/>
      <c r="SWH141" s="950"/>
      <c r="SWI141" s="950"/>
      <c r="SWJ141" s="950"/>
      <c r="SWK141" s="950"/>
      <c r="SWL141" s="950"/>
      <c r="SWM141" s="950"/>
      <c r="SWN141" s="950"/>
      <c r="SWO141" s="950"/>
      <c r="SWP141" s="950"/>
      <c r="SWQ141" s="950"/>
      <c r="SWR141" s="950"/>
      <c r="SWS141" s="950"/>
      <c r="SWT141" s="950"/>
      <c r="SWU141" s="950"/>
      <c r="SWV141" s="950"/>
      <c r="SWW141" s="950"/>
      <c r="SWX141" s="950"/>
      <c r="SWY141" s="950"/>
      <c r="SWZ141" s="950"/>
      <c r="SXA141" s="950"/>
      <c r="SXB141" s="950"/>
      <c r="SXC141" s="950"/>
      <c r="SXD141" s="950"/>
      <c r="SXE141" s="950"/>
      <c r="SXF141" s="950"/>
      <c r="SXG141" s="950"/>
      <c r="SXH141" s="950"/>
      <c r="SXI141" s="950"/>
      <c r="SXJ141" s="950"/>
      <c r="SXK141" s="950"/>
      <c r="SXL141" s="950"/>
      <c r="SXM141" s="950"/>
      <c r="SXN141" s="950"/>
      <c r="SXO141" s="950"/>
      <c r="SXP141" s="950"/>
      <c r="SXQ141" s="950"/>
      <c r="SXR141" s="950"/>
      <c r="SXS141" s="950"/>
      <c r="SXT141" s="950"/>
      <c r="SXU141" s="950"/>
      <c r="SXV141" s="950"/>
      <c r="SXW141" s="950"/>
      <c r="SXX141" s="950"/>
      <c r="SXY141" s="950"/>
      <c r="SXZ141" s="950"/>
      <c r="SYA141" s="950"/>
      <c r="SYB141" s="950"/>
      <c r="SYC141" s="950"/>
      <c r="SYD141" s="950"/>
      <c r="SYE141" s="950"/>
      <c r="SYF141" s="950"/>
      <c r="SYG141" s="950"/>
      <c r="SYH141" s="950"/>
      <c r="SYI141" s="950"/>
      <c r="SYJ141" s="950"/>
      <c r="SYK141" s="950"/>
      <c r="SYL141" s="950"/>
      <c r="SYM141" s="950"/>
      <c r="SYN141" s="950"/>
      <c r="SYO141" s="950"/>
      <c r="SYP141" s="950"/>
      <c r="SYQ141" s="950"/>
      <c r="SYR141" s="950"/>
      <c r="SYS141" s="950"/>
      <c r="SYT141" s="950"/>
      <c r="SYU141" s="950"/>
      <c r="SYV141" s="950"/>
      <c r="SYW141" s="950"/>
      <c r="SYX141" s="950"/>
      <c r="SYY141" s="950"/>
      <c r="SYZ141" s="950"/>
      <c r="SZA141" s="950"/>
      <c r="SZB141" s="950"/>
      <c r="SZC141" s="950"/>
      <c r="SZD141" s="950"/>
      <c r="SZE141" s="950"/>
      <c r="SZF141" s="950"/>
      <c r="SZG141" s="950"/>
      <c r="SZH141" s="950"/>
      <c r="SZI141" s="950"/>
      <c r="SZJ141" s="950"/>
      <c r="SZK141" s="950"/>
      <c r="SZL141" s="950"/>
      <c r="SZM141" s="950"/>
      <c r="SZN141" s="950"/>
      <c r="SZO141" s="950"/>
      <c r="SZP141" s="950"/>
      <c r="SZQ141" s="950"/>
      <c r="SZR141" s="950"/>
      <c r="SZS141" s="950"/>
      <c r="SZT141" s="950"/>
      <c r="SZU141" s="950"/>
      <c r="SZV141" s="950"/>
      <c r="SZW141" s="950"/>
      <c r="SZX141" s="950"/>
      <c r="SZY141" s="950"/>
      <c r="SZZ141" s="950"/>
      <c r="TAA141" s="950"/>
      <c r="TAB141" s="950"/>
      <c r="TAC141" s="950"/>
      <c r="TAD141" s="950"/>
      <c r="TAE141" s="950"/>
      <c r="TAF141" s="950"/>
      <c r="TAG141" s="950"/>
      <c r="TAH141" s="950"/>
      <c r="TAI141" s="950"/>
      <c r="TAJ141" s="950"/>
      <c r="TAK141" s="950"/>
      <c r="TAL141" s="950"/>
      <c r="TAM141" s="950"/>
      <c r="TAN141" s="950"/>
      <c r="TAO141" s="950"/>
      <c r="TAP141" s="950"/>
      <c r="TAQ141" s="950"/>
      <c r="TAR141" s="950"/>
      <c r="TAS141" s="950"/>
      <c r="TAT141" s="950"/>
      <c r="TAU141" s="950"/>
      <c r="TAV141" s="950"/>
      <c r="TAW141" s="950"/>
      <c r="TAX141" s="950"/>
      <c r="TAY141" s="950"/>
      <c r="TAZ141" s="950"/>
      <c r="TBA141" s="950"/>
      <c r="TBB141" s="950"/>
      <c r="TBC141" s="950"/>
      <c r="TBD141" s="950"/>
      <c r="TBE141" s="950"/>
      <c r="TBF141" s="950"/>
      <c r="TBG141" s="950"/>
      <c r="TBH141" s="950"/>
      <c r="TBI141" s="950"/>
      <c r="TBJ141" s="950"/>
      <c r="TBK141" s="950"/>
      <c r="TBL141" s="950"/>
      <c r="TBM141" s="950"/>
      <c r="TBN141" s="950"/>
      <c r="TBO141" s="950"/>
      <c r="TBP141" s="950"/>
      <c r="TBQ141" s="950"/>
      <c r="TBR141" s="950"/>
      <c r="TBS141" s="950"/>
      <c r="TBT141" s="950"/>
      <c r="TBU141" s="950"/>
      <c r="TBV141" s="950"/>
      <c r="TBW141" s="950"/>
      <c r="TBX141" s="950"/>
      <c r="TBY141" s="950"/>
      <c r="TBZ141" s="950"/>
      <c r="TCA141" s="950"/>
      <c r="TCB141" s="950"/>
      <c r="TCC141" s="950"/>
      <c r="TCD141" s="950"/>
      <c r="TCE141" s="950"/>
      <c r="TCF141" s="950"/>
      <c r="TCG141" s="950"/>
      <c r="TCH141" s="950"/>
      <c r="TCI141" s="950"/>
      <c r="TCJ141" s="950"/>
      <c r="TCK141" s="950"/>
      <c r="TCL141" s="950"/>
      <c r="TCM141" s="950"/>
      <c r="TCN141" s="950"/>
      <c r="TCO141" s="950"/>
      <c r="TCP141" s="950"/>
      <c r="TCQ141" s="950"/>
      <c r="TCR141" s="950"/>
      <c r="TCS141" s="950"/>
      <c r="TCT141" s="950"/>
      <c r="TCU141" s="950"/>
      <c r="TCV141" s="950"/>
      <c r="TCW141" s="950"/>
      <c r="TCX141" s="950"/>
      <c r="TCY141" s="950"/>
      <c r="TCZ141" s="950"/>
      <c r="TDA141" s="950"/>
      <c r="TDB141" s="950"/>
      <c r="TDC141" s="950"/>
      <c r="TDD141" s="950"/>
      <c r="TDE141" s="950"/>
      <c r="TDF141" s="950"/>
      <c r="TDG141" s="950"/>
      <c r="TDH141" s="950"/>
      <c r="TDI141" s="950"/>
      <c r="TDJ141" s="950"/>
      <c r="TDK141" s="950"/>
      <c r="TDL141" s="950"/>
      <c r="TDM141" s="950"/>
      <c r="TDN141" s="950"/>
      <c r="TDO141" s="950"/>
      <c r="TDP141" s="950"/>
      <c r="TDQ141" s="950"/>
      <c r="TDR141" s="950"/>
      <c r="TDS141" s="950"/>
      <c r="TDT141" s="950"/>
      <c r="TDU141" s="950"/>
      <c r="TDV141" s="950"/>
      <c r="TDW141" s="950"/>
      <c r="TDX141" s="950"/>
      <c r="TDY141" s="950"/>
      <c r="TDZ141" s="950"/>
      <c r="TEA141" s="950"/>
      <c r="TEB141" s="950"/>
      <c r="TEC141" s="950"/>
      <c r="TED141" s="950"/>
      <c r="TEE141" s="950"/>
      <c r="TEF141" s="950"/>
      <c r="TEG141" s="950"/>
      <c r="TEH141" s="950"/>
      <c r="TEI141" s="950"/>
      <c r="TEJ141" s="950"/>
      <c r="TEK141" s="950"/>
      <c r="TEL141" s="950"/>
      <c r="TEM141" s="950"/>
      <c r="TEN141" s="950"/>
      <c r="TEO141" s="950"/>
      <c r="TEP141" s="950"/>
      <c r="TEQ141" s="950"/>
      <c r="TER141" s="950"/>
      <c r="TES141" s="950"/>
      <c r="TET141" s="950"/>
      <c r="TEU141" s="950"/>
      <c r="TEV141" s="950"/>
      <c r="TEW141" s="950"/>
      <c r="TEX141" s="950"/>
      <c r="TEY141" s="950"/>
      <c r="TEZ141" s="950"/>
      <c r="TFA141" s="950"/>
      <c r="TFB141" s="950"/>
      <c r="TFC141" s="950"/>
      <c r="TFD141" s="950"/>
      <c r="TFE141" s="950"/>
      <c r="TFF141" s="950"/>
      <c r="TFG141" s="950"/>
      <c r="TFH141" s="950"/>
      <c r="TFI141" s="950"/>
      <c r="TFJ141" s="950"/>
      <c r="TFK141" s="950"/>
      <c r="TFL141" s="950"/>
      <c r="TFM141" s="950"/>
      <c r="TFN141" s="950"/>
      <c r="TFO141" s="950"/>
      <c r="TFP141" s="950"/>
      <c r="TFQ141" s="950"/>
      <c r="TFR141" s="950"/>
      <c r="TFS141" s="950"/>
      <c r="TFT141" s="950"/>
      <c r="TFU141" s="950"/>
      <c r="TFV141" s="950"/>
      <c r="TFW141" s="950"/>
      <c r="TFX141" s="950"/>
      <c r="TFY141" s="950"/>
      <c r="TFZ141" s="950"/>
      <c r="TGA141" s="950"/>
      <c r="TGB141" s="950"/>
      <c r="TGC141" s="950"/>
      <c r="TGD141" s="950"/>
      <c r="TGE141" s="950"/>
      <c r="TGF141" s="950"/>
      <c r="TGG141" s="950"/>
      <c r="TGH141" s="950"/>
      <c r="TGI141" s="950"/>
      <c r="TGJ141" s="950"/>
      <c r="TGK141" s="950"/>
      <c r="TGL141" s="950"/>
      <c r="TGM141" s="950"/>
      <c r="TGN141" s="950"/>
      <c r="TGO141" s="950"/>
      <c r="TGP141" s="950"/>
      <c r="TGQ141" s="950"/>
      <c r="TGR141" s="950"/>
      <c r="TGS141" s="950"/>
      <c r="TGT141" s="950"/>
      <c r="TGU141" s="950"/>
      <c r="TGV141" s="950"/>
      <c r="TGW141" s="950"/>
      <c r="TGX141" s="950"/>
      <c r="TGY141" s="950"/>
      <c r="TGZ141" s="950"/>
      <c r="THA141" s="950"/>
      <c r="THB141" s="950"/>
      <c r="THC141" s="950"/>
      <c r="THD141" s="950"/>
      <c r="THE141" s="950"/>
      <c r="THF141" s="950"/>
      <c r="THG141" s="950"/>
      <c r="THH141" s="950"/>
      <c r="THI141" s="950"/>
      <c r="THJ141" s="950"/>
      <c r="THK141" s="950"/>
      <c r="THL141" s="950"/>
      <c r="THM141" s="950"/>
      <c r="THN141" s="950"/>
      <c r="THO141" s="950"/>
      <c r="THP141" s="950"/>
      <c r="THQ141" s="950"/>
      <c r="THR141" s="950"/>
      <c r="THS141" s="950"/>
      <c r="THT141" s="950"/>
      <c r="THU141" s="950"/>
      <c r="THV141" s="950"/>
      <c r="THW141" s="950"/>
      <c r="THX141" s="950"/>
      <c r="THY141" s="950"/>
      <c r="THZ141" s="950"/>
      <c r="TIA141" s="950"/>
      <c r="TIB141" s="950"/>
      <c r="TIC141" s="950"/>
      <c r="TID141" s="950"/>
      <c r="TIE141" s="950"/>
      <c r="TIF141" s="950"/>
      <c r="TIG141" s="950"/>
      <c r="TIH141" s="950"/>
      <c r="TII141" s="950"/>
      <c r="TIJ141" s="950"/>
      <c r="TIK141" s="950"/>
      <c r="TIL141" s="950"/>
      <c r="TIM141" s="950"/>
      <c r="TIN141" s="950"/>
      <c r="TIO141" s="950"/>
      <c r="TIP141" s="950"/>
      <c r="TIQ141" s="950"/>
      <c r="TIR141" s="950"/>
      <c r="TIS141" s="950"/>
      <c r="TIT141" s="950"/>
      <c r="TIU141" s="950"/>
      <c r="TIV141" s="950"/>
      <c r="TIW141" s="950"/>
      <c r="TIX141" s="950"/>
      <c r="TIY141" s="950"/>
      <c r="TIZ141" s="950"/>
      <c r="TJA141" s="950"/>
      <c r="TJB141" s="950"/>
      <c r="TJC141" s="950"/>
      <c r="TJD141" s="950"/>
      <c r="TJE141" s="950"/>
      <c r="TJF141" s="950"/>
      <c r="TJG141" s="950"/>
      <c r="TJH141" s="950"/>
      <c r="TJI141" s="950"/>
      <c r="TJJ141" s="950"/>
      <c r="TJK141" s="950"/>
      <c r="TJL141" s="950"/>
      <c r="TJM141" s="950"/>
      <c r="TJN141" s="950"/>
      <c r="TJO141" s="950"/>
      <c r="TJP141" s="950"/>
      <c r="TJQ141" s="950"/>
      <c r="TJR141" s="950"/>
      <c r="TJS141" s="950"/>
      <c r="TJT141" s="950"/>
      <c r="TJU141" s="950"/>
      <c r="TJV141" s="950"/>
      <c r="TJW141" s="950"/>
      <c r="TJX141" s="950"/>
      <c r="TJY141" s="950"/>
      <c r="TJZ141" s="950"/>
      <c r="TKA141" s="950"/>
      <c r="TKB141" s="950"/>
      <c r="TKC141" s="950"/>
      <c r="TKD141" s="950"/>
      <c r="TKE141" s="950"/>
      <c r="TKF141" s="950"/>
      <c r="TKG141" s="950"/>
      <c r="TKH141" s="950"/>
      <c r="TKI141" s="950"/>
      <c r="TKJ141" s="950"/>
      <c r="TKK141" s="950"/>
      <c r="TKL141" s="950"/>
      <c r="TKM141" s="950"/>
      <c r="TKN141" s="950"/>
      <c r="TKO141" s="950"/>
      <c r="TKP141" s="950"/>
      <c r="TKQ141" s="950"/>
      <c r="TKR141" s="950"/>
      <c r="TKS141" s="950"/>
      <c r="TKT141" s="950"/>
      <c r="TKU141" s="950"/>
      <c r="TKV141" s="950"/>
      <c r="TKW141" s="950"/>
      <c r="TKX141" s="950"/>
      <c r="TKY141" s="950"/>
      <c r="TKZ141" s="950"/>
      <c r="TLA141" s="950"/>
      <c r="TLB141" s="950"/>
      <c r="TLC141" s="950"/>
      <c r="TLD141" s="950"/>
      <c r="TLE141" s="950"/>
      <c r="TLF141" s="950"/>
      <c r="TLG141" s="950"/>
      <c r="TLH141" s="950"/>
      <c r="TLI141" s="950"/>
      <c r="TLJ141" s="950"/>
      <c r="TLK141" s="950"/>
      <c r="TLL141" s="950"/>
      <c r="TLM141" s="950"/>
      <c r="TLN141" s="950"/>
      <c r="TLO141" s="950"/>
      <c r="TLP141" s="950"/>
      <c r="TLQ141" s="950"/>
      <c r="TLR141" s="950"/>
      <c r="TLS141" s="950"/>
      <c r="TLT141" s="950"/>
      <c r="TLU141" s="950"/>
      <c r="TLV141" s="950"/>
      <c r="TLW141" s="950"/>
      <c r="TLX141" s="950"/>
      <c r="TLY141" s="950"/>
      <c r="TLZ141" s="950"/>
      <c r="TMA141" s="950"/>
      <c r="TMB141" s="950"/>
      <c r="TMC141" s="950"/>
      <c r="TMD141" s="950"/>
      <c r="TME141" s="950"/>
      <c r="TMF141" s="950"/>
      <c r="TMG141" s="950"/>
      <c r="TMH141" s="950"/>
      <c r="TMI141" s="950"/>
      <c r="TMJ141" s="950"/>
      <c r="TMK141" s="950"/>
      <c r="TML141" s="950"/>
      <c r="TMM141" s="950"/>
      <c r="TMN141" s="950"/>
      <c r="TMO141" s="950"/>
      <c r="TMP141" s="950"/>
      <c r="TMQ141" s="950"/>
      <c r="TMR141" s="950"/>
      <c r="TMS141" s="950"/>
      <c r="TMT141" s="950"/>
      <c r="TMU141" s="950"/>
      <c r="TMV141" s="950"/>
      <c r="TMW141" s="950"/>
      <c r="TMX141" s="950"/>
      <c r="TMY141" s="950"/>
      <c r="TMZ141" s="950"/>
      <c r="TNA141" s="950"/>
      <c r="TNB141" s="950"/>
      <c r="TNC141" s="950"/>
      <c r="TND141" s="950"/>
      <c r="TNE141" s="950"/>
      <c r="TNF141" s="950"/>
      <c r="TNG141" s="950"/>
      <c r="TNH141" s="950"/>
      <c r="TNI141" s="950"/>
      <c r="TNJ141" s="950"/>
      <c r="TNK141" s="950"/>
      <c r="TNL141" s="950"/>
      <c r="TNM141" s="950"/>
      <c r="TNN141" s="950"/>
      <c r="TNO141" s="950"/>
      <c r="TNP141" s="950"/>
      <c r="TNQ141" s="950"/>
      <c r="TNR141" s="950"/>
      <c r="TNS141" s="950"/>
      <c r="TNT141" s="950"/>
      <c r="TNU141" s="950"/>
      <c r="TNV141" s="950"/>
      <c r="TNW141" s="950"/>
      <c r="TNX141" s="950"/>
      <c r="TNY141" s="950"/>
      <c r="TNZ141" s="950"/>
      <c r="TOA141" s="950"/>
      <c r="TOB141" s="950"/>
      <c r="TOC141" s="950"/>
      <c r="TOD141" s="950"/>
      <c r="TOE141" s="950"/>
      <c r="TOF141" s="950"/>
      <c r="TOG141" s="950"/>
      <c r="TOH141" s="950"/>
      <c r="TOI141" s="950"/>
      <c r="TOJ141" s="950"/>
      <c r="TOK141" s="950"/>
      <c r="TOL141" s="950"/>
      <c r="TOM141" s="950"/>
      <c r="TON141" s="950"/>
      <c r="TOO141" s="950"/>
      <c r="TOP141" s="950"/>
      <c r="TOQ141" s="950"/>
      <c r="TOR141" s="950"/>
      <c r="TOS141" s="950"/>
      <c r="TOT141" s="950"/>
      <c r="TOU141" s="950"/>
      <c r="TOV141" s="950"/>
      <c r="TOW141" s="950"/>
      <c r="TOX141" s="950"/>
      <c r="TOY141" s="950"/>
      <c r="TOZ141" s="950"/>
      <c r="TPA141" s="950"/>
      <c r="TPB141" s="950"/>
      <c r="TPC141" s="950"/>
      <c r="TPD141" s="950"/>
      <c r="TPE141" s="950"/>
      <c r="TPF141" s="950"/>
      <c r="TPG141" s="950"/>
      <c r="TPH141" s="950"/>
      <c r="TPI141" s="950"/>
      <c r="TPJ141" s="950"/>
      <c r="TPK141" s="950"/>
      <c r="TPL141" s="950"/>
      <c r="TPM141" s="950"/>
      <c r="TPN141" s="950"/>
      <c r="TPO141" s="950"/>
      <c r="TPP141" s="950"/>
      <c r="TPQ141" s="950"/>
      <c r="TPR141" s="950"/>
      <c r="TPS141" s="950"/>
      <c r="TPT141" s="950"/>
      <c r="TPU141" s="950"/>
      <c r="TPV141" s="950"/>
      <c r="TPW141" s="950"/>
      <c r="TPX141" s="950"/>
      <c r="TPY141" s="950"/>
      <c r="TPZ141" s="950"/>
      <c r="TQA141" s="950"/>
      <c r="TQB141" s="950"/>
      <c r="TQC141" s="950"/>
      <c r="TQD141" s="950"/>
      <c r="TQE141" s="950"/>
      <c r="TQF141" s="950"/>
      <c r="TQG141" s="950"/>
      <c r="TQH141" s="950"/>
      <c r="TQI141" s="950"/>
      <c r="TQJ141" s="950"/>
      <c r="TQK141" s="950"/>
      <c r="TQL141" s="950"/>
      <c r="TQM141" s="950"/>
      <c r="TQN141" s="950"/>
      <c r="TQO141" s="950"/>
      <c r="TQP141" s="950"/>
      <c r="TQQ141" s="950"/>
      <c r="TQR141" s="950"/>
      <c r="TQS141" s="950"/>
      <c r="TQT141" s="950"/>
      <c r="TQU141" s="950"/>
      <c r="TQV141" s="950"/>
      <c r="TQW141" s="950"/>
      <c r="TQX141" s="950"/>
      <c r="TQY141" s="950"/>
      <c r="TQZ141" s="950"/>
      <c r="TRA141" s="950"/>
      <c r="TRB141" s="950"/>
      <c r="TRC141" s="950"/>
      <c r="TRD141" s="950"/>
      <c r="TRE141" s="950"/>
      <c r="TRF141" s="950"/>
      <c r="TRG141" s="950"/>
      <c r="TRH141" s="950"/>
      <c r="TRI141" s="950"/>
      <c r="TRJ141" s="950"/>
      <c r="TRK141" s="950"/>
      <c r="TRL141" s="950"/>
      <c r="TRM141" s="950"/>
      <c r="TRN141" s="950"/>
      <c r="TRO141" s="950"/>
      <c r="TRP141" s="950"/>
      <c r="TRQ141" s="950"/>
      <c r="TRR141" s="950"/>
      <c r="TRS141" s="950"/>
      <c r="TRT141" s="950"/>
      <c r="TRU141" s="950"/>
      <c r="TRV141" s="950"/>
      <c r="TRW141" s="950"/>
      <c r="TRX141" s="950"/>
      <c r="TRY141" s="950"/>
      <c r="TRZ141" s="950"/>
      <c r="TSA141" s="950"/>
      <c r="TSB141" s="950"/>
      <c r="TSC141" s="950"/>
      <c r="TSD141" s="950"/>
      <c r="TSE141" s="950"/>
      <c r="TSF141" s="950"/>
      <c r="TSG141" s="950"/>
      <c r="TSH141" s="950"/>
      <c r="TSI141" s="950"/>
      <c r="TSJ141" s="950"/>
      <c r="TSK141" s="950"/>
      <c r="TSL141" s="950"/>
      <c r="TSM141" s="950"/>
      <c r="TSN141" s="950"/>
      <c r="TSO141" s="950"/>
      <c r="TSP141" s="950"/>
      <c r="TSQ141" s="950"/>
      <c r="TSR141" s="950"/>
      <c r="TSS141" s="950"/>
      <c r="TST141" s="950"/>
      <c r="TSU141" s="950"/>
      <c r="TSV141" s="950"/>
      <c r="TSW141" s="950"/>
      <c r="TSX141" s="950"/>
      <c r="TSY141" s="950"/>
      <c r="TSZ141" s="950"/>
      <c r="TTA141" s="950"/>
      <c r="TTB141" s="950"/>
      <c r="TTC141" s="950"/>
      <c r="TTD141" s="950"/>
      <c r="TTE141" s="950"/>
      <c r="TTF141" s="950"/>
      <c r="TTG141" s="950"/>
      <c r="TTH141" s="950"/>
      <c r="TTI141" s="950"/>
      <c r="TTJ141" s="950"/>
      <c r="TTK141" s="950"/>
      <c r="TTL141" s="950"/>
      <c r="TTM141" s="950"/>
      <c r="TTN141" s="950"/>
      <c r="TTO141" s="950"/>
      <c r="TTP141" s="950"/>
      <c r="TTQ141" s="950"/>
      <c r="TTR141" s="950"/>
      <c r="TTS141" s="950"/>
      <c r="TTT141" s="950"/>
      <c r="TTU141" s="950"/>
      <c r="TTV141" s="950"/>
      <c r="TTW141" s="950"/>
      <c r="TTX141" s="950"/>
      <c r="TTY141" s="950"/>
      <c r="TTZ141" s="950"/>
      <c r="TUA141" s="950"/>
      <c r="TUB141" s="950"/>
      <c r="TUC141" s="950"/>
      <c r="TUD141" s="950"/>
      <c r="TUE141" s="950"/>
      <c r="TUF141" s="950"/>
      <c r="TUG141" s="950"/>
      <c r="TUH141" s="950"/>
      <c r="TUI141" s="950"/>
      <c r="TUJ141" s="950"/>
      <c r="TUK141" s="950"/>
      <c r="TUL141" s="950"/>
      <c r="TUM141" s="950"/>
      <c r="TUN141" s="950"/>
      <c r="TUO141" s="950"/>
      <c r="TUP141" s="950"/>
      <c r="TUQ141" s="950"/>
      <c r="TUR141" s="950"/>
      <c r="TUS141" s="950"/>
      <c r="TUT141" s="950"/>
      <c r="TUU141" s="950"/>
      <c r="TUV141" s="950"/>
      <c r="TUW141" s="950"/>
      <c r="TUX141" s="950"/>
      <c r="TUY141" s="950"/>
      <c r="TUZ141" s="950"/>
      <c r="TVA141" s="950"/>
      <c r="TVB141" s="950"/>
      <c r="TVC141" s="950"/>
      <c r="TVD141" s="950"/>
      <c r="TVE141" s="950"/>
      <c r="TVF141" s="950"/>
      <c r="TVG141" s="950"/>
      <c r="TVH141" s="950"/>
      <c r="TVI141" s="950"/>
      <c r="TVJ141" s="950"/>
      <c r="TVK141" s="950"/>
      <c r="TVL141" s="950"/>
      <c r="TVM141" s="950"/>
      <c r="TVN141" s="950"/>
      <c r="TVO141" s="950"/>
      <c r="TVP141" s="950"/>
      <c r="TVQ141" s="950"/>
      <c r="TVR141" s="950"/>
      <c r="TVS141" s="950"/>
      <c r="TVT141" s="950"/>
      <c r="TVU141" s="950"/>
      <c r="TVV141" s="950"/>
      <c r="TVW141" s="950"/>
      <c r="TVX141" s="950"/>
      <c r="TVY141" s="950"/>
      <c r="TVZ141" s="950"/>
      <c r="TWA141" s="950"/>
      <c r="TWB141" s="950"/>
      <c r="TWC141" s="950"/>
      <c r="TWD141" s="950"/>
      <c r="TWE141" s="950"/>
      <c r="TWF141" s="950"/>
      <c r="TWG141" s="950"/>
      <c r="TWH141" s="950"/>
      <c r="TWI141" s="950"/>
      <c r="TWJ141" s="950"/>
      <c r="TWK141" s="950"/>
      <c r="TWL141" s="950"/>
      <c r="TWM141" s="950"/>
      <c r="TWN141" s="950"/>
      <c r="TWO141" s="950"/>
      <c r="TWP141" s="950"/>
      <c r="TWQ141" s="950"/>
      <c r="TWR141" s="950"/>
      <c r="TWS141" s="950"/>
      <c r="TWT141" s="950"/>
      <c r="TWU141" s="950"/>
      <c r="TWV141" s="950"/>
      <c r="TWW141" s="950"/>
      <c r="TWX141" s="950"/>
      <c r="TWY141" s="950"/>
      <c r="TWZ141" s="950"/>
      <c r="TXA141" s="950"/>
      <c r="TXB141" s="950"/>
      <c r="TXC141" s="950"/>
      <c r="TXD141" s="950"/>
      <c r="TXE141" s="950"/>
      <c r="TXF141" s="950"/>
      <c r="TXG141" s="950"/>
      <c r="TXH141" s="950"/>
      <c r="TXI141" s="950"/>
      <c r="TXJ141" s="950"/>
      <c r="TXK141" s="950"/>
      <c r="TXL141" s="950"/>
      <c r="TXM141" s="950"/>
      <c r="TXN141" s="950"/>
      <c r="TXO141" s="950"/>
      <c r="TXP141" s="950"/>
      <c r="TXQ141" s="950"/>
      <c r="TXR141" s="950"/>
      <c r="TXS141" s="950"/>
      <c r="TXT141" s="950"/>
      <c r="TXU141" s="950"/>
      <c r="TXV141" s="950"/>
      <c r="TXW141" s="950"/>
      <c r="TXX141" s="950"/>
      <c r="TXY141" s="950"/>
      <c r="TXZ141" s="950"/>
      <c r="TYA141" s="950"/>
      <c r="TYB141" s="950"/>
      <c r="TYC141" s="950"/>
      <c r="TYD141" s="950"/>
      <c r="TYE141" s="950"/>
      <c r="TYF141" s="950"/>
      <c r="TYG141" s="950"/>
      <c r="TYH141" s="950"/>
      <c r="TYI141" s="950"/>
      <c r="TYJ141" s="950"/>
      <c r="TYK141" s="950"/>
      <c r="TYL141" s="950"/>
      <c r="TYM141" s="950"/>
      <c r="TYN141" s="950"/>
      <c r="TYO141" s="950"/>
      <c r="TYP141" s="950"/>
      <c r="TYQ141" s="950"/>
      <c r="TYR141" s="950"/>
      <c r="TYS141" s="950"/>
      <c r="TYT141" s="950"/>
      <c r="TYU141" s="950"/>
      <c r="TYV141" s="950"/>
      <c r="TYW141" s="950"/>
      <c r="TYX141" s="950"/>
      <c r="TYY141" s="950"/>
      <c r="TYZ141" s="950"/>
      <c r="TZA141" s="950"/>
      <c r="TZB141" s="950"/>
      <c r="TZC141" s="950"/>
      <c r="TZD141" s="950"/>
      <c r="TZE141" s="950"/>
      <c r="TZF141" s="950"/>
      <c r="TZG141" s="950"/>
      <c r="TZH141" s="950"/>
      <c r="TZI141" s="950"/>
      <c r="TZJ141" s="950"/>
      <c r="TZK141" s="950"/>
      <c r="TZL141" s="950"/>
      <c r="TZM141" s="950"/>
      <c r="TZN141" s="950"/>
      <c r="TZO141" s="950"/>
      <c r="TZP141" s="950"/>
      <c r="TZQ141" s="950"/>
      <c r="TZR141" s="950"/>
      <c r="TZS141" s="950"/>
      <c r="TZT141" s="950"/>
      <c r="TZU141" s="950"/>
      <c r="TZV141" s="950"/>
      <c r="TZW141" s="950"/>
      <c r="TZX141" s="950"/>
      <c r="TZY141" s="950"/>
      <c r="TZZ141" s="950"/>
      <c r="UAA141" s="950"/>
      <c r="UAB141" s="950"/>
      <c r="UAC141" s="950"/>
      <c r="UAD141" s="950"/>
      <c r="UAE141" s="950"/>
      <c r="UAF141" s="950"/>
      <c r="UAG141" s="950"/>
      <c r="UAH141" s="950"/>
      <c r="UAI141" s="950"/>
      <c r="UAJ141" s="950"/>
      <c r="UAK141" s="950"/>
      <c r="UAL141" s="950"/>
      <c r="UAM141" s="950"/>
      <c r="UAN141" s="950"/>
      <c r="UAO141" s="950"/>
      <c r="UAP141" s="950"/>
      <c r="UAQ141" s="950"/>
      <c r="UAR141" s="950"/>
      <c r="UAS141" s="950"/>
      <c r="UAT141" s="950"/>
      <c r="UAU141" s="950"/>
      <c r="UAV141" s="950"/>
      <c r="UAW141" s="950"/>
      <c r="UAX141" s="950"/>
      <c r="UAY141" s="950"/>
      <c r="UAZ141" s="950"/>
      <c r="UBA141" s="950"/>
      <c r="UBB141" s="950"/>
      <c r="UBC141" s="950"/>
      <c r="UBD141" s="950"/>
      <c r="UBE141" s="950"/>
      <c r="UBF141" s="950"/>
      <c r="UBG141" s="950"/>
      <c r="UBH141" s="950"/>
      <c r="UBI141" s="950"/>
      <c r="UBJ141" s="950"/>
      <c r="UBK141" s="950"/>
      <c r="UBL141" s="950"/>
      <c r="UBM141" s="950"/>
      <c r="UBN141" s="950"/>
      <c r="UBO141" s="950"/>
      <c r="UBP141" s="950"/>
      <c r="UBQ141" s="950"/>
      <c r="UBR141" s="950"/>
      <c r="UBS141" s="950"/>
      <c r="UBT141" s="950"/>
      <c r="UBU141" s="950"/>
      <c r="UBV141" s="950"/>
      <c r="UBW141" s="950"/>
      <c r="UBX141" s="950"/>
      <c r="UBY141" s="950"/>
      <c r="UBZ141" s="950"/>
      <c r="UCA141" s="950"/>
      <c r="UCB141" s="950"/>
      <c r="UCC141" s="950"/>
      <c r="UCD141" s="950"/>
      <c r="UCE141" s="950"/>
      <c r="UCF141" s="950"/>
      <c r="UCG141" s="950"/>
      <c r="UCH141" s="950"/>
      <c r="UCI141" s="950"/>
      <c r="UCJ141" s="950"/>
      <c r="UCK141" s="950"/>
      <c r="UCL141" s="950"/>
      <c r="UCM141" s="950"/>
      <c r="UCN141" s="950"/>
      <c r="UCO141" s="950"/>
      <c r="UCP141" s="950"/>
      <c r="UCQ141" s="950"/>
      <c r="UCR141" s="950"/>
      <c r="UCS141" s="950"/>
      <c r="UCT141" s="950"/>
      <c r="UCU141" s="950"/>
      <c r="UCV141" s="950"/>
      <c r="UCW141" s="950"/>
      <c r="UCX141" s="950"/>
      <c r="UCY141" s="950"/>
      <c r="UCZ141" s="950"/>
      <c r="UDA141" s="950"/>
      <c r="UDB141" s="950"/>
      <c r="UDC141" s="950"/>
      <c r="UDD141" s="950"/>
      <c r="UDE141" s="950"/>
      <c r="UDF141" s="950"/>
      <c r="UDG141" s="950"/>
      <c r="UDH141" s="950"/>
      <c r="UDI141" s="950"/>
      <c r="UDJ141" s="950"/>
      <c r="UDK141" s="950"/>
      <c r="UDL141" s="950"/>
      <c r="UDM141" s="950"/>
      <c r="UDN141" s="950"/>
      <c r="UDO141" s="950"/>
      <c r="UDP141" s="950"/>
      <c r="UDQ141" s="950"/>
      <c r="UDR141" s="950"/>
      <c r="UDS141" s="950"/>
      <c r="UDT141" s="950"/>
      <c r="UDU141" s="950"/>
      <c r="UDV141" s="950"/>
      <c r="UDW141" s="950"/>
      <c r="UDX141" s="950"/>
      <c r="UDY141" s="950"/>
      <c r="UDZ141" s="950"/>
      <c r="UEA141" s="950"/>
      <c r="UEB141" s="950"/>
      <c r="UEC141" s="950"/>
      <c r="UED141" s="950"/>
      <c r="UEE141" s="950"/>
      <c r="UEF141" s="950"/>
      <c r="UEG141" s="950"/>
      <c r="UEH141" s="950"/>
      <c r="UEI141" s="950"/>
      <c r="UEJ141" s="950"/>
      <c r="UEK141" s="950"/>
      <c r="UEL141" s="950"/>
      <c r="UEM141" s="950"/>
      <c r="UEN141" s="950"/>
      <c r="UEO141" s="950"/>
      <c r="UEP141" s="950"/>
      <c r="UEQ141" s="950"/>
      <c r="UER141" s="950"/>
      <c r="UES141" s="950"/>
      <c r="UET141" s="950"/>
      <c r="UEU141" s="950"/>
      <c r="UEV141" s="950"/>
      <c r="UEW141" s="950"/>
      <c r="UEX141" s="950"/>
      <c r="UEY141" s="950"/>
      <c r="UEZ141" s="950"/>
      <c r="UFA141" s="950"/>
      <c r="UFB141" s="950"/>
      <c r="UFC141" s="950"/>
      <c r="UFD141" s="950"/>
      <c r="UFE141" s="950"/>
      <c r="UFF141" s="950"/>
      <c r="UFG141" s="950"/>
      <c r="UFH141" s="950"/>
      <c r="UFI141" s="950"/>
      <c r="UFJ141" s="950"/>
      <c r="UFK141" s="950"/>
      <c r="UFL141" s="950"/>
      <c r="UFM141" s="950"/>
      <c r="UFN141" s="950"/>
      <c r="UFO141" s="950"/>
      <c r="UFP141" s="950"/>
      <c r="UFQ141" s="950"/>
      <c r="UFR141" s="950"/>
      <c r="UFS141" s="950"/>
      <c r="UFT141" s="950"/>
      <c r="UFU141" s="950"/>
      <c r="UFV141" s="950"/>
      <c r="UFW141" s="950"/>
      <c r="UFX141" s="950"/>
      <c r="UFY141" s="950"/>
      <c r="UFZ141" s="950"/>
      <c r="UGA141" s="950"/>
      <c r="UGB141" s="950"/>
      <c r="UGC141" s="950"/>
      <c r="UGD141" s="950"/>
      <c r="UGE141" s="950"/>
      <c r="UGF141" s="950"/>
      <c r="UGG141" s="950"/>
      <c r="UGH141" s="950"/>
      <c r="UGI141" s="950"/>
      <c r="UGJ141" s="950"/>
      <c r="UGK141" s="950"/>
      <c r="UGL141" s="950"/>
      <c r="UGM141" s="950"/>
      <c r="UGN141" s="950"/>
      <c r="UGO141" s="950"/>
      <c r="UGP141" s="950"/>
      <c r="UGQ141" s="950"/>
      <c r="UGR141" s="950"/>
      <c r="UGS141" s="950"/>
      <c r="UGT141" s="950"/>
      <c r="UGU141" s="950"/>
      <c r="UGV141" s="950"/>
      <c r="UGW141" s="950"/>
      <c r="UGX141" s="950"/>
      <c r="UGY141" s="950"/>
      <c r="UGZ141" s="950"/>
      <c r="UHA141" s="950"/>
      <c r="UHB141" s="950"/>
      <c r="UHC141" s="950"/>
      <c r="UHD141" s="950"/>
      <c r="UHE141" s="950"/>
      <c r="UHF141" s="950"/>
      <c r="UHG141" s="950"/>
      <c r="UHH141" s="950"/>
      <c r="UHI141" s="950"/>
      <c r="UHJ141" s="950"/>
      <c r="UHK141" s="950"/>
      <c r="UHL141" s="950"/>
      <c r="UHM141" s="950"/>
      <c r="UHN141" s="950"/>
      <c r="UHO141" s="950"/>
      <c r="UHP141" s="950"/>
      <c r="UHQ141" s="950"/>
      <c r="UHR141" s="950"/>
      <c r="UHS141" s="950"/>
      <c r="UHT141" s="950"/>
      <c r="UHU141" s="950"/>
      <c r="UHV141" s="950"/>
      <c r="UHW141" s="950"/>
      <c r="UHX141" s="950"/>
      <c r="UHY141" s="950"/>
      <c r="UHZ141" s="950"/>
      <c r="UIA141" s="950"/>
      <c r="UIB141" s="950"/>
      <c r="UIC141" s="950"/>
      <c r="UID141" s="950"/>
      <c r="UIE141" s="950"/>
      <c r="UIF141" s="950"/>
      <c r="UIG141" s="950"/>
      <c r="UIH141" s="950"/>
      <c r="UII141" s="950"/>
      <c r="UIJ141" s="950"/>
      <c r="UIK141" s="950"/>
      <c r="UIL141" s="950"/>
      <c r="UIM141" s="950"/>
      <c r="UIN141" s="950"/>
      <c r="UIO141" s="950"/>
      <c r="UIP141" s="950"/>
      <c r="UIQ141" s="950"/>
      <c r="UIR141" s="950"/>
      <c r="UIS141" s="950"/>
      <c r="UIT141" s="950"/>
      <c r="UIU141" s="950"/>
      <c r="UIV141" s="950"/>
      <c r="UIW141" s="950"/>
      <c r="UIX141" s="950"/>
      <c r="UIY141" s="950"/>
      <c r="UIZ141" s="950"/>
      <c r="UJA141" s="950"/>
      <c r="UJB141" s="950"/>
      <c r="UJC141" s="950"/>
      <c r="UJD141" s="950"/>
      <c r="UJE141" s="950"/>
      <c r="UJF141" s="950"/>
      <c r="UJG141" s="950"/>
      <c r="UJH141" s="950"/>
      <c r="UJI141" s="950"/>
      <c r="UJJ141" s="950"/>
      <c r="UJK141" s="950"/>
      <c r="UJL141" s="950"/>
      <c r="UJM141" s="950"/>
      <c r="UJN141" s="950"/>
      <c r="UJO141" s="950"/>
      <c r="UJP141" s="950"/>
      <c r="UJQ141" s="950"/>
      <c r="UJR141" s="950"/>
      <c r="UJS141" s="950"/>
      <c r="UJT141" s="950"/>
      <c r="UJU141" s="950"/>
      <c r="UJV141" s="950"/>
      <c r="UJW141" s="950"/>
      <c r="UJX141" s="950"/>
      <c r="UJY141" s="950"/>
      <c r="UJZ141" s="950"/>
      <c r="UKA141" s="950"/>
      <c r="UKB141" s="950"/>
      <c r="UKC141" s="950"/>
      <c r="UKD141" s="950"/>
      <c r="UKE141" s="950"/>
      <c r="UKF141" s="950"/>
      <c r="UKG141" s="950"/>
      <c r="UKH141" s="950"/>
      <c r="UKI141" s="950"/>
      <c r="UKJ141" s="950"/>
      <c r="UKK141" s="950"/>
      <c r="UKL141" s="950"/>
      <c r="UKM141" s="950"/>
      <c r="UKN141" s="950"/>
      <c r="UKO141" s="950"/>
      <c r="UKP141" s="950"/>
      <c r="UKQ141" s="950"/>
      <c r="UKR141" s="950"/>
      <c r="UKS141" s="950"/>
      <c r="UKT141" s="950"/>
      <c r="UKU141" s="950"/>
      <c r="UKV141" s="950"/>
      <c r="UKW141" s="950"/>
      <c r="UKX141" s="950"/>
      <c r="UKY141" s="950"/>
      <c r="UKZ141" s="950"/>
      <c r="ULA141" s="950"/>
      <c r="ULB141" s="950"/>
      <c r="ULC141" s="950"/>
      <c r="ULD141" s="950"/>
      <c r="ULE141" s="950"/>
      <c r="ULF141" s="950"/>
      <c r="ULG141" s="950"/>
      <c r="ULH141" s="950"/>
      <c r="ULI141" s="950"/>
      <c r="ULJ141" s="950"/>
      <c r="ULK141" s="950"/>
      <c r="ULL141" s="950"/>
      <c r="ULM141" s="950"/>
      <c r="ULN141" s="950"/>
      <c r="ULO141" s="950"/>
      <c r="ULP141" s="950"/>
      <c r="ULQ141" s="950"/>
      <c r="ULR141" s="950"/>
      <c r="ULS141" s="950"/>
      <c r="ULT141" s="950"/>
      <c r="ULU141" s="950"/>
      <c r="ULV141" s="950"/>
      <c r="ULW141" s="950"/>
      <c r="ULX141" s="950"/>
      <c r="ULY141" s="950"/>
      <c r="ULZ141" s="950"/>
      <c r="UMA141" s="950"/>
      <c r="UMB141" s="950"/>
      <c r="UMC141" s="950"/>
      <c r="UMD141" s="950"/>
      <c r="UME141" s="950"/>
      <c r="UMF141" s="950"/>
      <c r="UMG141" s="950"/>
      <c r="UMH141" s="950"/>
      <c r="UMI141" s="950"/>
      <c r="UMJ141" s="950"/>
      <c r="UMK141" s="950"/>
      <c r="UML141" s="950"/>
      <c r="UMM141" s="950"/>
      <c r="UMN141" s="950"/>
      <c r="UMO141" s="950"/>
      <c r="UMP141" s="950"/>
      <c r="UMQ141" s="950"/>
      <c r="UMR141" s="950"/>
      <c r="UMS141" s="950"/>
      <c r="UMT141" s="950"/>
      <c r="UMU141" s="950"/>
      <c r="UMV141" s="950"/>
      <c r="UMW141" s="950"/>
      <c r="UMX141" s="950"/>
      <c r="UMY141" s="950"/>
      <c r="UMZ141" s="950"/>
      <c r="UNA141" s="950"/>
      <c r="UNB141" s="950"/>
      <c r="UNC141" s="950"/>
      <c r="UND141" s="950"/>
      <c r="UNE141" s="950"/>
      <c r="UNF141" s="950"/>
      <c r="UNG141" s="950"/>
      <c r="UNH141" s="950"/>
      <c r="UNI141" s="950"/>
      <c r="UNJ141" s="950"/>
      <c r="UNK141" s="950"/>
      <c r="UNL141" s="950"/>
      <c r="UNM141" s="950"/>
      <c r="UNN141" s="950"/>
      <c r="UNO141" s="950"/>
      <c r="UNP141" s="950"/>
      <c r="UNQ141" s="950"/>
      <c r="UNR141" s="950"/>
      <c r="UNS141" s="950"/>
      <c r="UNT141" s="950"/>
      <c r="UNU141" s="950"/>
      <c r="UNV141" s="950"/>
      <c r="UNW141" s="950"/>
      <c r="UNX141" s="950"/>
      <c r="UNY141" s="950"/>
      <c r="UNZ141" s="950"/>
      <c r="UOA141" s="950"/>
      <c r="UOB141" s="950"/>
      <c r="UOC141" s="950"/>
      <c r="UOD141" s="950"/>
      <c r="UOE141" s="950"/>
      <c r="UOF141" s="950"/>
      <c r="UOG141" s="950"/>
      <c r="UOH141" s="950"/>
      <c r="UOI141" s="950"/>
      <c r="UOJ141" s="950"/>
      <c r="UOK141" s="950"/>
      <c r="UOL141" s="950"/>
      <c r="UOM141" s="950"/>
      <c r="UON141" s="950"/>
      <c r="UOO141" s="950"/>
      <c r="UOP141" s="950"/>
      <c r="UOQ141" s="950"/>
      <c r="UOR141" s="950"/>
      <c r="UOS141" s="950"/>
      <c r="UOT141" s="950"/>
      <c r="UOU141" s="950"/>
      <c r="UOV141" s="950"/>
      <c r="UOW141" s="950"/>
      <c r="UOX141" s="950"/>
      <c r="UOY141" s="950"/>
      <c r="UOZ141" s="950"/>
      <c r="UPA141" s="950"/>
      <c r="UPB141" s="950"/>
      <c r="UPC141" s="950"/>
      <c r="UPD141" s="950"/>
      <c r="UPE141" s="950"/>
      <c r="UPF141" s="950"/>
      <c r="UPG141" s="950"/>
      <c r="UPH141" s="950"/>
      <c r="UPI141" s="950"/>
      <c r="UPJ141" s="950"/>
      <c r="UPK141" s="950"/>
      <c r="UPL141" s="950"/>
      <c r="UPM141" s="950"/>
      <c r="UPN141" s="950"/>
      <c r="UPO141" s="950"/>
      <c r="UPP141" s="950"/>
      <c r="UPQ141" s="950"/>
      <c r="UPR141" s="950"/>
      <c r="UPS141" s="950"/>
      <c r="UPT141" s="950"/>
      <c r="UPU141" s="950"/>
      <c r="UPV141" s="950"/>
      <c r="UPW141" s="950"/>
      <c r="UPX141" s="950"/>
      <c r="UPY141" s="950"/>
      <c r="UPZ141" s="950"/>
      <c r="UQA141" s="950"/>
      <c r="UQB141" s="950"/>
      <c r="UQC141" s="950"/>
      <c r="UQD141" s="950"/>
      <c r="UQE141" s="950"/>
      <c r="UQF141" s="950"/>
      <c r="UQG141" s="950"/>
      <c r="UQH141" s="950"/>
      <c r="UQI141" s="950"/>
      <c r="UQJ141" s="950"/>
      <c r="UQK141" s="950"/>
      <c r="UQL141" s="950"/>
      <c r="UQM141" s="950"/>
      <c r="UQN141" s="950"/>
      <c r="UQO141" s="950"/>
      <c r="UQP141" s="950"/>
      <c r="UQQ141" s="950"/>
      <c r="UQR141" s="950"/>
      <c r="UQS141" s="950"/>
      <c r="UQT141" s="950"/>
      <c r="UQU141" s="950"/>
      <c r="UQV141" s="950"/>
      <c r="UQW141" s="950"/>
      <c r="UQX141" s="950"/>
      <c r="UQY141" s="950"/>
      <c r="UQZ141" s="950"/>
      <c r="URA141" s="950"/>
      <c r="URB141" s="950"/>
      <c r="URC141" s="950"/>
      <c r="URD141" s="950"/>
      <c r="URE141" s="950"/>
      <c r="URF141" s="950"/>
      <c r="URG141" s="950"/>
      <c r="URH141" s="950"/>
      <c r="URI141" s="950"/>
      <c r="URJ141" s="950"/>
      <c r="URK141" s="950"/>
      <c r="URL141" s="950"/>
      <c r="URM141" s="950"/>
      <c r="URN141" s="950"/>
      <c r="URO141" s="950"/>
      <c r="URP141" s="950"/>
      <c r="URQ141" s="950"/>
      <c r="URR141" s="950"/>
      <c r="URS141" s="950"/>
      <c r="URT141" s="950"/>
      <c r="URU141" s="950"/>
      <c r="URV141" s="950"/>
      <c r="URW141" s="950"/>
      <c r="URX141" s="950"/>
      <c r="URY141" s="950"/>
      <c r="URZ141" s="950"/>
      <c r="USA141" s="950"/>
      <c r="USB141" s="950"/>
      <c r="USC141" s="950"/>
      <c r="USD141" s="950"/>
      <c r="USE141" s="950"/>
      <c r="USF141" s="950"/>
      <c r="USG141" s="950"/>
      <c r="USH141" s="950"/>
      <c r="USI141" s="950"/>
      <c r="USJ141" s="950"/>
      <c r="USK141" s="950"/>
      <c r="USL141" s="950"/>
      <c r="USM141" s="950"/>
      <c r="USN141" s="950"/>
      <c r="USO141" s="950"/>
      <c r="USP141" s="950"/>
      <c r="USQ141" s="950"/>
      <c r="USR141" s="950"/>
      <c r="USS141" s="950"/>
      <c r="UST141" s="950"/>
      <c r="USU141" s="950"/>
      <c r="USV141" s="950"/>
      <c r="USW141" s="950"/>
      <c r="USX141" s="950"/>
      <c r="USY141" s="950"/>
      <c r="USZ141" s="950"/>
      <c r="UTA141" s="950"/>
      <c r="UTB141" s="950"/>
      <c r="UTC141" s="950"/>
      <c r="UTD141" s="950"/>
      <c r="UTE141" s="950"/>
      <c r="UTF141" s="950"/>
      <c r="UTG141" s="950"/>
      <c r="UTH141" s="950"/>
      <c r="UTI141" s="950"/>
      <c r="UTJ141" s="950"/>
      <c r="UTK141" s="950"/>
      <c r="UTL141" s="950"/>
      <c r="UTM141" s="950"/>
      <c r="UTN141" s="950"/>
      <c r="UTO141" s="950"/>
      <c r="UTP141" s="950"/>
      <c r="UTQ141" s="950"/>
      <c r="UTR141" s="950"/>
      <c r="UTS141" s="950"/>
      <c r="UTT141" s="950"/>
      <c r="UTU141" s="950"/>
      <c r="UTV141" s="950"/>
      <c r="UTW141" s="950"/>
      <c r="UTX141" s="950"/>
      <c r="UTY141" s="950"/>
      <c r="UTZ141" s="950"/>
      <c r="UUA141" s="950"/>
      <c r="UUB141" s="950"/>
      <c r="UUC141" s="950"/>
      <c r="UUD141" s="950"/>
      <c r="UUE141" s="950"/>
      <c r="UUF141" s="950"/>
      <c r="UUG141" s="950"/>
      <c r="UUH141" s="950"/>
      <c r="UUI141" s="950"/>
      <c r="UUJ141" s="950"/>
      <c r="UUK141" s="950"/>
      <c r="UUL141" s="950"/>
      <c r="UUM141" s="950"/>
      <c r="UUN141" s="950"/>
      <c r="UUO141" s="950"/>
      <c r="UUP141" s="950"/>
      <c r="UUQ141" s="950"/>
      <c r="UUR141" s="950"/>
      <c r="UUS141" s="950"/>
      <c r="UUT141" s="950"/>
      <c r="UUU141" s="950"/>
      <c r="UUV141" s="950"/>
      <c r="UUW141" s="950"/>
      <c r="UUX141" s="950"/>
      <c r="UUY141" s="950"/>
      <c r="UUZ141" s="950"/>
      <c r="UVA141" s="950"/>
      <c r="UVB141" s="950"/>
      <c r="UVC141" s="950"/>
      <c r="UVD141" s="950"/>
      <c r="UVE141" s="950"/>
      <c r="UVF141" s="950"/>
      <c r="UVG141" s="950"/>
      <c r="UVH141" s="950"/>
      <c r="UVI141" s="950"/>
      <c r="UVJ141" s="950"/>
      <c r="UVK141" s="950"/>
      <c r="UVL141" s="950"/>
      <c r="UVM141" s="950"/>
      <c r="UVN141" s="950"/>
      <c r="UVO141" s="950"/>
      <c r="UVP141" s="950"/>
      <c r="UVQ141" s="950"/>
      <c r="UVR141" s="950"/>
      <c r="UVS141" s="950"/>
      <c r="UVT141" s="950"/>
      <c r="UVU141" s="950"/>
      <c r="UVV141" s="950"/>
      <c r="UVW141" s="950"/>
      <c r="UVX141" s="950"/>
      <c r="UVY141" s="950"/>
      <c r="UVZ141" s="950"/>
      <c r="UWA141" s="950"/>
      <c r="UWB141" s="950"/>
      <c r="UWC141" s="950"/>
      <c r="UWD141" s="950"/>
      <c r="UWE141" s="950"/>
      <c r="UWF141" s="950"/>
      <c r="UWG141" s="950"/>
      <c r="UWH141" s="950"/>
      <c r="UWI141" s="950"/>
      <c r="UWJ141" s="950"/>
      <c r="UWK141" s="950"/>
      <c r="UWL141" s="950"/>
      <c r="UWM141" s="950"/>
      <c r="UWN141" s="950"/>
      <c r="UWO141" s="950"/>
      <c r="UWP141" s="950"/>
      <c r="UWQ141" s="950"/>
      <c r="UWR141" s="950"/>
      <c r="UWS141" s="950"/>
      <c r="UWT141" s="950"/>
      <c r="UWU141" s="950"/>
      <c r="UWV141" s="950"/>
      <c r="UWW141" s="950"/>
      <c r="UWX141" s="950"/>
      <c r="UWY141" s="950"/>
      <c r="UWZ141" s="950"/>
      <c r="UXA141" s="950"/>
      <c r="UXB141" s="950"/>
      <c r="UXC141" s="950"/>
      <c r="UXD141" s="950"/>
      <c r="UXE141" s="950"/>
      <c r="UXF141" s="950"/>
      <c r="UXG141" s="950"/>
      <c r="UXH141" s="950"/>
      <c r="UXI141" s="950"/>
      <c r="UXJ141" s="950"/>
      <c r="UXK141" s="950"/>
      <c r="UXL141" s="950"/>
      <c r="UXM141" s="950"/>
      <c r="UXN141" s="950"/>
      <c r="UXO141" s="950"/>
      <c r="UXP141" s="950"/>
      <c r="UXQ141" s="950"/>
      <c r="UXR141" s="950"/>
      <c r="UXS141" s="950"/>
      <c r="UXT141" s="950"/>
      <c r="UXU141" s="950"/>
      <c r="UXV141" s="950"/>
      <c r="UXW141" s="950"/>
      <c r="UXX141" s="950"/>
      <c r="UXY141" s="950"/>
      <c r="UXZ141" s="950"/>
      <c r="UYA141" s="950"/>
      <c r="UYB141" s="950"/>
      <c r="UYC141" s="950"/>
      <c r="UYD141" s="950"/>
      <c r="UYE141" s="950"/>
      <c r="UYF141" s="950"/>
      <c r="UYG141" s="950"/>
      <c r="UYH141" s="950"/>
      <c r="UYI141" s="950"/>
      <c r="UYJ141" s="950"/>
      <c r="UYK141" s="950"/>
      <c r="UYL141" s="950"/>
      <c r="UYM141" s="950"/>
      <c r="UYN141" s="950"/>
      <c r="UYO141" s="950"/>
      <c r="UYP141" s="950"/>
      <c r="UYQ141" s="950"/>
      <c r="UYR141" s="950"/>
      <c r="UYS141" s="950"/>
      <c r="UYT141" s="950"/>
      <c r="UYU141" s="950"/>
      <c r="UYV141" s="950"/>
      <c r="UYW141" s="950"/>
      <c r="UYX141" s="950"/>
      <c r="UYY141" s="950"/>
      <c r="UYZ141" s="950"/>
      <c r="UZA141" s="950"/>
      <c r="UZB141" s="950"/>
      <c r="UZC141" s="950"/>
      <c r="UZD141" s="950"/>
      <c r="UZE141" s="950"/>
      <c r="UZF141" s="950"/>
      <c r="UZG141" s="950"/>
      <c r="UZH141" s="950"/>
      <c r="UZI141" s="950"/>
      <c r="UZJ141" s="950"/>
      <c r="UZK141" s="950"/>
      <c r="UZL141" s="950"/>
      <c r="UZM141" s="950"/>
      <c r="UZN141" s="950"/>
      <c r="UZO141" s="950"/>
      <c r="UZP141" s="950"/>
      <c r="UZQ141" s="950"/>
      <c r="UZR141" s="950"/>
      <c r="UZS141" s="950"/>
      <c r="UZT141" s="950"/>
      <c r="UZU141" s="950"/>
      <c r="UZV141" s="950"/>
      <c r="UZW141" s="950"/>
      <c r="UZX141" s="950"/>
      <c r="UZY141" s="950"/>
      <c r="UZZ141" s="950"/>
      <c r="VAA141" s="950"/>
      <c r="VAB141" s="950"/>
      <c r="VAC141" s="950"/>
      <c r="VAD141" s="950"/>
      <c r="VAE141" s="950"/>
      <c r="VAF141" s="950"/>
      <c r="VAG141" s="950"/>
      <c r="VAH141" s="950"/>
      <c r="VAI141" s="950"/>
      <c r="VAJ141" s="950"/>
      <c r="VAK141" s="950"/>
      <c r="VAL141" s="950"/>
      <c r="VAM141" s="950"/>
      <c r="VAN141" s="950"/>
      <c r="VAO141" s="950"/>
      <c r="VAP141" s="950"/>
      <c r="VAQ141" s="950"/>
      <c r="VAR141" s="950"/>
      <c r="VAS141" s="950"/>
      <c r="VAT141" s="950"/>
      <c r="VAU141" s="950"/>
      <c r="VAV141" s="950"/>
      <c r="VAW141" s="950"/>
      <c r="VAX141" s="950"/>
      <c r="VAY141" s="950"/>
      <c r="VAZ141" s="950"/>
      <c r="VBA141" s="950"/>
      <c r="VBB141" s="950"/>
      <c r="VBC141" s="950"/>
      <c r="VBD141" s="950"/>
      <c r="VBE141" s="950"/>
      <c r="VBF141" s="950"/>
      <c r="VBG141" s="950"/>
      <c r="VBH141" s="950"/>
      <c r="VBI141" s="950"/>
      <c r="VBJ141" s="950"/>
      <c r="VBK141" s="950"/>
      <c r="VBL141" s="950"/>
      <c r="VBM141" s="950"/>
      <c r="VBN141" s="950"/>
      <c r="VBO141" s="950"/>
      <c r="VBP141" s="950"/>
      <c r="VBQ141" s="950"/>
      <c r="VBR141" s="950"/>
      <c r="VBS141" s="950"/>
      <c r="VBT141" s="950"/>
      <c r="VBU141" s="950"/>
      <c r="VBV141" s="950"/>
      <c r="VBW141" s="950"/>
      <c r="VBX141" s="950"/>
      <c r="VBY141" s="950"/>
      <c r="VBZ141" s="950"/>
      <c r="VCA141" s="950"/>
      <c r="VCB141" s="950"/>
      <c r="VCC141" s="950"/>
      <c r="VCD141" s="950"/>
      <c r="VCE141" s="950"/>
      <c r="VCF141" s="950"/>
      <c r="VCG141" s="950"/>
      <c r="VCH141" s="950"/>
      <c r="VCI141" s="950"/>
      <c r="VCJ141" s="950"/>
      <c r="VCK141" s="950"/>
      <c r="VCL141" s="950"/>
      <c r="VCM141" s="950"/>
      <c r="VCN141" s="950"/>
      <c r="VCO141" s="950"/>
      <c r="VCP141" s="950"/>
      <c r="VCQ141" s="950"/>
      <c r="VCR141" s="950"/>
      <c r="VCS141" s="950"/>
      <c r="VCT141" s="950"/>
      <c r="VCU141" s="950"/>
      <c r="VCV141" s="950"/>
      <c r="VCW141" s="950"/>
      <c r="VCX141" s="950"/>
      <c r="VCY141" s="950"/>
      <c r="VCZ141" s="950"/>
      <c r="VDA141" s="950"/>
      <c r="VDB141" s="950"/>
      <c r="VDC141" s="950"/>
      <c r="VDD141" s="950"/>
      <c r="VDE141" s="950"/>
      <c r="VDF141" s="950"/>
      <c r="VDG141" s="950"/>
      <c r="VDH141" s="950"/>
      <c r="VDI141" s="950"/>
      <c r="VDJ141" s="950"/>
      <c r="VDK141" s="950"/>
      <c r="VDL141" s="950"/>
      <c r="VDM141" s="950"/>
      <c r="VDN141" s="950"/>
      <c r="VDO141" s="950"/>
      <c r="VDP141" s="950"/>
      <c r="VDQ141" s="950"/>
      <c r="VDR141" s="950"/>
      <c r="VDS141" s="950"/>
      <c r="VDT141" s="950"/>
      <c r="VDU141" s="950"/>
      <c r="VDV141" s="950"/>
      <c r="VDW141" s="950"/>
      <c r="VDX141" s="950"/>
      <c r="VDY141" s="950"/>
      <c r="VDZ141" s="950"/>
      <c r="VEA141" s="950"/>
      <c r="VEB141" s="950"/>
      <c r="VEC141" s="950"/>
      <c r="VED141" s="950"/>
      <c r="VEE141" s="950"/>
      <c r="VEF141" s="950"/>
      <c r="VEG141" s="950"/>
      <c r="VEH141" s="950"/>
      <c r="VEI141" s="950"/>
      <c r="VEJ141" s="950"/>
      <c r="VEK141" s="950"/>
      <c r="VEL141" s="950"/>
      <c r="VEM141" s="950"/>
      <c r="VEN141" s="950"/>
      <c r="VEO141" s="950"/>
      <c r="VEP141" s="950"/>
      <c r="VEQ141" s="950"/>
      <c r="VER141" s="950"/>
      <c r="VES141" s="950"/>
      <c r="VET141" s="950"/>
      <c r="VEU141" s="950"/>
      <c r="VEV141" s="950"/>
      <c r="VEW141" s="950"/>
      <c r="VEX141" s="950"/>
      <c r="VEY141" s="950"/>
      <c r="VEZ141" s="950"/>
      <c r="VFA141" s="950"/>
      <c r="VFB141" s="950"/>
      <c r="VFC141" s="950"/>
      <c r="VFD141" s="950"/>
      <c r="VFE141" s="950"/>
      <c r="VFF141" s="950"/>
      <c r="VFG141" s="950"/>
      <c r="VFH141" s="950"/>
      <c r="VFI141" s="950"/>
      <c r="VFJ141" s="950"/>
      <c r="VFK141" s="950"/>
      <c r="VFL141" s="950"/>
      <c r="VFM141" s="950"/>
      <c r="VFN141" s="950"/>
      <c r="VFO141" s="950"/>
      <c r="VFP141" s="950"/>
      <c r="VFQ141" s="950"/>
      <c r="VFR141" s="950"/>
      <c r="VFS141" s="950"/>
      <c r="VFT141" s="950"/>
      <c r="VFU141" s="950"/>
      <c r="VFV141" s="950"/>
      <c r="VFW141" s="950"/>
      <c r="VFX141" s="950"/>
      <c r="VFY141" s="950"/>
      <c r="VFZ141" s="950"/>
      <c r="VGA141" s="950"/>
      <c r="VGB141" s="950"/>
      <c r="VGC141" s="950"/>
      <c r="VGD141" s="950"/>
      <c r="VGE141" s="950"/>
      <c r="VGF141" s="950"/>
      <c r="VGG141" s="950"/>
      <c r="VGH141" s="950"/>
      <c r="VGI141" s="950"/>
      <c r="VGJ141" s="950"/>
      <c r="VGK141" s="950"/>
      <c r="VGL141" s="950"/>
      <c r="VGM141" s="950"/>
      <c r="VGN141" s="950"/>
      <c r="VGO141" s="950"/>
      <c r="VGP141" s="950"/>
      <c r="VGQ141" s="950"/>
      <c r="VGR141" s="950"/>
      <c r="VGS141" s="950"/>
      <c r="VGT141" s="950"/>
      <c r="VGU141" s="950"/>
      <c r="VGV141" s="950"/>
      <c r="VGW141" s="950"/>
      <c r="VGX141" s="950"/>
      <c r="VGY141" s="950"/>
      <c r="VGZ141" s="950"/>
      <c r="VHA141" s="950"/>
      <c r="VHB141" s="950"/>
      <c r="VHC141" s="950"/>
      <c r="VHD141" s="950"/>
      <c r="VHE141" s="950"/>
      <c r="VHF141" s="950"/>
      <c r="VHG141" s="950"/>
      <c r="VHH141" s="950"/>
      <c r="VHI141" s="950"/>
      <c r="VHJ141" s="950"/>
      <c r="VHK141" s="950"/>
      <c r="VHL141" s="950"/>
      <c r="VHM141" s="950"/>
      <c r="VHN141" s="950"/>
      <c r="VHO141" s="950"/>
      <c r="VHP141" s="950"/>
      <c r="VHQ141" s="950"/>
      <c r="VHR141" s="950"/>
      <c r="VHS141" s="950"/>
      <c r="VHT141" s="950"/>
      <c r="VHU141" s="950"/>
      <c r="VHV141" s="950"/>
      <c r="VHW141" s="950"/>
      <c r="VHX141" s="950"/>
      <c r="VHY141" s="950"/>
      <c r="VHZ141" s="950"/>
      <c r="VIA141" s="950"/>
      <c r="VIB141" s="950"/>
      <c r="VIC141" s="950"/>
      <c r="VID141" s="950"/>
      <c r="VIE141" s="950"/>
      <c r="VIF141" s="950"/>
      <c r="VIG141" s="950"/>
      <c r="VIH141" s="950"/>
      <c r="VII141" s="950"/>
      <c r="VIJ141" s="950"/>
      <c r="VIK141" s="950"/>
      <c r="VIL141" s="950"/>
      <c r="VIM141" s="950"/>
      <c r="VIN141" s="950"/>
      <c r="VIO141" s="950"/>
      <c r="VIP141" s="950"/>
      <c r="VIQ141" s="950"/>
      <c r="VIR141" s="950"/>
      <c r="VIS141" s="950"/>
      <c r="VIT141" s="950"/>
      <c r="VIU141" s="950"/>
      <c r="VIV141" s="950"/>
      <c r="VIW141" s="950"/>
      <c r="VIX141" s="950"/>
      <c r="VIY141" s="950"/>
      <c r="VIZ141" s="950"/>
      <c r="VJA141" s="950"/>
      <c r="VJB141" s="950"/>
      <c r="VJC141" s="950"/>
      <c r="VJD141" s="950"/>
      <c r="VJE141" s="950"/>
      <c r="VJF141" s="950"/>
      <c r="VJG141" s="950"/>
      <c r="VJH141" s="950"/>
      <c r="VJI141" s="950"/>
      <c r="VJJ141" s="950"/>
      <c r="VJK141" s="950"/>
      <c r="VJL141" s="950"/>
      <c r="VJM141" s="950"/>
      <c r="VJN141" s="950"/>
      <c r="VJO141" s="950"/>
      <c r="VJP141" s="950"/>
      <c r="VJQ141" s="950"/>
      <c r="VJR141" s="950"/>
      <c r="VJS141" s="950"/>
      <c r="VJT141" s="950"/>
      <c r="VJU141" s="950"/>
      <c r="VJV141" s="950"/>
      <c r="VJW141" s="950"/>
      <c r="VJX141" s="950"/>
      <c r="VJY141" s="950"/>
      <c r="VJZ141" s="950"/>
      <c r="VKA141" s="950"/>
      <c r="VKB141" s="950"/>
      <c r="VKC141" s="950"/>
      <c r="VKD141" s="950"/>
      <c r="VKE141" s="950"/>
      <c r="VKF141" s="950"/>
      <c r="VKG141" s="950"/>
      <c r="VKH141" s="950"/>
      <c r="VKI141" s="950"/>
      <c r="VKJ141" s="950"/>
      <c r="VKK141" s="950"/>
      <c r="VKL141" s="950"/>
      <c r="VKM141" s="950"/>
      <c r="VKN141" s="950"/>
      <c r="VKO141" s="950"/>
      <c r="VKP141" s="950"/>
      <c r="VKQ141" s="950"/>
      <c r="VKR141" s="950"/>
      <c r="VKS141" s="950"/>
      <c r="VKT141" s="950"/>
      <c r="VKU141" s="950"/>
      <c r="VKV141" s="950"/>
      <c r="VKW141" s="950"/>
      <c r="VKX141" s="950"/>
      <c r="VKY141" s="950"/>
      <c r="VKZ141" s="950"/>
      <c r="VLA141" s="950"/>
      <c r="VLB141" s="950"/>
      <c r="VLC141" s="950"/>
      <c r="VLD141" s="950"/>
      <c r="VLE141" s="950"/>
      <c r="VLF141" s="950"/>
      <c r="VLG141" s="950"/>
      <c r="VLH141" s="950"/>
      <c r="VLI141" s="950"/>
      <c r="VLJ141" s="950"/>
      <c r="VLK141" s="950"/>
      <c r="VLL141" s="950"/>
      <c r="VLM141" s="950"/>
      <c r="VLN141" s="950"/>
      <c r="VLO141" s="950"/>
      <c r="VLP141" s="950"/>
      <c r="VLQ141" s="950"/>
      <c r="VLR141" s="950"/>
      <c r="VLS141" s="950"/>
      <c r="VLT141" s="950"/>
      <c r="VLU141" s="950"/>
      <c r="VLV141" s="950"/>
      <c r="VLW141" s="950"/>
      <c r="VLX141" s="950"/>
      <c r="VLY141" s="950"/>
      <c r="VLZ141" s="950"/>
      <c r="VMA141" s="950"/>
      <c r="VMB141" s="950"/>
      <c r="VMC141" s="950"/>
      <c r="VMD141" s="950"/>
      <c r="VME141" s="950"/>
      <c r="VMF141" s="950"/>
      <c r="VMG141" s="950"/>
      <c r="VMH141" s="950"/>
      <c r="VMI141" s="950"/>
      <c r="VMJ141" s="950"/>
      <c r="VMK141" s="950"/>
      <c r="VML141" s="950"/>
      <c r="VMM141" s="950"/>
      <c r="VMN141" s="950"/>
      <c r="VMO141" s="950"/>
      <c r="VMP141" s="950"/>
      <c r="VMQ141" s="950"/>
      <c r="VMR141" s="950"/>
      <c r="VMS141" s="950"/>
      <c r="VMT141" s="950"/>
      <c r="VMU141" s="950"/>
      <c r="VMV141" s="950"/>
      <c r="VMW141" s="950"/>
      <c r="VMX141" s="950"/>
      <c r="VMY141" s="950"/>
      <c r="VMZ141" s="950"/>
      <c r="VNA141" s="950"/>
      <c r="VNB141" s="950"/>
      <c r="VNC141" s="950"/>
      <c r="VND141" s="950"/>
      <c r="VNE141" s="950"/>
      <c r="VNF141" s="950"/>
      <c r="VNG141" s="950"/>
      <c r="VNH141" s="950"/>
      <c r="VNI141" s="950"/>
      <c r="VNJ141" s="950"/>
      <c r="VNK141" s="950"/>
      <c r="VNL141" s="950"/>
      <c r="VNM141" s="950"/>
      <c r="VNN141" s="950"/>
      <c r="VNO141" s="950"/>
      <c r="VNP141" s="950"/>
      <c r="VNQ141" s="950"/>
      <c r="VNR141" s="950"/>
      <c r="VNS141" s="950"/>
      <c r="VNT141" s="950"/>
      <c r="VNU141" s="950"/>
      <c r="VNV141" s="950"/>
      <c r="VNW141" s="950"/>
      <c r="VNX141" s="950"/>
      <c r="VNY141" s="950"/>
      <c r="VNZ141" s="950"/>
      <c r="VOA141" s="950"/>
      <c r="VOB141" s="950"/>
      <c r="VOC141" s="950"/>
      <c r="VOD141" s="950"/>
      <c r="VOE141" s="950"/>
      <c r="VOF141" s="950"/>
      <c r="VOG141" s="950"/>
      <c r="VOH141" s="950"/>
      <c r="VOI141" s="950"/>
      <c r="VOJ141" s="950"/>
      <c r="VOK141" s="950"/>
      <c r="VOL141" s="950"/>
      <c r="VOM141" s="950"/>
      <c r="VON141" s="950"/>
      <c r="VOO141" s="950"/>
      <c r="VOP141" s="950"/>
      <c r="VOQ141" s="950"/>
      <c r="VOR141" s="950"/>
      <c r="VOS141" s="950"/>
      <c r="VOT141" s="950"/>
      <c r="VOU141" s="950"/>
      <c r="VOV141" s="950"/>
      <c r="VOW141" s="950"/>
      <c r="VOX141" s="950"/>
      <c r="VOY141" s="950"/>
      <c r="VOZ141" s="950"/>
      <c r="VPA141" s="950"/>
      <c r="VPB141" s="950"/>
      <c r="VPC141" s="950"/>
      <c r="VPD141" s="950"/>
      <c r="VPE141" s="950"/>
      <c r="VPF141" s="950"/>
      <c r="VPG141" s="950"/>
      <c r="VPH141" s="950"/>
      <c r="VPI141" s="950"/>
      <c r="VPJ141" s="950"/>
      <c r="VPK141" s="950"/>
      <c r="VPL141" s="950"/>
      <c r="VPM141" s="950"/>
      <c r="VPN141" s="950"/>
      <c r="VPO141" s="950"/>
      <c r="VPP141" s="950"/>
      <c r="VPQ141" s="950"/>
      <c r="VPR141" s="950"/>
      <c r="VPS141" s="950"/>
      <c r="VPT141" s="950"/>
      <c r="VPU141" s="950"/>
      <c r="VPV141" s="950"/>
      <c r="VPW141" s="950"/>
      <c r="VPX141" s="950"/>
      <c r="VPY141" s="950"/>
      <c r="VPZ141" s="950"/>
      <c r="VQA141" s="950"/>
      <c r="VQB141" s="950"/>
      <c r="VQC141" s="950"/>
      <c r="VQD141" s="950"/>
      <c r="VQE141" s="950"/>
      <c r="VQF141" s="950"/>
      <c r="VQG141" s="950"/>
      <c r="VQH141" s="950"/>
      <c r="VQI141" s="950"/>
      <c r="VQJ141" s="950"/>
      <c r="VQK141" s="950"/>
      <c r="VQL141" s="950"/>
      <c r="VQM141" s="950"/>
      <c r="VQN141" s="950"/>
      <c r="VQO141" s="950"/>
      <c r="VQP141" s="950"/>
      <c r="VQQ141" s="950"/>
      <c r="VQR141" s="950"/>
      <c r="VQS141" s="950"/>
      <c r="VQT141" s="950"/>
      <c r="VQU141" s="950"/>
      <c r="VQV141" s="950"/>
      <c r="VQW141" s="950"/>
      <c r="VQX141" s="950"/>
      <c r="VQY141" s="950"/>
      <c r="VQZ141" s="950"/>
      <c r="VRA141" s="950"/>
      <c r="VRB141" s="950"/>
      <c r="VRC141" s="950"/>
      <c r="VRD141" s="950"/>
      <c r="VRE141" s="950"/>
      <c r="VRF141" s="950"/>
      <c r="VRG141" s="950"/>
      <c r="VRH141" s="950"/>
      <c r="VRI141" s="950"/>
      <c r="VRJ141" s="950"/>
      <c r="VRK141" s="950"/>
      <c r="VRL141" s="950"/>
      <c r="VRM141" s="950"/>
      <c r="VRN141" s="950"/>
      <c r="VRO141" s="950"/>
      <c r="VRP141" s="950"/>
      <c r="VRQ141" s="950"/>
      <c r="VRR141" s="950"/>
      <c r="VRS141" s="950"/>
      <c r="VRT141" s="950"/>
      <c r="VRU141" s="950"/>
      <c r="VRV141" s="950"/>
      <c r="VRW141" s="950"/>
      <c r="VRX141" s="950"/>
      <c r="VRY141" s="950"/>
      <c r="VRZ141" s="950"/>
      <c r="VSA141" s="950"/>
      <c r="VSB141" s="950"/>
      <c r="VSC141" s="950"/>
      <c r="VSD141" s="950"/>
      <c r="VSE141" s="950"/>
      <c r="VSF141" s="950"/>
      <c r="VSG141" s="950"/>
      <c r="VSH141" s="950"/>
      <c r="VSI141" s="950"/>
      <c r="VSJ141" s="950"/>
      <c r="VSK141" s="950"/>
      <c r="VSL141" s="950"/>
      <c r="VSM141" s="950"/>
      <c r="VSN141" s="950"/>
      <c r="VSO141" s="950"/>
      <c r="VSP141" s="950"/>
      <c r="VSQ141" s="950"/>
      <c r="VSR141" s="950"/>
      <c r="VSS141" s="950"/>
      <c r="VST141" s="950"/>
      <c r="VSU141" s="950"/>
      <c r="VSV141" s="950"/>
      <c r="VSW141" s="950"/>
      <c r="VSX141" s="950"/>
      <c r="VSY141" s="950"/>
      <c r="VSZ141" s="950"/>
      <c r="VTA141" s="950"/>
      <c r="VTB141" s="950"/>
      <c r="VTC141" s="950"/>
      <c r="VTD141" s="950"/>
      <c r="VTE141" s="950"/>
      <c r="VTF141" s="950"/>
      <c r="VTG141" s="950"/>
      <c r="VTH141" s="950"/>
      <c r="VTI141" s="950"/>
      <c r="VTJ141" s="950"/>
      <c r="VTK141" s="950"/>
      <c r="VTL141" s="950"/>
      <c r="VTM141" s="950"/>
      <c r="VTN141" s="950"/>
      <c r="VTO141" s="950"/>
      <c r="VTP141" s="950"/>
      <c r="VTQ141" s="950"/>
      <c r="VTR141" s="950"/>
      <c r="VTS141" s="950"/>
      <c r="VTT141" s="950"/>
      <c r="VTU141" s="950"/>
      <c r="VTV141" s="950"/>
      <c r="VTW141" s="950"/>
      <c r="VTX141" s="950"/>
      <c r="VTY141" s="950"/>
      <c r="VTZ141" s="950"/>
      <c r="VUA141" s="950"/>
      <c r="VUB141" s="950"/>
      <c r="VUC141" s="950"/>
      <c r="VUD141" s="950"/>
      <c r="VUE141" s="950"/>
      <c r="VUF141" s="950"/>
      <c r="VUG141" s="950"/>
      <c r="VUH141" s="950"/>
      <c r="VUI141" s="950"/>
      <c r="VUJ141" s="950"/>
      <c r="VUK141" s="950"/>
      <c r="VUL141" s="950"/>
      <c r="VUM141" s="950"/>
      <c r="VUN141" s="950"/>
      <c r="VUO141" s="950"/>
      <c r="VUP141" s="950"/>
      <c r="VUQ141" s="950"/>
      <c r="VUR141" s="950"/>
      <c r="VUS141" s="950"/>
      <c r="VUT141" s="950"/>
      <c r="VUU141" s="950"/>
      <c r="VUV141" s="950"/>
      <c r="VUW141" s="950"/>
      <c r="VUX141" s="950"/>
      <c r="VUY141" s="950"/>
      <c r="VUZ141" s="950"/>
      <c r="VVA141" s="950"/>
      <c r="VVB141" s="950"/>
      <c r="VVC141" s="950"/>
      <c r="VVD141" s="950"/>
      <c r="VVE141" s="950"/>
      <c r="VVF141" s="950"/>
      <c r="VVG141" s="950"/>
      <c r="VVH141" s="950"/>
      <c r="VVI141" s="950"/>
      <c r="VVJ141" s="950"/>
      <c r="VVK141" s="950"/>
      <c r="VVL141" s="950"/>
      <c r="VVM141" s="950"/>
      <c r="VVN141" s="950"/>
      <c r="VVO141" s="950"/>
      <c r="VVP141" s="950"/>
      <c r="VVQ141" s="950"/>
      <c r="VVR141" s="950"/>
      <c r="VVS141" s="950"/>
      <c r="VVT141" s="950"/>
      <c r="VVU141" s="950"/>
      <c r="VVV141" s="950"/>
      <c r="VVW141" s="950"/>
      <c r="VVX141" s="950"/>
      <c r="VVY141" s="950"/>
      <c r="VVZ141" s="950"/>
      <c r="VWA141" s="950"/>
      <c r="VWB141" s="950"/>
      <c r="VWC141" s="950"/>
      <c r="VWD141" s="950"/>
      <c r="VWE141" s="950"/>
      <c r="VWF141" s="950"/>
      <c r="VWG141" s="950"/>
      <c r="VWH141" s="950"/>
      <c r="VWI141" s="950"/>
      <c r="VWJ141" s="950"/>
      <c r="VWK141" s="950"/>
      <c r="VWL141" s="950"/>
      <c r="VWM141" s="950"/>
      <c r="VWN141" s="950"/>
      <c r="VWO141" s="950"/>
      <c r="VWP141" s="950"/>
      <c r="VWQ141" s="950"/>
      <c r="VWR141" s="950"/>
      <c r="VWS141" s="950"/>
      <c r="VWT141" s="950"/>
      <c r="VWU141" s="950"/>
      <c r="VWV141" s="950"/>
      <c r="VWW141" s="950"/>
      <c r="VWX141" s="950"/>
      <c r="VWY141" s="950"/>
      <c r="VWZ141" s="950"/>
      <c r="VXA141" s="950"/>
      <c r="VXB141" s="950"/>
      <c r="VXC141" s="950"/>
      <c r="VXD141" s="950"/>
      <c r="VXE141" s="950"/>
      <c r="VXF141" s="950"/>
      <c r="VXG141" s="950"/>
      <c r="VXH141" s="950"/>
      <c r="VXI141" s="950"/>
      <c r="VXJ141" s="950"/>
      <c r="VXK141" s="950"/>
      <c r="VXL141" s="950"/>
      <c r="VXM141" s="950"/>
      <c r="VXN141" s="950"/>
      <c r="VXO141" s="950"/>
      <c r="VXP141" s="950"/>
      <c r="VXQ141" s="950"/>
      <c r="VXR141" s="950"/>
      <c r="VXS141" s="950"/>
      <c r="VXT141" s="950"/>
      <c r="VXU141" s="950"/>
      <c r="VXV141" s="950"/>
      <c r="VXW141" s="950"/>
      <c r="VXX141" s="950"/>
      <c r="VXY141" s="950"/>
      <c r="VXZ141" s="950"/>
      <c r="VYA141" s="950"/>
      <c r="VYB141" s="950"/>
      <c r="VYC141" s="950"/>
      <c r="VYD141" s="950"/>
      <c r="VYE141" s="950"/>
      <c r="VYF141" s="950"/>
      <c r="VYG141" s="950"/>
      <c r="VYH141" s="950"/>
      <c r="VYI141" s="950"/>
      <c r="VYJ141" s="950"/>
      <c r="VYK141" s="950"/>
      <c r="VYL141" s="950"/>
      <c r="VYM141" s="950"/>
      <c r="VYN141" s="950"/>
      <c r="VYO141" s="950"/>
      <c r="VYP141" s="950"/>
      <c r="VYQ141" s="950"/>
      <c r="VYR141" s="950"/>
      <c r="VYS141" s="950"/>
      <c r="VYT141" s="950"/>
      <c r="VYU141" s="950"/>
      <c r="VYV141" s="950"/>
      <c r="VYW141" s="950"/>
      <c r="VYX141" s="950"/>
      <c r="VYY141" s="950"/>
      <c r="VYZ141" s="950"/>
      <c r="VZA141" s="950"/>
      <c r="VZB141" s="950"/>
      <c r="VZC141" s="950"/>
      <c r="VZD141" s="950"/>
      <c r="VZE141" s="950"/>
      <c r="VZF141" s="950"/>
      <c r="VZG141" s="950"/>
      <c r="VZH141" s="950"/>
      <c r="VZI141" s="950"/>
      <c r="VZJ141" s="950"/>
      <c r="VZK141" s="950"/>
      <c r="VZL141" s="950"/>
      <c r="VZM141" s="950"/>
      <c r="VZN141" s="950"/>
      <c r="VZO141" s="950"/>
      <c r="VZP141" s="950"/>
      <c r="VZQ141" s="950"/>
      <c r="VZR141" s="950"/>
      <c r="VZS141" s="950"/>
      <c r="VZT141" s="950"/>
      <c r="VZU141" s="950"/>
      <c r="VZV141" s="950"/>
      <c r="VZW141" s="950"/>
      <c r="VZX141" s="950"/>
      <c r="VZY141" s="950"/>
      <c r="VZZ141" s="950"/>
      <c r="WAA141" s="950"/>
      <c r="WAB141" s="950"/>
      <c r="WAC141" s="950"/>
      <c r="WAD141" s="950"/>
      <c r="WAE141" s="950"/>
      <c r="WAF141" s="950"/>
      <c r="WAG141" s="950"/>
      <c r="WAH141" s="950"/>
      <c r="WAI141" s="950"/>
      <c r="WAJ141" s="950"/>
      <c r="WAK141" s="950"/>
      <c r="WAL141" s="950"/>
      <c r="WAM141" s="950"/>
      <c r="WAN141" s="950"/>
      <c r="WAO141" s="950"/>
      <c r="WAP141" s="950"/>
      <c r="WAQ141" s="950"/>
      <c r="WAR141" s="950"/>
      <c r="WAS141" s="950"/>
      <c r="WAT141" s="950"/>
      <c r="WAU141" s="950"/>
      <c r="WAV141" s="950"/>
      <c r="WAW141" s="950"/>
      <c r="WAX141" s="950"/>
      <c r="WAY141" s="950"/>
      <c r="WAZ141" s="950"/>
      <c r="WBA141" s="950"/>
      <c r="WBB141" s="950"/>
      <c r="WBC141" s="950"/>
      <c r="WBD141" s="950"/>
      <c r="WBE141" s="950"/>
      <c r="WBF141" s="950"/>
      <c r="WBG141" s="950"/>
      <c r="WBH141" s="950"/>
      <c r="WBI141" s="950"/>
      <c r="WBJ141" s="950"/>
      <c r="WBK141" s="950"/>
      <c r="WBL141" s="950"/>
      <c r="WBM141" s="950"/>
      <c r="WBN141" s="950"/>
      <c r="WBO141" s="950"/>
      <c r="WBP141" s="950"/>
      <c r="WBQ141" s="950"/>
      <c r="WBR141" s="950"/>
      <c r="WBS141" s="950"/>
      <c r="WBT141" s="950"/>
      <c r="WBU141" s="950"/>
      <c r="WBV141" s="950"/>
      <c r="WBW141" s="950"/>
      <c r="WBX141" s="950"/>
      <c r="WBY141" s="950"/>
      <c r="WBZ141" s="950"/>
      <c r="WCA141" s="950"/>
      <c r="WCB141" s="950"/>
      <c r="WCC141" s="950"/>
      <c r="WCD141" s="950"/>
      <c r="WCE141" s="950"/>
      <c r="WCF141" s="950"/>
      <c r="WCG141" s="950"/>
      <c r="WCH141" s="950"/>
      <c r="WCI141" s="950"/>
      <c r="WCJ141" s="950"/>
      <c r="WCK141" s="950"/>
      <c r="WCL141" s="950"/>
      <c r="WCM141" s="950"/>
      <c r="WCN141" s="950"/>
      <c r="WCO141" s="950"/>
      <c r="WCP141" s="950"/>
      <c r="WCQ141" s="950"/>
      <c r="WCR141" s="950"/>
      <c r="WCS141" s="950"/>
      <c r="WCT141" s="950"/>
      <c r="WCU141" s="950"/>
      <c r="WCV141" s="950"/>
      <c r="WCW141" s="950"/>
      <c r="WCX141" s="950"/>
      <c r="WCY141" s="950"/>
      <c r="WCZ141" s="950"/>
      <c r="WDA141" s="950"/>
      <c r="WDB141" s="950"/>
      <c r="WDC141" s="950"/>
      <c r="WDD141" s="950"/>
      <c r="WDE141" s="950"/>
      <c r="WDF141" s="950"/>
      <c r="WDG141" s="950"/>
      <c r="WDH141" s="950"/>
      <c r="WDI141" s="950"/>
      <c r="WDJ141" s="950"/>
      <c r="WDK141" s="950"/>
      <c r="WDL141" s="950"/>
      <c r="WDM141" s="950"/>
      <c r="WDN141" s="950"/>
      <c r="WDO141" s="950"/>
      <c r="WDP141" s="950"/>
      <c r="WDQ141" s="950"/>
      <c r="WDR141" s="950"/>
      <c r="WDS141" s="950"/>
      <c r="WDT141" s="950"/>
      <c r="WDU141" s="950"/>
      <c r="WDV141" s="950"/>
      <c r="WDW141" s="950"/>
      <c r="WDX141" s="950"/>
      <c r="WDY141" s="950"/>
      <c r="WDZ141" s="950"/>
      <c r="WEA141" s="950"/>
      <c r="WEB141" s="950"/>
      <c r="WEC141" s="950"/>
      <c r="WED141" s="950"/>
      <c r="WEE141" s="950"/>
      <c r="WEF141" s="950"/>
      <c r="WEG141" s="950"/>
      <c r="WEH141" s="950"/>
      <c r="WEI141" s="950"/>
      <c r="WEJ141" s="950"/>
      <c r="WEK141" s="950"/>
      <c r="WEL141" s="950"/>
      <c r="WEM141" s="950"/>
      <c r="WEN141" s="950"/>
      <c r="WEO141" s="950"/>
      <c r="WEP141" s="950"/>
      <c r="WEQ141" s="950"/>
      <c r="WER141" s="950"/>
      <c r="WES141" s="950"/>
      <c r="WET141" s="950"/>
      <c r="WEU141" s="950"/>
      <c r="WEV141" s="950"/>
      <c r="WEW141" s="950"/>
      <c r="WEX141" s="950"/>
      <c r="WEY141" s="950"/>
      <c r="WEZ141" s="950"/>
      <c r="WFA141" s="950"/>
      <c r="WFB141" s="950"/>
      <c r="WFC141" s="950"/>
      <c r="WFD141" s="950"/>
      <c r="WFE141" s="950"/>
      <c r="WFF141" s="950"/>
      <c r="WFG141" s="950"/>
      <c r="WFH141" s="950"/>
      <c r="WFI141" s="950"/>
      <c r="WFJ141" s="950"/>
      <c r="WFK141" s="950"/>
      <c r="WFL141" s="950"/>
      <c r="WFM141" s="950"/>
      <c r="WFN141" s="950"/>
      <c r="WFO141" s="950"/>
      <c r="WFP141" s="950"/>
      <c r="WFQ141" s="950"/>
      <c r="WFR141" s="950"/>
      <c r="WFS141" s="950"/>
      <c r="WFT141" s="950"/>
      <c r="WFU141" s="950"/>
      <c r="WFV141" s="950"/>
      <c r="WFW141" s="950"/>
      <c r="WFX141" s="950"/>
      <c r="WFY141" s="950"/>
      <c r="WFZ141" s="950"/>
      <c r="WGA141" s="950"/>
      <c r="WGB141" s="950"/>
      <c r="WGC141" s="950"/>
      <c r="WGD141" s="950"/>
      <c r="WGE141" s="950"/>
      <c r="WGF141" s="950"/>
      <c r="WGG141" s="950"/>
      <c r="WGH141" s="950"/>
      <c r="WGI141" s="950"/>
      <c r="WGJ141" s="950"/>
      <c r="WGK141" s="950"/>
      <c r="WGL141" s="950"/>
      <c r="WGM141" s="950"/>
      <c r="WGN141" s="950"/>
      <c r="WGO141" s="950"/>
      <c r="WGP141" s="950"/>
      <c r="WGQ141" s="950"/>
      <c r="WGR141" s="950"/>
      <c r="WGS141" s="950"/>
      <c r="WGT141" s="950"/>
      <c r="WGU141" s="950"/>
      <c r="WGV141" s="950"/>
      <c r="WGW141" s="950"/>
      <c r="WGX141" s="950"/>
      <c r="WGY141" s="950"/>
      <c r="WGZ141" s="950"/>
      <c r="WHA141" s="950"/>
      <c r="WHB141" s="950"/>
      <c r="WHC141" s="950"/>
      <c r="WHD141" s="950"/>
      <c r="WHE141" s="950"/>
      <c r="WHF141" s="950"/>
      <c r="WHG141" s="950"/>
      <c r="WHH141" s="950"/>
      <c r="WHI141" s="950"/>
      <c r="WHJ141" s="950"/>
      <c r="WHK141" s="950"/>
      <c r="WHL141" s="950"/>
      <c r="WHM141" s="950"/>
      <c r="WHN141" s="950"/>
      <c r="WHO141" s="950"/>
      <c r="WHP141" s="950"/>
      <c r="WHQ141" s="950"/>
      <c r="WHR141" s="950"/>
      <c r="WHS141" s="950"/>
      <c r="WHT141" s="950"/>
      <c r="WHU141" s="950"/>
      <c r="WHV141" s="950"/>
      <c r="WHW141" s="950"/>
      <c r="WHX141" s="950"/>
      <c r="WHY141" s="950"/>
      <c r="WHZ141" s="950"/>
      <c r="WIA141" s="950"/>
      <c r="WIB141" s="950"/>
      <c r="WIC141" s="950"/>
      <c r="WID141" s="950"/>
      <c r="WIE141" s="950"/>
      <c r="WIF141" s="950"/>
      <c r="WIG141" s="950"/>
      <c r="WIH141" s="950"/>
      <c r="WII141" s="950"/>
      <c r="WIJ141" s="950"/>
      <c r="WIK141" s="950"/>
      <c r="WIL141" s="950"/>
      <c r="WIM141" s="950"/>
      <c r="WIN141" s="950"/>
      <c r="WIO141" s="950"/>
      <c r="WIP141" s="950"/>
      <c r="WIQ141" s="950"/>
      <c r="WIR141" s="950"/>
      <c r="WIS141" s="950"/>
      <c r="WIT141" s="950"/>
      <c r="WIU141" s="950"/>
      <c r="WIV141" s="950"/>
      <c r="WIW141" s="950"/>
      <c r="WIX141" s="950"/>
      <c r="WIY141" s="950"/>
      <c r="WIZ141" s="950"/>
      <c r="WJA141" s="950"/>
      <c r="WJB141" s="950"/>
      <c r="WJC141" s="950"/>
      <c r="WJD141" s="950"/>
      <c r="WJE141" s="950"/>
      <c r="WJF141" s="950"/>
      <c r="WJG141" s="950"/>
      <c r="WJH141" s="950"/>
      <c r="WJI141" s="950"/>
      <c r="WJJ141" s="950"/>
      <c r="WJK141" s="950"/>
      <c r="WJL141" s="950"/>
      <c r="WJM141" s="950"/>
      <c r="WJN141" s="950"/>
      <c r="WJO141" s="950"/>
      <c r="WJP141" s="950"/>
      <c r="WJQ141" s="950"/>
      <c r="WJR141" s="950"/>
      <c r="WJS141" s="950"/>
      <c r="WJT141" s="950"/>
      <c r="WJU141" s="950"/>
      <c r="WJV141" s="950"/>
      <c r="WJW141" s="950"/>
      <c r="WJX141" s="950"/>
      <c r="WJY141" s="950"/>
      <c r="WJZ141" s="950"/>
      <c r="WKA141" s="950"/>
      <c r="WKB141" s="950"/>
      <c r="WKC141" s="950"/>
      <c r="WKD141" s="950"/>
      <c r="WKE141" s="950"/>
      <c r="WKF141" s="950"/>
      <c r="WKG141" s="950"/>
      <c r="WKH141" s="950"/>
      <c r="WKI141" s="950"/>
      <c r="WKJ141" s="950"/>
      <c r="WKK141" s="950"/>
      <c r="WKL141" s="950"/>
      <c r="WKM141" s="950"/>
      <c r="WKN141" s="950"/>
      <c r="WKO141" s="950"/>
      <c r="WKP141" s="950"/>
      <c r="WKQ141" s="950"/>
      <c r="WKR141" s="950"/>
      <c r="WKS141" s="950"/>
      <c r="WKT141" s="950"/>
      <c r="WKU141" s="950"/>
      <c r="WKV141" s="950"/>
      <c r="WKW141" s="950"/>
      <c r="WKX141" s="950"/>
      <c r="WKY141" s="950"/>
      <c r="WKZ141" s="950"/>
      <c r="WLA141" s="950"/>
      <c r="WLB141" s="950"/>
      <c r="WLC141" s="950"/>
      <c r="WLD141" s="950"/>
      <c r="WLE141" s="950"/>
      <c r="WLF141" s="950"/>
      <c r="WLG141" s="950"/>
      <c r="WLH141" s="950"/>
      <c r="WLI141" s="950"/>
      <c r="WLJ141" s="950"/>
      <c r="WLK141" s="950"/>
      <c r="WLL141" s="950"/>
      <c r="WLM141" s="950"/>
      <c r="WLN141" s="950"/>
      <c r="WLO141" s="950"/>
      <c r="WLP141" s="950"/>
      <c r="WLQ141" s="950"/>
      <c r="WLR141" s="950"/>
      <c r="WLS141" s="950"/>
      <c r="WLT141" s="950"/>
      <c r="WLU141" s="950"/>
      <c r="WLV141" s="950"/>
      <c r="WLW141" s="950"/>
      <c r="WLX141" s="950"/>
      <c r="WLY141" s="950"/>
      <c r="WLZ141" s="950"/>
      <c r="WMA141" s="950"/>
      <c r="WMB141" s="950"/>
      <c r="WMC141" s="950"/>
      <c r="WMD141" s="950"/>
      <c r="WME141" s="950"/>
      <c r="WMF141" s="950"/>
      <c r="WMG141" s="950"/>
      <c r="WMH141" s="950"/>
      <c r="WMI141" s="950"/>
      <c r="WMJ141" s="950"/>
      <c r="WMK141" s="950"/>
      <c r="WML141" s="950"/>
      <c r="WMM141" s="950"/>
      <c r="WMN141" s="950"/>
      <c r="WMO141" s="950"/>
      <c r="WMP141" s="950"/>
      <c r="WMQ141" s="950"/>
      <c r="WMR141" s="950"/>
      <c r="WMS141" s="950"/>
      <c r="WMT141" s="950"/>
      <c r="WMU141" s="950"/>
      <c r="WMV141" s="950"/>
      <c r="WMW141" s="950"/>
      <c r="WMX141" s="950"/>
      <c r="WMY141" s="950"/>
      <c r="WMZ141" s="950"/>
      <c r="WNA141" s="950"/>
      <c r="WNB141" s="950"/>
      <c r="WNC141" s="950"/>
      <c r="WND141" s="950"/>
      <c r="WNE141" s="950"/>
      <c r="WNF141" s="950"/>
      <c r="WNG141" s="950"/>
      <c r="WNH141" s="950"/>
      <c r="WNI141" s="950"/>
      <c r="WNJ141" s="950"/>
      <c r="WNK141" s="950"/>
      <c r="WNL141" s="950"/>
      <c r="WNM141" s="950"/>
      <c r="WNN141" s="950"/>
      <c r="WNO141" s="950"/>
      <c r="WNP141" s="950"/>
      <c r="WNQ141" s="950"/>
      <c r="WNR141" s="950"/>
      <c r="WNS141" s="950"/>
      <c r="WNT141" s="950"/>
      <c r="WNU141" s="950"/>
      <c r="WNV141" s="950"/>
      <c r="WNW141" s="950"/>
      <c r="WNX141" s="950"/>
      <c r="WNY141" s="950"/>
      <c r="WNZ141" s="950"/>
      <c r="WOA141" s="950"/>
      <c r="WOB141" s="950"/>
      <c r="WOC141" s="950"/>
      <c r="WOD141" s="950"/>
      <c r="WOE141" s="950"/>
      <c r="WOF141" s="950"/>
      <c r="WOG141" s="950"/>
      <c r="WOH141" s="950"/>
      <c r="WOI141" s="950"/>
      <c r="WOJ141" s="950"/>
      <c r="WOK141" s="950"/>
      <c r="WOL141" s="950"/>
      <c r="WOM141" s="950"/>
      <c r="WON141" s="950"/>
      <c r="WOO141" s="950"/>
      <c r="WOP141" s="950"/>
      <c r="WOQ141" s="950"/>
      <c r="WOR141" s="950"/>
      <c r="WOS141" s="950"/>
      <c r="WOT141" s="950"/>
      <c r="WOU141" s="950"/>
      <c r="WOV141" s="950"/>
      <c r="WOW141" s="950"/>
      <c r="WOX141" s="950"/>
      <c r="WOY141" s="950"/>
      <c r="WOZ141" s="950"/>
      <c r="WPA141" s="950"/>
      <c r="WPB141" s="950"/>
      <c r="WPC141" s="950"/>
      <c r="WPD141" s="950"/>
      <c r="WPE141" s="950"/>
      <c r="WPF141" s="950"/>
      <c r="WPG141" s="950"/>
      <c r="WPH141" s="950"/>
      <c r="WPI141" s="950"/>
      <c r="WPJ141" s="950"/>
      <c r="WPK141" s="950"/>
      <c r="WPL141" s="950"/>
      <c r="WPM141" s="950"/>
      <c r="WPN141" s="950"/>
      <c r="WPO141" s="950"/>
      <c r="WPP141" s="950"/>
      <c r="WPQ141" s="950"/>
      <c r="WPR141" s="950"/>
      <c r="WPS141" s="950"/>
      <c r="WPT141" s="950"/>
      <c r="WPU141" s="950"/>
      <c r="WPV141" s="950"/>
      <c r="WPW141" s="950"/>
      <c r="WPX141" s="950"/>
      <c r="WPY141" s="950"/>
      <c r="WPZ141" s="950"/>
      <c r="WQA141" s="950"/>
      <c r="WQB141" s="950"/>
      <c r="WQC141" s="950"/>
      <c r="WQD141" s="950"/>
      <c r="WQE141" s="950"/>
      <c r="WQF141" s="950"/>
      <c r="WQG141" s="950"/>
      <c r="WQH141" s="950"/>
      <c r="WQI141" s="950"/>
      <c r="WQJ141" s="950"/>
      <c r="WQK141" s="950"/>
      <c r="WQL141" s="950"/>
      <c r="WQM141" s="950"/>
      <c r="WQN141" s="950"/>
      <c r="WQO141" s="950"/>
      <c r="WQP141" s="950"/>
      <c r="WQQ141" s="950"/>
      <c r="WQR141" s="950"/>
      <c r="WQS141" s="950"/>
      <c r="WQT141" s="950"/>
      <c r="WQU141" s="950"/>
      <c r="WQV141" s="950"/>
      <c r="WQW141" s="950"/>
      <c r="WQX141" s="950"/>
      <c r="WQY141" s="950"/>
      <c r="WQZ141" s="950"/>
      <c r="WRA141" s="950"/>
      <c r="WRB141" s="950"/>
      <c r="WRC141" s="950"/>
      <c r="WRD141" s="950"/>
      <c r="WRE141" s="950"/>
      <c r="WRF141" s="950"/>
      <c r="WRG141" s="950"/>
      <c r="WRH141" s="950"/>
      <c r="WRI141" s="950"/>
      <c r="WRJ141" s="950"/>
      <c r="WRK141" s="950"/>
      <c r="WRL141" s="950"/>
      <c r="WRM141" s="950"/>
      <c r="WRN141" s="950"/>
      <c r="WRO141" s="950"/>
      <c r="WRP141" s="950"/>
      <c r="WRQ141" s="950"/>
      <c r="WRR141" s="950"/>
      <c r="WRS141" s="950"/>
      <c r="WRT141" s="950"/>
      <c r="WRU141" s="950"/>
      <c r="WRV141" s="950"/>
      <c r="WRW141" s="950"/>
      <c r="WRX141" s="950"/>
      <c r="WRY141" s="950"/>
      <c r="WRZ141" s="950"/>
      <c r="WSA141" s="950"/>
      <c r="WSB141" s="950"/>
      <c r="WSC141" s="950"/>
      <c r="WSD141" s="950"/>
      <c r="WSE141" s="950"/>
      <c r="WSF141" s="950"/>
      <c r="WSG141" s="950"/>
      <c r="WSH141" s="950"/>
      <c r="WSI141" s="950"/>
      <c r="WSJ141" s="950"/>
      <c r="WSK141" s="950"/>
      <c r="WSL141" s="950"/>
      <c r="WSM141" s="950"/>
      <c r="WSN141" s="950"/>
      <c r="WSO141" s="950"/>
      <c r="WSP141" s="950"/>
      <c r="WSQ141" s="950"/>
      <c r="WSR141" s="950"/>
      <c r="WSS141" s="950"/>
      <c r="WST141" s="950"/>
      <c r="WSU141" s="950"/>
      <c r="WSV141" s="950"/>
      <c r="WSW141" s="950"/>
      <c r="WSX141" s="950"/>
      <c r="WSY141" s="950"/>
      <c r="WSZ141" s="950"/>
      <c r="WTA141" s="950"/>
      <c r="WTB141" s="950"/>
      <c r="WTC141" s="950"/>
      <c r="WTD141" s="950"/>
      <c r="WTE141" s="950"/>
      <c r="WTF141" s="950"/>
      <c r="WTG141" s="950"/>
      <c r="WTH141" s="950"/>
      <c r="WTI141" s="950"/>
      <c r="WTJ141" s="950"/>
      <c r="WTK141" s="950"/>
      <c r="WTL141" s="950"/>
      <c r="WTM141" s="950"/>
      <c r="WTN141" s="950"/>
      <c r="WTO141" s="950"/>
      <c r="WTP141" s="950"/>
      <c r="WTQ141" s="950"/>
      <c r="WTR141" s="950"/>
      <c r="WTS141" s="950"/>
      <c r="WTT141" s="950"/>
      <c r="WTU141" s="950"/>
      <c r="WTV141" s="950"/>
      <c r="WTW141" s="950"/>
      <c r="WTX141" s="950"/>
      <c r="WTY141" s="950"/>
      <c r="WTZ141" s="950"/>
      <c r="WUA141" s="950"/>
      <c r="WUB141" s="950"/>
      <c r="WUC141" s="950"/>
      <c r="WUD141" s="950"/>
      <c r="WUE141" s="950"/>
      <c r="WUF141" s="950"/>
      <c r="WUG141" s="950"/>
      <c r="WUH141" s="950"/>
      <c r="WUI141" s="950"/>
      <c r="WUJ141" s="950"/>
      <c r="WUK141" s="950"/>
      <c r="WUL141" s="950"/>
      <c r="WUM141" s="950"/>
      <c r="WUN141" s="950"/>
      <c r="WUO141" s="950"/>
      <c r="WUP141" s="950"/>
      <c r="WUQ141" s="950"/>
      <c r="WUR141" s="950"/>
      <c r="WUS141" s="950"/>
      <c r="WUT141" s="950"/>
      <c r="WUU141" s="950"/>
      <c r="WUV141" s="950"/>
      <c r="WUW141" s="950"/>
      <c r="WUX141" s="950"/>
      <c r="WUY141" s="950"/>
      <c r="WUZ141" s="950"/>
      <c r="WVA141" s="950"/>
      <c r="WVB141" s="950"/>
      <c r="WVC141" s="950"/>
      <c r="WVD141" s="950"/>
      <c r="WVE141" s="950"/>
      <c r="WVF141" s="950"/>
      <c r="WVG141" s="950"/>
      <c r="WVH141" s="950"/>
      <c r="WVI141" s="950"/>
      <c r="WVJ141" s="950"/>
      <c r="WVK141" s="950"/>
      <c r="WVL141" s="950"/>
      <c r="WVM141" s="950"/>
      <c r="WVN141" s="950"/>
      <c r="WVO141" s="950"/>
      <c r="WVP141" s="950"/>
      <c r="WVQ141" s="950"/>
      <c r="WVR141" s="950"/>
      <c r="WVS141" s="950"/>
      <c r="WVT141" s="950"/>
      <c r="WVU141" s="950"/>
      <c r="WVV141" s="950"/>
      <c r="WVW141" s="950"/>
      <c r="WVX141" s="950"/>
      <c r="WVY141" s="950"/>
      <c r="WVZ141" s="950"/>
      <c r="WWA141" s="950"/>
      <c r="WWB141" s="950"/>
      <c r="WWC141" s="950"/>
      <c r="WWD141" s="950"/>
      <c r="WWE141" s="950"/>
      <c r="WWF141" s="950"/>
      <c r="WWG141" s="950"/>
      <c r="WWH141" s="950"/>
      <c r="WWI141" s="950"/>
      <c r="WWJ141" s="950"/>
      <c r="WWK141" s="950"/>
      <c r="WWL141" s="950"/>
      <c r="WWM141" s="950"/>
      <c r="WWN141" s="950"/>
      <c r="WWO141" s="950"/>
      <c r="WWP141" s="950"/>
      <c r="WWQ141" s="950"/>
      <c r="WWR141" s="950"/>
      <c r="WWS141" s="950"/>
      <c r="WWT141" s="950"/>
      <c r="WWU141" s="950"/>
      <c r="WWV141" s="950"/>
      <c r="WWW141" s="950"/>
      <c r="WWX141" s="950"/>
      <c r="WWY141" s="950"/>
      <c r="WWZ141" s="950"/>
      <c r="WXA141" s="950"/>
      <c r="WXB141" s="950"/>
      <c r="WXC141" s="950"/>
      <c r="WXD141" s="950"/>
      <c r="WXE141" s="950"/>
      <c r="WXF141" s="950"/>
      <c r="WXG141" s="950"/>
      <c r="WXH141" s="950"/>
      <c r="WXI141" s="950"/>
      <c r="WXJ141" s="950"/>
      <c r="WXK141" s="950"/>
      <c r="WXL141" s="950"/>
      <c r="WXM141" s="950"/>
      <c r="WXN141" s="950"/>
      <c r="WXO141" s="950"/>
      <c r="WXP141" s="950"/>
      <c r="WXQ141" s="950"/>
      <c r="WXR141" s="950"/>
      <c r="WXS141" s="950"/>
      <c r="WXT141" s="950"/>
      <c r="WXU141" s="950"/>
      <c r="WXV141" s="950"/>
      <c r="WXW141" s="950"/>
      <c r="WXX141" s="950"/>
      <c r="WXY141" s="950"/>
      <c r="WXZ141" s="950"/>
      <c r="WYA141" s="950"/>
      <c r="WYB141" s="950"/>
      <c r="WYC141" s="950"/>
      <c r="WYD141" s="950"/>
      <c r="WYE141" s="950"/>
      <c r="WYF141" s="950"/>
      <c r="WYG141" s="950"/>
      <c r="WYH141" s="950"/>
      <c r="WYI141" s="950"/>
      <c r="WYJ141" s="950"/>
      <c r="WYK141" s="950"/>
      <c r="WYL141" s="950"/>
      <c r="WYM141" s="950"/>
      <c r="WYN141" s="950"/>
      <c r="WYO141" s="950"/>
      <c r="WYP141" s="950"/>
      <c r="WYQ141" s="950"/>
      <c r="WYR141" s="950"/>
      <c r="WYS141" s="950"/>
      <c r="WYT141" s="950"/>
      <c r="WYU141" s="950"/>
      <c r="WYV141" s="950"/>
      <c r="WYW141" s="950"/>
      <c r="WYX141" s="950"/>
      <c r="WYY141" s="950"/>
      <c r="WYZ141" s="950"/>
      <c r="WZA141" s="950"/>
      <c r="WZB141" s="950"/>
      <c r="WZC141" s="950"/>
      <c r="WZD141" s="950"/>
      <c r="WZE141" s="950"/>
      <c r="WZF141" s="950"/>
      <c r="WZG141" s="950"/>
      <c r="WZH141" s="950"/>
      <c r="WZI141" s="950"/>
      <c r="WZJ141" s="950"/>
      <c r="WZK141" s="950"/>
      <c r="WZL141" s="950"/>
      <c r="WZM141" s="950"/>
      <c r="WZN141" s="950"/>
      <c r="WZO141" s="950"/>
      <c r="WZP141" s="950"/>
      <c r="WZQ141" s="950"/>
      <c r="WZR141" s="950"/>
      <c r="WZS141" s="950"/>
      <c r="WZT141" s="950"/>
      <c r="WZU141" s="950"/>
      <c r="WZV141" s="950"/>
      <c r="WZW141" s="950"/>
      <c r="WZX141" s="950"/>
      <c r="WZY141" s="950"/>
      <c r="WZZ141" s="950"/>
      <c r="XAA141" s="950"/>
      <c r="XAB141" s="950"/>
      <c r="XAC141" s="950"/>
      <c r="XAD141" s="950"/>
      <c r="XAE141" s="950"/>
      <c r="XAF141" s="950"/>
      <c r="XAG141" s="950"/>
      <c r="XAH141" s="950"/>
      <c r="XAI141" s="950"/>
      <c r="XAJ141" s="950"/>
      <c r="XAK141" s="950"/>
      <c r="XAL141" s="950"/>
      <c r="XAM141" s="950"/>
      <c r="XAN141" s="950"/>
      <c r="XAO141" s="950"/>
      <c r="XAP141" s="950"/>
      <c r="XAQ141" s="950"/>
      <c r="XAR141" s="950"/>
      <c r="XAS141" s="950"/>
      <c r="XAT141" s="950"/>
      <c r="XAU141" s="950"/>
      <c r="XAV141" s="950"/>
      <c r="XAW141" s="950"/>
      <c r="XAX141" s="950"/>
      <c r="XAY141" s="950"/>
      <c r="XAZ141" s="950"/>
      <c r="XBA141" s="950"/>
      <c r="XBB141" s="950"/>
      <c r="XBC141" s="950"/>
      <c r="XBD141" s="950"/>
      <c r="XBE141" s="950"/>
      <c r="XBF141" s="950"/>
      <c r="XBG141" s="950"/>
      <c r="XBH141" s="950"/>
      <c r="XBI141" s="950"/>
      <c r="XBJ141" s="950"/>
      <c r="XBK141" s="950"/>
      <c r="XBL141" s="950"/>
      <c r="XBM141" s="950"/>
      <c r="XBN141" s="950"/>
      <c r="XBO141" s="950"/>
      <c r="XBP141" s="950"/>
      <c r="XBQ141" s="950"/>
      <c r="XBR141" s="950"/>
      <c r="XBS141" s="950"/>
      <c r="XBT141" s="950"/>
      <c r="XBU141" s="950"/>
      <c r="XBV141" s="950"/>
      <c r="XBW141" s="950"/>
      <c r="XBX141" s="950"/>
      <c r="XBY141" s="950"/>
      <c r="XBZ141" s="950"/>
      <c r="XCA141" s="950"/>
      <c r="XCB141" s="950"/>
      <c r="XCC141" s="950"/>
      <c r="XCD141" s="950"/>
      <c r="XCE141" s="950"/>
      <c r="XCF141" s="950"/>
      <c r="XCG141" s="950"/>
      <c r="XCH141" s="950"/>
      <c r="XCI141" s="950"/>
      <c r="XCJ141" s="950"/>
      <c r="XCK141" s="950"/>
      <c r="XCL141" s="950"/>
      <c r="XCM141" s="950"/>
      <c r="XCN141" s="950"/>
      <c r="XCO141" s="950"/>
      <c r="XCP141" s="950"/>
      <c r="XCQ141" s="950"/>
      <c r="XCR141" s="950"/>
      <c r="XCS141" s="950"/>
      <c r="XCT141" s="950"/>
      <c r="XCU141" s="950"/>
      <c r="XCV141" s="950"/>
      <c r="XCW141" s="950"/>
      <c r="XCX141" s="950"/>
      <c r="XCY141" s="950"/>
      <c r="XCZ141" s="950"/>
      <c r="XDA141" s="950"/>
      <c r="XDB141" s="950"/>
      <c r="XDC141" s="950"/>
      <c r="XDD141" s="950"/>
      <c r="XDE141" s="950"/>
      <c r="XDF141" s="950"/>
      <c r="XDG141" s="950"/>
      <c r="XDH141" s="950"/>
      <c r="XDI141" s="950"/>
      <c r="XDJ141" s="950"/>
      <c r="XDK141" s="950"/>
      <c r="XDL141" s="950"/>
      <c r="XDM141" s="950"/>
      <c r="XDN141" s="950"/>
      <c r="XDO141" s="950"/>
      <c r="XDP141" s="950"/>
      <c r="XDQ141" s="950"/>
      <c r="XDR141" s="950"/>
      <c r="XDS141" s="950"/>
      <c r="XDT141" s="950"/>
      <c r="XDU141" s="950"/>
      <c r="XDV141" s="950"/>
      <c r="XDW141" s="950"/>
      <c r="XDX141" s="950"/>
      <c r="XDY141" s="950"/>
      <c r="XDZ141" s="950"/>
      <c r="XEA141" s="950"/>
      <c r="XEB141" s="950"/>
      <c r="XEC141" s="950"/>
      <c r="XED141" s="950"/>
      <c r="XEE141" s="950"/>
      <c r="XEF141" s="950"/>
      <c r="XEG141" s="950"/>
      <c r="XEH141" s="950"/>
      <c r="XEI141" s="950"/>
      <c r="XEJ141" s="950"/>
      <c r="XEK141" s="950"/>
      <c r="XEL141" s="950"/>
      <c r="XEM141" s="950"/>
      <c r="XEN141" s="950"/>
      <c r="XEO141" s="950"/>
      <c r="XEP141" s="950"/>
      <c r="XEQ141" s="950"/>
      <c r="XER141" s="950"/>
      <c r="XES141" s="950"/>
      <c r="XET141" s="950"/>
      <c r="XEU141" s="950"/>
      <c r="XEV141" s="950"/>
      <c r="XEW141" s="950"/>
      <c r="XEX141" s="950"/>
      <c r="XEY141" s="950"/>
      <c r="XEZ141" s="950"/>
      <c r="XFA141" s="950"/>
      <c r="XFB141" s="950"/>
    </row>
    <row r="142" spans="1:16382" s="925" customFormat="1" ht="12" customHeight="1">
      <c r="A142" s="914" t="s">
        <v>1694</v>
      </c>
      <c r="B142" s="914" t="s">
        <v>1695</v>
      </c>
      <c r="C142" s="926">
        <v>6.36</v>
      </c>
      <c r="D142" s="926">
        <f>C142</f>
        <v>6.36</v>
      </c>
      <c r="E142" s="926"/>
      <c r="F142" s="926"/>
      <c r="G142" s="927">
        <v>0</v>
      </c>
      <c r="H142" s="927">
        <v>0</v>
      </c>
      <c r="I142" s="927">
        <v>0</v>
      </c>
      <c r="J142" s="927">
        <v>0</v>
      </c>
      <c r="K142" s="927">
        <v>0</v>
      </c>
      <c r="L142" s="927">
        <v>0</v>
      </c>
      <c r="M142" s="927">
        <v>0</v>
      </c>
      <c r="N142" s="927">
        <v>0</v>
      </c>
      <c r="O142" s="927">
        <v>0</v>
      </c>
      <c r="P142" s="927">
        <v>0</v>
      </c>
      <c r="Q142" s="927">
        <v>0</v>
      </c>
      <c r="R142" s="927">
        <v>0</v>
      </c>
      <c r="S142" s="927">
        <v>0</v>
      </c>
      <c r="T142" s="926"/>
      <c r="U142" s="934">
        <f t="shared" si="56"/>
        <v>0</v>
      </c>
      <c r="V142" s="934">
        <f t="shared" si="57"/>
        <v>0</v>
      </c>
      <c r="W142" s="934">
        <f t="shared" si="58"/>
        <v>0</v>
      </c>
      <c r="X142" s="934">
        <f t="shared" si="59"/>
        <v>0</v>
      </c>
      <c r="Y142" s="934">
        <f t="shared" si="60"/>
        <v>0</v>
      </c>
      <c r="Z142" s="934">
        <f t="shared" si="61"/>
        <v>0</v>
      </c>
      <c r="AA142" s="934">
        <f t="shared" si="62"/>
        <v>0</v>
      </c>
      <c r="AB142" s="934">
        <f t="shared" si="63"/>
        <v>0</v>
      </c>
      <c r="AC142" s="934">
        <f t="shared" si="64"/>
        <v>0</v>
      </c>
      <c r="AD142" s="934">
        <f t="shared" si="65"/>
        <v>0</v>
      </c>
      <c r="AE142" s="934">
        <f t="shared" si="66"/>
        <v>0</v>
      </c>
      <c r="AF142" s="934">
        <f t="shared" si="67"/>
        <v>0</v>
      </c>
      <c r="AG142" s="934">
        <f t="shared" si="71"/>
        <v>0</v>
      </c>
      <c r="AH142" s="939">
        <f t="shared" si="72"/>
        <v>0</v>
      </c>
      <c r="AM142" s="947"/>
      <c r="AN142" s="930"/>
      <c r="AQ142" s="928">
        <v>0</v>
      </c>
      <c r="AS142" s="938">
        <f t="shared" ca="1" si="73"/>
        <v>6.7328640277649852</v>
      </c>
      <c r="AT142" s="937">
        <f t="shared" ca="1" si="74"/>
        <v>0</v>
      </c>
      <c r="AU142" s="937"/>
      <c r="AV142" s="936">
        <f t="shared" ca="1" si="75"/>
        <v>0</v>
      </c>
      <c r="BE142" s="928">
        <f t="shared" si="68"/>
        <v>0</v>
      </c>
      <c r="BG142" s="928">
        <f t="shared" si="69"/>
        <v>0</v>
      </c>
      <c r="BI142" s="928">
        <f t="shared" si="70"/>
        <v>0</v>
      </c>
    </row>
    <row r="143" spans="1:16382" s="925" customFormat="1" ht="12" customHeight="1">
      <c r="A143" s="914" t="s">
        <v>1696</v>
      </c>
      <c r="B143" s="914" t="s">
        <v>1697</v>
      </c>
      <c r="C143" s="926">
        <v>0</v>
      </c>
      <c r="D143" s="926">
        <v>0</v>
      </c>
      <c r="E143" s="926"/>
      <c r="F143" s="926"/>
      <c r="G143" s="927">
        <v>0</v>
      </c>
      <c r="H143" s="927">
        <v>0</v>
      </c>
      <c r="I143" s="927">
        <v>350</v>
      </c>
      <c r="J143" s="927">
        <v>0</v>
      </c>
      <c r="K143" s="927">
        <v>0</v>
      </c>
      <c r="L143" s="927">
        <v>0</v>
      </c>
      <c r="M143" s="927">
        <v>250</v>
      </c>
      <c r="N143" s="927">
        <v>200</v>
      </c>
      <c r="O143" s="927">
        <v>0</v>
      </c>
      <c r="P143" s="927">
        <v>0</v>
      </c>
      <c r="Q143" s="927">
        <v>0</v>
      </c>
      <c r="R143" s="927">
        <v>0</v>
      </c>
      <c r="S143" s="927">
        <v>800</v>
      </c>
      <c r="T143" s="926"/>
      <c r="U143" s="934">
        <f t="shared" si="56"/>
        <v>0</v>
      </c>
      <c r="V143" s="934">
        <f t="shared" si="57"/>
        <v>0</v>
      </c>
      <c r="W143" s="934">
        <f t="shared" si="58"/>
        <v>0</v>
      </c>
      <c r="X143" s="934">
        <f t="shared" si="59"/>
        <v>0</v>
      </c>
      <c r="Y143" s="934">
        <f t="shared" si="60"/>
        <v>0</v>
      </c>
      <c r="Z143" s="934">
        <f t="shared" si="61"/>
        <v>0</v>
      </c>
      <c r="AA143" s="934">
        <f t="shared" si="62"/>
        <v>0</v>
      </c>
      <c r="AB143" s="934">
        <f t="shared" si="63"/>
        <v>0</v>
      </c>
      <c r="AC143" s="934">
        <f t="shared" si="64"/>
        <v>0</v>
      </c>
      <c r="AD143" s="934">
        <f t="shared" si="65"/>
        <v>0</v>
      </c>
      <c r="AE143" s="934">
        <f t="shared" si="66"/>
        <v>0</v>
      </c>
      <c r="AF143" s="934">
        <f t="shared" si="67"/>
        <v>0</v>
      </c>
      <c r="AG143" s="934">
        <f t="shared" si="71"/>
        <v>0</v>
      </c>
      <c r="AH143" s="939">
        <f t="shared" si="72"/>
        <v>0</v>
      </c>
      <c r="AM143" s="947"/>
      <c r="AN143" s="930"/>
      <c r="AQ143" s="928">
        <v>0</v>
      </c>
      <c r="AS143" s="938"/>
      <c r="AT143" s="937"/>
      <c r="AU143" s="937"/>
      <c r="AV143" s="936"/>
      <c r="BE143" s="928">
        <f t="shared" si="68"/>
        <v>0</v>
      </c>
      <c r="BG143" s="928">
        <f t="shared" si="69"/>
        <v>0</v>
      </c>
      <c r="BI143" s="928">
        <f t="shared" si="70"/>
        <v>0</v>
      </c>
    </row>
    <row r="144" spans="1:16382" s="925" customFormat="1" ht="12" customHeight="1" thickBot="1">
      <c r="A144" s="919"/>
      <c r="B144" s="919"/>
      <c r="C144" s="926"/>
      <c r="D144" s="926"/>
      <c r="E144" s="926"/>
      <c r="F144" s="926"/>
      <c r="G144" s="927"/>
      <c r="H144" s="927"/>
      <c r="I144" s="927"/>
      <c r="J144" s="927"/>
      <c r="K144" s="927"/>
      <c r="L144" s="927"/>
      <c r="M144" s="927"/>
      <c r="N144" s="927"/>
      <c r="O144" s="927"/>
      <c r="P144" s="927"/>
      <c r="Q144" s="927"/>
      <c r="R144" s="927"/>
      <c r="S144" s="927"/>
      <c r="T144" s="926"/>
      <c r="U144" s="914"/>
      <c r="V144" s="914"/>
      <c r="W144" s="914"/>
      <c r="X144" s="914"/>
      <c r="Y144" s="914"/>
      <c r="Z144" s="914"/>
      <c r="AA144" s="914"/>
      <c r="AB144" s="914"/>
      <c r="AC144" s="914"/>
      <c r="AD144" s="914"/>
      <c r="AE144" s="914"/>
      <c r="AF144" s="914"/>
      <c r="AG144" s="914"/>
      <c r="AM144" s="947"/>
      <c r="AN144" s="930"/>
      <c r="BE144" s="928">
        <f t="shared" si="68"/>
        <v>0</v>
      </c>
      <c r="BG144" s="928">
        <f t="shared" si="69"/>
        <v>0</v>
      </c>
      <c r="BI144" s="928">
        <f t="shared" si="70"/>
        <v>0</v>
      </c>
    </row>
    <row r="145" spans="1:61" s="925" customFormat="1" ht="12" customHeight="1" thickBot="1">
      <c r="A145" s="949"/>
      <c r="B145" s="924" t="s">
        <v>1698</v>
      </c>
      <c r="C145" s="926"/>
      <c r="D145" s="926"/>
      <c r="E145" s="926"/>
      <c r="F145" s="926"/>
      <c r="G145" s="922">
        <v>524942.03</v>
      </c>
      <c r="H145" s="922">
        <v>571706.30499999993</v>
      </c>
      <c r="I145" s="922">
        <v>583157.18000000005</v>
      </c>
      <c r="J145" s="922">
        <v>581106.2000000003</v>
      </c>
      <c r="K145" s="922">
        <v>581896.02500000026</v>
      </c>
      <c r="L145" s="922">
        <v>581386.19499999995</v>
      </c>
      <c r="M145" s="922">
        <v>578562.27000000014</v>
      </c>
      <c r="N145" s="922">
        <v>570954.62500000012</v>
      </c>
      <c r="O145" s="922">
        <v>570794.80000000028</v>
      </c>
      <c r="P145" s="922">
        <v>563949.7000000003</v>
      </c>
      <c r="Q145" s="922">
        <v>563183.63500000024</v>
      </c>
      <c r="R145" s="922">
        <v>568859.12500000012</v>
      </c>
      <c r="S145" s="922">
        <v>6840498.089999998</v>
      </c>
      <c r="T145" s="926"/>
      <c r="U145" s="935">
        <f t="shared" ref="U145:AH145" si="76">SUM(U60:U99)</f>
        <v>8071.0754883953814</v>
      </c>
      <c r="V145" s="935">
        <f t="shared" si="76"/>
        <v>8876.4962968448945</v>
      </c>
      <c r="W145" s="935">
        <f t="shared" si="76"/>
        <v>8969.9397360367966</v>
      </c>
      <c r="X145" s="935">
        <f t="shared" si="76"/>
        <v>8937.4331582538216</v>
      </c>
      <c r="Y145" s="935">
        <f t="shared" si="76"/>
        <v>8944.9368494528935</v>
      </c>
      <c r="Z145" s="935">
        <f t="shared" si="76"/>
        <v>8913.3276076156253</v>
      </c>
      <c r="AA145" s="935">
        <f t="shared" si="76"/>
        <v>8828.1427023482465</v>
      </c>
      <c r="AB145" s="935">
        <f t="shared" si="76"/>
        <v>8699.0618683063276</v>
      </c>
      <c r="AC145" s="935">
        <f t="shared" si="76"/>
        <v>8683.0400533398388</v>
      </c>
      <c r="AD145" s="935">
        <f t="shared" si="76"/>
        <v>8577.8578212149168</v>
      </c>
      <c r="AE145" s="935">
        <f t="shared" si="76"/>
        <v>8582.4999614195731</v>
      </c>
      <c r="AF145" s="935">
        <f t="shared" si="76"/>
        <v>8546.8255627837098</v>
      </c>
      <c r="AG145" s="935">
        <f t="shared" si="76"/>
        <v>104630.63710601203</v>
      </c>
      <c r="AH145" s="935">
        <f t="shared" si="76"/>
        <v>8719.219758834337</v>
      </c>
      <c r="AM145" s="947"/>
      <c r="AN145" s="930"/>
      <c r="AT145" s="922">
        <f ca="1">SUM(AT60:AT143)</f>
        <v>7068857.6592662307</v>
      </c>
      <c r="AV145" s="922">
        <f ca="1">SUM(AV60:AV143)</f>
        <v>229159.56926622789</v>
      </c>
      <c r="BD145" s="922">
        <f t="shared" ref="BD145:BI145" si="77">SUM(BD60:BD143)</f>
        <v>4</v>
      </c>
      <c r="BE145" s="922">
        <f t="shared" si="77"/>
        <v>1512.3280945771471</v>
      </c>
      <c r="BF145" s="922">
        <f t="shared" si="77"/>
        <v>26</v>
      </c>
      <c r="BG145" s="922">
        <f t="shared" si="77"/>
        <v>6216.7826319062133</v>
      </c>
      <c r="BH145" s="922">
        <f t="shared" si="77"/>
        <v>0</v>
      </c>
      <c r="BI145" s="922">
        <f t="shared" si="77"/>
        <v>0</v>
      </c>
    </row>
    <row r="146" spans="1:61" s="925" customFormat="1" ht="12" customHeight="1">
      <c r="A146" s="949"/>
      <c r="B146" s="949"/>
      <c r="C146" s="926"/>
      <c r="D146" s="926"/>
      <c r="E146" s="926"/>
      <c r="F146" s="926"/>
      <c r="G146" s="927"/>
      <c r="H146" s="927"/>
      <c r="I146" s="927"/>
      <c r="J146" s="927"/>
      <c r="K146" s="927"/>
      <c r="L146" s="927"/>
      <c r="M146" s="927"/>
      <c r="N146" s="927"/>
      <c r="O146" s="927"/>
      <c r="P146" s="927"/>
      <c r="Q146" s="927"/>
      <c r="R146" s="927"/>
      <c r="S146" s="927"/>
      <c r="T146" s="926"/>
      <c r="U146" s="914"/>
      <c r="V146" s="914"/>
      <c r="W146" s="914"/>
      <c r="X146" s="914"/>
      <c r="Y146" s="914"/>
      <c r="Z146" s="914"/>
      <c r="AA146" s="914"/>
      <c r="AB146" s="914"/>
      <c r="AC146" s="914"/>
      <c r="AD146" s="914"/>
      <c r="AE146" s="914"/>
      <c r="AF146" s="914"/>
      <c r="AG146" s="914"/>
      <c r="AM146" s="947"/>
      <c r="AN146" s="930"/>
      <c r="AS146" s="923"/>
      <c r="BE146" s="928">
        <f t="shared" ref="BE146:BE177" si="78">$AQ146*$BD146</f>
        <v>0</v>
      </c>
      <c r="BG146" s="928">
        <f t="shared" ref="BG146:BG177" si="79">$AQ146*$BF146</f>
        <v>0</v>
      </c>
      <c r="BI146" s="928">
        <f t="shared" ref="BI146:BI177" si="80">$AQ146*$BH146</f>
        <v>0</v>
      </c>
    </row>
    <row r="147" spans="1:61" ht="12" customHeight="1">
      <c r="A147" s="948" t="s">
        <v>1699</v>
      </c>
      <c r="B147" s="948" t="s">
        <v>1699</v>
      </c>
      <c r="C147" s="919"/>
      <c r="D147" s="919"/>
      <c r="E147" s="919"/>
      <c r="F147" s="919"/>
      <c r="T147" s="919"/>
      <c r="AM147" s="947"/>
      <c r="AN147" s="930"/>
      <c r="BE147" s="928">
        <f t="shared" si="78"/>
        <v>0</v>
      </c>
      <c r="BG147" s="928">
        <f t="shared" si="79"/>
        <v>0</v>
      </c>
      <c r="BI147" s="928">
        <f t="shared" si="80"/>
        <v>0</v>
      </c>
    </row>
    <row r="148" spans="1:61" ht="12" customHeight="1">
      <c r="A148" s="931"/>
      <c r="B148" s="931"/>
      <c r="C148" s="919"/>
      <c r="D148" s="919"/>
      <c r="E148" s="919"/>
      <c r="F148" s="919"/>
      <c r="T148" s="919"/>
      <c r="AM148" s="947"/>
      <c r="AN148" s="930"/>
      <c r="BE148" s="928">
        <f t="shared" si="78"/>
        <v>0</v>
      </c>
      <c r="BG148" s="928">
        <f t="shared" si="79"/>
        <v>0</v>
      </c>
      <c r="BI148" s="928">
        <f t="shared" si="80"/>
        <v>0</v>
      </c>
    </row>
    <row r="149" spans="1:61" ht="12" customHeight="1">
      <c r="A149" s="920" t="s">
        <v>1700</v>
      </c>
      <c r="B149" s="920" t="s">
        <v>1700</v>
      </c>
      <c r="C149" s="919"/>
      <c r="D149" s="919"/>
      <c r="E149" s="919"/>
      <c r="F149" s="919"/>
      <c r="T149" s="919"/>
      <c r="AM149" s="947"/>
      <c r="AN149" s="930"/>
      <c r="BE149" s="928">
        <f t="shared" si="78"/>
        <v>0</v>
      </c>
      <c r="BG149" s="928">
        <f t="shared" si="79"/>
        <v>0</v>
      </c>
      <c r="BI149" s="928">
        <f t="shared" si="80"/>
        <v>0</v>
      </c>
    </row>
    <row r="150" spans="1:61" ht="12" customHeight="1">
      <c r="A150" s="914" t="s">
        <v>1701</v>
      </c>
      <c r="B150" s="914" t="s">
        <v>1702</v>
      </c>
      <c r="C150" s="926">
        <v>93.02</v>
      </c>
      <c r="D150" s="926">
        <v>93.58</v>
      </c>
      <c r="E150" s="919"/>
      <c r="F150" s="919"/>
      <c r="G150" s="927">
        <v>22296.01</v>
      </c>
      <c r="H150" s="927">
        <v>20488.54</v>
      </c>
      <c r="I150" s="927">
        <v>19223.27</v>
      </c>
      <c r="J150" s="927">
        <v>17939.919999999998</v>
      </c>
      <c r="K150" s="927">
        <v>17003.25</v>
      </c>
      <c r="L150" s="927">
        <v>15794.36</v>
      </c>
      <c r="M150" s="927">
        <v>15893.420000000002</v>
      </c>
      <c r="N150" s="927">
        <v>15513.19</v>
      </c>
      <c r="O150" s="927">
        <v>14865.16</v>
      </c>
      <c r="P150" s="927">
        <v>11402.7</v>
      </c>
      <c r="Q150" s="927">
        <v>13641.59</v>
      </c>
      <c r="R150" s="927">
        <v>16441.96</v>
      </c>
      <c r="S150" s="927">
        <v>200503.37</v>
      </c>
      <c r="T150" s="919"/>
      <c r="U150" s="934">
        <f t="shared" ref="U150:U166" si="81">G150/$C150</f>
        <v>239.69049666738334</v>
      </c>
      <c r="V150" s="934">
        <f t="shared" ref="V150:V166" si="82">H150/$C150</f>
        <v>220.25951408299292</v>
      </c>
      <c r="W150" s="934">
        <f t="shared" ref="W150:W166" si="83">I150/$C150</f>
        <v>206.65738550849281</v>
      </c>
      <c r="X150" s="934">
        <f t="shared" ref="X150:X166" si="84">J150/$C150</f>
        <v>192.86089013115458</v>
      </c>
      <c r="Y150" s="934">
        <f t="shared" ref="Y150:Y166" si="85">K150/$C150</f>
        <v>182.79133519673189</v>
      </c>
      <c r="Z150" s="934">
        <f t="shared" ref="Z150:Z166" si="86">L150/$D150</f>
        <v>168.77922633041248</v>
      </c>
      <c r="AA150" s="934">
        <f t="shared" ref="AA150:AA166" si="87">M150/$D150</f>
        <v>169.83778585167772</v>
      </c>
      <c r="AB150" s="934">
        <f t="shared" ref="AB150:AB166" si="88">N150/$D150</f>
        <v>165.77463133148109</v>
      </c>
      <c r="AC150" s="934">
        <f t="shared" ref="AC150:AC166" si="89">O150/$D150</f>
        <v>158.84975422098739</v>
      </c>
      <c r="AD150" s="934">
        <f t="shared" ref="AD150:AD166" si="90">P150/$D150</f>
        <v>121.84975422098741</v>
      </c>
      <c r="AE150" s="934">
        <f t="shared" ref="AE150:AE166" si="91">Q150/$D150</f>
        <v>145.77463133148109</v>
      </c>
      <c r="AF150" s="934">
        <f t="shared" ref="AF150:AF166" si="92">R150/$D150</f>
        <v>175.69950844197479</v>
      </c>
      <c r="AG150" s="934">
        <f t="shared" ref="AG150:AG176" si="93">+SUM(U150:AF150)</f>
        <v>2148.8249133157578</v>
      </c>
      <c r="AH150" s="939">
        <f t="shared" ref="AH150:AH176" si="94">SUM(U150:AF150)/12</f>
        <v>179.06874277631314</v>
      </c>
      <c r="AM150" s="947"/>
      <c r="AN150" s="930"/>
      <c r="AQ150" s="928">
        <v>179.06874277631314</v>
      </c>
      <c r="AS150" s="938">
        <f t="shared" ref="AS150:AS176" ca="1" si="95">D150*(1+$BA$2)</f>
        <v>99.066260333057755</v>
      </c>
      <c r="AT150" s="937">
        <f t="shared" ref="AT150:AT166" ca="1" si="96">AQ150*AS150*12</f>
        <v>212876.04827269912</v>
      </c>
      <c r="AU150" s="937"/>
      <c r="AV150" s="936">
        <f t="shared" ref="AV150:AV176" ca="1" si="97">AT150+AU150-S150</f>
        <v>12372.678272699122</v>
      </c>
      <c r="BE150" s="928">
        <f t="shared" si="78"/>
        <v>0</v>
      </c>
      <c r="BG150" s="928">
        <f t="shared" si="79"/>
        <v>0</v>
      </c>
      <c r="BI150" s="928">
        <f t="shared" si="80"/>
        <v>0</v>
      </c>
    </row>
    <row r="151" spans="1:61" ht="12" customHeight="1">
      <c r="A151" s="914" t="s">
        <v>1703</v>
      </c>
      <c r="B151" s="914" t="s">
        <v>1704</v>
      </c>
      <c r="C151" s="926">
        <v>104.26</v>
      </c>
      <c r="D151" s="926">
        <v>104.89</v>
      </c>
      <c r="E151" s="919"/>
      <c r="F151" s="919"/>
      <c r="G151" s="927">
        <v>50288.32</v>
      </c>
      <c r="H151" s="927">
        <v>48938.7</v>
      </c>
      <c r="I151" s="927">
        <v>53279.600000000006</v>
      </c>
      <c r="J151" s="927">
        <v>50044.800000000003</v>
      </c>
      <c r="K151" s="927">
        <v>49940.54</v>
      </c>
      <c r="L151" s="927">
        <v>52222.82</v>
      </c>
      <c r="M151" s="927">
        <v>48563.1</v>
      </c>
      <c r="N151" s="927">
        <v>45733.78</v>
      </c>
      <c r="O151" s="927">
        <v>38075.070000000007</v>
      </c>
      <c r="P151" s="927">
        <v>33145.24</v>
      </c>
      <c r="Q151" s="927">
        <v>40164.979999999996</v>
      </c>
      <c r="R151" s="927">
        <v>46885.83</v>
      </c>
      <c r="S151" s="927">
        <v>557282.77999999991</v>
      </c>
      <c r="T151" s="919"/>
      <c r="U151" s="934">
        <f t="shared" si="81"/>
        <v>482.33569921350465</v>
      </c>
      <c r="V151" s="934">
        <f t="shared" si="82"/>
        <v>469.39094571264144</v>
      </c>
      <c r="W151" s="934">
        <f t="shared" si="83"/>
        <v>511.02628045271439</v>
      </c>
      <c r="X151" s="934">
        <f t="shared" si="84"/>
        <v>480</v>
      </c>
      <c r="Y151" s="934">
        <f t="shared" si="85"/>
        <v>479</v>
      </c>
      <c r="Z151" s="934">
        <f t="shared" si="86"/>
        <v>497.88178091333776</v>
      </c>
      <c r="AA151" s="934">
        <f t="shared" si="87"/>
        <v>462.99075221660786</v>
      </c>
      <c r="AB151" s="934">
        <f t="shared" si="88"/>
        <v>436.01658880732197</v>
      </c>
      <c r="AC151" s="934">
        <f t="shared" si="89"/>
        <v>363.00000000000006</v>
      </c>
      <c r="AD151" s="934">
        <f t="shared" si="90"/>
        <v>316</v>
      </c>
      <c r="AE151" s="934">
        <f t="shared" si="91"/>
        <v>382.92477833921248</v>
      </c>
      <c r="AF151" s="934">
        <f t="shared" si="92"/>
        <v>447</v>
      </c>
      <c r="AG151" s="934">
        <f t="shared" si="93"/>
        <v>5327.5668256553417</v>
      </c>
      <c r="AH151" s="939">
        <f t="shared" si="94"/>
        <v>443.96390213794513</v>
      </c>
      <c r="AK151" s="930"/>
      <c r="AM151" s="947"/>
      <c r="AN151" s="930"/>
      <c r="AQ151" s="928">
        <v>443.96390213794513</v>
      </c>
      <c r="AS151" s="938">
        <f t="shared" ca="1" si="95"/>
        <v>111.03932513714926</v>
      </c>
      <c r="AT151" s="937">
        <f t="shared" ca="1" si="96"/>
        <v>591569.42494383373</v>
      </c>
      <c r="AU151" s="937"/>
      <c r="AV151" s="936">
        <f t="shared" ca="1" si="97"/>
        <v>34286.644943833817</v>
      </c>
      <c r="BE151" s="928">
        <f t="shared" si="78"/>
        <v>0</v>
      </c>
      <c r="BG151" s="928">
        <f t="shared" si="79"/>
        <v>0</v>
      </c>
      <c r="BI151" s="928">
        <f t="shared" si="80"/>
        <v>0</v>
      </c>
    </row>
    <row r="152" spans="1:61" ht="12" customHeight="1">
      <c r="A152" s="914" t="s">
        <v>1705</v>
      </c>
      <c r="B152" s="914" t="s">
        <v>1706</v>
      </c>
      <c r="C152" s="926">
        <v>128.15</v>
      </c>
      <c r="D152" s="926">
        <v>128.91999999999999</v>
      </c>
      <c r="E152" s="919"/>
      <c r="F152" s="919"/>
      <c r="G152" s="927">
        <v>34474.65</v>
      </c>
      <c r="H152" s="927">
        <v>36700.160000000003</v>
      </c>
      <c r="I152" s="927">
        <v>41857.39</v>
      </c>
      <c r="J152" s="927">
        <v>38870.07</v>
      </c>
      <c r="K152" s="927">
        <v>34364.509999999995</v>
      </c>
      <c r="L152" s="927">
        <v>37080.629999999997</v>
      </c>
      <c r="M152" s="927">
        <v>34901.4</v>
      </c>
      <c r="N152" s="927">
        <v>31550.25</v>
      </c>
      <c r="O152" s="927">
        <v>29596.91</v>
      </c>
      <c r="P152" s="927">
        <v>25595.97</v>
      </c>
      <c r="Q152" s="927">
        <v>29627.64</v>
      </c>
      <c r="R152" s="927">
        <v>35635.919999999998</v>
      </c>
      <c r="S152" s="927">
        <v>410255.49999999994</v>
      </c>
      <c r="T152" s="919"/>
      <c r="U152" s="934">
        <f t="shared" si="81"/>
        <v>269.01794771751855</v>
      </c>
      <c r="V152" s="934">
        <f t="shared" si="82"/>
        <v>286.38439328911431</v>
      </c>
      <c r="W152" s="934">
        <f t="shared" si="83"/>
        <v>326.62809207959418</v>
      </c>
      <c r="X152" s="934">
        <f t="shared" si="84"/>
        <v>303.31697229808816</v>
      </c>
      <c r="Y152" s="934">
        <f t="shared" si="85"/>
        <v>268.15848614904405</v>
      </c>
      <c r="Z152" s="934">
        <f t="shared" si="86"/>
        <v>287.62511635122559</v>
      </c>
      <c r="AA152" s="934">
        <f t="shared" si="87"/>
        <v>270.72137759851074</v>
      </c>
      <c r="AB152" s="934">
        <f t="shared" si="88"/>
        <v>244.72735029475646</v>
      </c>
      <c r="AC152" s="934">
        <f t="shared" si="89"/>
        <v>229.57578343158551</v>
      </c>
      <c r="AD152" s="934">
        <f t="shared" si="90"/>
        <v>198.54149860378533</v>
      </c>
      <c r="AE152" s="934">
        <f t="shared" si="91"/>
        <v>229.81414830902887</v>
      </c>
      <c r="AF152" s="934">
        <f t="shared" si="92"/>
        <v>276.41886441203849</v>
      </c>
      <c r="AG152" s="934">
        <f t="shared" si="93"/>
        <v>3190.9300305342908</v>
      </c>
      <c r="AH152" s="939">
        <f t="shared" si="94"/>
        <v>265.91083587785755</v>
      </c>
      <c r="AK152" s="930"/>
      <c r="AM152" s="947"/>
      <c r="AN152" s="930"/>
      <c r="AQ152" s="928">
        <v>265.91083587785755</v>
      </c>
      <c r="AS152" s="938">
        <f t="shared" ca="1" si="95"/>
        <v>136.47811799677072</v>
      </c>
      <c r="AT152" s="937">
        <f t="shared" ca="1" si="96"/>
        <v>435492.12522669812</v>
      </c>
      <c r="AU152" s="937"/>
      <c r="AV152" s="936">
        <f t="shared" ca="1" si="97"/>
        <v>25236.625226698176</v>
      </c>
      <c r="BE152" s="928">
        <f t="shared" si="78"/>
        <v>0</v>
      </c>
      <c r="BG152" s="928">
        <f t="shared" si="79"/>
        <v>0</v>
      </c>
      <c r="BI152" s="928">
        <f t="shared" si="80"/>
        <v>0</v>
      </c>
    </row>
    <row r="153" spans="1:61" ht="12" customHeight="1">
      <c r="A153" s="914" t="s">
        <v>1707</v>
      </c>
      <c r="B153" s="914" t="s">
        <v>1708</v>
      </c>
      <c r="C153" s="926">
        <v>128.15</v>
      </c>
      <c r="D153" s="926">
        <v>128.91999999999999</v>
      </c>
      <c r="E153" s="919"/>
      <c r="F153" s="919"/>
      <c r="G153" s="927">
        <v>1554.28</v>
      </c>
      <c r="H153" s="927">
        <v>1922.25</v>
      </c>
      <c r="I153" s="927">
        <v>1153.3499999999999</v>
      </c>
      <c r="J153" s="927">
        <v>768.9</v>
      </c>
      <c r="K153" s="927">
        <v>1794.1</v>
      </c>
      <c r="L153" s="927">
        <v>386.76</v>
      </c>
      <c r="M153" s="927">
        <v>3738.68</v>
      </c>
      <c r="N153" s="927">
        <v>1160.28</v>
      </c>
      <c r="O153" s="927">
        <v>1031.3599999999999</v>
      </c>
      <c r="P153" s="927">
        <v>128.91999999999999</v>
      </c>
      <c r="Q153" s="927">
        <v>386.76</v>
      </c>
      <c r="R153" s="927">
        <v>1804.88</v>
      </c>
      <c r="S153" s="927">
        <v>15830.52</v>
      </c>
      <c r="T153" s="919"/>
      <c r="U153" s="934">
        <f t="shared" si="81"/>
        <v>12.12859929769801</v>
      </c>
      <c r="V153" s="934">
        <f t="shared" si="82"/>
        <v>15</v>
      </c>
      <c r="W153" s="934">
        <f t="shared" si="83"/>
        <v>8.9999999999999982</v>
      </c>
      <c r="X153" s="934">
        <f t="shared" si="84"/>
        <v>6</v>
      </c>
      <c r="Y153" s="934">
        <f t="shared" si="85"/>
        <v>13.999999999999998</v>
      </c>
      <c r="Z153" s="934">
        <f t="shared" si="86"/>
        <v>3</v>
      </c>
      <c r="AA153" s="934">
        <f t="shared" si="87"/>
        <v>29</v>
      </c>
      <c r="AB153" s="934">
        <f t="shared" si="88"/>
        <v>9</v>
      </c>
      <c r="AC153" s="934">
        <f t="shared" si="89"/>
        <v>8</v>
      </c>
      <c r="AD153" s="934">
        <f t="shared" si="90"/>
        <v>1</v>
      </c>
      <c r="AE153" s="934">
        <f t="shared" si="91"/>
        <v>3</v>
      </c>
      <c r="AF153" s="934">
        <f t="shared" si="92"/>
        <v>14.000000000000002</v>
      </c>
      <c r="AG153" s="934">
        <f t="shared" si="93"/>
        <v>123.128599297698</v>
      </c>
      <c r="AH153" s="939">
        <f t="shared" si="94"/>
        <v>10.2607166081415</v>
      </c>
      <c r="AK153" s="930"/>
      <c r="AM153" s="947"/>
      <c r="AN153" s="930"/>
      <c r="AQ153" s="928">
        <v>10.2607166081415</v>
      </c>
      <c r="AS153" s="938">
        <f t="shared" ca="1" si="95"/>
        <v>136.47811799677072</v>
      </c>
      <c r="AT153" s="937">
        <f t="shared" ca="1" si="96"/>
        <v>16804.359503728327</v>
      </c>
      <c r="AU153" s="937"/>
      <c r="AV153" s="936">
        <f t="shared" ca="1" si="97"/>
        <v>973.83950372832624</v>
      </c>
      <c r="BE153" s="928">
        <f t="shared" si="78"/>
        <v>0</v>
      </c>
      <c r="BG153" s="928">
        <f t="shared" si="79"/>
        <v>0</v>
      </c>
      <c r="BI153" s="928">
        <f t="shared" si="80"/>
        <v>0</v>
      </c>
    </row>
    <row r="154" spans="1:61" ht="12" customHeight="1">
      <c r="A154" s="914" t="s">
        <v>1709</v>
      </c>
      <c r="B154" s="914" t="s">
        <v>1710</v>
      </c>
      <c r="C154" s="926">
        <v>159.53</v>
      </c>
      <c r="D154" s="926">
        <v>160.49</v>
      </c>
      <c r="E154" s="919"/>
      <c r="F154" s="919"/>
      <c r="G154" s="927">
        <v>893.04</v>
      </c>
      <c r="H154" s="927">
        <v>797.65</v>
      </c>
      <c r="I154" s="927">
        <v>1276.24</v>
      </c>
      <c r="J154" s="927">
        <v>957.18</v>
      </c>
      <c r="K154" s="927">
        <v>638.12</v>
      </c>
      <c r="L154" s="927">
        <v>802.45</v>
      </c>
      <c r="M154" s="927">
        <v>962.94</v>
      </c>
      <c r="N154" s="927">
        <v>962.94</v>
      </c>
      <c r="O154" s="927">
        <v>802.45</v>
      </c>
      <c r="P154" s="927">
        <v>802.45</v>
      </c>
      <c r="Q154" s="927">
        <v>802.45</v>
      </c>
      <c r="R154" s="927">
        <v>1123.43</v>
      </c>
      <c r="S154" s="927">
        <v>10821.340000000002</v>
      </c>
      <c r="T154" s="919"/>
      <c r="U154" s="934">
        <f t="shared" si="81"/>
        <v>5.5979439603836267</v>
      </c>
      <c r="V154" s="934">
        <f t="shared" si="82"/>
        <v>5</v>
      </c>
      <c r="W154" s="934">
        <f t="shared" si="83"/>
        <v>8</v>
      </c>
      <c r="X154" s="934">
        <f t="shared" si="84"/>
        <v>6</v>
      </c>
      <c r="Y154" s="934">
        <f t="shared" si="85"/>
        <v>4</v>
      </c>
      <c r="Z154" s="934">
        <f t="shared" si="86"/>
        <v>5</v>
      </c>
      <c r="AA154" s="934">
        <f t="shared" si="87"/>
        <v>6</v>
      </c>
      <c r="AB154" s="934">
        <f t="shared" si="88"/>
        <v>6</v>
      </c>
      <c r="AC154" s="934">
        <f t="shared" si="89"/>
        <v>5</v>
      </c>
      <c r="AD154" s="934">
        <f t="shared" si="90"/>
        <v>5</v>
      </c>
      <c r="AE154" s="934">
        <f t="shared" si="91"/>
        <v>5</v>
      </c>
      <c r="AF154" s="934">
        <f t="shared" si="92"/>
        <v>7</v>
      </c>
      <c r="AG154" s="934">
        <f t="shared" si="93"/>
        <v>67.597943960383631</v>
      </c>
      <c r="AH154" s="939">
        <f t="shared" si="94"/>
        <v>5.6331619966986359</v>
      </c>
      <c r="AK154" s="930"/>
      <c r="AM154" s="947"/>
      <c r="AN154" s="930"/>
      <c r="AQ154" s="928">
        <v>5.6331619966986359</v>
      </c>
      <c r="AS154" s="938">
        <f t="shared" ca="1" si="95"/>
        <v>169.89895405911989</v>
      </c>
      <c r="AT154" s="937">
        <f t="shared" ca="1" si="96"/>
        <v>11484.81997541618</v>
      </c>
      <c r="AU154" s="937"/>
      <c r="AV154" s="936">
        <f t="shared" ca="1" si="97"/>
        <v>663.47997541617769</v>
      </c>
      <c r="BE154" s="928">
        <f t="shared" si="78"/>
        <v>0</v>
      </c>
      <c r="BG154" s="928">
        <f t="shared" si="79"/>
        <v>0</v>
      </c>
      <c r="BI154" s="928">
        <f t="shared" si="80"/>
        <v>0</v>
      </c>
    </row>
    <row r="155" spans="1:61" ht="12" customHeight="1">
      <c r="A155" s="914" t="s">
        <v>1711</v>
      </c>
      <c r="B155" s="914" t="s">
        <v>1712</v>
      </c>
      <c r="C155" s="926">
        <v>166.04</v>
      </c>
      <c r="D155" s="926">
        <v>167.04</v>
      </c>
      <c r="E155" s="919"/>
      <c r="F155" s="919"/>
      <c r="G155" s="927">
        <v>4186.79</v>
      </c>
      <c r="H155" s="927">
        <v>3652.8799999999997</v>
      </c>
      <c r="I155" s="927">
        <v>4310.13</v>
      </c>
      <c r="J155" s="927">
        <v>4476.17</v>
      </c>
      <c r="K155" s="927">
        <v>3479.93</v>
      </c>
      <c r="L155" s="927">
        <v>4674.12</v>
      </c>
      <c r="M155" s="927">
        <v>4000.05</v>
      </c>
      <c r="N155" s="927">
        <v>4335.13</v>
      </c>
      <c r="O155" s="927">
        <v>4335.13</v>
      </c>
      <c r="P155" s="927">
        <v>4008.96</v>
      </c>
      <c r="Q155" s="927">
        <v>3499.93</v>
      </c>
      <c r="R155" s="927">
        <v>3834.01</v>
      </c>
      <c r="S155" s="927">
        <v>48793.229999999996</v>
      </c>
      <c r="T155" s="919"/>
      <c r="U155" s="934">
        <f t="shared" si="81"/>
        <v>25.215550469766324</v>
      </c>
      <c r="V155" s="934">
        <f t="shared" si="82"/>
        <v>22</v>
      </c>
      <c r="W155" s="934">
        <f t="shared" si="83"/>
        <v>25.958383522042883</v>
      </c>
      <c r="X155" s="934">
        <f t="shared" si="84"/>
        <v>26.958383522042883</v>
      </c>
      <c r="Y155" s="934">
        <f t="shared" si="85"/>
        <v>20.95838352204288</v>
      </c>
      <c r="Z155" s="934">
        <f t="shared" si="86"/>
        <v>27.982040229885058</v>
      </c>
      <c r="AA155" s="934">
        <f t="shared" si="87"/>
        <v>23.946659482758623</v>
      </c>
      <c r="AB155" s="934">
        <f t="shared" si="88"/>
        <v>25.952646072796938</v>
      </c>
      <c r="AC155" s="934">
        <f t="shared" si="89"/>
        <v>25.952646072796938</v>
      </c>
      <c r="AD155" s="934">
        <f t="shared" si="90"/>
        <v>24</v>
      </c>
      <c r="AE155" s="934">
        <f t="shared" si="91"/>
        <v>20.952646072796934</v>
      </c>
      <c r="AF155" s="934">
        <f t="shared" si="92"/>
        <v>22.952646072796938</v>
      </c>
      <c r="AG155" s="934">
        <f t="shared" si="93"/>
        <v>292.82998503972641</v>
      </c>
      <c r="AH155" s="939">
        <f t="shared" si="94"/>
        <v>24.402498753310535</v>
      </c>
      <c r="AK155" s="930"/>
      <c r="AM155" s="947"/>
      <c r="AN155" s="930"/>
      <c r="AQ155" s="928">
        <v>24.402498753310535</v>
      </c>
      <c r="AS155" s="938">
        <f t="shared" ca="1" si="95"/>
        <v>176.83295710658226</v>
      </c>
      <c r="AT155" s="937">
        <f t="shared" ca="1" si="96"/>
        <v>51781.992184051065</v>
      </c>
      <c r="AU155" s="937"/>
      <c r="AV155" s="936">
        <f t="shared" ca="1" si="97"/>
        <v>2988.7621840510692</v>
      </c>
      <c r="BE155" s="928">
        <f t="shared" si="78"/>
        <v>0</v>
      </c>
      <c r="BG155" s="928">
        <f t="shared" si="79"/>
        <v>0</v>
      </c>
      <c r="BI155" s="928">
        <f t="shared" si="80"/>
        <v>0</v>
      </c>
    </row>
    <row r="156" spans="1:61" ht="12" customHeight="1">
      <c r="A156" s="914" t="s">
        <v>1713</v>
      </c>
      <c r="B156" s="914" t="s">
        <v>1714</v>
      </c>
      <c r="C156" s="926">
        <v>181.87</v>
      </c>
      <c r="D156" s="926">
        <v>182.97</v>
      </c>
      <c r="E156" s="919"/>
      <c r="F156" s="919"/>
      <c r="G156" s="927">
        <v>4072.32</v>
      </c>
      <c r="H156" s="927">
        <v>4171.28</v>
      </c>
      <c r="I156" s="927">
        <v>5055.79</v>
      </c>
      <c r="J156" s="927">
        <v>4546.75</v>
      </c>
      <c r="K156" s="927">
        <v>4910.49</v>
      </c>
      <c r="L156" s="927">
        <v>5299.53</v>
      </c>
      <c r="M156" s="927">
        <v>4751.72</v>
      </c>
      <c r="N156" s="927">
        <v>4751.72</v>
      </c>
      <c r="O156" s="927">
        <v>3837.97</v>
      </c>
      <c r="P156" s="927">
        <v>4935.79</v>
      </c>
      <c r="Q156" s="927">
        <v>4751.72</v>
      </c>
      <c r="R156" s="927">
        <v>5666.57</v>
      </c>
      <c r="S156" s="927">
        <v>56751.65</v>
      </c>
      <c r="T156" s="919"/>
      <c r="U156" s="934">
        <f t="shared" si="81"/>
        <v>22.391378457139716</v>
      </c>
      <c r="V156" s="934">
        <f t="shared" si="82"/>
        <v>22.935503381536261</v>
      </c>
      <c r="W156" s="934">
        <f t="shared" si="83"/>
        <v>27.798922307142462</v>
      </c>
      <c r="X156" s="934">
        <f t="shared" si="84"/>
        <v>25</v>
      </c>
      <c r="Y156" s="934">
        <f t="shared" si="85"/>
        <v>26.999999999999996</v>
      </c>
      <c r="Z156" s="934">
        <f t="shared" si="86"/>
        <v>28.963928512870961</v>
      </c>
      <c r="AA156" s="934">
        <f t="shared" si="87"/>
        <v>25.969940427392469</v>
      </c>
      <c r="AB156" s="934">
        <f t="shared" si="88"/>
        <v>25.969940427392469</v>
      </c>
      <c r="AC156" s="934">
        <f t="shared" si="89"/>
        <v>20.975952341913974</v>
      </c>
      <c r="AD156" s="934">
        <f t="shared" si="90"/>
        <v>26.975952341913974</v>
      </c>
      <c r="AE156" s="934">
        <f t="shared" si="91"/>
        <v>25.969940427392469</v>
      </c>
      <c r="AF156" s="934">
        <f t="shared" si="92"/>
        <v>30.969940427392466</v>
      </c>
      <c r="AG156" s="934">
        <f t="shared" si="93"/>
        <v>310.92139905208722</v>
      </c>
      <c r="AH156" s="939">
        <f t="shared" si="94"/>
        <v>25.910116587673937</v>
      </c>
      <c r="AK156" s="930"/>
      <c r="AM156" s="947"/>
      <c r="AN156" s="930"/>
      <c r="AQ156" s="928">
        <v>25.910116587673937</v>
      </c>
      <c r="AS156" s="938">
        <f t="shared" ca="1" si="95"/>
        <v>193.6968759685785</v>
      </c>
      <c r="AT156" s="937">
        <f t="shared" ca="1" si="96"/>
        <v>60224.50366816904</v>
      </c>
      <c r="AU156" s="937"/>
      <c r="AV156" s="936">
        <f t="shared" ca="1" si="97"/>
        <v>3472.8536681690384</v>
      </c>
      <c r="BE156" s="928">
        <f t="shared" si="78"/>
        <v>0</v>
      </c>
      <c r="BG156" s="928">
        <f t="shared" si="79"/>
        <v>0</v>
      </c>
      <c r="BI156" s="928">
        <f t="shared" si="80"/>
        <v>0</v>
      </c>
    </row>
    <row r="157" spans="1:61" ht="12" customHeight="1">
      <c r="A157" s="914" t="s">
        <v>1715</v>
      </c>
      <c r="B157" s="914" t="s">
        <v>1716</v>
      </c>
      <c r="C157" s="926">
        <v>196.97</v>
      </c>
      <c r="D157" s="926">
        <v>198.16</v>
      </c>
      <c r="E157" s="919"/>
      <c r="F157" s="919"/>
      <c r="G157" s="927">
        <v>4225.18</v>
      </c>
      <c r="H157" s="927">
        <v>4265.3</v>
      </c>
      <c r="I157" s="927">
        <v>4305.92</v>
      </c>
      <c r="J157" s="927">
        <v>4489.18</v>
      </c>
      <c r="K157" s="927">
        <v>4305.92</v>
      </c>
      <c r="L157" s="927">
        <v>4129.1799999999994</v>
      </c>
      <c r="M157" s="927">
        <v>4329.7199999999993</v>
      </c>
      <c r="N157" s="927">
        <v>3918.4999999999995</v>
      </c>
      <c r="O157" s="927">
        <v>4527.88</v>
      </c>
      <c r="P157" s="927">
        <v>3522.18</v>
      </c>
      <c r="Q157" s="927">
        <v>4314.82</v>
      </c>
      <c r="R157" s="927">
        <v>4512.9799999999996</v>
      </c>
      <c r="S157" s="927">
        <v>50846.759999999995</v>
      </c>
      <c r="T157" s="919"/>
      <c r="U157" s="934">
        <f t="shared" si="81"/>
        <v>21.450880844798704</v>
      </c>
      <c r="V157" s="934">
        <f t="shared" si="82"/>
        <v>21.654566685282024</v>
      </c>
      <c r="W157" s="934">
        <f t="shared" si="83"/>
        <v>21.860790983398488</v>
      </c>
      <c r="X157" s="934">
        <f t="shared" si="84"/>
        <v>22.791186475097732</v>
      </c>
      <c r="Y157" s="934">
        <f t="shared" si="85"/>
        <v>21.860790983398488</v>
      </c>
      <c r="Z157" s="934">
        <f t="shared" si="86"/>
        <v>20.837605974969719</v>
      </c>
      <c r="AA157" s="934">
        <f t="shared" si="87"/>
        <v>21.849616471538148</v>
      </c>
      <c r="AB157" s="934">
        <f t="shared" si="88"/>
        <v>19.774424707307226</v>
      </c>
      <c r="AC157" s="934">
        <f t="shared" si="89"/>
        <v>22.849616471538152</v>
      </c>
      <c r="AD157" s="934">
        <f t="shared" si="90"/>
        <v>17.774424707307226</v>
      </c>
      <c r="AE157" s="934">
        <f t="shared" si="91"/>
        <v>21.774424707307226</v>
      </c>
      <c r="AF157" s="934">
        <f t="shared" si="92"/>
        <v>22.774424707307226</v>
      </c>
      <c r="AG157" s="934">
        <f t="shared" si="93"/>
        <v>257.25275371925034</v>
      </c>
      <c r="AH157" s="939">
        <f t="shared" si="94"/>
        <v>21.437729476604193</v>
      </c>
      <c r="AK157" s="930"/>
      <c r="AM157" s="947"/>
      <c r="AN157" s="930"/>
      <c r="AQ157" s="928">
        <v>21.437729476604193</v>
      </c>
      <c r="AS157" s="938">
        <f t="shared" ca="1" si="95"/>
        <v>209.77741128017445</v>
      </c>
      <c r="AT157" s="937">
        <f t="shared" ca="1" si="96"/>
        <v>53965.816719920607</v>
      </c>
      <c r="AU157" s="937"/>
      <c r="AV157" s="936">
        <f t="shared" ca="1" si="97"/>
        <v>3119.0567199206125</v>
      </c>
      <c r="BE157" s="928">
        <f t="shared" si="78"/>
        <v>0</v>
      </c>
      <c r="BG157" s="928">
        <f t="shared" si="79"/>
        <v>0</v>
      </c>
      <c r="BI157" s="928">
        <f t="shared" si="80"/>
        <v>0</v>
      </c>
    </row>
    <row r="158" spans="1:61" ht="12" customHeight="1">
      <c r="A158" s="914" t="s">
        <v>1717</v>
      </c>
      <c r="B158" s="914" t="s">
        <v>1718</v>
      </c>
      <c r="C158" s="926">
        <v>234.75</v>
      </c>
      <c r="D158" s="926">
        <v>236.17</v>
      </c>
      <c r="E158" s="919"/>
      <c r="F158" s="919"/>
      <c r="G158" s="927">
        <v>437.44</v>
      </c>
      <c r="H158" s="927">
        <v>687.92</v>
      </c>
      <c r="I158" s="927">
        <v>1392.17</v>
      </c>
      <c r="J158" s="927">
        <v>1626.92</v>
      </c>
      <c r="K158" s="927">
        <v>2565.92</v>
      </c>
      <c r="L158" s="927">
        <v>2578.6999999999998</v>
      </c>
      <c r="M158" s="927">
        <v>2107.7800000000002</v>
      </c>
      <c r="N158" s="927">
        <v>2780.79</v>
      </c>
      <c r="O158" s="927">
        <v>2090.0300000000002</v>
      </c>
      <c r="P158" s="927">
        <v>1871.61</v>
      </c>
      <c r="Q158" s="927">
        <v>1145.3499999999999</v>
      </c>
      <c r="R158" s="927">
        <v>690.76</v>
      </c>
      <c r="S158" s="927">
        <v>19975.389999999996</v>
      </c>
      <c r="T158" s="919"/>
      <c r="U158" s="934">
        <f t="shared" si="81"/>
        <v>1.8634291799787008</v>
      </c>
      <c r="V158" s="934">
        <f t="shared" si="82"/>
        <v>2.9304366347177848</v>
      </c>
      <c r="W158" s="934">
        <f t="shared" si="83"/>
        <v>5.9304366347177853</v>
      </c>
      <c r="X158" s="934">
        <f t="shared" si="84"/>
        <v>6.9304366347177853</v>
      </c>
      <c r="Y158" s="934">
        <f t="shared" si="85"/>
        <v>10.930436634717784</v>
      </c>
      <c r="Z158" s="934">
        <f t="shared" si="86"/>
        <v>10.918829656603293</v>
      </c>
      <c r="AA158" s="934">
        <f t="shared" si="87"/>
        <v>8.924842274632681</v>
      </c>
      <c r="AB158" s="934">
        <f t="shared" si="88"/>
        <v>11.774526823898039</v>
      </c>
      <c r="AC158" s="934">
        <f t="shared" si="89"/>
        <v>8.8496845492653602</v>
      </c>
      <c r="AD158" s="934">
        <f t="shared" si="90"/>
        <v>7.9248422746326801</v>
      </c>
      <c r="AE158" s="934">
        <f t="shared" si="91"/>
        <v>4.8496845492653593</v>
      </c>
      <c r="AF158" s="934">
        <f t="shared" si="92"/>
        <v>2.9248422746326801</v>
      </c>
      <c r="AG158" s="934">
        <f t="shared" si="93"/>
        <v>84.752428121779943</v>
      </c>
      <c r="AH158" s="939">
        <f t="shared" si="94"/>
        <v>7.0627023434816616</v>
      </c>
      <c r="AK158" s="930"/>
      <c r="AM158" s="947"/>
      <c r="AN158" s="930"/>
      <c r="AQ158" s="928">
        <v>7.0627023434816616</v>
      </c>
      <c r="AS158" s="938">
        <f t="shared" ca="1" si="95"/>
        <v>250.01580148384537</v>
      </c>
      <c r="AT158" s="937">
        <f t="shared" ca="1" si="96"/>
        <v>21189.446244568804</v>
      </c>
      <c r="AU158" s="937"/>
      <c r="AV158" s="936">
        <f t="shared" ca="1" si="97"/>
        <v>1214.0562445688083</v>
      </c>
      <c r="BE158" s="928">
        <f t="shared" si="78"/>
        <v>0</v>
      </c>
      <c r="BG158" s="928">
        <f t="shared" si="79"/>
        <v>0</v>
      </c>
      <c r="BI158" s="928">
        <f t="shared" si="80"/>
        <v>0</v>
      </c>
    </row>
    <row r="159" spans="1:61" ht="12" customHeight="1">
      <c r="A159" s="914" t="s">
        <v>1719</v>
      </c>
      <c r="B159" s="914" t="s">
        <v>1720</v>
      </c>
      <c r="C159" s="926">
        <v>234.75</v>
      </c>
      <c r="D159" s="926">
        <v>236.17</v>
      </c>
      <c r="E159" s="919"/>
      <c r="F159" s="919"/>
      <c r="G159" s="927">
        <v>4373.2</v>
      </c>
      <c r="H159" s="927">
        <v>5373.32</v>
      </c>
      <c r="I159" s="927">
        <v>6781.2199999999993</v>
      </c>
      <c r="J159" s="927">
        <v>6966.98</v>
      </c>
      <c r="K159" s="927">
        <v>5591.14</v>
      </c>
      <c r="L159" s="927">
        <v>5760.83</v>
      </c>
      <c r="M159" s="927">
        <v>4728.82</v>
      </c>
      <c r="N159" s="927">
        <v>5602.5</v>
      </c>
      <c r="O159" s="927">
        <v>5401.83</v>
      </c>
      <c r="P159" s="927">
        <v>5401.83</v>
      </c>
      <c r="Q159" s="927">
        <v>4728.82</v>
      </c>
      <c r="R159" s="927">
        <v>4964.99</v>
      </c>
      <c r="S159" s="927">
        <v>65675.48</v>
      </c>
      <c r="T159" s="919"/>
      <c r="U159" s="934">
        <f t="shared" si="81"/>
        <v>18.629179978700744</v>
      </c>
      <c r="V159" s="934">
        <f t="shared" si="82"/>
        <v>22.889542066027687</v>
      </c>
      <c r="W159" s="934">
        <f t="shared" si="83"/>
        <v>28.886986155484554</v>
      </c>
      <c r="X159" s="934">
        <f t="shared" si="84"/>
        <v>29.678296059637912</v>
      </c>
      <c r="Y159" s="934">
        <f t="shared" si="85"/>
        <v>23.817422790202343</v>
      </c>
      <c r="Z159" s="934">
        <f t="shared" si="86"/>
        <v>24.392725579032053</v>
      </c>
      <c r="AA159" s="934">
        <f t="shared" si="87"/>
        <v>20.022949570224839</v>
      </c>
      <c r="AB159" s="934">
        <f t="shared" si="88"/>
        <v>23.722318668755559</v>
      </c>
      <c r="AC159" s="934">
        <f t="shared" si="89"/>
        <v>22.872634119490197</v>
      </c>
      <c r="AD159" s="934">
        <f t="shared" si="90"/>
        <v>22.872634119490197</v>
      </c>
      <c r="AE159" s="934">
        <f t="shared" si="91"/>
        <v>20.022949570224839</v>
      </c>
      <c r="AF159" s="934">
        <f t="shared" si="92"/>
        <v>21.022949570224839</v>
      </c>
      <c r="AG159" s="934">
        <f t="shared" si="93"/>
        <v>278.83058824749571</v>
      </c>
      <c r="AH159" s="939">
        <f t="shared" si="94"/>
        <v>23.235882353957976</v>
      </c>
      <c r="AK159" s="930"/>
      <c r="AM159" s="947"/>
      <c r="AN159" s="930"/>
      <c r="AQ159" s="928">
        <v>23.235882353957976</v>
      </c>
      <c r="AS159" s="938">
        <f t="shared" ca="1" si="95"/>
        <v>250.01580148384537</v>
      </c>
      <c r="AT159" s="937">
        <f t="shared" ca="1" si="96"/>
        <v>69712.052998909712</v>
      </c>
      <c r="AU159" s="937"/>
      <c r="AV159" s="936">
        <f t="shared" ca="1" si="97"/>
        <v>4036.5729989097163</v>
      </c>
      <c r="BE159" s="928">
        <f t="shared" si="78"/>
        <v>0</v>
      </c>
      <c r="BG159" s="928">
        <f t="shared" si="79"/>
        <v>0</v>
      </c>
      <c r="BI159" s="928">
        <f t="shared" si="80"/>
        <v>0</v>
      </c>
    </row>
    <row r="160" spans="1:61" ht="12" customHeight="1">
      <c r="A160" s="914" t="s">
        <v>1721</v>
      </c>
      <c r="B160" s="914" t="s">
        <v>1722</v>
      </c>
      <c r="C160" s="926">
        <v>93.02</v>
      </c>
      <c r="D160" s="926">
        <v>93.58</v>
      </c>
      <c r="E160" s="919"/>
      <c r="F160" s="919"/>
      <c r="G160" s="927">
        <v>954.69</v>
      </c>
      <c r="H160" s="927">
        <v>1016.99</v>
      </c>
      <c r="I160" s="927">
        <v>2325.5</v>
      </c>
      <c r="J160" s="927">
        <v>2790.6</v>
      </c>
      <c r="K160" s="927">
        <v>4464.96</v>
      </c>
      <c r="L160" s="927">
        <v>5332.9400000000005</v>
      </c>
      <c r="M160" s="927">
        <v>5989.12</v>
      </c>
      <c r="N160" s="927">
        <v>5427.6399999999994</v>
      </c>
      <c r="O160" s="927">
        <v>4866.16</v>
      </c>
      <c r="P160" s="927">
        <v>2526.66</v>
      </c>
      <c r="Q160" s="927">
        <v>4304.68</v>
      </c>
      <c r="R160" s="927">
        <v>7205.66</v>
      </c>
      <c r="S160" s="927">
        <v>47205.599999999991</v>
      </c>
      <c r="T160" s="919"/>
      <c r="U160" s="934">
        <f t="shared" si="81"/>
        <v>10.263276714685015</v>
      </c>
      <c r="V160" s="934">
        <f t="shared" si="82"/>
        <v>10.933025155880456</v>
      </c>
      <c r="W160" s="934">
        <f t="shared" si="83"/>
        <v>25</v>
      </c>
      <c r="X160" s="934">
        <f t="shared" si="84"/>
        <v>30</v>
      </c>
      <c r="Y160" s="934">
        <f t="shared" si="85"/>
        <v>48</v>
      </c>
      <c r="Z160" s="934">
        <f t="shared" si="86"/>
        <v>56.988031630690323</v>
      </c>
      <c r="AA160" s="934">
        <f t="shared" si="87"/>
        <v>64</v>
      </c>
      <c r="AB160" s="934">
        <f t="shared" si="88"/>
        <v>57.999999999999993</v>
      </c>
      <c r="AC160" s="934">
        <f t="shared" si="89"/>
        <v>52</v>
      </c>
      <c r="AD160" s="934">
        <f t="shared" si="90"/>
        <v>27</v>
      </c>
      <c r="AE160" s="934">
        <f t="shared" si="91"/>
        <v>46.000000000000007</v>
      </c>
      <c r="AF160" s="934">
        <f t="shared" si="92"/>
        <v>77</v>
      </c>
      <c r="AG160" s="934">
        <f t="shared" si="93"/>
        <v>505.18433350125576</v>
      </c>
      <c r="AH160" s="939">
        <f t="shared" si="94"/>
        <v>42.098694458437983</v>
      </c>
      <c r="AK160" s="930"/>
      <c r="AM160" s="947"/>
      <c r="AN160" s="930"/>
      <c r="AQ160" s="928">
        <v>42.098694458437983</v>
      </c>
      <c r="AS160" s="938">
        <f t="shared" ca="1" si="95"/>
        <v>99.066260333057755</v>
      </c>
      <c r="AT160" s="937">
        <f t="shared" ca="1" si="96"/>
        <v>50046.72269881767</v>
      </c>
      <c r="AU160" s="937"/>
      <c r="AV160" s="936">
        <f t="shared" ca="1" si="97"/>
        <v>2841.1226988176786</v>
      </c>
      <c r="BE160" s="928">
        <f t="shared" si="78"/>
        <v>0</v>
      </c>
      <c r="BG160" s="928">
        <f t="shared" si="79"/>
        <v>0</v>
      </c>
      <c r="BI160" s="928">
        <f t="shared" si="80"/>
        <v>0</v>
      </c>
    </row>
    <row r="161" spans="1:61" ht="12" customHeight="1">
      <c r="A161" s="914" t="s">
        <v>1723</v>
      </c>
      <c r="B161" s="914" t="s">
        <v>1724</v>
      </c>
      <c r="C161" s="926">
        <v>104.26</v>
      </c>
      <c r="D161" s="926">
        <v>104.89</v>
      </c>
      <c r="E161" s="919"/>
      <c r="F161" s="919"/>
      <c r="G161" s="927">
        <v>11088.78</v>
      </c>
      <c r="H161" s="927">
        <v>11509.95</v>
      </c>
      <c r="I161" s="927">
        <v>16473.080000000002</v>
      </c>
      <c r="J161" s="927">
        <v>16994.379999999997</v>
      </c>
      <c r="K161" s="927">
        <v>20949.27</v>
      </c>
      <c r="L161" s="927">
        <v>22965.870000000003</v>
      </c>
      <c r="M161" s="927">
        <v>26117.61</v>
      </c>
      <c r="N161" s="927">
        <v>21502.45</v>
      </c>
      <c r="O161" s="927">
        <v>17726.41</v>
      </c>
      <c r="P161" s="927">
        <v>13425.92</v>
      </c>
      <c r="Q161" s="927">
        <v>16782.400000000001</v>
      </c>
      <c r="R161" s="927">
        <v>24019.809999999998</v>
      </c>
      <c r="S161" s="927">
        <v>219555.93000000002</v>
      </c>
      <c r="T161" s="919"/>
      <c r="U161" s="934">
        <f t="shared" si="81"/>
        <v>106.35699213504699</v>
      </c>
      <c r="V161" s="934">
        <f t="shared" si="82"/>
        <v>110.39660464224055</v>
      </c>
      <c r="W161" s="934">
        <f t="shared" si="83"/>
        <v>158</v>
      </c>
      <c r="X161" s="934">
        <f t="shared" si="84"/>
        <v>162.99999999999997</v>
      </c>
      <c r="Y161" s="934">
        <f t="shared" si="85"/>
        <v>200.93295607136005</v>
      </c>
      <c r="Z161" s="934">
        <f t="shared" si="86"/>
        <v>218.95194966155023</v>
      </c>
      <c r="AA161" s="934">
        <f t="shared" si="87"/>
        <v>249</v>
      </c>
      <c r="AB161" s="934">
        <f t="shared" si="88"/>
        <v>205</v>
      </c>
      <c r="AC161" s="934">
        <f t="shared" si="89"/>
        <v>169</v>
      </c>
      <c r="AD161" s="934">
        <f t="shared" si="90"/>
        <v>128</v>
      </c>
      <c r="AE161" s="934">
        <f t="shared" si="91"/>
        <v>160</v>
      </c>
      <c r="AF161" s="934">
        <f t="shared" si="92"/>
        <v>228.99999999999997</v>
      </c>
      <c r="AG161" s="934">
        <f t="shared" si="93"/>
        <v>2097.6385025101977</v>
      </c>
      <c r="AH161" s="939">
        <f t="shared" si="94"/>
        <v>174.80320854251647</v>
      </c>
      <c r="AK161" s="930"/>
      <c r="AM161" s="947"/>
      <c r="AN161" s="930"/>
      <c r="AQ161" s="928">
        <v>174.80320854251647</v>
      </c>
      <c r="AS161" s="938">
        <f t="shared" ca="1" si="95"/>
        <v>111.03932513714926</v>
      </c>
      <c r="AT161" s="937">
        <f t="shared" ca="1" si="96"/>
        <v>232920.36370043273</v>
      </c>
      <c r="AU161" s="937"/>
      <c r="AV161" s="936">
        <f t="shared" ca="1" si="97"/>
        <v>13364.43370043271</v>
      </c>
      <c r="BE161" s="928">
        <f t="shared" si="78"/>
        <v>0</v>
      </c>
      <c r="BG161" s="928">
        <f t="shared" si="79"/>
        <v>0</v>
      </c>
      <c r="BI161" s="928">
        <f t="shared" si="80"/>
        <v>0</v>
      </c>
    </row>
    <row r="162" spans="1:61" ht="12" customHeight="1">
      <c r="A162" s="914" t="s">
        <v>1725</v>
      </c>
      <c r="B162" s="914" t="s">
        <v>1726</v>
      </c>
      <c r="C162" s="926">
        <v>128.15</v>
      </c>
      <c r="D162" s="926">
        <v>128.91999999999999</v>
      </c>
      <c r="E162" s="919"/>
      <c r="F162" s="919"/>
      <c r="G162" s="927">
        <v>2271.64</v>
      </c>
      <c r="H162" s="927">
        <v>632.16</v>
      </c>
      <c r="I162" s="927">
        <v>1025.2</v>
      </c>
      <c r="J162" s="927">
        <v>2691.1499999999996</v>
      </c>
      <c r="K162" s="927">
        <v>6407.5</v>
      </c>
      <c r="L162" s="927">
        <v>3866.83</v>
      </c>
      <c r="M162" s="927">
        <v>3351.15</v>
      </c>
      <c r="N162" s="927">
        <v>3094.08</v>
      </c>
      <c r="O162" s="927">
        <v>5543.5599999999995</v>
      </c>
      <c r="P162" s="927">
        <v>2449.4799999999996</v>
      </c>
      <c r="Q162" s="927">
        <v>3996.52</v>
      </c>
      <c r="R162" s="927">
        <v>6059.24</v>
      </c>
      <c r="S162" s="927">
        <v>41388.509999999995</v>
      </c>
      <c r="T162" s="919"/>
      <c r="U162" s="934">
        <f t="shared" si="81"/>
        <v>17.726414358174011</v>
      </c>
      <c r="V162" s="934">
        <f t="shared" si="82"/>
        <v>4.932969176746</v>
      </c>
      <c r="W162" s="934">
        <f t="shared" si="83"/>
        <v>8</v>
      </c>
      <c r="X162" s="934">
        <f t="shared" si="84"/>
        <v>20.999999999999996</v>
      </c>
      <c r="Y162" s="934">
        <f t="shared" si="85"/>
        <v>50</v>
      </c>
      <c r="Z162" s="934">
        <f t="shared" si="86"/>
        <v>29.994027303754269</v>
      </c>
      <c r="AA162" s="934">
        <f t="shared" si="87"/>
        <v>25.994027303754269</v>
      </c>
      <c r="AB162" s="934">
        <f t="shared" si="88"/>
        <v>24</v>
      </c>
      <c r="AC162" s="934">
        <f t="shared" si="89"/>
        <v>43</v>
      </c>
      <c r="AD162" s="934">
        <f t="shared" si="90"/>
        <v>19</v>
      </c>
      <c r="AE162" s="934">
        <f t="shared" si="91"/>
        <v>31.000000000000004</v>
      </c>
      <c r="AF162" s="934">
        <f t="shared" si="92"/>
        <v>47</v>
      </c>
      <c r="AG162" s="934">
        <f t="shared" si="93"/>
        <v>321.6474381424286</v>
      </c>
      <c r="AH162" s="939">
        <f t="shared" si="94"/>
        <v>26.803953178535718</v>
      </c>
      <c r="AK162" s="930"/>
      <c r="AM162" s="947"/>
      <c r="AN162" s="932"/>
      <c r="AQ162" s="928">
        <v>26.803953178535718</v>
      </c>
      <c r="AS162" s="938">
        <f t="shared" ca="1" si="95"/>
        <v>136.47811799677072</v>
      </c>
      <c r="AT162" s="937">
        <f t="shared" ca="1" si="96"/>
        <v>43897.837016161386</v>
      </c>
      <c r="AU162" s="937"/>
      <c r="AV162" s="936">
        <f t="shared" ca="1" si="97"/>
        <v>2509.3270161613909</v>
      </c>
      <c r="BE162" s="928">
        <f t="shared" si="78"/>
        <v>0</v>
      </c>
      <c r="BG162" s="928">
        <f t="shared" si="79"/>
        <v>0</v>
      </c>
      <c r="BI162" s="928">
        <f t="shared" si="80"/>
        <v>0</v>
      </c>
    </row>
    <row r="163" spans="1:61" ht="12" customHeight="1">
      <c r="A163" s="914" t="s">
        <v>1727</v>
      </c>
      <c r="B163" s="914" t="s">
        <v>1728</v>
      </c>
      <c r="C163" s="926">
        <v>48.63</v>
      </c>
      <c r="D163" s="926">
        <v>48.92</v>
      </c>
      <c r="E163" s="919"/>
      <c r="F163" s="919"/>
      <c r="G163" s="927">
        <v>5262.92</v>
      </c>
      <c r="H163" s="927">
        <v>5913.93</v>
      </c>
      <c r="I163" s="927">
        <v>4814.37</v>
      </c>
      <c r="J163" s="927">
        <v>4259.47</v>
      </c>
      <c r="K163" s="927">
        <v>5252.04</v>
      </c>
      <c r="L163" s="927">
        <v>5819.16</v>
      </c>
      <c r="M163" s="927">
        <v>5430.12</v>
      </c>
      <c r="N163" s="927">
        <v>4402.8</v>
      </c>
      <c r="O163" s="927">
        <v>2054.64</v>
      </c>
      <c r="P163" s="927">
        <v>1712.2</v>
      </c>
      <c r="Q163" s="927">
        <v>2984.12</v>
      </c>
      <c r="R163" s="927">
        <v>6192.58</v>
      </c>
      <c r="S163" s="927">
        <v>54098.350000000006</v>
      </c>
      <c r="T163" s="919"/>
      <c r="U163" s="934">
        <f t="shared" si="81"/>
        <v>108.22373020769072</v>
      </c>
      <c r="V163" s="934">
        <f t="shared" si="82"/>
        <v>121.61073411474399</v>
      </c>
      <c r="W163" s="934">
        <f t="shared" si="83"/>
        <v>98.999999999999986</v>
      </c>
      <c r="X163" s="934">
        <f t="shared" si="84"/>
        <v>87.589348139008848</v>
      </c>
      <c r="Y163" s="934">
        <f t="shared" si="85"/>
        <v>108</v>
      </c>
      <c r="Z163" s="934">
        <f t="shared" si="86"/>
        <v>118.95257563368764</v>
      </c>
      <c r="AA163" s="934">
        <f t="shared" si="87"/>
        <v>111</v>
      </c>
      <c r="AB163" s="934">
        <f t="shared" si="88"/>
        <v>90</v>
      </c>
      <c r="AC163" s="934">
        <f t="shared" si="89"/>
        <v>41.999999999999993</v>
      </c>
      <c r="AD163" s="934">
        <f t="shared" si="90"/>
        <v>35</v>
      </c>
      <c r="AE163" s="934">
        <f t="shared" si="91"/>
        <v>60.999999999999993</v>
      </c>
      <c r="AF163" s="934">
        <f t="shared" si="92"/>
        <v>126.58585445625511</v>
      </c>
      <c r="AG163" s="934">
        <f t="shared" si="93"/>
        <v>1108.9622425513862</v>
      </c>
      <c r="AH163" s="939">
        <f t="shared" si="94"/>
        <v>92.413520212615524</v>
      </c>
      <c r="AK163" s="930"/>
      <c r="AM163" s="947"/>
      <c r="AN163" s="930"/>
      <c r="AQ163" s="928">
        <v>92.413520212615524</v>
      </c>
      <c r="AS163" s="938">
        <f t="shared" ca="1" si="95"/>
        <v>51.788004439978472</v>
      </c>
      <c r="AT163" s="937">
        <f t="shared" ca="1" si="96"/>
        <v>57430.941541019682</v>
      </c>
      <c r="AU163" s="937"/>
      <c r="AV163" s="936">
        <f t="shared" ca="1" si="97"/>
        <v>3332.5915410196758</v>
      </c>
      <c r="BE163" s="928">
        <f t="shared" si="78"/>
        <v>0</v>
      </c>
      <c r="BG163" s="928">
        <f t="shared" si="79"/>
        <v>0</v>
      </c>
      <c r="BH163" s="919"/>
      <c r="BI163" s="928">
        <f t="shared" si="80"/>
        <v>0</v>
      </c>
    </row>
    <row r="164" spans="1:61" s="940" customFormat="1" ht="12" customHeight="1">
      <c r="A164" s="940" t="s">
        <v>1729</v>
      </c>
      <c r="B164" s="940" t="s">
        <v>1730</v>
      </c>
      <c r="C164" s="945">
        <v>43.11</v>
      </c>
      <c r="D164" s="945">
        <v>43.37</v>
      </c>
      <c r="G164" s="944">
        <v>2614.3000000000002</v>
      </c>
      <c r="H164" s="944">
        <v>2707.27</v>
      </c>
      <c r="I164" s="944">
        <v>2710.1499999999996</v>
      </c>
      <c r="J164" s="944">
        <v>2710.1499999999996</v>
      </c>
      <c r="K164" s="944">
        <v>2602.42</v>
      </c>
      <c r="L164" s="944">
        <v>2595.8999999999996</v>
      </c>
      <c r="M164" s="944">
        <v>2629.12</v>
      </c>
      <c r="N164" s="944">
        <v>2620.5499999999997</v>
      </c>
      <c r="O164" s="944">
        <v>2595.8999999999996</v>
      </c>
      <c r="P164" s="944">
        <v>2595.8999999999996</v>
      </c>
      <c r="Q164" s="944">
        <v>2613.17</v>
      </c>
      <c r="R164" s="944">
        <v>2624.7699999999995</v>
      </c>
      <c r="S164" s="944">
        <v>31619.599999999995</v>
      </c>
      <c r="U164" s="934">
        <f t="shared" si="81"/>
        <v>60.642542333565302</v>
      </c>
      <c r="V164" s="934">
        <f t="shared" si="82"/>
        <v>62.799118533982835</v>
      </c>
      <c r="W164" s="934">
        <f t="shared" si="83"/>
        <v>62.865924379494309</v>
      </c>
      <c r="X164" s="934">
        <f t="shared" si="84"/>
        <v>62.865924379494309</v>
      </c>
      <c r="Y164" s="934">
        <f t="shared" si="85"/>
        <v>60.366968220830437</v>
      </c>
      <c r="Z164" s="934">
        <f t="shared" si="86"/>
        <v>59.854738298362918</v>
      </c>
      <c r="AA164" s="934">
        <f t="shared" si="87"/>
        <v>60.620705556836526</v>
      </c>
      <c r="AB164" s="934">
        <f t="shared" si="88"/>
        <v>60.423103527784178</v>
      </c>
      <c r="AC164" s="934">
        <f t="shared" si="89"/>
        <v>59.854738298362918</v>
      </c>
      <c r="AD164" s="934">
        <f t="shared" si="90"/>
        <v>59.854738298362918</v>
      </c>
      <c r="AE164" s="934">
        <f t="shared" si="91"/>
        <v>60.252939820152186</v>
      </c>
      <c r="AF164" s="934">
        <f t="shared" si="92"/>
        <v>60.520405810468056</v>
      </c>
      <c r="AG164" s="943">
        <f t="shared" si="93"/>
        <v>730.92184745769691</v>
      </c>
      <c r="AH164" s="942">
        <f t="shared" si="94"/>
        <v>60.910153954808074</v>
      </c>
      <c r="AK164" s="941"/>
      <c r="AM164" s="946"/>
      <c r="AN164" s="941"/>
      <c r="AQ164" s="928">
        <v>60.910153954808074</v>
      </c>
      <c r="AS164" s="938">
        <f t="shared" ca="1" si="95"/>
        <v>45.912627811976002</v>
      </c>
      <c r="AT164" s="937">
        <f t="shared" ca="1" si="96"/>
        <v>33558.542741967132</v>
      </c>
      <c r="AU164" s="937"/>
      <c r="AV164" s="936">
        <f t="shared" ca="1" si="97"/>
        <v>1938.9427419671374</v>
      </c>
      <c r="BE164" s="928">
        <f t="shared" si="78"/>
        <v>0</v>
      </c>
      <c r="BG164" s="928">
        <f t="shared" si="79"/>
        <v>0</v>
      </c>
      <c r="BH164" s="919">
        <v>1</v>
      </c>
      <c r="BI164" s="928">
        <f t="shared" si="80"/>
        <v>60.910153954808074</v>
      </c>
    </row>
    <row r="165" spans="1:61" s="940" customFormat="1" ht="12" customHeight="1">
      <c r="A165" s="940" t="s">
        <v>1731</v>
      </c>
      <c r="B165" s="940" t="s">
        <v>1732</v>
      </c>
      <c r="C165" s="945">
        <v>50.28</v>
      </c>
      <c r="D165" s="945">
        <v>50.58</v>
      </c>
      <c r="G165" s="944">
        <v>4329.76</v>
      </c>
      <c r="H165" s="944">
        <v>4694.3999999999996</v>
      </c>
      <c r="I165" s="944">
        <v>4759.68</v>
      </c>
      <c r="J165" s="944">
        <v>4676.04</v>
      </c>
      <c r="K165" s="944">
        <v>4919.0400000000009</v>
      </c>
      <c r="L165" s="944">
        <v>4946.82</v>
      </c>
      <c r="M165" s="944">
        <v>4906.26</v>
      </c>
      <c r="N165" s="944">
        <v>4929.7999999999993</v>
      </c>
      <c r="O165" s="944">
        <v>4956.84</v>
      </c>
      <c r="P165" s="944">
        <v>4956.84</v>
      </c>
      <c r="Q165" s="944">
        <v>5010.7999999999993</v>
      </c>
      <c r="R165" s="944">
        <v>4805.1000000000004</v>
      </c>
      <c r="S165" s="944">
        <v>57891.38</v>
      </c>
      <c r="U165" s="934">
        <f t="shared" si="81"/>
        <v>86.112967382657118</v>
      </c>
      <c r="V165" s="934">
        <f t="shared" si="82"/>
        <v>93.365155131264913</v>
      </c>
      <c r="W165" s="934">
        <f t="shared" si="83"/>
        <v>94.663484486873514</v>
      </c>
      <c r="X165" s="934">
        <f t="shared" si="84"/>
        <v>93</v>
      </c>
      <c r="Y165" s="934">
        <f t="shared" si="85"/>
        <v>97.832935560859198</v>
      </c>
      <c r="Z165" s="934">
        <f t="shared" si="86"/>
        <v>97.801897983392649</v>
      </c>
      <c r="AA165" s="934">
        <f t="shared" si="87"/>
        <v>97.000000000000014</v>
      </c>
      <c r="AB165" s="934">
        <f t="shared" si="88"/>
        <v>97.465401344404896</v>
      </c>
      <c r="AC165" s="934">
        <f t="shared" si="89"/>
        <v>98</v>
      </c>
      <c r="AD165" s="934">
        <f t="shared" si="90"/>
        <v>98</v>
      </c>
      <c r="AE165" s="934">
        <f t="shared" si="91"/>
        <v>99.066824831949376</v>
      </c>
      <c r="AF165" s="934">
        <f t="shared" si="92"/>
        <v>95.000000000000014</v>
      </c>
      <c r="AG165" s="943">
        <f t="shared" si="93"/>
        <v>1147.3086667214018</v>
      </c>
      <c r="AH165" s="942">
        <f t="shared" si="94"/>
        <v>95.609055560116815</v>
      </c>
      <c r="AK165" s="941"/>
      <c r="AQ165" s="928">
        <v>95.609055560116815</v>
      </c>
      <c r="AS165" s="938">
        <f t="shared" ca="1" si="95"/>
        <v>53.545324296281912</v>
      </c>
      <c r="AT165" s="937">
        <f t="shared" ca="1" si="96"/>
        <v>61433.014627532284</v>
      </c>
      <c r="AU165" s="937"/>
      <c r="AV165" s="936">
        <f t="shared" ca="1" si="97"/>
        <v>3541.6346275322867</v>
      </c>
      <c r="BE165" s="928">
        <f t="shared" si="78"/>
        <v>0</v>
      </c>
      <c r="BG165" s="928">
        <f t="shared" si="79"/>
        <v>0</v>
      </c>
      <c r="BH165" s="919">
        <v>1</v>
      </c>
      <c r="BI165" s="928">
        <f t="shared" si="80"/>
        <v>95.609055560116815</v>
      </c>
    </row>
    <row r="166" spans="1:61" s="940" customFormat="1" ht="12" customHeight="1">
      <c r="A166" s="940" t="s">
        <v>1733</v>
      </c>
      <c r="B166" s="940" t="s">
        <v>1734</v>
      </c>
      <c r="C166" s="945">
        <v>57.39</v>
      </c>
      <c r="D166" s="945">
        <v>57.74</v>
      </c>
      <c r="G166" s="944">
        <v>1606.2</v>
      </c>
      <c r="H166" s="944">
        <v>1721.7</v>
      </c>
      <c r="I166" s="944">
        <v>1746.6200000000001</v>
      </c>
      <c r="J166" s="944">
        <v>1779.0900000000001</v>
      </c>
      <c r="K166" s="944">
        <v>1725.4299999999998</v>
      </c>
      <c r="L166" s="944">
        <v>1674.46</v>
      </c>
      <c r="M166" s="944">
        <v>1674.46</v>
      </c>
      <c r="N166" s="944">
        <v>1674.46</v>
      </c>
      <c r="O166" s="944">
        <v>1674.46</v>
      </c>
      <c r="P166" s="944">
        <v>1674.46</v>
      </c>
      <c r="Q166" s="944">
        <v>1674.46</v>
      </c>
      <c r="R166" s="944">
        <v>1674.46</v>
      </c>
      <c r="S166" s="944">
        <v>20300.259999999995</v>
      </c>
      <c r="U166" s="934">
        <f t="shared" si="81"/>
        <v>27.9874542603241</v>
      </c>
      <c r="V166" s="934">
        <f t="shared" si="82"/>
        <v>30</v>
      </c>
      <c r="W166" s="934">
        <f t="shared" si="83"/>
        <v>30.434221989893711</v>
      </c>
      <c r="X166" s="934">
        <f t="shared" si="84"/>
        <v>31.000000000000004</v>
      </c>
      <c r="Y166" s="934">
        <f t="shared" si="85"/>
        <v>30.064993901376543</v>
      </c>
      <c r="Z166" s="934">
        <f t="shared" si="86"/>
        <v>29</v>
      </c>
      <c r="AA166" s="934">
        <f t="shared" si="87"/>
        <v>29</v>
      </c>
      <c r="AB166" s="934">
        <f t="shared" si="88"/>
        <v>29</v>
      </c>
      <c r="AC166" s="934">
        <f t="shared" si="89"/>
        <v>29</v>
      </c>
      <c r="AD166" s="934">
        <f t="shared" si="90"/>
        <v>29</v>
      </c>
      <c r="AE166" s="934">
        <f t="shared" si="91"/>
        <v>29</v>
      </c>
      <c r="AF166" s="934">
        <f t="shared" si="92"/>
        <v>29</v>
      </c>
      <c r="AG166" s="943">
        <f t="shared" si="93"/>
        <v>352.48667015159435</v>
      </c>
      <c r="AH166" s="942">
        <f t="shared" si="94"/>
        <v>29.373889179299528</v>
      </c>
      <c r="AK166" s="941"/>
      <c r="AQ166" s="928">
        <v>29.373889179299528</v>
      </c>
      <c r="AS166" s="938">
        <f t="shared" ca="1" si="95"/>
        <v>61.12508945961482</v>
      </c>
      <c r="AT166" s="937">
        <f t="shared" ca="1" si="96"/>
        <v>21545.779246337945</v>
      </c>
      <c r="AU166" s="937"/>
      <c r="AV166" s="936">
        <f t="shared" ca="1" si="97"/>
        <v>1245.5192463379499</v>
      </c>
      <c r="BE166" s="928">
        <f t="shared" si="78"/>
        <v>0</v>
      </c>
      <c r="BG166" s="928">
        <f t="shared" si="79"/>
        <v>0</v>
      </c>
      <c r="BH166" s="919">
        <v>1</v>
      </c>
      <c r="BI166" s="928">
        <f t="shared" si="80"/>
        <v>29.373889179299528</v>
      </c>
    </row>
    <row r="167" spans="1:61" s="940" customFormat="1" ht="12" customHeight="1">
      <c r="A167" s="940" t="s">
        <v>1735</v>
      </c>
      <c r="B167" s="940" t="s">
        <v>1736</v>
      </c>
      <c r="C167" s="945">
        <v>4.53</v>
      </c>
      <c r="D167" s="945">
        <v>4.5599999999999996</v>
      </c>
      <c r="G167" s="944">
        <v>10473.48</v>
      </c>
      <c r="H167" s="944">
        <v>10615.35</v>
      </c>
      <c r="I167" s="944">
        <v>11211.81</v>
      </c>
      <c r="J167" s="944">
        <v>10486.59</v>
      </c>
      <c r="K167" s="944">
        <v>10310.34</v>
      </c>
      <c r="L167" s="944">
        <v>10460.01</v>
      </c>
      <c r="M167" s="944">
        <v>10481.76</v>
      </c>
      <c r="N167" s="944">
        <v>10800.960000000001</v>
      </c>
      <c r="O167" s="944">
        <v>9750.5800000000017</v>
      </c>
      <c r="P167" s="944">
        <v>9164.0400000000009</v>
      </c>
      <c r="Q167" s="944">
        <v>8454.3599999999988</v>
      </c>
      <c r="R167" s="944">
        <v>10627.679999999998</v>
      </c>
      <c r="S167" s="944">
        <v>122836.96</v>
      </c>
      <c r="U167" s="934">
        <f t="shared" ref="U167:Y169" si="98">G167/$C167/30</f>
        <v>77.067549668874165</v>
      </c>
      <c r="V167" s="934">
        <f t="shared" si="98"/>
        <v>78.111479028697573</v>
      </c>
      <c r="W167" s="934">
        <f t="shared" si="98"/>
        <v>82.500441501103751</v>
      </c>
      <c r="X167" s="934">
        <f t="shared" si="98"/>
        <v>77.164017660044152</v>
      </c>
      <c r="Y167" s="934">
        <f t="shared" si="98"/>
        <v>75.867108167770411</v>
      </c>
      <c r="Z167" s="934">
        <f t="shared" ref="Z167:AF169" si="99">L167/$D167/30</f>
        <v>76.462061403508784</v>
      </c>
      <c r="AA167" s="934">
        <f t="shared" si="99"/>
        <v>76.621052631578962</v>
      </c>
      <c r="AB167" s="934">
        <f t="shared" si="99"/>
        <v>78.954385964912291</v>
      </c>
      <c r="AC167" s="934">
        <f t="shared" si="99"/>
        <v>71.276169590643292</v>
      </c>
      <c r="AD167" s="934">
        <f t="shared" si="99"/>
        <v>66.98859649122808</v>
      </c>
      <c r="AE167" s="934">
        <f t="shared" si="99"/>
        <v>61.800877192982448</v>
      </c>
      <c r="AF167" s="934">
        <f t="shared" si="99"/>
        <v>77.687719298245611</v>
      </c>
      <c r="AG167" s="943">
        <f t="shared" si="93"/>
        <v>900.50145859958945</v>
      </c>
      <c r="AH167" s="942">
        <f t="shared" si="94"/>
        <v>75.041788216632455</v>
      </c>
      <c r="AK167" s="941"/>
      <c r="AQ167" s="928">
        <v>75.041788216632455</v>
      </c>
      <c r="AS167" s="938">
        <f t="shared" ca="1" si="95"/>
        <v>4.8273364727371586</v>
      </c>
      <c r="AT167" s="937">
        <f ca="1">AQ167*AS167*12*30</f>
        <v>130410.70604552426</v>
      </c>
      <c r="AU167" s="937"/>
      <c r="AV167" s="936">
        <f t="shared" ca="1" si="97"/>
        <v>7573.7460455242544</v>
      </c>
      <c r="BE167" s="928">
        <f t="shared" si="78"/>
        <v>0</v>
      </c>
      <c r="BG167" s="928">
        <f t="shared" si="79"/>
        <v>0</v>
      </c>
      <c r="BH167" s="919">
        <v>1</v>
      </c>
      <c r="BI167" s="928">
        <f t="shared" si="80"/>
        <v>75.041788216632455</v>
      </c>
    </row>
    <row r="168" spans="1:61" s="940" customFormat="1" ht="12" customHeight="1">
      <c r="A168" s="940" t="s">
        <v>1737</v>
      </c>
      <c r="B168" s="940" t="s">
        <v>1738</v>
      </c>
      <c r="C168" s="945">
        <v>5.37</v>
      </c>
      <c r="D168" s="945">
        <v>5.4</v>
      </c>
      <c r="G168" s="944">
        <v>20664.280000000002</v>
      </c>
      <c r="H168" s="944">
        <v>22947.170000000002</v>
      </c>
      <c r="I168" s="944">
        <v>22428</v>
      </c>
      <c r="J168" s="944">
        <v>19924.47</v>
      </c>
      <c r="K168" s="944">
        <v>21667.950000000004</v>
      </c>
      <c r="L168" s="944">
        <v>21551.89</v>
      </c>
      <c r="M168" s="944">
        <v>22483.980000000003</v>
      </c>
      <c r="N168" s="944">
        <v>21968.699999999997</v>
      </c>
      <c r="O168" s="944">
        <v>18714.66</v>
      </c>
      <c r="P168" s="944">
        <v>17964.899999999998</v>
      </c>
      <c r="Q168" s="944">
        <v>17641.02</v>
      </c>
      <c r="R168" s="944">
        <v>19571.040000000005</v>
      </c>
      <c r="S168" s="944">
        <v>247528.06</v>
      </c>
      <c r="U168" s="934">
        <f t="shared" si="98"/>
        <v>128.26989447548107</v>
      </c>
      <c r="V168" s="934">
        <f t="shared" si="98"/>
        <v>142.4405338299193</v>
      </c>
      <c r="W168" s="934">
        <f t="shared" si="98"/>
        <v>139.21787709497207</v>
      </c>
      <c r="X168" s="934">
        <f t="shared" si="98"/>
        <v>123.67765363128493</v>
      </c>
      <c r="Y168" s="934">
        <f t="shared" si="98"/>
        <v>134.50000000000003</v>
      </c>
      <c r="Z168" s="934">
        <f t="shared" si="99"/>
        <v>133.03635802469134</v>
      </c>
      <c r="AA168" s="934">
        <f t="shared" si="99"/>
        <v>138.79000000000002</v>
      </c>
      <c r="AB168" s="934">
        <f t="shared" si="99"/>
        <v>135.60925925925923</v>
      </c>
      <c r="AC168" s="934">
        <f t="shared" si="99"/>
        <v>115.52259259259259</v>
      </c>
      <c r="AD168" s="934">
        <f t="shared" si="99"/>
        <v>110.89444444444442</v>
      </c>
      <c r="AE168" s="934">
        <f t="shared" si="99"/>
        <v>108.89518518518518</v>
      </c>
      <c r="AF168" s="934">
        <f t="shared" si="99"/>
        <v>120.80888888888892</v>
      </c>
      <c r="AG168" s="943">
        <f t="shared" si="93"/>
        <v>1531.6626874267192</v>
      </c>
      <c r="AH168" s="942">
        <f t="shared" si="94"/>
        <v>127.63855728555994</v>
      </c>
      <c r="AK168" s="941"/>
      <c r="AQ168" s="928">
        <v>127.63855728555994</v>
      </c>
      <c r="AS168" s="938">
        <f t="shared" ca="1" si="95"/>
        <v>5.7165826650834779</v>
      </c>
      <c r="AT168" s="937">
        <f ca="1">AQ168*AS168*12*30</f>
        <v>262676.29103096272</v>
      </c>
      <c r="AU168" s="937"/>
      <c r="AV168" s="936">
        <f t="shared" ca="1" si="97"/>
        <v>15148.231030962721</v>
      </c>
      <c r="BE168" s="928">
        <f t="shared" si="78"/>
        <v>0</v>
      </c>
      <c r="BG168" s="928">
        <f t="shared" si="79"/>
        <v>0</v>
      </c>
      <c r="BH168" s="919">
        <v>1</v>
      </c>
      <c r="BI168" s="928">
        <f t="shared" si="80"/>
        <v>127.63855728555994</v>
      </c>
    </row>
    <row r="169" spans="1:61" s="940" customFormat="1" ht="12" customHeight="1">
      <c r="A169" s="940" t="s">
        <v>1739</v>
      </c>
      <c r="B169" s="940" t="s">
        <v>1740</v>
      </c>
      <c r="C169" s="945">
        <v>5.82</v>
      </c>
      <c r="D169" s="945">
        <v>5.86</v>
      </c>
      <c r="G169" s="944">
        <v>6570.3000000000011</v>
      </c>
      <c r="H169" s="944">
        <v>7030.619999999999</v>
      </c>
      <c r="I169" s="944">
        <v>6716.28</v>
      </c>
      <c r="J169" s="944">
        <v>5529</v>
      </c>
      <c r="K169" s="944">
        <v>7164.4199999999992</v>
      </c>
      <c r="L169" s="944">
        <v>7729.34</v>
      </c>
      <c r="M169" s="944">
        <v>7983.3099999999995</v>
      </c>
      <c r="N169" s="944">
        <v>6897.22</v>
      </c>
      <c r="O169" s="944">
        <v>5889.3</v>
      </c>
      <c r="P169" s="944">
        <v>5443.94</v>
      </c>
      <c r="Q169" s="944">
        <v>6592.5</v>
      </c>
      <c r="R169" s="944">
        <v>6692.12</v>
      </c>
      <c r="S169" s="944">
        <v>80238.350000000006</v>
      </c>
      <c r="U169" s="934">
        <f t="shared" si="98"/>
        <v>37.630584192439869</v>
      </c>
      <c r="V169" s="934">
        <f t="shared" si="98"/>
        <v>40.267010309278341</v>
      </c>
      <c r="W169" s="934">
        <f t="shared" si="98"/>
        <v>38.466666666666669</v>
      </c>
      <c r="X169" s="934">
        <f t="shared" si="98"/>
        <v>31.666666666666668</v>
      </c>
      <c r="Y169" s="934">
        <f t="shared" si="98"/>
        <v>41.033333333333324</v>
      </c>
      <c r="Z169" s="934">
        <f t="shared" si="99"/>
        <v>43.966666666666669</v>
      </c>
      <c r="AA169" s="934">
        <f t="shared" si="99"/>
        <v>45.411319681456199</v>
      </c>
      <c r="AB169" s="934">
        <f t="shared" si="99"/>
        <v>39.233333333333334</v>
      </c>
      <c r="AC169" s="934">
        <f t="shared" si="99"/>
        <v>33.5</v>
      </c>
      <c r="AD169" s="934">
        <f t="shared" si="99"/>
        <v>30.966666666666661</v>
      </c>
      <c r="AE169" s="934">
        <f t="shared" si="99"/>
        <v>37.5</v>
      </c>
      <c r="AF169" s="934">
        <f t="shared" si="99"/>
        <v>38.06666666666667</v>
      </c>
      <c r="AG169" s="943">
        <f t="shared" si="93"/>
        <v>457.70891418317439</v>
      </c>
      <c r="AH169" s="942">
        <f t="shared" si="94"/>
        <v>38.142409515264532</v>
      </c>
      <c r="AK169" s="941"/>
      <c r="AQ169" s="928">
        <v>38.142409515264532</v>
      </c>
      <c r="AS169" s="938">
        <f t="shared" ca="1" si="95"/>
        <v>6.2035508180350334</v>
      </c>
      <c r="AT169" s="937">
        <f ca="1">AQ169*AS169*12*30</f>
        <v>85182.615270088761</v>
      </c>
      <c r="AU169" s="937"/>
      <c r="AV169" s="936">
        <f t="shared" ca="1" si="97"/>
        <v>4944.2652700887556</v>
      </c>
      <c r="BE169" s="928">
        <f t="shared" si="78"/>
        <v>0</v>
      </c>
      <c r="BG169" s="928">
        <f t="shared" si="79"/>
        <v>0</v>
      </c>
      <c r="BH169" s="919">
        <v>1</v>
      </c>
      <c r="BI169" s="928">
        <f t="shared" si="80"/>
        <v>38.142409515264532</v>
      </c>
    </row>
    <row r="170" spans="1:61" ht="12" customHeight="1">
      <c r="A170" s="914" t="s">
        <v>1741</v>
      </c>
      <c r="B170" s="914" t="s">
        <v>1742</v>
      </c>
      <c r="C170" s="926">
        <v>35.72</v>
      </c>
      <c r="D170" s="926">
        <v>35.94</v>
      </c>
      <c r="E170" s="919"/>
      <c r="F170" s="919"/>
      <c r="G170" s="927">
        <v>0</v>
      </c>
      <c r="H170" s="927">
        <v>0</v>
      </c>
      <c r="I170" s="927">
        <v>0</v>
      </c>
      <c r="J170" s="927">
        <v>357</v>
      </c>
      <c r="K170" s="927">
        <v>148.75</v>
      </c>
      <c r="L170" s="927">
        <v>0</v>
      </c>
      <c r="M170" s="927">
        <v>0</v>
      </c>
      <c r="N170" s="927">
        <v>0</v>
      </c>
      <c r="O170" s="927">
        <v>119.8</v>
      </c>
      <c r="P170" s="927">
        <v>0</v>
      </c>
      <c r="Q170" s="927">
        <v>0</v>
      </c>
      <c r="R170" s="927">
        <v>0</v>
      </c>
      <c r="S170" s="927">
        <v>625.54999999999995</v>
      </c>
      <c r="T170" s="919"/>
      <c r="U170" s="934">
        <f t="shared" ref="U170:Y176" si="100">G170/$C170</f>
        <v>0</v>
      </c>
      <c r="V170" s="934">
        <f t="shared" si="100"/>
        <v>0</v>
      </c>
      <c r="W170" s="934">
        <f t="shared" si="100"/>
        <v>0</v>
      </c>
      <c r="X170" s="934">
        <f t="shared" si="100"/>
        <v>9.9944008958566641</v>
      </c>
      <c r="Y170" s="934">
        <f t="shared" si="100"/>
        <v>4.1643337066069428</v>
      </c>
      <c r="Z170" s="934">
        <f t="shared" ref="Z170:AF176" si="101">L170/$D170</f>
        <v>0</v>
      </c>
      <c r="AA170" s="934">
        <f t="shared" si="101"/>
        <v>0</v>
      </c>
      <c r="AB170" s="934">
        <f t="shared" si="101"/>
        <v>0</v>
      </c>
      <c r="AC170" s="934">
        <f t="shared" si="101"/>
        <v>3.3333333333333335</v>
      </c>
      <c r="AD170" s="934">
        <f t="shared" si="101"/>
        <v>0</v>
      </c>
      <c r="AE170" s="934">
        <f t="shared" si="101"/>
        <v>0</v>
      </c>
      <c r="AF170" s="934">
        <f t="shared" si="101"/>
        <v>0</v>
      </c>
      <c r="AG170" s="934">
        <f t="shared" si="93"/>
        <v>17.492067935796939</v>
      </c>
      <c r="AH170" s="939">
        <f t="shared" si="94"/>
        <v>1.4576723279830783</v>
      </c>
      <c r="AK170" s="930"/>
      <c r="AQ170" s="928">
        <v>1.4576723279830783</v>
      </c>
      <c r="AS170" s="938">
        <f t="shared" ca="1" si="95"/>
        <v>38.047033515388925</v>
      </c>
      <c r="AT170" s="937">
        <f t="shared" ref="AT170:AT176" ca="1" si="102">AQ170*AS170*12</f>
        <v>665.52129500672618</v>
      </c>
      <c r="AU170" s="937"/>
      <c r="AV170" s="936">
        <f t="shared" ca="1" si="97"/>
        <v>39.971295006726223</v>
      </c>
      <c r="BE170" s="928">
        <f t="shared" si="78"/>
        <v>0</v>
      </c>
      <c r="BG170" s="928">
        <f t="shared" si="79"/>
        <v>0</v>
      </c>
      <c r="BH170" s="919"/>
      <c r="BI170" s="928">
        <f t="shared" si="80"/>
        <v>0</v>
      </c>
    </row>
    <row r="171" spans="1:61" ht="12" customHeight="1">
      <c r="A171" s="914" t="s">
        <v>2997</v>
      </c>
      <c r="B171" s="914" t="s">
        <v>2996</v>
      </c>
      <c r="C171" s="926">
        <v>59.5</v>
      </c>
      <c r="D171" s="926">
        <v>59.9</v>
      </c>
      <c r="E171" s="919"/>
      <c r="F171" s="919"/>
      <c r="G171" s="927">
        <v>0</v>
      </c>
      <c r="H171" s="927">
        <v>0</v>
      </c>
      <c r="I171" s="927">
        <v>0</v>
      </c>
      <c r="J171" s="927">
        <v>0</v>
      </c>
      <c r="K171" s="927">
        <v>0</v>
      </c>
      <c r="L171" s="927">
        <v>0</v>
      </c>
      <c r="M171" s="927">
        <v>0</v>
      </c>
      <c r="N171" s="927">
        <v>0</v>
      </c>
      <c r="O171" s="927">
        <v>0</v>
      </c>
      <c r="P171" s="927">
        <v>0</v>
      </c>
      <c r="Q171" s="927">
        <v>0</v>
      </c>
      <c r="R171" s="927">
        <v>0</v>
      </c>
      <c r="S171" s="927">
        <v>0</v>
      </c>
      <c r="T171" s="919"/>
      <c r="U171" s="934">
        <f t="shared" si="100"/>
        <v>0</v>
      </c>
      <c r="V171" s="934">
        <f t="shared" si="100"/>
        <v>0</v>
      </c>
      <c r="W171" s="934">
        <f t="shared" si="100"/>
        <v>0</v>
      </c>
      <c r="X171" s="934">
        <f t="shared" si="100"/>
        <v>0</v>
      </c>
      <c r="Y171" s="934">
        <f t="shared" si="100"/>
        <v>0</v>
      </c>
      <c r="Z171" s="934">
        <f t="shared" si="101"/>
        <v>0</v>
      </c>
      <c r="AA171" s="934">
        <f t="shared" si="101"/>
        <v>0</v>
      </c>
      <c r="AB171" s="934">
        <f t="shared" si="101"/>
        <v>0</v>
      </c>
      <c r="AC171" s="934">
        <f t="shared" si="101"/>
        <v>0</v>
      </c>
      <c r="AD171" s="934">
        <f t="shared" si="101"/>
        <v>0</v>
      </c>
      <c r="AE171" s="934">
        <f t="shared" si="101"/>
        <v>0</v>
      </c>
      <c r="AF171" s="934">
        <f t="shared" si="101"/>
        <v>0</v>
      </c>
      <c r="AG171" s="934">
        <f t="shared" si="93"/>
        <v>0</v>
      </c>
      <c r="AH171" s="939">
        <f t="shared" si="94"/>
        <v>0</v>
      </c>
      <c r="AK171" s="930"/>
      <c r="AQ171" s="928">
        <v>0</v>
      </c>
      <c r="AS171" s="938">
        <f t="shared" ca="1" si="95"/>
        <v>63.411722525648209</v>
      </c>
      <c r="AT171" s="937">
        <f t="shared" ca="1" si="102"/>
        <v>0</v>
      </c>
      <c r="AU171" s="937"/>
      <c r="AV171" s="936">
        <f t="shared" ca="1" si="97"/>
        <v>0</v>
      </c>
      <c r="BE171" s="928">
        <f t="shared" si="78"/>
        <v>0</v>
      </c>
      <c r="BG171" s="928">
        <f t="shared" si="79"/>
        <v>0</v>
      </c>
      <c r="BH171" s="919"/>
      <c r="BI171" s="928">
        <f t="shared" si="80"/>
        <v>0</v>
      </c>
    </row>
    <row r="172" spans="1:61" ht="12" customHeight="1">
      <c r="A172" s="914" t="s">
        <v>1743</v>
      </c>
      <c r="B172" s="914" t="s">
        <v>1744</v>
      </c>
      <c r="C172" s="926">
        <v>119</v>
      </c>
      <c r="D172" s="926">
        <v>119.8</v>
      </c>
      <c r="E172" s="919"/>
      <c r="F172" s="919"/>
      <c r="G172" s="927">
        <v>110.8</v>
      </c>
      <c r="H172" s="927">
        <v>0</v>
      </c>
      <c r="I172" s="927">
        <v>238</v>
      </c>
      <c r="J172" s="927">
        <v>119</v>
      </c>
      <c r="K172" s="927">
        <v>0</v>
      </c>
      <c r="L172" s="927">
        <v>0</v>
      </c>
      <c r="M172" s="927">
        <v>0</v>
      </c>
      <c r="N172" s="927">
        <v>0</v>
      </c>
      <c r="O172" s="927">
        <v>0</v>
      </c>
      <c r="P172" s="927">
        <v>0</v>
      </c>
      <c r="Q172" s="927">
        <v>0</v>
      </c>
      <c r="R172" s="927">
        <v>0</v>
      </c>
      <c r="S172" s="927">
        <v>467.8</v>
      </c>
      <c r="T172" s="919"/>
      <c r="U172" s="934">
        <f t="shared" si="100"/>
        <v>0.93109243697478994</v>
      </c>
      <c r="V172" s="934">
        <f t="shared" si="100"/>
        <v>0</v>
      </c>
      <c r="W172" s="934">
        <f t="shared" si="100"/>
        <v>2</v>
      </c>
      <c r="X172" s="934">
        <f t="shared" si="100"/>
        <v>1</v>
      </c>
      <c r="Y172" s="934">
        <f t="shared" si="100"/>
        <v>0</v>
      </c>
      <c r="Z172" s="934">
        <f t="shared" si="101"/>
        <v>0</v>
      </c>
      <c r="AA172" s="934">
        <f t="shared" si="101"/>
        <v>0</v>
      </c>
      <c r="AB172" s="934">
        <f t="shared" si="101"/>
        <v>0</v>
      </c>
      <c r="AC172" s="934">
        <f t="shared" si="101"/>
        <v>0</v>
      </c>
      <c r="AD172" s="934">
        <f t="shared" si="101"/>
        <v>0</v>
      </c>
      <c r="AE172" s="934">
        <f t="shared" si="101"/>
        <v>0</v>
      </c>
      <c r="AF172" s="934">
        <f t="shared" si="101"/>
        <v>0</v>
      </c>
      <c r="AG172" s="934">
        <f t="shared" si="93"/>
        <v>3.9310924369747902</v>
      </c>
      <c r="AH172" s="939">
        <f t="shared" si="94"/>
        <v>0.32759103641456583</v>
      </c>
      <c r="AK172" s="930"/>
      <c r="AQ172" s="928">
        <v>0.32759103641456583</v>
      </c>
      <c r="AS172" s="938">
        <f t="shared" ca="1" si="95"/>
        <v>126.82344505129642</v>
      </c>
      <c r="AT172" s="937">
        <f t="shared" ca="1" si="102"/>
        <v>498.5546856722392</v>
      </c>
      <c r="AU172" s="937"/>
      <c r="AV172" s="936">
        <f t="shared" ca="1" si="97"/>
        <v>30.754685672239191</v>
      </c>
      <c r="BE172" s="928">
        <f t="shared" si="78"/>
        <v>0</v>
      </c>
      <c r="BG172" s="928">
        <f t="shared" si="79"/>
        <v>0</v>
      </c>
      <c r="BH172" s="919"/>
      <c r="BI172" s="928">
        <f t="shared" si="80"/>
        <v>0</v>
      </c>
    </row>
    <row r="173" spans="1:61" ht="12" customHeight="1">
      <c r="A173" s="914" t="s">
        <v>2995</v>
      </c>
      <c r="B173" s="914" t="s">
        <v>2994</v>
      </c>
      <c r="C173" s="926">
        <v>178.5</v>
      </c>
      <c r="D173" s="926">
        <v>179.7</v>
      </c>
      <c r="E173" s="919"/>
      <c r="F173" s="919"/>
      <c r="G173" s="927">
        <v>0</v>
      </c>
      <c r="H173" s="927">
        <v>0</v>
      </c>
      <c r="I173" s="927">
        <v>0</v>
      </c>
      <c r="J173" s="927">
        <v>0</v>
      </c>
      <c r="K173" s="927">
        <v>0</v>
      </c>
      <c r="L173" s="927">
        <v>0</v>
      </c>
      <c r="M173" s="927">
        <v>0</v>
      </c>
      <c r="N173" s="927">
        <v>0</v>
      </c>
      <c r="O173" s="927">
        <v>0</v>
      </c>
      <c r="P173" s="927">
        <v>0</v>
      </c>
      <c r="Q173" s="927">
        <v>0</v>
      </c>
      <c r="R173" s="927">
        <v>0</v>
      </c>
      <c r="S173" s="927">
        <v>0</v>
      </c>
      <c r="T173" s="919"/>
      <c r="U173" s="934">
        <f t="shared" si="100"/>
        <v>0</v>
      </c>
      <c r="V173" s="934">
        <f t="shared" si="100"/>
        <v>0</v>
      </c>
      <c r="W173" s="934">
        <f t="shared" si="100"/>
        <v>0</v>
      </c>
      <c r="X173" s="934">
        <f t="shared" si="100"/>
        <v>0</v>
      </c>
      <c r="Y173" s="934">
        <f t="shared" si="100"/>
        <v>0</v>
      </c>
      <c r="Z173" s="934">
        <f t="shared" si="101"/>
        <v>0</v>
      </c>
      <c r="AA173" s="934">
        <f t="shared" si="101"/>
        <v>0</v>
      </c>
      <c r="AB173" s="934">
        <f t="shared" si="101"/>
        <v>0</v>
      </c>
      <c r="AC173" s="934">
        <f t="shared" si="101"/>
        <v>0</v>
      </c>
      <c r="AD173" s="934">
        <f t="shared" si="101"/>
        <v>0</v>
      </c>
      <c r="AE173" s="934">
        <f t="shared" si="101"/>
        <v>0</v>
      </c>
      <c r="AF173" s="934">
        <f t="shared" si="101"/>
        <v>0</v>
      </c>
      <c r="AG173" s="934">
        <f t="shared" si="93"/>
        <v>0</v>
      </c>
      <c r="AH173" s="939">
        <f t="shared" si="94"/>
        <v>0</v>
      </c>
      <c r="AK173" s="930"/>
      <c r="AQ173" s="928">
        <v>0</v>
      </c>
      <c r="AS173" s="938">
        <f t="shared" ca="1" si="95"/>
        <v>190.2351675769446</v>
      </c>
      <c r="AT173" s="937">
        <f t="shared" ca="1" si="102"/>
        <v>0</v>
      </c>
      <c r="AU173" s="937"/>
      <c r="AV173" s="936">
        <f t="shared" ca="1" si="97"/>
        <v>0</v>
      </c>
      <c r="BE173" s="928">
        <f t="shared" si="78"/>
        <v>0</v>
      </c>
      <c r="BG173" s="928">
        <f t="shared" si="79"/>
        <v>0</v>
      </c>
      <c r="BH173" s="919"/>
      <c r="BI173" s="928">
        <f t="shared" si="80"/>
        <v>0</v>
      </c>
    </row>
    <row r="174" spans="1:61" ht="12" customHeight="1">
      <c r="A174" s="914" t="s">
        <v>1745</v>
      </c>
      <c r="B174" s="914" t="s">
        <v>1744</v>
      </c>
      <c r="C174" s="926">
        <v>238</v>
      </c>
      <c r="D174" s="926">
        <v>239.6</v>
      </c>
      <c r="E174" s="919"/>
      <c r="F174" s="919"/>
      <c r="G174" s="927">
        <v>0</v>
      </c>
      <c r="H174" s="927">
        <v>0</v>
      </c>
      <c r="I174" s="927">
        <v>238</v>
      </c>
      <c r="J174" s="927">
        <v>476</v>
      </c>
      <c r="K174" s="927">
        <v>0</v>
      </c>
      <c r="L174" s="927">
        <v>0</v>
      </c>
      <c r="M174" s="927">
        <v>0</v>
      </c>
      <c r="N174" s="927">
        <v>0</v>
      </c>
      <c r="O174" s="927">
        <v>0</v>
      </c>
      <c r="P174" s="927">
        <v>0</v>
      </c>
      <c r="Q174" s="927">
        <v>0</v>
      </c>
      <c r="R174" s="927">
        <v>0</v>
      </c>
      <c r="S174" s="927">
        <v>714</v>
      </c>
      <c r="T174" s="919"/>
      <c r="U174" s="934">
        <f t="shared" si="100"/>
        <v>0</v>
      </c>
      <c r="V174" s="934">
        <f t="shared" si="100"/>
        <v>0</v>
      </c>
      <c r="W174" s="934">
        <f t="shared" si="100"/>
        <v>1</v>
      </c>
      <c r="X174" s="934">
        <f t="shared" si="100"/>
        <v>2</v>
      </c>
      <c r="Y174" s="934">
        <f t="shared" si="100"/>
        <v>0</v>
      </c>
      <c r="Z174" s="934">
        <f t="shared" si="101"/>
        <v>0</v>
      </c>
      <c r="AA174" s="934">
        <f t="shared" si="101"/>
        <v>0</v>
      </c>
      <c r="AB174" s="934">
        <f t="shared" si="101"/>
        <v>0</v>
      </c>
      <c r="AC174" s="934">
        <f t="shared" si="101"/>
        <v>0</v>
      </c>
      <c r="AD174" s="934">
        <f t="shared" si="101"/>
        <v>0</v>
      </c>
      <c r="AE174" s="934">
        <f t="shared" si="101"/>
        <v>0</v>
      </c>
      <c r="AF174" s="934">
        <f t="shared" si="101"/>
        <v>0</v>
      </c>
      <c r="AG174" s="934">
        <f t="shared" si="93"/>
        <v>3</v>
      </c>
      <c r="AH174" s="939">
        <f t="shared" si="94"/>
        <v>0.25</v>
      </c>
      <c r="AK174" s="930"/>
      <c r="AQ174" s="928">
        <v>0.25</v>
      </c>
      <c r="AS174" s="938">
        <f t="shared" ca="1" si="95"/>
        <v>253.64689010259283</v>
      </c>
      <c r="AT174" s="937">
        <f t="shared" ca="1" si="102"/>
        <v>760.94067030777853</v>
      </c>
      <c r="AU174" s="937"/>
      <c r="AV174" s="936">
        <f t="shared" ca="1" si="97"/>
        <v>46.940670307778532</v>
      </c>
      <c r="BE174" s="928">
        <f t="shared" si="78"/>
        <v>0</v>
      </c>
      <c r="BG174" s="928">
        <f t="shared" si="79"/>
        <v>0</v>
      </c>
      <c r="BH174" s="919"/>
      <c r="BI174" s="928">
        <f t="shared" si="80"/>
        <v>0</v>
      </c>
    </row>
    <row r="175" spans="1:61" ht="12" customHeight="1">
      <c r="A175" s="914" t="s">
        <v>1746</v>
      </c>
      <c r="B175" s="914" t="s">
        <v>1747</v>
      </c>
      <c r="C175" s="926">
        <v>3.62</v>
      </c>
      <c r="D175" s="926">
        <v>3.64</v>
      </c>
      <c r="E175" s="919"/>
      <c r="F175" s="919"/>
      <c r="G175" s="927">
        <v>9420.06</v>
      </c>
      <c r="H175" s="927">
        <v>9186.5399999999991</v>
      </c>
      <c r="I175" s="927">
        <v>11440.46</v>
      </c>
      <c r="J175" s="927">
        <v>10412.93</v>
      </c>
      <c r="K175" s="927">
        <v>11660.02</v>
      </c>
      <c r="L175" s="927">
        <v>12814.599999999999</v>
      </c>
      <c r="M175" s="927">
        <v>11211</v>
      </c>
      <c r="N175" s="927">
        <v>10763.48</v>
      </c>
      <c r="O175" s="927">
        <v>8586.76</v>
      </c>
      <c r="P175" s="927">
        <v>7057.96</v>
      </c>
      <c r="Q175" s="927">
        <v>8503.0400000000009</v>
      </c>
      <c r="R175" s="927">
        <v>11069.24</v>
      </c>
      <c r="S175" s="927">
        <v>122126.08999999998</v>
      </c>
      <c r="T175" s="919"/>
      <c r="U175" s="934">
        <f t="shared" si="100"/>
        <v>2602.2265193370163</v>
      </c>
      <c r="V175" s="934">
        <f t="shared" si="100"/>
        <v>2537.7182320441984</v>
      </c>
      <c r="W175" s="934">
        <f t="shared" si="100"/>
        <v>3160.348066298342</v>
      </c>
      <c r="X175" s="934">
        <f t="shared" si="100"/>
        <v>2876.5</v>
      </c>
      <c r="Y175" s="934">
        <f t="shared" si="100"/>
        <v>3221</v>
      </c>
      <c r="Z175" s="934">
        <f t="shared" si="101"/>
        <v>3520.4945054945051</v>
      </c>
      <c r="AA175" s="934">
        <f t="shared" si="101"/>
        <v>3079.9450549450548</v>
      </c>
      <c r="AB175" s="934">
        <f t="shared" si="101"/>
        <v>2957</v>
      </c>
      <c r="AC175" s="934">
        <f t="shared" si="101"/>
        <v>2359</v>
      </c>
      <c r="AD175" s="934">
        <f t="shared" si="101"/>
        <v>1939</v>
      </c>
      <c r="AE175" s="934">
        <f t="shared" si="101"/>
        <v>2336</v>
      </c>
      <c r="AF175" s="934">
        <f t="shared" si="101"/>
        <v>3041</v>
      </c>
      <c r="AG175" s="934">
        <f t="shared" si="93"/>
        <v>33630.232378119123</v>
      </c>
      <c r="AH175" s="939">
        <f t="shared" si="94"/>
        <v>2802.5193648432601</v>
      </c>
      <c r="AK175" s="930"/>
      <c r="AQ175" s="928">
        <v>2802.5193648432601</v>
      </c>
      <c r="AS175" s="938">
        <f t="shared" ca="1" si="95"/>
        <v>3.8534001668340481</v>
      </c>
      <c r="AT175" s="937">
        <f t="shared" ca="1" si="102"/>
        <v>129590.74305651202</v>
      </c>
      <c r="AU175" s="937"/>
      <c r="AV175" s="936">
        <f t="shared" ca="1" si="97"/>
        <v>7464.6530565120338</v>
      </c>
      <c r="BE175" s="928">
        <f t="shared" si="78"/>
        <v>0</v>
      </c>
      <c r="BG175" s="928">
        <f t="shared" si="79"/>
        <v>0</v>
      </c>
      <c r="BH175" s="919"/>
      <c r="BI175" s="928">
        <f t="shared" si="80"/>
        <v>0</v>
      </c>
    </row>
    <row r="176" spans="1:61" ht="12" customHeight="1">
      <c r="A176" s="914" t="s">
        <v>1748</v>
      </c>
      <c r="B176" s="914" t="s">
        <v>1749</v>
      </c>
      <c r="C176" s="926">
        <f>C133</f>
        <v>85.35</v>
      </c>
      <c r="D176" s="926">
        <v>85.87</v>
      </c>
      <c r="E176" s="926"/>
      <c r="F176" s="926"/>
      <c r="G176" s="927">
        <v>637.55999999999995</v>
      </c>
      <c r="H176" s="927">
        <v>612.08000000000004</v>
      </c>
      <c r="I176" s="927">
        <v>675.29</v>
      </c>
      <c r="J176" s="927">
        <v>659.49</v>
      </c>
      <c r="K176" s="927">
        <v>846.16000000000008</v>
      </c>
      <c r="L176" s="927">
        <v>1445.65</v>
      </c>
      <c r="M176" s="927">
        <v>1776.38</v>
      </c>
      <c r="N176" s="927">
        <v>654.87</v>
      </c>
      <c r="O176" s="927">
        <v>925.22</v>
      </c>
      <c r="P176" s="927">
        <v>2267.1400000000003</v>
      </c>
      <c r="Q176" s="927">
        <v>1195.6999999999998</v>
      </c>
      <c r="R176" s="927">
        <v>999.38000000000011</v>
      </c>
      <c r="S176" s="927">
        <v>12694.920000000002</v>
      </c>
      <c r="T176" s="926"/>
      <c r="U176" s="934">
        <f t="shared" si="100"/>
        <v>7.4699472759226708</v>
      </c>
      <c r="V176" s="934">
        <f t="shared" si="100"/>
        <v>7.1714118336262462</v>
      </c>
      <c r="W176" s="934">
        <f t="shared" si="100"/>
        <v>7.9120093731693029</v>
      </c>
      <c r="X176" s="934">
        <f t="shared" si="100"/>
        <v>7.7268892794376107</v>
      </c>
      <c r="Y176" s="934">
        <f t="shared" si="100"/>
        <v>9.9140011716461647</v>
      </c>
      <c r="Z176" s="934">
        <f t="shared" si="101"/>
        <v>16.835332479329217</v>
      </c>
      <c r="AA176" s="934">
        <f t="shared" si="101"/>
        <v>20.686852218469781</v>
      </c>
      <c r="AB176" s="934">
        <f t="shared" si="101"/>
        <v>7.6262955630604399</v>
      </c>
      <c r="AC176" s="934">
        <f t="shared" si="101"/>
        <v>10.774659368813323</v>
      </c>
      <c r="AD176" s="934">
        <f t="shared" si="101"/>
        <v>26.402003027832773</v>
      </c>
      <c r="AE176" s="934">
        <f t="shared" si="101"/>
        <v>13.924537090951436</v>
      </c>
      <c r="AF176" s="934">
        <f t="shared" si="101"/>
        <v>11.638290439035753</v>
      </c>
      <c r="AG176" s="934">
        <f t="shared" si="93"/>
        <v>148.08222912129472</v>
      </c>
      <c r="AH176" s="939">
        <f t="shared" si="94"/>
        <v>12.340185760107893</v>
      </c>
      <c r="AK176" s="930"/>
      <c r="AQ176" s="928">
        <v>12.340185760107893</v>
      </c>
      <c r="AS176" s="938">
        <f t="shared" ca="1" si="95"/>
        <v>90.904250639021896</v>
      </c>
      <c r="AT176" s="937">
        <f t="shared" ca="1" si="102"/>
        <v>13461.304071227243</v>
      </c>
      <c r="AU176" s="937"/>
      <c r="AV176" s="936">
        <f t="shared" ca="1" si="97"/>
        <v>766.38407122724129</v>
      </c>
      <c r="BE176" s="928">
        <f t="shared" si="78"/>
        <v>0</v>
      </c>
      <c r="BG176" s="928">
        <f t="shared" si="79"/>
        <v>0</v>
      </c>
      <c r="BH176" s="919"/>
      <c r="BI176" s="928">
        <f t="shared" si="80"/>
        <v>0</v>
      </c>
    </row>
    <row r="177" spans="1:61" ht="12" customHeight="1" thickBot="1">
      <c r="A177" s="925"/>
      <c r="B177" s="925"/>
      <c r="C177" s="919"/>
      <c r="D177" s="919"/>
      <c r="E177" s="919"/>
      <c r="F177" s="919"/>
      <c r="S177" s="927"/>
      <c r="T177" s="919"/>
      <c r="AK177" s="930"/>
      <c r="BE177" s="928">
        <f t="shared" si="78"/>
        <v>0</v>
      </c>
      <c r="BG177" s="928">
        <f t="shared" si="79"/>
        <v>0</v>
      </c>
      <c r="BH177" s="919"/>
      <c r="BI177" s="928">
        <f t="shared" si="80"/>
        <v>0</v>
      </c>
    </row>
    <row r="178" spans="1:61" ht="12" customHeight="1" thickBot="1">
      <c r="A178" s="925"/>
      <c r="B178" s="924" t="s">
        <v>1750</v>
      </c>
      <c r="C178" s="919"/>
      <c r="D178" s="919"/>
      <c r="E178" s="919"/>
      <c r="F178" s="919"/>
      <c r="G178" s="922">
        <v>202806.00000000003</v>
      </c>
      <c r="H178" s="922">
        <v>205586.16</v>
      </c>
      <c r="I178" s="922">
        <v>225437.52000000002</v>
      </c>
      <c r="J178" s="922">
        <v>214552.22999999998</v>
      </c>
      <c r="K178" s="922">
        <v>222712.22000000003</v>
      </c>
      <c r="L178" s="922">
        <v>229932.84999999995</v>
      </c>
      <c r="M178" s="922">
        <v>228011.9</v>
      </c>
      <c r="N178" s="922">
        <v>211046.08999999997</v>
      </c>
      <c r="O178" s="922">
        <v>187968.08000000002</v>
      </c>
      <c r="P178" s="922">
        <v>162055.09</v>
      </c>
      <c r="Q178" s="922">
        <v>182816.83</v>
      </c>
      <c r="R178" s="922">
        <v>223102.40999999995</v>
      </c>
      <c r="S178" s="922">
        <v>2496027.3799999994</v>
      </c>
      <c r="T178" s="919"/>
      <c r="U178" s="935">
        <f t="shared" ref="U178:AH178" si="103">+SUM(U164:U169)</f>
        <v>417.71099231334165</v>
      </c>
      <c r="V178" s="935">
        <f t="shared" si="103"/>
        <v>446.98329683314296</v>
      </c>
      <c r="W178" s="935">
        <f t="shared" si="103"/>
        <v>448.14861611900403</v>
      </c>
      <c r="X178" s="935">
        <f t="shared" si="103"/>
        <v>419.37426233749005</v>
      </c>
      <c r="Y178" s="935">
        <f t="shared" si="103"/>
        <v>439.66533918416997</v>
      </c>
      <c r="Z178" s="935">
        <f t="shared" si="103"/>
        <v>440.12172237662242</v>
      </c>
      <c r="AA178" s="935">
        <f t="shared" si="103"/>
        <v>447.44307786987167</v>
      </c>
      <c r="AB178" s="935">
        <f t="shared" si="103"/>
        <v>440.68548342969393</v>
      </c>
      <c r="AC178" s="935">
        <f t="shared" si="103"/>
        <v>407.15350048159883</v>
      </c>
      <c r="AD178" s="935">
        <f t="shared" si="103"/>
        <v>395.70444590070207</v>
      </c>
      <c r="AE178" s="935">
        <f t="shared" si="103"/>
        <v>396.51582703026918</v>
      </c>
      <c r="AF178" s="935">
        <f t="shared" si="103"/>
        <v>421.08368066426931</v>
      </c>
      <c r="AG178" s="935">
        <f t="shared" si="103"/>
        <v>5120.5902445401771</v>
      </c>
      <c r="AH178" s="935">
        <f t="shared" si="103"/>
        <v>426.7158537116814</v>
      </c>
      <c r="AK178" s="930"/>
      <c r="AT178" s="922">
        <f ca="1">SUM(AT150:AT177)</f>
        <v>2649180.4674355658</v>
      </c>
      <c r="AV178" s="922">
        <f ca="1">SUM(AV150:AV177)</f>
        <v>153153.08743556545</v>
      </c>
      <c r="BD178" s="922">
        <f t="shared" ref="BD178:BI178" si="104">SUM(BD150:BD177)</f>
        <v>0</v>
      </c>
      <c r="BE178" s="922">
        <f t="shared" si="104"/>
        <v>0</v>
      </c>
      <c r="BF178" s="922">
        <f t="shared" si="104"/>
        <v>0</v>
      </c>
      <c r="BG178" s="922">
        <f t="shared" si="104"/>
        <v>0</v>
      </c>
      <c r="BH178" s="922">
        <f t="shared" si="104"/>
        <v>6</v>
      </c>
      <c r="BI178" s="922">
        <f t="shared" si="104"/>
        <v>426.7158537116814</v>
      </c>
    </row>
    <row r="179" spans="1:61" ht="12" customHeight="1">
      <c r="A179" s="925"/>
      <c r="B179" s="925"/>
      <c r="C179" s="919"/>
      <c r="D179" s="919"/>
      <c r="E179" s="919"/>
      <c r="F179" s="919"/>
      <c r="T179" s="919"/>
      <c r="AK179" s="930"/>
      <c r="BE179" s="928">
        <f t="shared" ref="BE179:BE192" si="105">$AQ179*$BD179</f>
        <v>0</v>
      </c>
      <c r="BG179" s="928">
        <f t="shared" ref="BG179:BG192" si="106">$AQ179*$BF179</f>
        <v>0</v>
      </c>
      <c r="BI179" s="928">
        <f t="shared" ref="BI179:BI192" si="107">$AQ179*$BH179</f>
        <v>0</v>
      </c>
    </row>
    <row r="180" spans="1:61" ht="12" customHeight="1">
      <c r="A180" s="920" t="s">
        <v>1751</v>
      </c>
      <c r="B180" s="920" t="s">
        <v>1751</v>
      </c>
      <c r="C180" s="919"/>
      <c r="D180" s="919"/>
      <c r="E180" s="919"/>
      <c r="F180" s="919"/>
      <c r="T180" s="919"/>
      <c r="AK180" s="930"/>
      <c r="BE180" s="928">
        <f t="shared" si="105"/>
        <v>0</v>
      </c>
      <c r="BG180" s="928">
        <f t="shared" si="106"/>
        <v>0</v>
      </c>
      <c r="BI180" s="928">
        <f t="shared" si="107"/>
        <v>0</v>
      </c>
    </row>
    <row r="181" spans="1:61" ht="12" customHeight="1">
      <c r="A181" s="914" t="s">
        <v>1752</v>
      </c>
      <c r="B181" s="914" t="s">
        <v>1753</v>
      </c>
      <c r="C181" s="926">
        <v>36.68</v>
      </c>
      <c r="D181" s="926">
        <f>C181</f>
        <v>36.68</v>
      </c>
      <c r="E181" s="919"/>
      <c r="F181" s="919"/>
      <c r="G181" s="927">
        <v>134330.04999999999</v>
      </c>
      <c r="H181" s="927">
        <v>128036.70999999999</v>
      </c>
      <c r="I181" s="927">
        <v>149845.03999999998</v>
      </c>
      <c r="J181" s="927">
        <v>150849.20000000001</v>
      </c>
      <c r="K181" s="927">
        <v>139904.46</v>
      </c>
      <c r="L181" s="927">
        <v>141618.12</v>
      </c>
      <c r="M181" s="927">
        <v>146878.09</v>
      </c>
      <c r="N181" s="927">
        <v>140002.56</v>
      </c>
      <c r="O181" s="927">
        <v>113170.62</v>
      </c>
      <c r="P181" s="927">
        <v>93613.68</v>
      </c>
      <c r="Q181" s="927">
        <v>112999.44</v>
      </c>
      <c r="R181" s="927">
        <v>137830.62</v>
      </c>
      <c r="S181" s="927">
        <v>1589078.5899999999</v>
      </c>
      <c r="T181" s="919"/>
      <c r="U181" s="934"/>
      <c r="V181" s="934"/>
      <c r="W181" s="934"/>
      <c r="X181" s="934"/>
      <c r="Y181" s="934"/>
      <c r="Z181" s="934"/>
      <c r="AA181" s="934"/>
      <c r="AB181" s="934"/>
      <c r="AC181" s="934"/>
      <c r="AD181" s="934"/>
      <c r="AE181" s="934"/>
      <c r="AF181" s="934"/>
      <c r="AG181" s="934"/>
      <c r="AH181" s="933"/>
      <c r="AK181" s="930"/>
      <c r="BE181" s="928">
        <f t="shared" si="105"/>
        <v>0</v>
      </c>
      <c r="BG181" s="928">
        <f t="shared" si="106"/>
        <v>0</v>
      </c>
      <c r="BI181" s="928">
        <f t="shared" si="107"/>
        <v>0</v>
      </c>
    </row>
    <row r="182" spans="1:61" ht="12" customHeight="1">
      <c r="C182" s="919"/>
      <c r="D182" s="919"/>
      <c r="E182" s="919"/>
      <c r="F182" s="919"/>
      <c r="T182" s="919"/>
      <c r="AK182" s="930"/>
      <c r="BE182" s="928">
        <f t="shared" si="105"/>
        <v>0</v>
      </c>
      <c r="BG182" s="928">
        <f t="shared" si="106"/>
        <v>0</v>
      </c>
      <c r="BI182" s="928">
        <f t="shared" si="107"/>
        <v>0</v>
      </c>
    </row>
    <row r="183" spans="1:61" ht="12" customHeight="1">
      <c r="A183" s="925"/>
      <c r="B183" s="924" t="s">
        <v>1754</v>
      </c>
      <c r="C183" s="919"/>
      <c r="D183" s="919"/>
      <c r="E183" s="919"/>
      <c r="F183" s="919"/>
      <c r="G183" s="922">
        <v>134330.04999999999</v>
      </c>
      <c r="H183" s="922">
        <v>128036.70999999999</v>
      </c>
      <c r="I183" s="922">
        <v>149845.03999999998</v>
      </c>
      <c r="J183" s="922">
        <v>150849.20000000001</v>
      </c>
      <c r="K183" s="922">
        <v>139904.46</v>
      </c>
      <c r="L183" s="922">
        <v>141618.12</v>
      </c>
      <c r="M183" s="922">
        <v>146878.09</v>
      </c>
      <c r="N183" s="922">
        <v>140002.56</v>
      </c>
      <c r="O183" s="922">
        <v>113170.62</v>
      </c>
      <c r="P183" s="922">
        <v>93613.68</v>
      </c>
      <c r="Q183" s="922">
        <v>112999.44</v>
      </c>
      <c r="R183" s="922">
        <v>137830.62</v>
      </c>
      <c r="S183" s="922">
        <v>1589078.5899999999</v>
      </c>
      <c r="T183" s="919"/>
      <c r="AK183" s="932"/>
      <c r="BE183" s="928">
        <f t="shared" si="105"/>
        <v>0</v>
      </c>
      <c r="BG183" s="928">
        <f t="shared" si="106"/>
        <v>0</v>
      </c>
      <c r="BI183" s="928">
        <f t="shared" si="107"/>
        <v>0</v>
      </c>
    </row>
    <row r="184" spans="1:61" ht="12" customHeight="1">
      <c r="A184" s="925"/>
      <c r="B184" s="924"/>
      <c r="C184" s="919"/>
      <c r="D184" s="919"/>
      <c r="E184" s="919"/>
      <c r="F184" s="919"/>
      <c r="G184" s="923"/>
      <c r="H184" s="923"/>
      <c r="I184" s="923"/>
      <c r="J184" s="923"/>
      <c r="K184" s="923"/>
      <c r="L184" s="923"/>
      <c r="M184" s="923"/>
      <c r="N184" s="923"/>
      <c r="O184" s="923"/>
      <c r="P184" s="923"/>
      <c r="Q184" s="923"/>
      <c r="R184" s="923"/>
      <c r="S184" s="923"/>
      <c r="T184" s="919"/>
      <c r="AK184" s="930"/>
      <c r="BE184" s="928">
        <f t="shared" si="105"/>
        <v>0</v>
      </c>
      <c r="BG184" s="928">
        <f t="shared" si="106"/>
        <v>0</v>
      </c>
      <c r="BI184" s="928">
        <f t="shared" si="107"/>
        <v>0</v>
      </c>
    </row>
    <row r="185" spans="1:61" s="925" customFormat="1" ht="12" customHeight="1">
      <c r="A185" s="931" t="s">
        <v>229</v>
      </c>
      <c r="B185" s="931" t="s">
        <v>229</v>
      </c>
      <c r="C185" s="926"/>
      <c r="D185" s="926"/>
      <c r="E185" s="926"/>
      <c r="F185" s="926"/>
      <c r="G185" s="927"/>
      <c r="H185" s="927"/>
      <c r="I185" s="927"/>
      <c r="J185" s="927"/>
      <c r="K185" s="927"/>
      <c r="L185" s="927"/>
      <c r="M185" s="927"/>
      <c r="N185" s="927"/>
      <c r="O185" s="927"/>
      <c r="P185" s="927"/>
      <c r="Q185" s="927"/>
      <c r="R185" s="927"/>
      <c r="S185" s="927"/>
      <c r="T185" s="926"/>
      <c r="U185" s="914"/>
      <c r="V185" s="914"/>
      <c r="W185" s="914"/>
      <c r="X185" s="914"/>
      <c r="Y185" s="914"/>
      <c r="Z185" s="914"/>
      <c r="AA185" s="914"/>
      <c r="AB185" s="914"/>
      <c r="AC185" s="914"/>
      <c r="AD185" s="914"/>
      <c r="AE185" s="914"/>
      <c r="AF185" s="914"/>
      <c r="AG185" s="914"/>
      <c r="AK185" s="930"/>
      <c r="AL185" s="914"/>
      <c r="BE185" s="928">
        <f t="shared" si="105"/>
        <v>0</v>
      </c>
      <c r="BG185" s="928">
        <f t="shared" si="106"/>
        <v>0</v>
      </c>
      <c r="BI185" s="928">
        <f t="shared" si="107"/>
        <v>0</v>
      </c>
    </row>
    <row r="186" spans="1:61" s="925" customFormat="1" ht="12" customHeight="1">
      <c r="A186" s="914" t="s">
        <v>1755</v>
      </c>
      <c r="B186" s="914" t="s">
        <v>1756</v>
      </c>
      <c r="C186" s="926"/>
      <c r="D186" s="926"/>
      <c r="E186" s="926"/>
      <c r="F186" s="926"/>
      <c r="G186" s="927">
        <v>-42.68</v>
      </c>
      <c r="H186" s="927">
        <v>-19.009999999999998</v>
      </c>
      <c r="I186" s="927">
        <v>-11.91</v>
      </c>
      <c r="J186" s="927">
        <v>-704.8599999999999</v>
      </c>
      <c r="K186" s="927">
        <v>-52</v>
      </c>
      <c r="L186" s="927">
        <v>-30.32</v>
      </c>
      <c r="M186" s="927">
        <v>-156.66</v>
      </c>
      <c r="N186" s="927">
        <v>-203.59</v>
      </c>
      <c r="O186" s="927">
        <v>-106.10000000000001</v>
      </c>
      <c r="P186" s="927">
        <v>-67.259999999999991</v>
      </c>
      <c r="Q186" s="927">
        <v>13.08</v>
      </c>
      <c r="R186" s="927">
        <v>-10.15</v>
      </c>
      <c r="S186" s="927">
        <v>-1391.46</v>
      </c>
      <c r="T186" s="926"/>
      <c r="U186" s="929"/>
      <c r="V186" s="929"/>
      <c r="W186" s="929"/>
      <c r="X186" s="929"/>
      <c r="Y186" s="929"/>
      <c r="Z186" s="929"/>
      <c r="AA186" s="929"/>
      <c r="AB186" s="929"/>
      <c r="AC186" s="929"/>
      <c r="AD186" s="929"/>
      <c r="AE186" s="929"/>
      <c r="AF186" s="929"/>
      <c r="AG186" s="929"/>
      <c r="BE186" s="928">
        <f t="shared" si="105"/>
        <v>0</v>
      </c>
      <c r="BG186" s="928">
        <f t="shared" si="106"/>
        <v>0</v>
      </c>
      <c r="BI186" s="928">
        <f t="shared" si="107"/>
        <v>0</v>
      </c>
    </row>
    <row r="187" spans="1:61" s="925" customFormat="1" ht="12" customHeight="1">
      <c r="A187" s="914" t="s">
        <v>2993</v>
      </c>
      <c r="B187" s="914" t="s">
        <v>2992</v>
      </c>
      <c r="C187" s="926"/>
      <c r="D187" s="926"/>
      <c r="E187" s="926"/>
      <c r="F187" s="926"/>
      <c r="G187" s="927">
        <v>0</v>
      </c>
      <c r="H187" s="927">
        <v>0</v>
      </c>
      <c r="I187" s="927">
        <v>0</v>
      </c>
      <c r="J187" s="927">
        <v>0</v>
      </c>
      <c r="K187" s="927">
        <v>0</v>
      </c>
      <c r="L187" s="927">
        <v>0</v>
      </c>
      <c r="M187" s="927">
        <v>0</v>
      </c>
      <c r="N187" s="927">
        <v>0</v>
      </c>
      <c r="O187" s="927">
        <v>0</v>
      </c>
      <c r="P187" s="927">
        <v>0</v>
      </c>
      <c r="Q187" s="927">
        <v>0</v>
      </c>
      <c r="R187" s="927">
        <v>0</v>
      </c>
      <c r="S187" s="927">
        <v>0</v>
      </c>
      <c r="T187" s="926"/>
      <c r="U187" s="929"/>
      <c r="V187" s="929"/>
      <c r="W187" s="929"/>
      <c r="X187" s="929"/>
      <c r="Y187" s="929"/>
      <c r="Z187" s="929"/>
      <c r="AA187" s="929"/>
      <c r="AB187" s="929"/>
      <c r="AC187" s="929"/>
      <c r="AD187" s="929"/>
      <c r="AE187" s="929"/>
      <c r="AF187" s="929"/>
      <c r="AG187" s="929"/>
      <c r="BE187" s="928">
        <f t="shared" si="105"/>
        <v>0</v>
      </c>
      <c r="BG187" s="928">
        <f t="shared" si="106"/>
        <v>0</v>
      </c>
      <c r="BI187" s="928">
        <f t="shared" si="107"/>
        <v>0</v>
      </c>
    </row>
    <row r="188" spans="1:61" s="925" customFormat="1" ht="12" customHeight="1">
      <c r="A188" s="914" t="s">
        <v>1757</v>
      </c>
      <c r="B188" s="914" t="s">
        <v>1758</v>
      </c>
      <c r="C188" s="926"/>
      <c r="D188" s="926"/>
      <c r="E188" s="926"/>
      <c r="F188" s="926"/>
      <c r="G188" s="927">
        <v>0</v>
      </c>
      <c r="H188" s="927">
        <v>0</v>
      </c>
      <c r="I188" s="927">
        <v>0</v>
      </c>
      <c r="J188" s="927">
        <v>0</v>
      </c>
      <c r="K188" s="927">
        <v>0</v>
      </c>
      <c r="L188" s="927">
        <v>0</v>
      </c>
      <c r="M188" s="927">
        <v>0</v>
      </c>
      <c r="N188" s="927">
        <v>0</v>
      </c>
      <c r="O188" s="927">
        <v>0</v>
      </c>
      <c r="P188" s="927">
        <v>0</v>
      </c>
      <c r="Q188" s="927">
        <v>0</v>
      </c>
      <c r="R188" s="927">
        <v>0</v>
      </c>
      <c r="S188" s="927">
        <v>0</v>
      </c>
      <c r="T188" s="926"/>
      <c r="U188" s="929"/>
      <c r="V188" s="929"/>
      <c r="W188" s="929"/>
      <c r="X188" s="929"/>
      <c r="Y188" s="929"/>
      <c r="Z188" s="929"/>
      <c r="AA188" s="929"/>
      <c r="AB188" s="929"/>
      <c r="AC188" s="929"/>
      <c r="AD188" s="929"/>
      <c r="AE188" s="929"/>
      <c r="AF188" s="929"/>
      <c r="AG188" s="929"/>
      <c r="BE188" s="928">
        <f t="shared" si="105"/>
        <v>0</v>
      </c>
      <c r="BG188" s="928">
        <f t="shared" si="106"/>
        <v>0</v>
      </c>
      <c r="BI188" s="928">
        <f t="shared" si="107"/>
        <v>0</v>
      </c>
    </row>
    <row r="189" spans="1:61" s="925" customFormat="1" ht="12" customHeight="1">
      <c r="A189" s="914" t="s">
        <v>1759</v>
      </c>
      <c r="B189" s="914" t="s">
        <v>1760</v>
      </c>
      <c r="C189" s="926"/>
      <c r="D189" s="926"/>
      <c r="E189" s="926"/>
      <c r="F189" s="926"/>
      <c r="G189" s="927">
        <v>2313.92</v>
      </c>
      <c r="H189" s="927">
        <v>2779.6400000000003</v>
      </c>
      <c r="I189" s="927">
        <v>2785.7</v>
      </c>
      <c r="J189" s="927">
        <v>2537.8200000000002</v>
      </c>
      <c r="K189" s="927">
        <v>2590.0500000000002</v>
      </c>
      <c r="L189" s="927">
        <v>2987.14</v>
      </c>
      <c r="M189" s="927">
        <v>3599.05</v>
      </c>
      <c r="N189" s="927">
        <v>2855.4399999999996</v>
      </c>
      <c r="O189" s="927">
        <v>2704.25</v>
      </c>
      <c r="P189" s="927">
        <v>0</v>
      </c>
      <c r="Q189" s="927">
        <v>2689.02</v>
      </c>
      <c r="R189" s="927">
        <v>2051.8000000000002</v>
      </c>
      <c r="S189" s="927">
        <v>29893.829999999998</v>
      </c>
      <c r="T189" s="926"/>
      <c r="U189" s="929"/>
      <c r="V189" s="929"/>
      <c r="W189" s="929"/>
      <c r="X189" s="929"/>
      <c r="Y189" s="929"/>
      <c r="Z189" s="929"/>
      <c r="AA189" s="929"/>
      <c r="AB189" s="929"/>
      <c r="AC189" s="929"/>
      <c r="AD189" s="929"/>
      <c r="AE189" s="929"/>
      <c r="AF189" s="929"/>
      <c r="AG189" s="929"/>
      <c r="BE189" s="928">
        <f t="shared" si="105"/>
        <v>0</v>
      </c>
      <c r="BG189" s="928">
        <f t="shared" si="106"/>
        <v>0</v>
      </c>
      <c r="BI189" s="928">
        <f t="shared" si="107"/>
        <v>0</v>
      </c>
    </row>
    <row r="190" spans="1:61" s="925" customFormat="1" ht="12" customHeight="1">
      <c r="A190" s="914" t="s">
        <v>1761</v>
      </c>
      <c r="B190" s="914" t="s">
        <v>1762</v>
      </c>
      <c r="C190" s="926"/>
      <c r="D190" s="926"/>
      <c r="E190" s="926"/>
      <c r="F190" s="926"/>
      <c r="G190" s="927">
        <v>0</v>
      </c>
      <c r="H190" s="927">
        <v>0</v>
      </c>
      <c r="I190" s="927">
        <v>0</v>
      </c>
      <c r="J190" s="927">
        <v>0</v>
      </c>
      <c r="K190" s="927">
        <v>0</v>
      </c>
      <c r="L190" s="927">
        <v>0</v>
      </c>
      <c r="M190" s="927">
        <v>0</v>
      </c>
      <c r="N190" s="927">
        <v>0</v>
      </c>
      <c r="O190" s="927">
        <v>0</v>
      </c>
      <c r="P190" s="927">
        <v>0</v>
      </c>
      <c r="Q190" s="927">
        <v>0</v>
      </c>
      <c r="R190" s="927">
        <v>0</v>
      </c>
      <c r="S190" s="927">
        <v>0</v>
      </c>
      <c r="T190" s="926"/>
      <c r="U190" s="929"/>
      <c r="V190" s="929"/>
      <c r="W190" s="929"/>
      <c r="X190" s="929"/>
      <c r="Y190" s="929"/>
      <c r="Z190" s="929"/>
      <c r="AA190" s="929"/>
      <c r="AB190" s="929"/>
      <c r="AC190" s="929"/>
      <c r="AD190" s="929"/>
      <c r="AE190" s="929"/>
      <c r="AF190" s="929"/>
      <c r="AG190" s="929"/>
      <c r="BE190" s="928">
        <f t="shared" si="105"/>
        <v>0</v>
      </c>
      <c r="BG190" s="928">
        <f t="shared" si="106"/>
        <v>0</v>
      </c>
      <c r="BI190" s="928">
        <f t="shared" si="107"/>
        <v>0</v>
      </c>
    </row>
    <row r="191" spans="1:61" s="925" customFormat="1" ht="12" customHeight="1">
      <c r="A191" s="914" t="s">
        <v>1763</v>
      </c>
      <c r="B191" s="914" t="s">
        <v>1764</v>
      </c>
      <c r="C191" s="926">
        <v>13.08</v>
      </c>
      <c r="D191" s="926">
        <v>13.08</v>
      </c>
      <c r="E191" s="926"/>
      <c r="F191" s="926"/>
      <c r="G191" s="927">
        <v>36.6</v>
      </c>
      <c r="H191" s="927">
        <v>13.08</v>
      </c>
      <c r="I191" s="927">
        <v>0</v>
      </c>
      <c r="J191" s="927">
        <v>13.08</v>
      </c>
      <c r="K191" s="927">
        <v>39.24</v>
      </c>
      <c r="L191" s="927">
        <v>13.08</v>
      </c>
      <c r="M191" s="927">
        <v>39.24</v>
      </c>
      <c r="N191" s="927">
        <v>39.24</v>
      </c>
      <c r="O191" s="927">
        <v>0</v>
      </c>
      <c r="P191" s="927">
        <v>26.16</v>
      </c>
      <c r="Q191" s="927">
        <v>13.08</v>
      </c>
      <c r="R191" s="927">
        <v>78.48</v>
      </c>
      <c r="S191" s="927">
        <v>311.28000000000003</v>
      </c>
      <c r="T191" s="926"/>
      <c r="U191" s="929"/>
      <c r="V191" s="929"/>
      <c r="W191" s="929"/>
      <c r="X191" s="929"/>
      <c r="Y191" s="929"/>
      <c r="Z191" s="929"/>
      <c r="AA191" s="929"/>
      <c r="AB191" s="929"/>
      <c r="AC191" s="929"/>
      <c r="AD191" s="929"/>
      <c r="AE191" s="929"/>
      <c r="AF191" s="929"/>
      <c r="AG191" s="929"/>
      <c r="BE191" s="928">
        <f t="shared" si="105"/>
        <v>0</v>
      </c>
      <c r="BG191" s="928">
        <f t="shared" si="106"/>
        <v>0</v>
      </c>
      <c r="BI191" s="928">
        <f t="shared" si="107"/>
        <v>0</v>
      </c>
    </row>
    <row r="192" spans="1:61" s="925" customFormat="1" ht="12" customHeight="1">
      <c r="A192" s="914" t="s">
        <v>2991</v>
      </c>
      <c r="B192" s="914" t="s">
        <v>2990</v>
      </c>
      <c r="C192" s="926"/>
      <c r="D192" s="926"/>
      <c r="E192" s="926"/>
      <c r="F192" s="926"/>
      <c r="G192" s="927">
        <v>0</v>
      </c>
      <c r="H192" s="927">
        <v>0</v>
      </c>
      <c r="I192" s="927">
        <v>0</v>
      </c>
      <c r="J192" s="927">
        <v>0</v>
      </c>
      <c r="K192" s="927">
        <v>0</v>
      </c>
      <c r="L192" s="927">
        <v>0</v>
      </c>
      <c r="M192" s="927">
        <v>0</v>
      </c>
      <c r="N192" s="927">
        <v>0</v>
      </c>
      <c r="O192" s="927">
        <v>0</v>
      </c>
      <c r="P192" s="927">
        <v>0</v>
      </c>
      <c r="Q192" s="927">
        <v>0</v>
      </c>
      <c r="R192" s="927">
        <v>0</v>
      </c>
      <c r="S192" s="927">
        <v>0</v>
      </c>
      <c r="T192" s="926"/>
      <c r="U192" s="929"/>
      <c r="V192" s="929"/>
      <c r="W192" s="929"/>
      <c r="X192" s="929"/>
      <c r="Y192" s="929"/>
      <c r="Z192" s="929"/>
      <c r="AA192" s="929"/>
      <c r="AB192" s="929"/>
      <c r="AC192" s="929"/>
      <c r="AD192" s="929"/>
      <c r="AE192" s="929"/>
      <c r="AF192" s="929"/>
      <c r="AG192" s="929"/>
      <c r="BE192" s="928">
        <f t="shared" si="105"/>
        <v>0</v>
      </c>
      <c r="BG192" s="928">
        <f t="shared" si="106"/>
        <v>0</v>
      </c>
      <c r="BI192" s="928">
        <f t="shared" si="107"/>
        <v>0</v>
      </c>
    </row>
    <row r="193" spans="1:63" s="925" customFormat="1" ht="12" customHeight="1">
      <c r="A193" s="919"/>
      <c r="B193" s="919"/>
      <c r="C193" s="926"/>
      <c r="D193" s="926"/>
      <c r="E193" s="926"/>
      <c r="F193" s="926"/>
      <c r="G193" s="927"/>
      <c r="H193" s="927"/>
      <c r="I193" s="927"/>
      <c r="J193" s="927"/>
      <c r="K193" s="927"/>
      <c r="L193" s="927"/>
      <c r="M193" s="927"/>
      <c r="N193" s="927"/>
      <c r="O193" s="927"/>
      <c r="P193" s="927"/>
      <c r="Q193" s="927"/>
      <c r="R193" s="927"/>
      <c r="S193" s="927"/>
      <c r="T193" s="926"/>
      <c r="U193" s="914"/>
      <c r="V193" s="914"/>
      <c r="W193" s="914"/>
      <c r="X193" s="914"/>
      <c r="Y193" s="914"/>
      <c r="Z193" s="914"/>
      <c r="AA193" s="914"/>
      <c r="AB193" s="914"/>
      <c r="AC193" s="914"/>
      <c r="AD193" s="914"/>
      <c r="AE193" s="914"/>
      <c r="AF193" s="914"/>
      <c r="AG193" s="914"/>
    </row>
    <row r="194" spans="1:63" s="925" customFormat="1" ht="12" customHeight="1">
      <c r="B194" s="924" t="s">
        <v>1765</v>
      </c>
      <c r="C194" s="926"/>
      <c r="D194" s="926"/>
      <c r="E194" s="926"/>
      <c r="F194" s="926"/>
      <c r="G194" s="922">
        <v>2307.84</v>
      </c>
      <c r="H194" s="922">
        <v>2773.71</v>
      </c>
      <c r="I194" s="922">
        <v>2773.79</v>
      </c>
      <c r="J194" s="922">
        <v>1846.0400000000002</v>
      </c>
      <c r="K194" s="922">
        <v>2577.29</v>
      </c>
      <c r="L194" s="922">
        <v>2969.8999999999996</v>
      </c>
      <c r="M194" s="922">
        <v>3481.63</v>
      </c>
      <c r="N194" s="922">
        <v>2691.0899999999992</v>
      </c>
      <c r="O194" s="922">
        <v>2598.15</v>
      </c>
      <c r="P194" s="922">
        <v>-41.099999999999994</v>
      </c>
      <c r="Q194" s="922">
        <v>2715.18</v>
      </c>
      <c r="R194" s="922">
        <v>2120.13</v>
      </c>
      <c r="S194" s="922">
        <v>28813.649999999998</v>
      </c>
      <c r="T194" s="926"/>
      <c r="U194" s="914"/>
      <c r="V194" s="914"/>
      <c r="W194" s="914"/>
      <c r="X194" s="914"/>
      <c r="Y194" s="914"/>
      <c r="Z194" s="914"/>
      <c r="AA194" s="914"/>
      <c r="AB194" s="914"/>
      <c r="AC194" s="914"/>
      <c r="AD194" s="914"/>
      <c r="AE194" s="914"/>
      <c r="AF194" s="914"/>
      <c r="AG194" s="914"/>
    </row>
    <row r="195" spans="1:63" ht="12" customHeight="1">
      <c r="A195" s="925"/>
      <c r="B195" s="924"/>
      <c r="C195" s="919"/>
      <c r="D195" s="919"/>
      <c r="E195" s="919"/>
      <c r="F195" s="919"/>
      <c r="T195" s="919"/>
    </row>
    <row r="196" spans="1:63" ht="12" customHeight="1" thickBot="1">
      <c r="A196" s="920"/>
      <c r="B196" s="924" t="s">
        <v>446</v>
      </c>
      <c r="C196" s="919"/>
      <c r="D196" s="919"/>
      <c r="E196" s="919"/>
      <c r="F196" s="919"/>
      <c r="G196" s="922">
        <v>1092209.4300000002</v>
      </c>
      <c r="H196" s="922">
        <v>1126341.3</v>
      </c>
      <c r="I196" s="922">
        <v>1184873.2050000001</v>
      </c>
      <c r="J196" s="922">
        <v>1172508.7350000003</v>
      </c>
      <c r="K196" s="922">
        <v>1174003.6100000003</v>
      </c>
      <c r="L196" s="922">
        <v>1183399.2149999999</v>
      </c>
      <c r="M196" s="922">
        <v>1186693.51</v>
      </c>
      <c r="N196" s="922">
        <v>1153441.9900000002</v>
      </c>
      <c r="O196" s="922">
        <v>1102954.8500000001</v>
      </c>
      <c r="P196" s="922">
        <v>1045476.5950000003</v>
      </c>
      <c r="Q196" s="922">
        <v>1088013.0950000002</v>
      </c>
      <c r="R196" s="922">
        <v>1161164.1749999998</v>
      </c>
      <c r="S196" s="922">
        <v>13671079.709999999</v>
      </c>
      <c r="T196" s="919"/>
      <c r="AT196" s="922">
        <f ca="1">SUM(AT46,AT50,AT55,AT145,AT178,AT183,AT194)</f>
        <v>13073229.566209432</v>
      </c>
      <c r="AV196" s="922">
        <f ca="1">SUM(AV46,AV50,AV55,AV145,AV178,AV183,AV194)</f>
        <v>1020842.0962094305</v>
      </c>
      <c r="BD196" s="923"/>
      <c r="BE196" s="922">
        <f>SUM(BE46,BE50,BE55,BE145,BE178,BE183,BE194)</f>
        <v>17452.762977330898</v>
      </c>
      <c r="BF196" s="923"/>
      <c r="BG196" s="922">
        <f>SUM(BG46,BG50,BG55,BG145,BG178,BG183,BG194)</f>
        <v>6216.7826319062133</v>
      </c>
      <c r="BH196" s="923"/>
      <c r="BI196" s="922">
        <f>SUM(BI46,BI50,BI55,BI145,BI178,BI183,BI194)</f>
        <v>426.7158537116814</v>
      </c>
      <c r="BK196" s="921">
        <f>SUM(BE196:BI196)</f>
        <v>24096.261462948791</v>
      </c>
    </row>
    <row r="197" spans="1:63" ht="13.5" thickTop="1">
      <c r="A197" s="920"/>
      <c r="B197" s="920"/>
      <c r="C197" s="919"/>
      <c r="D197" s="919"/>
      <c r="E197" s="919"/>
      <c r="F197" s="919"/>
      <c r="G197" s="916">
        <v>1092204.95</v>
      </c>
      <c r="H197" s="916">
        <v>1126349.5399999998</v>
      </c>
      <c r="I197" s="916">
        <v>1184945.9050000007</v>
      </c>
      <c r="J197" s="916">
        <v>1172546.5750000002</v>
      </c>
      <c r="K197" s="916">
        <v>1174255.1800000004</v>
      </c>
      <c r="L197" s="916">
        <v>1183703.8650000002</v>
      </c>
      <c r="M197" s="916">
        <v>1186736.2699999998</v>
      </c>
      <c r="N197" s="916">
        <v>1153562.8999999999</v>
      </c>
      <c r="O197" s="916">
        <v>1102992.7200000004</v>
      </c>
      <c r="P197" s="916">
        <v>1045530.0150000001</v>
      </c>
      <c r="Q197" s="916">
        <v>1088186.5850000002</v>
      </c>
      <c r="R197" s="916">
        <v>1161217.5950000002</v>
      </c>
      <c r="S197" s="916">
        <v>13672232.100000003</v>
      </c>
      <c r="T197" s="919"/>
      <c r="U197" s="918"/>
      <c r="V197" s="918"/>
      <c r="W197" s="918"/>
      <c r="X197" s="918"/>
      <c r="Y197" s="918"/>
      <c r="Z197" s="918"/>
      <c r="AA197" s="918"/>
      <c r="AB197" s="918"/>
      <c r="AC197" s="918"/>
      <c r="AD197" s="918"/>
      <c r="AE197" s="918"/>
      <c r="AF197" s="918"/>
      <c r="AG197" s="918"/>
    </row>
    <row r="198" spans="1:63">
      <c r="G198" s="916">
        <v>-4.4800000002142042</v>
      </c>
      <c r="H198" s="916">
        <v>8.2399999997578561</v>
      </c>
      <c r="I198" s="916">
        <v>72.700000000651926</v>
      </c>
      <c r="J198" s="916">
        <v>37.839999999850988</v>
      </c>
      <c r="K198" s="916">
        <v>251.57000000006519</v>
      </c>
      <c r="L198" s="916">
        <v>304.65000000037253</v>
      </c>
      <c r="M198" s="916">
        <v>42.759999999776483</v>
      </c>
      <c r="N198" s="916">
        <v>120.90999999968335</v>
      </c>
      <c r="O198" s="916">
        <v>37.870000000344589</v>
      </c>
      <c r="P198" s="916">
        <v>53.419999999809079</v>
      </c>
      <c r="Q198" s="916">
        <v>173.48999999999069</v>
      </c>
      <c r="R198" s="916">
        <v>53.420000000391155</v>
      </c>
      <c r="S198" s="916">
        <v>1152.3900000043213</v>
      </c>
    </row>
    <row r="199" spans="1:63">
      <c r="S199" s="917">
        <v>8.4286895627256142E-5</v>
      </c>
    </row>
    <row r="200" spans="1:63">
      <c r="L200" s="916"/>
    </row>
  </sheetData>
  <mergeCells count="3">
    <mergeCell ref="BD4:BE4"/>
    <mergeCell ref="BF4:BG4"/>
    <mergeCell ref="BH4:BI4"/>
  </mergeCells>
  <pageMargins left="0.2" right="0.2" top="0.75" bottom="0.75" header="0.3" footer="0.3"/>
  <pageSetup scale="60" pageOrder="overThenDown"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sheetPr>
  <dimension ref="A1:AB83"/>
  <sheetViews>
    <sheetView showGridLines="0" view="pageBreakPreview" topLeftCell="A58" zoomScaleNormal="100" zoomScaleSheetLayoutView="100" workbookViewId="0">
      <selection activeCell="I64" sqref="I64:P75"/>
    </sheetView>
  </sheetViews>
  <sheetFormatPr defaultColWidth="11.42578125" defaultRowHeight="12"/>
  <cols>
    <col min="1" max="1" width="28" style="553" customWidth="1"/>
    <col min="2" max="2" width="14" style="553" customWidth="1"/>
    <col min="3" max="3" width="12.7109375" style="553" customWidth="1"/>
    <col min="4" max="4" width="14" style="553" bestFit="1" customWidth="1"/>
    <col min="5" max="5" width="14.5703125" style="553" bestFit="1" customWidth="1"/>
    <col min="6" max="6" width="12.42578125" style="553" customWidth="1"/>
    <col min="7" max="7" width="11" style="553" customWidth="1"/>
    <col min="8" max="8" width="11" style="553" bestFit="1" customWidth="1"/>
    <col min="9" max="9" width="20.140625" style="553" bestFit="1" customWidth="1"/>
    <col min="10" max="10" width="11" style="553" customWidth="1"/>
    <col min="11" max="11" width="12.85546875" style="553" bestFit="1" customWidth="1"/>
    <col min="12" max="12" width="11.5703125" style="553" bestFit="1" customWidth="1"/>
    <col min="13" max="13" width="11" style="553" customWidth="1"/>
    <col min="14" max="14" width="12.85546875" style="553" bestFit="1" customWidth="1"/>
    <col min="15" max="15" width="11.5703125" style="553" bestFit="1" customWidth="1"/>
    <col min="16" max="17" width="11.42578125" style="553" customWidth="1"/>
    <col min="18" max="18" width="19.42578125" style="553" customWidth="1"/>
    <col min="19" max="19" width="11.5703125" style="554" customWidth="1"/>
    <col min="20" max="27" width="11.42578125" style="554" customWidth="1"/>
    <col min="28" max="16384" width="11.42578125" style="553"/>
  </cols>
  <sheetData>
    <row r="1" spans="1:25" ht="15" customHeight="1">
      <c r="A1" s="1048" t="s">
        <v>1223</v>
      </c>
      <c r="B1" s="1049"/>
      <c r="C1" s="1049"/>
      <c r="D1" s="1049"/>
      <c r="E1" s="1049"/>
      <c r="F1" s="1049"/>
      <c r="G1" s="1049"/>
      <c r="H1" s="1050"/>
      <c r="J1" s="611"/>
      <c r="K1" s="612"/>
      <c r="M1" s="611"/>
      <c r="N1" s="612"/>
    </row>
    <row r="2" spans="1:25">
      <c r="A2" s="1051" t="s">
        <v>1224</v>
      </c>
      <c r="B2" s="1052"/>
      <c r="C2" s="1052"/>
      <c r="D2" s="1052"/>
      <c r="E2" s="1052"/>
      <c r="F2" s="1052"/>
      <c r="G2" s="1052"/>
      <c r="H2" s="1053"/>
      <c r="J2" s="613"/>
      <c r="K2" s="614"/>
      <c r="M2" s="613"/>
      <c r="N2" s="614"/>
    </row>
    <row r="3" spans="1:25">
      <c r="A3" s="1054">
        <v>44651</v>
      </c>
      <c r="B3" s="1055"/>
      <c r="C3" s="1055"/>
      <c r="D3" s="1055"/>
      <c r="E3" s="1055"/>
      <c r="F3" s="1055"/>
      <c r="G3" s="1055"/>
      <c r="H3" s="1056"/>
      <c r="J3" s="1057" t="s">
        <v>1418</v>
      </c>
      <c r="K3" s="1058"/>
      <c r="M3" s="696" t="s">
        <v>1771</v>
      </c>
      <c r="N3" s="616"/>
    </row>
    <row r="4" spans="1:25">
      <c r="A4" s="555"/>
      <c r="B4" s="556"/>
      <c r="C4" s="556"/>
      <c r="D4" s="556"/>
      <c r="E4" s="556"/>
      <c r="F4" s="556"/>
      <c r="G4" s="556"/>
      <c r="H4" s="557"/>
      <c r="J4" s="555">
        <v>164536</v>
      </c>
      <c r="K4" s="557"/>
      <c r="M4" s="555"/>
      <c r="N4" s="557"/>
    </row>
    <row r="5" spans="1:25">
      <c r="A5" s="558"/>
      <c r="B5" s="559"/>
      <c r="C5" s="559"/>
      <c r="D5" s="559"/>
      <c r="E5" s="559"/>
      <c r="F5" s="560" t="s">
        <v>1225</v>
      </c>
      <c r="G5" s="560" t="s">
        <v>288</v>
      </c>
      <c r="H5" s="561" t="s">
        <v>289</v>
      </c>
      <c r="J5" s="615"/>
      <c r="K5" s="561"/>
      <c r="M5" s="615"/>
      <c r="N5" s="561"/>
    </row>
    <row r="6" spans="1:25">
      <c r="A6" s="558"/>
      <c r="B6" s="999" t="s">
        <v>287</v>
      </c>
      <c r="C6" s="999" t="s">
        <v>290</v>
      </c>
      <c r="D6" s="999" t="s">
        <v>291</v>
      </c>
      <c r="E6" s="999" t="s">
        <v>1226</v>
      </c>
      <c r="F6" s="999" t="s">
        <v>1227</v>
      </c>
      <c r="G6" s="999" t="s">
        <v>1227</v>
      </c>
      <c r="H6" s="1000" t="s">
        <v>292</v>
      </c>
      <c r="I6" s="697"/>
      <c r="J6" s="1001"/>
      <c r="K6" s="1000"/>
      <c r="L6" s="1002"/>
      <c r="M6" s="1001"/>
      <c r="N6" s="1000"/>
      <c r="O6" s="1002"/>
      <c r="P6" s="562"/>
      <c r="R6" s="559"/>
      <c r="S6" s="563"/>
      <c r="T6" s="564"/>
      <c r="U6" s="564"/>
      <c r="V6" s="564"/>
      <c r="W6" s="564"/>
      <c r="X6" s="564"/>
      <c r="Y6" s="564"/>
    </row>
    <row r="7" spans="1:25" ht="11.25" customHeight="1" thickBot="1">
      <c r="A7" s="558"/>
      <c r="B7" s="999"/>
      <c r="C7" s="999"/>
      <c r="D7" s="999" t="s">
        <v>287</v>
      </c>
      <c r="E7" s="999" t="s">
        <v>291</v>
      </c>
      <c r="F7" s="1003">
        <v>44287</v>
      </c>
      <c r="G7" s="1004">
        <v>44651</v>
      </c>
      <c r="H7" s="1005">
        <f>G7</f>
        <v>44651</v>
      </c>
      <c r="I7" s="1006" t="s">
        <v>436</v>
      </c>
      <c r="J7" s="1007" t="s">
        <v>916</v>
      </c>
      <c r="K7" s="1005" t="s">
        <v>230</v>
      </c>
      <c r="L7" s="1002"/>
      <c r="M7" s="1007" t="s">
        <v>916</v>
      </c>
      <c r="N7" s="1005" t="s">
        <v>230</v>
      </c>
      <c r="O7" s="1002"/>
      <c r="P7" s="562"/>
      <c r="S7" s="565"/>
      <c r="T7" s="564"/>
      <c r="U7" s="564"/>
      <c r="V7" s="564"/>
      <c r="W7" s="564"/>
      <c r="X7" s="564"/>
      <c r="Y7" s="564"/>
    </row>
    <row r="8" spans="1:25" ht="12.75" thickTop="1">
      <c r="A8" s="566" t="s">
        <v>1051</v>
      </c>
      <c r="B8" s="1547"/>
      <c r="C8" s="1548"/>
      <c r="D8" s="1548"/>
      <c r="E8" s="1548"/>
      <c r="F8" s="1548"/>
      <c r="G8" s="1548"/>
      <c r="H8" s="1549"/>
      <c r="I8" s="1548"/>
      <c r="J8" s="1550"/>
      <c r="K8" s="1549"/>
      <c r="L8" s="1551"/>
      <c r="M8" s="1550"/>
      <c r="N8" s="1552"/>
      <c r="O8" s="1002"/>
      <c r="P8" s="562"/>
      <c r="R8" s="559"/>
      <c r="S8" s="565"/>
      <c r="T8" s="564"/>
      <c r="U8" s="564"/>
      <c r="V8" s="564"/>
      <c r="W8" s="564"/>
      <c r="X8" s="564"/>
      <c r="Y8" s="564"/>
    </row>
    <row r="9" spans="1:25">
      <c r="A9" s="558" t="s">
        <v>293</v>
      </c>
      <c r="B9" s="1553">
        <f>'[69]Depr Summary'!AC10</f>
        <v>8832916.8880769201</v>
      </c>
      <c r="C9" s="1554">
        <f>'[69]Depr Summary'!AD10</f>
        <v>0</v>
      </c>
      <c r="D9" s="1554">
        <f>'[69]Depr Summary'!AE10</f>
        <v>8832916.8880769201</v>
      </c>
      <c r="E9" s="1554">
        <f>'[69]Depr Summary'!AF10</f>
        <v>636515.37466666684</v>
      </c>
      <c r="F9" s="1554">
        <f>'[69]Depr Summary'!AG10</f>
        <v>4220657.025076923</v>
      </c>
      <c r="G9" s="1554">
        <f>'[69]Depr Summary'!AH10</f>
        <v>4857172.3997435905</v>
      </c>
      <c r="H9" s="1554">
        <f>'[69]Depr Summary'!AI10</f>
        <v>3975744.4883333342</v>
      </c>
      <c r="I9" s="1555" t="s">
        <v>1772</v>
      </c>
      <c r="J9" s="1556">
        <f>+$E9*'Allocators (C)'!C63</f>
        <v>480442.93541448331</v>
      </c>
      <c r="K9" s="1557">
        <f>+$E9*'Allocators (C)'!D63</f>
        <v>156072.43925218345</v>
      </c>
      <c r="L9" s="1558">
        <f>+J9+K9-E9</f>
        <v>0</v>
      </c>
      <c r="M9" s="1556">
        <f>+$H9*'Allocators (C)'!C63</f>
        <v>3000899.0017454321</v>
      </c>
      <c r="N9" s="1559">
        <f>+$H9*'Allocators (C)'!D63</f>
        <v>974845.48658790195</v>
      </c>
      <c r="O9" s="1008">
        <f>+H9-M9-N9</f>
        <v>0</v>
      </c>
      <c r="P9" s="554"/>
    </row>
    <row r="10" spans="1:25">
      <c r="A10" s="558"/>
      <c r="B10" s="1553"/>
      <c r="C10" s="1554"/>
      <c r="D10" s="1554"/>
      <c r="E10" s="1554"/>
      <c r="F10" s="1554"/>
      <c r="G10" s="1554"/>
      <c r="H10" s="1554"/>
      <c r="I10" s="1555"/>
      <c r="J10" s="1556"/>
      <c r="K10" s="1557"/>
      <c r="L10" s="1560"/>
      <c r="M10" s="1556"/>
      <c r="N10" s="1559"/>
      <c r="O10" s="1009"/>
      <c r="P10" s="554"/>
    </row>
    <row r="11" spans="1:25">
      <c r="A11" s="558" t="s">
        <v>2969</v>
      </c>
      <c r="B11" s="1553">
        <f>'[69]Depr Summary'!AC12</f>
        <v>787242</v>
      </c>
      <c r="C11" s="1554">
        <f>'[69]Depr Summary'!AD12</f>
        <v>0</v>
      </c>
      <c r="D11" s="1554">
        <f>'[69]Depr Summary'!AE12</f>
        <v>787242</v>
      </c>
      <c r="E11" s="1554">
        <f>'[69]Depr Summary'!AF12</f>
        <v>78724.2</v>
      </c>
      <c r="F11" s="1554">
        <f>'[69]Depr Summary'!AG12</f>
        <v>0</v>
      </c>
      <c r="G11" s="1554">
        <f>'[69]Depr Summary'!AH12</f>
        <v>78724.2</v>
      </c>
      <c r="H11" s="1554">
        <f>'[69]Depr Summary'!AI12</f>
        <v>708517.8</v>
      </c>
      <c r="I11" s="1555" t="s">
        <v>2970</v>
      </c>
      <c r="J11" s="1556">
        <f>E11</f>
        <v>78724.2</v>
      </c>
      <c r="K11" s="1557">
        <v>0</v>
      </c>
      <c r="L11" s="1558">
        <f>+J11+K11-E11</f>
        <v>0</v>
      </c>
      <c r="M11" s="1556">
        <f>H11</f>
        <v>708517.8</v>
      </c>
      <c r="N11" s="1559">
        <v>0</v>
      </c>
      <c r="O11" s="1008">
        <f>+H11-M11-N11</f>
        <v>0</v>
      </c>
      <c r="P11" s="554"/>
    </row>
    <row r="12" spans="1:25">
      <c r="A12" s="558"/>
      <c r="B12" s="1553"/>
      <c r="C12" s="1554"/>
      <c r="D12" s="1554"/>
      <c r="E12" s="1554"/>
      <c r="F12" s="1554"/>
      <c r="G12" s="1554"/>
      <c r="H12" s="1554"/>
      <c r="I12" s="1555"/>
      <c r="J12" s="1556"/>
      <c r="K12" s="1557"/>
      <c r="L12" s="1560"/>
      <c r="M12" s="1556"/>
      <c r="N12" s="1559"/>
      <c r="O12" s="1009"/>
      <c r="P12" s="554"/>
    </row>
    <row r="13" spans="1:25">
      <c r="A13" s="558" t="s">
        <v>294</v>
      </c>
      <c r="B13" s="1553">
        <f>'[69]Depr Summary'!AC14</f>
        <v>3626991.1315384614</v>
      </c>
      <c r="C13" s="1554">
        <f>'[69]Depr Summary'!AD14</f>
        <v>0</v>
      </c>
      <c r="D13" s="1554">
        <f>'[69]Depr Summary'!AE14</f>
        <v>3626991.1315384614</v>
      </c>
      <c r="E13" s="1554">
        <f>'[69]Depr Summary'!AF14</f>
        <v>262522.28266666667</v>
      </c>
      <c r="F13" s="1554">
        <f>'[69]Depr Summary'!AG14</f>
        <v>1655295.1202051283</v>
      </c>
      <c r="G13" s="1554">
        <f>'[69]Depr Summary'!AH14</f>
        <v>1917817.4028717948</v>
      </c>
      <c r="H13" s="1554">
        <f>'[69]Depr Summary'!AI14</f>
        <v>1709173.7286666669</v>
      </c>
      <c r="I13" s="1555" t="s">
        <v>1272</v>
      </c>
      <c r="J13" s="1556">
        <f>+$E13*'Allocators (C)'!$C$72</f>
        <v>187672.63527664955</v>
      </c>
      <c r="K13" s="1557">
        <f>+$E13*('Allocators (C)'!$D$72)</f>
        <v>74849.647390017111</v>
      </c>
      <c r="L13" s="1558">
        <f>+J13+K13-E13</f>
        <v>0</v>
      </c>
      <c r="M13" s="1556">
        <f>+$H13*'Allocators (C)'!$C$72</f>
        <v>1221858.7106062034</v>
      </c>
      <c r="N13" s="1559">
        <f>+$H13*('Allocators (C)'!$D$72)</f>
        <v>487315.0180604636</v>
      </c>
      <c r="O13" s="1008">
        <f>+H13-M13-N13</f>
        <v>0</v>
      </c>
      <c r="P13" s="554"/>
    </row>
    <row r="14" spans="1:25">
      <c r="A14" s="558"/>
      <c r="B14" s="1553"/>
      <c r="C14" s="1554"/>
      <c r="D14" s="1554"/>
      <c r="E14" s="1554"/>
      <c r="F14" s="1554"/>
      <c r="G14" s="1554"/>
      <c r="H14" s="1554"/>
      <c r="I14" s="1555"/>
      <c r="J14" s="1556"/>
      <c r="K14" s="1557"/>
      <c r="L14" s="1560"/>
      <c r="M14" s="1556"/>
      <c r="N14" s="1559"/>
      <c r="O14" s="1009"/>
      <c r="P14" s="554"/>
    </row>
    <row r="15" spans="1:25">
      <c r="A15" s="558" t="s">
        <v>1228</v>
      </c>
      <c r="B15" s="1553">
        <f>'[69]Depr Summary'!AC16</f>
        <v>1295655.7203846155</v>
      </c>
      <c r="C15" s="1554">
        <f>'[69]Depr Summary'!AD16</f>
        <v>0</v>
      </c>
      <c r="D15" s="1554">
        <f>'[69]Depr Summary'!AE16</f>
        <v>1295655.7203846155</v>
      </c>
      <c r="E15" s="1554">
        <f>'[69]Depr Summary'!AF16</f>
        <v>64323.881999999991</v>
      </c>
      <c r="F15" s="1554">
        <f>'[69]Depr Summary'!AG16</f>
        <v>860557.22238461534</v>
      </c>
      <c r="G15" s="1554">
        <f>'[69]Depr Summary'!AH16</f>
        <v>924881.10438461532</v>
      </c>
      <c r="H15" s="1554">
        <f>'[69]Depr Summary'!AI16</f>
        <v>370774.61599999998</v>
      </c>
      <c r="I15" s="1555" t="s">
        <v>1419</v>
      </c>
      <c r="J15" s="1556">
        <f>+$E15*(('Allocators (C)'!C58+'Allocators (C)'!C54+'Allocators (C)'!C55)/('Allocators (C)'!$E$55+'Allocators (C)'!$E$58+'Allocators (C)'!$E$54))</f>
        <v>24715.69610291491</v>
      </c>
      <c r="K15" s="1557">
        <f>+$E15*(('Allocators (C)'!D58+'Allocators (C)'!D54+'Allocators (C)'!D55)/('Allocators (C)'!$E$55+'Allocators (C)'!$E$58+'Allocators (C)'!$E$54))</f>
        <v>39608.185897085081</v>
      </c>
      <c r="L15" s="1558">
        <f>+J15+K15-E15</f>
        <v>0</v>
      </c>
      <c r="M15" s="1556">
        <f>+$H15*(('Allocators (C)'!C58+'Allocators (C)'!C54+'Allocators (C)'!C55)/('Allocators (C)'!$E$55+'Allocators (C)'!$E$58+'Allocators (C)'!$E$54))</f>
        <v>142465.7910374715</v>
      </c>
      <c r="N15" s="1559">
        <f>+$H15*(('Allocators (C)'!D58+'Allocators (C)'!D54+'Allocators (C)'!D55)/('Allocators (C)'!$E$55+'Allocators (C)'!$E$58+'Allocators (C)'!$E$54))</f>
        <v>228308.82496252851</v>
      </c>
      <c r="O15" s="1008">
        <f>+H15-M15-N15</f>
        <v>0</v>
      </c>
      <c r="P15" s="554"/>
    </row>
    <row r="16" spans="1:25">
      <c r="A16" s="558"/>
      <c r="B16" s="1553"/>
      <c r="C16" s="1554"/>
      <c r="D16" s="1554"/>
      <c r="E16" s="1554"/>
      <c r="F16" s="1554"/>
      <c r="G16" s="1554"/>
      <c r="H16" s="1554"/>
      <c r="I16" s="1555"/>
      <c r="J16" s="1556"/>
      <c r="K16" s="1557"/>
      <c r="L16" s="1558"/>
      <c r="M16" s="1556"/>
      <c r="N16" s="1559"/>
      <c r="O16" s="1008"/>
      <c r="P16" s="554"/>
    </row>
    <row r="17" spans="1:27">
      <c r="A17" s="558" t="s">
        <v>1433</v>
      </c>
      <c r="B17" s="1553">
        <f>'[69]Depr Summary'!AC18</f>
        <v>205620.05</v>
      </c>
      <c r="C17" s="1554">
        <f>'[69]Depr Summary'!AD18</f>
        <v>0</v>
      </c>
      <c r="D17" s="1554">
        <f>'[69]Depr Summary'!AE18</f>
        <v>205620.05</v>
      </c>
      <c r="E17" s="1554">
        <f>'[69]Depr Summary'!AF18</f>
        <v>13481.834428571427</v>
      </c>
      <c r="F17" s="1554">
        <f>'[69]Depr Summary'!AG18</f>
        <v>99036.357428571428</v>
      </c>
      <c r="G17" s="1554">
        <f>'[69]Depr Summary'!AH18</f>
        <v>112518.19185714284</v>
      </c>
      <c r="H17" s="1554">
        <f>'[69]Depr Summary'!AI18</f>
        <v>93101.858142857134</v>
      </c>
      <c r="I17" s="1555" t="s">
        <v>1434</v>
      </c>
      <c r="J17" s="1556">
        <f>+$E17*'Allocators (C)'!$C$74</f>
        <v>9553.1847558888621</v>
      </c>
      <c r="K17" s="1557">
        <f>+$E17*'Allocators (C)'!$D$74</f>
        <v>3928.6496726825635</v>
      </c>
      <c r="L17" s="1558">
        <f>+J17+K17-E17</f>
        <v>0</v>
      </c>
      <c r="M17" s="1556">
        <f>+$H17*'Allocators (C)'!$C$74</f>
        <v>65971.67890375253</v>
      </c>
      <c r="N17" s="1559">
        <f>+$H17*'Allocators (C)'!$D$74</f>
        <v>27130.1792391046</v>
      </c>
      <c r="O17" s="1008">
        <f>+H17-M17-N17</f>
        <v>0</v>
      </c>
      <c r="P17" s="554"/>
    </row>
    <row r="18" spans="1:27">
      <c r="A18" s="558"/>
      <c r="B18" s="1553"/>
      <c r="C18" s="1554"/>
      <c r="D18" s="1554"/>
      <c r="E18" s="1554"/>
      <c r="F18" s="1554"/>
      <c r="G18" s="1554"/>
      <c r="H18" s="1557"/>
      <c r="I18" s="1555"/>
      <c r="J18" s="1556"/>
      <c r="K18" s="1557"/>
      <c r="L18" s="1560"/>
      <c r="M18" s="1556"/>
      <c r="N18" s="1559"/>
      <c r="O18" s="1009"/>
      <c r="P18" s="554"/>
    </row>
    <row r="19" spans="1:27" s="559" customFormat="1">
      <c r="A19" s="568" t="s">
        <v>295</v>
      </c>
      <c r="B19" s="1561">
        <f t="shared" ref="B19:H19" si="0">SUM(B9:B18)</f>
        <v>14748425.789999999</v>
      </c>
      <c r="C19" s="1562">
        <f t="shared" si="0"/>
        <v>0</v>
      </c>
      <c r="D19" s="1562">
        <f t="shared" si="0"/>
        <v>14748425.789999999</v>
      </c>
      <c r="E19" s="1562">
        <f t="shared" si="0"/>
        <v>1055567.5737619048</v>
      </c>
      <c r="F19" s="1562">
        <f t="shared" si="0"/>
        <v>6835545.7250952385</v>
      </c>
      <c r="G19" s="1562">
        <f t="shared" si="0"/>
        <v>7891113.2988571431</v>
      </c>
      <c r="H19" s="1563">
        <f t="shared" si="0"/>
        <v>6857312.4911428588</v>
      </c>
      <c r="I19" s="1564"/>
      <c r="J19" s="1565">
        <f t="shared" ref="J19:K19" si="1">SUM(J9:J18)</f>
        <v>781108.65154993662</v>
      </c>
      <c r="K19" s="1563">
        <f t="shared" si="1"/>
        <v>274458.92221196822</v>
      </c>
      <c r="L19" s="1558">
        <f>+J19+K19-E19</f>
        <v>0</v>
      </c>
      <c r="M19" s="1565">
        <f>SUM(M9:M18)</f>
        <v>5139712.9822928607</v>
      </c>
      <c r="N19" s="1566">
        <f>SUM(N9:N18)</f>
        <v>1717599.5088499985</v>
      </c>
      <c r="O19" s="1008">
        <f>+H19-M19-N19</f>
        <v>0</v>
      </c>
      <c r="P19" s="563"/>
      <c r="S19" s="563"/>
      <c r="T19" s="563"/>
      <c r="U19" s="563"/>
      <c r="V19" s="563"/>
      <c r="W19" s="563"/>
      <c r="X19" s="563"/>
      <c r="Y19" s="563"/>
      <c r="Z19" s="563"/>
      <c r="AA19" s="563"/>
    </row>
    <row r="20" spans="1:27">
      <c r="A20" s="558"/>
      <c r="B20" s="1553">
        <f>B19-'[69]Depr Summary'!$AC$20</f>
        <v>0</v>
      </c>
      <c r="C20" s="1554"/>
      <c r="D20" s="1554"/>
      <c r="E20" s="1554"/>
      <c r="F20" s="1554"/>
      <c r="G20" s="1554"/>
      <c r="H20" s="1557"/>
      <c r="I20" s="1555"/>
      <c r="J20" s="1556"/>
      <c r="K20" s="1557"/>
      <c r="L20" s="1560"/>
      <c r="M20" s="1556"/>
      <c r="N20" s="1559"/>
      <c r="O20" s="1009"/>
      <c r="P20" s="554"/>
    </row>
    <row r="21" spans="1:27">
      <c r="A21" s="566" t="s">
        <v>941</v>
      </c>
      <c r="B21" s="1553"/>
      <c r="C21" s="1554"/>
      <c r="D21" s="1554"/>
      <c r="E21" s="1554"/>
      <c r="F21" s="1554"/>
      <c r="G21" s="1554"/>
      <c r="H21" s="1557"/>
      <c r="I21" s="1555"/>
      <c r="J21" s="1556"/>
      <c r="K21" s="1557"/>
      <c r="L21" s="1560"/>
      <c r="M21" s="1556"/>
      <c r="N21" s="1559"/>
      <c r="O21" s="1009"/>
      <c r="P21" s="554"/>
      <c r="R21" s="559"/>
      <c r="S21" s="563"/>
    </row>
    <row r="22" spans="1:27">
      <c r="A22" s="558" t="s">
        <v>1420</v>
      </c>
      <c r="B22" s="1553">
        <f>'[69]Depr Summary'!AC23</f>
        <v>3431095.3575497838</v>
      </c>
      <c r="C22" s="1554">
        <f>'[69]Depr Summary'!AD23</f>
        <v>0</v>
      </c>
      <c r="D22" s="1554">
        <f>'[69]Depr Summary'!AE23</f>
        <v>3431095.3575497838</v>
      </c>
      <c r="E22" s="1554">
        <f>'[69]Depr Summary'!AF23</f>
        <v>76058.875</v>
      </c>
      <c r="F22" s="1554">
        <f>'[69]Depr Summary'!AG23</f>
        <v>2714971.7525497833</v>
      </c>
      <c r="G22" s="1554">
        <f>'[69]Depr Summary'!AH23</f>
        <v>2791030.6275497833</v>
      </c>
      <c r="H22" s="1554">
        <f>'[69]Depr Summary'!AI23</f>
        <v>640064.73</v>
      </c>
      <c r="I22" s="1555" t="s">
        <v>487</v>
      </c>
      <c r="J22" s="1556">
        <f>+$E22*'Allocators (C)'!C115</f>
        <v>61104.263114068737</v>
      </c>
      <c r="K22" s="1557">
        <f>+$E22*'Allocators (C)'!D115</f>
        <v>14954.611885931263</v>
      </c>
      <c r="L22" s="1558">
        <f>+J22+K22-E22</f>
        <v>0</v>
      </c>
      <c r="M22" s="1556">
        <f>+$H22*'Allocators (C)'!C115</f>
        <v>514215.91066072648</v>
      </c>
      <c r="N22" s="1559">
        <f>+$H22*'Allocators (C)'!D115</f>
        <v>125848.81933927348</v>
      </c>
      <c r="O22" s="1008">
        <f>+H22-M22-N22</f>
        <v>0</v>
      </c>
      <c r="P22" s="554"/>
    </row>
    <row r="23" spans="1:27">
      <c r="A23" s="558"/>
      <c r="B23" s="1553"/>
      <c r="C23" s="1554"/>
      <c r="D23" s="1554"/>
      <c r="E23" s="1554"/>
      <c r="F23" s="1554"/>
      <c r="G23" s="1554"/>
      <c r="H23" s="1554"/>
      <c r="I23" s="1555"/>
      <c r="J23" s="1556"/>
      <c r="K23" s="1557"/>
      <c r="L23" s="1560"/>
      <c r="M23" s="1556"/>
      <c r="N23" s="1559"/>
      <c r="O23" s="1009"/>
      <c r="P23" s="554"/>
    </row>
    <row r="24" spans="1:27">
      <c r="A24" s="558" t="s">
        <v>1229</v>
      </c>
      <c r="B24" s="1553">
        <f>'[69]Depr Summary'!AC25</f>
        <v>2813888.11</v>
      </c>
      <c r="C24" s="1554">
        <f>'[69]Depr Summary'!AD25</f>
        <v>0</v>
      </c>
      <c r="D24" s="1554">
        <f>'[69]Depr Summary'!AE25</f>
        <v>2813888.11</v>
      </c>
      <c r="E24" s="1554">
        <f>'[69]Depr Summary'!AF25</f>
        <v>114811.29333333332</v>
      </c>
      <c r="F24" s="1554">
        <f>'[69]Depr Summary'!AG25</f>
        <v>1851371.9933333332</v>
      </c>
      <c r="G24" s="1554">
        <f>'[69]Depr Summary'!AH25</f>
        <v>1966183.2866666671</v>
      </c>
      <c r="H24" s="1554">
        <f>'[69]Depr Summary'!AI25</f>
        <v>847704.82333333325</v>
      </c>
      <c r="I24" s="1555" t="s">
        <v>1271</v>
      </c>
      <c r="J24" s="1556">
        <f>+$E24*(('Allocators (C)'!C97+'Allocators (C)'!C98)/('Allocators (C)'!$E$97+'Allocators (C)'!$E$98))</f>
        <v>79523.041652049113</v>
      </c>
      <c r="K24" s="1557">
        <f>+$E24*(('Allocators (C)'!D97+'Allocators (C)'!D98)/('Allocators (C)'!$E$97+'Allocators (C)'!$E$98))</f>
        <v>35288.251681284208</v>
      </c>
      <c r="L24" s="1558">
        <f>+J24+K24-E24</f>
        <v>0</v>
      </c>
      <c r="M24" s="1556">
        <f>+$H24*(('Allocators (C)'!C97+'Allocators (C)'!C98)/('Allocators (C)'!$E$97+'Allocators (C)'!$E$98))</f>
        <v>587155.35743388196</v>
      </c>
      <c r="N24" s="1559">
        <f>+$H24*(('Allocators (C)'!D97+'Allocators (C)'!D98)/('Allocators (C)'!$E$97+'Allocators (C)'!$E$98))</f>
        <v>260549.46589945132</v>
      </c>
      <c r="O24" s="1008">
        <f>+H24-M24-N24</f>
        <v>0</v>
      </c>
      <c r="P24" s="554"/>
    </row>
    <row r="25" spans="1:27">
      <c r="A25" s="558"/>
      <c r="B25" s="1553"/>
      <c r="C25" s="1554"/>
      <c r="D25" s="1554"/>
      <c r="E25" s="1554"/>
      <c r="F25" s="1554"/>
      <c r="G25" s="1554"/>
      <c r="H25" s="1554"/>
      <c r="I25" s="1555"/>
      <c r="J25" s="1556"/>
      <c r="K25" s="1557"/>
      <c r="L25" s="1560"/>
      <c r="M25" s="1556"/>
      <c r="N25" s="1559"/>
      <c r="O25" s="1009"/>
      <c r="P25" s="554"/>
    </row>
    <row r="26" spans="1:27">
      <c r="A26" s="558" t="s">
        <v>1230</v>
      </c>
      <c r="B26" s="1553">
        <f>'[69]Depr Summary'!AC27</f>
        <v>1199167.3417962999</v>
      </c>
      <c r="C26" s="1554">
        <f>'[69]Depr Summary'!AD27</f>
        <v>0</v>
      </c>
      <c r="D26" s="1554">
        <f>'[69]Depr Summary'!AE27</f>
        <v>1199167.3417962999</v>
      </c>
      <c r="E26" s="1554">
        <f>'[69]Depr Summary'!AF27</f>
        <v>104765.39933142858</v>
      </c>
      <c r="F26" s="1554">
        <f>'[69]Depr Summary'!AG27</f>
        <v>618438.97356201441</v>
      </c>
      <c r="G26" s="1554">
        <f>'[69]Depr Summary'!AH27</f>
        <v>723204.37289344287</v>
      </c>
      <c r="H26" s="1554">
        <f>'[69]Depr Summary'!AI27</f>
        <v>475962.9689028571</v>
      </c>
      <c r="I26" s="1555" t="s">
        <v>1774</v>
      </c>
      <c r="J26" s="1556">
        <f>+$E26*(('Allocators (C)'!C94+'Allocators (C)'!C99)/('Allocators (C)'!$E$94+'Allocators (C)'!$E$99))</f>
        <v>64811.025264807358</v>
      </c>
      <c r="K26" s="1557">
        <f>+$E26*(('Allocators (C)'!D94+'Allocators (C)'!D99)/('Allocators (C)'!$E$94+'Allocators (C)'!$E$99))</f>
        <v>39954.374066621218</v>
      </c>
      <c r="L26" s="1558">
        <f>+J26+K26-E26</f>
        <v>0</v>
      </c>
      <c r="M26" s="1556">
        <f>+$H26*(('Allocators (C)'!C94+'Allocators (C)'!C99)/('Allocators (C)'!$E$94+'Allocators (C)'!$E$99))</f>
        <v>294444.99996690988</v>
      </c>
      <c r="N26" s="1559">
        <f>+$H26*(('Allocators (C)'!D94+'Allocators (C)'!D99)/('Allocators (C)'!$E$94+'Allocators (C)'!$E$99))</f>
        <v>181517.9689359472</v>
      </c>
      <c r="O26" s="1008">
        <f>+H26-M26-N26</f>
        <v>0</v>
      </c>
      <c r="P26" s="554"/>
    </row>
    <row r="27" spans="1:27">
      <c r="A27" s="558"/>
      <c r="B27" s="1553"/>
      <c r="C27" s="1554"/>
      <c r="D27" s="1554"/>
      <c r="E27" s="1554"/>
      <c r="F27" s="1554"/>
      <c r="G27" s="1554"/>
      <c r="H27" s="1554"/>
      <c r="I27" s="1555"/>
      <c r="J27" s="1556"/>
      <c r="K27" s="1557"/>
      <c r="L27" s="1560"/>
      <c r="M27" s="1556"/>
      <c r="N27" s="1559"/>
      <c r="O27" s="1009"/>
      <c r="P27" s="554"/>
    </row>
    <row r="28" spans="1:27">
      <c r="A28" s="558" t="s">
        <v>1231</v>
      </c>
      <c r="B28" s="1553">
        <f>'[69]Depr Summary'!AC29</f>
        <v>641817.28</v>
      </c>
      <c r="C28" s="1554">
        <f>'[69]Depr Summary'!AD29</f>
        <v>0</v>
      </c>
      <c r="D28" s="1554">
        <f>'[69]Depr Summary'!AE29</f>
        <v>641817.28</v>
      </c>
      <c r="E28" s="1554">
        <f>'[69]Depr Summary'!AF29</f>
        <v>91688.182857142863</v>
      </c>
      <c r="F28" s="1554">
        <f>'[69]Depr Summary'!AG29</f>
        <v>45714.47285714285</v>
      </c>
      <c r="G28" s="1554">
        <f>'[69]Depr Summary'!AH29</f>
        <v>137402.65571428573</v>
      </c>
      <c r="H28" s="1554">
        <f>'[69]Depr Summary'!AI29</f>
        <v>504414.62428571429</v>
      </c>
      <c r="I28" s="1555" t="s">
        <v>1775</v>
      </c>
      <c r="J28" s="1556">
        <f>+$E28*(('Allocators (C)'!C94+'Allocators (C)'!C95+'Allocators (C)'!C99+'Allocators (C)'!C101)/('Allocators (C)'!$E$94+'Allocators (C)'!$E$95+'Allocators (C)'!$E$99+'Allocators (C)'!$E$101))</f>
        <v>60905.103111434379</v>
      </c>
      <c r="K28" s="1557">
        <f>+$E28*(('Allocators (C)'!D94+'Allocators (C)'!D95+'Allocators (C)'!D99+'Allocators (C)'!D101)/('Allocators (C)'!$E$94+'Allocators (C)'!$E$95+'Allocators (C)'!$E$99+'Allocators (C)'!$E$101))</f>
        <v>30783.079745708474</v>
      </c>
      <c r="L28" s="1558">
        <f>+J28+K28-E28</f>
        <v>0</v>
      </c>
      <c r="M28" s="1556">
        <f>+$H28*(('Allocators (C)'!C94+'Allocators (C)'!C95+'Allocators (C)'!C99+'Allocators (C)'!C101)/('Allocators (C)'!$E$94+'Allocators (C)'!$E$95+'Allocators (C)'!$E$99+'Allocators (C)'!$E$101))</f>
        <v>335064.16798447375</v>
      </c>
      <c r="N28" s="1559">
        <f>+$H28*(('Allocators (C)'!D94+'Allocators (C)'!D95+'Allocators (C)'!D99+'Allocators (C)'!D101)/('Allocators (C)'!$E$94+'Allocators (C)'!$E$95+'Allocators (C)'!$E$99+'Allocators (C)'!$E$101))</f>
        <v>169350.45630124051</v>
      </c>
      <c r="O28" s="1008">
        <f>+H28-M28-N28</f>
        <v>0</v>
      </c>
      <c r="P28" s="554"/>
    </row>
    <row r="29" spans="1:27">
      <c r="A29" s="558"/>
      <c r="B29" s="1553"/>
      <c r="C29" s="1554"/>
      <c r="D29" s="1554"/>
      <c r="E29" s="1554"/>
      <c r="F29" s="1554"/>
      <c r="G29" s="1554"/>
      <c r="H29" s="1554"/>
      <c r="I29" s="1555"/>
      <c r="J29" s="1556"/>
      <c r="K29" s="1557"/>
      <c r="L29" s="1558"/>
      <c r="M29" s="1556"/>
      <c r="N29" s="1559"/>
      <c r="O29" s="1008"/>
      <c r="P29" s="554"/>
    </row>
    <row r="30" spans="1:27">
      <c r="A30" s="558" t="s">
        <v>2008</v>
      </c>
      <c r="B30" s="1553">
        <f>'[69]Depr Summary'!AC31</f>
        <v>243135.57</v>
      </c>
      <c r="C30" s="1554">
        <f>'[69]Depr Summary'!AD31</f>
        <v>0</v>
      </c>
      <c r="D30" s="1554">
        <f>'[69]Depr Summary'!AE31</f>
        <v>243135.57</v>
      </c>
      <c r="E30" s="1554">
        <f>'[69]Depr Summary'!AF31</f>
        <v>34733.65285714285</v>
      </c>
      <c r="F30" s="1554">
        <f>'[69]Depr Summary'!AG31</f>
        <v>51146.782857142854</v>
      </c>
      <c r="G30" s="1554">
        <f>'[69]Depr Summary'!AH31</f>
        <v>85880.435714285719</v>
      </c>
      <c r="H30" s="1554">
        <f>'[69]Depr Summary'!AI31</f>
        <v>157255.13428571427</v>
      </c>
      <c r="I30" s="1555" t="s">
        <v>1777</v>
      </c>
      <c r="J30" s="1556">
        <f>+$E30*(('Allocators (C)'!$C$94+'Allocators (C)'!$C$105)/('Allocators (C)'!$E$94+'Allocators (C)'!$E$105))</f>
        <v>20612.979324179054</v>
      </c>
      <c r="K30" s="1557">
        <f>+$E30*(('Allocators (C)'!$D$94+'Allocators (C)'!$D$105)/('Allocators (C)'!$E$94+'Allocators (C)'!$E$105))</f>
        <v>14120.673532963794</v>
      </c>
      <c r="L30" s="1558">
        <f>+J30+K30-E30</f>
        <v>0</v>
      </c>
      <c r="M30" s="1556">
        <f>+$H30*(('Allocators (C)'!$C$94+'Allocators (C)'!$C$105)/('Allocators (C)'!$E$94+'Allocators (C)'!$E$105))</f>
        <v>93324.386150356397</v>
      </c>
      <c r="N30" s="1559">
        <f>+$H30*(('Allocators (C)'!$D$94+'Allocators (C)'!$D$105)/('Allocators (C)'!$E$94+'Allocators (C)'!$E$105))</f>
        <v>63930.748135357877</v>
      </c>
      <c r="O30" s="1008">
        <f>+H30-M30-N30</f>
        <v>0</v>
      </c>
      <c r="P30" s="554"/>
    </row>
    <row r="31" spans="1:27">
      <c r="A31" s="558"/>
      <c r="B31" s="1553"/>
      <c r="C31" s="1554"/>
      <c r="D31" s="1554"/>
      <c r="E31" s="1554"/>
      <c r="F31" s="1554"/>
      <c r="G31" s="1554"/>
      <c r="H31" s="1554"/>
      <c r="I31" s="1555"/>
      <c r="J31" s="1556"/>
      <c r="K31" s="1557"/>
      <c r="L31" s="1560"/>
      <c r="M31" s="1556"/>
      <c r="N31" s="1559"/>
      <c r="O31" s="1009"/>
      <c r="P31" s="554"/>
    </row>
    <row r="32" spans="1:27">
      <c r="A32" s="558" t="s">
        <v>1232</v>
      </c>
      <c r="B32" s="1553">
        <f>'[69]Depr Summary'!AC33</f>
        <v>139506.90444799999</v>
      </c>
      <c r="C32" s="1554">
        <f>'[69]Depr Summary'!AD33</f>
        <v>0</v>
      </c>
      <c r="D32" s="1554">
        <f>'[69]Depr Summary'!AE33</f>
        <v>139506.90444799999</v>
      </c>
      <c r="E32" s="1554">
        <f>'[69]Depr Summary'!AF33</f>
        <v>346.95979</v>
      </c>
      <c r="F32" s="1554">
        <f>'[69]Depr Summary'!AG33</f>
        <v>138812.98486799997</v>
      </c>
      <c r="G32" s="1554">
        <f>'[69]Depr Summary'!AH33</f>
        <v>139159.94465799999</v>
      </c>
      <c r="H32" s="1554">
        <f>'[69]Depr Summary'!AI33</f>
        <v>346.95978999999966</v>
      </c>
      <c r="I32" s="1555" t="s">
        <v>1776</v>
      </c>
      <c r="J32" s="1556">
        <f>+$E32*(('Allocators (C)'!C95+'Allocators (C)'!C101)/('Allocators (C)'!$E$95+'Allocators (C)'!$E$101))</f>
        <v>333.31147189776857</v>
      </c>
      <c r="K32" s="1557">
        <f>+$E32*(('Allocators (C)'!D95+'Allocators (C)'!D101)/('Allocators (C)'!$E$95+'Allocators (C)'!$E$101))</f>
        <v>13.648318102231414</v>
      </c>
      <c r="L32" s="1558">
        <f>+J32+K32-E32</f>
        <v>0</v>
      </c>
      <c r="M32" s="1556">
        <f>+$H32*(('Allocators (C)'!C95+'Allocators (C)'!C101)/('Allocators (C)'!$E$95+'Allocators (C)'!$E$101))</f>
        <v>333.31147189776823</v>
      </c>
      <c r="N32" s="1559">
        <f>+$H32*(('Allocators (C)'!D95+'Allocators (C)'!D101)/('Allocators (C)'!$E$95+'Allocators (C)'!$E$101))</f>
        <v>13.6483181022314</v>
      </c>
      <c r="O32" s="1008">
        <f>+H32-M32-N32</f>
        <v>2.8421709430404007E-14</v>
      </c>
      <c r="P32" s="554"/>
    </row>
    <row r="33" spans="1:27">
      <c r="A33" s="558"/>
      <c r="B33" s="1553"/>
      <c r="C33" s="1554"/>
      <c r="D33" s="1554"/>
      <c r="E33" s="1554"/>
      <c r="F33" s="1554"/>
      <c r="G33" s="1554"/>
      <c r="H33" s="1554"/>
      <c r="I33" s="1555"/>
      <c r="J33" s="1556"/>
      <c r="K33" s="1557"/>
      <c r="L33" s="1560"/>
      <c r="M33" s="1556"/>
      <c r="N33" s="1559"/>
      <c r="O33" s="1009"/>
      <c r="P33" s="554"/>
    </row>
    <row r="34" spans="1:27">
      <c r="A34" s="558" t="s">
        <v>1233</v>
      </c>
      <c r="B34" s="1553">
        <f>'[69]Depr Summary'!AC35</f>
        <v>43793.944499999998</v>
      </c>
      <c r="C34" s="1554">
        <f>'[69]Depr Summary'!AD35</f>
        <v>0</v>
      </c>
      <c r="D34" s="1554">
        <f>'[69]Depr Summary'!AE35</f>
        <v>43793.944499999998</v>
      </c>
      <c r="E34" s="1554">
        <f>'[69]Depr Summary'!AF35</f>
        <v>93.994450000000001</v>
      </c>
      <c r="F34" s="1554">
        <f>'[69]Depr Summary'!AG35</f>
        <v>43605.955600000001</v>
      </c>
      <c r="G34" s="1554">
        <f>'[69]Depr Summary'!AH35</f>
        <v>43699.950049999999</v>
      </c>
      <c r="H34" s="1554">
        <f>'[69]Depr Summary'!AI35</f>
        <v>93.994450000000029</v>
      </c>
      <c r="I34" s="1555" t="s">
        <v>1421</v>
      </c>
      <c r="J34" s="1556">
        <f>+$E34*'Allocators (C)'!$C$128</f>
        <v>57.40157399585911</v>
      </c>
      <c r="K34" s="1557">
        <f>+$E34*'Allocators (C)'!$D$128</f>
        <v>36.592876004140898</v>
      </c>
      <c r="L34" s="1558">
        <f>+J34+K34-E34</f>
        <v>0</v>
      </c>
      <c r="M34" s="1556">
        <f>+$H34*'Allocators (C)'!$C$128</f>
        <v>57.401573995859131</v>
      </c>
      <c r="N34" s="1559">
        <f>+$H34*'Allocators (C)'!$D$128</f>
        <v>36.592876004140905</v>
      </c>
      <c r="O34" s="1008">
        <f>+H34-M34-N34</f>
        <v>0</v>
      </c>
      <c r="P34" s="554"/>
    </row>
    <row r="35" spans="1:27">
      <c r="A35" s="558"/>
      <c r="B35" s="1553"/>
      <c r="C35" s="1554"/>
      <c r="D35" s="1554"/>
      <c r="E35" s="1554"/>
      <c r="F35" s="1554"/>
      <c r="G35" s="1554"/>
      <c r="H35" s="1557"/>
      <c r="I35" s="1555"/>
      <c r="J35" s="1556"/>
      <c r="K35" s="1557"/>
      <c r="L35" s="1560"/>
      <c r="M35" s="1556"/>
      <c r="N35" s="1559"/>
      <c r="O35" s="1009"/>
      <c r="P35" s="554"/>
    </row>
    <row r="36" spans="1:27" s="559" customFormat="1">
      <c r="A36" s="568" t="s">
        <v>1234</v>
      </c>
      <c r="B36" s="1561">
        <f t="shared" ref="B36:H36" si="2">SUM(B22:B35)</f>
        <v>8512404.5082940832</v>
      </c>
      <c r="C36" s="1562">
        <f t="shared" si="2"/>
        <v>0</v>
      </c>
      <c r="D36" s="1562">
        <f t="shared" si="2"/>
        <v>8512404.5082940832</v>
      </c>
      <c r="E36" s="1562">
        <f t="shared" si="2"/>
        <v>422498.35761904763</v>
      </c>
      <c r="F36" s="1562">
        <f t="shared" si="2"/>
        <v>5464062.9156274162</v>
      </c>
      <c r="G36" s="1562">
        <f t="shared" si="2"/>
        <v>5886561.2732464643</v>
      </c>
      <c r="H36" s="1563">
        <f t="shared" si="2"/>
        <v>2625843.2350476193</v>
      </c>
      <c r="I36" s="1564"/>
      <c r="J36" s="1565">
        <f>SUM(J22:J35)</f>
        <v>287347.12551243231</v>
      </c>
      <c r="K36" s="1563">
        <f>SUM(K22:K35)</f>
        <v>135151.23210661532</v>
      </c>
      <c r="L36" s="1558">
        <f>+J36+K36-E36</f>
        <v>0</v>
      </c>
      <c r="M36" s="1565">
        <f>SUM(M22:M35)</f>
        <v>1824595.5352422423</v>
      </c>
      <c r="N36" s="1566">
        <f>SUM(N22:N35)</f>
        <v>801247.6998053767</v>
      </c>
      <c r="O36" s="1008">
        <f>+H36-M36-N36</f>
        <v>0</v>
      </c>
      <c r="P36" s="563"/>
      <c r="S36" s="563"/>
      <c r="T36" s="563"/>
      <c r="U36" s="563"/>
      <c r="V36" s="563"/>
      <c r="W36" s="563"/>
      <c r="X36" s="563"/>
      <c r="Y36" s="563"/>
      <c r="Z36" s="563"/>
      <c r="AA36" s="563"/>
    </row>
    <row r="37" spans="1:27">
      <c r="A37" s="558"/>
      <c r="B37" s="1553">
        <f>B36-'[69]Depr Summary'!$AC$37</f>
        <v>0</v>
      </c>
      <c r="C37" s="1554"/>
      <c r="D37" s="1554"/>
      <c r="E37" s="1554"/>
      <c r="F37" s="1554"/>
      <c r="G37" s="1554"/>
      <c r="H37" s="1557"/>
      <c r="I37" s="1555"/>
      <c r="J37" s="1556"/>
      <c r="K37" s="1557"/>
      <c r="L37" s="1560"/>
      <c r="M37" s="1556"/>
      <c r="N37" s="1559"/>
      <c r="O37" s="1009"/>
      <c r="P37" s="554"/>
    </row>
    <row r="38" spans="1:27">
      <c r="A38" s="558" t="s">
        <v>284</v>
      </c>
      <c r="B38" s="1553">
        <f>'[69]Depr Summary'!AC39</f>
        <v>161309.15</v>
      </c>
      <c r="C38" s="1554">
        <f>'[69]Depr Summary'!AD39</f>
        <v>0</v>
      </c>
      <c r="D38" s="1554">
        <f>'[69]Depr Summary'!AE39</f>
        <v>161309.15</v>
      </c>
      <c r="E38" s="1554">
        <f>'[69]Depr Summary'!AF39</f>
        <v>21304.004999999997</v>
      </c>
      <c r="F38" s="1554">
        <f>'[69]Depr Summary'!AG39</f>
        <v>59083.601999999999</v>
      </c>
      <c r="G38" s="1554">
        <f>'[69]Depr Summary'!AH39</f>
        <v>80387.606999999989</v>
      </c>
      <c r="H38" s="1554">
        <f>'[69]Depr Summary'!AI39</f>
        <v>80921.543000000005</v>
      </c>
      <c r="I38" s="1555" t="s">
        <v>187</v>
      </c>
      <c r="J38" s="1556">
        <f>+$E38*'Allocators (C)'!C$70</f>
        <v>15136.004871161624</v>
      </c>
      <c r="K38" s="1557">
        <f>+$E38*'Allocators (C)'!D$70</f>
        <v>6168.0001288383737</v>
      </c>
      <c r="L38" s="1558">
        <f>+J38+K38-E38</f>
        <v>0</v>
      </c>
      <c r="M38" s="1556">
        <f>+$H38*'Allocators (C)'!C$70</f>
        <v>57492.892488051657</v>
      </c>
      <c r="N38" s="1559">
        <f>+$H38*'Allocators (C)'!D$70</f>
        <v>23428.650511948345</v>
      </c>
      <c r="O38" s="1008">
        <f>+H38-M38-N38</f>
        <v>0</v>
      </c>
      <c r="P38" s="554"/>
    </row>
    <row r="39" spans="1:27">
      <c r="A39" s="558"/>
      <c r="B39" s="1553"/>
      <c r="C39" s="1554"/>
      <c r="D39" s="1554"/>
      <c r="E39" s="1554"/>
      <c r="F39" s="1554"/>
      <c r="G39" s="1554"/>
      <c r="H39" s="1554"/>
      <c r="I39" s="1555"/>
      <c r="J39" s="1556"/>
      <c r="K39" s="1557"/>
      <c r="L39" s="1560"/>
      <c r="M39" s="1556"/>
      <c r="N39" s="1559"/>
      <c r="O39" s="1009"/>
      <c r="P39" s="554"/>
    </row>
    <row r="40" spans="1:27">
      <c r="A40" s="558" t="s">
        <v>285</v>
      </c>
      <c r="B40" s="1553">
        <f>'[69]Depr Summary'!AC41</f>
        <v>652245.12158333324</v>
      </c>
      <c r="C40" s="1554">
        <f>'[69]Depr Summary'!AD41</f>
        <v>0</v>
      </c>
      <c r="D40" s="1554">
        <f>'[69]Depr Summary'!AE41</f>
        <v>652245.12158333324</v>
      </c>
      <c r="E40" s="1554">
        <f>'[69]Depr Summary'!AF41</f>
        <v>36691.794999999998</v>
      </c>
      <c r="F40" s="1554">
        <f>'[69]Depr Summary'!AG41</f>
        <v>459413.0615833333</v>
      </c>
      <c r="G40" s="1554">
        <f>'[69]Depr Summary'!AH41</f>
        <v>496104.85658333328</v>
      </c>
      <c r="H40" s="1554">
        <f>'[69]Depr Summary'!AI41</f>
        <v>156140.26499999998</v>
      </c>
      <c r="I40" s="1555" t="s">
        <v>187</v>
      </c>
      <c r="J40" s="1556">
        <f>+$E40*'Allocators (C)'!C$70</f>
        <v>26068.675249168584</v>
      </c>
      <c r="K40" s="1557">
        <f>+$E40*'Allocators (C)'!D$70</f>
        <v>10623.119750831414</v>
      </c>
      <c r="L40" s="1558">
        <f>+J40+K40-E40</f>
        <v>0</v>
      </c>
      <c r="M40" s="1556">
        <f>+$H40*'Allocators (C)'!C$70</f>
        <v>110934.06200498294</v>
      </c>
      <c r="N40" s="1559">
        <f>+$H40*'Allocators (C)'!D$70</f>
        <v>45206.202995017033</v>
      </c>
      <c r="O40" s="1008">
        <f>+H40-M40-N40</f>
        <v>0</v>
      </c>
      <c r="P40" s="554"/>
    </row>
    <row r="41" spans="1:27">
      <c r="A41" s="558"/>
      <c r="B41" s="1553"/>
      <c r="C41" s="1554"/>
      <c r="D41" s="1554"/>
      <c r="E41" s="1554"/>
      <c r="F41" s="1554"/>
      <c r="G41" s="1554"/>
      <c r="H41" s="1554"/>
      <c r="I41" s="1555"/>
      <c r="J41" s="1556"/>
      <c r="K41" s="1557"/>
      <c r="L41" s="1560"/>
      <c r="M41" s="1556"/>
      <c r="N41" s="1559"/>
      <c r="O41" s="1009"/>
      <c r="P41" s="554"/>
    </row>
    <row r="42" spans="1:27">
      <c r="A42" s="558" t="s">
        <v>286</v>
      </c>
      <c r="B42" s="1553">
        <f>'[69]Depr Summary'!AC43</f>
        <v>32924.39</v>
      </c>
      <c r="C42" s="1554">
        <f>'[69]Depr Summary'!AD43</f>
        <v>0</v>
      </c>
      <c r="D42" s="1554">
        <f>'[69]Depr Summary'!AE43</f>
        <v>32924.39</v>
      </c>
      <c r="E42" s="1554">
        <f>'[69]Depr Summary'!AF43</f>
        <v>1831.4533333333334</v>
      </c>
      <c r="F42" s="1554">
        <f>'[69]Depr Summary'!AG43</f>
        <v>28737.216666666667</v>
      </c>
      <c r="G42" s="1554">
        <f>'[69]Depr Summary'!AH43</f>
        <v>30568.67</v>
      </c>
      <c r="H42" s="1554">
        <f>'[69]Depr Summary'!AI43</f>
        <v>2355.7199999999998</v>
      </c>
      <c r="I42" s="1555" t="s">
        <v>486</v>
      </c>
      <c r="J42" s="1556">
        <f>+$E42*'Allocators (C)'!C$33</f>
        <v>1253.9006369893525</v>
      </c>
      <c r="K42" s="1557">
        <f>+$E42*'Allocators (C)'!D$33</f>
        <v>577.55269634398064</v>
      </c>
      <c r="L42" s="1558">
        <f>+J42+K42-E42</f>
        <v>0</v>
      </c>
      <c r="M42" s="1556">
        <f>+$H42*'Allocators (C)'!C$33</f>
        <v>1612.8386974471407</v>
      </c>
      <c r="N42" s="1559">
        <f>+$H42*'Allocators (C)'!D$33</f>
        <v>742.88130255285887</v>
      </c>
      <c r="O42" s="1008">
        <f>+H42-M42-N42</f>
        <v>0</v>
      </c>
      <c r="P42" s="554"/>
    </row>
    <row r="43" spans="1:27">
      <c r="A43" s="558"/>
      <c r="B43" s="1553"/>
      <c r="C43" s="1554"/>
      <c r="D43" s="1554"/>
      <c r="E43" s="1554"/>
      <c r="F43" s="1554"/>
      <c r="G43" s="1554"/>
      <c r="H43" s="1554"/>
      <c r="I43" s="1555"/>
      <c r="J43" s="1556"/>
      <c r="K43" s="1557"/>
      <c r="L43" s="1560"/>
      <c r="M43" s="1556"/>
      <c r="N43" s="1559"/>
      <c r="O43" s="1009"/>
      <c r="P43" s="554"/>
    </row>
    <row r="44" spans="1:27">
      <c r="A44" s="558" t="s">
        <v>1235</v>
      </c>
      <c r="B44" s="1553">
        <f>'[69]Depr Summary'!AC45</f>
        <v>419931</v>
      </c>
      <c r="C44" s="1554">
        <f>'[69]Depr Summary'!AD45</f>
        <v>0</v>
      </c>
      <c r="D44" s="1554">
        <f>'[69]Depr Summary'!AE45</f>
        <v>419931</v>
      </c>
      <c r="E44" s="1554">
        <f>'[69]Depr Summary'!AF45</f>
        <v>20996.550000000003</v>
      </c>
      <c r="F44" s="1554">
        <f>'[69]Depr Summary'!AG45</f>
        <v>272955.15000000002</v>
      </c>
      <c r="G44" s="1554">
        <f>'[69]Depr Summary'!AH45</f>
        <v>293951.7</v>
      </c>
      <c r="H44" s="1554">
        <f>'[69]Depr Summary'!AI45</f>
        <v>125979.29999999997</v>
      </c>
      <c r="I44" s="1555" t="s">
        <v>486</v>
      </c>
      <c r="J44" s="1556">
        <f>+$E44*'Allocators (C)'!C$33</f>
        <v>14375.243387534923</v>
      </c>
      <c r="K44" s="1557">
        <f>+$E44*'Allocators (C)'!D$33</f>
        <v>6621.3066124650777</v>
      </c>
      <c r="L44" s="1558">
        <f>+J44+K44-E44</f>
        <v>0</v>
      </c>
      <c r="M44" s="1556">
        <f>+$H44*'Allocators (C)'!C$33</f>
        <v>86251.460325209511</v>
      </c>
      <c r="N44" s="1559">
        <f>+$H44*'Allocators (C)'!D$33</f>
        <v>39727.839674790455</v>
      </c>
      <c r="O44" s="1008">
        <f>+H44-M44-N44</f>
        <v>0</v>
      </c>
      <c r="P44" s="554"/>
    </row>
    <row r="45" spans="1:27">
      <c r="A45" s="558"/>
      <c r="B45" s="1567"/>
      <c r="C45" s="1554"/>
      <c r="D45" s="1568"/>
      <c r="E45" s="1568"/>
      <c r="F45" s="1568"/>
      <c r="G45" s="1568"/>
      <c r="H45" s="1568"/>
      <c r="I45" s="1555"/>
      <c r="J45" s="1556"/>
      <c r="K45" s="1557"/>
      <c r="L45" s="1560"/>
      <c r="M45" s="1556"/>
      <c r="N45" s="1559"/>
      <c r="O45" s="1009"/>
      <c r="P45" s="554"/>
    </row>
    <row r="46" spans="1:27">
      <c r="A46" s="558" t="s">
        <v>1236</v>
      </c>
      <c r="B46" s="1553">
        <f>'[69]Depr Summary'!AC47</f>
        <v>414469</v>
      </c>
      <c r="C46" s="1554">
        <f>'[69]Depr Summary'!AD47</f>
        <v>0</v>
      </c>
      <c r="D46" s="1554">
        <f>'[69]Depr Summary'!AE47</f>
        <v>414469</v>
      </c>
      <c r="E46" s="1554">
        <f>'[69]Depr Summary'!AF47</f>
        <v>20723.45</v>
      </c>
      <c r="F46" s="1554">
        <f>'[69]Depr Summary'!AG47</f>
        <v>269404.85000000003</v>
      </c>
      <c r="G46" s="1554">
        <f>'[69]Depr Summary'!AH47</f>
        <v>290128.30000000005</v>
      </c>
      <c r="H46" s="1554">
        <f>'[69]Depr Summary'!AI47</f>
        <v>124340.69999999995</v>
      </c>
      <c r="I46" s="1555" t="s">
        <v>208</v>
      </c>
      <c r="J46" s="1556">
        <f>+$E46*'Master IS (C)'!L$16</f>
        <v>2898.9449585503303</v>
      </c>
      <c r="K46" s="1557">
        <f>+$E46*'Master IS (C)'!M$16</f>
        <v>17824.505041449673</v>
      </c>
      <c r="L46" s="1558">
        <f>+J46+K46-E46</f>
        <v>0</v>
      </c>
      <c r="M46" s="1556">
        <f>+$H46*'Master IS (C)'!L$16</f>
        <v>17393.669751301975</v>
      </c>
      <c r="N46" s="1559">
        <f>+$H46*'Master IS (C)'!M$16</f>
        <v>106947.03024869798</v>
      </c>
      <c r="O46" s="1008">
        <f>+H46-M46-N46</f>
        <v>0</v>
      </c>
      <c r="P46" s="554"/>
      <c r="Z46" s="553"/>
    </row>
    <row r="47" spans="1:27">
      <c r="A47" s="558"/>
      <c r="B47" s="1553"/>
      <c r="C47" s="1554"/>
      <c r="D47" s="1554"/>
      <c r="E47" s="1554"/>
      <c r="F47" s="1554"/>
      <c r="G47" s="1554"/>
      <c r="H47" s="1554"/>
      <c r="I47" s="1555"/>
      <c r="J47" s="1556"/>
      <c r="K47" s="1557"/>
      <c r="L47" s="1560"/>
      <c r="M47" s="1556"/>
      <c r="N47" s="1559"/>
      <c r="O47" s="1009"/>
      <c r="P47" s="554"/>
      <c r="Z47" s="553"/>
    </row>
    <row r="48" spans="1:27">
      <c r="A48" s="558" t="s">
        <v>1057</v>
      </c>
      <c r="B48" s="1553">
        <f>'[69]Depr Summary'!AC49</f>
        <v>508088.41</v>
      </c>
      <c r="C48" s="1554">
        <f>'[69]Depr Summary'!AD49</f>
        <v>0</v>
      </c>
      <c r="D48" s="1554">
        <f>'[69]Depr Summary'!AE49</f>
        <v>508088.41</v>
      </c>
      <c r="E48" s="1554">
        <f>'[69]Depr Summary'!AF49</f>
        <v>39521.499333333333</v>
      </c>
      <c r="F48" s="1554">
        <f>'[69]Depr Summary'!AG49</f>
        <v>260555.79633333336</v>
      </c>
      <c r="G48" s="1554">
        <f>'[69]Depr Summary'!AH49</f>
        <v>300077.2956666667</v>
      </c>
      <c r="H48" s="1554">
        <f>'[69]Depr Summary'!AI49</f>
        <v>208011.11433333333</v>
      </c>
      <c r="I48" s="1555" t="s">
        <v>187</v>
      </c>
      <c r="J48" s="1556">
        <f>+$E48*'Allocators (C)'!C$70</f>
        <v>28079.11500325616</v>
      </c>
      <c r="K48" s="1557">
        <f>+$E48*'Allocators (C)'!D$70</f>
        <v>11442.384330077173</v>
      </c>
      <c r="L48" s="1558">
        <f>+J48+K48-E48</f>
        <v>0</v>
      </c>
      <c r="M48" s="1556">
        <f>+$H48*'Allocators (C)'!C$70</f>
        <v>147787.10574866514</v>
      </c>
      <c r="N48" s="1559">
        <f>+$H48*'Allocators (C)'!D$70</f>
        <v>60224.008584668183</v>
      </c>
      <c r="O48" s="1008">
        <f>+H48-M48-N48</f>
        <v>0</v>
      </c>
      <c r="P48" s="554"/>
      <c r="Z48" s="553"/>
    </row>
    <row r="49" spans="1:28">
      <c r="A49" s="558"/>
      <c r="B49" s="1553"/>
      <c r="C49" s="1554"/>
      <c r="D49" s="1554"/>
      <c r="E49" s="1554"/>
      <c r="F49" s="1554"/>
      <c r="G49" s="1554"/>
      <c r="H49" s="1554"/>
      <c r="I49" s="1555"/>
      <c r="J49" s="1556"/>
      <c r="K49" s="1557"/>
      <c r="L49" s="1560"/>
      <c r="M49" s="1556"/>
      <c r="N49" s="1559"/>
      <c r="O49" s="1009"/>
      <c r="P49" s="554"/>
      <c r="Z49" s="553"/>
    </row>
    <row r="50" spans="1:28">
      <c r="A50" s="558" t="s">
        <v>1237</v>
      </c>
      <c r="B50" s="1553">
        <f>'[69]Depr Summary'!AC51</f>
        <v>711971.73</v>
      </c>
      <c r="C50" s="1554">
        <f>'[69]Depr Summary'!AD51</f>
        <v>0</v>
      </c>
      <c r="D50" s="1554">
        <f>'[69]Depr Summary'!AE51</f>
        <v>711971.73</v>
      </c>
      <c r="E50" s="1554">
        <f>'[69]Depr Summary'!AF51</f>
        <v>0</v>
      </c>
      <c r="F50" s="1554">
        <f>'[69]Depr Summary'!AG51</f>
        <v>711971.73</v>
      </c>
      <c r="G50" s="1554">
        <f>'[69]Depr Summary'!AH51</f>
        <v>711971.73</v>
      </c>
      <c r="H50" s="1554">
        <f>'[69]Depr Summary'!AI51</f>
        <v>0</v>
      </c>
      <c r="I50" s="1555" t="s">
        <v>208</v>
      </c>
      <c r="J50" s="1556">
        <f>+$E50*'Master IS (C)'!L$16</f>
        <v>0</v>
      </c>
      <c r="K50" s="1557">
        <f>+$E50*'Master IS (C)'!M$16</f>
        <v>0</v>
      </c>
      <c r="L50" s="1558">
        <f>+J50+K50-E50</f>
        <v>0</v>
      </c>
      <c r="M50" s="1556">
        <f>+$H50*'Master IS (C)'!L$16</f>
        <v>0</v>
      </c>
      <c r="N50" s="1559">
        <f>+$H50*'Master IS (C)'!M$16</f>
        <v>0</v>
      </c>
      <c r="O50" s="1008">
        <f>+H50-M50-N50</f>
        <v>0</v>
      </c>
      <c r="P50" s="554"/>
      <c r="Z50" s="553"/>
    </row>
    <row r="51" spans="1:28">
      <c r="A51" s="558"/>
      <c r="B51" s="1553"/>
      <c r="C51" s="1554"/>
      <c r="D51" s="1554"/>
      <c r="E51" s="1554"/>
      <c r="F51" s="1554"/>
      <c r="G51" s="1554"/>
      <c r="H51" s="1554"/>
      <c r="I51" s="1555"/>
      <c r="J51" s="1556"/>
      <c r="K51" s="1557"/>
      <c r="L51" s="1560"/>
      <c r="M51" s="1556"/>
      <c r="N51" s="1559"/>
      <c r="O51" s="1009"/>
      <c r="P51" s="554"/>
      <c r="Z51" s="553"/>
    </row>
    <row r="52" spans="1:28">
      <c r="A52" s="558" t="s">
        <v>1238</v>
      </c>
      <c r="B52" s="1553">
        <f>'[69]Depr Summary'!AC53</f>
        <v>343062.99528461613</v>
      </c>
      <c r="C52" s="1554">
        <f>'[69]Depr Summary'!AD53</f>
        <v>0</v>
      </c>
      <c r="D52" s="1554">
        <f>'[69]Depr Summary'!AE53</f>
        <v>0</v>
      </c>
      <c r="E52" s="1554">
        <f>'[69]Depr Summary'!AF53</f>
        <v>0</v>
      </c>
      <c r="F52" s="1554">
        <f>'[69]Depr Summary'!AG53</f>
        <v>0</v>
      </c>
      <c r="G52" s="1554">
        <f>'[69]Depr Summary'!AH53</f>
        <v>0</v>
      </c>
      <c r="H52" s="1554">
        <f>'[69]Depr Summary'!AI53</f>
        <v>343062.99528461613</v>
      </c>
      <c r="I52" s="1555" t="s">
        <v>187</v>
      </c>
      <c r="J52" s="1556"/>
      <c r="K52" s="1557"/>
      <c r="L52" s="1558">
        <f>+J52+K52-E52</f>
        <v>0</v>
      </c>
      <c r="M52" s="1556">
        <f>+$H52*'Allocators (C)'!C$70</f>
        <v>243738.35660211529</v>
      </c>
      <c r="N52" s="1559">
        <f>+$H52*'Allocators (C)'!D$70</f>
        <v>99324.638682500823</v>
      </c>
      <c r="O52" s="1008">
        <f>+H52-M52-N52</f>
        <v>0</v>
      </c>
      <c r="P52" s="554"/>
    </row>
    <row r="53" spans="1:28">
      <c r="A53" s="558"/>
      <c r="B53" s="1553"/>
      <c r="C53" s="1554"/>
      <c r="D53" s="1554"/>
      <c r="E53" s="1554"/>
      <c r="F53" s="1554"/>
      <c r="G53" s="1554"/>
      <c r="H53" s="1554"/>
      <c r="I53" s="1555"/>
      <c r="J53" s="1556"/>
      <c r="K53" s="1557"/>
      <c r="L53" s="1560"/>
      <c r="M53" s="1556"/>
      <c r="N53" s="1559"/>
      <c r="O53" s="1009"/>
      <c r="P53" s="554"/>
    </row>
    <row r="54" spans="1:28">
      <c r="A54" s="558" t="s">
        <v>1239</v>
      </c>
      <c r="B54" s="1553">
        <f>'[69]Depr Summary'!AC55</f>
        <v>51033.204715383887</v>
      </c>
      <c r="C54" s="1554">
        <f>'[69]Depr Summary'!AD55</f>
        <v>0</v>
      </c>
      <c r="D54" s="1554">
        <f>'[69]Depr Summary'!AE55</f>
        <v>0</v>
      </c>
      <c r="E54" s="1554">
        <f>'[69]Depr Summary'!AF55</f>
        <v>0</v>
      </c>
      <c r="F54" s="1554">
        <f>'[69]Depr Summary'!AG55</f>
        <v>0</v>
      </c>
      <c r="G54" s="1554">
        <f>'[69]Depr Summary'!AH55</f>
        <v>0</v>
      </c>
      <c r="H54" s="1554">
        <f>'[69]Depr Summary'!AI55</f>
        <v>51033.204715383887</v>
      </c>
      <c r="I54" s="1555" t="s">
        <v>208</v>
      </c>
      <c r="J54" s="1556"/>
      <c r="K54" s="1557"/>
      <c r="L54" s="1558">
        <f>+J54+K54-E54</f>
        <v>0</v>
      </c>
      <c r="M54" s="1556">
        <f>+$H54*'Master IS (C)'!L$16</f>
        <v>7138.8910402625552</v>
      </c>
      <c r="N54" s="1559">
        <f>+$H54*'Master IS (C)'!M$16</f>
        <v>43894.313675121331</v>
      </c>
      <c r="O54" s="1008">
        <f>+H54-M54-N54</f>
        <v>0</v>
      </c>
      <c r="P54" s="554"/>
    </row>
    <row r="55" spans="1:28">
      <c r="A55" s="558"/>
      <c r="B55" s="1553"/>
      <c r="C55" s="1554"/>
      <c r="D55" s="1554"/>
      <c r="E55" s="1554"/>
      <c r="F55" s="1554"/>
      <c r="G55" s="1554"/>
      <c r="H55" s="1557"/>
      <c r="I55" s="1555"/>
      <c r="J55" s="1556"/>
      <c r="K55" s="1557"/>
      <c r="L55" s="1560"/>
      <c r="M55" s="1556"/>
      <c r="N55" s="1559"/>
      <c r="O55" s="1009"/>
      <c r="P55" s="554"/>
    </row>
    <row r="56" spans="1:28">
      <c r="A56" s="558"/>
      <c r="B56" s="1553"/>
      <c r="C56" s="1554"/>
      <c r="D56" s="1554"/>
      <c r="E56" s="1554"/>
      <c r="F56" s="1554"/>
      <c r="G56" s="1554"/>
      <c r="H56" s="1557"/>
      <c r="I56" s="1555"/>
      <c r="J56" s="1556"/>
      <c r="K56" s="1557"/>
      <c r="L56" s="1560"/>
      <c r="M56" s="1556"/>
      <c r="N56" s="1559"/>
      <c r="O56" s="1009"/>
      <c r="P56" s="554"/>
    </row>
    <row r="57" spans="1:28">
      <c r="A57" s="568" t="s">
        <v>942</v>
      </c>
      <c r="B57" s="1561">
        <f t="shared" ref="B57:H57" si="3">SUM(B38:B54)</f>
        <v>3295035.0015833331</v>
      </c>
      <c r="C57" s="1562">
        <f t="shared" si="3"/>
        <v>0</v>
      </c>
      <c r="D57" s="1562">
        <f t="shared" si="3"/>
        <v>2900938.8015833334</v>
      </c>
      <c r="E57" s="1562">
        <f t="shared" si="3"/>
        <v>141068.75266666667</v>
      </c>
      <c r="F57" s="1562">
        <f t="shared" si="3"/>
        <v>2062121.4065833334</v>
      </c>
      <c r="G57" s="1562">
        <f t="shared" si="3"/>
        <v>2203190.15925</v>
      </c>
      <c r="H57" s="1563">
        <f t="shared" si="3"/>
        <v>1091844.8423333333</v>
      </c>
      <c r="I57" s="1555"/>
      <c r="J57" s="1565">
        <f t="shared" ref="J57:K57" si="4">SUM(J38:J54)</f>
        <v>87811.884106660975</v>
      </c>
      <c r="K57" s="1563">
        <f t="shared" si="4"/>
        <v>53256.868560005692</v>
      </c>
      <c r="L57" s="1558">
        <f>+J57+K57-E57</f>
        <v>0</v>
      </c>
      <c r="M57" s="1565">
        <f>SUM(M38:M54)</f>
        <v>672349.27665803628</v>
      </c>
      <c r="N57" s="1566">
        <f>SUM(N38:N54)</f>
        <v>419495.565675297</v>
      </c>
      <c r="O57" s="1008">
        <f>+H57-M57-N57</f>
        <v>0</v>
      </c>
      <c r="P57" s="554"/>
    </row>
    <row r="58" spans="1:28">
      <c r="A58" s="558"/>
      <c r="B58" s="1553">
        <f>B57-'[69]Depr Summary'!$AC$58</f>
        <v>0</v>
      </c>
      <c r="C58" s="1554"/>
      <c r="D58" s="1554"/>
      <c r="E58" s="1554"/>
      <c r="F58" s="1554"/>
      <c r="G58" s="1554"/>
      <c r="H58" s="1557"/>
      <c r="I58" s="1555"/>
      <c r="J58" s="1556"/>
      <c r="K58" s="1557"/>
      <c r="L58" s="1560"/>
      <c r="M58" s="1556"/>
      <c r="N58" s="1559"/>
      <c r="O58" s="1009"/>
      <c r="P58" s="554"/>
    </row>
    <row r="59" spans="1:28" ht="12.75" thickBot="1">
      <c r="A59" s="569" t="s">
        <v>943</v>
      </c>
      <c r="B59" s="1569">
        <f t="shared" ref="B59:H59" si="5">B19+B36+B57</f>
        <v>26555865.299877416</v>
      </c>
      <c r="C59" s="1570">
        <f t="shared" si="5"/>
        <v>0</v>
      </c>
      <c r="D59" s="1570">
        <f t="shared" si="5"/>
        <v>26161769.099877417</v>
      </c>
      <c r="E59" s="1570">
        <f t="shared" si="5"/>
        <v>1619134.6840476191</v>
      </c>
      <c r="F59" s="1570">
        <f t="shared" si="5"/>
        <v>14361730.047305988</v>
      </c>
      <c r="G59" s="1570">
        <f t="shared" si="5"/>
        <v>15980864.731353609</v>
      </c>
      <c r="H59" s="1571">
        <f t="shared" si="5"/>
        <v>10575000.568523811</v>
      </c>
      <c r="I59" s="1555"/>
      <c r="J59" s="1572">
        <f t="shared" ref="J59:K59" si="6">J19+J36+J57</f>
        <v>1156267.66116903</v>
      </c>
      <c r="K59" s="1571">
        <f t="shared" si="6"/>
        <v>462867.02287858923</v>
      </c>
      <c r="L59" s="1558">
        <f>+J59+K59-E59</f>
        <v>0</v>
      </c>
      <c r="M59" s="1572">
        <f>+M19+M36+M57</f>
        <v>7636657.7941931393</v>
      </c>
      <c r="N59" s="1573">
        <f>+N19+N36+N57</f>
        <v>2938342.7743306719</v>
      </c>
      <c r="O59" s="1008">
        <f>+J59+K59-E59</f>
        <v>0</v>
      </c>
      <c r="P59" s="563"/>
      <c r="S59" s="563"/>
      <c r="T59" s="563"/>
      <c r="U59" s="563"/>
      <c r="V59" s="563"/>
      <c r="W59" s="563"/>
      <c r="X59" s="563"/>
      <c r="Y59" s="563"/>
    </row>
    <row r="60" spans="1:28">
      <c r="A60" s="558"/>
      <c r="B60" s="1553">
        <f>B59-'[69]Depr Summary'!$AC$60</f>
        <v>0</v>
      </c>
      <c r="C60" s="1554"/>
      <c r="D60" s="1574">
        <f>D59-'[69]Depr Summary'!$AE$60</f>
        <v>0</v>
      </c>
      <c r="E60" s="1574">
        <f>E59-'[69]Depr Summary'!$AF$60</f>
        <v>0</v>
      </c>
      <c r="F60" s="1574">
        <f>F59-'[69]Depr Summary'!$AG$60</f>
        <v>0</v>
      </c>
      <c r="G60" s="1554">
        <f>G59-'[69]Depr Summary'!$AH$60</f>
        <v>0</v>
      </c>
      <c r="H60" s="1574">
        <f>H59-'[69]Depr Summary'!$AI$60</f>
        <v>0</v>
      </c>
      <c r="I60" s="1555"/>
      <c r="J60" s="1556"/>
      <c r="K60" s="1557"/>
      <c r="L60" s="1560"/>
      <c r="M60" s="1556"/>
      <c r="N60" s="1559"/>
      <c r="O60" s="1009"/>
      <c r="P60" s="554"/>
    </row>
    <row r="61" spans="1:28" ht="12.75" thickBot="1">
      <c r="A61" s="610"/>
      <c r="B61" s="1575"/>
      <c r="C61" s="1576"/>
      <c r="D61" s="1576"/>
      <c r="E61" s="1576"/>
      <c r="F61" s="1576"/>
      <c r="G61" s="1576"/>
      <c r="H61" s="1577"/>
      <c r="I61" s="1555"/>
      <c r="J61" s="1578"/>
      <c r="K61" s="1577"/>
      <c r="L61" s="1560"/>
      <c r="M61" s="1578"/>
      <c r="N61" s="1579"/>
      <c r="O61" s="1009"/>
      <c r="P61" s="554"/>
    </row>
    <row r="62" spans="1:28" ht="12.75" thickBot="1">
      <c r="B62" s="1580"/>
      <c r="C62" s="1581"/>
      <c r="D62" s="1581"/>
      <c r="E62" s="1581"/>
      <c r="F62" s="1581"/>
      <c r="G62" s="1581"/>
      <c r="H62" s="1581"/>
      <c r="I62" s="1582"/>
      <c r="J62" s="1583">
        <f>+J59/E59</f>
        <v>0.71412691764376035</v>
      </c>
      <c r="K62" s="1583">
        <f>+K59/E59</f>
        <v>0.28587308235623976</v>
      </c>
      <c r="L62" s="1584"/>
      <c r="M62" s="1583">
        <f>+M59/H59</f>
        <v>0.72214254218798191</v>
      </c>
      <c r="N62" s="1585">
        <f>+N59/H59</f>
        <v>0.27785745781201804</v>
      </c>
      <c r="O62" s="554"/>
      <c r="P62" s="554"/>
    </row>
    <row r="63" spans="1:28" ht="13.5" thickTop="1" thickBot="1">
      <c r="L63" s="563"/>
      <c r="O63" s="563"/>
      <c r="P63" s="563"/>
      <c r="R63" s="559"/>
      <c r="S63" s="563"/>
      <c r="T63" s="563"/>
      <c r="U63" s="563"/>
      <c r="V63" s="563"/>
      <c r="W63" s="563"/>
      <c r="X63" s="563"/>
      <c r="Y63" s="563"/>
    </row>
    <row r="64" spans="1:28" ht="12.75" thickTop="1">
      <c r="A64" s="570"/>
      <c r="B64" s="571"/>
      <c r="C64" s="571"/>
      <c r="D64" s="571"/>
      <c r="E64" s="572"/>
      <c r="F64" s="571"/>
      <c r="G64" s="571"/>
      <c r="H64" s="571"/>
      <c r="I64" s="1605"/>
      <c r="J64" s="1606" t="s">
        <v>1422</v>
      </c>
      <c r="K64" s="1606"/>
      <c r="L64" s="1606"/>
      <c r="M64" s="1607"/>
      <c r="N64" s="1606" t="s">
        <v>1423</v>
      </c>
      <c r="O64" s="1606"/>
      <c r="P64" s="1608"/>
      <c r="Q64" s="554"/>
      <c r="S64" s="553"/>
      <c r="AB64" s="554"/>
    </row>
    <row r="65" spans="1:28">
      <c r="A65" s="573"/>
      <c r="B65" s="1036" t="s">
        <v>1240</v>
      </c>
      <c r="C65" s="574"/>
      <c r="D65" s="574"/>
      <c r="E65" s="574"/>
      <c r="F65" s="574"/>
      <c r="G65" s="574"/>
      <c r="H65" s="574"/>
      <c r="I65" s="1622"/>
      <c r="J65" s="1623" t="s">
        <v>598</v>
      </c>
      <c r="K65" s="1623" t="s">
        <v>595</v>
      </c>
      <c r="L65" s="1623" t="s">
        <v>223</v>
      </c>
      <c r="M65" s="1609"/>
      <c r="N65" s="1623" t="s">
        <v>598</v>
      </c>
      <c r="O65" s="1623" t="s">
        <v>595</v>
      </c>
      <c r="P65" s="1624" t="s">
        <v>223</v>
      </c>
      <c r="Q65" s="574"/>
      <c r="S65" s="553"/>
      <c r="AB65" s="554"/>
    </row>
    <row r="66" spans="1:28">
      <c r="A66" s="573"/>
      <c r="B66" s="574"/>
      <c r="C66" s="574"/>
      <c r="D66" s="574"/>
      <c r="E66" s="574"/>
      <c r="F66" s="574"/>
      <c r="G66" s="574"/>
      <c r="H66" s="574"/>
      <c r="I66" s="1625" t="s">
        <v>1051</v>
      </c>
      <c r="J66" s="1610">
        <f>+J9+J13+J11+(J17*(('Allocators (C)'!C53)/(SUM('Allocators (C)'!$C$53:$C$55,'Allocators (C)'!$C$57:$C$58))))</f>
        <v>755747.04001648095</v>
      </c>
      <c r="K66" s="1611">
        <f>+(J15*('Allocators (C)'!$C$54/('Allocators (C)'!$C$54+'Allocators (C)'!$C$58)))+(J17*(('Allocators (C)'!C54+'Allocators (C)'!C55)/(SUM('Allocators (C)'!$C$53:$C$55,'Allocators (C)'!$C$57:$C$58))))</f>
        <v>22557.173684931531</v>
      </c>
      <c r="L66" s="1611">
        <f>+J15*('Allocators (C)'!$C$58/('Allocators (C)'!$C$54+'Allocators (C)'!$C$58))+(J17*(('Allocators (C)'!C58)/(SUM('Allocators (C)'!$C$53:$C$55,'Allocators (C)'!$C$57:$C$58))))</f>
        <v>2804.4378485242123</v>
      </c>
      <c r="M66" s="1610">
        <f>+SUM(J66:L66)-J19</f>
        <v>0</v>
      </c>
      <c r="N66" s="1610">
        <f>+M9+M13+M11+(M17*(('Allocators (C)'!C53)/(SUM('Allocators (C)'!$C$53:$C$55,'Allocators (C)'!$C$57:$C$58))))</f>
        <v>4992786.6761003388</v>
      </c>
      <c r="O66" s="1611">
        <f>+(M15*('Allocators (C)'!$C$54/('Allocators (C)'!$C$54+'Allocators (C)'!$C$58)))+(M17*(('Allocators (C)'!C54+'Allocators (C)'!C55)/(SUM('Allocators (C)'!$C$53:$C$55,'Allocators (C)'!$C$57:$C$58))))</f>
        <v>130679.48002034971</v>
      </c>
      <c r="P66" s="1612">
        <f>+M15*('Allocators (C)'!$C$58/('Allocators (C)'!$C$54+'Allocators (C)'!$C$58))+(M17*(('Allocators (C)'!C58)/(SUM('Allocators (C)'!$C$53:$C$55,'Allocators (C)'!$C$57:$C$58))))</f>
        <v>16246.826172170104</v>
      </c>
      <c r="Q66" s="618">
        <f>+SUM(N66:P66)-M19</f>
        <v>0</v>
      </c>
      <c r="S66" s="553"/>
      <c r="AB66" s="554"/>
    </row>
    <row r="67" spans="1:28" ht="12.75" thickBot="1">
      <c r="A67" s="573"/>
      <c r="B67" s="574"/>
      <c r="C67" s="574"/>
      <c r="D67" s="574"/>
      <c r="E67" s="576" t="s">
        <v>1241</v>
      </c>
      <c r="F67" s="576"/>
      <c r="G67" s="576" t="s">
        <v>1242</v>
      </c>
      <c r="H67" s="562"/>
      <c r="I67" s="1625" t="s">
        <v>283</v>
      </c>
      <c r="J67" s="1610">
        <f>+J22+J24+J26+(J28*(('Allocators (C)'!$C$94+'Allocators (C)'!$C$99)/('Allocators (C)'!$C$94+'Allocators (C)'!$C$95+'Allocators (C)'!$C$99)))+(J30*(('Allocators (C)'!$C$94+'Allocators (C)'!$C$99)/('Allocators (C)'!$C$94+'Allocators (C)'!$C$99+'Allocators (C)'!$C$105)))</f>
        <v>274237.20896643662</v>
      </c>
      <c r="K67" s="1610">
        <f>+J32+(J28*(('Allocators (C)'!$C$95)/('Allocators (C)'!$C$94+'Allocators (C)'!$C$95+'Allocators (C)'!$C$99)))</f>
        <v>12084.95368711174</v>
      </c>
      <c r="L67" s="1610">
        <f>+J34+(J30*(('Allocators (C)'!$C$105)/('Allocators (C)'!$C$94+'Allocators (C)'!$C$99+'Allocators (C)'!$C$105)))</f>
        <v>1024.9628588839321</v>
      </c>
      <c r="M67" s="1610">
        <f>+SUM(J67:L67)-J36</f>
        <v>0</v>
      </c>
      <c r="N67" s="1610">
        <f>+M22+M24+M26+(M28*(('Allocators (C)'!$C$94+'Allocators (C)'!$C$99)/('Allocators (C)'!$C$94+'Allocators (C)'!$C$95+'Allocators (C)'!$C$99)))+(M30*(('Allocators (C)'!$C$94+'Allocators (C)'!$C$99)/('Allocators (C)'!$C$94+'Allocators (C)'!$C$99+'Allocators (C)'!$C$105)))</f>
        <v>1755173.5843291355</v>
      </c>
      <c r="O67" s="1610">
        <f>+M32+(M28*(('Allocators (C)'!$C$95)/('Allocators (C)'!$C$94+'Allocators (C)'!$C$95+'Allocators (C)'!$C$99)))</f>
        <v>64983.956822379863</v>
      </c>
      <c r="P67" s="1613">
        <f>+M34+(M30*(('Allocators (C)'!$C$105)/('Allocators (C)'!$C$94+'Allocators (C)'!$C$99+'Allocators (C)'!$C$105)))</f>
        <v>4437.9940907268556</v>
      </c>
      <c r="Q67" s="618">
        <f>+SUM(N67:P67)-M36</f>
        <v>0</v>
      </c>
      <c r="S67" s="553"/>
      <c r="AB67" s="554"/>
    </row>
    <row r="68" spans="1:28" ht="12.75" thickTop="1">
      <c r="A68" s="573">
        <v>1</v>
      </c>
      <c r="B68" s="1586" t="s">
        <v>1243</v>
      </c>
      <c r="C68" s="1587"/>
      <c r="D68" s="1587"/>
      <c r="E68" s="1588">
        <f>38300+9600</f>
        <v>47900</v>
      </c>
      <c r="F68" s="1587"/>
      <c r="G68" s="1589">
        <f>E68/43560</f>
        <v>1.0996326905417815</v>
      </c>
      <c r="H68" s="574"/>
      <c r="I68" s="1625" t="s">
        <v>1424</v>
      </c>
      <c r="J68" s="1611">
        <f>+J38*'Yakima LOB (C)'!$F$9</f>
        <v>14420.622314768672</v>
      </c>
      <c r="K68" s="1611">
        <f>+J38*'Yakima LOB (C)'!$H$9</f>
        <v>636.27693983243103</v>
      </c>
      <c r="L68" s="1611">
        <f>+J38*'Yakima LOB (C)'!$G$9</f>
        <v>79.105616560519422</v>
      </c>
      <c r="M68" s="1610">
        <f>+SUM(J68:L68)-J38</f>
        <v>0</v>
      </c>
      <c r="N68" s="1611">
        <f>+M38*'Yakima LOB (C)'!$F$9</f>
        <v>54775.569604462304</v>
      </c>
      <c r="O68" s="1611">
        <f>+M38*'Yakima LOB (C)'!$H$9</f>
        <v>2416.8465857268852</v>
      </c>
      <c r="P68" s="1612">
        <f>+M38*'Yakima LOB (C)'!$G$9</f>
        <v>300.47629786247165</v>
      </c>
      <c r="Q68" s="618">
        <f>+SUM(N68:P68)-M38</f>
        <v>0</v>
      </c>
      <c r="S68" s="553"/>
      <c r="AB68" s="554"/>
    </row>
    <row r="69" spans="1:28">
      <c r="A69" s="573"/>
      <c r="B69" s="1590"/>
      <c r="C69" s="1591"/>
      <c r="D69" s="1591"/>
      <c r="E69" s="1591"/>
      <c r="F69" s="1591"/>
      <c r="G69" s="1592"/>
      <c r="H69" s="574"/>
      <c r="I69" s="1625" t="s">
        <v>1425</v>
      </c>
      <c r="J69" s="1611">
        <f>+J40*'Yakima LOB (C)'!$F$9</f>
        <v>24836.574988877335</v>
      </c>
      <c r="K69" s="1611">
        <f>+J40*'Yakima LOB (C)'!$H$9</f>
        <v>1095.8570015149216</v>
      </c>
      <c r="L69" s="1611">
        <f>+J40*'Yakima LOB (C)'!$G$9</f>
        <v>136.24325877632793</v>
      </c>
      <c r="M69" s="1610">
        <f>+SUM(J69:L69)-J40</f>
        <v>0</v>
      </c>
      <c r="N69" s="1611">
        <f>+M40*'Yakima LOB (C)'!$F$9</f>
        <v>105690.91537919251</v>
      </c>
      <c r="O69" s="1611">
        <f>+M40*'Yakima LOB (C)'!$H$9</f>
        <v>4663.3696339643575</v>
      </c>
      <c r="P69" s="1612">
        <f>+M40*'Yakima LOB (C)'!$G$9</f>
        <v>579.7769918260858</v>
      </c>
      <c r="Q69" s="618">
        <f>+SUM(N69:P69)-M40</f>
        <v>0</v>
      </c>
      <c r="S69" s="559"/>
      <c r="T69" s="563"/>
      <c r="U69" s="563"/>
      <c r="V69" s="563"/>
      <c r="W69" s="563"/>
      <c r="X69" s="563"/>
      <c r="Y69" s="563"/>
      <c r="Z69" s="563"/>
      <c r="AB69" s="554"/>
    </row>
    <row r="70" spans="1:28">
      <c r="A70" s="573">
        <v>2</v>
      </c>
      <c r="B70" s="1590" t="s">
        <v>1244</v>
      </c>
      <c r="C70" s="1591"/>
      <c r="D70" s="1591"/>
      <c r="E70" s="1593">
        <v>28750</v>
      </c>
      <c r="F70" s="1591"/>
      <c r="G70" s="1592">
        <f>E70/43560</f>
        <v>0.66000918273645548</v>
      </c>
      <c r="H70" s="574"/>
      <c r="I70" s="1625" t="s">
        <v>1426</v>
      </c>
      <c r="J70" s="1611">
        <f>+J42*'Yakima LOB (C)'!$F$11</f>
        <v>1067.2365867589683</v>
      </c>
      <c r="K70" s="1611">
        <f>+J42*'Yakima LOB (C)'!$H$11</f>
        <v>154.77914122973402</v>
      </c>
      <c r="L70" s="1611">
        <f>+J42*'Yakima LOB (C)'!$G$11</f>
        <v>31.884909000650378</v>
      </c>
      <c r="M70" s="1610">
        <f>+SUM(J70:L70)-J42</f>
        <v>0</v>
      </c>
      <c r="N70" s="1611">
        <f>+M42*'Yakima LOB (C)'!$F$11</f>
        <v>1372.7407225736044</v>
      </c>
      <c r="O70" s="1611">
        <f>+M42*'Yakima LOB (C)'!$H$11</f>
        <v>199.08578173492947</v>
      </c>
      <c r="P70" s="1612">
        <f>+M42*'Yakima LOB (C)'!$G$11</f>
        <v>41.012193138606918</v>
      </c>
      <c r="Q70" s="618">
        <f>+SUM(N70:P70)-M42</f>
        <v>0</v>
      </c>
      <c r="S70" s="553"/>
      <c r="AB70" s="554"/>
    </row>
    <row r="71" spans="1:28">
      <c r="A71" s="573"/>
      <c r="B71" s="1590"/>
      <c r="C71" s="1591"/>
      <c r="D71" s="1591"/>
      <c r="E71" s="1591"/>
      <c r="F71" s="1591"/>
      <c r="G71" s="1592"/>
      <c r="H71" s="574"/>
      <c r="I71" s="1625" t="s">
        <v>1428</v>
      </c>
      <c r="J71" s="1611">
        <f>+J44*'Yakima LOB (C)'!$F$11</f>
        <v>12235.248339595886</v>
      </c>
      <c r="K71" s="1611">
        <f>+J44*'Yakima LOB (C)'!$H$11</f>
        <v>1774.4530633889149</v>
      </c>
      <c r="L71" s="1611">
        <f>+J44*'Yakima LOB (C)'!$G$11</f>
        <v>365.54198455012369</v>
      </c>
      <c r="M71" s="1610">
        <f>+SUM(J71:L71)-J44</f>
        <v>0</v>
      </c>
      <c r="N71" s="1611">
        <f>+M44*'Yakima LOB (C)'!$F$11</f>
        <v>73411.490037575291</v>
      </c>
      <c r="O71" s="1611">
        <f>+M44*'Yakima LOB (C)'!$H$11</f>
        <v>10646.718380333485</v>
      </c>
      <c r="P71" s="1612">
        <f>+M44*'Yakima LOB (C)'!$G$11</f>
        <v>2193.2519073007411</v>
      </c>
      <c r="Q71" s="618">
        <f>+SUM(N71:P71)-M44</f>
        <v>0</v>
      </c>
      <c r="S71" s="553"/>
      <c r="AB71" s="554"/>
    </row>
    <row r="72" spans="1:28">
      <c r="A72" s="573">
        <v>3</v>
      </c>
      <c r="B72" s="1590" t="s">
        <v>1245</v>
      </c>
      <c r="C72" s="1591"/>
      <c r="D72" s="1591"/>
      <c r="E72" s="1593">
        <v>37461.599999999999</v>
      </c>
      <c r="F72" s="1591" t="s">
        <v>1241</v>
      </c>
      <c r="G72" s="1594">
        <f>E72/43560</f>
        <v>0.86</v>
      </c>
      <c r="H72" s="574"/>
      <c r="I72" s="1625" t="s">
        <v>1429</v>
      </c>
      <c r="J72" s="1611">
        <v>0</v>
      </c>
      <c r="K72" s="1611">
        <f>+J46</f>
        <v>2898.9449585503303</v>
      </c>
      <c r="L72" s="1611">
        <v>0</v>
      </c>
      <c r="M72" s="1610">
        <f>+SUM(J72:L72)-J46</f>
        <v>0</v>
      </c>
      <c r="N72" s="1611">
        <v>0</v>
      </c>
      <c r="O72" s="1611">
        <f>+M46</f>
        <v>17393.669751301975</v>
      </c>
      <c r="P72" s="1612">
        <v>0</v>
      </c>
      <c r="Q72" s="618">
        <f>+SUM(N72:P72)-M46</f>
        <v>0</v>
      </c>
      <c r="S72" s="553"/>
      <c r="AB72" s="554"/>
    </row>
    <row r="73" spans="1:28">
      <c r="A73" s="573"/>
      <c r="B73" s="1590"/>
      <c r="C73" s="1591"/>
      <c r="D73" s="1591"/>
      <c r="E73" s="1591"/>
      <c r="F73" s="1591"/>
      <c r="G73" s="1594"/>
      <c r="H73" s="574"/>
      <c r="I73" s="1625" t="s">
        <v>1427</v>
      </c>
      <c r="J73" s="1611">
        <f>+J48*'Yakima LOB (C)'!$F$9</f>
        <v>26751.994059303965</v>
      </c>
      <c r="K73" s="1611">
        <f>+J48*'Yakima LOB (C)'!$H$9</f>
        <v>1180.3704821418696</v>
      </c>
      <c r="L73" s="1611">
        <f>+J48*'Yakima LOB (C)'!$G$9</f>
        <v>146.75046181032585</v>
      </c>
      <c r="M73" s="1610">
        <f>+SUM(J73:L73)-J48</f>
        <v>0</v>
      </c>
      <c r="N73" s="1611">
        <f>+M48*'Yakima LOB (C)'!$F$9</f>
        <v>140802.15044425518</v>
      </c>
      <c r="O73" s="1611">
        <f>+M48*'Yakima LOB (C)'!$H$9</f>
        <v>6212.5724848049595</v>
      </c>
      <c r="P73" s="1612">
        <f>+M48*'Yakima LOB (C)'!$G$9</f>
        <v>772.38281960500069</v>
      </c>
      <c r="Q73" s="618">
        <f>+SUM(N73:P73)-M48</f>
        <v>0</v>
      </c>
      <c r="S73" s="553"/>
      <c r="AB73" s="554"/>
    </row>
    <row r="74" spans="1:28">
      <c r="A74" s="573"/>
      <c r="B74" s="1590"/>
      <c r="C74" s="1591"/>
      <c r="D74" s="1591"/>
      <c r="E74" s="1593">
        <f>SUM(E68:E72)</f>
        <v>114111.6</v>
      </c>
      <c r="F74" s="1591" t="s">
        <v>1241</v>
      </c>
      <c r="G74" s="1592">
        <f>SUM(G68:G72)</f>
        <v>2.6196418732782369</v>
      </c>
      <c r="H74" s="574"/>
      <c r="I74" s="1625" t="s">
        <v>1430</v>
      </c>
      <c r="J74" s="1614"/>
      <c r="K74" s="1614"/>
      <c r="L74" s="1614"/>
      <c r="M74" s="1610">
        <f>+SUM(J75:L75)-J59</f>
        <v>0</v>
      </c>
      <c r="N74" s="1615">
        <f>+M52*'Yakima LOB (C)'!$F$9</f>
        <v>232218.39673679741</v>
      </c>
      <c r="O74" s="1616">
        <f>+M52*'Yakima LOB (C)'!$H$9+M54</f>
        <v>17384.996071191868</v>
      </c>
      <c r="P74" s="1617">
        <f>+M52*'Yakima LOB (C)'!$G$9</f>
        <v>1273.8548343885636</v>
      </c>
      <c r="Q74" s="618">
        <f>+SUM(N74:P74)-M52-M54</f>
        <v>-2.1827872842550278E-11</v>
      </c>
      <c r="S74" s="553"/>
      <c r="AB74" s="554"/>
    </row>
    <row r="75" spans="1:28" ht="12.75" thickBot="1">
      <c r="A75" s="573"/>
      <c r="B75" s="1590"/>
      <c r="C75" s="1591"/>
      <c r="D75" s="1591"/>
      <c r="E75" s="1591"/>
      <c r="F75" s="1591"/>
      <c r="G75" s="1594"/>
      <c r="H75" s="574"/>
      <c r="I75" s="1618"/>
      <c r="J75" s="1619">
        <f>+SUM(J66:J74)</f>
        <v>1109295.9252722224</v>
      </c>
      <c r="K75" s="1619">
        <f>+SUM(K66:K74)</f>
        <v>42382.808958701484</v>
      </c>
      <c r="L75" s="1619">
        <f>+SUM(L66:L74)</f>
        <v>4588.9269381060913</v>
      </c>
      <c r="M75" s="1620"/>
      <c r="N75" s="1619">
        <f>+SUM(N66:N74)</f>
        <v>7356231.523354331</v>
      </c>
      <c r="O75" s="1619">
        <f>+SUM(O66:O74)</f>
        <v>254580.69553178799</v>
      </c>
      <c r="P75" s="1621">
        <f>+SUM(P66:P74)</f>
        <v>25845.575307018429</v>
      </c>
      <c r="Q75" s="618">
        <f>+SUM(N75:P75)-M59</f>
        <v>0</v>
      </c>
      <c r="S75" s="553"/>
      <c r="AB75" s="554"/>
    </row>
    <row r="76" spans="1:28" ht="12.75" thickTop="1">
      <c r="A76" s="573"/>
      <c r="B76" s="1590" t="s">
        <v>1243</v>
      </c>
      <c r="C76" s="1591"/>
      <c r="D76" s="1591"/>
      <c r="E76" s="1593">
        <f>E68</f>
        <v>47900</v>
      </c>
      <c r="F76" s="1591"/>
      <c r="G76" s="1595"/>
      <c r="H76" s="575"/>
      <c r="I76" s="617"/>
      <c r="J76" s="617"/>
      <c r="K76" s="617"/>
      <c r="L76" s="617"/>
      <c r="M76" s="617"/>
      <c r="N76" s="617"/>
      <c r="O76" s="617"/>
      <c r="P76" s="574"/>
      <c r="Q76" s="574"/>
      <c r="S76" s="553"/>
      <c r="AB76" s="554"/>
    </row>
    <row r="77" spans="1:28">
      <c r="A77" s="573"/>
      <c r="B77" s="1590" t="s">
        <v>1244</v>
      </c>
      <c r="C77" s="1591"/>
      <c r="D77" s="1591"/>
      <c r="E77" s="1593">
        <v>28750</v>
      </c>
      <c r="F77" s="1591"/>
      <c r="G77" s="1594"/>
      <c r="H77" s="575"/>
      <c r="I77" s="619"/>
      <c r="J77" s="617"/>
      <c r="K77" s="617"/>
      <c r="L77" s="617"/>
      <c r="M77" s="617"/>
      <c r="N77" s="617"/>
      <c r="O77" s="617"/>
      <c r="P77" s="574"/>
      <c r="Q77" s="574"/>
      <c r="S77" s="553"/>
      <c r="AB77" s="554"/>
    </row>
    <row r="78" spans="1:28">
      <c r="A78" s="573"/>
      <c r="B78" s="1596" t="s">
        <v>1246</v>
      </c>
      <c r="C78" s="1591"/>
      <c r="D78" s="1591"/>
      <c r="E78" s="1597">
        <f>SUM(E76:E77)</f>
        <v>76650</v>
      </c>
      <c r="F78" s="1591"/>
      <c r="G78" s="1598">
        <f>E78/E74</f>
        <v>0.6717108514822332</v>
      </c>
      <c r="H78" s="577"/>
      <c r="P78" s="574"/>
      <c r="Q78" s="574"/>
      <c r="S78" s="553"/>
      <c r="AB78" s="554"/>
    </row>
    <row r="79" spans="1:28">
      <c r="A79" s="558"/>
      <c r="B79" s="1599"/>
      <c r="C79" s="1555"/>
      <c r="D79" s="1555"/>
      <c r="E79" s="1555"/>
      <c r="F79" s="1555"/>
      <c r="G79" s="1600"/>
      <c r="H79" s="567"/>
      <c r="P79" s="574"/>
      <c r="Q79" s="574"/>
      <c r="S79" s="553"/>
      <c r="AB79" s="554"/>
    </row>
    <row r="80" spans="1:28">
      <c r="A80" s="573"/>
      <c r="B80" s="1590" t="s">
        <v>1245</v>
      </c>
      <c r="C80" s="1591"/>
      <c r="D80" s="1591"/>
      <c r="E80" s="1593">
        <f>E72</f>
        <v>37461.599999999999</v>
      </c>
      <c r="F80" s="1591"/>
      <c r="G80" s="1601">
        <f>E80/E74</f>
        <v>0.3282891485177668</v>
      </c>
      <c r="H80" s="575"/>
      <c r="Q80" s="574"/>
      <c r="S80" s="553"/>
      <c r="AB80" s="554"/>
    </row>
    <row r="81" spans="1:28" ht="12.75" thickBot="1">
      <c r="A81" s="578"/>
      <c r="B81" s="1602"/>
      <c r="C81" s="1603"/>
      <c r="D81" s="1603"/>
      <c r="E81" s="1603"/>
      <c r="F81" s="1603"/>
      <c r="G81" s="1604">
        <f>SUM(G76:G80)</f>
        <v>1</v>
      </c>
      <c r="H81" s="575"/>
      <c r="Q81" s="574"/>
      <c r="S81" s="553"/>
      <c r="AB81" s="554"/>
    </row>
    <row r="82" spans="1:28">
      <c r="S82" s="553"/>
      <c r="AB82" s="554"/>
    </row>
    <row r="83" spans="1:28">
      <c r="S83" s="553"/>
      <c r="AB83" s="554"/>
    </row>
  </sheetData>
  <mergeCells count="6">
    <mergeCell ref="J64:L64"/>
    <mergeCell ref="N64:P64"/>
    <mergeCell ref="A1:H1"/>
    <mergeCell ref="A2:H2"/>
    <mergeCell ref="A3:H3"/>
    <mergeCell ref="J3:K3"/>
  </mergeCells>
  <pageMargins left="0.25" right="0.25" top="1" bottom="1" header="0.5" footer="0.5"/>
  <pageSetup scale="60" orientation="portrait" r:id="rId1"/>
  <headerFooter alignWithMargins="0">
    <oddHeader>&amp;C&amp;"-,Bold"&amp;16&amp;KFF0000TEXT IN RED BOX CONFIDENTIAL PER WAC 480-07-160</oddHeader>
  </headerFooter>
  <colBreaks count="1" manualBreakCount="1">
    <brk id="8" max="8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AX68"/>
  <sheetViews>
    <sheetView view="pageBreakPreview" topLeftCell="A7" zoomScale="60" zoomScaleNormal="90" workbookViewId="0">
      <selection activeCell="AL35" sqref="AL35"/>
    </sheetView>
  </sheetViews>
  <sheetFormatPr defaultColWidth="9.140625" defaultRowHeight="15" outlineLevelCol="1"/>
  <cols>
    <col min="1" max="1" width="18.28515625" style="249" bestFit="1" customWidth="1"/>
    <col min="2" max="2" width="14.140625" style="249" customWidth="1"/>
    <col min="3" max="3" width="14.85546875" style="249" bestFit="1" customWidth="1"/>
    <col min="4" max="4" width="14.5703125" style="249" customWidth="1"/>
    <col min="5" max="6" width="11.28515625" style="249" customWidth="1"/>
    <col min="7" max="7" width="12.140625" style="249" bestFit="1" customWidth="1"/>
    <col min="8" max="9" width="11.28515625" style="249" customWidth="1"/>
    <col min="10" max="10" width="11.85546875" style="249" customWidth="1"/>
    <col min="11" max="11" width="13.28515625" style="249" bestFit="1" customWidth="1"/>
    <col min="12" max="12" width="13.42578125" style="249" bestFit="1" customWidth="1"/>
    <col min="13" max="13" width="13.42578125" style="249" customWidth="1"/>
    <col min="14" max="14" width="5.5703125" style="249" customWidth="1"/>
    <col min="15" max="15" width="11.5703125" style="249" bestFit="1" customWidth="1"/>
    <col min="16" max="16" width="11.85546875" style="249" bestFit="1" customWidth="1"/>
    <col min="17" max="17" width="11.7109375" style="249" bestFit="1" customWidth="1"/>
    <col min="18" max="18" width="12.85546875" style="249" bestFit="1" customWidth="1"/>
    <col min="19" max="19" width="9.42578125" style="249" bestFit="1" customWidth="1"/>
    <col min="20" max="20" width="11.85546875" style="249" bestFit="1" customWidth="1"/>
    <col min="21" max="21" width="14.140625" style="249" bestFit="1" customWidth="1"/>
    <col min="22" max="22" width="12.7109375" style="249" bestFit="1" customWidth="1"/>
    <col min="23" max="26" width="12.7109375" style="249" customWidth="1"/>
    <col min="27" max="27" width="5.7109375" style="249" customWidth="1"/>
    <col min="28" max="28" width="11.5703125" style="249" bestFit="1" customWidth="1"/>
    <col min="29" max="29" width="12.5703125" style="249" bestFit="1" customWidth="1"/>
    <col min="30" max="30" width="9.140625" style="249"/>
    <col min="31" max="31" width="12.5703125" style="249" bestFit="1" customWidth="1"/>
    <col min="32" max="32" width="9.140625" style="249"/>
    <col min="33" max="33" width="11.5703125" style="249" bestFit="1" customWidth="1"/>
    <col min="34" max="34" width="14.140625" style="249" bestFit="1" customWidth="1"/>
    <col min="35" max="35" width="12.5703125" style="249" bestFit="1" customWidth="1"/>
    <col min="36" max="36" width="9.140625" style="249"/>
    <col min="37" max="37" width="12.5703125" style="249" bestFit="1" customWidth="1"/>
    <col min="38" max="38" width="13.42578125" style="249" bestFit="1" customWidth="1"/>
    <col min="39" max="39" width="13.42578125" style="249" customWidth="1"/>
    <col min="40" max="40" width="9.140625" style="249"/>
    <col min="41" max="42" width="14.28515625" style="249" bestFit="1" customWidth="1"/>
    <col min="43" max="43" width="12.140625" style="249" bestFit="1" customWidth="1"/>
    <col min="44" max="45" width="9.140625" style="249"/>
    <col min="46" max="47" width="12.140625" style="249" hidden="1" customWidth="1" outlineLevel="1"/>
    <col min="48" max="48" width="14" style="249" hidden="1" customWidth="1" outlineLevel="1"/>
    <col min="49" max="49" width="11.140625" style="249" hidden="1" customWidth="1" outlineLevel="1"/>
    <col min="50" max="50" width="9.140625" style="249" collapsed="1"/>
    <col min="51" max="16384" width="9.140625" style="249"/>
  </cols>
  <sheetData>
    <row r="1" spans="1:49">
      <c r="A1" s="579" t="s">
        <v>2045</v>
      </c>
    </row>
    <row r="2" spans="1:49">
      <c r="A2" s="248" t="s">
        <v>1061</v>
      </c>
    </row>
    <row r="4" spans="1:49">
      <c r="A4" s="580" t="s">
        <v>1248</v>
      </c>
      <c r="B4" s="581" t="s">
        <v>1249</v>
      </c>
    </row>
    <row r="5" spans="1:49" ht="15.75" thickBot="1">
      <c r="I5" s="279" t="s">
        <v>2044</v>
      </c>
      <c r="J5" s="582">
        <v>36.68</v>
      </c>
    </row>
    <row r="6" spans="1:49" ht="15.75" thickBot="1">
      <c r="B6" s="1059" t="s">
        <v>1250</v>
      </c>
      <c r="C6" s="1060"/>
      <c r="D6" s="1060"/>
      <c r="E6" s="1060"/>
      <c r="F6" s="1060"/>
      <c r="G6" s="1060"/>
      <c r="H6" s="1060"/>
      <c r="I6" s="1060"/>
      <c r="J6" s="1060"/>
      <c r="K6" s="1060"/>
      <c r="L6" s="1060"/>
      <c r="M6" s="1061"/>
      <c r="N6" s="583"/>
      <c r="O6" s="1059" t="s">
        <v>1251</v>
      </c>
      <c r="P6" s="1060"/>
      <c r="Q6" s="1060"/>
      <c r="R6" s="1060"/>
      <c r="S6" s="1060"/>
      <c r="T6" s="1060"/>
      <c r="U6" s="1060"/>
      <c r="V6" s="1060"/>
      <c r="W6" s="1060"/>
      <c r="X6" s="1060"/>
      <c r="Y6" s="1060"/>
      <c r="Z6" s="1061"/>
      <c r="AA6" s="583"/>
      <c r="AB6" s="1059" t="s">
        <v>1252</v>
      </c>
      <c r="AC6" s="1060"/>
      <c r="AD6" s="1060"/>
      <c r="AE6" s="1060"/>
      <c r="AF6" s="1060"/>
      <c r="AG6" s="1060"/>
      <c r="AH6" s="1060"/>
      <c r="AI6" s="1060"/>
      <c r="AJ6" s="1060"/>
      <c r="AK6" s="1060"/>
      <c r="AL6" s="1060"/>
      <c r="AM6" s="1061"/>
      <c r="AO6" s="249" t="s">
        <v>2033</v>
      </c>
    </row>
    <row r="7" spans="1:49" s="707" customFormat="1" ht="30">
      <c r="B7" s="709" t="s">
        <v>1062</v>
      </c>
      <c r="C7" s="709" t="s">
        <v>1253</v>
      </c>
      <c r="D7" s="708" t="s">
        <v>1254</v>
      </c>
      <c r="E7" s="708" t="s">
        <v>2043</v>
      </c>
      <c r="F7" s="709" t="s">
        <v>1255</v>
      </c>
      <c r="G7" s="709" t="s">
        <v>2042</v>
      </c>
      <c r="H7" s="708" t="s">
        <v>1256</v>
      </c>
      <c r="I7" s="708" t="s">
        <v>1257</v>
      </c>
      <c r="J7" s="1062" t="s">
        <v>1258</v>
      </c>
      <c r="K7" s="1062"/>
      <c r="L7" s="1062" t="s">
        <v>1259</v>
      </c>
      <c r="M7" s="1062"/>
      <c r="N7" s="710"/>
      <c r="O7" s="709" t="s">
        <v>1062</v>
      </c>
      <c r="P7" s="709" t="s">
        <v>1253</v>
      </c>
      <c r="Q7" s="708" t="s">
        <v>1254</v>
      </c>
      <c r="R7" s="708" t="s">
        <v>2043</v>
      </c>
      <c r="S7" s="709" t="s">
        <v>1255</v>
      </c>
      <c r="T7" s="709" t="s">
        <v>2042</v>
      </c>
      <c r="U7" s="708" t="s">
        <v>1256</v>
      </c>
      <c r="V7" s="708" t="s">
        <v>1257</v>
      </c>
      <c r="W7" s="1062" t="s">
        <v>1258</v>
      </c>
      <c r="X7" s="1062"/>
      <c r="Y7" s="1062" t="s">
        <v>1259</v>
      </c>
      <c r="Z7" s="1062"/>
      <c r="AA7" s="710"/>
      <c r="AB7" s="709" t="s">
        <v>1062</v>
      </c>
      <c r="AC7" s="709" t="s">
        <v>1253</v>
      </c>
      <c r="AD7" s="708" t="s">
        <v>1254</v>
      </c>
      <c r="AE7" s="708" t="s">
        <v>2043</v>
      </c>
      <c r="AF7" s="709" t="s">
        <v>1255</v>
      </c>
      <c r="AG7" s="709" t="s">
        <v>2042</v>
      </c>
      <c r="AH7" s="708" t="s">
        <v>1256</v>
      </c>
      <c r="AI7" s="708" t="s">
        <v>1257</v>
      </c>
      <c r="AJ7" s="1062" t="s">
        <v>1258</v>
      </c>
      <c r="AK7" s="1062"/>
      <c r="AL7" s="1062" t="s">
        <v>1259</v>
      </c>
      <c r="AM7" s="1062"/>
      <c r="AP7" s="707" t="s">
        <v>2032</v>
      </c>
      <c r="AQ7" s="707" t="s">
        <v>1768</v>
      </c>
      <c r="AT7" s="707" t="s">
        <v>234</v>
      </c>
      <c r="AU7" s="707" t="s">
        <v>2041</v>
      </c>
      <c r="AV7" s="707" t="s">
        <v>1768</v>
      </c>
      <c r="AW7" s="707" t="s">
        <v>1059</v>
      </c>
    </row>
    <row r="8" spans="1:49">
      <c r="A8" s="584">
        <v>44301</v>
      </c>
      <c r="B8" s="585">
        <v>4026.24</v>
      </c>
      <c r="C8" s="586">
        <v>147403.53</v>
      </c>
      <c r="D8" s="585">
        <v>60.45</v>
      </c>
      <c r="E8" s="586">
        <v>2217.3200000000002</v>
      </c>
      <c r="F8" s="585">
        <v>3070.36</v>
      </c>
      <c r="G8" s="586">
        <v>112533.48</v>
      </c>
      <c r="H8" s="585">
        <v>25.13</v>
      </c>
      <c r="I8" s="586">
        <v>921.74</v>
      </c>
      <c r="J8" s="585">
        <f t="shared" ref="J8:J19" si="0">B8+D8</f>
        <v>4086.6899999999996</v>
      </c>
      <c r="K8" s="586">
        <f t="shared" ref="K8:K19" si="1">C8+E8</f>
        <v>149620.85</v>
      </c>
      <c r="L8" s="585">
        <f t="shared" ref="L8:L19" si="2">F8+H8</f>
        <v>3095.4900000000002</v>
      </c>
      <c r="M8" s="586">
        <f t="shared" ref="M8:M19" si="3">G8+I8</f>
        <v>113455.22</v>
      </c>
      <c r="N8" s="587"/>
      <c r="O8" s="585">
        <v>254.24</v>
      </c>
      <c r="P8" s="586">
        <v>9325.5400000000009</v>
      </c>
      <c r="Q8" s="585">
        <v>493.74</v>
      </c>
      <c r="R8" s="586">
        <v>18042.849999999999</v>
      </c>
      <c r="S8" s="585">
        <v>603.67999999999995</v>
      </c>
      <c r="T8" s="586">
        <v>22155</v>
      </c>
      <c r="U8" s="585">
        <v>1032.6400000000001</v>
      </c>
      <c r="V8" s="586">
        <v>37900.54</v>
      </c>
      <c r="W8" s="585">
        <f t="shared" ref="W8:W19" si="4">O8+Q8</f>
        <v>747.98</v>
      </c>
      <c r="X8" s="586">
        <f t="shared" ref="X8:X19" si="5">P8+R8</f>
        <v>27368.39</v>
      </c>
      <c r="Y8" s="585">
        <f t="shared" ref="Y8:Y19" si="6">S8+U8</f>
        <v>1636.3200000000002</v>
      </c>
      <c r="Z8" s="586">
        <f t="shared" ref="Z8:Z19" si="7">T8+V8</f>
        <v>60055.54</v>
      </c>
      <c r="AA8" s="587"/>
      <c r="AB8" s="585">
        <v>268.94</v>
      </c>
      <c r="AC8" s="586">
        <v>9864.7199999999993</v>
      </c>
      <c r="AD8" s="585">
        <v>1247.94</v>
      </c>
      <c r="AE8" s="586">
        <v>45775.519999999997</v>
      </c>
      <c r="AF8" s="585">
        <v>26.61</v>
      </c>
      <c r="AG8" s="586">
        <v>976.05</v>
      </c>
      <c r="AH8" s="585">
        <v>101.15</v>
      </c>
      <c r="AI8" s="586">
        <v>3716.15</v>
      </c>
      <c r="AJ8" s="585">
        <f t="shared" ref="AJ8:AJ19" si="8">AB8+AD8</f>
        <v>1516.88</v>
      </c>
      <c r="AK8" s="586">
        <f t="shared" ref="AK8:AK19" si="9">AC8+AE8</f>
        <v>55640.24</v>
      </c>
      <c r="AL8" s="585">
        <f t="shared" ref="AL8:AL19" si="10">AF8+AH8</f>
        <v>127.76</v>
      </c>
      <c r="AM8" s="586">
        <f t="shared" ref="AM8:AM19" si="11">AG8+AI8</f>
        <v>4692.2</v>
      </c>
      <c r="AO8" s="467">
        <f t="shared" ref="AO8:AO19" si="12">AM8+AK8+Z8+X8+M8+K8</f>
        <v>410832.44</v>
      </c>
      <c r="AP8" s="466">
        <v>410832</v>
      </c>
      <c r="AQ8" s="467">
        <f t="shared" ref="AQ8:AQ19" si="13">AO8-AP8</f>
        <v>0.44000000000232831</v>
      </c>
      <c r="AR8" s="584">
        <f t="shared" ref="AR8:AR19" si="14">AR7+30</f>
        <v>30</v>
      </c>
      <c r="AT8" s="467">
        <f t="shared" ref="AT8:AT19" si="15">M8+Z8+AM8</f>
        <v>178202.96000000002</v>
      </c>
      <c r="AU8" s="468">
        <v>178203</v>
      </c>
      <c r="AV8" s="469">
        <f t="shared" ref="AV8:AV19" si="16">AT8-AU8</f>
        <v>-3.9999999979045242E-2</v>
      </c>
      <c r="AW8" s="468">
        <f t="shared" ref="AW8:AW19" si="17">AV8/$J$5</f>
        <v>-1.0905125403229347E-3</v>
      </c>
    </row>
    <row r="9" spans="1:49">
      <c r="A9" s="584">
        <f t="shared" ref="A9:A19" si="18">A8+30</f>
        <v>44331</v>
      </c>
      <c r="B9" s="585">
        <v>3991.52</v>
      </c>
      <c r="C9" s="586">
        <v>146168.98000000001</v>
      </c>
      <c r="D9" s="585">
        <v>110.49</v>
      </c>
      <c r="E9" s="586">
        <v>4052.75</v>
      </c>
      <c r="F9" s="585">
        <v>3035.93</v>
      </c>
      <c r="G9" s="586">
        <v>110825.09</v>
      </c>
      <c r="H9" s="585">
        <v>11.27</v>
      </c>
      <c r="I9" s="586">
        <v>418.26</v>
      </c>
      <c r="J9" s="585">
        <f t="shared" si="0"/>
        <v>4102.01</v>
      </c>
      <c r="K9" s="586">
        <f t="shared" si="1"/>
        <v>150221.73000000001</v>
      </c>
      <c r="L9" s="585">
        <f t="shared" si="2"/>
        <v>3047.2</v>
      </c>
      <c r="M9" s="586">
        <f t="shared" si="3"/>
        <v>111243.34999999999</v>
      </c>
      <c r="N9" s="587"/>
      <c r="O9" s="585">
        <v>103.2</v>
      </c>
      <c r="P9" s="586">
        <v>3785.37</v>
      </c>
      <c r="Q9" s="585">
        <v>498.9</v>
      </c>
      <c r="R9" s="586">
        <v>18087.13</v>
      </c>
      <c r="S9" s="585">
        <v>337.63</v>
      </c>
      <c r="T9" s="586">
        <v>12665.06</v>
      </c>
      <c r="U9" s="585">
        <v>1230.7</v>
      </c>
      <c r="V9" s="586">
        <v>45150.12</v>
      </c>
      <c r="W9" s="585">
        <f t="shared" si="4"/>
        <v>602.1</v>
      </c>
      <c r="X9" s="586">
        <f t="shared" si="5"/>
        <v>21872.5</v>
      </c>
      <c r="Y9" s="585">
        <f t="shared" si="6"/>
        <v>1568.33</v>
      </c>
      <c r="Z9" s="586">
        <f t="shared" si="7"/>
        <v>57815.18</v>
      </c>
      <c r="AA9" s="587"/>
      <c r="AB9" s="585">
        <v>248.12</v>
      </c>
      <c r="AC9" s="586">
        <v>9101.07</v>
      </c>
      <c r="AD9" s="585">
        <v>1186.4000000000001</v>
      </c>
      <c r="AE9" s="586">
        <v>43517.2</v>
      </c>
      <c r="AF9" s="585">
        <v>40.96</v>
      </c>
      <c r="AG9" s="586">
        <v>1502.43</v>
      </c>
      <c r="AH9" s="585">
        <v>91.34</v>
      </c>
      <c r="AI9" s="586">
        <v>3350.32</v>
      </c>
      <c r="AJ9" s="585">
        <f t="shared" si="8"/>
        <v>1434.52</v>
      </c>
      <c r="AK9" s="586">
        <f t="shared" si="9"/>
        <v>52618.27</v>
      </c>
      <c r="AL9" s="585">
        <f t="shared" si="10"/>
        <v>132.30000000000001</v>
      </c>
      <c r="AM9" s="586">
        <f t="shared" si="11"/>
        <v>4852.75</v>
      </c>
      <c r="AO9" s="467">
        <f t="shared" si="12"/>
        <v>398623.78</v>
      </c>
      <c r="AP9" s="466">
        <v>398710</v>
      </c>
      <c r="AQ9" s="467">
        <f t="shared" si="13"/>
        <v>-86.21999999997206</v>
      </c>
      <c r="AR9" s="584">
        <f t="shared" si="14"/>
        <v>60</v>
      </c>
      <c r="AT9" s="467">
        <f t="shared" si="15"/>
        <v>173911.28</v>
      </c>
      <c r="AU9" s="468">
        <v>173894</v>
      </c>
      <c r="AV9" s="469">
        <f t="shared" si="16"/>
        <v>17.279999999998836</v>
      </c>
      <c r="AW9" s="468">
        <f t="shared" si="17"/>
        <v>0.47110141766627145</v>
      </c>
    </row>
    <row r="10" spans="1:49">
      <c r="A10" s="584">
        <f t="shared" si="18"/>
        <v>44361</v>
      </c>
      <c r="B10" s="585">
        <v>4533.12</v>
      </c>
      <c r="C10" s="586">
        <v>165509.92000000001</v>
      </c>
      <c r="D10" s="585">
        <v>81.64</v>
      </c>
      <c r="E10" s="586">
        <v>2994.56</v>
      </c>
      <c r="F10" s="585">
        <v>3461.21</v>
      </c>
      <c r="G10" s="586">
        <v>126933.7</v>
      </c>
      <c r="H10" s="585">
        <v>15.3</v>
      </c>
      <c r="I10" s="586">
        <v>561.20000000000005</v>
      </c>
      <c r="J10" s="585">
        <f t="shared" si="0"/>
        <v>4614.76</v>
      </c>
      <c r="K10" s="586">
        <f t="shared" si="1"/>
        <v>168504.48</v>
      </c>
      <c r="L10" s="585">
        <f t="shared" si="2"/>
        <v>3476.51</v>
      </c>
      <c r="M10" s="586">
        <f t="shared" si="3"/>
        <v>127494.9</v>
      </c>
      <c r="N10" s="587"/>
      <c r="O10" s="585">
        <v>133.66</v>
      </c>
      <c r="P10" s="586">
        <v>4902.6499999999996</v>
      </c>
      <c r="Q10" s="585">
        <v>627.36</v>
      </c>
      <c r="R10" s="586">
        <v>22733.439999999999</v>
      </c>
      <c r="S10" s="585">
        <v>684.8</v>
      </c>
      <c r="T10" s="586">
        <v>25127.69</v>
      </c>
      <c r="U10" s="585">
        <v>1123.8499999999999</v>
      </c>
      <c r="V10" s="586">
        <v>41246.86</v>
      </c>
      <c r="W10" s="585">
        <f t="shared" si="4"/>
        <v>761.02</v>
      </c>
      <c r="X10" s="586">
        <f t="shared" si="5"/>
        <v>27636.089999999997</v>
      </c>
      <c r="Y10" s="585">
        <f t="shared" si="6"/>
        <v>1808.6499999999999</v>
      </c>
      <c r="Z10" s="586">
        <f t="shared" si="7"/>
        <v>66374.55</v>
      </c>
      <c r="AA10" s="587"/>
      <c r="AB10" s="585">
        <v>244.45</v>
      </c>
      <c r="AC10" s="586">
        <v>8966.4500000000007</v>
      </c>
      <c r="AD10" s="585">
        <v>1292.17</v>
      </c>
      <c r="AE10" s="586">
        <v>47396.77</v>
      </c>
      <c r="AF10" s="585">
        <v>51.64</v>
      </c>
      <c r="AG10" s="586">
        <v>1894.18</v>
      </c>
      <c r="AH10" s="585">
        <v>110.96</v>
      </c>
      <c r="AI10" s="586">
        <v>4069.97</v>
      </c>
      <c r="AJ10" s="585">
        <f t="shared" si="8"/>
        <v>1536.6200000000001</v>
      </c>
      <c r="AK10" s="586">
        <f t="shared" si="9"/>
        <v>56363.22</v>
      </c>
      <c r="AL10" s="585">
        <f t="shared" si="10"/>
        <v>162.6</v>
      </c>
      <c r="AM10" s="586">
        <f t="shared" si="11"/>
        <v>5964.15</v>
      </c>
      <c r="AO10" s="467">
        <f t="shared" si="12"/>
        <v>452337.39</v>
      </c>
      <c r="AP10" s="466">
        <v>452251</v>
      </c>
      <c r="AQ10" s="467">
        <f t="shared" si="13"/>
        <v>86.39000000001397</v>
      </c>
      <c r="AR10" s="584">
        <f t="shared" si="14"/>
        <v>90</v>
      </c>
      <c r="AT10" s="467">
        <f t="shared" si="15"/>
        <v>199833.60000000001</v>
      </c>
      <c r="AU10" s="468">
        <v>199565</v>
      </c>
      <c r="AV10" s="469">
        <f t="shared" si="16"/>
        <v>268.60000000000582</v>
      </c>
      <c r="AW10" s="468">
        <f t="shared" si="17"/>
        <v>7.3227917121048476</v>
      </c>
    </row>
    <row r="11" spans="1:49">
      <c r="A11" s="584">
        <f t="shared" si="18"/>
        <v>44391</v>
      </c>
      <c r="B11" s="585">
        <v>4242.83</v>
      </c>
      <c r="C11" s="586">
        <v>155208.12</v>
      </c>
      <c r="D11" s="585">
        <v>109.9</v>
      </c>
      <c r="E11" s="586">
        <v>4031.13</v>
      </c>
      <c r="F11" s="585">
        <v>3436.97</v>
      </c>
      <c r="G11" s="586">
        <v>126085.66</v>
      </c>
      <c r="H11" s="585">
        <v>9.4499999999999993</v>
      </c>
      <c r="I11" s="586">
        <v>349.67</v>
      </c>
      <c r="J11" s="585">
        <f t="shared" si="0"/>
        <v>4352.7299999999996</v>
      </c>
      <c r="K11" s="586">
        <f t="shared" si="1"/>
        <v>159239.25</v>
      </c>
      <c r="L11" s="585">
        <f t="shared" si="2"/>
        <v>3446.4199999999996</v>
      </c>
      <c r="M11" s="586">
        <f t="shared" si="3"/>
        <v>126435.33</v>
      </c>
      <c r="N11" s="587"/>
      <c r="O11" s="585">
        <v>58.04</v>
      </c>
      <c r="P11" s="586">
        <v>2128.92</v>
      </c>
      <c r="Q11" s="585">
        <v>642.75</v>
      </c>
      <c r="R11" s="586">
        <v>23468.21</v>
      </c>
      <c r="S11" s="585">
        <v>468.42</v>
      </c>
      <c r="T11" s="586">
        <v>17181.71</v>
      </c>
      <c r="U11" s="585">
        <v>1252.18</v>
      </c>
      <c r="V11" s="586">
        <v>45945.88</v>
      </c>
      <c r="W11" s="585">
        <f t="shared" si="4"/>
        <v>700.79</v>
      </c>
      <c r="X11" s="586">
        <f t="shared" si="5"/>
        <v>25597.129999999997</v>
      </c>
      <c r="Y11" s="585">
        <f t="shared" si="6"/>
        <v>1720.6000000000001</v>
      </c>
      <c r="Z11" s="586">
        <f t="shared" si="7"/>
        <v>63127.59</v>
      </c>
      <c r="AA11" s="587"/>
      <c r="AB11" s="585">
        <v>233.93</v>
      </c>
      <c r="AC11" s="586">
        <v>8580.5499999999993</v>
      </c>
      <c r="AD11" s="585">
        <v>1244.27</v>
      </c>
      <c r="AE11" s="586">
        <v>45639.88</v>
      </c>
      <c r="AF11" s="585">
        <v>53.8</v>
      </c>
      <c r="AG11" s="586">
        <v>1979.36</v>
      </c>
      <c r="AH11" s="585">
        <v>93.8</v>
      </c>
      <c r="AI11" s="586">
        <v>3440.59</v>
      </c>
      <c r="AJ11" s="585">
        <f t="shared" si="8"/>
        <v>1478.2</v>
      </c>
      <c r="AK11" s="586">
        <f t="shared" si="9"/>
        <v>54220.429999999993</v>
      </c>
      <c r="AL11" s="585">
        <f t="shared" si="10"/>
        <v>147.6</v>
      </c>
      <c r="AM11" s="586">
        <f t="shared" si="11"/>
        <v>5419.95</v>
      </c>
      <c r="AO11" s="467">
        <f t="shared" si="12"/>
        <v>434039.68</v>
      </c>
      <c r="AP11" s="466">
        <v>434030</v>
      </c>
      <c r="AQ11" s="467">
        <f t="shared" si="13"/>
        <v>9.6799999999930151</v>
      </c>
      <c r="AR11" s="584">
        <f t="shared" si="14"/>
        <v>120</v>
      </c>
      <c r="AT11" s="467">
        <f t="shared" si="15"/>
        <v>194982.87</v>
      </c>
      <c r="AU11" s="468">
        <v>195216</v>
      </c>
      <c r="AV11" s="469">
        <f t="shared" si="16"/>
        <v>-233.13000000000466</v>
      </c>
      <c r="AW11" s="468">
        <f t="shared" si="17"/>
        <v>-6.3557797164668663</v>
      </c>
    </row>
    <row r="12" spans="1:49">
      <c r="A12" s="584">
        <f t="shared" si="18"/>
        <v>44421</v>
      </c>
      <c r="B12" s="585">
        <v>4430.53</v>
      </c>
      <c r="C12" s="586">
        <v>162076.76</v>
      </c>
      <c r="D12" s="585">
        <v>113.83</v>
      </c>
      <c r="E12" s="586">
        <v>4175.26</v>
      </c>
      <c r="F12" s="585">
        <v>3326.39</v>
      </c>
      <c r="G12" s="586">
        <v>122108.47</v>
      </c>
      <c r="H12" s="585">
        <v>30.88</v>
      </c>
      <c r="I12" s="586">
        <v>1132.67</v>
      </c>
      <c r="J12" s="585">
        <f t="shared" si="0"/>
        <v>4544.3599999999997</v>
      </c>
      <c r="K12" s="586">
        <f t="shared" si="1"/>
        <v>166252.02000000002</v>
      </c>
      <c r="L12" s="585">
        <f t="shared" si="2"/>
        <v>3357.27</v>
      </c>
      <c r="M12" s="586">
        <f t="shared" si="3"/>
        <v>123241.14</v>
      </c>
      <c r="N12" s="587"/>
      <c r="O12" s="585">
        <v>71.69</v>
      </c>
      <c r="P12" s="586">
        <v>2629.59</v>
      </c>
      <c r="Q12" s="585">
        <v>700.1</v>
      </c>
      <c r="R12" s="586">
        <v>25679.7</v>
      </c>
      <c r="S12" s="585">
        <v>571.42999999999995</v>
      </c>
      <c r="T12" s="586">
        <v>20960.02</v>
      </c>
      <c r="U12" s="585">
        <v>1141.2</v>
      </c>
      <c r="V12" s="586">
        <v>41873.68</v>
      </c>
      <c r="W12" s="585">
        <f t="shared" si="4"/>
        <v>771.79</v>
      </c>
      <c r="X12" s="586">
        <f t="shared" si="5"/>
        <v>28309.29</v>
      </c>
      <c r="Y12" s="585">
        <f t="shared" si="6"/>
        <v>1712.63</v>
      </c>
      <c r="Z12" s="586">
        <f t="shared" si="7"/>
        <v>62833.7</v>
      </c>
      <c r="AA12" s="587"/>
      <c r="AB12" s="585">
        <v>216.06</v>
      </c>
      <c r="AC12" s="586">
        <v>7931.09</v>
      </c>
      <c r="AD12" s="585">
        <v>1378.01</v>
      </c>
      <c r="AE12" s="586">
        <v>48717.41</v>
      </c>
      <c r="AF12" s="585">
        <v>32.97</v>
      </c>
      <c r="AG12" s="586">
        <v>1209.3399999999999</v>
      </c>
      <c r="AH12" s="585">
        <v>82.3</v>
      </c>
      <c r="AI12" s="586">
        <v>3038.78</v>
      </c>
      <c r="AJ12" s="585">
        <f t="shared" si="8"/>
        <v>1594.07</v>
      </c>
      <c r="AK12" s="586">
        <f t="shared" si="9"/>
        <v>56648.5</v>
      </c>
      <c r="AL12" s="585">
        <f t="shared" si="10"/>
        <v>115.27</v>
      </c>
      <c r="AM12" s="586">
        <f t="shared" si="11"/>
        <v>4248.12</v>
      </c>
      <c r="AO12" s="467">
        <f t="shared" si="12"/>
        <v>441532.77</v>
      </c>
      <c r="AP12" s="466">
        <v>441637</v>
      </c>
      <c r="AQ12" s="467">
        <f t="shared" si="13"/>
        <v>-104.22999999998137</v>
      </c>
      <c r="AR12" s="584">
        <f t="shared" si="14"/>
        <v>150</v>
      </c>
      <c r="AT12" s="467">
        <f t="shared" si="15"/>
        <v>190322.96</v>
      </c>
      <c r="AU12" s="468">
        <v>190258</v>
      </c>
      <c r="AV12" s="469">
        <f t="shared" si="16"/>
        <v>64.959999999991851</v>
      </c>
      <c r="AW12" s="468">
        <f t="shared" si="17"/>
        <v>1.7709923664119915</v>
      </c>
    </row>
    <row r="13" spans="1:49">
      <c r="A13" s="584">
        <f t="shared" si="18"/>
        <v>44451</v>
      </c>
      <c r="B13" s="585">
        <v>4433.47</v>
      </c>
      <c r="C13" s="586">
        <v>161644.49</v>
      </c>
      <c r="D13" s="585">
        <v>107.31</v>
      </c>
      <c r="E13" s="586">
        <v>3936.13</v>
      </c>
      <c r="F13" s="585">
        <v>3209.24</v>
      </c>
      <c r="G13" s="586">
        <v>117289.79</v>
      </c>
      <c r="H13" s="585">
        <v>21.01</v>
      </c>
      <c r="I13" s="586">
        <v>770.63</v>
      </c>
      <c r="J13" s="585">
        <f t="shared" si="0"/>
        <v>4540.7800000000007</v>
      </c>
      <c r="K13" s="586">
        <f t="shared" si="1"/>
        <v>165580.62</v>
      </c>
      <c r="L13" s="585">
        <f t="shared" si="2"/>
        <v>3230.25</v>
      </c>
      <c r="M13" s="586">
        <f t="shared" si="3"/>
        <v>118060.42</v>
      </c>
      <c r="N13" s="587"/>
      <c r="O13" s="585">
        <v>67.73</v>
      </c>
      <c r="P13" s="586">
        <v>2484.34</v>
      </c>
      <c r="Q13" s="585">
        <v>675.91</v>
      </c>
      <c r="R13" s="586">
        <v>24792.33</v>
      </c>
      <c r="S13" s="585">
        <v>631.22</v>
      </c>
      <c r="T13" s="586">
        <v>23153.19</v>
      </c>
      <c r="U13" s="585">
        <v>1013.96</v>
      </c>
      <c r="V13" s="586">
        <v>37432</v>
      </c>
      <c r="W13" s="585">
        <f t="shared" si="4"/>
        <v>743.64</v>
      </c>
      <c r="X13" s="586">
        <f t="shared" si="5"/>
        <v>27276.670000000002</v>
      </c>
      <c r="Y13" s="585">
        <f t="shared" si="6"/>
        <v>1645.18</v>
      </c>
      <c r="Z13" s="586">
        <f t="shared" si="7"/>
        <v>60585.19</v>
      </c>
      <c r="AA13" s="587"/>
      <c r="AB13" s="585">
        <v>244.61</v>
      </c>
      <c r="AC13" s="586">
        <v>8972.2900000000009</v>
      </c>
      <c r="AD13" s="585">
        <v>1230.4000000000001</v>
      </c>
      <c r="AE13" s="586">
        <v>45143.040000000001</v>
      </c>
      <c r="AF13" s="585">
        <v>34.21</v>
      </c>
      <c r="AG13" s="586">
        <v>1254.81</v>
      </c>
      <c r="AH13" s="585">
        <v>101.87</v>
      </c>
      <c r="AI13" s="586">
        <v>3757.84</v>
      </c>
      <c r="AJ13" s="585">
        <f t="shared" si="8"/>
        <v>1475.0100000000002</v>
      </c>
      <c r="AK13" s="586">
        <f t="shared" si="9"/>
        <v>54115.33</v>
      </c>
      <c r="AL13" s="585">
        <f t="shared" si="10"/>
        <v>136.08000000000001</v>
      </c>
      <c r="AM13" s="586">
        <f t="shared" si="11"/>
        <v>5012.6499999999996</v>
      </c>
      <c r="AO13" s="467">
        <f t="shared" si="12"/>
        <v>430630.88</v>
      </c>
      <c r="AP13" s="466">
        <v>430631</v>
      </c>
      <c r="AQ13" s="467">
        <f t="shared" si="13"/>
        <v>-0.11999999999534339</v>
      </c>
      <c r="AR13" s="584">
        <f t="shared" si="14"/>
        <v>180</v>
      </c>
      <c r="AT13" s="467">
        <f t="shared" si="15"/>
        <v>183658.25999999998</v>
      </c>
      <c r="AU13" s="468">
        <v>183584</v>
      </c>
      <c r="AV13" s="469">
        <f t="shared" si="16"/>
        <v>74.259999999980209</v>
      </c>
      <c r="AW13" s="468">
        <f t="shared" si="17"/>
        <v>2.0245365321695803</v>
      </c>
    </row>
    <row r="14" spans="1:49">
      <c r="A14" s="584">
        <f t="shared" si="18"/>
        <v>44481</v>
      </c>
      <c r="B14" s="585">
        <v>4128.47</v>
      </c>
      <c r="C14" s="586">
        <v>151576.42000000001</v>
      </c>
      <c r="D14" s="585">
        <v>123.63</v>
      </c>
      <c r="E14" s="586">
        <v>4401.08</v>
      </c>
      <c r="F14" s="585">
        <v>3225.19</v>
      </c>
      <c r="G14" s="586">
        <v>118318.55</v>
      </c>
      <c r="H14" s="585">
        <v>26.66</v>
      </c>
      <c r="I14" s="586">
        <v>977.89</v>
      </c>
      <c r="J14" s="585">
        <f t="shared" si="0"/>
        <v>4252.1000000000004</v>
      </c>
      <c r="K14" s="586">
        <f t="shared" si="1"/>
        <v>155977.5</v>
      </c>
      <c r="L14" s="585">
        <f t="shared" si="2"/>
        <v>3251.85</v>
      </c>
      <c r="M14" s="586">
        <f t="shared" si="3"/>
        <v>119296.44</v>
      </c>
      <c r="N14" s="587"/>
      <c r="O14" s="585">
        <v>57.74</v>
      </c>
      <c r="P14" s="586">
        <v>2117.9</v>
      </c>
      <c r="Q14" s="585">
        <v>634.76</v>
      </c>
      <c r="R14" s="586">
        <v>23283.02</v>
      </c>
      <c r="S14" s="585">
        <v>785.75</v>
      </c>
      <c r="T14" s="586">
        <v>28821.360000000001</v>
      </c>
      <c r="U14" s="585">
        <v>1101.56</v>
      </c>
      <c r="V14" s="586">
        <v>40412.300000000003</v>
      </c>
      <c r="W14" s="585">
        <f t="shared" si="4"/>
        <v>692.5</v>
      </c>
      <c r="X14" s="586">
        <f t="shared" si="5"/>
        <v>25400.920000000002</v>
      </c>
      <c r="Y14" s="585">
        <f t="shared" si="6"/>
        <v>1887.31</v>
      </c>
      <c r="Z14" s="586">
        <f t="shared" si="7"/>
        <v>69233.66</v>
      </c>
      <c r="AA14" s="587"/>
      <c r="AB14" s="585">
        <v>217.59</v>
      </c>
      <c r="AC14" s="586">
        <v>7987.2</v>
      </c>
      <c r="AD14" s="585">
        <v>1115.0899999999999</v>
      </c>
      <c r="AE14" s="586">
        <v>40901.54</v>
      </c>
      <c r="AF14" s="585">
        <v>25.44</v>
      </c>
      <c r="AG14" s="586">
        <v>939.15</v>
      </c>
      <c r="AH14" s="585">
        <v>95.31</v>
      </c>
      <c r="AI14" s="586">
        <v>3525.97</v>
      </c>
      <c r="AJ14" s="585">
        <f t="shared" si="8"/>
        <v>1332.6799999999998</v>
      </c>
      <c r="AK14" s="586">
        <f t="shared" si="9"/>
        <v>48888.74</v>
      </c>
      <c r="AL14" s="585">
        <f t="shared" si="10"/>
        <v>120.75</v>
      </c>
      <c r="AM14" s="586">
        <f t="shared" si="11"/>
        <v>4465.12</v>
      </c>
      <c r="AO14" s="467">
        <f t="shared" si="12"/>
        <v>423262.38</v>
      </c>
      <c r="AP14" s="586">
        <v>423299</v>
      </c>
      <c r="AQ14" s="467">
        <f t="shared" si="13"/>
        <v>-36.619999999995343</v>
      </c>
      <c r="AR14" s="584">
        <f t="shared" si="14"/>
        <v>210</v>
      </c>
      <c r="AT14" s="467">
        <f t="shared" si="15"/>
        <v>192995.22</v>
      </c>
      <c r="AU14" s="1010">
        <v>192108</v>
      </c>
      <c r="AV14" s="1011">
        <f t="shared" si="16"/>
        <v>887.22000000000116</v>
      </c>
      <c r="AW14" s="468">
        <f t="shared" si="17"/>
        <v>24.188113413304286</v>
      </c>
    </row>
    <row r="15" spans="1:49">
      <c r="A15" s="584">
        <f t="shared" si="18"/>
        <v>44511</v>
      </c>
      <c r="B15" s="585">
        <v>4364.34</v>
      </c>
      <c r="C15" s="586">
        <v>160083.96</v>
      </c>
      <c r="D15" s="585">
        <v>126.58</v>
      </c>
      <c r="E15" s="586">
        <v>4128.63</v>
      </c>
      <c r="F15" s="585">
        <v>2981.79</v>
      </c>
      <c r="G15" s="586">
        <v>109395.78</v>
      </c>
      <c r="H15" s="585">
        <v>45.52</v>
      </c>
      <c r="I15" s="586">
        <v>1674.31</v>
      </c>
      <c r="J15" s="585">
        <f t="shared" si="0"/>
        <v>4490.92</v>
      </c>
      <c r="K15" s="586">
        <f t="shared" si="1"/>
        <v>164212.59</v>
      </c>
      <c r="L15" s="585">
        <f t="shared" si="2"/>
        <v>3027.31</v>
      </c>
      <c r="M15" s="586">
        <f t="shared" si="3"/>
        <v>111070.09</v>
      </c>
      <c r="N15" s="587"/>
      <c r="O15" s="585">
        <v>81.84</v>
      </c>
      <c r="P15" s="586">
        <v>3001.89</v>
      </c>
      <c r="Q15" s="585">
        <v>665.25</v>
      </c>
      <c r="R15" s="586">
        <v>24401.38</v>
      </c>
      <c r="S15" s="585">
        <v>796.09</v>
      </c>
      <c r="T15" s="586">
        <v>29200.560000000001</v>
      </c>
      <c r="U15" s="585">
        <v>1499.72</v>
      </c>
      <c r="V15" s="586">
        <v>55047.69</v>
      </c>
      <c r="W15" s="585">
        <f t="shared" si="4"/>
        <v>747.09</v>
      </c>
      <c r="X15" s="586">
        <f t="shared" si="5"/>
        <v>27403.27</v>
      </c>
      <c r="Y15" s="585">
        <f t="shared" si="6"/>
        <v>2295.81</v>
      </c>
      <c r="Z15" s="586">
        <f t="shared" si="7"/>
        <v>84248.25</v>
      </c>
      <c r="AA15" s="587"/>
      <c r="AB15" s="585">
        <v>202.22</v>
      </c>
      <c r="AC15" s="586">
        <v>7417.42</v>
      </c>
      <c r="AD15" s="585">
        <v>1227.9100000000001</v>
      </c>
      <c r="AE15" s="586">
        <v>45039.72</v>
      </c>
      <c r="AF15" s="585">
        <v>27.65</v>
      </c>
      <c r="AG15" s="586">
        <v>1014.21</v>
      </c>
      <c r="AH15" s="585">
        <v>110.74</v>
      </c>
      <c r="AI15" s="586">
        <v>4067.92</v>
      </c>
      <c r="AJ15" s="585">
        <f t="shared" si="8"/>
        <v>1430.13</v>
      </c>
      <c r="AK15" s="586">
        <f t="shared" si="9"/>
        <v>52457.14</v>
      </c>
      <c r="AL15" s="585">
        <f t="shared" si="10"/>
        <v>138.38999999999999</v>
      </c>
      <c r="AM15" s="586">
        <f t="shared" si="11"/>
        <v>5082.13</v>
      </c>
      <c r="AO15" s="467">
        <f t="shared" si="12"/>
        <v>444473.47</v>
      </c>
      <c r="AP15" s="466">
        <v>444473</v>
      </c>
      <c r="AQ15" s="467">
        <f t="shared" si="13"/>
        <v>0.46999999997206032</v>
      </c>
      <c r="AR15" s="584">
        <f t="shared" si="14"/>
        <v>240</v>
      </c>
      <c r="AT15" s="467">
        <f t="shared" si="15"/>
        <v>200400.47</v>
      </c>
      <c r="AU15" s="1010">
        <v>200388</v>
      </c>
      <c r="AV15" s="1011">
        <f t="shared" si="16"/>
        <v>12.470000000001164</v>
      </c>
      <c r="AW15" s="468">
        <f t="shared" si="17"/>
        <v>0.33996728462380493</v>
      </c>
    </row>
    <row r="16" spans="1:49">
      <c r="A16" s="584">
        <f t="shared" si="18"/>
        <v>44541</v>
      </c>
      <c r="B16" s="585">
        <v>3929.76</v>
      </c>
      <c r="C16" s="586">
        <v>144153.25</v>
      </c>
      <c r="D16" s="585">
        <v>79.930000000000007</v>
      </c>
      <c r="E16" s="586">
        <v>2766.52</v>
      </c>
      <c r="F16" s="585">
        <v>2658.73</v>
      </c>
      <c r="G16" s="586">
        <v>97366.98</v>
      </c>
      <c r="H16" s="585">
        <v>8.06</v>
      </c>
      <c r="I16" s="586">
        <v>305.51</v>
      </c>
      <c r="J16" s="585">
        <f t="shared" si="0"/>
        <v>4009.69</v>
      </c>
      <c r="K16" s="586">
        <f t="shared" si="1"/>
        <v>146919.76999999999</v>
      </c>
      <c r="L16" s="585">
        <f t="shared" si="2"/>
        <v>2666.79</v>
      </c>
      <c r="M16" s="586">
        <f t="shared" si="3"/>
        <v>97672.489999999991</v>
      </c>
      <c r="N16" s="587"/>
      <c r="O16" s="585">
        <v>104.81</v>
      </c>
      <c r="P16" s="586">
        <v>3844.45</v>
      </c>
      <c r="Q16" s="585">
        <v>556.46</v>
      </c>
      <c r="R16" s="586">
        <v>20410.97</v>
      </c>
      <c r="S16" s="585">
        <v>440.17</v>
      </c>
      <c r="T16" s="586">
        <v>16146.34</v>
      </c>
      <c r="U16" s="585">
        <v>1083.17</v>
      </c>
      <c r="V16" s="586">
        <v>39808.67</v>
      </c>
      <c r="W16" s="585">
        <f t="shared" si="4"/>
        <v>661.27</v>
      </c>
      <c r="X16" s="586">
        <f t="shared" si="5"/>
        <v>24255.420000000002</v>
      </c>
      <c r="Y16" s="585">
        <f t="shared" si="6"/>
        <v>1523.3400000000001</v>
      </c>
      <c r="Z16" s="586">
        <f t="shared" si="7"/>
        <v>55955.009999999995</v>
      </c>
      <c r="AA16" s="587"/>
      <c r="AB16" s="585">
        <v>271.64</v>
      </c>
      <c r="AC16" s="586">
        <v>9963.76</v>
      </c>
      <c r="AD16" s="585">
        <v>1005.86</v>
      </c>
      <c r="AE16" s="586">
        <v>36876.589999999997</v>
      </c>
      <c r="AF16" s="585">
        <v>22.38</v>
      </c>
      <c r="AG16" s="586">
        <v>820.91</v>
      </c>
      <c r="AH16" s="585">
        <v>84.46</v>
      </c>
      <c r="AI16" s="586">
        <v>3106.58</v>
      </c>
      <c r="AJ16" s="585">
        <f t="shared" si="8"/>
        <v>1277.5</v>
      </c>
      <c r="AK16" s="586">
        <f t="shared" si="9"/>
        <v>46840.35</v>
      </c>
      <c r="AL16" s="585">
        <f t="shared" si="10"/>
        <v>106.83999999999999</v>
      </c>
      <c r="AM16" s="586">
        <f t="shared" si="11"/>
        <v>3927.49</v>
      </c>
      <c r="AO16" s="467">
        <f t="shared" si="12"/>
        <v>375570.52999999997</v>
      </c>
      <c r="AP16" s="466">
        <v>375571</v>
      </c>
      <c r="AQ16" s="467">
        <f t="shared" si="13"/>
        <v>-0.47000000003026798</v>
      </c>
      <c r="AR16" s="584">
        <f t="shared" si="14"/>
        <v>270</v>
      </c>
      <c r="AT16" s="467">
        <f t="shared" si="15"/>
        <v>157554.99</v>
      </c>
      <c r="AU16" s="1010">
        <v>147951</v>
      </c>
      <c r="AV16" s="1011">
        <f t="shared" si="16"/>
        <v>9603.9899999999907</v>
      </c>
      <c r="AW16" s="468">
        <f t="shared" si="17"/>
        <v>261.83178844056681</v>
      </c>
    </row>
    <row r="17" spans="1:49">
      <c r="A17" s="584">
        <f t="shared" si="18"/>
        <v>44571</v>
      </c>
      <c r="B17" s="585">
        <v>3360.66</v>
      </c>
      <c r="C17" s="586">
        <v>123268.99</v>
      </c>
      <c r="D17" s="585">
        <v>56.91</v>
      </c>
      <c r="E17" s="586">
        <v>2087.4499999999998</v>
      </c>
      <c r="F17" s="585">
        <v>2234.62</v>
      </c>
      <c r="G17" s="586">
        <v>81972.740000000005</v>
      </c>
      <c r="H17" s="585">
        <v>11.28</v>
      </c>
      <c r="I17" s="586">
        <v>415.69</v>
      </c>
      <c r="J17" s="585">
        <f t="shared" si="0"/>
        <v>3417.5699999999997</v>
      </c>
      <c r="K17" s="586">
        <f t="shared" si="1"/>
        <v>125356.44</v>
      </c>
      <c r="L17" s="585">
        <f t="shared" si="2"/>
        <v>2245.9</v>
      </c>
      <c r="M17" s="586">
        <f t="shared" si="3"/>
        <v>82388.430000000008</v>
      </c>
      <c r="N17" s="587"/>
      <c r="O17" s="585">
        <v>99.62</v>
      </c>
      <c r="P17" s="586">
        <v>3654.07</v>
      </c>
      <c r="Q17" s="585">
        <v>465.91</v>
      </c>
      <c r="R17" s="586">
        <v>17089.57</v>
      </c>
      <c r="S17" s="585">
        <v>304.64</v>
      </c>
      <c r="T17" s="586">
        <v>11186.23</v>
      </c>
      <c r="U17" s="585">
        <v>810.33</v>
      </c>
      <c r="V17" s="586">
        <v>29734.93</v>
      </c>
      <c r="W17" s="585">
        <f t="shared" si="4"/>
        <v>565.53</v>
      </c>
      <c r="X17" s="586">
        <f t="shared" si="5"/>
        <v>20743.64</v>
      </c>
      <c r="Y17" s="585">
        <f t="shared" si="6"/>
        <v>1114.97</v>
      </c>
      <c r="Z17" s="586">
        <f t="shared" si="7"/>
        <v>40921.160000000003</v>
      </c>
      <c r="AA17" s="587"/>
      <c r="AB17" s="585">
        <v>193.79</v>
      </c>
      <c r="AC17" s="586">
        <v>7108.22</v>
      </c>
      <c r="AD17" s="585">
        <v>940.11</v>
      </c>
      <c r="AE17" s="586">
        <v>34483.269999999997</v>
      </c>
      <c r="AF17" s="585">
        <v>6.06</v>
      </c>
      <c r="AG17" s="586">
        <v>222.28</v>
      </c>
      <c r="AH17" s="585">
        <v>75.94</v>
      </c>
      <c r="AI17" s="586">
        <v>2785.45</v>
      </c>
      <c r="AJ17" s="585">
        <f t="shared" si="8"/>
        <v>1133.9000000000001</v>
      </c>
      <c r="AK17" s="586">
        <f t="shared" si="9"/>
        <v>41591.49</v>
      </c>
      <c r="AL17" s="585">
        <f t="shared" si="10"/>
        <v>82</v>
      </c>
      <c r="AM17" s="586">
        <f t="shared" si="11"/>
        <v>3007.73</v>
      </c>
      <c r="AO17" s="467">
        <f t="shared" si="12"/>
        <v>314008.89</v>
      </c>
      <c r="AP17" s="586">
        <v>314009</v>
      </c>
      <c r="AQ17" s="467">
        <f t="shared" si="13"/>
        <v>-0.10999999998603016</v>
      </c>
      <c r="AR17" s="584">
        <f t="shared" si="14"/>
        <v>300</v>
      </c>
      <c r="AT17" s="467">
        <f t="shared" si="15"/>
        <v>126317.32</v>
      </c>
      <c r="AU17" s="1010">
        <v>127618</v>
      </c>
      <c r="AV17" s="1011">
        <f t="shared" si="16"/>
        <v>-1300.679999999993</v>
      </c>
      <c r="AW17" s="468">
        <f t="shared" si="17"/>
        <v>-35.460196292257173</v>
      </c>
    </row>
    <row r="18" spans="1:49">
      <c r="A18" s="584">
        <f t="shared" si="18"/>
        <v>44601</v>
      </c>
      <c r="B18" s="585">
        <v>3413.13</v>
      </c>
      <c r="C18" s="586">
        <v>125173.23</v>
      </c>
      <c r="D18" s="585">
        <v>78.12</v>
      </c>
      <c r="E18" s="586">
        <v>2861.16</v>
      </c>
      <c r="F18" s="585">
        <v>2607.7800000000002</v>
      </c>
      <c r="G18" s="586">
        <v>95669.16</v>
      </c>
      <c r="H18" s="585">
        <v>14.79</v>
      </c>
      <c r="I18" s="586">
        <v>544.17999999999995</v>
      </c>
      <c r="J18" s="585">
        <f t="shared" si="0"/>
        <v>3491.25</v>
      </c>
      <c r="K18" s="586">
        <f t="shared" si="1"/>
        <v>128034.39</v>
      </c>
      <c r="L18" s="585">
        <f t="shared" si="2"/>
        <v>2622.57</v>
      </c>
      <c r="M18" s="586">
        <f t="shared" si="3"/>
        <v>96213.34</v>
      </c>
      <c r="N18" s="587"/>
      <c r="O18" s="585">
        <v>49.68</v>
      </c>
      <c r="P18" s="586">
        <v>1822.28</v>
      </c>
      <c r="Q18" s="585">
        <v>429.65</v>
      </c>
      <c r="R18" s="586">
        <v>15759.56</v>
      </c>
      <c r="S18" s="585">
        <v>456.34</v>
      </c>
      <c r="T18" s="586">
        <v>17160.580000000002</v>
      </c>
      <c r="U18" s="585">
        <v>1024.8599999999999</v>
      </c>
      <c r="V18" s="586">
        <v>37598.230000000003</v>
      </c>
      <c r="W18" s="585">
        <f t="shared" si="4"/>
        <v>479.33</v>
      </c>
      <c r="X18" s="586">
        <f t="shared" si="5"/>
        <v>17581.84</v>
      </c>
      <c r="Y18" s="585">
        <f t="shared" si="6"/>
        <v>1481.1999999999998</v>
      </c>
      <c r="Z18" s="586">
        <f t="shared" si="7"/>
        <v>54758.810000000005</v>
      </c>
      <c r="AA18" s="587"/>
      <c r="AB18" s="585">
        <v>209.66</v>
      </c>
      <c r="AC18" s="586">
        <v>7690.34</v>
      </c>
      <c r="AD18" s="585">
        <v>988.27</v>
      </c>
      <c r="AE18" s="586">
        <v>36249.75</v>
      </c>
      <c r="AF18" s="585">
        <v>18.62</v>
      </c>
      <c r="AG18" s="586">
        <v>682.98</v>
      </c>
      <c r="AH18" s="585">
        <v>72.040000000000006</v>
      </c>
      <c r="AI18" s="586">
        <v>2648.55</v>
      </c>
      <c r="AJ18" s="585">
        <f t="shared" si="8"/>
        <v>1197.93</v>
      </c>
      <c r="AK18" s="586">
        <f t="shared" si="9"/>
        <v>43940.09</v>
      </c>
      <c r="AL18" s="585">
        <f t="shared" si="10"/>
        <v>90.660000000000011</v>
      </c>
      <c r="AM18" s="586">
        <f t="shared" si="11"/>
        <v>3331.53</v>
      </c>
      <c r="AO18" s="467">
        <f t="shared" si="12"/>
        <v>343860</v>
      </c>
      <c r="AP18" s="586">
        <v>343860</v>
      </c>
      <c r="AQ18" s="467">
        <f t="shared" si="13"/>
        <v>0</v>
      </c>
      <c r="AR18" s="584">
        <f t="shared" si="14"/>
        <v>330</v>
      </c>
      <c r="AT18" s="467">
        <f t="shared" si="15"/>
        <v>154303.67999999999</v>
      </c>
      <c r="AU18" s="1010">
        <v>162225</v>
      </c>
      <c r="AV18" s="1011">
        <f t="shared" si="16"/>
        <v>-7921.320000000007</v>
      </c>
      <c r="AW18" s="468">
        <f t="shared" si="17"/>
        <v>-215.95747001090533</v>
      </c>
    </row>
    <row r="19" spans="1:49">
      <c r="A19" s="584">
        <f t="shared" si="18"/>
        <v>44631</v>
      </c>
      <c r="B19" s="585">
        <v>4225.91</v>
      </c>
      <c r="C19" s="586">
        <v>155006.35999999999</v>
      </c>
      <c r="D19" s="585">
        <v>88.88</v>
      </c>
      <c r="E19" s="586">
        <v>2972.29</v>
      </c>
      <c r="F19" s="585">
        <v>3137.24</v>
      </c>
      <c r="G19" s="586">
        <v>115030.11</v>
      </c>
      <c r="H19" s="585">
        <v>16.239999999999998</v>
      </c>
      <c r="I19" s="586">
        <v>595.70000000000005</v>
      </c>
      <c r="J19" s="585">
        <f t="shared" si="0"/>
        <v>4314.79</v>
      </c>
      <c r="K19" s="586">
        <f t="shared" si="1"/>
        <v>157978.65</v>
      </c>
      <c r="L19" s="585">
        <f t="shared" si="2"/>
        <v>3153.4799999999996</v>
      </c>
      <c r="M19" s="586">
        <f t="shared" si="3"/>
        <v>115625.81</v>
      </c>
      <c r="N19" s="587"/>
      <c r="O19" s="585">
        <v>119.61</v>
      </c>
      <c r="P19" s="586">
        <v>4387.29</v>
      </c>
      <c r="Q19" s="585">
        <v>454.43</v>
      </c>
      <c r="R19" s="586">
        <v>16668.5</v>
      </c>
      <c r="S19" s="585">
        <v>619.66999999999996</v>
      </c>
      <c r="T19" s="586">
        <v>22729.47</v>
      </c>
      <c r="U19" s="585">
        <v>1175.68</v>
      </c>
      <c r="V19" s="586">
        <v>43141.97</v>
      </c>
      <c r="W19" s="585">
        <f t="shared" si="4"/>
        <v>574.04</v>
      </c>
      <c r="X19" s="586">
        <f t="shared" si="5"/>
        <v>21055.79</v>
      </c>
      <c r="Y19" s="585">
        <f t="shared" si="6"/>
        <v>1795.35</v>
      </c>
      <c r="Z19" s="586">
        <f t="shared" si="7"/>
        <v>65871.44</v>
      </c>
      <c r="AA19" s="587"/>
      <c r="AB19" s="585">
        <v>280.66000000000003</v>
      </c>
      <c r="AC19" s="586">
        <v>10294.61</v>
      </c>
      <c r="AD19" s="585">
        <v>1202.24</v>
      </c>
      <c r="AE19" s="586">
        <v>44108.160000000003</v>
      </c>
      <c r="AF19" s="585">
        <v>21.68</v>
      </c>
      <c r="AG19" s="586">
        <v>795.23</v>
      </c>
      <c r="AH19" s="585">
        <v>103.05</v>
      </c>
      <c r="AI19" s="586">
        <v>3681.55</v>
      </c>
      <c r="AJ19" s="585">
        <f t="shared" si="8"/>
        <v>1482.9</v>
      </c>
      <c r="AK19" s="586">
        <f t="shared" si="9"/>
        <v>54402.770000000004</v>
      </c>
      <c r="AL19" s="585">
        <f t="shared" si="10"/>
        <v>124.72999999999999</v>
      </c>
      <c r="AM19" s="586">
        <f t="shared" si="11"/>
        <v>4476.7800000000007</v>
      </c>
      <c r="AO19" s="467">
        <f t="shared" si="12"/>
        <v>419411.24</v>
      </c>
      <c r="AP19" s="591">
        <v>419421</v>
      </c>
      <c r="AQ19" s="467">
        <f t="shared" si="13"/>
        <v>-9.7600000000093132</v>
      </c>
      <c r="AR19" s="584">
        <f t="shared" si="14"/>
        <v>360</v>
      </c>
      <c r="AT19" s="467">
        <f t="shared" si="15"/>
        <v>185974.03</v>
      </c>
      <c r="AU19" s="1010">
        <v>185828</v>
      </c>
      <c r="AV19" s="1011">
        <f t="shared" si="16"/>
        <v>146.02999999999884</v>
      </c>
      <c r="AW19" s="468">
        <f t="shared" si="17"/>
        <v>3.9811886586695429</v>
      </c>
    </row>
    <row r="20" spans="1:49">
      <c r="A20" s="588"/>
      <c r="B20" s="589"/>
      <c r="C20" s="590"/>
      <c r="D20" s="589"/>
      <c r="E20" s="590"/>
      <c r="F20" s="589"/>
      <c r="G20" s="590"/>
      <c r="H20" s="589"/>
      <c r="I20" s="590"/>
      <c r="J20" s="590"/>
      <c r="K20" s="590"/>
      <c r="L20" s="590"/>
      <c r="M20" s="590"/>
      <c r="N20" s="591"/>
      <c r="O20" s="589"/>
      <c r="P20" s="590"/>
      <c r="Q20" s="589"/>
      <c r="R20" s="590"/>
      <c r="S20" s="589"/>
      <c r="T20" s="590"/>
      <c r="U20" s="589"/>
      <c r="V20" s="590"/>
      <c r="W20" s="590"/>
      <c r="X20" s="590"/>
      <c r="Y20" s="590"/>
      <c r="Z20" s="590"/>
      <c r="AA20" s="591"/>
      <c r="AB20" s="589"/>
      <c r="AC20" s="590"/>
      <c r="AD20" s="589"/>
      <c r="AE20" s="590"/>
      <c r="AF20" s="589"/>
      <c r="AG20" s="590"/>
      <c r="AH20" s="589"/>
      <c r="AI20" s="590"/>
      <c r="AJ20" s="590"/>
      <c r="AK20" s="590"/>
      <c r="AL20" s="590"/>
      <c r="AM20" s="590"/>
      <c r="AO20" s="701"/>
      <c r="AP20" s="701"/>
      <c r="AQ20" s="701"/>
      <c r="AR20" s="701"/>
      <c r="AT20" s="701"/>
      <c r="AU20" s="701"/>
      <c r="AV20" s="701"/>
      <c r="AW20" s="701"/>
    </row>
    <row r="21" spans="1:49">
      <c r="A21" s="592" t="s">
        <v>2040</v>
      </c>
      <c r="B21" s="585">
        <f t="shared" ref="B21:AM21" si="19">SUM(B8:B20)</f>
        <v>49079.979999999996</v>
      </c>
      <c r="C21" s="586">
        <f t="shared" si="19"/>
        <v>1797274.0099999998</v>
      </c>
      <c r="D21" s="585">
        <f t="shared" si="19"/>
        <v>1137.67</v>
      </c>
      <c r="E21" s="586">
        <f t="shared" si="19"/>
        <v>40624.279999999992</v>
      </c>
      <c r="F21" s="585">
        <f t="shared" si="19"/>
        <v>36385.449999999997</v>
      </c>
      <c r="G21" s="586">
        <f t="shared" si="19"/>
        <v>1333529.5100000002</v>
      </c>
      <c r="H21" s="585">
        <f t="shared" si="19"/>
        <v>235.59000000000003</v>
      </c>
      <c r="I21" s="586">
        <f t="shared" si="19"/>
        <v>8667.4500000000007</v>
      </c>
      <c r="J21" s="585">
        <f t="shared" si="19"/>
        <v>50217.65</v>
      </c>
      <c r="K21" s="586">
        <f t="shared" si="19"/>
        <v>1837898.29</v>
      </c>
      <c r="L21" s="585">
        <f t="shared" si="19"/>
        <v>36621.040000000008</v>
      </c>
      <c r="M21" s="586">
        <f t="shared" si="19"/>
        <v>1342196.9600000002</v>
      </c>
      <c r="N21" s="587">
        <f t="shared" si="19"/>
        <v>0</v>
      </c>
      <c r="O21" s="585">
        <f t="shared" si="19"/>
        <v>1201.8600000000001</v>
      </c>
      <c r="P21" s="586">
        <f t="shared" si="19"/>
        <v>44084.289999999994</v>
      </c>
      <c r="Q21" s="585">
        <f t="shared" si="19"/>
        <v>6845.2199999999993</v>
      </c>
      <c r="R21" s="586">
        <f t="shared" si="19"/>
        <v>250416.66</v>
      </c>
      <c r="S21" s="585">
        <f t="shared" si="19"/>
        <v>6699.84</v>
      </c>
      <c r="T21" s="586">
        <f t="shared" si="19"/>
        <v>246487.21</v>
      </c>
      <c r="U21" s="585">
        <f t="shared" si="19"/>
        <v>13489.85</v>
      </c>
      <c r="V21" s="586">
        <f t="shared" si="19"/>
        <v>495292.87</v>
      </c>
      <c r="W21" s="585">
        <f t="shared" si="19"/>
        <v>8047.08</v>
      </c>
      <c r="X21" s="586">
        <f t="shared" si="19"/>
        <v>294500.95</v>
      </c>
      <c r="Y21" s="585">
        <f t="shared" si="19"/>
        <v>20189.689999999999</v>
      </c>
      <c r="Z21" s="586">
        <f t="shared" si="19"/>
        <v>741780.08000000007</v>
      </c>
      <c r="AA21" s="587">
        <f t="shared" si="19"/>
        <v>0</v>
      </c>
      <c r="AB21" s="585">
        <f t="shared" si="19"/>
        <v>2831.6699999999996</v>
      </c>
      <c r="AC21" s="586">
        <f t="shared" si="19"/>
        <v>103877.72</v>
      </c>
      <c r="AD21" s="585">
        <f t="shared" si="19"/>
        <v>14058.670000000002</v>
      </c>
      <c r="AE21" s="586">
        <f t="shared" si="19"/>
        <v>513848.85</v>
      </c>
      <c r="AF21" s="585">
        <f t="shared" si="19"/>
        <v>362.02</v>
      </c>
      <c r="AG21" s="586">
        <f t="shared" si="19"/>
        <v>13290.929999999998</v>
      </c>
      <c r="AH21" s="585">
        <f t="shared" si="19"/>
        <v>1122.96</v>
      </c>
      <c r="AI21" s="586">
        <f t="shared" si="19"/>
        <v>41189.670000000006</v>
      </c>
      <c r="AJ21" s="585">
        <f t="shared" si="19"/>
        <v>16890.34</v>
      </c>
      <c r="AK21" s="586">
        <f t="shared" si="19"/>
        <v>617726.56999999995</v>
      </c>
      <c r="AL21" s="585">
        <f t="shared" si="19"/>
        <v>1484.98</v>
      </c>
      <c r="AM21" s="586">
        <f t="shared" si="19"/>
        <v>54480.6</v>
      </c>
      <c r="AO21" s="466">
        <f>SUM(AO8:AO19)</f>
        <v>4888583.4499999993</v>
      </c>
      <c r="AP21" s="466">
        <f>SUM(AP8:AP19)</f>
        <v>4888724</v>
      </c>
      <c r="AQ21" s="467">
        <f>SUM(AQ8:AQ20)</f>
        <v>-140.54999999998836</v>
      </c>
      <c r="AR21" s="470">
        <f>AQ21/AO21</f>
        <v>-2.8750659866507624E-5</v>
      </c>
      <c r="AT21" s="467">
        <f>SUM(AT8:AT20)</f>
        <v>2138457.6399999997</v>
      </c>
      <c r="AU21" s="467">
        <f>SUM(AU8:AU20)</f>
        <v>2136838</v>
      </c>
      <c r="AV21" s="467">
        <f>SUM(AV8:AV20)</f>
        <v>1619.6399999999849</v>
      </c>
      <c r="AW21" s="283">
        <f>SUM(AW8:AW19)</f>
        <v>44.155943293347441</v>
      </c>
    </row>
    <row r="22" spans="1:49">
      <c r="A22" s="706" t="s">
        <v>2039</v>
      </c>
      <c r="B22" s="589">
        <f>-D38</f>
        <v>-1.1499999999999999</v>
      </c>
      <c r="C22" s="590">
        <f>-E38</f>
        <v>-21.85</v>
      </c>
      <c r="D22" s="589"/>
      <c r="E22" s="590"/>
      <c r="F22" s="589"/>
      <c r="G22" s="590"/>
      <c r="H22" s="589">
        <v>0</v>
      </c>
      <c r="I22" s="590">
        <v>0</v>
      </c>
      <c r="J22" s="590">
        <f>B22+D22</f>
        <v>-1.1499999999999999</v>
      </c>
      <c r="K22" s="590">
        <f>C22+E22</f>
        <v>-21.85</v>
      </c>
      <c r="L22" s="590">
        <f>F22+H22</f>
        <v>0</v>
      </c>
      <c r="M22" s="590">
        <f>G22+I22</f>
        <v>0</v>
      </c>
      <c r="N22" s="591"/>
      <c r="O22" s="589">
        <f>-H31-H32-H33</f>
        <v>0</v>
      </c>
      <c r="P22" s="590">
        <f>-I31-I32-I33</f>
        <v>0</v>
      </c>
      <c r="Q22" s="589">
        <f>-H34-H35-H36-H37</f>
        <v>0</v>
      </c>
      <c r="R22" s="590">
        <f>-I34-I35-I36-I37</f>
        <v>0</v>
      </c>
      <c r="S22" s="589">
        <v>0</v>
      </c>
      <c r="T22" s="590">
        <v>0</v>
      </c>
      <c r="U22" s="589">
        <v>0</v>
      </c>
      <c r="V22" s="590">
        <v>0</v>
      </c>
      <c r="W22" s="590">
        <f>O22+Q22</f>
        <v>0</v>
      </c>
      <c r="X22" s="590">
        <f>P22+R22</f>
        <v>0</v>
      </c>
      <c r="Y22" s="590">
        <f>S22+U22</f>
        <v>0</v>
      </c>
      <c r="Z22" s="590">
        <f>T22+V22</f>
        <v>0</v>
      </c>
      <c r="AA22" s="591"/>
      <c r="AB22" s="589">
        <f>-L37</f>
        <v>0</v>
      </c>
      <c r="AC22" s="590">
        <f>-M37</f>
        <v>0</v>
      </c>
      <c r="AD22" s="589">
        <v>0</v>
      </c>
      <c r="AE22" s="590">
        <v>0</v>
      </c>
      <c r="AF22" s="589">
        <v>0</v>
      </c>
      <c r="AG22" s="590">
        <v>0</v>
      </c>
      <c r="AH22" s="589">
        <v>0</v>
      </c>
      <c r="AI22" s="590">
        <v>0</v>
      </c>
      <c r="AJ22" s="590">
        <f>AB22+AD22</f>
        <v>0</v>
      </c>
      <c r="AK22" s="590">
        <f>AC22+AE22</f>
        <v>0</v>
      </c>
      <c r="AL22" s="590">
        <v>0</v>
      </c>
      <c r="AM22" s="590">
        <v>0</v>
      </c>
      <c r="AO22" s="701"/>
      <c r="AP22" s="701"/>
      <c r="AQ22" s="701"/>
      <c r="AR22" s="701"/>
      <c r="AT22" s="701"/>
      <c r="AU22" s="701"/>
      <c r="AV22" s="701"/>
      <c r="AW22" s="701"/>
    </row>
    <row r="23" spans="1:49">
      <c r="A23" s="592" t="s">
        <v>2038</v>
      </c>
      <c r="B23" s="596">
        <f t="shared" ref="B23:M23" si="20">B21+B22</f>
        <v>49078.829999999994</v>
      </c>
      <c r="C23" s="596">
        <f t="shared" si="20"/>
        <v>1797252.1599999997</v>
      </c>
      <c r="D23" s="596">
        <f t="shared" si="20"/>
        <v>1137.67</v>
      </c>
      <c r="E23" s="596">
        <f t="shared" si="20"/>
        <v>40624.279999999992</v>
      </c>
      <c r="F23" s="596">
        <f t="shared" si="20"/>
        <v>36385.449999999997</v>
      </c>
      <c r="G23" s="596">
        <f t="shared" si="20"/>
        <v>1333529.5100000002</v>
      </c>
      <c r="H23" s="596">
        <f t="shared" si="20"/>
        <v>235.59000000000003</v>
      </c>
      <c r="I23" s="596">
        <f t="shared" si="20"/>
        <v>8667.4500000000007</v>
      </c>
      <c r="J23" s="468">
        <f t="shared" si="20"/>
        <v>50216.5</v>
      </c>
      <c r="K23" s="466">
        <f t="shared" si="20"/>
        <v>1837876.44</v>
      </c>
      <c r="L23" s="468">
        <f t="shared" si="20"/>
        <v>36621.040000000008</v>
      </c>
      <c r="M23" s="466">
        <f t="shared" si="20"/>
        <v>1342196.9600000002</v>
      </c>
      <c r="N23" s="466"/>
      <c r="O23" s="596">
        <f t="shared" ref="O23:Z23" si="21">O21+O22</f>
        <v>1201.8600000000001</v>
      </c>
      <c r="P23" s="596">
        <f t="shared" si="21"/>
        <v>44084.289999999994</v>
      </c>
      <c r="Q23" s="596">
        <f t="shared" si="21"/>
        <v>6845.2199999999993</v>
      </c>
      <c r="R23" s="596">
        <f t="shared" si="21"/>
        <v>250416.66</v>
      </c>
      <c r="S23" s="596">
        <f t="shared" si="21"/>
        <v>6699.84</v>
      </c>
      <c r="T23" s="596">
        <f t="shared" si="21"/>
        <v>246487.21</v>
      </c>
      <c r="U23" s="596">
        <f t="shared" si="21"/>
        <v>13489.85</v>
      </c>
      <c r="V23" s="596">
        <f t="shared" si="21"/>
        <v>495292.87</v>
      </c>
      <c r="W23" s="468">
        <f t="shared" si="21"/>
        <v>8047.08</v>
      </c>
      <c r="X23" s="466">
        <f t="shared" si="21"/>
        <v>294500.95</v>
      </c>
      <c r="Y23" s="468">
        <f t="shared" si="21"/>
        <v>20189.689999999999</v>
      </c>
      <c r="Z23" s="466">
        <f t="shared" si="21"/>
        <v>741780.08000000007</v>
      </c>
      <c r="AA23" s="591"/>
      <c r="AB23" s="596">
        <f t="shared" ref="AB23:AM23" si="22">AB21+AB22</f>
        <v>2831.6699999999996</v>
      </c>
      <c r="AC23" s="596">
        <f t="shared" si="22"/>
        <v>103877.72</v>
      </c>
      <c r="AD23" s="596">
        <f t="shared" si="22"/>
        <v>14058.670000000002</v>
      </c>
      <c r="AE23" s="596">
        <f t="shared" si="22"/>
        <v>513848.85</v>
      </c>
      <c r="AF23" s="596">
        <f t="shared" si="22"/>
        <v>362.02</v>
      </c>
      <c r="AG23" s="596">
        <f t="shared" si="22"/>
        <v>13290.929999999998</v>
      </c>
      <c r="AH23" s="596">
        <f t="shared" si="22"/>
        <v>1122.96</v>
      </c>
      <c r="AI23" s="596">
        <f t="shared" si="22"/>
        <v>41189.670000000006</v>
      </c>
      <c r="AJ23" s="596">
        <f t="shared" si="22"/>
        <v>16890.34</v>
      </c>
      <c r="AK23" s="596">
        <f t="shared" si="22"/>
        <v>617726.56999999995</v>
      </c>
      <c r="AL23" s="596">
        <f t="shared" si="22"/>
        <v>1484.98</v>
      </c>
      <c r="AM23" s="596">
        <f t="shared" si="22"/>
        <v>54480.6</v>
      </c>
    </row>
    <row r="24" spans="1:49" ht="15.75" thickBot="1">
      <c r="A24" s="588"/>
      <c r="K24" s="469"/>
    </row>
    <row r="25" spans="1:49" ht="15.75" thickBot="1">
      <c r="A25" s="247" t="s">
        <v>1260</v>
      </c>
      <c r="C25" s="1064" t="s">
        <v>1250</v>
      </c>
      <c r="D25" s="1065"/>
      <c r="E25" s="1066"/>
      <c r="G25" s="1064" t="s">
        <v>1251</v>
      </c>
      <c r="H25" s="1065"/>
      <c r="I25" s="1066"/>
      <c r="K25" s="1064" t="s">
        <v>1252</v>
      </c>
      <c r="L25" s="1065"/>
      <c r="M25" s="1066"/>
    </row>
    <row r="26" spans="1:49">
      <c r="C26" s="1063" t="s">
        <v>916</v>
      </c>
      <c r="D26" s="1063"/>
      <c r="E26" s="1063"/>
      <c r="G26" s="1063" t="s">
        <v>1273</v>
      </c>
      <c r="H26" s="1063"/>
      <c r="I26" s="1063"/>
      <c r="K26" s="1067" t="s">
        <v>231</v>
      </c>
      <c r="L26" s="1067"/>
      <c r="M26" s="1067"/>
    </row>
    <row r="27" spans="1:49">
      <c r="A27" s="705"/>
      <c r="C27" s="583" t="s">
        <v>2037</v>
      </c>
      <c r="D27" s="583" t="s">
        <v>1059</v>
      </c>
      <c r="E27" s="583" t="s">
        <v>1060</v>
      </c>
      <c r="F27" s="583"/>
      <c r="G27" s="583" t="s">
        <v>2037</v>
      </c>
      <c r="H27" s="583" t="s">
        <v>1059</v>
      </c>
      <c r="I27" s="583" t="s">
        <v>1060</v>
      </c>
      <c r="J27" s="583"/>
      <c r="K27" s="583" t="s">
        <v>2037</v>
      </c>
      <c r="L27" s="583" t="s">
        <v>1059</v>
      </c>
      <c r="M27" s="583" t="s">
        <v>1060</v>
      </c>
    </row>
    <row r="28" spans="1:49">
      <c r="A28" s="584">
        <f t="shared" ref="A28:A39" si="23">A8</f>
        <v>44301</v>
      </c>
      <c r="C28" s="249">
        <v>3</v>
      </c>
      <c r="D28" s="249">
        <f>15.78+6.8</f>
        <v>22.58</v>
      </c>
      <c r="E28" s="593">
        <f>299.82+129.2</f>
        <v>429.02</v>
      </c>
      <c r="G28" s="249">
        <v>0</v>
      </c>
      <c r="H28" s="249">
        <v>0</v>
      </c>
      <c r="I28" s="593">
        <v>0</v>
      </c>
      <c r="K28" s="249">
        <v>0</v>
      </c>
      <c r="L28" s="249">
        <v>0</v>
      </c>
      <c r="M28" s="593">
        <v>0</v>
      </c>
    </row>
    <row r="29" spans="1:49">
      <c r="A29" s="584">
        <f t="shared" si="23"/>
        <v>44331</v>
      </c>
      <c r="C29" s="249">
        <v>8</v>
      </c>
      <c r="D29" s="249">
        <f>13.57+30.97</f>
        <v>44.54</v>
      </c>
      <c r="E29" s="593">
        <f>257.83+588.43</f>
        <v>846.26</v>
      </c>
      <c r="G29" s="249">
        <v>1</v>
      </c>
      <c r="H29" s="249">
        <f>1.69</f>
        <v>1.69</v>
      </c>
      <c r="I29" s="593">
        <f>97.99</f>
        <v>97.99</v>
      </c>
      <c r="K29" s="249">
        <v>0</v>
      </c>
      <c r="L29" s="249">
        <v>0</v>
      </c>
      <c r="M29" s="593">
        <v>0</v>
      </c>
    </row>
    <row r="30" spans="1:49">
      <c r="A30" s="584">
        <f t="shared" si="23"/>
        <v>44361</v>
      </c>
      <c r="C30" s="249">
        <f>4</f>
        <v>4</v>
      </c>
      <c r="D30" s="249">
        <f>43.29+12.46+0.39</f>
        <v>56.14</v>
      </c>
      <c r="E30" s="593">
        <f>822.51+236.74+30</f>
        <v>1089.25</v>
      </c>
      <c r="G30" s="249">
        <v>0</v>
      </c>
      <c r="H30" s="249">
        <v>0</v>
      </c>
      <c r="I30" s="593">
        <v>0</v>
      </c>
      <c r="K30" s="249">
        <v>0</v>
      </c>
      <c r="L30" s="249">
        <v>0</v>
      </c>
      <c r="M30" s="593">
        <v>0</v>
      </c>
    </row>
    <row r="31" spans="1:49">
      <c r="A31" s="584">
        <f t="shared" si="23"/>
        <v>44391</v>
      </c>
      <c r="C31" s="249">
        <v>0</v>
      </c>
      <c r="D31" s="249">
        <f>23.69</f>
        <v>23.69</v>
      </c>
      <c r="E31" s="593">
        <v>450.11</v>
      </c>
      <c r="G31" s="249">
        <v>0</v>
      </c>
      <c r="H31" s="249">
        <v>0</v>
      </c>
      <c r="I31" s="593">
        <v>0</v>
      </c>
      <c r="K31" s="249">
        <v>1</v>
      </c>
      <c r="L31" s="249">
        <v>0.55000000000000004</v>
      </c>
      <c r="M31" s="593">
        <v>26.17</v>
      </c>
    </row>
    <row r="32" spans="1:49">
      <c r="A32" s="584">
        <f t="shared" si="23"/>
        <v>44421</v>
      </c>
      <c r="C32" s="249">
        <v>1</v>
      </c>
      <c r="D32" s="249">
        <f>43.84+4.2</f>
        <v>48.040000000000006</v>
      </c>
      <c r="E32" s="593">
        <f>832.96+79.8</f>
        <v>912.76</v>
      </c>
      <c r="G32" s="249">
        <v>0</v>
      </c>
      <c r="H32" s="249">
        <v>0</v>
      </c>
      <c r="I32" s="593">
        <v>0</v>
      </c>
      <c r="K32" s="249">
        <v>0</v>
      </c>
      <c r="L32" s="249">
        <v>0</v>
      </c>
      <c r="M32" s="593">
        <v>0</v>
      </c>
    </row>
    <row r="33" spans="1:26">
      <c r="A33" s="584">
        <f t="shared" si="23"/>
        <v>44451</v>
      </c>
      <c r="C33" s="249">
        <v>4</v>
      </c>
      <c r="D33" s="249">
        <f>44.58+9.29</f>
        <v>53.87</v>
      </c>
      <c r="E33" s="593">
        <f>847.02+176.51</f>
        <v>1023.53</v>
      </c>
      <c r="G33" s="249">
        <v>0</v>
      </c>
      <c r="H33" s="249">
        <v>0</v>
      </c>
      <c r="I33" s="593">
        <v>0</v>
      </c>
      <c r="K33" s="249">
        <v>0</v>
      </c>
      <c r="L33" s="249">
        <v>0</v>
      </c>
      <c r="M33" s="593">
        <v>0</v>
      </c>
    </row>
    <row r="34" spans="1:26">
      <c r="A34" s="584">
        <f t="shared" si="23"/>
        <v>44481</v>
      </c>
      <c r="C34" s="249">
        <v>0</v>
      </c>
      <c r="D34" s="249">
        <f>18.04</f>
        <v>18.04</v>
      </c>
      <c r="E34" s="593">
        <f>342.76</f>
        <v>342.76</v>
      </c>
      <c r="G34" s="249">
        <v>0</v>
      </c>
      <c r="H34" s="249">
        <v>0</v>
      </c>
      <c r="I34" s="593">
        <v>0</v>
      </c>
      <c r="K34" s="249">
        <v>0</v>
      </c>
      <c r="L34" s="249">
        <v>0</v>
      </c>
      <c r="M34" s="593">
        <v>0</v>
      </c>
    </row>
    <row r="35" spans="1:26">
      <c r="A35" s="584">
        <f t="shared" si="23"/>
        <v>44511</v>
      </c>
      <c r="C35" s="249">
        <v>0</v>
      </c>
      <c r="D35" s="249">
        <v>0</v>
      </c>
      <c r="E35" s="593">
        <v>0</v>
      </c>
      <c r="G35" s="249">
        <v>0</v>
      </c>
      <c r="H35" s="249">
        <v>0</v>
      </c>
      <c r="I35" s="593">
        <v>0</v>
      </c>
      <c r="K35" s="249">
        <v>0</v>
      </c>
      <c r="L35" s="249">
        <v>0</v>
      </c>
      <c r="M35" s="593">
        <v>0</v>
      </c>
    </row>
    <row r="36" spans="1:26">
      <c r="A36" s="584">
        <f t="shared" si="23"/>
        <v>44541</v>
      </c>
      <c r="C36" s="249">
        <v>4</v>
      </c>
      <c r="D36" s="249">
        <f>10.04</f>
        <v>10.039999999999999</v>
      </c>
      <c r="E36" s="593">
        <f>190.76</f>
        <v>190.76</v>
      </c>
      <c r="G36" s="249">
        <v>0</v>
      </c>
      <c r="H36" s="249">
        <v>0</v>
      </c>
      <c r="I36" s="593">
        <v>0</v>
      </c>
      <c r="K36" s="249">
        <v>0</v>
      </c>
      <c r="L36" s="249">
        <v>0</v>
      </c>
      <c r="M36" s="593">
        <v>0</v>
      </c>
    </row>
    <row r="37" spans="1:26">
      <c r="A37" s="584">
        <f t="shared" si="23"/>
        <v>44571</v>
      </c>
      <c r="E37" s="593"/>
      <c r="I37" s="593"/>
      <c r="M37" s="593"/>
    </row>
    <row r="38" spans="1:26">
      <c r="A38" s="584">
        <f t="shared" si="23"/>
        <v>44601</v>
      </c>
      <c r="C38" s="249">
        <v>0</v>
      </c>
      <c r="D38" s="249">
        <v>1.1499999999999999</v>
      </c>
      <c r="E38" s="593">
        <v>21.85</v>
      </c>
      <c r="I38" s="593"/>
      <c r="M38" s="593"/>
    </row>
    <row r="39" spans="1:26">
      <c r="A39" s="584">
        <f t="shared" si="23"/>
        <v>44631</v>
      </c>
      <c r="C39" s="701">
        <v>1</v>
      </c>
      <c r="D39" s="701">
        <v>3.84</v>
      </c>
      <c r="E39" s="594">
        <v>72.959999999999994</v>
      </c>
      <c r="F39" s="701"/>
      <c r="G39" s="701"/>
      <c r="H39" s="701"/>
      <c r="I39" s="594"/>
      <c r="J39" s="701"/>
      <c r="K39" s="701"/>
      <c r="L39" s="701"/>
      <c r="M39" s="594"/>
    </row>
    <row r="40" spans="1:26">
      <c r="A40" s="249" t="s">
        <v>20</v>
      </c>
      <c r="C40" s="248">
        <f>SUM(C28:C39)</f>
        <v>25</v>
      </c>
      <c r="D40" s="248">
        <f>SUM(D28:D39)</f>
        <v>281.93</v>
      </c>
      <c r="E40" s="595">
        <f>SUM(E28:E39)</f>
        <v>5379.26</v>
      </c>
      <c r="F40" s="248"/>
      <c r="G40" s="248">
        <f>SUM(G28:G39)</f>
        <v>1</v>
      </c>
      <c r="H40" s="248">
        <f>SUM(H28:H39)</f>
        <v>1.69</v>
      </c>
      <c r="I40" s="595">
        <f>SUM(I28:I39)</f>
        <v>97.99</v>
      </c>
      <c r="J40" s="248"/>
      <c r="K40" s="248">
        <f>SUM(K28:K39)</f>
        <v>1</v>
      </c>
      <c r="L40" s="248">
        <f>SUM(L28:L39)</f>
        <v>0.55000000000000004</v>
      </c>
      <c r="M40" s="595">
        <f>SUM(M28:M39)</f>
        <v>26.17</v>
      </c>
    </row>
    <row r="41" spans="1:26">
      <c r="C41" s="248"/>
      <c r="D41" s="248"/>
      <c r="E41" s="595"/>
      <c r="F41" s="248"/>
      <c r="G41" s="248"/>
      <c r="H41" s="248"/>
      <c r="I41" s="469">
        <f>I40/H40</f>
        <v>57.982248520710058</v>
      </c>
      <c r="J41" s="248"/>
      <c r="K41" s="248"/>
      <c r="L41" s="248"/>
      <c r="M41" s="469">
        <f>M40/L40</f>
        <v>47.581818181818178</v>
      </c>
    </row>
    <row r="42" spans="1:26">
      <c r="C42" s="249" t="s">
        <v>2036</v>
      </c>
      <c r="D42" s="468">
        <f>D40+H40+L40</f>
        <v>284.17</v>
      </c>
    </row>
    <row r="43" spans="1:26">
      <c r="C43" s="249" t="s">
        <v>2035</v>
      </c>
      <c r="D43" s="704">
        <f>C40+G40+K40</f>
        <v>27</v>
      </c>
    </row>
    <row r="44" spans="1:26" ht="15.75" thickBot="1">
      <c r="C44" s="249" t="s">
        <v>2034</v>
      </c>
      <c r="D44" s="703">
        <f>D42+D43</f>
        <v>311.17</v>
      </c>
      <c r="E44" s="582">
        <f>(E40+I40+M40)/D44</f>
        <v>17.686216537583956</v>
      </c>
    </row>
    <row r="45" spans="1:26" ht="15.75" thickTop="1"/>
    <row r="47" spans="1:26">
      <c r="C47" s="247" t="s">
        <v>1059</v>
      </c>
      <c r="D47" s="247" t="s">
        <v>1060</v>
      </c>
      <c r="G47" s="247" t="s">
        <v>1273</v>
      </c>
      <c r="H47" s="247" t="s">
        <v>231</v>
      </c>
    </row>
    <row r="48" spans="1:26">
      <c r="A48" s="597" t="s">
        <v>1261</v>
      </c>
      <c r="C48" s="596">
        <f>B21+O21+AB21</f>
        <v>53113.509999999995</v>
      </c>
      <c r="D48" s="466">
        <f>C21+P21+AC21</f>
        <v>1945236.0199999998</v>
      </c>
      <c r="F48" s="249" t="s">
        <v>1059</v>
      </c>
      <c r="G48" s="596">
        <f>+C48+C49</f>
        <v>96560.819999999978</v>
      </c>
      <c r="H48" s="596">
        <f>+C52+C53</f>
        <v>36889.960000000006</v>
      </c>
      <c r="K48" s="582"/>
      <c r="M48" s="582"/>
      <c r="Z48" s="467"/>
    </row>
    <row r="49" spans="1:8">
      <c r="A49" s="592" t="s">
        <v>1262</v>
      </c>
      <c r="C49" s="596">
        <f>F21+S21+AF21</f>
        <v>43447.30999999999</v>
      </c>
      <c r="D49" s="296">
        <f>G21+T21+AG21</f>
        <v>1593307.6500000001</v>
      </c>
      <c r="G49" s="702">
        <f>+G48/SUM($G$48:$H$48)</f>
        <v>0.72356879442742861</v>
      </c>
      <c r="H49" s="702">
        <f>+H48/SUM($G$48:$H$48)</f>
        <v>0.2764312055725715</v>
      </c>
    </row>
    <row r="50" spans="1:8">
      <c r="D50" s="466">
        <f>SUM(D48:D49)</f>
        <v>3538543.67</v>
      </c>
    </row>
    <row r="51" spans="1:8">
      <c r="D51" s="466"/>
    </row>
    <row r="52" spans="1:8">
      <c r="A52" s="592" t="s">
        <v>1263</v>
      </c>
      <c r="C52" s="596">
        <f>D21+Q21+AD21</f>
        <v>22041.56</v>
      </c>
      <c r="D52" s="466">
        <f>E21+R21+AE21</f>
        <v>804889.79</v>
      </c>
    </row>
    <row r="53" spans="1:8">
      <c r="A53" s="597" t="s">
        <v>1264</v>
      </c>
      <c r="C53" s="596">
        <f>H21+U21+AH21</f>
        <v>14848.400000000001</v>
      </c>
      <c r="D53" s="296">
        <f>I21+V21+AI21</f>
        <v>545149.99</v>
      </c>
    </row>
    <row r="54" spans="1:8">
      <c r="A54" s="248"/>
      <c r="D54" s="467">
        <f>SUM(D52:D53)</f>
        <v>1350039.78</v>
      </c>
    </row>
    <row r="55" spans="1:8">
      <c r="A55" s="248"/>
    </row>
    <row r="56" spans="1:8">
      <c r="A56" s="597" t="s">
        <v>1265</v>
      </c>
      <c r="C56" s="471">
        <f>C48+C52</f>
        <v>75155.069999999992</v>
      </c>
      <c r="D56" s="467">
        <f>D48+D52</f>
        <v>2750125.8099999996</v>
      </c>
    </row>
    <row r="57" spans="1:8">
      <c r="A57" s="597" t="s">
        <v>1266</v>
      </c>
      <c r="C57" s="596">
        <f>C49+C53</f>
        <v>58295.709999999992</v>
      </c>
      <c r="D57" s="596">
        <f>D49+D53</f>
        <v>2138457.64</v>
      </c>
    </row>
    <row r="58" spans="1:8">
      <c r="A58" s="597"/>
      <c r="C58" s="596"/>
      <c r="D58" s="596"/>
    </row>
    <row r="59" spans="1:8">
      <c r="A59" s="597" t="s">
        <v>1267</v>
      </c>
      <c r="C59" s="992">
        <f>+D44*'Allocators (C)'!C120</f>
        <v>190.02874936011094</v>
      </c>
      <c r="D59" s="586">
        <f>+($E$40+$I$40+$M$40)*('[65]Cust Count Summary'!$B$5/'[65]Cust Count Summary'!$M$5)</f>
        <v>3360.8896095491909</v>
      </c>
      <c r="E59" s="875"/>
    </row>
    <row r="60" spans="1:8">
      <c r="A60" s="597" t="s">
        <v>1268</v>
      </c>
      <c r="C60" s="992">
        <f>+D44*'Allocators (C)'!D120</f>
        <v>121.14125063988908</v>
      </c>
      <c r="D60" s="586">
        <f>+($E$40+$I$40+$M$40)*'[65]Cust Count Summary'!$L$5/'[65]Cust Count Summary'!$M$5</f>
        <v>2142.5303904508091</v>
      </c>
    </row>
    <row r="61" spans="1:8">
      <c r="C61" s="596"/>
      <c r="D61" s="467"/>
    </row>
    <row r="63" spans="1:8">
      <c r="A63" s="598" t="s">
        <v>1269</v>
      </c>
      <c r="B63" s="599">
        <f>+'Master IS (C)'!$E$30</f>
        <v>2136839</v>
      </c>
    </row>
    <row r="64" spans="1:8">
      <c r="A64" s="279" t="s">
        <v>193</v>
      </c>
      <c r="B64" s="467">
        <f>D57-B63</f>
        <v>1618.6400000001304</v>
      </c>
    </row>
    <row r="66" spans="1:3">
      <c r="A66" s="598" t="s">
        <v>1270</v>
      </c>
      <c r="B66" s="599">
        <f>+'Master IS (C)'!$E$137</f>
        <v>4888724.2600000007</v>
      </c>
    </row>
    <row r="67" spans="1:3">
      <c r="A67" s="279" t="s">
        <v>193</v>
      </c>
      <c r="B67" s="469">
        <f>SUM(D56:D60)-B66</f>
        <v>5362.6099999984726</v>
      </c>
    </row>
    <row r="68" spans="1:3">
      <c r="B68" s="470">
        <f>B67/B66</f>
        <v>1.0969344382696831E-3</v>
      </c>
      <c r="C68" s="581" t="s">
        <v>614</v>
      </c>
    </row>
  </sheetData>
  <mergeCells count="15">
    <mergeCell ref="C26:E26"/>
    <mergeCell ref="C25:E25"/>
    <mergeCell ref="G26:I26"/>
    <mergeCell ref="G25:I25"/>
    <mergeCell ref="K25:M25"/>
    <mergeCell ref="K26:M26"/>
    <mergeCell ref="B6:M6"/>
    <mergeCell ref="O6:Z6"/>
    <mergeCell ref="AB6:AM6"/>
    <mergeCell ref="AJ7:AK7"/>
    <mergeCell ref="AL7:AM7"/>
    <mergeCell ref="W7:X7"/>
    <mergeCell ref="Y7:Z7"/>
    <mergeCell ref="J7:K7"/>
    <mergeCell ref="L7:M7"/>
  </mergeCells>
  <pageMargins left="0.7" right="0.7" top="0.25" bottom="0.25" header="0.3" footer="0.3"/>
  <pageSetup scale="56" fitToWidth="2" fitToHeight="0" orientation="landscape" r:id="rId1"/>
  <colBreaks count="2" manualBreakCount="2">
    <brk id="14" min="3" max="40" man="1"/>
    <brk id="26" min="3" max="4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Q14"/>
  <sheetViews>
    <sheetView workbookViewId="0"/>
  </sheetViews>
  <sheetFormatPr defaultRowHeight="15"/>
  <sheetData>
    <row r="1" spans="1:17">
      <c r="A1" t="s">
        <v>389</v>
      </c>
      <c r="K1" t="s">
        <v>399</v>
      </c>
      <c r="P1" t="s">
        <v>402</v>
      </c>
      <c r="Q1" t="s">
        <v>2018</v>
      </c>
    </row>
    <row r="2" spans="1:17">
      <c r="A2" t="s">
        <v>390</v>
      </c>
      <c r="B2" t="s">
        <v>391</v>
      </c>
      <c r="C2" t="s">
        <v>392</v>
      </c>
      <c r="D2" t="s">
        <v>393</v>
      </c>
      <c r="E2" t="s">
        <v>394</v>
      </c>
      <c r="F2" t="s">
        <v>395</v>
      </c>
      <c r="G2" t="s">
        <v>396</v>
      </c>
      <c r="H2" t="s">
        <v>397</v>
      </c>
      <c r="I2" t="s">
        <v>398</v>
      </c>
      <c r="K2" t="s">
        <v>390</v>
      </c>
      <c r="L2" t="s">
        <v>400</v>
      </c>
      <c r="M2" t="s">
        <v>401</v>
      </c>
      <c r="N2" t="s">
        <v>185</v>
      </c>
      <c r="P2" t="s">
        <v>403</v>
      </c>
    </row>
    <row r="3" spans="1:17">
      <c r="A3" t="s">
        <v>2019</v>
      </c>
      <c r="B3" t="s">
        <v>2020</v>
      </c>
      <c r="C3">
        <v>1</v>
      </c>
      <c r="D3">
        <v>2020</v>
      </c>
      <c r="E3" t="s">
        <v>205</v>
      </c>
      <c r="F3" t="s">
        <v>1247</v>
      </c>
      <c r="I3">
        <v>357768.92</v>
      </c>
    </row>
    <row r="4" spans="1:17">
      <c r="A4" t="s">
        <v>2021</v>
      </c>
      <c r="B4" t="s">
        <v>2020</v>
      </c>
      <c r="C4">
        <v>2</v>
      </c>
      <c r="D4">
        <v>2020</v>
      </c>
      <c r="E4" t="s">
        <v>205</v>
      </c>
      <c r="F4" t="s">
        <v>1247</v>
      </c>
      <c r="I4">
        <v>327115.90999999997</v>
      </c>
    </row>
    <row r="5" spans="1:17">
      <c r="A5" t="s">
        <v>2022</v>
      </c>
      <c r="B5" t="s">
        <v>2020</v>
      </c>
      <c r="C5">
        <v>3</v>
      </c>
      <c r="D5">
        <v>2020</v>
      </c>
      <c r="E5" t="s">
        <v>205</v>
      </c>
      <c r="F5" t="s">
        <v>1247</v>
      </c>
      <c r="I5">
        <v>362769.88</v>
      </c>
    </row>
    <row r="6" spans="1:17">
      <c r="A6" t="s">
        <v>2023</v>
      </c>
      <c r="B6" t="s">
        <v>2020</v>
      </c>
      <c r="C6">
        <v>4</v>
      </c>
      <c r="D6">
        <v>2020</v>
      </c>
      <c r="E6" t="s">
        <v>205</v>
      </c>
      <c r="F6" t="s">
        <v>1247</v>
      </c>
      <c r="I6">
        <v>360659.3</v>
      </c>
    </row>
    <row r="7" spans="1:17">
      <c r="A7" t="s">
        <v>2024</v>
      </c>
      <c r="B7" t="s">
        <v>2020</v>
      </c>
      <c r="C7">
        <v>5</v>
      </c>
      <c r="D7">
        <v>2020</v>
      </c>
      <c r="E7" t="s">
        <v>205</v>
      </c>
      <c r="F7" t="s">
        <v>1247</v>
      </c>
      <c r="I7">
        <v>369734.79</v>
      </c>
    </row>
    <row r="8" spans="1:17">
      <c r="A8" t="s">
        <v>2025</v>
      </c>
      <c r="B8" t="s">
        <v>2020</v>
      </c>
      <c r="C8">
        <v>6</v>
      </c>
      <c r="D8">
        <v>2020</v>
      </c>
      <c r="E8" t="s">
        <v>205</v>
      </c>
      <c r="F8" t="s">
        <v>1247</v>
      </c>
      <c r="I8">
        <v>398726.38</v>
      </c>
    </row>
    <row r="9" spans="1:17">
      <c r="A9" t="s">
        <v>2026</v>
      </c>
      <c r="B9" t="s">
        <v>2020</v>
      </c>
      <c r="C9">
        <v>7</v>
      </c>
      <c r="D9">
        <v>2020</v>
      </c>
      <c r="E9" t="s">
        <v>205</v>
      </c>
      <c r="F9" t="s">
        <v>1247</v>
      </c>
      <c r="I9">
        <v>404178.93</v>
      </c>
    </row>
    <row r="10" spans="1:17">
      <c r="A10" t="s">
        <v>2027</v>
      </c>
      <c r="B10" t="s">
        <v>2020</v>
      </c>
      <c r="C10">
        <v>8</v>
      </c>
      <c r="D10">
        <v>2020</v>
      </c>
      <c r="E10" t="s">
        <v>205</v>
      </c>
      <c r="F10" t="s">
        <v>1247</v>
      </c>
      <c r="I10">
        <v>383216.75</v>
      </c>
    </row>
    <row r="11" spans="1:17">
      <c r="A11" t="s">
        <v>2028</v>
      </c>
      <c r="B11" t="s">
        <v>2020</v>
      </c>
      <c r="C11">
        <v>9</v>
      </c>
      <c r="D11">
        <v>2020</v>
      </c>
      <c r="E11" t="s">
        <v>205</v>
      </c>
      <c r="F11" t="s">
        <v>1247</v>
      </c>
      <c r="I11">
        <v>421315.83</v>
      </c>
    </row>
    <row r="12" spans="1:17">
      <c r="A12" t="s">
        <v>2029</v>
      </c>
      <c r="B12" t="s">
        <v>2020</v>
      </c>
      <c r="C12">
        <v>10</v>
      </c>
      <c r="D12">
        <v>2020</v>
      </c>
      <c r="E12" t="s">
        <v>205</v>
      </c>
      <c r="F12" t="s">
        <v>1247</v>
      </c>
      <c r="I12">
        <v>404927.56</v>
      </c>
    </row>
    <row r="13" spans="1:17">
      <c r="A13" t="s">
        <v>2030</v>
      </c>
      <c r="B13" t="s">
        <v>2020</v>
      </c>
      <c r="C13">
        <v>11</v>
      </c>
      <c r="D13">
        <v>2020</v>
      </c>
      <c r="E13" t="s">
        <v>205</v>
      </c>
      <c r="F13" t="s">
        <v>1247</v>
      </c>
      <c r="I13">
        <v>391861.15</v>
      </c>
    </row>
    <row r="14" spans="1:17">
      <c r="A14" t="s">
        <v>2031</v>
      </c>
      <c r="B14" t="s">
        <v>2020</v>
      </c>
      <c r="C14">
        <v>12</v>
      </c>
      <c r="D14">
        <v>2020</v>
      </c>
      <c r="E14" t="s">
        <v>205</v>
      </c>
      <c r="F14" t="s">
        <v>1247</v>
      </c>
      <c r="I14">
        <v>352431.99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F7"/>
  <sheetViews>
    <sheetView view="pageBreakPreview" zoomScale="60" zoomScaleNormal="100" workbookViewId="0">
      <selection activeCell="AL35" sqref="AL35"/>
    </sheetView>
  </sheetViews>
  <sheetFormatPr defaultColWidth="9.140625" defaultRowHeight="15"/>
  <cols>
    <col min="1" max="1" width="30.140625" style="249" bestFit="1" customWidth="1"/>
    <col min="2" max="2" width="11.7109375" style="249" customWidth="1"/>
    <col min="3" max="3" width="13.5703125" style="249" bestFit="1" customWidth="1"/>
    <col min="4" max="4" width="8.5703125" style="249" bestFit="1" customWidth="1"/>
    <col min="5" max="5" width="7.85546875" style="249" customWidth="1"/>
    <col min="6" max="6" width="8.7109375" style="249" bestFit="1" customWidth="1"/>
    <col min="7" max="13" width="5" style="249" customWidth="1"/>
    <col min="14" max="14" width="4" style="249" customWidth="1"/>
    <col min="15" max="21" width="5" style="249" customWidth="1"/>
    <col min="22" max="22" width="4" style="249" customWidth="1"/>
    <col min="23" max="28" width="5" style="249" customWidth="1"/>
    <col min="29" max="29" width="4" style="249" customWidth="1"/>
    <col min="30" max="36" width="5" style="249" customWidth="1"/>
    <col min="37" max="37" width="4" style="249" customWidth="1"/>
    <col min="38" max="45" width="5" style="249" customWidth="1"/>
    <col min="46" max="46" width="4" style="249" customWidth="1"/>
    <col min="47" max="55" width="5" style="249" customWidth="1"/>
    <col min="56" max="56" width="4" style="249" customWidth="1"/>
    <col min="57" max="63" width="5" style="249" customWidth="1"/>
    <col min="64" max="64" width="2" style="249" customWidth="1"/>
    <col min="65" max="70" width="5" style="249" customWidth="1"/>
    <col min="71" max="71" width="4" style="249" customWidth="1"/>
    <col min="72" max="78" width="5" style="249" customWidth="1"/>
    <col min="79" max="79" width="4" style="249" customWidth="1"/>
    <col min="80" max="87" width="5" style="249" customWidth="1"/>
    <col min="88" max="88" width="4" style="249" customWidth="1"/>
    <col min="89" max="96" width="5" style="249" customWidth="1"/>
    <col min="97" max="97" width="4" style="249" customWidth="1"/>
    <col min="98" max="105" width="5" style="249" customWidth="1"/>
    <col min="106" max="106" width="4" style="249" customWidth="1"/>
    <col min="107" max="114" width="5" style="249" customWidth="1"/>
    <col min="115" max="115" width="4" style="249" customWidth="1"/>
    <col min="116" max="123" width="5" style="249" customWidth="1"/>
    <col min="124" max="124" width="4" style="249" customWidth="1"/>
    <col min="125" max="133" width="5" style="249" customWidth="1"/>
    <col min="134" max="134" width="4" style="249" customWidth="1"/>
    <col min="135" max="143" width="5" style="249" customWidth="1"/>
    <col min="144" max="144" width="4" style="249" customWidth="1"/>
    <col min="145" max="153" width="5" style="249" customWidth="1"/>
    <col min="154" max="154" width="2" style="249" customWidth="1"/>
    <col min="155" max="162" width="5" style="249" customWidth="1"/>
    <col min="163" max="163" width="4" style="249" customWidth="1"/>
    <col min="164" max="172" width="5" style="249" customWidth="1"/>
    <col min="173" max="173" width="4" style="249" customWidth="1"/>
    <col min="174" max="182" width="5" style="249" customWidth="1"/>
    <col min="183" max="183" width="4" style="249" customWidth="1"/>
    <col min="184" max="192" width="5" style="249" customWidth="1"/>
    <col min="193" max="193" width="4" style="249" customWidth="1"/>
    <col min="194" max="202" width="5" style="249" customWidth="1"/>
    <col min="203" max="203" width="4" style="249" customWidth="1"/>
    <col min="204" max="212" width="5" style="249" customWidth="1"/>
    <col min="213" max="213" width="4" style="249" customWidth="1"/>
    <col min="214" max="221" width="5" style="249" customWidth="1"/>
    <col min="222" max="222" width="4" style="249" customWidth="1"/>
    <col min="223" max="231" width="5" style="249" customWidth="1"/>
    <col min="232" max="232" width="4" style="249" customWidth="1"/>
    <col min="233" max="241" width="5" style="249" customWidth="1"/>
    <col min="242" max="242" width="4" style="249" customWidth="1"/>
    <col min="243" max="251" width="5" style="249" customWidth="1"/>
    <col min="252" max="252" width="2" style="249" customWidth="1"/>
    <col min="253" max="260" width="5" style="249" customWidth="1"/>
    <col min="261" max="261" width="4" style="249" customWidth="1"/>
    <col min="262" max="286" width="5" style="249" customWidth="1"/>
    <col min="287" max="287" width="4" style="249" customWidth="1"/>
    <col min="288" max="295" width="5" style="249" customWidth="1"/>
    <col min="296" max="296" width="4" style="249" customWidth="1"/>
    <col min="297" max="305" width="5" style="249" customWidth="1"/>
    <col min="306" max="306" width="4" style="249" customWidth="1"/>
    <col min="307" max="315" width="5" style="249" customWidth="1"/>
    <col min="316" max="316" width="4" style="249" customWidth="1"/>
    <col min="317" max="324" width="5" style="249" customWidth="1"/>
    <col min="325" max="325" width="4" style="249" customWidth="1"/>
    <col min="326" max="334" width="5" style="249" customWidth="1"/>
    <col min="335" max="335" width="4" style="249" customWidth="1"/>
    <col min="336" max="343" width="5" style="249" customWidth="1"/>
    <col min="344" max="344" width="2" style="249" customWidth="1"/>
    <col min="345" max="353" width="5" style="249" customWidth="1"/>
    <col min="354" max="354" width="4" style="249" customWidth="1"/>
    <col min="355" max="362" width="5" style="249" customWidth="1"/>
    <col min="363" max="363" width="4" style="249" customWidth="1"/>
    <col min="364" max="381" width="5" style="249" customWidth="1"/>
    <col min="382" max="382" width="4" style="249" customWidth="1"/>
    <col min="383" max="390" width="5" style="249" customWidth="1"/>
    <col min="391" max="391" width="4" style="249" customWidth="1"/>
    <col min="392" max="400" width="5" style="249" customWidth="1"/>
    <col min="401" max="401" width="4" style="249" customWidth="1"/>
    <col min="402" max="410" width="5" style="249" customWidth="1"/>
    <col min="411" max="411" width="4" style="249" customWidth="1"/>
    <col min="412" max="424" width="5" style="249" customWidth="1"/>
    <col min="425" max="425" width="4" style="249" customWidth="1"/>
    <col min="426" max="432" width="5" style="249" customWidth="1"/>
    <col min="433" max="433" width="2" style="249" customWidth="1"/>
    <col min="434" max="441" width="5" style="249" customWidth="1"/>
    <col min="442" max="442" width="4" style="249" customWidth="1"/>
    <col min="443" max="453" width="5" style="249" customWidth="1"/>
    <col min="454" max="454" width="4" style="249" customWidth="1"/>
    <col min="455" max="462" width="5" style="249" customWidth="1"/>
    <col min="463" max="463" width="4" style="249" customWidth="1"/>
    <col min="464" max="469" width="5" style="249" customWidth="1"/>
    <col min="470" max="470" width="4" style="249" customWidth="1"/>
    <col min="471" max="494" width="5" style="249" customWidth="1"/>
    <col min="495" max="495" width="4" style="249" customWidth="1"/>
    <col min="496" max="500" width="5" style="249" customWidth="1"/>
    <col min="501" max="501" width="4" style="249" customWidth="1"/>
    <col min="502" max="510" width="5" style="249" customWidth="1"/>
    <col min="511" max="511" width="7.28515625" style="249" customWidth="1"/>
    <col min="512" max="512" width="11.28515625" style="249" bestFit="1" customWidth="1"/>
    <col min="513" max="16384" width="9.140625" style="249"/>
  </cols>
  <sheetData>
    <row r="1" spans="1:6">
      <c r="A1" s="249" t="s">
        <v>739</v>
      </c>
      <c r="B1" s="249" t="s">
        <v>1411</v>
      </c>
      <c r="C1" s="787" t="s">
        <v>1412</v>
      </c>
      <c r="E1" s="249" t="s">
        <v>1273</v>
      </c>
      <c r="F1" s="249" t="s">
        <v>231</v>
      </c>
    </row>
    <row r="2" spans="1:6">
      <c r="A2" s="302" t="s">
        <v>1413</v>
      </c>
      <c r="B2" s="283">
        <v>2740.0530000000012</v>
      </c>
      <c r="C2" s="468">
        <v>2740.0530000000012</v>
      </c>
      <c r="D2" s="607">
        <f>+C2/$C$6</f>
        <v>0.77164311464057478</v>
      </c>
      <c r="F2" s="789">
        <f>+D2</f>
        <v>0.77164311464057478</v>
      </c>
    </row>
    <row r="3" spans="1:6">
      <c r="A3" s="302" t="s">
        <v>1414</v>
      </c>
      <c r="B3" s="283">
        <v>307.18999999999988</v>
      </c>
      <c r="C3" s="468">
        <v>307.18999999999988</v>
      </c>
      <c r="D3" s="607">
        <f>+C3/$C$6</f>
        <v>8.650965816589605E-2</v>
      </c>
      <c r="F3" s="789">
        <f>+D3</f>
        <v>8.650965816589605E-2</v>
      </c>
    </row>
    <row r="4" spans="1:6">
      <c r="A4" s="302" t="s">
        <v>1415</v>
      </c>
      <c r="B4" s="283">
        <v>496.73000000000013</v>
      </c>
      <c r="C4" s="468">
        <v>496.73000000000013</v>
      </c>
      <c r="D4" s="607">
        <f>+C4/$C$6</f>
        <v>0.13988717894705419</v>
      </c>
      <c r="E4" s="876">
        <f>+D4</f>
        <v>0.13988717894705419</v>
      </c>
      <c r="F4" s="789"/>
    </row>
    <row r="5" spans="1:6">
      <c r="A5" s="302" t="s">
        <v>2407</v>
      </c>
      <c r="B5" s="283">
        <v>6.9600000000000009</v>
      </c>
      <c r="C5" s="468">
        <v>6.9600000000000009</v>
      </c>
      <c r="D5" s="470">
        <f>+C5/$C$6</f>
        <v>1.9600482464749401E-3</v>
      </c>
      <c r="E5" s="789"/>
      <c r="F5" s="789">
        <f>+D5</f>
        <v>1.9600482464749401E-3</v>
      </c>
    </row>
    <row r="6" spans="1:6">
      <c r="A6" s="302" t="s">
        <v>2406</v>
      </c>
      <c r="B6" s="283"/>
      <c r="C6" s="608">
        <f>SUM(C2:C5)</f>
        <v>3550.9330000000014</v>
      </c>
      <c r="D6" s="609">
        <f>+SUM(D2:D5)</f>
        <v>0.99999999999999989</v>
      </c>
      <c r="E6" s="609">
        <f>+SUM(E2:E5)</f>
        <v>0.13988717894705419</v>
      </c>
      <c r="F6" s="609">
        <f>+SUM(F2:F5)</f>
        <v>0.86011282105294573</v>
      </c>
    </row>
    <row r="7" spans="1:6">
      <c r="A7" s="302" t="s">
        <v>742</v>
      </c>
      <c r="B7" s="283">
        <v>3550.9330000000014</v>
      </c>
    </row>
  </sheetData>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7" tint="0.59999389629810485"/>
    <pageSetUpPr fitToPage="1"/>
  </sheetPr>
  <dimension ref="A1:Y237"/>
  <sheetViews>
    <sheetView showGridLines="0" view="pageBreakPreview" topLeftCell="I1" zoomScale="60" zoomScaleNormal="75" workbookViewId="0">
      <selection activeCell="J16" sqref="J16:V233"/>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0</v>
      </c>
      <c r="E1" s="1" t="s">
        <v>1</v>
      </c>
      <c r="F1" s="2"/>
      <c r="G1" s="3"/>
      <c r="J1" s="1" t="s">
        <v>13</v>
      </c>
      <c r="L1" s="1" t="s">
        <v>743</v>
      </c>
      <c r="N1" s="1" t="s">
        <v>744</v>
      </c>
      <c r="R1" s="339" t="s">
        <v>11</v>
      </c>
      <c r="S1" s="339" t="s">
        <v>12</v>
      </c>
    </row>
    <row r="2" spans="1:25" s="236" customFormat="1" outlineLevel="1">
      <c r="A2" s="340"/>
      <c r="B2" s="341"/>
      <c r="C2" s="342"/>
      <c r="D2" s="343"/>
      <c r="E2" s="343"/>
      <c r="F2" s="344"/>
      <c r="G2" s="344"/>
      <c r="H2" s="340"/>
      <c r="I2" s="340"/>
      <c r="J2" s="345">
        <v>0</v>
      </c>
      <c r="K2" s="340"/>
      <c r="L2" s="345">
        <v>0</v>
      </c>
      <c r="M2" s="340"/>
      <c r="N2" s="346">
        <v>0</v>
      </c>
      <c r="O2" s="340"/>
      <c r="P2" s="345">
        <f>J2+L2+N2</f>
        <v>0</v>
      </c>
      <c r="Q2" s="340"/>
      <c r="R2" s="345">
        <v>0</v>
      </c>
      <c r="S2" s="345">
        <v>0</v>
      </c>
      <c r="T2" s="345">
        <f>P2</f>
        <v>0</v>
      </c>
      <c r="U2" s="340"/>
      <c r="V2" s="346">
        <f>T2-S2</f>
        <v>0</v>
      </c>
      <c r="W2" s="340"/>
      <c r="X2" s="340"/>
    </row>
    <row r="3" spans="1:25">
      <c r="G3" s="3"/>
      <c r="J3" s="1" t="str">
        <f>D9</f>
        <v>2021-03</v>
      </c>
      <c r="L3" s="1" t="str">
        <f>D9</f>
        <v>2021-03</v>
      </c>
      <c r="N3" s="1" t="str">
        <f>YearMonth</f>
        <v>2021-03</v>
      </c>
      <c r="P3" s="1" t="str">
        <f>D9</f>
        <v>2021-03</v>
      </c>
      <c r="R3" s="1" t="str">
        <f>IFERROR(TEXT(EDATE($B$7,MID(LEFT(R1,FIND(")",R1)-1),FIND("(",R1)+1,LEN(R1))),"yyyy-mm"),"")</f>
        <v>2021-01</v>
      </c>
      <c r="S3" s="1" t="str">
        <f>IFERROR(TEXT(EDATE($B$7,MID(LEFT(S1,FIND(")",S1)-1),FIND("(",S1)+1,LEN(S1))),"yyyy-mm"),"")</f>
        <v>2021-02</v>
      </c>
      <c r="T3" s="1" t="str">
        <f>D9</f>
        <v>2021-03</v>
      </c>
    </row>
    <row r="4" spans="1:25">
      <c r="A4" s="1" t="str">
        <f>_xll.jBinder("MarkerCell")</f>
        <v>jBinderOption{MarkerCell}: This cell will be used to note the tab was created from the binder.</v>
      </c>
      <c r="B4" s="1" t="str">
        <f ca="1">_xll.ReportVariable("FinCube",B11:B237,A1:Y1,A2:Y2,_xll.Param("BS"&amp;IF(ExcludeIC=TRUE,",!Eliminated",""),District,System,SubSystem,,,"*",,RIGHT(YearMonth,2),LEFT(YearMonth,4),,,1,,FALSE))</f>
        <v>OK!: ReportVariable Formula OK [jAction{}]</v>
      </c>
      <c r="G4" s="3"/>
      <c r="J4" s="1" t="s">
        <v>745</v>
      </c>
      <c r="L4" s="1" t="s">
        <v>746</v>
      </c>
      <c r="N4" s="1" t="s">
        <v>744</v>
      </c>
      <c r="P4" s="1" t="s">
        <v>683</v>
      </c>
      <c r="R4" s="1" t="s">
        <v>683</v>
      </c>
      <c r="S4" s="1" t="s">
        <v>683</v>
      </c>
      <c r="T4" s="1" t="s">
        <v>683</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14" customFormat="1" ht="15.75">
      <c r="A7" s="1" t="str">
        <f ca="1">_xll.jBinder("Dist",District)</f>
        <v>jBinderOption{Dist||N7}: "Dist" can iterate on cell "N7"</v>
      </c>
      <c r="B7" s="347">
        <f>DATEVALUE(RIGHT(YearMonth,2)&amp;"/1/"&amp;LEFT(YearMonth,4))</f>
        <v>44256</v>
      </c>
      <c r="C7" s="1"/>
      <c r="D7" s="13" t="s">
        <v>1110</v>
      </c>
      <c r="L7" s="15" t="s">
        <v>15</v>
      </c>
      <c r="N7" s="17">
        <v>2195</v>
      </c>
      <c r="T7" s="15" t="s">
        <v>18</v>
      </c>
      <c r="V7" s="16" t="s">
        <v>17</v>
      </c>
      <c r="X7" s="348"/>
    </row>
    <row r="8" spans="1:25" s="14" customFormat="1" ht="15.75">
      <c r="A8" s="14" t="str">
        <f>_xll.jBinder("TabSuffix","_BS")</f>
        <v>jBinderOption{TabSuffix|_BS}: Option "TabSuffix" has value "_BS"</v>
      </c>
      <c r="B8" s="349"/>
      <c r="C8" s="349"/>
      <c r="D8" s="13" t="s">
        <v>1111</v>
      </c>
      <c r="L8" s="15" t="s">
        <v>16</v>
      </c>
      <c r="M8" s="350"/>
      <c r="N8" s="17"/>
      <c r="T8" s="15" t="s">
        <v>747</v>
      </c>
      <c r="V8" s="351" t="s">
        <v>17</v>
      </c>
    </row>
    <row r="9" spans="1:25" s="14" customFormat="1" ht="15.75">
      <c r="B9" s="349"/>
      <c r="C9" s="349"/>
      <c r="D9" s="20" t="s">
        <v>2046</v>
      </c>
      <c r="J9" s="352" t="s">
        <v>748</v>
      </c>
      <c r="K9" s="353"/>
      <c r="L9" s="352" t="s">
        <v>748</v>
      </c>
      <c r="M9" s="353"/>
      <c r="N9" s="352" t="s">
        <v>748</v>
      </c>
      <c r="O9" s="353"/>
      <c r="P9" s="352" t="s">
        <v>748</v>
      </c>
      <c r="Q9" s="353"/>
      <c r="R9" s="352" t="s">
        <v>748</v>
      </c>
      <c r="S9" s="352" t="s">
        <v>748</v>
      </c>
      <c r="T9" s="352" t="s">
        <v>748</v>
      </c>
    </row>
    <row r="10" spans="1:25" s="14" customFormat="1" ht="15.75">
      <c r="B10" s="342"/>
      <c r="C10" s="342"/>
      <c r="D10" s="54" t="str">
        <f>IF(ISERROR($B$7),"The date cell in D9  must be in YYYY-MM format","")</f>
        <v/>
      </c>
      <c r="E10" s="354"/>
      <c r="F10" s="354"/>
      <c r="G10" s="354"/>
      <c r="H10" s="354"/>
      <c r="I10" s="354"/>
      <c r="J10" s="355" t="s">
        <v>749</v>
      </c>
      <c r="K10" s="355"/>
      <c r="L10" s="355"/>
      <c r="M10" s="355"/>
      <c r="N10" s="355"/>
      <c r="O10" s="355"/>
      <c r="P10" s="355"/>
      <c r="Q10" s="354"/>
      <c r="R10" s="355" t="s">
        <v>750</v>
      </c>
      <c r="S10" s="355"/>
      <c r="T10" s="355"/>
      <c r="U10" s="354"/>
      <c r="V10" s="354"/>
      <c r="W10" s="354"/>
      <c r="X10" s="354"/>
      <c r="Y10" s="354"/>
    </row>
    <row r="11" spans="1:25" s="23" customFormat="1">
      <c r="B11" s="342"/>
      <c r="C11" s="342"/>
      <c r="D11" s="354"/>
      <c r="E11" s="354"/>
      <c r="F11" s="354"/>
      <c r="G11" s="354"/>
      <c r="H11" s="354"/>
      <c r="I11" s="354"/>
      <c r="J11" s="354"/>
      <c r="K11" s="354"/>
      <c r="L11" s="354"/>
      <c r="M11" s="354"/>
      <c r="N11" s="354"/>
      <c r="O11" s="354"/>
      <c r="P11" s="354"/>
      <c r="Q11" s="354"/>
      <c r="R11" s="354"/>
      <c r="S11" s="354"/>
      <c r="T11" s="356"/>
      <c r="U11" s="354"/>
      <c r="V11" s="354"/>
      <c r="W11" s="354"/>
      <c r="X11" s="354"/>
      <c r="Y11" s="354"/>
    </row>
    <row r="12" spans="1:25" s="23" customFormat="1">
      <c r="B12" s="342"/>
      <c r="C12" s="342"/>
      <c r="D12" s="354"/>
      <c r="E12" s="354"/>
      <c r="F12" s="354"/>
      <c r="G12" s="354"/>
      <c r="H12" s="354"/>
      <c r="I12" s="354"/>
      <c r="J12" s="354"/>
      <c r="K12" s="354"/>
      <c r="L12" s="357" t="s">
        <v>751</v>
      </c>
      <c r="M12" s="358"/>
      <c r="N12" s="357"/>
      <c r="O12" s="354"/>
      <c r="P12" s="359"/>
      <c r="Q12" s="354"/>
      <c r="R12" s="360"/>
      <c r="S12" s="360"/>
      <c r="T12" s="361" t="s">
        <v>20</v>
      </c>
      <c r="U12" s="354"/>
      <c r="V12" s="362" t="s">
        <v>752</v>
      </c>
      <c r="W12" s="354"/>
      <c r="X12" s="354"/>
      <c r="Y12" s="354"/>
    </row>
    <row r="13" spans="1:25" s="23" customFormat="1" ht="13.5" thickBot="1">
      <c r="B13" s="342"/>
      <c r="C13" s="342"/>
      <c r="D13" s="354"/>
      <c r="E13" s="354"/>
      <c r="F13" s="354"/>
      <c r="G13" s="354"/>
      <c r="H13" s="354"/>
      <c r="I13" s="354"/>
      <c r="J13" s="363" t="s">
        <v>745</v>
      </c>
      <c r="K13" s="354"/>
      <c r="L13" s="363" t="s">
        <v>746</v>
      </c>
      <c r="M13" s="354"/>
      <c r="N13" s="364" t="s">
        <v>744</v>
      </c>
      <c r="O13" s="354"/>
      <c r="P13" s="363" t="s">
        <v>20</v>
      </c>
      <c r="Q13" s="354"/>
      <c r="R13" s="365">
        <f>IFERROR(EDATE(S13,-1),"")</f>
        <v>44197</v>
      </c>
      <c r="S13" s="365">
        <f>IFERROR(EDATE(T13,-1),"")</f>
        <v>44228</v>
      </c>
      <c r="T13" s="365">
        <f>$B$7</f>
        <v>44256</v>
      </c>
      <c r="U13" s="354"/>
      <c r="V13" s="364" t="s">
        <v>753</v>
      </c>
      <c r="W13" s="354"/>
      <c r="X13" s="354"/>
      <c r="Y13" s="354"/>
    </row>
    <row r="14" spans="1:25" s="23" customFormat="1" ht="5.25" customHeight="1">
      <c r="B14" s="342"/>
      <c r="C14" s="342"/>
      <c r="D14" s="354"/>
      <c r="E14" s="354"/>
      <c r="F14" s="366"/>
      <c r="G14" s="354"/>
      <c r="H14" s="354"/>
      <c r="I14" s="354"/>
      <c r="J14" s="352"/>
      <c r="K14" s="354"/>
      <c r="L14" s="352"/>
      <c r="M14" s="354"/>
      <c r="N14" s="352"/>
      <c r="O14" s="354"/>
      <c r="P14" s="352"/>
      <c r="Q14" s="354"/>
      <c r="R14" s="352"/>
      <c r="S14" s="352"/>
      <c r="T14" s="352"/>
      <c r="U14" s="354"/>
      <c r="V14" s="352"/>
      <c r="W14" s="354"/>
      <c r="X14" s="354"/>
      <c r="Y14" s="354"/>
    </row>
    <row r="15" spans="1:25" s="236" customFormat="1" ht="4.5" customHeight="1" thickBot="1">
      <c r="B15" s="342"/>
      <c r="C15" s="342"/>
      <c r="D15" s="340"/>
      <c r="E15" s="340"/>
      <c r="F15" s="340"/>
      <c r="G15" s="340"/>
      <c r="H15" s="340"/>
      <c r="I15" s="340"/>
      <c r="J15" s="340"/>
      <c r="K15" s="340"/>
      <c r="L15" s="340"/>
      <c r="M15" s="340"/>
      <c r="N15" s="340"/>
      <c r="O15" s="340"/>
      <c r="P15" s="340"/>
      <c r="Q15" s="354"/>
      <c r="R15" s="340"/>
      <c r="S15" s="340"/>
      <c r="T15" s="340"/>
      <c r="U15" s="340"/>
      <c r="V15" s="340"/>
      <c r="W15" s="340"/>
      <c r="X15" s="340"/>
      <c r="Y15" s="340"/>
    </row>
    <row r="16" spans="1:25" s="236" customFormat="1" ht="13.5" outlineLevel="1" thickTop="1">
      <c r="A16" s="340"/>
      <c r="B16" s="341" t="s">
        <v>754</v>
      </c>
      <c r="C16" s="342"/>
      <c r="D16" s="343">
        <v>10050</v>
      </c>
      <c r="E16" s="343" t="s">
        <v>2048</v>
      </c>
      <c r="F16" s="344"/>
      <c r="G16" s="344"/>
      <c r="H16" s="340"/>
      <c r="I16" s="340"/>
      <c r="J16" s="1626">
        <v>-1789.93</v>
      </c>
      <c r="K16" s="1627"/>
      <c r="L16" s="1628">
        <v>0</v>
      </c>
      <c r="M16" s="1627"/>
      <c r="N16" s="1628">
        <v>0</v>
      </c>
      <c r="O16" s="1627"/>
      <c r="P16" s="1628">
        <f t="shared" ref="P16:P27" si="0">J16+L16+N16</f>
        <v>-1789.93</v>
      </c>
      <c r="Q16" s="1627"/>
      <c r="R16" s="1628">
        <v>-1775.83</v>
      </c>
      <c r="S16" s="1628">
        <v>-1775.83</v>
      </c>
      <c r="T16" s="1628">
        <f t="shared" ref="T16:T27" si="1">P16</f>
        <v>-1789.93</v>
      </c>
      <c r="U16" s="1627"/>
      <c r="V16" s="1629">
        <f t="shared" ref="V16:V27" si="2">T16-S16</f>
        <v>-14.100000000000136</v>
      </c>
      <c r="W16" s="340"/>
      <c r="X16" s="340"/>
    </row>
    <row r="17" spans="1:25" s="236" customFormat="1" outlineLevel="1">
      <c r="A17" s="340"/>
      <c r="B17" s="341" t="s">
        <v>24</v>
      </c>
      <c r="C17" s="342"/>
      <c r="D17" s="343">
        <v>10051</v>
      </c>
      <c r="E17" s="343" t="s">
        <v>755</v>
      </c>
      <c r="F17" s="344"/>
      <c r="G17" s="344"/>
      <c r="H17" s="340"/>
      <c r="I17" s="340"/>
      <c r="J17" s="1630">
        <v>900</v>
      </c>
      <c r="K17" s="1631"/>
      <c r="L17" s="1632">
        <v>0</v>
      </c>
      <c r="M17" s="1631"/>
      <c r="N17" s="1632">
        <v>0</v>
      </c>
      <c r="O17" s="1631"/>
      <c r="P17" s="1632">
        <f t="shared" si="0"/>
        <v>900</v>
      </c>
      <c r="Q17" s="1631"/>
      <c r="R17" s="1632">
        <v>900</v>
      </c>
      <c r="S17" s="1632">
        <v>900</v>
      </c>
      <c r="T17" s="1632">
        <f t="shared" si="1"/>
        <v>900</v>
      </c>
      <c r="U17" s="1631"/>
      <c r="V17" s="1633">
        <f t="shared" si="2"/>
        <v>0</v>
      </c>
      <c r="W17" s="340"/>
      <c r="X17" s="340"/>
    </row>
    <row r="18" spans="1:25" s="236" customFormat="1" outlineLevel="1">
      <c r="A18" s="340"/>
      <c r="B18" s="341" t="s">
        <v>24</v>
      </c>
      <c r="C18" s="342"/>
      <c r="D18" s="343">
        <v>10070</v>
      </c>
      <c r="E18" s="343" t="s">
        <v>756</v>
      </c>
      <c r="F18" s="344"/>
      <c r="G18" s="344"/>
      <c r="H18" s="340"/>
      <c r="I18" s="340"/>
      <c r="J18" s="1630">
        <v>-129875.29</v>
      </c>
      <c r="K18" s="1631"/>
      <c r="L18" s="1632">
        <v>0</v>
      </c>
      <c r="M18" s="1631"/>
      <c r="N18" s="1632">
        <v>0</v>
      </c>
      <c r="O18" s="1631"/>
      <c r="P18" s="1632">
        <f t="shared" si="0"/>
        <v>-129875.29</v>
      </c>
      <c r="Q18" s="1631"/>
      <c r="R18" s="1632">
        <v>-129875.29</v>
      </c>
      <c r="S18" s="1632">
        <v>-129875.29</v>
      </c>
      <c r="T18" s="1632">
        <f t="shared" si="1"/>
        <v>-129875.29</v>
      </c>
      <c r="U18" s="1631"/>
      <c r="V18" s="1633">
        <f t="shared" si="2"/>
        <v>0</v>
      </c>
      <c r="W18" s="340"/>
      <c r="X18" s="340"/>
    </row>
    <row r="19" spans="1:25" s="236" customFormat="1" outlineLevel="1">
      <c r="A19" s="340"/>
      <c r="B19" s="341" t="s">
        <v>24</v>
      </c>
      <c r="C19" s="342"/>
      <c r="D19" s="343">
        <v>10071</v>
      </c>
      <c r="E19" s="343" t="s">
        <v>757</v>
      </c>
      <c r="F19" s="344"/>
      <c r="G19" s="344"/>
      <c r="H19" s="340"/>
      <c r="I19" s="340"/>
      <c r="J19" s="1630">
        <v>129875.29</v>
      </c>
      <c r="K19" s="1631"/>
      <c r="L19" s="1632">
        <v>0</v>
      </c>
      <c r="M19" s="1631"/>
      <c r="N19" s="1632">
        <v>0</v>
      </c>
      <c r="O19" s="1631"/>
      <c r="P19" s="1632">
        <f t="shared" si="0"/>
        <v>129875.29</v>
      </c>
      <c r="Q19" s="1631"/>
      <c r="R19" s="1632">
        <v>129875.29</v>
      </c>
      <c r="S19" s="1632">
        <v>129875.29</v>
      </c>
      <c r="T19" s="1632">
        <f t="shared" si="1"/>
        <v>129875.29</v>
      </c>
      <c r="U19" s="1631"/>
      <c r="V19" s="1633">
        <f t="shared" si="2"/>
        <v>0</v>
      </c>
      <c r="W19" s="340"/>
      <c r="X19" s="340"/>
    </row>
    <row r="20" spans="1:25" s="236" customFormat="1" outlineLevel="1">
      <c r="A20" s="340"/>
      <c r="B20" s="341" t="s">
        <v>24</v>
      </c>
      <c r="C20" s="342"/>
      <c r="D20" s="343">
        <v>10091</v>
      </c>
      <c r="E20" s="343" t="s">
        <v>758</v>
      </c>
      <c r="F20" s="344"/>
      <c r="G20" s="344"/>
      <c r="H20" s="340"/>
      <c r="I20" s="340"/>
      <c r="J20" s="1630">
        <v>0</v>
      </c>
      <c r="K20" s="1631"/>
      <c r="L20" s="1632">
        <v>0</v>
      </c>
      <c r="M20" s="1631"/>
      <c r="N20" s="1632">
        <v>0</v>
      </c>
      <c r="O20" s="1631"/>
      <c r="P20" s="1632">
        <f t="shared" si="0"/>
        <v>0</v>
      </c>
      <c r="Q20" s="1631"/>
      <c r="R20" s="1632">
        <v>162.52000000000001</v>
      </c>
      <c r="S20" s="1632">
        <v>162.52000000000001</v>
      </c>
      <c r="T20" s="1632">
        <f t="shared" si="1"/>
        <v>0</v>
      </c>
      <c r="U20" s="1631"/>
      <c r="V20" s="1633">
        <f t="shared" si="2"/>
        <v>-162.52000000000001</v>
      </c>
      <c r="W20" s="340"/>
      <c r="X20" s="340"/>
    </row>
    <row r="21" spans="1:25" s="236" customFormat="1" outlineLevel="1">
      <c r="A21" s="340"/>
      <c r="B21" s="341" t="s">
        <v>24</v>
      </c>
      <c r="C21" s="342"/>
      <c r="D21" s="343">
        <v>10092</v>
      </c>
      <c r="E21" s="343" t="s">
        <v>759</v>
      </c>
      <c r="F21" s="344"/>
      <c r="G21" s="344"/>
      <c r="H21" s="340"/>
      <c r="I21" s="340"/>
      <c r="J21" s="1630">
        <v>0</v>
      </c>
      <c r="K21" s="1631"/>
      <c r="L21" s="1632">
        <v>0</v>
      </c>
      <c r="M21" s="1631"/>
      <c r="N21" s="1632">
        <v>0</v>
      </c>
      <c r="O21" s="1631"/>
      <c r="P21" s="1632">
        <f t="shared" si="0"/>
        <v>0</v>
      </c>
      <c r="Q21" s="1631"/>
      <c r="R21" s="1632">
        <v>25.5</v>
      </c>
      <c r="S21" s="1632">
        <v>25.5</v>
      </c>
      <c r="T21" s="1632">
        <f t="shared" si="1"/>
        <v>0</v>
      </c>
      <c r="U21" s="1631"/>
      <c r="V21" s="1633">
        <f t="shared" si="2"/>
        <v>-25.5</v>
      </c>
      <c r="W21" s="340"/>
      <c r="X21" s="340"/>
    </row>
    <row r="22" spans="1:25" s="236" customFormat="1" outlineLevel="1">
      <c r="A22" s="340"/>
      <c r="B22" s="341" t="s">
        <v>24</v>
      </c>
      <c r="C22" s="342"/>
      <c r="D22" s="343">
        <v>10093</v>
      </c>
      <c r="E22" s="343" t="s">
        <v>760</v>
      </c>
      <c r="F22" s="344"/>
      <c r="G22" s="344"/>
      <c r="H22" s="340"/>
      <c r="I22" s="340"/>
      <c r="J22" s="1630">
        <v>70</v>
      </c>
      <c r="K22" s="1631"/>
      <c r="L22" s="1632">
        <v>0</v>
      </c>
      <c r="M22" s="1631"/>
      <c r="N22" s="1632">
        <v>0</v>
      </c>
      <c r="O22" s="1631"/>
      <c r="P22" s="1632">
        <f t="shared" si="0"/>
        <v>70</v>
      </c>
      <c r="Q22" s="1631"/>
      <c r="R22" s="1632">
        <v>0</v>
      </c>
      <c r="S22" s="1632">
        <v>0</v>
      </c>
      <c r="T22" s="1632">
        <f t="shared" si="1"/>
        <v>70</v>
      </c>
      <c r="U22" s="1631"/>
      <c r="V22" s="1633">
        <f t="shared" si="2"/>
        <v>70</v>
      </c>
      <c r="W22" s="340"/>
      <c r="X22" s="340"/>
    </row>
    <row r="23" spans="1:25" s="236" customFormat="1" outlineLevel="1">
      <c r="A23" s="340"/>
      <c r="B23" s="341" t="s">
        <v>24</v>
      </c>
      <c r="C23" s="342"/>
      <c r="D23" s="343">
        <v>10095</v>
      </c>
      <c r="E23" s="343" t="s">
        <v>761</v>
      </c>
      <c r="F23" s="344"/>
      <c r="G23" s="344"/>
      <c r="H23" s="340"/>
      <c r="I23" s="340"/>
      <c r="J23" s="1630">
        <v>0</v>
      </c>
      <c r="K23" s="1631"/>
      <c r="L23" s="1632">
        <v>0</v>
      </c>
      <c r="M23" s="1631"/>
      <c r="N23" s="1632">
        <v>0</v>
      </c>
      <c r="O23" s="1631"/>
      <c r="P23" s="1632">
        <f t="shared" si="0"/>
        <v>0</v>
      </c>
      <c r="Q23" s="1631"/>
      <c r="R23" s="1632">
        <v>0</v>
      </c>
      <c r="S23" s="1632">
        <v>0</v>
      </c>
      <c r="T23" s="1632">
        <f t="shared" si="1"/>
        <v>0</v>
      </c>
      <c r="U23" s="1631"/>
      <c r="V23" s="1633">
        <f t="shared" si="2"/>
        <v>0</v>
      </c>
      <c r="W23" s="340"/>
      <c r="X23" s="340"/>
    </row>
    <row r="24" spans="1:25" s="236" customFormat="1" outlineLevel="1">
      <c r="A24" s="340"/>
      <c r="B24" s="341" t="s">
        <v>24</v>
      </c>
      <c r="C24" s="342"/>
      <c r="D24" s="343">
        <v>10096</v>
      </c>
      <c r="E24" s="343" t="s">
        <v>1138</v>
      </c>
      <c r="F24" s="344"/>
      <c r="G24" s="344"/>
      <c r="H24" s="340"/>
      <c r="I24" s="340"/>
      <c r="J24" s="1630">
        <v>-70.17</v>
      </c>
      <c r="K24" s="1631"/>
      <c r="L24" s="1632">
        <v>0</v>
      </c>
      <c r="M24" s="1631"/>
      <c r="N24" s="1632">
        <v>0</v>
      </c>
      <c r="O24" s="1631"/>
      <c r="P24" s="1632">
        <f t="shared" si="0"/>
        <v>-70.17</v>
      </c>
      <c r="Q24" s="1631"/>
      <c r="R24" s="1632">
        <v>-14.1</v>
      </c>
      <c r="S24" s="1632">
        <v>-14.1</v>
      </c>
      <c r="T24" s="1632">
        <f t="shared" si="1"/>
        <v>-70.17</v>
      </c>
      <c r="U24" s="1631"/>
      <c r="V24" s="1633">
        <f t="shared" si="2"/>
        <v>-56.07</v>
      </c>
      <c r="W24" s="340"/>
      <c r="X24" s="340"/>
    </row>
    <row r="25" spans="1:25" s="236" customFormat="1" outlineLevel="1">
      <c r="A25" s="340"/>
      <c r="B25" s="341" t="s">
        <v>24</v>
      </c>
      <c r="C25" s="342"/>
      <c r="D25" s="343">
        <v>10097</v>
      </c>
      <c r="E25" s="343" t="s">
        <v>762</v>
      </c>
      <c r="F25" s="344"/>
      <c r="G25" s="344"/>
      <c r="H25" s="340"/>
      <c r="I25" s="340"/>
      <c r="J25" s="1630">
        <v>9176.66</v>
      </c>
      <c r="K25" s="1631"/>
      <c r="L25" s="1632">
        <v>0</v>
      </c>
      <c r="M25" s="1631"/>
      <c r="N25" s="1632">
        <v>0</v>
      </c>
      <c r="O25" s="1631"/>
      <c r="P25" s="1632">
        <f t="shared" si="0"/>
        <v>9176.66</v>
      </c>
      <c r="Q25" s="1631"/>
      <c r="R25" s="1632">
        <v>9176.66</v>
      </c>
      <c r="S25" s="1632">
        <v>9105.4599999999991</v>
      </c>
      <c r="T25" s="1632">
        <f t="shared" si="1"/>
        <v>9176.66</v>
      </c>
      <c r="U25" s="1631"/>
      <c r="V25" s="1633">
        <f t="shared" si="2"/>
        <v>71.200000000000728</v>
      </c>
      <c r="W25" s="340"/>
      <c r="X25" s="340"/>
    </row>
    <row r="26" spans="1:25" s="236" customFormat="1" outlineLevel="1">
      <c r="A26" s="340"/>
      <c r="B26" s="341" t="s">
        <v>24</v>
      </c>
      <c r="C26" s="342"/>
      <c r="D26" s="343">
        <v>10098</v>
      </c>
      <c r="E26" s="343" t="s">
        <v>763</v>
      </c>
      <c r="F26" s="344"/>
      <c r="G26" s="344"/>
      <c r="H26" s="340"/>
      <c r="I26" s="340"/>
      <c r="J26" s="1630">
        <v>113.05</v>
      </c>
      <c r="K26" s="1631"/>
      <c r="L26" s="1632">
        <v>0</v>
      </c>
      <c r="M26" s="1631"/>
      <c r="N26" s="1632">
        <v>0</v>
      </c>
      <c r="O26" s="1631"/>
      <c r="P26" s="1632">
        <f t="shared" si="0"/>
        <v>113.05</v>
      </c>
      <c r="Q26" s="1631"/>
      <c r="R26" s="1632">
        <v>10.74</v>
      </c>
      <c r="S26" s="1632">
        <v>50</v>
      </c>
      <c r="T26" s="1632">
        <f t="shared" si="1"/>
        <v>113.05</v>
      </c>
      <c r="U26" s="1631"/>
      <c r="V26" s="1633">
        <f t="shared" si="2"/>
        <v>63.05</v>
      </c>
      <c r="W26" s="340"/>
      <c r="X26" s="340"/>
    </row>
    <row r="27" spans="1:25" s="236" customFormat="1" outlineLevel="1">
      <c r="A27" s="340"/>
      <c r="B27" s="341" t="s">
        <v>24</v>
      </c>
      <c r="C27" s="342"/>
      <c r="D27" s="343">
        <v>10099</v>
      </c>
      <c r="E27" s="343" t="s">
        <v>764</v>
      </c>
      <c r="F27" s="344"/>
      <c r="G27" s="344"/>
      <c r="H27" s="340"/>
      <c r="I27" s="340"/>
      <c r="J27" s="1630">
        <v>2768.18</v>
      </c>
      <c r="K27" s="1631"/>
      <c r="L27" s="1632">
        <v>0</v>
      </c>
      <c r="M27" s="1631"/>
      <c r="N27" s="1632">
        <v>0</v>
      </c>
      <c r="O27" s="1631"/>
      <c r="P27" s="1632">
        <f t="shared" si="0"/>
        <v>2768.18</v>
      </c>
      <c r="Q27" s="1631"/>
      <c r="R27" s="1632">
        <v>3267.24</v>
      </c>
      <c r="S27" s="1632">
        <v>2711.11</v>
      </c>
      <c r="T27" s="1632">
        <f t="shared" si="1"/>
        <v>2768.18</v>
      </c>
      <c r="U27" s="1631"/>
      <c r="V27" s="1633">
        <f t="shared" si="2"/>
        <v>57.069999999999709</v>
      </c>
      <c r="W27" s="340"/>
      <c r="X27" s="340"/>
    </row>
    <row r="28" spans="1:25" s="236" customFormat="1" ht="4.5" customHeight="1" outlineLevel="1">
      <c r="A28" s="367"/>
      <c r="B28" s="368" t="s">
        <v>17</v>
      </c>
      <c r="C28" s="368"/>
      <c r="D28" s="340"/>
      <c r="E28" s="340"/>
      <c r="F28" s="340"/>
      <c r="G28" s="340"/>
      <c r="H28" s="340"/>
      <c r="I28" s="340"/>
      <c r="J28" s="1634"/>
      <c r="K28" s="1631"/>
      <c r="L28" s="1635"/>
      <c r="M28" s="1631"/>
      <c r="N28" s="1635"/>
      <c r="O28" s="1631"/>
      <c r="P28" s="1635"/>
      <c r="Q28" s="1631"/>
      <c r="R28" s="1635"/>
      <c r="S28" s="1635"/>
      <c r="T28" s="1635"/>
      <c r="U28" s="1631"/>
      <c r="V28" s="1636"/>
      <c r="W28" s="340"/>
      <c r="X28" s="340"/>
      <c r="Y28" s="340"/>
    </row>
    <row r="29" spans="1:25" s="236" customFormat="1">
      <c r="A29" s="342" t="s">
        <v>754</v>
      </c>
      <c r="B29" s="342" t="s">
        <v>17</v>
      </c>
      <c r="C29" s="342"/>
      <c r="D29" s="340"/>
      <c r="E29" s="340"/>
      <c r="F29" s="340" t="s">
        <v>765</v>
      </c>
      <c r="G29" s="340"/>
      <c r="H29" s="340"/>
      <c r="I29" s="340"/>
      <c r="J29" s="1630">
        <f>SUM(J16:J28)</f>
        <v>11167.790000000006</v>
      </c>
      <c r="K29" s="1631"/>
      <c r="L29" s="1632">
        <f>SUM(L16:L28)</f>
        <v>0</v>
      </c>
      <c r="M29" s="1631"/>
      <c r="N29" s="1632">
        <f>SUM(N16:N28)</f>
        <v>0</v>
      </c>
      <c r="O29" s="1631"/>
      <c r="P29" s="1632">
        <f t="shared" ref="P29" si="3">J29+L29+N29</f>
        <v>11167.790000000006</v>
      </c>
      <c r="Q29" s="1631"/>
      <c r="R29" s="1632">
        <f>SUM(R16:R28)</f>
        <v>11752.729999999998</v>
      </c>
      <c r="S29" s="1632">
        <f>SUM(S16:S28)</f>
        <v>11164.659999999998</v>
      </c>
      <c r="T29" s="1632">
        <f>SUM(T16:T28)</f>
        <v>11167.790000000006</v>
      </c>
      <c r="U29" s="1631"/>
      <c r="V29" s="1633">
        <f>SUM(V16:V28)</f>
        <v>3.1300000000002939</v>
      </c>
      <c r="W29" s="340"/>
      <c r="X29" s="340"/>
      <c r="Y29" s="340"/>
    </row>
    <row r="30" spans="1:25" s="236" customFormat="1" outlineLevel="1">
      <c r="A30" s="340"/>
      <c r="B30" s="341" t="s">
        <v>766</v>
      </c>
      <c r="C30" s="342"/>
      <c r="D30" s="343">
        <v>11501</v>
      </c>
      <c r="E30" s="343" t="s">
        <v>767</v>
      </c>
      <c r="F30" s="344"/>
      <c r="G30" s="344"/>
      <c r="H30" s="340"/>
      <c r="I30" s="340"/>
      <c r="J30" s="1630">
        <v>1774536.59</v>
      </c>
      <c r="K30" s="1631"/>
      <c r="L30" s="1632">
        <v>0</v>
      </c>
      <c r="M30" s="1631"/>
      <c r="N30" s="1632">
        <v>0</v>
      </c>
      <c r="O30" s="1631"/>
      <c r="P30" s="1632">
        <f t="shared" ref="P30:P38" si="4">J30+L30+N30</f>
        <v>1774536.59</v>
      </c>
      <c r="Q30" s="1631"/>
      <c r="R30" s="1632">
        <v>1797115.75</v>
      </c>
      <c r="S30" s="1632">
        <v>1950974.68</v>
      </c>
      <c r="T30" s="1632">
        <f t="shared" ref="T30:T38" si="5">P30</f>
        <v>1774536.59</v>
      </c>
      <c r="U30" s="1631"/>
      <c r="V30" s="1633">
        <f t="shared" ref="V30:V38" si="6">T30-S30</f>
        <v>-176438.08999999985</v>
      </c>
      <c r="W30" s="340"/>
      <c r="X30" s="340"/>
    </row>
    <row r="31" spans="1:25" s="236" customFormat="1" outlineLevel="1">
      <c r="A31" s="340"/>
      <c r="B31" s="341" t="s">
        <v>24</v>
      </c>
      <c r="C31" s="342"/>
      <c r="D31" s="343">
        <v>11502</v>
      </c>
      <c r="E31" s="343" t="s">
        <v>768</v>
      </c>
      <c r="F31" s="344"/>
      <c r="G31" s="344"/>
      <c r="H31" s="340"/>
      <c r="I31" s="340"/>
      <c r="J31" s="1630">
        <v>-302.60000000000002</v>
      </c>
      <c r="K31" s="1631"/>
      <c r="L31" s="1632">
        <v>0</v>
      </c>
      <c r="M31" s="1631"/>
      <c r="N31" s="1632">
        <v>0</v>
      </c>
      <c r="O31" s="1631"/>
      <c r="P31" s="1632">
        <f t="shared" si="4"/>
        <v>-302.60000000000002</v>
      </c>
      <c r="Q31" s="1631"/>
      <c r="R31" s="1632">
        <v>29626.61</v>
      </c>
      <c r="S31" s="1632">
        <v>50365.22</v>
      </c>
      <c r="T31" s="1632">
        <f t="shared" si="5"/>
        <v>-302.60000000000002</v>
      </c>
      <c r="U31" s="1631"/>
      <c r="V31" s="1633">
        <f t="shared" si="6"/>
        <v>-50667.82</v>
      </c>
      <c r="W31" s="340"/>
      <c r="X31" s="340"/>
    </row>
    <row r="32" spans="1:25" s="236" customFormat="1" outlineLevel="1">
      <c r="A32" s="340"/>
      <c r="B32" s="341" t="s">
        <v>24</v>
      </c>
      <c r="C32" s="342"/>
      <c r="D32" s="343">
        <v>11510</v>
      </c>
      <c r="E32" s="343" t="s">
        <v>2047</v>
      </c>
      <c r="F32" s="344"/>
      <c r="G32" s="344"/>
      <c r="H32" s="340"/>
      <c r="I32" s="340"/>
      <c r="J32" s="1630">
        <v>33651.69</v>
      </c>
      <c r="K32" s="1631"/>
      <c r="L32" s="1632">
        <v>0</v>
      </c>
      <c r="M32" s="1631"/>
      <c r="N32" s="1632">
        <v>0</v>
      </c>
      <c r="O32" s="1631"/>
      <c r="P32" s="1632">
        <f t="shared" si="4"/>
        <v>33651.69</v>
      </c>
      <c r="Q32" s="1631"/>
      <c r="R32" s="1632">
        <v>0</v>
      </c>
      <c r="S32" s="1632">
        <v>0</v>
      </c>
      <c r="T32" s="1632">
        <f t="shared" si="5"/>
        <v>33651.69</v>
      </c>
      <c r="U32" s="1631"/>
      <c r="V32" s="1633">
        <f t="shared" si="6"/>
        <v>33651.69</v>
      </c>
      <c r="W32" s="340"/>
      <c r="X32" s="340"/>
    </row>
    <row r="33" spans="1:25" s="236" customFormat="1" outlineLevel="1">
      <c r="A33" s="340"/>
      <c r="B33" s="341" t="s">
        <v>24</v>
      </c>
      <c r="C33" s="342"/>
      <c r="D33" s="343">
        <v>11511</v>
      </c>
      <c r="E33" s="343" t="s">
        <v>1139</v>
      </c>
      <c r="F33" s="344"/>
      <c r="G33" s="344"/>
      <c r="H33" s="340"/>
      <c r="I33" s="340"/>
      <c r="J33" s="1630">
        <v>0</v>
      </c>
      <c r="K33" s="1631"/>
      <c r="L33" s="1632">
        <v>0</v>
      </c>
      <c r="M33" s="1631"/>
      <c r="N33" s="1632">
        <v>0</v>
      </c>
      <c r="O33" s="1631"/>
      <c r="P33" s="1632">
        <f t="shared" si="4"/>
        <v>0</v>
      </c>
      <c r="Q33" s="1631"/>
      <c r="R33" s="1632">
        <v>1290.08</v>
      </c>
      <c r="S33" s="1632">
        <v>0</v>
      </c>
      <c r="T33" s="1632">
        <f t="shared" si="5"/>
        <v>0</v>
      </c>
      <c r="U33" s="1631"/>
      <c r="V33" s="1633">
        <f t="shared" si="6"/>
        <v>0</v>
      </c>
      <c r="W33" s="340"/>
      <c r="X33" s="340"/>
    </row>
    <row r="34" spans="1:25" s="236" customFormat="1" outlineLevel="1">
      <c r="A34" s="340"/>
      <c r="B34" s="341" t="s">
        <v>24</v>
      </c>
      <c r="C34" s="342"/>
      <c r="D34" s="343">
        <v>11701</v>
      </c>
      <c r="E34" s="343" t="s">
        <v>905</v>
      </c>
      <c r="F34" s="344"/>
      <c r="G34" s="344"/>
      <c r="H34" s="340"/>
      <c r="I34" s="340"/>
      <c r="J34" s="1630">
        <v>11776.93</v>
      </c>
      <c r="K34" s="1631"/>
      <c r="L34" s="1632">
        <v>0</v>
      </c>
      <c r="M34" s="1631"/>
      <c r="N34" s="1632">
        <v>0</v>
      </c>
      <c r="O34" s="1631"/>
      <c r="P34" s="1632">
        <f t="shared" si="4"/>
        <v>11776.93</v>
      </c>
      <c r="Q34" s="1631"/>
      <c r="R34" s="1632">
        <v>8603.59</v>
      </c>
      <c r="S34" s="1632">
        <v>12086.21</v>
      </c>
      <c r="T34" s="1632">
        <f t="shared" si="5"/>
        <v>11776.93</v>
      </c>
      <c r="U34" s="1631"/>
      <c r="V34" s="1633">
        <f t="shared" si="6"/>
        <v>-309.27999999999884</v>
      </c>
      <c r="W34" s="340"/>
      <c r="X34" s="340"/>
    </row>
    <row r="35" spans="1:25" s="236" customFormat="1" outlineLevel="1">
      <c r="A35" s="340"/>
      <c r="B35" s="341" t="s">
        <v>24</v>
      </c>
      <c r="C35" s="342"/>
      <c r="D35" s="343">
        <v>11800</v>
      </c>
      <c r="E35" s="343" t="s">
        <v>769</v>
      </c>
      <c r="F35" s="344"/>
      <c r="G35" s="344"/>
      <c r="H35" s="340"/>
      <c r="I35" s="340"/>
      <c r="J35" s="1630">
        <v>0</v>
      </c>
      <c r="K35" s="1631"/>
      <c r="L35" s="1632">
        <v>0</v>
      </c>
      <c r="M35" s="1631"/>
      <c r="N35" s="1632">
        <v>0</v>
      </c>
      <c r="O35" s="1631"/>
      <c r="P35" s="1632">
        <f t="shared" si="4"/>
        <v>0</v>
      </c>
      <c r="Q35" s="1631"/>
      <c r="R35" s="1632">
        <v>0</v>
      </c>
      <c r="S35" s="1632">
        <v>0</v>
      </c>
      <c r="T35" s="1632">
        <f t="shared" si="5"/>
        <v>0</v>
      </c>
      <c r="U35" s="1631"/>
      <c r="V35" s="1633">
        <f t="shared" si="6"/>
        <v>0</v>
      </c>
      <c r="W35" s="340"/>
      <c r="X35" s="340"/>
    </row>
    <row r="36" spans="1:25" s="236" customFormat="1" outlineLevel="1">
      <c r="A36" s="340"/>
      <c r="B36" s="341" t="s">
        <v>24</v>
      </c>
      <c r="C36" s="342"/>
      <c r="D36" s="343">
        <v>11901</v>
      </c>
      <c r="E36" s="343" t="s">
        <v>770</v>
      </c>
      <c r="F36" s="344"/>
      <c r="G36" s="344"/>
      <c r="H36" s="340"/>
      <c r="I36" s="340"/>
      <c r="J36" s="1630">
        <v>-814921.04</v>
      </c>
      <c r="K36" s="1631"/>
      <c r="L36" s="1632">
        <v>0</v>
      </c>
      <c r="M36" s="1631"/>
      <c r="N36" s="1632">
        <v>0</v>
      </c>
      <c r="O36" s="1631"/>
      <c r="P36" s="1632">
        <f t="shared" si="4"/>
        <v>-814921.04</v>
      </c>
      <c r="Q36" s="1631"/>
      <c r="R36" s="1632">
        <v>-813831.84</v>
      </c>
      <c r="S36" s="1632">
        <v>-815191.26</v>
      </c>
      <c r="T36" s="1632">
        <f t="shared" si="5"/>
        <v>-814921.04</v>
      </c>
      <c r="U36" s="1631"/>
      <c r="V36" s="1633">
        <f t="shared" si="6"/>
        <v>270.21999999997206</v>
      </c>
      <c r="W36" s="340"/>
      <c r="X36" s="340"/>
    </row>
    <row r="37" spans="1:25" s="236" customFormat="1" outlineLevel="1">
      <c r="A37" s="340"/>
      <c r="B37" s="341" t="s">
        <v>24</v>
      </c>
      <c r="C37" s="342"/>
      <c r="D37" s="343">
        <v>11902</v>
      </c>
      <c r="E37" s="343" t="s">
        <v>771</v>
      </c>
      <c r="F37" s="344"/>
      <c r="G37" s="344"/>
      <c r="H37" s="340"/>
      <c r="I37" s="340"/>
      <c r="J37" s="1630">
        <v>1086739.74</v>
      </c>
      <c r="K37" s="1631"/>
      <c r="L37" s="1632">
        <v>0</v>
      </c>
      <c r="M37" s="1631"/>
      <c r="N37" s="1632">
        <v>0</v>
      </c>
      <c r="O37" s="1631"/>
      <c r="P37" s="1632">
        <f t="shared" si="4"/>
        <v>1086739.74</v>
      </c>
      <c r="Q37" s="1631"/>
      <c r="R37" s="1632">
        <v>1073802.94</v>
      </c>
      <c r="S37" s="1632">
        <v>1082162.96</v>
      </c>
      <c r="T37" s="1632">
        <f t="shared" si="5"/>
        <v>1086739.74</v>
      </c>
      <c r="U37" s="1631"/>
      <c r="V37" s="1633">
        <f t="shared" si="6"/>
        <v>4576.7800000000279</v>
      </c>
      <c r="W37" s="340"/>
      <c r="X37" s="340"/>
    </row>
    <row r="38" spans="1:25" s="236" customFormat="1" outlineLevel="1">
      <c r="A38" s="340"/>
      <c r="B38" s="341" t="s">
        <v>24</v>
      </c>
      <c r="C38" s="342"/>
      <c r="D38" s="343">
        <v>11903</v>
      </c>
      <c r="E38" s="343" t="s">
        <v>772</v>
      </c>
      <c r="F38" s="344"/>
      <c r="G38" s="344"/>
      <c r="H38" s="340"/>
      <c r="I38" s="340"/>
      <c r="J38" s="1630">
        <v>-285954.74</v>
      </c>
      <c r="K38" s="1631"/>
      <c r="L38" s="1632">
        <v>0</v>
      </c>
      <c r="M38" s="1631"/>
      <c r="N38" s="1632">
        <v>0</v>
      </c>
      <c r="O38" s="1631"/>
      <c r="P38" s="1632">
        <f t="shared" si="4"/>
        <v>-285954.74</v>
      </c>
      <c r="Q38" s="1631"/>
      <c r="R38" s="1632">
        <v>-280166.15000000002</v>
      </c>
      <c r="S38" s="1632">
        <v>-282886.36</v>
      </c>
      <c r="T38" s="1632">
        <f t="shared" si="5"/>
        <v>-285954.74</v>
      </c>
      <c r="U38" s="1631"/>
      <c r="V38" s="1633">
        <f t="shared" si="6"/>
        <v>-3068.3800000000047</v>
      </c>
      <c r="W38" s="340"/>
      <c r="X38" s="340"/>
    </row>
    <row r="39" spans="1:25" s="236" customFormat="1" ht="5.0999999999999996" customHeight="1" outlineLevel="1">
      <c r="A39" s="342" t="s">
        <v>17</v>
      </c>
      <c r="B39" s="368" t="s">
        <v>17</v>
      </c>
      <c r="C39" s="368"/>
      <c r="D39" s="344"/>
      <c r="E39" s="344"/>
      <c r="F39" s="344"/>
      <c r="G39" s="344"/>
      <c r="H39" s="340"/>
      <c r="I39" s="340"/>
      <c r="J39" s="1637"/>
      <c r="K39" s="1631"/>
      <c r="L39" s="1638"/>
      <c r="M39" s="1631"/>
      <c r="N39" s="1638"/>
      <c r="O39" s="1631"/>
      <c r="P39" s="1638"/>
      <c r="Q39" s="1631"/>
      <c r="R39" s="1638"/>
      <c r="S39" s="1638"/>
      <c r="T39" s="1638"/>
      <c r="U39" s="1631"/>
      <c r="V39" s="1639"/>
      <c r="W39" s="340"/>
      <c r="X39" s="340"/>
      <c r="Y39" s="340"/>
    </row>
    <row r="40" spans="1:25" s="236" customFormat="1">
      <c r="A40" s="342" t="s">
        <v>766</v>
      </c>
      <c r="B40" s="342" t="s">
        <v>17</v>
      </c>
      <c r="C40" s="342"/>
      <c r="D40" s="340"/>
      <c r="E40" s="340"/>
      <c r="F40" s="343" t="s">
        <v>773</v>
      </c>
      <c r="G40" s="340"/>
      <c r="H40" s="340"/>
      <c r="I40" s="340"/>
      <c r="J40" s="1630">
        <f>SUM(J30:J39)</f>
        <v>1805526.5699999998</v>
      </c>
      <c r="K40" s="1631"/>
      <c r="L40" s="1632">
        <f>SUM(L30:L39)</f>
        <v>0</v>
      </c>
      <c r="M40" s="1631"/>
      <c r="N40" s="1632">
        <f>SUM(N30:N39)</f>
        <v>0</v>
      </c>
      <c r="O40" s="1631"/>
      <c r="P40" s="1632">
        <f t="shared" ref="P40" si="7">J40+L40+N40</f>
        <v>1805526.5699999998</v>
      </c>
      <c r="Q40" s="1631"/>
      <c r="R40" s="1632">
        <f>SUM(R30:R39)</f>
        <v>1816440.9800000004</v>
      </c>
      <c r="S40" s="1632">
        <f>SUM(S30:S39)</f>
        <v>1997511.4499999997</v>
      </c>
      <c r="T40" s="1632">
        <f>SUM(T30:T39)</f>
        <v>1805526.5699999998</v>
      </c>
      <c r="U40" s="1631"/>
      <c r="V40" s="1633">
        <f>SUM(V30:V39)</f>
        <v>-191984.87999999986</v>
      </c>
      <c r="W40" s="340"/>
      <c r="X40" s="340"/>
      <c r="Y40" s="340"/>
    </row>
    <row r="41" spans="1:25" s="236" customFormat="1" outlineLevel="1">
      <c r="A41" s="340"/>
      <c r="B41" s="341" t="s">
        <v>774</v>
      </c>
      <c r="C41" s="342"/>
      <c r="D41" s="343">
        <v>12001</v>
      </c>
      <c r="E41" s="343" t="s">
        <v>775</v>
      </c>
      <c r="F41" s="344"/>
      <c r="G41" s="344"/>
      <c r="H41" s="340"/>
      <c r="I41" s="340"/>
      <c r="J41" s="1630">
        <v>128861.08</v>
      </c>
      <c r="K41" s="1631"/>
      <c r="L41" s="1632">
        <v>0</v>
      </c>
      <c r="M41" s="1631"/>
      <c r="N41" s="1632">
        <v>0</v>
      </c>
      <c r="O41" s="1631"/>
      <c r="P41" s="1632">
        <f>J41+L41+N41</f>
        <v>128861.08</v>
      </c>
      <c r="Q41" s="1631"/>
      <c r="R41" s="1632">
        <v>128861.08</v>
      </c>
      <c r="S41" s="1632">
        <v>128861.08</v>
      </c>
      <c r="T41" s="1632">
        <f t="shared" ref="T41:T45" si="8">P41</f>
        <v>128861.08</v>
      </c>
      <c r="U41" s="1631"/>
      <c r="V41" s="1633">
        <f t="shared" ref="V41:V45" si="9">T41-S41</f>
        <v>0</v>
      </c>
      <c r="W41" s="340"/>
      <c r="X41" s="340"/>
    </row>
    <row r="42" spans="1:25" s="236" customFormat="1" outlineLevel="1">
      <c r="A42" s="340"/>
      <c r="B42" s="341" t="s">
        <v>24</v>
      </c>
      <c r="C42" s="342"/>
      <c r="D42" s="343">
        <v>12002</v>
      </c>
      <c r="E42" s="343" t="s">
        <v>1137</v>
      </c>
      <c r="F42" s="344"/>
      <c r="G42" s="344"/>
      <c r="H42" s="340"/>
      <c r="I42" s="340"/>
      <c r="J42" s="1630">
        <v>33482.22</v>
      </c>
      <c r="K42" s="1631"/>
      <c r="L42" s="1632">
        <v>0</v>
      </c>
      <c r="M42" s="1631"/>
      <c r="N42" s="1632">
        <v>0</v>
      </c>
      <c r="O42" s="1631"/>
      <c r="P42" s="1632">
        <f>J42+L42+N42</f>
        <v>33482.22</v>
      </c>
      <c r="Q42" s="1631"/>
      <c r="R42" s="1632">
        <v>43897.58</v>
      </c>
      <c r="S42" s="1632">
        <v>37437.050000000003</v>
      </c>
      <c r="T42" s="1632">
        <f t="shared" si="8"/>
        <v>33482.22</v>
      </c>
      <c r="U42" s="1631"/>
      <c r="V42" s="1633">
        <f t="shared" si="9"/>
        <v>-3954.8300000000017</v>
      </c>
      <c r="W42" s="340"/>
      <c r="X42" s="340"/>
    </row>
    <row r="43" spans="1:25" s="236" customFormat="1" outlineLevel="1">
      <c r="A43" s="340"/>
      <c r="B43" s="341" t="s">
        <v>24</v>
      </c>
      <c r="C43" s="342"/>
      <c r="D43" s="343">
        <v>12003</v>
      </c>
      <c r="E43" s="343" t="s">
        <v>776</v>
      </c>
      <c r="F43" s="344"/>
      <c r="G43" s="344"/>
      <c r="H43" s="340"/>
      <c r="I43" s="340"/>
      <c r="J43" s="1630">
        <v>6910.64</v>
      </c>
      <c r="K43" s="1631"/>
      <c r="L43" s="1632">
        <v>0</v>
      </c>
      <c r="M43" s="1631"/>
      <c r="N43" s="1632">
        <v>0</v>
      </c>
      <c r="O43" s="1631"/>
      <c r="P43" s="1632">
        <f>J43+L43+N43</f>
        <v>6910.64</v>
      </c>
      <c r="Q43" s="1631"/>
      <c r="R43" s="1632">
        <v>6910.64</v>
      </c>
      <c r="S43" s="1632">
        <v>6910.64</v>
      </c>
      <c r="T43" s="1632">
        <f t="shared" si="8"/>
        <v>6910.64</v>
      </c>
      <c r="U43" s="1631"/>
      <c r="V43" s="1633">
        <f t="shared" si="9"/>
        <v>0</v>
      </c>
      <c r="W43" s="340"/>
      <c r="X43" s="340"/>
    </row>
    <row r="44" spans="1:25" s="236" customFormat="1" outlineLevel="1">
      <c r="A44" s="340"/>
      <c r="B44" s="341" t="s">
        <v>24</v>
      </c>
      <c r="C44" s="342"/>
      <c r="D44" s="343">
        <v>12004</v>
      </c>
      <c r="E44" s="343" t="s">
        <v>777</v>
      </c>
      <c r="F44" s="344"/>
      <c r="G44" s="344"/>
      <c r="H44" s="340"/>
      <c r="I44" s="340"/>
      <c r="J44" s="1630">
        <v>15099.28</v>
      </c>
      <c r="K44" s="1631"/>
      <c r="L44" s="1632">
        <v>0</v>
      </c>
      <c r="M44" s="1631"/>
      <c r="N44" s="1632">
        <v>0</v>
      </c>
      <c r="O44" s="1631"/>
      <c r="P44" s="1632">
        <f>J44+L44+N44</f>
        <v>15099.28</v>
      </c>
      <c r="Q44" s="1631"/>
      <c r="R44" s="1632">
        <v>15099.28</v>
      </c>
      <c r="S44" s="1632">
        <v>15099.28</v>
      </c>
      <c r="T44" s="1632">
        <f t="shared" si="8"/>
        <v>15099.28</v>
      </c>
      <c r="U44" s="1631"/>
      <c r="V44" s="1633">
        <f t="shared" si="9"/>
        <v>0</v>
      </c>
      <c r="W44" s="340"/>
      <c r="X44" s="340"/>
    </row>
    <row r="45" spans="1:25" s="236" customFormat="1" outlineLevel="1">
      <c r="A45" s="340"/>
      <c r="B45" s="341" t="s">
        <v>24</v>
      </c>
      <c r="C45" s="342"/>
      <c r="D45" s="343">
        <v>12005</v>
      </c>
      <c r="E45" s="343" t="s">
        <v>778</v>
      </c>
      <c r="F45" s="344"/>
      <c r="G45" s="344"/>
      <c r="H45" s="340"/>
      <c r="I45" s="340"/>
      <c r="J45" s="1630">
        <v>10085</v>
      </c>
      <c r="K45" s="1631"/>
      <c r="L45" s="1632">
        <v>0</v>
      </c>
      <c r="M45" s="1631"/>
      <c r="N45" s="1632">
        <v>0</v>
      </c>
      <c r="O45" s="1631"/>
      <c r="P45" s="1632">
        <f>J45+L45+N45</f>
        <v>10085</v>
      </c>
      <c r="Q45" s="1631"/>
      <c r="R45" s="1632">
        <v>10085</v>
      </c>
      <c r="S45" s="1632">
        <v>10085</v>
      </c>
      <c r="T45" s="1632">
        <f t="shared" si="8"/>
        <v>10085</v>
      </c>
      <c r="U45" s="1631"/>
      <c r="V45" s="1633">
        <f t="shared" si="9"/>
        <v>0</v>
      </c>
      <c r="W45" s="340"/>
      <c r="X45" s="340"/>
    </row>
    <row r="46" spans="1:25" s="236" customFormat="1" ht="5.0999999999999996" customHeight="1" outlineLevel="1">
      <c r="A46" s="342" t="s">
        <v>17</v>
      </c>
      <c r="B46" s="368" t="s">
        <v>17</v>
      </c>
      <c r="C46" s="368"/>
      <c r="D46" s="344"/>
      <c r="E46" s="344"/>
      <c r="F46" s="344"/>
      <c r="G46" s="344"/>
      <c r="H46" s="340"/>
      <c r="I46" s="340"/>
      <c r="J46" s="1637"/>
      <c r="K46" s="1631"/>
      <c r="L46" s="1638"/>
      <c r="M46" s="1631"/>
      <c r="N46" s="1638"/>
      <c r="O46" s="1631"/>
      <c r="P46" s="1638"/>
      <c r="Q46" s="1631"/>
      <c r="R46" s="1638"/>
      <c r="S46" s="1638"/>
      <c r="T46" s="1638"/>
      <c r="U46" s="1631"/>
      <c r="V46" s="1639"/>
      <c r="W46" s="340"/>
      <c r="X46" s="340"/>
      <c r="Y46" s="340"/>
    </row>
    <row r="47" spans="1:25" s="236" customFormat="1">
      <c r="A47" s="342" t="s">
        <v>774</v>
      </c>
      <c r="B47" s="342" t="s">
        <v>17</v>
      </c>
      <c r="C47" s="342"/>
      <c r="D47" s="340"/>
      <c r="E47" s="340"/>
      <c r="F47" s="343" t="s">
        <v>779</v>
      </c>
      <c r="G47" s="340"/>
      <c r="H47" s="340"/>
      <c r="I47" s="340"/>
      <c r="J47" s="1630">
        <f>SUM(J41:J46)</f>
        <v>194438.22</v>
      </c>
      <c r="K47" s="1631"/>
      <c r="L47" s="1632">
        <f>SUM(L41:L46)</f>
        <v>0</v>
      </c>
      <c r="M47" s="1631"/>
      <c r="N47" s="1632">
        <f>SUM(N41:N46)</f>
        <v>0</v>
      </c>
      <c r="O47" s="1631"/>
      <c r="P47" s="1632">
        <f t="shared" ref="P47" si="10">J47+L47+N47</f>
        <v>194438.22</v>
      </c>
      <c r="Q47" s="1631"/>
      <c r="R47" s="1632">
        <f>SUM(R41:R46)</f>
        <v>204853.58000000002</v>
      </c>
      <c r="S47" s="1632">
        <f>SUM(S41:S46)</f>
        <v>198393.05000000002</v>
      </c>
      <c r="T47" s="1632">
        <f>SUM(T41:T46)</f>
        <v>194438.22</v>
      </c>
      <c r="U47" s="1631"/>
      <c r="V47" s="1633">
        <f>SUM(V41:V46)</f>
        <v>-3954.8300000000017</v>
      </c>
      <c r="W47" s="340"/>
      <c r="X47" s="340"/>
      <c r="Y47" s="340"/>
    </row>
    <row r="48" spans="1:25" s="236" customFormat="1" outlineLevel="1">
      <c r="A48" s="340"/>
      <c r="B48" s="341" t="s">
        <v>780</v>
      </c>
      <c r="C48" s="342"/>
      <c r="D48" s="343">
        <v>13001</v>
      </c>
      <c r="E48" s="343" t="s">
        <v>781</v>
      </c>
      <c r="F48" s="344"/>
      <c r="G48" s="344"/>
      <c r="H48" s="340"/>
      <c r="I48" s="340"/>
      <c r="J48" s="1630">
        <v>32256.49</v>
      </c>
      <c r="K48" s="1631"/>
      <c r="L48" s="1632">
        <v>0</v>
      </c>
      <c r="M48" s="1631"/>
      <c r="N48" s="1632">
        <v>0</v>
      </c>
      <c r="O48" s="1631"/>
      <c r="P48" s="1632">
        <f t="shared" ref="P48:P53" si="11">J48+L48+N48</f>
        <v>32256.49</v>
      </c>
      <c r="Q48" s="1631"/>
      <c r="R48" s="1632">
        <v>39424.61</v>
      </c>
      <c r="S48" s="1632">
        <v>35840.550000000003</v>
      </c>
      <c r="T48" s="1632">
        <f t="shared" ref="T48:T53" si="12">P48</f>
        <v>32256.49</v>
      </c>
      <c r="U48" s="1631"/>
      <c r="V48" s="1633">
        <f t="shared" ref="V48:V53" si="13">T48-S48</f>
        <v>-3584.0600000000013</v>
      </c>
      <c r="W48" s="340"/>
      <c r="X48" s="340"/>
    </row>
    <row r="49" spans="1:25" s="236" customFormat="1" outlineLevel="1">
      <c r="A49" s="340"/>
      <c r="B49" s="341" t="s">
        <v>24</v>
      </c>
      <c r="C49" s="342"/>
      <c r="D49" s="343">
        <v>13002</v>
      </c>
      <c r="E49" s="343" t="s">
        <v>1135</v>
      </c>
      <c r="F49" s="344"/>
      <c r="G49" s="344"/>
      <c r="H49" s="340"/>
      <c r="I49" s="340"/>
      <c r="J49" s="1630">
        <v>562.5</v>
      </c>
      <c r="K49" s="1631"/>
      <c r="L49" s="1632">
        <v>0</v>
      </c>
      <c r="M49" s="1631"/>
      <c r="N49" s="1632">
        <v>0</v>
      </c>
      <c r="O49" s="1631"/>
      <c r="P49" s="1632">
        <f t="shared" si="11"/>
        <v>562.5</v>
      </c>
      <c r="Q49" s="1631"/>
      <c r="R49" s="1632">
        <v>750</v>
      </c>
      <c r="S49" s="1632">
        <v>656.25</v>
      </c>
      <c r="T49" s="1632">
        <f t="shared" si="12"/>
        <v>562.5</v>
      </c>
      <c r="U49" s="1631"/>
      <c r="V49" s="1633">
        <f t="shared" si="13"/>
        <v>-93.75</v>
      </c>
      <c r="W49" s="340"/>
      <c r="X49" s="340"/>
    </row>
    <row r="50" spans="1:25" s="236" customFormat="1" outlineLevel="1">
      <c r="A50" s="340"/>
      <c r="B50" s="341" t="s">
        <v>24</v>
      </c>
      <c r="C50" s="342"/>
      <c r="D50" s="343">
        <v>13003</v>
      </c>
      <c r="E50" s="343" t="s">
        <v>782</v>
      </c>
      <c r="F50" s="344"/>
      <c r="G50" s="344"/>
      <c r="H50" s="340"/>
      <c r="I50" s="340"/>
      <c r="J50" s="1630">
        <v>1349.91</v>
      </c>
      <c r="K50" s="1631"/>
      <c r="L50" s="1632">
        <v>0</v>
      </c>
      <c r="M50" s="1631"/>
      <c r="N50" s="1632">
        <v>0</v>
      </c>
      <c r="O50" s="1631"/>
      <c r="P50" s="1632">
        <f t="shared" si="11"/>
        <v>1349.91</v>
      </c>
      <c r="Q50" s="1631"/>
      <c r="R50" s="1632">
        <v>2201.25</v>
      </c>
      <c r="S50" s="1632">
        <v>1775.58</v>
      </c>
      <c r="T50" s="1632">
        <f t="shared" si="12"/>
        <v>1349.91</v>
      </c>
      <c r="U50" s="1631"/>
      <c r="V50" s="1633">
        <f t="shared" si="13"/>
        <v>-425.66999999999985</v>
      </c>
      <c r="W50" s="340"/>
      <c r="X50" s="340"/>
    </row>
    <row r="51" spans="1:25" s="236" customFormat="1" outlineLevel="1">
      <c r="A51" s="340"/>
      <c r="B51" s="341" t="s">
        <v>24</v>
      </c>
      <c r="C51" s="342"/>
      <c r="D51" s="343">
        <v>13004</v>
      </c>
      <c r="E51" s="343" t="s">
        <v>783</v>
      </c>
      <c r="F51" s="344"/>
      <c r="G51" s="344"/>
      <c r="H51" s="340"/>
      <c r="I51" s="340"/>
      <c r="J51" s="1630">
        <v>0</v>
      </c>
      <c r="K51" s="1631"/>
      <c r="L51" s="1632">
        <v>0</v>
      </c>
      <c r="M51" s="1631"/>
      <c r="N51" s="1632">
        <v>0</v>
      </c>
      <c r="O51" s="1631"/>
      <c r="P51" s="1632">
        <f t="shared" si="11"/>
        <v>0</v>
      </c>
      <c r="Q51" s="1631"/>
      <c r="R51" s="1632">
        <v>6273.53</v>
      </c>
      <c r="S51" s="1632">
        <v>3136.74</v>
      </c>
      <c r="T51" s="1632">
        <f t="shared" si="12"/>
        <v>0</v>
      </c>
      <c r="U51" s="1631"/>
      <c r="V51" s="1633">
        <f t="shared" si="13"/>
        <v>-3136.74</v>
      </c>
      <c r="W51" s="340"/>
      <c r="X51" s="340"/>
    </row>
    <row r="52" spans="1:25" s="236" customFormat="1" outlineLevel="1">
      <c r="A52" s="340"/>
      <c r="B52" s="341" t="s">
        <v>24</v>
      </c>
      <c r="C52" s="342"/>
      <c r="D52" s="343">
        <v>13007</v>
      </c>
      <c r="E52" s="343" t="s">
        <v>1136</v>
      </c>
      <c r="F52" s="344"/>
      <c r="G52" s="344"/>
      <c r="H52" s="340"/>
      <c r="I52" s="340"/>
      <c r="J52" s="1630">
        <v>1197</v>
      </c>
      <c r="K52" s="1631"/>
      <c r="L52" s="1632">
        <v>0</v>
      </c>
      <c r="M52" s="1631"/>
      <c r="N52" s="1632">
        <v>0</v>
      </c>
      <c r="O52" s="1631"/>
      <c r="P52" s="1632">
        <f t="shared" si="11"/>
        <v>1197</v>
      </c>
      <c r="Q52" s="1631"/>
      <c r="R52" s="1632">
        <v>1995</v>
      </c>
      <c r="S52" s="1632">
        <v>1596</v>
      </c>
      <c r="T52" s="1632">
        <f t="shared" si="12"/>
        <v>1197</v>
      </c>
      <c r="U52" s="1631"/>
      <c r="V52" s="1633">
        <f t="shared" si="13"/>
        <v>-399</v>
      </c>
      <c r="W52" s="340"/>
      <c r="X52" s="340"/>
    </row>
    <row r="53" spans="1:25" s="236" customFormat="1" outlineLevel="1">
      <c r="A53" s="340"/>
      <c r="B53" s="341" t="s">
        <v>24</v>
      </c>
      <c r="C53" s="342"/>
      <c r="D53" s="343">
        <v>13008</v>
      </c>
      <c r="E53" s="343" t="s">
        <v>784</v>
      </c>
      <c r="F53" s="344"/>
      <c r="G53" s="344"/>
      <c r="H53" s="340"/>
      <c r="I53" s="340"/>
      <c r="J53" s="1630">
        <v>19862.59</v>
      </c>
      <c r="K53" s="1631"/>
      <c r="L53" s="1632">
        <v>0</v>
      </c>
      <c r="M53" s="1631"/>
      <c r="N53" s="1632">
        <v>0</v>
      </c>
      <c r="O53" s="1631"/>
      <c r="P53" s="1632">
        <f t="shared" si="11"/>
        <v>19862.59</v>
      </c>
      <c r="Q53" s="1631"/>
      <c r="R53" s="1632">
        <v>19779.59</v>
      </c>
      <c r="S53" s="1632">
        <v>21975.29</v>
      </c>
      <c r="T53" s="1632">
        <f t="shared" si="12"/>
        <v>19862.59</v>
      </c>
      <c r="U53" s="1631"/>
      <c r="V53" s="1633">
        <f t="shared" si="13"/>
        <v>-2112.7000000000007</v>
      </c>
      <c r="W53" s="340"/>
      <c r="X53" s="340"/>
    </row>
    <row r="54" spans="1:25" s="236" customFormat="1" ht="3.75" customHeight="1" outlineLevel="1">
      <c r="A54" s="342" t="s">
        <v>17</v>
      </c>
      <c r="B54" s="368" t="s">
        <v>17</v>
      </c>
      <c r="C54" s="368"/>
      <c r="D54" s="344"/>
      <c r="E54" s="344"/>
      <c r="F54" s="344"/>
      <c r="G54" s="344"/>
      <c r="H54" s="340"/>
      <c r="I54" s="340"/>
      <c r="J54" s="1637"/>
      <c r="K54" s="1631"/>
      <c r="L54" s="1638"/>
      <c r="M54" s="1631"/>
      <c r="N54" s="1638"/>
      <c r="O54" s="1631"/>
      <c r="P54" s="1638"/>
      <c r="Q54" s="1631"/>
      <c r="R54" s="1638"/>
      <c r="S54" s="1638"/>
      <c r="T54" s="1638"/>
      <c r="U54" s="1631"/>
      <c r="V54" s="1639"/>
      <c r="W54" s="340"/>
      <c r="X54" s="340"/>
      <c r="Y54" s="340"/>
    </row>
    <row r="55" spans="1:25" s="236" customFormat="1">
      <c r="A55" s="342" t="s">
        <v>780</v>
      </c>
      <c r="B55" s="342" t="s">
        <v>17</v>
      </c>
      <c r="C55" s="342"/>
      <c r="D55" s="340"/>
      <c r="E55" s="340"/>
      <c r="F55" s="343" t="s">
        <v>785</v>
      </c>
      <c r="G55" s="340"/>
      <c r="H55" s="340"/>
      <c r="I55" s="340"/>
      <c r="J55" s="1630">
        <f>SUM(J48:J54)</f>
        <v>55228.490000000005</v>
      </c>
      <c r="K55" s="1631"/>
      <c r="L55" s="1632">
        <f>SUM(L48:L54)</f>
        <v>0</v>
      </c>
      <c r="M55" s="1631"/>
      <c r="N55" s="1632">
        <f>SUM(N48:N54)</f>
        <v>0</v>
      </c>
      <c r="O55" s="1631"/>
      <c r="P55" s="1632">
        <f>J55+L55+N55</f>
        <v>55228.490000000005</v>
      </c>
      <c r="Q55" s="1631"/>
      <c r="R55" s="1632">
        <f>SUM(R48:R54)</f>
        <v>70423.98</v>
      </c>
      <c r="S55" s="1632">
        <f>SUM(S48:S54)</f>
        <v>64980.41</v>
      </c>
      <c r="T55" s="1632">
        <f>SUM(T48:T54)</f>
        <v>55228.490000000005</v>
      </c>
      <c r="U55" s="1631"/>
      <c r="V55" s="1633">
        <f>SUM(V48:V54)</f>
        <v>-9751.9200000000019</v>
      </c>
      <c r="W55" s="340"/>
      <c r="X55" s="340"/>
      <c r="Y55" s="340"/>
    </row>
    <row r="56" spans="1:25" s="236" customFormat="1" outlineLevel="1">
      <c r="A56" s="340"/>
      <c r="B56" s="341" t="s">
        <v>786</v>
      </c>
      <c r="C56" s="342"/>
      <c r="D56" s="343"/>
      <c r="E56" s="343"/>
      <c r="F56" s="344"/>
      <c r="G56" s="344"/>
      <c r="H56" s="340"/>
      <c r="I56" s="340"/>
      <c r="J56" s="1630"/>
      <c r="K56" s="1631"/>
      <c r="L56" s="1632"/>
      <c r="M56" s="1631"/>
      <c r="N56" s="1632"/>
      <c r="O56" s="1631"/>
      <c r="P56" s="1632">
        <f>J56+L56+N56</f>
        <v>0</v>
      </c>
      <c r="Q56" s="1631"/>
      <c r="R56" s="1632"/>
      <c r="S56" s="1632"/>
      <c r="T56" s="1632">
        <f>P56</f>
        <v>0</v>
      </c>
      <c r="U56" s="1631"/>
      <c r="V56" s="1633">
        <f>T56-S56</f>
        <v>0</v>
      </c>
      <c r="W56" s="340"/>
      <c r="X56" s="340"/>
    </row>
    <row r="57" spans="1:25" s="236" customFormat="1" ht="3.75" customHeight="1" outlineLevel="1">
      <c r="A57" s="342" t="s">
        <v>17</v>
      </c>
      <c r="B57" s="368" t="s">
        <v>17</v>
      </c>
      <c r="C57" s="368"/>
      <c r="D57" s="344"/>
      <c r="E57" s="344"/>
      <c r="F57" s="344"/>
      <c r="G57" s="344"/>
      <c r="H57" s="340"/>
      <c r="I57" s="340"/>
      <c r="J57" s="1637"/>
      <c r="K57" s="1631"/>
      <c r="L57" s="1638"/>
      <c r="M57" s="1631"/>
      <c r="N57" s="1638"/>
      <c r="O57" s="1631"/>
      <c r="P57" s="1638"/>
      <c r="Q57" s="1631"/>
      <c r="R57" s="1638"/>
      <c r="S57" s="1638"/>
      <c r="T57" s="1638"/>
      <c r="U57" s="1631"/>
      <c r="V57" s="1639"/>
      <c r="W57" s="340"/>
      <c r="X57" s="340"/>
      <c r="Y57" s="340"/>
    </row>
    <row r="58" spans="1:25" s="236" customFormat="1">
      <c r="A58" s="342" t="s">
        <v>786</v>
      </c>
      <c r="B58" s="342" t="s">
        <v>17</v>
      </c>
      <c r="C58" s="342"/>
      <c r="D58" s="340"/>
      <c r="E58" s="340"/>
      <c r="F58" s="343" t="s">
        <v>787</v>
      </c>
      <c r="G58" s="340"/>
      <c r="H58" s="340"/>
      <c r="I58" s="340"/>
      <c r="J58" s="1630">
        <f>SUM(J56:J57)</f>
        <v>0</v>
      </c>
      <c r="K58" s="1631"/>
      <c r="L58" s="1632">
        <f>SUM(L56:L57)</f>
        <v>0</v>
      </c>
      <c r="M58" s="1631"/>
      <c r="N58" s="1632">
        <f>SUM(N56:N57)</f>
        <v>0</v>
      </c>
      <c r="O58" s="1631"/>
      <c r="P58" s="1632">
        <f>J58+L58+N58</f>
        <v>0</v>
      </c>
      <c r="Q58" s="1631"/>
      <c r="R58" s="1632">
        <f>SUM(R56:R57)</f>
        <v>0</v>
      </c>
      <c r="S58" s="1632">
        <f>SUM(S56:S57)</f>
        <v>0</v>
      </c>
      <c r="T58" s="1632">
        <f>SUM(T56:T57)</f>
        <v>0</v>
      </c>
      <c r="U58" s="1631"/>
      <c r="V58" s="1633">
        <f>SUM(V56:V57)</f>
        <v>0</v>
      </c>
      <c r="W58" s="340"/>
      <c r="X58" s="340"/>
      <c r="Y58" s="340"/>
    </row>
    <row r="59" spans="1:25" s="236" customFormat="1" ht="7.5" customHeight="1">
      <c r="A59" s="368" t="s">
        <v>17</v>
      </c>
      <c r="B59" s="368" t="s">
        <v>17</v>
      </c>
      <c r="C59" s="368"/>
      <c r="D59" s="340"/>
      <c r="E59" s="340"/>
      <c r="F59" s="340"/>
      <c r="G59" s="340"/>
      <c r="H59" s="340"/>
      <c r="I59" s="340"/>
      <c r="J59" s="1630"/>
      <c r="K59" s="1631"/>
      <c r="L59" s="1632"/>
      <c r="M59" s="1631"/>
      <c r="N59" s="1632"/>
      <c r="O59" s="1631"/>
      <c r="P59" s="1632"/>
      <c r="Q59" s="1631"/>
      <c r="R59" s="1632"/>
      <c r="S59" s="1632"/>
      <c r="T59" s="1632"/>
      <c r="U59" s="1631"/>
      <c r="V59" s="1633"/>
      <c r="W59" s="340"/>
      <c r="X59" s="340"/>
      <c r="Y59" s="340"/>
    </row>
    <row r="60" spans="1:25" s="236" customFormat="1">
      <c r="A60" s="342" t="s">
        <v>17</v>
      </c>
      <c r="B60" s="368" t="s">
        <v>17</v>
      </c>
      <c r="C60" s="368"/>
      <c r="D60" s="340"/>
      <c r="E60" s="369" t="s">
        <v>788</v>
      </c>
      <c r="F60" s="340"/>
      <c r="G60" s="340"/>
      <c r="H60" s="340"/>
      <c r="I60" s="340"/>
      <c r="J60" s="1640">
        <f>SUM(J29,J40,J47,J55,J58)</f>
        <v>2066361.0699999998</v>
      </c>
      <c r="K60" s="1631"/>
      <c r="L60" s="1641">
        <f>SUM(L29,L40,L47,L55,L58)</f>
        <v>0</v>
      </c>
      <c r="M60" s="1631"/>
      <c r="N60" s="1641">
        <f>SUM(N29,N40,N47,N55,N58)</f>
        <v>0</v>
      </c>
      <c r="O60" s="1631"/>
      <c r="P60" s="1641">
        <f>SUM(P29,P40,P47,P55,P58)</f>
        <v>2066361.0699999998</v>
      </c>
      <c r="Q60" s="1631"/>
      <c r="R60" s="1641">
        <f>SUM(R29,R40,R47,R55,R58)</f>
        <v>2103471.2700000005</v>
      </c>
      <c r="S60" s="1641">
        <f>SUM(S29,S40,S47,S55,S58)</f>
        <v>2272049.5699999998</v>
      </c>
      <c r="T60" s="1641">
        <f>SUM(T29,T40,T47,T55,T58)</f>
        <v>2066361.0699999998</v>
      </c>
      <c r="U60" s="1631"/>
      <c r="V60" s="1642">
        <f>SUM(V29,V40,V47,V55,V58)</f>
        <v>-205688.49999999985</v>
      </c>
      <c r="W60" s="340"/>
      <c r="X60" s="340"/>
      <c r="Y60" s="340"/>
    </row>
    <row r="61" spans="1:25" s="236" customFormat="1" ht="7.5" customHeight="1">
      <c r="A61" s="368" t="s">
        <v>17</v>
      </c>
      <c r="B61" s="368" t="s">
        <v>17</v>
      </c>
      <c r="C61" s="368"/>
      <c r="D61" s="340"/>
      <c r="E61" s="340"/>
      <c r="F61" s="340"/>
      <c r="G61" s="340"/>
      <c r="H61" s="340"/>
      <c r="I61" s="340"/>
      <c r="J61" s="1630"/>
      <c r="K61" s="1631"/>
      <c r="L61" s="1632"/>
      <c r="M61" s="1631"/>
      <c r="N61" s="1632"/>
      <c r="O61" s="1631"/>
      <c r="P61" s="1632"/>
      <c r="Q61" s="1631"/>
      <c r="R61" s="1632"/>
      <c r="S61" s="1632"/>
      <c r="T61" s="1632"/>
      <c r="U61" s="1631"/>
      <c r="V61" s="1633"/>
      <c r="W61" s="340"/>
      <c r="X61" s="340"/>
      <c r="Y61" s="340"/>
    </row>
    <row r="62" spans="1:25" s="236" customFormat="1" outlineLevel="1">
      <c r="A62" s="368" t="s">
        <v>17</v>
      </c>
      <c r="B62" s="368" t="s">
        <v>17</v>
      </c>
      <c r="C62" s="368"/>
      <c r="D62" s="340"/>
      <c r="E62" s="340"/>
      <c r="F62" s="340"/>
      <c r="G62" s="340"/>
      <c r="H62" s="340"/>
      <c r="I62" s="340"/>
      <c r="J62" s="1630"/>
      <c r="K62" s="1631"/>
      <c r="L62" s="1632"/>
      <c r="M62" s="1631"/>
      <c r="N62" s="1632"/>
      <c r="O62" s="1631"/>
      <c r="P62" s="1632"/>
      <c r="Q62" s="1631"/>
      <c r="R62" s="1632"/>
      <c r="S62" s="1632"/>
      <c r="T62" s="1632"/>
      <c r="U62" s="1631"/>
      <c r="V62" s="1633"/>
      <c r="W62" s="340"/>
      <c r="X62" s="340"/>
      <c r="Y62" s="340"/>
    </row>
    <row r="63" spans="1:25" s="236" customFormat="1" outlineLevel="1">
      <c r="A63" s="340"/>
      <c r="B63" s="341" t="s">
        <v>789</v>
      </c>
      <c r="C63" s="342"/>
      <c r="D63" s="343">
        <v>14002</v>
      </c>
      <c r="E63" s="343" t="s">
        <v>1129</v>
      </c>
      <c r="F63" s="344"/>
      <c r="G63" s="344"/>
      <c r="H63" s="340"/>
      <c r="I63" s="340"/>
      <c r="J63" s="1630">
        <v>410740</v>
      </c>
      <c r="K63" s="1631"/>
      <c r="L63" s="1632">
        <v>0</v>
      </c>
      <c r="M63" s="1631"/>
      <c r="N63" s="1632">
        <v>0</v>
      </c>
      <c r="O63" s="1631"/>
      <c r="P63" s="1632">
        <f t="shared" ref="P63:P100" si="14">J63+L63+N63</f>
        <v>410740</v>
      </c>
      <c r="Q63" s="1631"/>
      <c r="R63" s="1632">
        <v>410740</v>
      </c>
      <c r="S63" s="1632">
        <v>410740</v>
      </c>
      <c r="T63" s="1632">
        <f t="shared" ref="T63:T100" si="15">P63</f>
        <v>410740</v>
      </c>
      <c r="U63" s="1631"/>
      <c r="V63" s="1633">
        <f t="shared" ref="V63:V100" si="16">T63-S63</f>
        <v>0</v>
      </c>
      <c r="W63" s="340"/>
      <c r="X63" s="340"/>
    </row>
    <row r="64" spans="1:25" s="236" customFormat="1" outlineLevel="1">
      <c r="A64" s="340"/>
      <c r="B64" s="341" t="s">
        <v>24</v>
      </c>
      <c r="C64" s="342"/>
      <c r="D64" s="343">
        <v>14004</v>
      </c>
      <c r="E64" s="343" t="s">
        <v>1130</v>
      </c>
      <c r="F64" s="344"/>
      <c r="G64" s="344"/>
      <c r="H64" s="340"/>
      <c r="I64" s="340"/>
      <c r="J64" s="1630">
        <v>-17406.080000000002</v>
      </c>
      <c r="K64" s="1631"/>
      <c r="L64" s="1632">
        <v>0</v>
      </c>
      <c r="M64" s="1631"/>
      <c r="N64" s="1632">
        <v>0</v>
      </c>
      <c r="O64" s="1631"/>
      <c r="P64" s="1632">
        <f t="shared" si="14"/>
        <v>-17406.080000000002</v>
      </c>
      <c r="Q64" s="1631"/>
      <c r="R64" s="1632">
        <v>-17406.080000000002</v>
      </c>
      <c r="S64" s="1632">
        <v>-17406.080000000002</v>
      </c>
      <c r="T64" s="1632">
        <f t="shared" si="15"/>
        <v>-17406.080000000002</v>
      </c>
      <c r="U64" s="1631"/>
      <c r="V64" s="1633">
        <f t="shared" si="16"/>
        <v>0</v>
      </c>
      <c r="W64" s="340"/>
      <c r="X64" s="340"/>
    </row>
    <row r="65" spans="1:24" s="236" customFormat="1" outlineLevel="1">
      <c r="A65" s="340"/>
      <c r="B65" s="341" t="s">
        <v>24</v>
      </c>
      <c r="C65" s="342"/>
      <c r="D65" s="343">
        <v>14011</v>
      </c>
      <c r="E65" s="343" t="s">
        <v>790</v>
      </c>
      <c r="F65" s="344"/>
      <c r="G65" s="344"/>
      <c r="H65" s="340"/>
      <c r="I65" s="340"/>
      <c r="J65" s="1630">
        <v>390832.85</v>
      </c>
      <c r="K65" s="1631"/>
      <c r="L65" s="1632">
        <v>0</v>
      </c>
      <c r="M65" s="1631"/>
      <c r="N65" s="1632">
        <v>0</v>
      </c>
      <c r="O65" s="1631"/>
      <c r="P65" s="1632">
        <f t="shared" si="14"/>
        <v>390832.85</v>
      </c>
      <c r="Q65" s="1631"/>
      <c r="R65" s="1632">
        <v>390832.85</v>
      </c>
      <c r="S65" s="1632">
        <v>390832.85</v>
      </c>
      <c r="T65" s="1632">
        <f t="shared" si="15"/>
        <v>390832.85</v>
      </c>
      <c r="U65" s="1631"/>
      <c r="V65" s="1633">
        <f t="shared" si="16"/>
        <v>0</v>
      </c>
      <c r="W65" s="340"/>
      <c r="X65" s="340"/>
    </row>
    <row r="66" spans="1:24" s="236" customFormat="1" outlineLevel="1">
      <c r="A66" s="340"/>
      <c r="B66" s="341" t="s">
        <v>24</v>
      </c>
      <c r="C66" s="342"/>
      <c r="D66" s="343">
        <v>14016</v>
      </c>
      <c r="E66" s="343" t="s">
        <v>791</v>
      </c>
      <c r="F66" s="344"/>
      <c r="G66" s="344"/>
      <c r="H66" s="340"/>
      <c r="I66" s="340"/>
      <c r="J66" s="1630">
        <v>-252975.84</v>
      </c>
      <c r="K66" s="1631"/>
      <c r="L66" s="1632">
        <v>0</v>
      </c>
      <c r="M66" s="1631"/>
      <c r="N66" s="1632">
        <v>0</v>
      </c>
      <c r="O66" s="1631"/>
      <c r="P66" s="1632">
        <f t="shared" si="14"/>
        <v>-252975.84</v>
      </c>
      <c r="Q66" s="1631"/>
      <c r="R66" s="1632">
        <v>-246457.75</v>
      </c>
      <c r="S66" s="1632">
        <v>-249716.81</v>
      </c>
      <c r="T66" s="1632">
        <f t="shared" si="15"/>
        <v>-252975.84</v>
      </c>
      <c r="U66" s="1631"/>
      <c r="V66" s="1633">
        <f t="shared" si="16"/>
        <v>-3259.0299999999988</v>
      </c>
      <c r="W66" s="340"/>
      <c r="X66" s="340"/>
    </row>
    <row r="67" spans="1:24" s="236" customFormat="1" outlineLevel="1">
      <c r="A67" s="340"/>
      <c r="B67" s="341" t="s">
        <v>24</v>
      </c>
      <c r="C67" s="342"/>
      <c r="D67" s="343">
        <v>14031</v>
      </c>
      <c r="E67" s="343" t="s">
        <v>792</v>
      </c>
      <c r="F67" s="344"/>
      <c r="G67" s="344"/>
      <c r="H67" s="340"/>
      <c r="I67" s="340"/>
      <c r="J67" s="1630">
        <v>10790</v>
      </c>
      <c r="K67" s="1631"/>
      <c r="L67" s="1632">
        <v>0</v>
      </c>
      <c r="M67" s="1631"/>
      <c r="N67" s="1632">
        <v>0</v>
      </c>
      <c r="O67" s="1631"/>
      <c r="P67" s="1632">
        <f t="shared" si="14"/>
        <v>10790</v>
      </c>
      <c r="Q67" s="1631"/>
      <c r="R67" s="1632">
        <v>10790</v>
      </c>
      <c r="S67" s="1632">
        <v>10790</v>
      </c>
      <c r="T67" s="1632">
        <f t="shared" si="15"/>
        <v>10790</v>
      </c>
      <c r="U67" s="1631"/>
      <c r="V67" s="1633">
        <f t="shared" si="16"/>
        <v>0</v>
      </c>
      <c r="W67" s="340"/>
      <c r="X67" s="340"/>
    </row>
    <row r="68" spans="1:24" s="236" customFormat="1" outlineLevel="1">
      <c r="A68" s="340"/>
      <c r="B68" s="341" t="s">
        <v>24</v>
      </c>
      <c r="C68" s="342"/>
      <c r="D68" s="343">
        <v>14036</v>
      </c>
      <c r="E68" s="343" t="s">
        <v>793</v>
      </c>
      <c r="F68" s="344"/>
      <c r="G68" s="344"/>
      <c r="H68" s="340"/>
      <c r="I68" s="340"/>
      <c r="J68" s="1630">
        <v>-10790</v>
      </c>
      <c r="K68" s="1631"/>
      <c r="L68" s="1632">
        <v>0</v>
      </c>
      <c r="M68" s="1631"/>
      <c r="N68" s="1632">
        <v>0</v>
      </c>
      <c r="O68" s="1631"/>
      <c r="P68" s="1632">
        <f t="shared" si="14"/>
        <v>-10790</v>
      </c>
      <c r="Q68" s="1631"/>
      <c r="R68" s="1632">
        <v>-10790</v>
      </c>
      <c r="S68" s="1632">
        <v>-10790</v>
      </c>
      <c r="T68" s="1632">
        <f t="shared" si="15"/>
        <v>-10790</v>
      </c>
      <c r="U68" s="1631"/>
      <c r="V68" s="1633">
        <f t="shared" si="16"/>
        <v>0</v>
      </c>
      <c r="W68" s="340"/>
      <c r="X68" s="340"/>
    </row>
    <row r="69" spans="1:24" s="236" customFormat="1" outlineLevel="1">
      <c r="A69" s="340"/>
      <c r="B69" s="341" t="s">
        <v>24</v>
      </c>
      <c r="C69" s="342"/>
      <c r="D69" s="343">
        <v>14041</v>
      </c>
      <c r="E69" s="343" t="s">
        <v>794</v>
      </c>
      <c r="F69" s="344"/>
      <c r="G69" s="344"/>
      <c r="H69" s="340"/>
      <c r="I69" s="340"/>
      <c r="J69" s="1630">
        <v>10216652.279999999</v>
      </c>
      <c r="K69" s="1631"/>
      <c r="L69" s="1632">
        <v>0</v>
      </c>
      <c r="M69" s="1631"/>
      <c r="N69" s="1632">
        <v>0</v>
      </c>
      <c r="O69" s="1631"/>
      <c r="P69" s="1632">
        <f t="shared" si="14"/>
        <v>10216652.279999999</v>
      </c>
      <c r="Q69" s="1631"/>
      <c r="R69" s="1632">
        <v>9985087.9199999999</v>
      </c>
      <c r="S69" s="1632">
        <v>10216652.279999999</v>
      </c>
      <c r="T69" s="1632">
        <f t="shared" si="15"/>
        <v>10216652.279999999</v>
      </c>
      <c r="U69" s="1631"/>
      <c r="V69" s="1633">
        <f t="shared" si="16"/>
        <v>0</v>
      </c>
      <c r="W69" s="340"/>
      <c r="X69" s="340"/>
    </row>
    <row r="70" spans="1:24" s="236" customFormat="1" outlineLevel="1">
      <c r="A70" s="340"/>
      <c r="B70" s="341" t="s">
        <v>24</v>
      </c>
      <c r="C70" s="342"/>
      <c r="D70" s="343">
        <v>14042</v>
      </c>
      <c r="E70" s="343" t="s">
        <v>1131</v>
      </c>
      <c r="F70" s="344"/>
      <c r="G70" s="344"/>
      <c r="H70" s="340"/>
      <c r="I70" s="340"/>
      <c r="J70" s="1630">
        <v>1341075</v>
      </c>
      <c r="K70" s="1631"/>
      <c r="L70" s="1632">
        <v>0</v>
      </c>
      <c r="M70" s="1631"/>
      <c r="N70" s="1632">
        <v>0</v>
      </c>
      <c r="O70" s="1631"/>
      <c r="P70" s="1632">
        <f t="shared" si="14"/>
        <v>1341075</v>
      </c>
      <c r="Q70" s="1631"/>
      <c r="R70" s="1632">
        <v>1341075</v>
      </c>
      <c r="S70" s="1632">
        <v>1341075</v>
      </c>
      <c r="T70" s="1632">
        <f t="shared" si="15"/>
        <v>1341075</v>
      </c>
      <c r="U70" s="1631"/>
      <c r="V70" s="1633">
        <f t="shared" si="16"/>
        <v>0</v>
      </c>
      <c r="W70" s="340"/>
      <c r="X70" s="340"/>
    </row>
    <row r="71" spans="1:24" s="236" customFormat="1" outlineLevel="1">
      <c r="A71" s="340"/>
      <c r="B71" s="341" t="s">
        <v>24</v>
      </c>
      <c r="C71" s="342"/>
      <c r="D71" s="343">
        <v>14043</v>
      </c>
      <c r="E71" s="343" t="s">
        <v>795</v>
      </c>
      <c r="F71" s="344"/>
      <c r="G71" s="344"/>
      <c r="H71" s="340"/>
      <c r="I71" s="340"/>
      <c r="J71" s="1630">
        <v>1569765.8</v>
      </c>
      <c r="K71" s="1631"/>
      <c r="L71" s="1632">
        <v>0</v>
      </c>
      <c r="M71" s="1631"/>
      <c r="N71" s="1632">
        <v>0</v>
      </c>
      <c r="O71" s="1631"/>
      <c r="P71" s="1632">
        <f t="shared" si="14"/>
        <v>1569765.8</v>
      </c>
      <c r="Q71" s="1631"/>
      <c r="R71" s="1632">
        <v>1569765.8</v>
      </c>
      <c r="S71" s="1632">
        <v>1569765.8</v>
      </c>
      <c r="T71" s="1632">
        <f t="shared" si="15"/>
        <v>1569765.8</v>
      </c>
      <c r="U71" s="1631"/>
      <c r="V71" s="1633">
        <f t="shared" si="16"/>
        <v>0</v>
      </c>
      <c r="W71" s="340"/>
      <c r="X71" s="340"/>
    </row>
    <row r="72" spans="1:24" s="236" customFormat="1" outlineLevel="1">
      <c r="A72" s="340"/>
      <c r="B72" s="341" t="s">
        <v>24</v>
      </c>
      <c r="C72" s="342"/>
      <c r="D72" s="343">
        <v>14044</v>
      </c>
      <c r="E72" s="343" t="s">
        <v>796</v>
      </c>
      <c r="F72" s="344"/>
      <c r="G72" s="344"/>
      <c r="H72" s="340"/>
      <c r="I72" s="340"/>
      <c r="J72" s="1630">
        <v>-1925397.85</v>
      </c>
      <c r="K72" s="1631"/>
      <c r="L72" s="1632">
        <v>0</v>
      </c>
      <c r="M72" s="1631"/>
      <c r="N72" s="1632">
        <v>0</v>
      </c>
      <c r="O72" s="1631"/>
      <c r="P72" s="1632">
        <f t="shared" si="14"/>
        <v>-1925397.85</v>
      </c>
      <c r="Q72" s="1631"/>
      <c r="R72" s="1632">
        <v>-1904101.85</v>
      </c>
      <c r="S72" s="1632">
        <v>-1925397.85</v>
      </c>
      <c r="T72" s="1632">
        <f t="shared" si="15"/>
        <v>-1925397.85</v>
      </c>
      <c r="U72" s="1631"/>
      <c r="V72" s="1633">
        <f t="shared" si="16"/>
        <v>0</v>
      </c>
      <c r="W72" s="340"/>
      <c r="X72" s="340"/>
    </row>
    <row r="73" spans="1:24" s="236" customFormat="1" outlineLevel="1">
      <c r="A73" s="340"/>
      <c r="B73" s="341" t="s">
        <v>24</v>
      </c>
      <c r="C73" s="342"/>
      <c r="D73" s="343">
        <v>14046</v>
      </c>
      <c r="E73" s="343" t="s">
        <v>797</v>
      </c>
      <c r="F73" s="344"/>
      <c r="G73" s="344"/>
      <c r="H73" s="340"/>
      <c r="I73" s="340"/>
      <c r="J73" s="1630">
        <v>-6822944.46</v>
      </c>
      <c r="K73" s="1631"/>
      <c r="L73" s="1632">
        <v>0</v>
      </c>
      <c r="M73" s="1631"/>
      <c r="N73" s="1632">
        <v>0</v>
      </c>
      <c r="O73" s="1631"/>
      <c r="P73" s="1632">
        <f t="shared" si="14"/>
        <v>-6822944.46</v>
      </c>
      <c r="Q73" s="1631"/>
      <c r="R73" s="1632">
        <v>-6677378.5199999996</v>
      </c>
      <c r="S73" s="1632">
        <v>-6751126.3700000001</v>
      </c>
      <c r="T73" s="1632">
        <f t="shared" si="15"/>
        <v>-6822944.46</v>
      </c>
      <c r="U73" s="1631"/>
      <c r="V73" s="1633">
        <f t="shared" si="16"/>
        <v>-71818.089999999851</v>
      </c>
      <c r="W73" s="340"/>
      <c r="X73" s="340"/>
    </row>
    <row r="74" spans="1:24" s="236" customFormat="1" outlineLevel="1">
      <c r="A74" s="340"/>
      <c r="B74" s="341" t="s">
        <v>24</v>
      </c>
      <c r="C74" s="342"/>
      <c r="D74" s="343">
        <v>14047</v>
      </c>
      <c r="E74" s="343" t="s">
        <v>795</v>
      </c>
      <c r="F74" s="344"/>
      <c r="G74" s="344"/>
      <c r="H74" s="340"/>
      <c r="I74" s="340"/>
      <c r="J74" s="1630">
        <v>-1367448.56</v>
      </c>
      <c r="K74" s="1631"/>
      <c r="L74" s="1632">
        <v>0</v>
      </c>
      <c r="M74" s="1631"/>
      <c r="N74" s="1632">
        <v>0</v>
      </c>
      <c r="O74" s="1631"/>
      <c r="P74" s="1632">
        <f t="shared" si="14"/>
        <v>-1367448.56</v>
      </c>
      <c r="Q74" s="1631"/>
      <c r="R74" s="1632">
        <v>-1367448.56</v>
      </c>
      <c r="S74" s="1632">
        <v>-1367448.56</v>
      </c>
      <c r="T74" s="1632">
        <f t="shared" si="15"/>
        <v>-1367448.56</v>
      </c>
      <c r="U74" s="1631"/>
      <c r="V74" s="1633">
        <f t="shared" si="16"/>
        <v>0</v>
      </c>
      <c r="W74" s="340"/>
      <c r="X74" s="340"/>
    </row>
    <row r="75" spans="1:24" s="236" customFormat="1" outlineLevel="1">
      <c r="A75" s="340"/>
      <c r="B75" s="341" t="s">
        <v>24</v>
      </c>
      <c r="C75" s="342"/>
      <c r="D75" s="343">
        <v>14048</v>
      </c>
      <c r="E75" s="343" t="s">
        <v>796</v>
      </c>
      <c r="F75" s="344"/>
      <c r="G75" s="344"/>
      <c r="H75" s="340"/>
      <c r="I75" s="340"/>
      <c r="J75" s="1630">
        <v>1905473.79</v>
      </c>
      <c r="K75" s="1631"/>
      <c r="L75" s="1632">
        <v>0</v>
      </c>
      <c r="M75" s="1631"/>
      <c r="N75" s="1632">
        <v>0</v>
      </c>
      <c r="O75" s="1631"/>
      <c r="P75" s="1632">
        <f t="shared" si="14"/>
        <v>1905473.79</v>
      </c>
      <c r="Q75" s="1631"/>
      <c r="R75" s="1632">
        <v>1884177.79</v>
      </c>
      <c r="S75" s="1632">
        <v>1905473.79</v>
      </c>
      <c r="T75" s="1632">
        <f t="shared" si="15"/>
        <v>1905473.79</v>
      </c>
      <c r="U75" s="1631"/>
      <c r="V75" s="1633">
        <f t="shared" si="16"/>
        <v>0</v>
      </c>
      <c r="W75" s="340"/>
      <c r="X75" s="340"/>
    </row>
    <row r="76" spans="1:24" s="236" customFormat="1" outlineLevel="1">
      <c r="A76" s="340"/>
      <c r="B76" s="341" t="s">
        <v>24</v>
      </c>
      <c r="C76" s="342"/>
      <c r="D76" s="343">
        <v>14051</v>
      </c>
      <c r="E76" s="343" t="s">
        <v>798</v>
      </c>
      <c r="F76" s="344"/>
      <c r="G76" s="344"/>
      <c r="H76" s="340"/>
      <c r="I76" s="340"/>
      <c r="J76" s="1630">
        <v>3057859.06</v>
      </c>
      <c r="K76" s="1631"/>
      <c r="L76" s="1632">
        <v>0</v>
      </c>
      <c r="M76" s="1631"/>
      <c r="N76" s="1632">
        <v>0</v>
      </c>
      <c r="O76" s="1631"/>
      <c r="P76" s="1632">
        <f t="shared" si="14"/>
        <v>3057859.06</v>
      </c>
      <c r="Q76" s="1631"/>
      <c r="R76" s="1632">
        <v>2979902.7</v>
      </c>
      <c r="S76" s="1632">
        <v>2979902.7</v>
      </c>
      <c r="T76" s="1632">
        <f t="shared" si="15"/>
        <v>3057859.06</v>
      </c>
      <c r="U76" s="1631"/>
      <c r="V76" s="1633">
        <f t="shared" si="16"/>
        <v>77956.35999999987</v>
      </c>
      <c r="W76" s="340"/>
      <c r="X76" s="340"/>
    </row>
    <row r="77" spans="1:24" s="236" customFormat="1" outlineLevel="1">
      <c r="A77" s="340"/>
      <c r="B77" s="341" t="s">
        <v>24</v>
      </c>
      <c r="C77" s="342"/>
      <c r="D77" s="343">
        <v>14052</v>
      </c>
      <c r="E77" s="343" t="s">
        <v>1132</v>
      </c>
      <c r="F77" s="344"/>
      <c r="G77" s="344"/>
      <c r="H77" s="340"/>
      <c r="I77" s="340"/>
      <c r="J77" s="1630">
        <v>775600</v>
      </c>
      <c r="K77" s="1631"/>
      <c r="L77" s="1632">
        <v>0</v>
      </c>
      <c r="M77" s="1631"/>
      <c r="N77" s="1632">
        <v>0</v>
      </c>
      <c r="O77" s="1631"/>
      <c r="P77" s="1632">
        <f t="shared" si="14"/>
        <v>775600</v>
      </c>
      <c r="Q77" s="1631"/>
      <c r="R77" s="1632">
        <v>775600</v>
      </c>
      <c r="S77" s="1632">
        <v>775600</v>
      </c>
      <c r="T77" s="1632">
        <f t="shared" si="15"/>
        <v>775600</v>
      </c>
      <c r="U77" s="1631"/>
      <c r="V77" s="1633">
        <f t="shared" si="16"/>
        <v>0</v>
      </c>
      <c r="W77" s="340"/>
      <c r="X77" s="340"/>
    </row>
    <row r="78" spans="1:24" s="236" customFormat="1" outlineLevel="1">
      <c r="A78" s="340"/>
      <c r="B78" s="341" t="s">
        <v>24</v>
      </c>
      <c r="C78" s="342"/>
      <c r="D78" s="343">
        <v>14053</v>
      </c>
      <c r="E78" s="343" t="s">
        <v>799</v>
      </c>
      <c r="F78" s="344"/>
      <c r="G78" s="344"/>
      <c r="H78" s="340"/>
      <c r="I78" s="340"/>
      <c r="J78" s="1630">
        <v>301549.65999999997</v>
      </c>
      <c r="K78" s="1631"/>
      <c r="L78" s="1632">
        <v>0</v>
      </c>
      <c r="M78" s="1631"/>
      <c r="N78" s="1632">
        <v>0</v>
      </c>
      <c r="O78" s="1631"/>
      <c r="P78" s="1632">
        <f t="shared" si="14"/>
        <v>301549.65999999997</v>
      </c>
      <c r="Q78" s="1631"/>
      <c r="R78" s="1632">
        <v>304454.45</v>
      </c>
      <c r="S78" s="1632">
        <v>301549.65999999997</v>
      </c>
      <c r="T78" s="1632">
        <f t="shared" si="15"/>
        <v>301549.65999999997</v>
      </c>
      <c r="U78" s="1631"/>
      <c r="V78" s="1633">
        <f t="shared" si="16"/>
        <v>0</v>
      </c>
      <c r="W78" s="340"/>
      <c r="X78" s="340"/>
    </row>
    <row r="79" spans="1:24" s="236" customFormat="1" outlineLevel="1">
      <c r="A79" s="340"/>
      <c r="B79" s="341" t="s">
        <v>24</v>
      </c>
      <c r="C79" s="342"/>
      <c r="D79" s="343">
        <v>14054</v>
      </c>
      <c r="E79" s="343" t="s">
        <v>800</v>
      </c>
      <c r="F79" s="344"/>
      <c r="G79" s="344"/>
      <c r="H79" s="340"/>
      <c r="I79" s="340"/>
      <c r="J79" s="1630">
        <v>-140448.54</v>
      </c>
      <c r="K79" s="1631"/>
      <c r="L79" s="1632">
        <v>0</v>
      </c>
      <c r="M79" s="1631"/>
      <c r="N79" s="1632">
        <v>0</v>
      </c>
      <c r="O79" s="1631"/>
      <c r="P79" s="1632">
        <f t="shared" si="14"/>
        <v>-140448.54</v>
      </c>
      <c r="Q79" s="1631"/>
      <c r="R79" s="1632">
        <v>-140448.54</v>
      </c>
      <c r="S79" s="1632">
        <v>-140448.54</v>
      </c>
      <c r="T79" s="1632">
        <f t="shared" si="15"/>
        <v>-140448.54</v>
      </c>
      <c r="U79" s="1631"/>
      <c r="V79" s="1633">
        <f t="shared" si="16"/>
        <v>0</v>
      </c>
      <c r="W79" s="340"/>
      <c r="X79" s="340"/>
    </row>
    <row r="80" spans="1:24" s="236" customFormat="1" outlineLevel="1">
      <c r="A80" s="340"/>
      <c r="B80" s="341" t="s">
        <v>24</v>
      </c>
      <c r="C80" s="342"/>
      <c r="D80" s="343">
        <v>14056</v>
      </c>
      <c r="E80" s="343" t="s">
        <v>801</v>
      </c>
      <c r="F80" s="344"/>
      <c r="G80" s="344"/>
      <c r="H80" s="340"/>
      <c r="I80" s="340"/>
      <c r="J80" s="1630">
        <v>-2320118.5699999998</v>
      </c>
      <c r="K80" s="1631"/>
      <c r="L80" s="1632">
        <v>0</v>
      </c>
      <c r="M80" s="1631"/>
      <c r="N80" s="1632">
        <v>0</v>
      </c>
      <c r="O80" s="1631"/>
      <c r="P80" s="1632">
        <f t="shared" si="14"/>
        <v>-2320118.5699999998</v>
      </c>
      <c r="Q80" s="1631"/>
      <c r="R80" s="1632">
        <v>-2281629.4300000002</v>
      </c>
      <c r="S80" s="1632">
        <v>-2300477.46</v>
      </c>
      <c r="T80" s="1632">
        <f t="shared" si="15"/>
        <v>-2320118.5699999998</v>
      </c>
      <c r="U80" s="1631"/>
      <c r="V80" s="1633">
        <f t="shared" si="16"/>
        <v>-19641.10999999987</v>
      </c>
      <c r="W80" s="340"/>
      <c r="X80" s="340"/>
    </row>
    <row r="81" spans="1:24" s="236" customFormat="1" outlineLevel="1">
      <c r="A81" s="340"/>
      <c r="B81" s="341" t="s">
        <v>24</v>
      </c>
      <c r="C81" s="342"/>
      <c r="D81" s="343">
        <v>14057</v>
      </c>
      <c r="E81" s="343" t="s">
        <v>802</v>
      </c>
      <c r="F81" s="344"/>
      <c r="G81" s="344"/>
      <c r="H81" s="340"/>
      <c r="I81" s="340"/>
      <c r="J81" s="1630">
        <v>-130655.33</v>
      </c>
      <c r="K81" s="1631"/>
      <c r="L81" s="1632">
        <v>0</v>
      </c>
      <c r="M81" s="1631"/>
      <c r="N81" s="1632">
        <v>0</v>
      </c>
      <c r="O81" s="1631"/>
      <c r="P81" s="1632">
        <f t="shared" si="14"/>
        <v>-130655.33</v>
      </c>
      <c r="Q81" s="1631"/>
      <c r="R81" s="1632">
        <v>-130966.56</v>
      </c>
      <c r="S81" s="1632">
        <v>-130655.33</v>
      </c>
      <c r="T81" s="1632">
        <f t="shared" si="15"/>
        <v>-130655.33</v>
      </c>
      <c r="U81" s="1631"/>
      <c r="V81" s="1633">
        <f t="shared" si="16"/>
        <v>0</v>
      </c>
      <c r="W81" s="340"/>
      <c r="X81" s="340"/>
    </row>
    <row r="82" spans="1:24" s="236" customFormat="1" outlineLevel="1">
      <c r="A82" s="340"/>
      <c r="B82" s="341" t="s">
        <v>24</v>
      </c>
      <c r="C82" s="342"/>
      <c r="D82" s="343">
        <v>14058</v>
      </c>
      <c r="E82" s="343" t="s">
        <v>803</v>
      </c>
      <c r="F82" s="344"/>
      <c r="G82" s="344"/>
      <c r="H82" s="340"/>
      <c r="I82" s="340"/>
      <c r="J82" s="1630">
        <v>87121.85</v>
      </c>
      <c r="K82" s="1631"/>
      <c r="L82" s="1632">
        <v>0</v>
      </c>
      <c r="M82" s="1631"/>
      <c r="N82" s="1632">
        <v>0</v>
      </c>
      <c r="O82" s="1631"/>
      <c r="P82" s="1632">
        <f t="shared" si="14"/>
        <v>87121.85</v>
      </c>
      <c r="Q82" s="1631"/>
      <c r="R82" s="1632">
        <v>87121.85</v>
      </c>
      <c r="S82" s="1632">
        <v>87121.85</v>
      </c>
      <c r="T82" s="1632">
        <f t="shared" si="15"/>
        <v>87121.85</v>
      </c>
      <c r="U82" s="1631"/>
      <c r="V82" s="1633">
        <f t="shared" si="16"/>
        <v>0</v>
      </c>
      <c r="W82" s="340"/>
      <c r="X82" s="340"/>
    </row>
    <row r="83" spans="1:24" s="236" customFormat="1" outlineLevel="1">
      <c r="A83" s="340"/>
      <c r="B83" s="341" t="s">
        <v>24</v>
      </c>
      <c r="C83" s="342"/>
      <c r="D83" s="343">
        <v>14071</v>
      </c>
      <c r="E83" s="343" t="s">
        <v>804</v>
      </c>
      <c r="F83" s="344"/>
      <c r="G83" s="344"/>
      <c r="H83" s="340"/>
      <c r="I83" s="340"/>
      <c r="J83" s="1630">
        <v>249770.69</v>
      </c>
      <c r="K83" s="1631"/>
      <c r="L83" s="1632">
        <v>0</v>
      </c>
      <c r="M83" s="1631"/>
      <c r="N83" s="1632">
        <v>0</v>
      </c>
      <c r="O83" s="1631"/>
      <c r="P83" s="1632">
        <f t="shared" si="14"/>
        <v>249770.69</v>
      </c>
      <c r="Q83" s="1631"/>
      <c r="R83" s="1632">
        <v>249770.69</v>
      </c>
      <c r="S83" s="1632">
        <v>249770.69</v>
      </c>
      <c r="T83" s="1632">
        <f t="shared" si="15"/>
        <v>249770.69</v>
      </c>
      <c r="U83" s="1631"/>
      <c r="V83" s="1633">
        <f t="shared" si="16"/>
        <v>0</v>
      </c>
      <c r="W83" s="340"/>
      <c r="X83" s="340"/>
    </row>
    <row r="84" spans="1:24" s="236" customFormat="1" outlineLevel="1">
      <c r="A84" s="340"/>
      <c r="B84" s="341" t="s">
        <v>24</v>
      </c>
      <c r="C84" s="342"/>
      <c r="D84" s="343">
        <v>14072</v>
      </c>
      <c r="E84" s="343" t="s">
        <v>1133</v>
      </c>
      <c r="F84" s="344"/>
      <c r="G84" s="344"/>
      <c r="H84" s="340"/>
      <c r="I84" s="340"/>
      <c r="J84" s="1630">
        <v>34650</v>
      </c>
      <c r="K84" s="1631"/>
      <c r="L84" s="1632">
        <v>0</v>
      </c>
      <c r="M84" s="1631"/>
      <c r="N84" s="1632">
        <v>0</v>
      </c>
      <c r="O84" s="1631"/>
      <c r="P84" s="1632">
        <f t="shared" si="14"/>
        <v>34650</v>
      </c>
      <c r="Q84" s="1631"/>
      <c r="R84" s="1632">
        <v>34650</v>
      </c>
      <c r="S84" s="1632">
        <v>34650</v>
      </c>
      <c r="T84" s="1632">
        <f t="shared" si="15"/>
        <v>34650</v>
      </c>
      <c r="U84" s="1631"/>
      <c r="V84" s="1633">
        <f t="shared" si="16"/>
        <v>0</v>
      </c>
      <c r="W84" s="340"/>
      <c r="X84" s="340"/>
    </row>
    <row r="85" spans="1:24" s="236" customFormat="1" outlineLevel="1">
      <c r="A85" s="340"/>
      <c r="B85" s="341" t="s">
        <v>24</v>
      </c>
      <c r="C85" s="342"/>
      <c r="D85" s="343">
        <v>14073</v>
      </c>
      <c r="E85" s="343" t="s">
        <v>805</v>
      </c>
      <c r="F85" s="344"/>
      <c r="G85" s="344"/>
      <c r="H85" s="340"/>
      <c r="I85" s="340"/>
      <c r="J85" s="1630">
        <v>16160.04</v>
      </c>
      <c r="K85" s="1631"/>
      <c r="L85" s="1632">
        <v>0</v>
      </c>
      <c r="M85" s="1631"/>
      <c r="N85" s="1632">
        <v>0</v>
      </c>
      <c r="O85" s="1631"/>
      <c r="P85" s="1632">
        <f t="shared" si="14"/>
        <v>16160.04</v>
      </c>
      <c r="Q85" s="1631"/>
      <c r="R85" s="1632">
        <v>10350</v>
      </c>
      <c r="S85" s="1632">
        <v>10350</v>
      </c>
      <c r="T85" s="1632">
        <f t="shared" si="15"/>
        <v>16160.04</v>
      </c>
      <c r="U85" s="1631"/>
      <c r="V85" s="1633">
        <f t="shared" si="16"/>
        <v>5810.0400000000009</v>
      </c>
      <c r="W85" s="340"/>
      <c r="X85" s="340"/>
    </row>
    <row r="86" spans="1:24" s="236" customFormat="1" outlineLevel="1">
      <c r="A86" s="340"/>
      <c r="B86" s="341" t="s">
        <v>24</v>
      </c>
      <c r="C86" s="342"/>
      <c r="D86" s="343">
        <v>14074</v>
      </c>
      <c r="E86" s="343" t="s">
        <v>806</v>
      </c>
      <c r="F86" s="344"/>
      <c r="G86" s="344"/>
      <c r="H86" s="340"/>
      <c r="I86" s="340"/>
      <c r="J86" s="1630">
        <v>-35195.22</v>
      </c>
      <c r="K86" s="1631"/>
      <c r="L86" s="1632">
        <v>0</v>
      </c>
      <c r="M86" s="1631"/>
      <c r="N86" s="1632">
        <v>0</v>
      </c>
      <c r="O86" s="1631"/>
      <c r="P86" s="1632">
        <f t="shared" si="14"/>
        <v>-35195.22</v>
      </c>
      <c r="Q86" s="1631"/>
      <c r="R86" s="1632">
        <v>-35195.22</v>
      </c>
      <c r="S86" s="1632">
        <v>-35195.22</v>
      </c>
      <c r="T86" s="1632">
        <f t="shared" si="15"/>
        <v>-35195.22</v>
      </c>
      <c r="U86" s="1631"/>
      <c r="V86" s="1633">
        <f t="shared" si="16"/>
        <v>0</v>
      </c>
      <c r="W86" s="340"/>
      <c r="X86" s="340"/>
    </row>
    <row r="87" spans="1:24" s="236" customFormat="1" outlineLevel="1">
      <c r="A87" s="340"/>
      <c r="B87" s="341" t="s">
        <v>24</v>
      </c>
      <c r="C87" s="342"/>
      <c r="D87" s="343">
        <v>14076</v>
      </c>
      <c r="E87" s="343" t="s">
        <v>807</v>
      </c>
      <c r="F87" s="344"/>
      <c r="G87" s="344"/>
      <c r="H87" s="340"/>
      <c r="I87" s="340"/>
      <c r="J87" s="1630">
        <v>-211422.48</v>
      </c>
      <c r="K87" s="1631"/>
      <c r="L87" s="1632">
        <v>0</v>
      </c>
      <c r="M87" s="1631"/>
      <c r="N87" s="1632">
        <v>0</v>
      </c>
      <c r="O87" s="1631"/>
      <c r="P87" s="1632">
        <f t="shared" si="14"/>
        <v>-211422.48</v>
      </c>
      <c r="Q87" s="1631"/>
      <c r="R87" s="1632">
        <v>-206920.06</v>
      </c>
      <c r="S87" s="1632">
        <v>-209122.85</v>
      </c>
      <c r="T87" s="1632">
        <f t="shared" si="15"/>
        <v>-211422.48</v>
      </c>
      <c r="U87" s="1631"/>
      <c r="V87" s="1633">
        <f t="shared" si="16"/>
        <v>-2299.6300000000047</v>
      </c>
      <c r="W87" s="340"/>
      <c r="X87" s="340"/>
    </row>
    <row r="88" spans="1:24" s="236" customFormat="1" outlineLevel="1">
      <c r="A88" s="340"/>
      <c r="B88" s="341" t="s">
        <v>24</v>
      </c>
      <c r="C88" s="342"/>
      <c r="D88" s="343">
        <v>14077</v>
      </c>
      <c r="E88" s="343" t="s">
        <v>808</v>
      </c>
      <c r="F88" s="344"/>
      <c r="G88" s="344"/>
      <c r="H88" s="340"/>
      <c r="I88" s="340"/>
      <c r="J88" s="1630">
        <v>-7232.84</v>
      </c>
      <c r="K88" s="1631"/>
      <c r="L88" s="1632">
        <v>0</v>
      </c>
      <c r="M88" s="1631"/>
      <c r="N88" s="1632">
        <v>0</v>
      </c>
      <c r="O88" s="1631"/>
      <c r="P88" s="1632">
        <f t="shared" si="14"/>
        <v>-7232.84</v>
      </c>
      <c r="Q88" s="1631"/>
      <c r="R88" s="1632">
        <v>-6555</v>
      </c>
      <c r="S88" s="1632">
        <v>-6555</v>
      </c>
      <c r="T88" s="1632">
        <f t="shared" si="15"/>
        <v>-7232.84</v>
      </c>
      <c r="U88" s="1631"/>
      <c r="V88" s="1633">
        <f t="shared" si="16"/>
        <v>-677.84000000000015</v>
      </c>
      <c r="W88" s="340"/>
      <c r="X88" s="340"/>
    </row>
    <row r="89" spans="1:24" s="236" customFormat="1" outlineLevel="1">
      <c r="A89" s="340"/>
      <c r="B89" s="341" t="s">
        <v>24</v>
      </c>
      <c r="C89" s="342"/>
      <c r="D89" s="343">
        <v>14078</v>
      </c>
      <c r="E89" s="343" t="s">
        <v>809</v>
      </c>
      <c r="F89" s="344"/>
      <c r="G89" s="344"/>
      <c r="H89" s="340"/>
      <c r="I89" s="340"/>
      <c r="J89" s="1630">
        <v>35195.22</v>
      </c>
      <c r="K89" s="1631"/>
      <c r="L89" s="1632">
        <v>0</v>
      </c>
      <c r="M89" s="1631"/>
      <c r="N89" s="1632">
        <v>0</v>
      </c>
      <c r="O89" s="1631"/>
      <c r="P89" s="1632">
        <f t="shared" si="14"/>
        <v>35195.22</v>
      </c>
      <c r="Q89" s="1631"/>
      <c r="R89" s="1632">
        <v>35195.22</v>
      </c>
      <c r="S89" s="1632">
        <v>35195.22</v>
      </c>
      <c r="T89" s="1632">
        <f t="shared" si="15"/>
        <v>35195.22</v>
      </c>
      <c r="U89" s="1631"/>
      <c r="V89" s="1633">
        <f t="shared" si="16"/>
        <v>0</v>
      </c>
      <c r="W89" s="340"/>
      <c r="X89" s="340"/>
    </row>
    <row r="90" spans="1:24" s="236" customFormat="1" outlineLevel="1">
      <c r="A90" s="340"/>
      <c r="B90" s="341" t="s">
        <v>24</v>
      </c>
      <c r="C90" s="342"/>
      <c r="D90" s="343">
        <v>14081</v>
      </c>
      <c r="E90" s="343" t="s">
        <v>810</v>
      </c>
      <c r="F90" s="344"/>
      <c r="G90" s="344"/>
      <c r="H90" s="340"/>
      <c r="I90" s="340"/>
      <c r="J90" s="1630">
        <v>194463.76</v>
      </c>
      <c r="K90" s="1631"/>
      <c r="L90" s="1632">
        <v>0</v>
      </c>
      <c r="M90" s="1631"/>
      <c r="N90" s="1632">
        <v>0</v>
      </c>
      <c r="O90" s="1631"/>
      <c r="P90" s="1632">
        <f t="shared" si="14"/>
        <v>194463.76</v>
      </c>
      <c r="Q90" s="1631"/>
      <c r="R90" s="1632">
        <v>194463.76</v>
      </c>
      <c r="S90" s="1632">
        <v>194463.76</v>
      </c>
      <c r="T90" s="1632">
        <f t="shared" si="15"/>
        <v>194463.76</v>
      </c>
      <c r="U90" s="1631"/>
      <c r="V90" s="1633">
        <f t="shared" si="16"/>
        <v>0</v>
      </c>
      <c r="W90" s="340"/>
      <c r="X90" s="340"/>
    </row>
    <row r="91" spans="1:24" s="236" customFormat="1" outlineLevel="1">
      <c r="A91" s="340"/>
      <c r="B91" s="341" t="s">
        <v>24</v>
      </c>
      <c r="C91" s="342"/>
      <c r="D91" s="343">
        <v>14082</v>
      </c>
      <c r="E91" s="343" t="s">
        <v>1134</v>
      </c>
      <c r="F91" s="344"/>
      <c r="G91" s="344"/>
      <c r="H91" s="340"/>
      <c r="I91" s="340"/>
      <c r="J91" s="1630">
        <v>834400</v>
      </c>
      <c r="K91" s="1631"/>
      <c r="L91" s="1632">
        <v>0</v>
      </c>
      <c r="M91" s="1631"/>
      <c r="N91" s="1632">
        <v>0</v>
      </c>
      <c r="O91" s="1631"/>
      <c r="P91" s="1632">
        <f t="shared" si="14"/>
        <v>834400</v>
      </c>
      <c r="Q91" s="1631"/>
      <c r="R91" s="1632">
        <v>834400</v>
      </c>
      <c r="S91" s="1632">
        <v>834400</v>
      </c>
      <c r="T91" s="1632">
        <f t="shared" si="15"/>
        <v>834400</v>
      </c>
      <c r="U91" s="1631"/>
      <c r="V91" s="1633">
        <f t="shared" si="16"/>
        <v>0</v>
      </c>
      <c r="W91" s="340"/>
      <c r="X91" s="340"/>
    </row>
    <row r="92" spans="1:24" s="236" customFormat="1" outlineLevel="1">
      <c r="A92" s="340"/>
      <c r="B92" s="341" t="s">
        <v>24</v>
      </c>
      <c r="C92" s="342"/>
      <c r="D92" s="343">
        <v>14086</v>
      </c>
      <c r="E92" s="343" t="s">
        <v>811</v>
      </c>
      <c r="F92" s="344"/>
      <c r="G92" s="344"/>
      <c r="H92" s="340"/>
      <c r="I92" s="340"/>
      <c r="J92" s="1630">
        <v>-599511.72</v>
      </c>
      <c r="K92" s="1631"/>
      <c r="L92" s="1632">
        <v>0</v>
      </c>
      <c r="M92" s="1631"/>
      <c r="N92" s="1632">
        <v>0</v>
      </c>
      <c r="O92" s="1631"/>
      <c r="P92" s="1632">
        <f t="shared" si="14"/>
        <v>-599511.72</v>
      </c>
      <c r="Q92" s="1631"/>
      <c r="R92" s="1632">
        <v>-590224.35</v>
      </c>
      <c r="S92" s="1632">
        <v>-594868.05000000005</v>
      </c>
      <c r="T92" s="1632">
        <f t="shared" si="15"/>
        <v>-599511.72</v>
      </c>
      <c r="U92" s="1631"/>
      <c r="V92" s="1633">
        <f t="shared" si="16"/>
        <v>-4643.6699999999255</v>
      </c>
      <c r="W92" s="340"/>
      <c r="X92" s="340"/>
    </row>
    <row r="93" spans="1:24" s="236" customFormat="1" outlineLevel="1">
      <c r="A93" s="340"/>
      <c r="B93" s="341" t="s">
        <v>24</v>
      </c>
      <c r="C93" s="342"/>
      <c r="D93" s="343">
        <v>14101</v>
      </c>
      <c r="E93" s="343" t="s">
        <v>812</v>
      </c>
      <c r="F93" s="344"/>
      <c r="G93" s="344"/>
      <c r="H93" s="340"/>
      <c r="I93" s="340"/>
      <c r="J93" s="1630">
        <v>15160.03</v>
      </c>
      <c r="K93" s="1631"/>
      <c r="L93" s="1632">
        <v>0</v>
      </c>
      <c r="M93" s="1631"/>
      <c r="N93" s="1632">
        <v>0</v>
      </c>
      <c r="O93" s="1631"/>
      <c r="P93" s="1632">
        <f t="shared" si="14"/>
        <v>15160.03</v>
      </c>
      <c r="Q93" s="1631"/>
      <c r="R93" s="1632">
        <v>15160.03</v>
      </c>
      <c r="S93" s="1632">
        <v>15160.03</v>
      </c>
      <c r="T93" s="1632">
        <f t="shared" si="15"/>
        <v>15160.03</v>
      </c>
      <c r="U93" s="1631"/>
      <c r="V93" s="1633">
        <f t="shared" si="16"/>
        <v>0</v>
      </c>
      <c r="W93" s="340"/>
      <c r="X93" s="340"/>
    </row>
    <row r="94" spans="1:24" s="236" customFormat="1" outlineLevel="1">
      <c r="A94" s="340"/>
      <c r="B94" s="341" t="s">
        <v>24</v>
      </c>
      <c r="C94" s="342"/>
      <c r="D94" s="343">
        <v>14106</v>
      </c>
      <c r="E94" s="343" t="s">
        <v>813</v>
      </c>
      <c r="F94" s="344"/>
      <c r="G94" s="344"/>
      <c r="H94" s="340"/>
      <c r="I94" s="340"/>
      <c r="J94" s="1630">
        <v>-15160.03</v>
      </c>
      <c r="K94" s="1631"/>
      <c r="L94" s="1632">
        <v>0</v>
      </c>
      <c r="M94" s="1631"/>
      <c r="N94" s="1632">
        <v>0</v>
      </c>
      <c r="O94" s="1631"/>
      <c r="P94" s="1632">
        <f t="shared" si="14"/>
        <v>-15160.03</v>
      </c>
      <c r="Q94" s="1631"/>
      <c r="R94" s="1632">
        <v>-15160.03</v>
      </c>
      <c r="S94" s="1632">
        <v>-15160.03</v>
      </c>
      <c r="T94" s="1632">
        <f t="shared" si="15"/>
        <v>-15160.03</v>
      </c>
      <c r="U94" s="1631"/>
      <c r="V94" s="1633">
        <f t="shared" si="16"/>
        <v>0</v>
      </c>
      <c r="W94" s="340"/>
      <c r="X94" s="340"/>
    </row>
    <row r="95" spans="1:24" s="236" customFormat="1" outlineLevel="1">
      <c r="A95" s="340"/>
      <c r="B95" s="341" t="s">
        <v>24</v>
      </c>
      <c r="C95" s="342"/>
      <c r="D95" s="343">
        <v>14111</v>
      </c>
      <c r="E95" s="343" t="s">
        <v>814</v>
      </c>
      <c r="F95" s="344"/>
      <c r="G95" s="344"/>
      <c r="H95" s="340"/>
      <c r="I95" s="340"/>
      <c r="J95" s="1630">
        <v>66667.759999999995</v>
      </c>
      <c r="K95" s="1631"/>
      <c r="L95" s="1632">
        <v>0</v>
      </c>
      <c r="M95" s="1631"/>
      <c r="N95" s="1632">
        <v>0</v>
      </c>
      <c r="O95" s="1631"/>
      <c r="P95" s="1632">
        <f t="shared" si="14"/>
        <v>66667.759999999995</v>
      </c>
      <c r="Q95" s="1631"/>
      <c r="R95" s="1632">
        <v>66667.759999999995</v>
      </c>
      <c r="S95" s="1632">
        <v>66667.759999999995</v>
      </c>
      <c r="T95" s="1632">
        <f t="shared" si="15"/>
        <v>66667.759999999995</v>
      </c>
      <c r="U95" s="1631"/>
      <c r="V95" s="1633">
        <f t="shared" si="16"/>
        <v>0</v>
      </c>
      <c r="W95" s="340"/>
      <c r="X95" s="340"/>
    </row>
    <row r="96" spans="1:24" s="236" customFormat="1" outlineLevel="1">
      <c r="A96" s="340"/>
      <c r="B96" s="341" t="s">
        <v>24</v>
      </c>
      <c r="C96" s="342"/>
      <c r="D96" s="343">
        <v>14113</v>
      </c>
      <c r="E96" s="343" t="s">
        <v>815</v>
      </c>
      <c r="F96" s="344"/>
      <c r="G96" s="344"/>
      <c r="H96" s="340"/>
      <c r="I96" s="340"/>
      <c r="J96" s="1630">
        <v>-666.75</v>
      </c>
      <c r="K96" s="1631"/>
      <c r="L96" s="1632">
        <v>0</v>
      </c>
      <c r="M96" s="1631"/>
      <c r="N96" s="1632">
        <v>0</v>
      </c>
      <c r="O96" s="1631"/>
      <c r="P96" s="1632">
        <f t="shared" si="14"/>
        <v>-666.75</v>
      </c>
      <c r="Q96" s="1631"/>
      <c r="R96" s="1632">
        <v>-666.75</v>
      </c>
      <c r="S96" s="1632">
        <v>-666.75</v>
      </c>
      <c r="T96" s="1632">
        <f t="shared" si="15"/>
        <v>-666.75</v>
      </c>
      <c r="U96" s="1631"/>
      <c r="V96" s="1633">
        <f t="shared" si="16"/>
        <v>0</v>
      </c>
      <c r="W96" s="340"/>
      <c r="X96" s="340"/>
    </row>
    <row r="97" spans="1:25" s="236" customFormat="1" outlineLevel="1">
      <c r="A97" s="340"/>
      <c r="B97" s="341" t="s">
        <v>24</v>
      </c>
      <c r="C97" s="342"/>
      <c r="D97" s="343">
        <v>14116</v>
      </c>
      <c r="E97" s="343" t="s">
        <v>816</v>
      </c>
      <c r="F97" s="344"/>
      <c r="G97" s="344"/>
      <c r="H97" s="340"/>
      <c r="I97" s="340"/>
      <c r="J97" s="1630">
        <v>-63538.51</v>
      </c>
      <c r="K97" s="1631"/>
      <c r="L97" s="1632">
        <v>0</v>
      </c>
      <c r="M97" s="1631"/>
      <c r="N97" s="1632">
        <v>0</v>
      </c>
      <c r="O97" s="1631"/>
      <c r="P97" s="1632">
        <f t="shared" si="14"/>
        <v>-63538.51</v>
      </c>
      <c r="Q97" s="1631"/>
      <c r="R97" s="1632">
        <v>-63117.83</v>
      </c>
      <c r="S97" s="1632">
        <v>-63328.17</v>
      </c>
      <c r="T97" s="1632">
        <f t="shared" si="15"/>
        <v>-63538.51</v>
      </c>
      <c r="U97" s="1631"/>
      <c r="V97" s="1633">
        <f t="shared" si="16"/>
        <v>-210.34000000000378</v>
      </c>
      <c r="W97" s="340"/>
      <c r="X97" s="340"/>
    </row>
    <row r="98" spans="1:25" s="236" customFormat="1" outlineLevel="1">
      <c r="A98" s="340"/>
      <c r="B98" s="341" t="s">
        <v>24</v>
      </c>
      <c r="C98" s="342"/>
      <c r="D98" s="343">
        <v>14117</v>
      </c>
      <c r="E98" s="343" t="s">
        <v>817</v>
      </c>
      <c r="F98" s="344"/>
      <c r="G98" s="344"/>
      <c r="H98" s="340"/>
      <c r="I98" s="340"/>
      <c r="J98" s="1630">
        <v>464.33</v>
      </c>
      <c r="K98" s="1631"/>
      <c r="L98" s="1632">
        <v>0</v>
      </c>
      <c r="M98" s="1631"/>
      <c r="N98" s="1632">
        <v>0</v>
      </c>
      <c r="O98" s="1631"/>
      <c r="P98" s="1632">
        <f t="shared" si="14"/>
        <v>464.33</v>
      </c>
      <c r="Q98" s="1631"/>
      <c r="R98" s="1632">
        <v>464.33</v>
      </c>
      <c r="S98" s="1632">
        <v>464.33</v>
      </c>
      <c r="T98" s="1632">
        <f t="shared" si="15"/>
        <v>464.33</v>
      </c>
      <c r="U98" s="1631"/>
      <c r="V98" s="1633">
        <f t="shared" si="16"/>
        <v>0</v>
      </c>
      <c r="W98" s="340"/>
      <c r="X98" s="340"/>
    </row>
    <row r="99" spans="1:25" s="236" customFormat="1" outlineLevel="1">
      <c r="A99" s="340"/>
      <c r="B99" s="341" t="s">
        <v>24</v>
      </c>
      <c r="C99" s="342"/>
      <c r="D99" s="343">
        <v>14121</v>
      </c>
      <c r="E99" s="343" t="s">
        <v>937</v>
      </c>
      <c r="F99" s="344"/>
      <c r="G99" s="344"/>
      <c r="H99" s="340"/>
      <c r="I99" s="340"/>
      <c r="J99" s="1630">
        <v>750.55</v>
      </c>
      <c r="K99" s="1631"/>
      <c r="L99" s="1632">
        <v>0</v>
      </c>
      <c r="M99" s="1631"/>
      <c r="N99" s="1632">
        <v>0</v>
      </c>
      <c r="O99" s="1631"/>
      <c r="P99" s="1632">
        <f t="shared" si="14"/>
        <v>750.55</v>
      </c>
      <c r="Q99" s="1631"/>
      <c r="R99" s="1632">
        <v>0</v>
      </c>
      <c r="S99" s="1632">
        <v>0</v>
      </c>
      <c r="T99" s="1632">
        <f t="shared" si="15"/>
        <v>750.55</v>
      </c>
      <c r="U99" s="1631"/>
      <c r="V99" s="1633">
        <f t="shared" si="16"/>
        <v>750.55</v>
      </c>
      <c r="W99" s="340"/>
      <c r="X99" s="340"/>
    </row>
    <row r="100" spans="1:25" s="236" customFormat="1" outlineLevel="1">
      <c r="A100" s="340"/>
      <c r="B100" s="341" t="s">
        <v>24</v>
      </c>
      <c r="C100" s="342"/>
      <c r="D100" s="343">
        <v>14201</v>
      </c>
      <c r="E100" s="343" t="s">
        <v>818</v>
      </c>
      <c r="F100" s="344"/>
      <c r="G100" s="344"/>
      <c r="H100" s="340"/>
      <c r="I100" s="340"/>
      <c r="J100" s="1630">
        <v>185860.38</v>
      </c>
      <c r="K100" s="1631"/>
      <c r="L100" s="1632">
        <v>0</v>
      </c>
      <c r="M100" s="1631"/>
      <c r="N100" s="1632">
        <v>0</v>
      </c>
      <c r="O100" s="1631"/>
      <c r="P100" s="1632">
        <f t="shared" si="14"/>
        <v>185860.38</v>
      </c>
      <c r="Q100" s="1631"/>
      <c r="R100" s="1632">
        <v>308930.18</v>
      </c>
      <c r="S100" s="1632">
        <v>185860.38</v>
      </c>
      <c r="T100" s="1632">
        <f t="shared" si="15"/>
        <v>185860.38</v>
      </c>
      <c r="U100" s="1631"/>
      <c r="V100" s="1633">
        <f t="shared" si="16"/>
        <v>0</v>
      </c>
      <c r="W100" s="340"/>
      <c r="X100" s="340"/>
    </row>
    <row r="101" spans="1:25" s="236" customFormat="1" ht="4.5" customHeight="1" outlineLevel="1">
      <c r="A101" s="368" t="s">
        <v>17</v>
      </c>
      <c r="B101" s="368" t="s">
        <v>17</v>
      </c>
      <c r="C101" s="368"/>
      <c r="D101" s="370"/>
      <c r="E101" s="340"/>
      <c r="F101" s="340"/>
      <c r="G101" s="340"/>
      <c r="H101" s="340"/>
      <c r="I101" s="340"/>
      <c r="J101" s="1637"/>
      <c r="K101" s="1631"/>
      <c r="L101" s="1638"/>
      <c r="M101" s="1631"/>
      <c r="N101" s="1638"/>
      <c r="O101" s="1631"/>
      <c r="P101" s="1638"/>
      <c r="Q101" s="1631"/>
      <c r="R101" s="1638"/>
      <c r="S101" s="1638"/>
      <c r="T101" s="1638"/>
      <c r="U101" s="1631"/>
      <c r="V101" s="1639"/>
      <c r="W101" s="340"/>
      <c r="X101" s="340"/>
      <c r="Y101" s="340"/>
    </row>
    <row r="102" spans="1:25" s="236" customFormat="1">
      <c r="A102" s="342" t="s">
        <v>789</v>
      </c>
      <c r="B102" s="368" t="s">
        <v>17</v>
      </c>
      <c r="C102" s="368"/>
      <c r="D102" s="340"/>
      <c r="E102" s="340"/>
      <c r="F102" s="340" t="s">
        <v>819</v>
      </c>
      <c r="G102" s="340"/>
      <c r="H102" s="340"/>
      <c r="I102" s="340"/>
      <c r="J102" s="1630">
        <f>SUM(J63:J101)</f>
        <v>7780090.2700000005</v>
      </c>
      <c r="K102" s="1631"/>
      <c r="L102" s="1632">
        <f>SUM(L63:L101)</f>
        <v>0</v>
      </c>
      <c r="M102" s="1631"/>
      <c r="N102" s="1632">
        <f>SUM(N63:N101)</f>
        <v>0</v>
      </c>
      <c r="O102" s="1631"/>
      <c r="P102" s="1632">
        <f>J102+L102+N102</f>
        <v>7780090.2700000005</v>
      </c>
      <c r="Q102" s="1631"/>
      <c r="R102" s="1632">
        <f>SUM(R63:R101)</f>
        <v>7795133.8000000017</v>
      </c>
      <c r="S102" s="1632">
        <f>SUM(S63:S101)</f>
        <v>7798123.0300000012</v>
      </c>
      <c r="T102" s="1632">
        <f>SUM(T63:T101)</f>
        <v>7780090.2700000005</v>
      </c>
      <c r="U102" s="1631"/>
      <c r="V102" s="1633">
        <f>SUM(V63:V101)</f>
        <v>-18032.759999999784</v>
      </c>
      <c r="W102" s="340"/>
      <c r="X102" s="340"/>
      <c r="Y102" s="340"/>
    </row>
    <row r="103" spans="1:25" s="236" customFormat="1" outlineLevel="1">
      <c r="A103" s="340"/>
      <c r="B103" s="341" t="s">
        <v>820</v>
      </c>
      <c r="C103" s="342"/>
      <c r="D103" s="343"/>
      <c r="E103" s="343"/>
      <c r="F103" s="344"/>
      <c r="G103" s="344"/>
      <c r="H103" s="340"/>
      <c r="I103" s="340"/>
      <c r="J103" s="1630"/>
      <c r="K103" s="1631"/>
      <c r="L103" s="1632"/>
      <c r="M103" s="1631"/>
      <c r="N103" s="1632"/>
      <c r="O103" s="1631"/>
      <c r="P103" s="1632">
        <f>J103+L103+N103</f>
        <v>0</v>
      </c>
      <c r="Q103" s="1631"/>
      <c r="R103" s="1632"/>
      <c r="S103" s="1632"/>
      <c r="T103" s="1632">
        <f>P103</f>
        <v>0</v>
      </c>
      <c r="U103" s="1631"/>
      <c r="V103" s="1633">
        <f>T103-S103</f>
        <v>0</v>
      </c>
      <c r="W103" s="340"/>
      <c r="X103" s="340"/>
    </row>
    <row r="104" spans="1:25" s="236" customFormat="1" ht="5.0999999999999996" customHeight="1" outlineLevel="1">
      <c r="A104" s="368" t="s">
        <v>17</v>
      </c>
      <c r="B104" s="368" t="s">
        <v>17</v>
      </c>
      <c r="C104" s="368"/>
      <c r="D104" s="344"/>
      <c r="E104" s="344"/>
      <c r="F104" s="344"/>
      <c r="G104" s="344"/>
      <c r="H104" s="340"/>
      <c r="I104" s="340"/>
      <c r="J104" s="1637"/>
      <c r="K104" s="1631"/>
      <c r="L104" s="1638"/>
      <c r="M104" s="1631"/>
      <c r="N104" s="1638"/>
      <c r="O104" s="1631"/>
      <c r="P104" s="1638"/>
      <c r="Q104" s="1631"/>
      <c r="R104" s="1638"/>
      <c r="S104" s="1638"/>
      <c r="T104" s="1638"/>
      <c r="U104" s="1631"/>
      <c r="V104" s="1639"/>
      <c r="W104" s="340"/>
      <c r="X104" s="340"/>
      <c r="Y104" s="340"/>
    </row>
    <row r="105" spans="1:25" s="236" customFormat="1">
      <c r="A105" s="342" t="s">
        <v>820</v>
      </c>
      <c r="B105" s="368" t="s">
        <v>17</v>
      </c>
      <c r="C105" s="368"/>
      <c r="D105" s="340"/>
      <c r="E105" s="340"/>
      <c r="F105" s="343" t="s">
        <v>821</v>
      </c>
      <c r="G105" s="340"/>
      <c r="H105" s="340"/>
      <c r="I105" s="340"/>
      <c r="J105" s="1630">
        <f>SUM(J103:J104)</f>
        <v>0</v>
      </c>
      <c r="K105" s="1631"/>
      <c r="L105" s="1632">
        <f>SUM(L103:L104)</f>
        <v>0</v>
      </c>
      <c r="M105" s="1631"/>
      <c r="N105" s="1632">
        <f>SUM(N103:N104)</f>
        <v>0</v>
      </c>
      <c r="O105" s="1631"/>
      <c r="P105" s="1632">
        <f>J105+L105+N105</f>
        <v>0</v>
      </c>
      <c r="Q105" s="1631"/>
      <c r="R105" s="1632">
        <f>SUM(R103:R104)</f>
        <v>0</v>
      </c>
      <c r="S105" s="1632">
        <f>SUM(S103:S104)</f>
        <v>0</v>
      </c>
      <c r="T105" s="1632">
        <f>SUM(T103:T104)</f>
        <v>0</v>
      </c>
      <c r="U105" s="1631"/>
      <c r="V105" s="1633">
        <f>SUM(V103:V104)</f>
        <v>0</v>
      </c>
      <c r="W105" s="340"/>
      <c r="X105" s="340"/>
      <c r="Y105" s="340"/>
    </row>
    <row r="106" spans="1:25" s="236" customFormat="1" outlineLevel="1">
      <c r="A106" s="340"/>
      <c r="B106" s="341" t="s">
        <v>822</v>
      </c>
      <c r="C106" s="342"/>
      <c r="D106" s="343"/>
      <c r="E106" s="343"/>
      <c r="F106" s="344"/>
      <c r="G106" s="344"/>
      <c r="H106" s="340"/>
      <c r="I106" s="340"/>
      <c r="J106" s="1630"/>
      <c r="K106" s="1631"/>
      <c r="L106" s="1632"/>
      <c r="M106" s="1631"/>
      <c r="N106" s="1632"/>
      <c r="O106" s="1631"/>
      <c r="P106" s="1632">
        <f>J106+L106+N106</f>
        <v>0</v>
      </c>
      <c r="Q106" s="1631"/>
      <c r="R106" s="1632"/>
      <c r="S106" s="1632"/>
      <c r="T106" s="1632">
        <f>P106</f>
        <v>0</v>
      </c>
      <c r="U106" s="1631"/>
      <c r="V106" s="1633">
        <f>T106-S106</f>
        <v>0</v>
      </c>
      <c r="W106" s="340"/>
      <c r="X106" s="340"/>
    </row>
    <row r="107" spans="1:25" s="236" customFormat="1" ht="4.5" customHeight="1" outlineLevel="1">
      <c r="A107" s="368" t="s">
        <v>17</v>
      </c>
      <c r="B107" s="340" t="s">
        <v>17</v>
      </c>
      <c r="C107" s="371"/>
      <c r="D107" s="370"/>
      <c r="E107" s="340"/>
      <c r="F107" s="340"/>
      <c r="G107" s="340"/>
      <c r="H107" s="340"/>
      <c r="I107" s="340"/>
      <c r="J107" s="1637"/>
      <c r="K107" s="1631"/>
      <c r="L107" s="1638"/>
      <c r="M107" s="1631"/>
      <c r="N107" s="1638"/>
      <c r="O107" s="1631"/>
      <c r="P107" s="1638"/>
      <c r="Q107" s="1631"/>
      <c r="R107" s="1638"/>
      <c r="S107" s="1638"/>
      <c r="T107" s="1638"/>
      <c r="U107" s="1631"/>
      <c r="V107" s="1639"/>
      <c r="W107" s="340"/>
      <c r="X107" s="340"/>
      <c r="Y107" s="340"/>
    </row>
    <row r="108" spans="1:25" s="236" customFormat="1">
      <c r="A108" s="342" t="s">
        <v>822</v>
      </c>
      <c r="B108" s="368" t="s">
        <v>17</v>
      </c>
      <c r="C108" s="368"/>
      <c r="D108" s="340"/>
      <c r="E108" s="340"/>
      <c r="F108" s="340" t="s">
        <v>823</v>
      </c>
      <c r="G108" s="340"/>
      <c r="H108" s="340"/>
      <c r="I108" s="340"/>
      <c r="J108" s="1630">
        <f>SUM(J106:J107)</f>
        <v>0</v>
      </c>
      <c r="K108" s="1631"/>
      <c r="L108" s="1632">
        <f>SUM(L106:L107)</f>
        <v>0</v>
      </c>
      <c r="M108" s="1631"/>
      <c r="N108" s="1632">
        <f>SUM(N106:N107)</f>
        <v>0</v>
      </c>
      <c r="O108" s="1631"/>
      <c r="P108" s="1632">
        <f>J108+L108+N108</f>
        <v>0</v>
      </c>
      <c r="Q108" s="1631"/>
      <c r="R108" s="1632">
        <f>SUM(R106:R107)</f>
        <v>0</v>
      </c>
      <c r="S108" s="1632">
        <f>SUM(S106:S107)</f>
        <v>0</v>
      </c>
      <c r="T108" s="1632">
        <f>SUM(T106:T107)</f>
        <v>0</v>
      </c>
      <c r="U108" s="1631"/>
      <c r="V108" s="1633">
        <f>SUM(V106:V107)</f>
        <v>0</v>
      </c>
      <c r="W108" s="340"/>
      <c r="X108" s="340"/>
      <c r="Y108" s="340"/>
    </row>
    <row r="109" spans="1:25" s="236" customFormat="1" outlineLevel="1">
      <c r="A109" s="340"/>
      <c r="B109" s="341" t="s">
        <v>824</v>
      </c>
      <c r="C109" s="342"/>
      <c r="D109" s="343">
        <v>15111</v>
      </c>
      <c r="E109" s="343" t="s">
        <v>825</v>
      </c>
      <c r="F109" s="344"/>
      <c r="G109" s="344"/>
      <c r="H109" s="340"/>
      <c r="I109" s="340"/>
      <c r="J109" s="1630">
        <v>886998.82</v>
      </c>
      <c r="K109" s="1631"/>
      <c r="L109" s="1632">
        <v>0</v>
      </c>
      <c r="M109" s="1631"/>
      <c r="N109" s="1632">
        <v>0</v>
      </c>
      <c r="O109" s="1631"/>
      <c r="P109" s="1632">
        <f>J109+L109+N109</f>
        <v>886998.82</v>
      </c>
      <c r="Q109" s="1631"/>
      <c r="R109" s="1632">
        <v>886998.82</v>
      </c>
      <c r="S109" s="1632">
        <v>886998.82</v>
      </c>
      <c r="T109" s="1632">
        <f t="shared" ref="T109:T110" si="17">P109</f>
        <v>886998.82</v>
      </c>
      <c r="U109" s="1631"/>
      <c r="V109" s="1633">
        <f t="shared" ref="V109:V110" si="18">T109-S109</f>
        <v>0</v>
      </c>
      <c r="W109" s="340"/>
      <c r="X109" s="340"/>
    </row>
    <row r="110" spans="1:25" s="236" customFormat="1" outlineLevel="1">
      <c r="A110" s="340"/>
      <c r="B110" s="341" t="s">
        <v>24</v>
      </c>
      <c r="C110" s="342"/>
      <c r="D110" s="343">
        <v>15112</v>
      </c>
      <c r="E110" s="343" t="s">
        <v>826</v>
      </c>
      <c r="F110" s="344"/>
      <c r="G110" s="344"/>
      <c r="H110" s="340"/>
      <c r="I110" s="340"/>
      <c r="J110" s="1630">
        <v>342745.35</v>
      </c>
      <c r="K110" s="1631"/>
      <c r="L110" s="1632">
        <v>0</v>
      </c>
      <c r="M110" s="1631"/>
      <c r="N110" s="1632">
        <v>0</v>
      </c>
      <c r="O110" s="1631"/>
      <c r="P110" s="1632">
        <f>J110+L110+N110</f>
        <v>342745.35</v>
      </c>
      <c r="Q110" s="1631"/>
      <c r="R110" s="1632">
        <v>342745.35</v>
      </c>
      <c r="S110" s="1632">
        <v>342745.35</v>
      </c>
      <c r="T110" s="1632">
        <f t="shared" si="17"/>
        <v>342745.35</v>
      </c>
      <c r="U110" s="1631"/>
      <c r="V110" s="1633">
        <f t="shared" si="18"/>
        <v>0</v>
      </c>
      <c r="W110" s="340"/>
      <c r="X110" s="340"/>
    </row>
    <row r="111" spans="1:25" s="236" customFormat="1" ht="4.5" customHeight="1" outlineLevel="1">
      <c r="A111" s="368" t="s">
        <v>17</v>
      </c>
      <c r="B111" s="340" t="s">
        <v>17</v>
      </c>
      <c r="C111" s="371"/>
      <c r="D111" s="370"/>
      <c r="E111" s="340"/>
      <c r="F111" s="340"/>
      <c r="G111" s="340"/>
      <c r="H111" s="340"/>
      <c r="I111" s="340"/>
      <c r="J111" s="1637"/>
      <c r="K111" s="1631"/>
      <c r="L111" s="1638"/>
      <c r="M111" s="1631"/>
      <c r="N111" s="1638"/>
      <c r="O111" s="1631"/>
      <c r="P111" s="1638"/>
      <c r="Q111" s="1631"/>
      <c r="R111" s="1638"/>
      <c r="S111" s="1638"/>
      <c r="T111" s="1638"/>
      <c r="U111" s="1631"/>
      <c r="V111" s="1639"/>
      <c r="W111" s="340"/>
      <c r="X111" s="340"/>
      <c r="Y111" s="340"/>
    </row>
    <row r="112" spans="1:25" s="236" customFormat="1">
      <c r="A112" s="342" t="s">
        <v>824</v>
      </c>
      <c r="B112" s="368" t="s">
        <v>17</v>
      </c>
      <c r="C112" s="368"/>
      <c r="D112" s="340"/>
      <c r="E112" s="340"/>
      <c r="F112" s="340" t="s">
        <v>827</v>
      </c>
      <c r="G112" s="340"/>
      <c r="H112" s="340"/>
      <c r="I112" s="340"/>
      <c r="J112" s="1630">
        <f>SUM(J109:J111)</f>
        <v>1229744.17</v>
      </c>
      <c r="K112" s="1631"/>
      <c r="L112" s="1632">
        <f>SUM(L109:L111)</f>
        <v>0</v>
      </c>
      <c r="M112" s="1631"/>
      <c r="N112" s="1632">
        <f>SUM(N109:N111)</f>
        <v>0</v>
      </c>
      <c r="O112" s="1631"/>
      <c r="P112" s="1632">
        <f t="shared" ref="P112" si="19">J112+L112+N112</f>
        <v>1229744.17</v>
      </c>
      <c r="Q112" s="1631"/>
      <c r="R112" s="1632">
        <f>SUM(R109:R111)</f>
        <v>1229744.17</v>
      </c>
      <c r="S112" s="1632">
        <f>SUM(S109:S111)</f>
        <v>1229744.17</v>
      </c>
      <c r="T112" s="1632">
        <f>SUM(T109:T111)</f>
        <v>1229744.17</v>
      </c>
      <c r="U112" s="1631"/>
      <c r="V112" s="1633">
        <f>SUM(V109:V111)</f>
        <v>0</v>
      </c>
      <c r="W112" s="340"/>
      <c r="X112" s="340"/>
      <c r="Y112" s="340"/>
    </row>
    <row r="113" spans="1:25" s="236" customFormat="1" outlineLevel="1">
      <c r="A113" s="340"/>
      <c r="B113" s="341" t="s">
        <v>828</v>
      </c>
      <c r="C113" s="342"/>
      <c r="D113" s="343">
        <v>15222</v>
      </c>
      <c r="E113" s="343" t="s">
        <v>1124</v>
      </c>
      <c r="F113" s="344"/>
      <c r="G113" s="344"/>
      <c r="H113" s="340"/>
      <c r="I113" s="340"/>
      <c r="J113" s="1630">
        <v>141653.54999999999</v>
      </c>
      <c r="K113" s="1631"/>
      <c r="L113" s="1632">
        <v>0</v>
      </c>
      <c r="M113" s="1631"/>
      <c r="N113" s="1632">
        <v>0</v>
      </c>
      <c r="O113" s="1631"/>
      <c r="P113" s="1632">
        <f t="shared" ref="P113:P119" si="20">J113+L113+N113</f>
        <v>141653.54999999999</v>
      </c>
      <c r="Q113" s="1631"/>
      <c r="R113" s="1632">
        <v>141653.54999999999</v>
      </c>
      <c r="S113" s="1632">
        <v>141653.54999999999</v>
      </c>
      <c r="T113" s="1632">
        <f t="shared" ref="T113:T119" si="21">P113</f>
        <v>141653.54999999999</v>
      </c>
      <c r="U113" s="1631"/>
      <c r="V113" s="1633">
        <f t="shared" ref="V113:V119" si="22">T113-S113</f>
        <v>0</v>
      </c>
      <c r="W113" s="340"/>
      <c r="X113" s="340"/>
    </row>
    <row r="114" spans="1:25" s="236" customFormat="1" outlineLevel="1">
      <c r="A114" s="340"/>
      <c r="B114" s="341" t="s">
        <v>24</v>
      </c>
      <c r="C114" s="342"/>
      <c r="D114" s="343">
        <v>15226</v>
      </c>
      <c r="E114" s="343" t="s">
        <v>1125</v>
      </c>
      <c r="F114" s="344"/>
      <c r="G114" s="344"/>
      <c r="H114" s="340"/>
      <c r="I114" s="340"/>
      <c r="J114" s="1630">
        <v>-51939.64</v>
      </c>
      <c r="K114" s="1631"/>
      <c r="L114" s="1632">
        <v>0</v>
      </c>
      <c r="M114" s="1631"/>
      <c r="N114" s="1632">
        <v>0</v>
      </c>
      <c r="O114" s="1631"/>
      <c r="P114" s="1632">
        <f t="shared" si="20"/>
        <v>-51939.64</v>
      </c>
      <c r="Q114" s="1631"/>
      <c r="R114" s="1632">
        <v>-51939.64</v>
      </c>
      <c r="S114" s="1632">
        <v>-51939.64</v>
      </c>
      <c r="T114" s="1632">
        <f t="shared" si="21"/>
        <v>-51939.64</v>
      </c>
      <c r="U114" s="1631"/>
      <c r="V114" s="1633">
        <f t="shared" si="22"/>
        <v>0</v>
      </c>
      <c r="W114" s="340"/>
      <c r="X114" s="340"/>
    </row>
    <row r="115" spans="1:25" s="236" customFormat="1" outlineLevel="1">
      <c r="A115" s="340"/>
      <c r="B115" s="341" t="s">
        <v>24</v>
      </c>
      <c r="C115" s="342"/>
      <c r="D115" s="343">
        <v>15227</v>
      </c>
      <c r="E115" s="343" t="s">
        <v>1126</v>
      </c>
      <c r="F115" s="344"/>
      <c r="G115" s="344"/>
      <c r="H115" s="340"/>
      <c r="I115" s="340"/>
      <c r="J115" s="1630">
        <v>-89713.91</v>
      </c>
      <c r="K115" s="1631"/>
      <c r="L115" s="1632">
        <v>0</v>
      </c>
      <c r="M115" s="1631"/>
      <c r="N115" s="1632">
        <v>0</v>
      </c>
      <c r="O115" s="1631"/>
      <c r="P115" s="1632">
        <f t="shared" si="20"/>
        <v>-89713.91</v>
      </c>
      <c r="Q115" s="1631"/>
      <c r="R115" s="1632">
        <v>-89713.91</v>
      </c>
      <c r="S115" s="1632">
        <v>-89713.91</v>
      </c>
      <c r="T115" s="1632">
        <f t="shared" si="21"/>
        <v>-89713.91</v>
      </c>
      <c r="U115" s="1631"/>
      <c r="V115" s="1633">
        <f t="shared" si="22"/>
        <v>0</v>
      </c>
      <c r="W115" s="340"/>
      <c r="X115" s="340"/>
    </row>
    <row r="116" spans="1:25" s="236" customFormat="1" outlineLevel="1">
      <c r="A116" s="340"/>
      <c r="B116" s="341" t="s">
        <v>24</v>
      </c>
      <c r="C116" s="342"/>
      <c r="D116" s="343">
        <v>15252</v>
      </c>
      <c r="E116" s="343" t="s">
        <v>1127</v>
      </c>
      <c r="F116" s="344"/>
      <c r="G116" s="344"/>
      <c r="H116" s="340"/>
      <c r="I116" s="340"/>
      <c r="J116" s="1630">
        <v>2597940.2599999998</v>
      </c>
      <c r="K116" s="1631"/>
      <c r="L116" s="1632">
        <v>0</v>
      </c>
      <c r="M116" s="1631"/>
      <c r="N116" s="1632">
        <v>0</v>
      </c>
      <c r="O116" s="1631"/>
      <c r="P116" s="1632">
        <f t="shared" si="20"/>
        <v>2597940.2599999998</v>
      </c>
      <c r="Q116" s="1631"/>
      <c r="R116" s="1632">
        <v>2597940.2599999998</v>
      </c>
      <c r="S116" s="1632">
        <v>2597940.2599999998</v>
      </c>
      <c r="T116" s="1632">
        <f t="shared" si="21"/>
        <v>2597940.2599999998</v>
      </c>
      <c r="U116" s="1631"/>
      <c r="V116" s="1633">
        <f t="shared" si="22"/>
        <v>0</v>
      </c>
      <c r="W116" s="340"/>
      <c r="X116" s="340"/>
    </row>
    <row r="117" spans="1:25" s="236" customFormat="1" outlineLevel="1">
      <c r="A117" s="340"/>
      <c r="B117" s="341" t="s">
        <v>24</v>
      </c>
      <c r="C117" s="342"/>
      <c r="D117" s="343">
        <v>15256</v>
      </c>
      <c r="E117" s="343" t="s">
        <v>829</v>
      </c>
      <c r="F117" s="344"/>
      <c r="G117" s="344"/>
      <c r="H117" s="340"/>
      <c r="I117" s="340"/>
      <c r="J117" s="1630">
        <v>-753796.82</v>
      </c>
      <c r="K117" s="1631"/>
      <c r="L117" s="1632">
        <v>0</v>
      </c>
      <c r="M117" s="1631"/>
      <c r="N117" s="1632">
        <v>0</v>
      </c>
      <c r="O117" s="1631"/>
      <c r="P117" s="1632">
        <f t="shared" si="20"/>
        <v>-753796.82</v>
      </c>
      <c r="Q117" s="1631"/>
      <c r="R117" s="1632">
        <v>-740091.42</v>
      </c>
      <c r="S117" s="1632">
        <v>-746944.11</v>
      </c>
      <c r="T117" s="1632">
        <f t="shared" si="21"/>
        <v>-753796.82</v>
      </c>
      <c r="U117" s="1631"/>
      <c r="V117" s="1633">
        <f t="shared" si="22"/>
        <v>-6852.7099999999627</v>
      </c>
      <c r="W117" s="340"/>
      <c r="X117" s="340"/>
    </row>
    <row r="118" spans="1:25" s="236" customFormat="1" outlineLevel="1">
      <c r="A118" s="340"/>
      <c r="B118" s="341" t="s">
        <v>24</v>
      </c>
      <c r="C118" s="342"/>
      <c r="D118" s="343">
        <v>15257</v>
      </c>
      <c r="E118" s="343" t="s">
        <v>1128</v>
      </c>
      <c r="F118" s="344"/>
      <c r="G118" s="344"/>
      <c r="H118" s="340"/>
      <c r="I118" s="340"/>
      <c r="J118" s="1630">
        <v>-260402.54</v>
      </c>
      <c r="K118" s="1631"/>
      <c r="L118" s="1632">
        <v>0</v>
      </c>
      <c r="M118" s="1631"/>
      <c r="N118" s="1632">
        <v>0</v>
      </c>
      <c r="O118" s="1631"/>
      <c r="P118" s="1632">
        <f t="shared" si="20"/>
        <v>-260402.54</v>
      </c>
      <c r="Q118" s="1631"/>
      <c r="R118" s="1632">
        <v>-260402.54</v>
      </c>
      <c r="S118" s="1632">
        <v>-260402.54</v>
      </c>
      <c r="T118" s="1632">
        <f t="shared" si="21"/>
        <v>-260402.54</v>
      </c>
      <c r="U118" s="1631"/>
      <c r="V118" s="1633">
        <f t="shared" si="22"/>
        <v>0</v>
      </c>
      <c r="W118" s="340"/>
      <c r="X118" s="340"/>
    </row>
    <row r="119" spans="1:25" s="236" customFormat="1" outlineLevel="1">
      <c r="A119" s="340"/>
      <c r="B119" s="341" t="s">
        <v>24</v>
      </c>
      <c r="C119" s="342"/>
      <c r="D119" s="343">
        <v>15261</v>
      </c>
      <c r="E119" s="343" t="s">
        <v>830</v>
      </c>
      <c r="F119" s="344"/>
      <c r="G119" s="344"/>
      <c r="H119" s="340"/>
      <c r="I119" s="340"/>
      <c r="J119" s="1630">
        <v>9552800.7799999993</v>
      </c>
      <c r="K119" s="1631"/>
      <c r="L119" s="1632">
        <v>0</v>
      </c>
      <c r="M119" s="1631"/>
      <c r="N119" s="1632">
        <v>0</v>
      </c>
      <c r="O119" s="1631"/>
      <c r="P119" s="1632">
        <f t="shared" si="20"/>
        <v>9552800.7799999993</v>
      </c>
      <c r="Q119" s="1631"/>
      <c r="R119" s="1632">
        <v>9552800.7799999993</v>
      </c>
      <c r="S119" s="1632">
        <v>9552800.7799999993</v>
      </c>
      <c r="T119" s="1632">
        <f t="shared" si="21"/>
        <v>9552800.7799999993</v>
      </c>
      <c r="U119" s="1631"/>
      <c r="V119" s="1633">
        <f t="shared" si="22"/>
        <v>0</v>
      </c>
      <c r="W119" s="340"/>
      <c r="X119" s="340"/>
    </row>
    <row r="120" spans="1:25" s="236" customFormat="1" ht="5.0999999999999996" customHeight="1" outlineLevel="1">
      <c r="A120" s="368" t="s">
        <v>17</v>
      </c>
      <c r="B120" s="342" t="s">
        <v>17</v>
      </c>
      <c r="C120" s="342"/>
      <c r="D120" s="344"/>
      <c r="E120" s="344"/>
      <c r="F120" s="344"/>
      <c r="G120" s="344"/>
      <c r="H120" s="340"/>
      <c r="I120" s="340"/>
      <c r="J120" s="1637"/>
      <c r="K120" s="1631"/>
      <c r="L120" s="1638"/>
      <c r="M120" s="1631"/>
      <c r="N120" s="1638"/>
      <c r="O120" s="1631"/>
      <c r="P120" s="1638"/>
      <c r="Q120" s="1631"/>
      <c r="R120" s="1638"/>
      <c r="S120" s="1638"/>
      <c r="T120" s="1638"/>
      <c r="U120" s="1631"/>
      <c r="V120" s="1639"/>
      <c r="W120" s="340"/>
      <c r="X120" s="340"/>
      <c r="Y120" s="340"/>
    </row>
    <row r="121" spans="1:25" s="236" customFormat="1">
      <c r="A121" s="342" t="s">
        <v>828</v>
      </c>
      <c r="B121" s="368" t="s">
        <v>17</v>
      </c>
      <c r="C121" s="368"/>
      <c r="D121" s="340"/>
      <c r="E121" s="340"/>
      <c r="F121" s="343" t="s">
        <v>831</v>
      </c>
      <c r="G121" s="372"/>
      <c r="H121" s="372"/>
      <c r="I121" s="372"/>
      <c r="J121" s="1630">
        <f>SUM(J113:J120)</f>
        <v>11136541.68</v>
      </c>
      <c r="K121" s="1631"/>
      <c r="L121" s="1632">
        <f>SUM(L113:L120)</f>
        <v>0</v>
      </c>
      <c r="M121" s="1631"/>
      <c r="N121" s="1632">
        <f>SUM(N113:N120)</f>
        <v>0</v>
      </c>
      <c r="O121" s="1631"/>
      <c r="P121" s="1632">
        <f>J121+L121+N121</f>
        <v>11136541.68</v>
      </c>
      <c r="Q121" s="1631"/>
      <c r="R121" s="1632">
        <f>SUM(R113:R120)</f>
        <v>11150247.079999998</v>
      </c>
      <c r="S121" s="1632">
        <f>SUM(S113:S120)</f>
        <v>11143394.389999999</v>
      </c>
      <c r="T121" s="1632">
        <f>SUM(T113:T120)</f>
        <v>11136541.68</v>
      </c>
      <c r="U121" s="1631"/>
      <c r="V121" s="1633">
        <f>SUM(V113:V120)</f>
        <v>-6852.7099999999627</v>
      </c>
      <c r="W121" s="340"/>
      <c r="X121" s="340"/>
      <c r="Y121" s="340"/>
    </row>
    <row r="122" spans="1:25" s="236" customFormat="1" outlineLevel="1">
      <c r="A122" s="340"/>
      <c r="B122" s="341" t="s">
        <v>832</v>
      </c>
      <c r="C122" s="342"/>
      <c r="D122" s="343"/>
      <c r="E122" s="343"/>
      <c r="F122" s="344"/>
      <c r="G122" s="344"/>
      <c r="H122" s="340"/>
      <c r="I122" s="340"/>
      <c r="J122" s="1630"/>
      <c r="K122" s="1631"/>
      <c r="L122" s="1632"/>
      <c r="M122" s="1631"/>
      <c r="N122" s="1632"/>
      <c r="O122" s="1631"/>
      <c r="P122" s="1632">
        <f>J122+L122+N122</f>
        <v>0</v>
      </c>
      <c r="Q122" s="1631"/>
      <c r="R122" s="1632"/>
      <c r="S122" s="1632"/>
      <c r="T122" s="1632">
        <f>P122</f>
        <v>0</v>
      </c>
      <c r="U122" s="1631"/>
      <c r="V122" s="1633">
        <f>T122-S122</f>
        <v>0</v>
      </c>
      <c r="W122" s="340"/>
      <c r="X122" s="340"/>
    </row>
    <row r="123" spans="1:25" s="236" customFormat="1" ht="5.0999999999999996" customHeight="1" outlineLevel="1">
      <c r="A123" s="368" t="s">
        <v>17</v>
      </c>
      <c r="B123" s="342" t="s">
        <v>17</v>
      </c>
      <c r="C123" s="342"/>
      <c r="D123" s="344"/>
      <c r="E123" s="344"/>
      <c r="F123" s="344"/>
      <c r="G123" s="344"/>
      <c r="H123" s="340"/>
      <c r="I123" s="340"/>
      <c r="J123" s="1637"/>
      <c r="K123" s="1631"/>
      <c r="L123" s="1638"/>
      <c r="M123" s="1631"/>
      <c r="N123" s="1638"/>
      <c r="O123" s="1631"/>
      <c r="P123" s="1638"/>
      <c r="Q123" s="1631"/>
      <c r="R123" s="1638"/>
      <c r="S123" s="1638"/>
      <c r="T123" s="1638"/>
      <c r="U123" s="1631"/>
      <c r="V123" s="1639"/>
      <c r="W123" s="340"/>
      <c r="X123" s="340"/>
      <c r="Y123" s="340"/>
    </row>
    <row r="124" spans="1:25" s="236" customFormat="1">
      <c r="A124" s="342" t="s">
        <v>832</v>
      </c>
      <c r="B124" s="342" t="s">
        <v>17</v>
      </c>
      <c r="C124" s="342"/>
      <c r="D124" s="340"/>
      <c r="E124" s="340"/>
      <c r="F124" s="343" t="s">
        <v>833</v>
      </c>
      <c r="G124" s="372"/>
      <c r="H124" s="372"/>
      <c r="I124" s="372"/>
      <c r="J124" s="1630">
        <f>SUM(J122:J123)</f>
        <v>0</v>
      </c>
      <c r="K124" s="1631"/>
      <c r="L124" s="1632">
        <f>SUM(L122:L123)</f>
        <v>0</v>
      </c>
      <c r="M124" s="1631"/>
      <c r="N124" s="1632">
        <f>SUM(N122:N123)</f>
        <v>0</v>
      </c>
      <c r="O124" s="1631"/>
      <c r="P124" s="1632">
        <f>J124+L124+N124</f>
        <v>0</v>
      </c>
      <c r="Q124" s="1631"/>
      <c r="R124" s="1632">
        <f>SUM(R122:R123)</f>
        <v>0</v>
      </c>
      <c r="S124" s="1632">
        <f>SUM(S122:S123)</f>
        <v>0</v>
      </c>
      <c r="T124" s="1632">
        <f>SUM(T122:T123)</f>
        <v>0</v>
      </c>
      <c r="U124" s="1631"/>
      <c r="V124" s="1633">
        <f>SUM(V122:V123)</f>
        <v>0</v>
      </c>
      <c r="W124" s="340"/>
      <c r="X124" s="340"/>
      <c r="Y124" s="340"/>
    </row>
    <row r="125" spans="1:25" s="236" customFormat="1" outlineLevel="1">
      <c r="A125" s="340"/>
      <c r="B125" s="341" t="s">
        <v>834</v>
      </c>
      <c r="C125" s="342"/>
      <c r="D125" s="343"/>
      <c r="E125" s="343"/>
      <c r="F125" s="344"/>
      <c r="G125" s="344"/>
      <c r="H125" s="340"/>
      <c r="I125" s="340"/>
      <c r="J125" s="1630"/>
      <c r="K125" s="1631"/>
      <c r="L125" s="1632"/>
      <c r="M125" s="1631"/>
      <c r="N125" s="1632"/>
      <c r="O125" s="1631"/>
      <c r="P125" s="1632">
        <f>J125+L125+N125</f>
        <v>0</v>
      </c>
      <c r="Q125" s="1631"/>
      <c r="R125" s="1632"/>
      <c r="S125" s="1632"/>
      <c r="T125" s="1632">
        <f>P125</f>
        <v>0</v>
      </c>
      <c r="U125" s="1631"/>
      <c r="V125" s="1633">
        <f>T125-S125</f>
        <v>0</v>
      </c>
      <c r="W125" s="340"/>
      <c r="X125" s="340"/>
    </row>
    <row r="126" spans="1:25" s="236" customFormat="1" ht="4.5" customHeight="1" outlineLevel="1">
      <c r="A126" s="342" t="s">
        <v>17</v>
      </c>
      <c r="B126" s="340" t="s">
        <v>17</v>
      </c>
      <c r="C126" s="371"/>
      <c r="D126" s="370"/>
      <c r="E126" s="340"/>
      <c r="F126" s="340"/>
      <c r="G126" s="340"/>
      <c r="H126" s="340"/>
      <c r="I126" s="340"/>
      <c r="J126" s="1637"/>
      <c r="K126" s="1631"/>
      <c r="L126" s="1638"/>
      <c r="M126" s="1631"/>
      <c r="N126" s="1638"/>
      <c r="O126" s="1631"/>
      <c r="P126" s="1638"/>
      <c r="Q126" s="1631"/>
      <c r="R126" s="1638"/>
      <c r="S126" s="1638"/>
      <c r="T126" s="1638"/>
      <c r="U126" s="1631"/>
      <c r="V126" s="1639"/>
      <c r="W126" s="340"/>
      <c r="X126" s="340"/>
      <c r="Y126" s="340"/>
    </row>
    <row r="127" spans="1:25" s="236" customFormat="1">
      <c r="A127" s="342" t="s">
        <v>834</v>
      </c>
      <c r="B127" s="368" t="s">
        <v>17</v>
      </c>
      <c r="C127" s="368"/>
      <c r="D127" s="340"/>
      <c r="E127" s="340"/>
      <c r="F127" s="340" t="s">
        <v>835</v>
      </c>
      <c r="G127" s="340"/>
      <c r="H127" s="340"/>
      <c r="I127" s="340"/>
      <c r="J127" s="1630">
        <f>SUM(J125:J126)</f>
        <v>0</v>
      </c>
      <c r="K127" s="1631"/>
      <c r="L127" s="1632">
        <f>SUM(L125:L126)</f>
        <v>0</v>
      </c>
      <c r="M127" s="1631"/>
      <c r="N127" s="1632">
        <f>SUM(N125:N126)</f>
        <v>0</v>
      </c>
      <c r="O127" s="1631"/>
      <c r="P127" s="1632">
        <f>J127+L127+N127</f>
        <v>0</v>
      </c>
      <c r="Q127" s="1631"/>
      <c r="R127" s="1632">
        <f>SUM(R125:R126)</f>
        <v>0</v>
      </c>
      <c r="S127" s="1632">
        <f>SUM(S125:S126)</f>
        <v>0</v>
      </c>
      <c r="T127" s="1632">
        <f>SUM(T125:T126)</f>
        <v>0</v>
      </c>
      <c r="U127" s="1631"/>
      <c r="V127" s="1633">
        <f>SUM(V125:V126)</f>
        <v>0</v>
      </c>
      <c r="W127" s="340"/>
      <c r="X127" s="340"/>
      <c r="Y127" s="340"/>
    </row>
    <row r="128" spans="1:25" s="236" customFormat="1" outlineLevel="1">
      <c r="A128" s="340"/>
      <c r="B128" s="341" t="s">
        <v>836</v>
      </c>
      <c r="C128" s="342"/>
      <c r="D128" s="343"/>
      <c r="E128" s="343"/>
      <c r="F128" s="344"/>
      <c r="G128" s="344"/>
      <c r="H128" s="340"/>
      <c r="I128" s="340"/>
      <c r="J128" s="1630"/>
      <c r="K128" s="1631"/>
      <c r="L128" s="1632"/>
      <c r="M128" s="1631"/>
      <c r="N128" s="1632"/>
      <c r="O128" s="1631"/>
      <c r="P128" s="1632">
        <f>J128+L128+N128</f>
        <v>0</v>
      </c>
      <c r="Q128" s="1631"/>
      <c r="R128" s="1632"/>
      <c r="S128" s="1632"/>
      <c r="T128" s="1632">
        <f>P128</f>
        <v>0</v>
      </c>
      <c r="U128" s="1631"/>
      <c r="V128" s="1633">
        <f>T128-S128</f>
        <v>0</v>
      </c>
      <c r="W128" s="340"/>
      <c r="X128" s="340"/>
    </row>
    <row r="129" spans="1:25" s="236" customFormat="1" ht="4.5" customHeight="1" outlineLevel="1">
      <c r="A129" s="342" t="s">
        <v>17</v>
      </c>
      <c r="B129" s="340" t="s">
        <v>17</v>
      </c>
      <c r="C129" s="371"/>
      <c r="D129" s="370"/>
      <c r="E129" s="340"/>
      <c r="F129" s="340"/>
      <c r="G129" s="340"/>
      <c r="H129" s="340"/>
      <c r="I129" s="340"/>
      <c r="J129" s="1637"/>
      <c r="K129" s="1631"/>
      <c r="L129" s="1638"/>
      <c r="M129" s="1631"/>
      <c r="N129" s="1638"/>
      <c r="O129" s="1631"/>
      <c r="P129" s="1638"/>
      <c r="Q129" s="1631"/>
      <c r="R129" s="1638"/>
      <c r="S129" s="1638"/>
      <c r="T129" s="1638"/>
      <c r="U129" s="1631"/>
      <c r="V129" s="1639"/>
      <c r="W129" s="340"/>
      <c r="X129" s="340"/>
      <c r="Y129" s="340"/>
    </row>
    <row r="130" spans="1:25" s="236" customFormat="1">
      <c r="A130" s="342" t="s">
        <v>836</v>
      </c>
      <c r="B130" s="368" t="s">
        <v>17</v>
      </c>
      <c r="C130" s="368"/>
      <c r="D130" s="340"/>
      <c r="E130" s="340"/>
      <c r="F130" s="340" t="s">
        <v>837</v>
      </c>
      <c r="G130" s="340"/>
      <c r="H130" s="340"/>
      <c r="I130" s="340"/>
      <c r="J130" s="1630">
        <f>SUM(J128:J129)</f>
        <v>0</v>
      </c>
      <c r="K130" s="1631"/>
      <c r="L130" s="1632">
        <f>SUM(L128:L129)</f>
        <v>0</v>
      </c>
      <c r="M130" s="1631"/>
      <c r="N130" s="1632">
        <f>SUM(N128:N129)</f>
        <v>0</v>
      </c>
      <c r="O130" s="1631"/>
      <c r="P130" s="1632">
        <f>J130+L130+N130</f>
        <v>0</v>
      </c>
      <c r="Q130" s="1631"/>
      <c r="R130" s="1632">
        <f>SUM(R128:R129)</f>
        <v>0</v>
      </c>
      <c r="S130" s="1632">
        <f>SUM(S128:S129)</f>
        <v>0</v>
      </c>
      <c r="T130" s="1632">
        <f>SUM(T128:T129)</f>
        <v>0</v>
      </c>
      <c r="U130" s="1631"/>
      <c r="V130" s="1633">
        <f>SUM(V128:V129)</f>
        <v>0</v>
      </c>
      <c r="W130" s="340"/>
      <c r="X130" s="340"/>
      <c r="Y130" s="340"/>
    </row>
    <row r="131" spans="1:25" s="236" customFormat="1" outlineLevel="1">
      <c r="A131" s="340"/>
      <c r="B131" s="341" t="s">
        <v>838</v>
      </c>
      <c r="C131" s="342"/>
      <c r="D131" s="343"/>
      <c r="E131" s="343"/>
      <c r="F131" s="344"/>
      <c r="G131" s="344"/>
      <c r="H131" s="340"/>
      <c r="I131" s="340"/>
      <c r="J131" s="1630"/>
      <c r="K131" s="1631"/>
      <c r="L131" s="1632"/>
      <c r="M131" s="1631"/>
      <c r="N131" s="1632"/>
      <c r="O131" s="1631"/>
      <c r="P131" s="1632">
        <f>J131+L131+N131</f>
        <v>0</v>
      </c>
      <c r="Q131" s="1631"/>
      <c r="R131" s="1632"/>
      <c r="S131" s="1632"/>
      <c r="T131" s="1632">
        <f>P131</f>
        <v>0</v>
      </c>
      <c r="U131" s="1631"/>
      <c r="V131" s="1633">
        <f>T131-S131</f>
        <v>0</v>
      </c>
      <c r="W131" s="340"/>
      <c r="X131" s="340"/>
    </row>
    <row r="132" spans="1:25" s="236" customFormat="1" ht="5.0999999999999996" customHeight="1" outlineLevel="1">
      <c r="A132" s="368" t="s">
        <v>17</v>
      </c>
      <c r="B132" s="368" t="s">
        <v>17</v>
      </c>
      <c r="C132" s="368"/>
      <c r="D132" s="344"/>
      <c r="E132" s="344"/>
      <c r="F132" s="344"/>
      <c r="G132" s="344"/>
      <c r="H132" s="340"/>
      <c r="I132" s="340"/>
      <c r="J132" s="1637"/>
      <c r="K132" s="1631"/>
      <c r="L132" s="1638"/>
      <c r="M132" s="1631"/>
      <c r="N132" s="1638"/>
      <c r="O132" s="1631"/>
      <c r="P132" s="1638"/>
      <c r="Q132" s="1631"/>
      <c r="R132" s="1638"/>
      <c r="S132" s="1638"/>
      <c r="T132" s="1638"/>
      <c r="U132" s="1631"/>
      <c r="V132" s="1639"/>
      <c r="W132" s="340"/>
      <c r="X132" s="340"/>
      <c r="Y132" s="340"/>
    </row>
    <row r="133" spans="1:25" s="236" customFormat="1">
      <c r="A133" s="342" t="s">
        <v>838</v>
      </c>
      <c r="B133" s="368" t="s">
        <v>17</v>
      </c>
      <c r="C133" s="368"/>
      <c r="D133" s="340"/>
      <c r="E133" s="340"/>
      <c r="F133" s="343" t="s">
        <v>839</v>
      </c>
      <c r="G133" s="340"/>
      <c r="H133" s="340"/>
      <c r="I133" s="340"/>
      <c r="J133" s="1630">
        <f>SUM(J131:J132)</f>
        <v>0</v>
      </c>
      <c r="K133" s="1631"/>
      <c r="L133" s="1632">
        <f>SUM(L131:L132)</f>
        <v>0</v>
      </c>
      <c r="M133" s="1631"/>
      <c r="N133" s="1632">
        <f>SUM(N131:N132)</f>
        <v>0</v>
      </c>
      <c r="O133" s="1631"/>
      <c r="P133" s="1632">
        <f>J133+L133+N133</f>
        <v>0</v>
      </c>
      <c r="Q133" s="1631"/>
      <c r="R133" s="1632">
        <f>SUM(R131:R132)</f>
        <v>0</v>
      </c>
      <c r="S133" s="1632">
        <f>SUM(S131:S132)</f>
        <v>0</v>
      </c>
      <c r="T133" s="1632">
        <f>SUM(T131:T132)</f>
        <v>0</v>
      </c>
      <c r="U133" s="1631"/>
      <c r="V133" s="1633">
        <f>SUM(V131:V132)</f>
        <v>0</v>
      </c>
      <c r="W133" s="340"/>
      <c r="X133" s="340"/>
      <c r="Y133" s="340"/>
    </row>
    <row r="134" spans="1:25" s="236" customFormat="1" outlineLevel="1">
      <c r="A134" s="340"/>
      <c r="B134" s="341" t="s">
        <v>840</v>
      </c>
      <c r="C134" s="342"/>
      <c r="D134" s="343"/>
      <c r="E134" s="343"/>
      <c r="F134" s="344"/>
      <c r="G134" s="344"/>
      <c r="H134" s="340"/>
      <c r="I134" s="340"/>
      <c r="J134" s="1630"/>
      <c r="K134" s="1631"/>
      <c r="L134" s="1632"/>
      <c r="M134" s="1631"/>
      <c r="N134" s="1632"/>
      <c r="O134" s="1631"/>
      <c r="P134" s="1632">
        <f>J134+L134+N134</f>
        <v>0</v>
      </c>
      <c r="Q134" s="1631"/>
      <c r="R134" s="1632"/>
      <c r="S134" s="1632"/>
      <c r="T134" s="1632">
        <f>P134</f>
        <v>0</v>
      </c>
      <c r="U134" s="1631"/>
      <c r="V134" s="1633">
        <f>T134-S134</f>
        <v>0</v>
      </c>
      <c r="W134" s="340"/>
      <c r="X134" s="340"/>
    </row>
    <row r="135" spans="1:25" s="236" customFormat="1" ht="5.0999999999999996" customHeight="1" outlineLevel="1">
      <c r="A135" s="368" t="s">
        <v>17</v>
      </c>
      <c r="B135" s="368" t="s">
        <v>17</v>
      </c>
      <c r="C135" s="368"/>
      <c r="D135" s="344"/>
      <c r="E135" s="344"/>
      <c r="F135" s="344"/>
      <c r="G135" s="344"/>
      <c r="H135" s="340"/>
      <c r="I135" s="340"/>
      <c r="J135" s="1637"/>
      <c r="K135" s="1631"/>
      <c r="L135" s="1638"/>
      <c r="M135" s="1631"/>
      <c r="N135" s="1638"/>
      <c r="O135" s="1631"/>
      <c r="P135" s="1638"/>
      <c r="Q135" s="1631"/>
      <c r="R135" s="1638"/>
      <c r="S135" s="1638"/>
      <c r="T135" s="1638"/>
      <c r="U135" s="1631"/>
      <c r="V135" s="1639"/>
      <c r="W135" s="340"/>
      <c r="X135" s="340"/>
      <c r="Y135" s="340"/>
    </row>
    <row r="136" spans="1:25" s="236" customFormat="1">
      <c r="A136" s="342" t="s">
        <v>840</v>
      </c>
      <c r="B136" s="342" t="s">
        <v>17</v>
      </c>
      <c r="C136" s="342"/>
      <c r="D136" s="340"/>
      <c r="E136" s="340"/>
      <c r="F136" s="343" t="s">
        <v>841</v>
      </c>
      <c r="G136" s="340"/>
      <c r="H136" s="340"/>
      <c r="I136" s="340"/>
      <c r="J136" s="1630">
        <f>SUM(J134:J135)</f>
        <v>0</v>
      </c>
      <c r="K136" s="1631"/>
      <c r="L136" s="1632">
        <f>SUM(L134:L135)</f>
        <v>0</v>
      </c>
      <c r="M136" s="1631"/>
      <c r="N136" s="1632">
        <f>SUM(N134:N135)</f>
        <v>0</v>
      </c>
      <c r="O136" s="1631"/>
      <c r="P136" s="1632">
        <f>J136+L136+N136</f>
        <v>0</v>
      </c>
      <c r="Q136" s="1631"/>
      <c r="R136" s="1632">
        <f>SUM(R134:R135)</f>
        <v>0</v>
      </c>
      <c r="S136" s="1632">
        <f>SUM(S134:S135)</f>
        <v>0</v>
      </c>
      <c r="T136" s="1632">
        <f>SUM(T134:T135)</f>
        <v>0</v>
      </c>
      <c r="U136" s="1631"/>
      <c r="V136" s="1633">
        <f>SUM(V134:V135)</f>
        <v>0</v>
      </c>
      <c r="W136" s="340"/>
      <c r="X136" s="340"/>
      <c r="Y136" s="340"/>
    </row>
    <row r="137" spans="1:25" s="236" customFormat="1" outlineLevel="1">
      <c r="A137" s="340"/>
      <c r="B137" s="341" t="s">
        <v>842</v>
      </c>
      <c r="C137" s="342"/>
      <c r="D137" s="343">
        <v>17100</v>
      </c>
      <c r="E137" s="343" t="s">
        <v>843</v>
      </c>
      <c r="F137" s="344"/>
      <c r="G137" s="344"/>
      <c r="H137" s="340"/>
      <c r="I137" s="340"/>
      <c r="J137" s="1630">
        <v>4850101.12</v>
      </c>
      <c r="K137" s="1631"/>
      <c r="L137" s="1632">
        <v>0</v>
      </c>
      <c r="M137" s="1631"/>
      <c r="N137" s="1632">
        <v>0</v>
      </c>
      <c r="O137" s="1631"/>
      <c r="P137" s="1632">
        <f>J137+L137+N137</f>
        <v>4850101.12</v>
      </c>
      <c r="Q137" s="1631"/>
      <c r="R137" s="1632">
        <v>4377636.99</v>
      </c>
      <c r="S137" s="1632">
        <v>4426842.1500000004</v>
      </c>
      <c r="T137" s="1632">
        <f t="shared" ref="T137:T138" si="23">P137</f>
        <v>4850101.12</v>
      </c>
      <c r="U137" s="1631"/>
      <c r="V137" s="1633">
        <f t="shared" ref="V137:V138" si="24">T137-S137</f>
        <v>423258.96999999974</v>
      </c>
      <c r="W137" s="340"/>
      <c r="X137" s="340"/>
    </row>
    <row r="138" spans="1:25" s="236" customFormat="1" outlineLevel="1">
      <c r="A138" s="340"/>
      <c r="B138" s="341" t="s">
        <v>24</v>
      </c>
      <c r="C138" s="342"/>
      <c r="D138" s="343">
        <v>18100</v>
      </c>
      <c r="E138" s="343" t="s">
        <v>844</v>
      </c>
      <c r="F138" s="344"/>
      <c r="G138" s="344"/>
      <c r="H138" s="340"/>
      <c r="I138" s="340"/>
      <c r="J138" s="1630">
        <v>-14457593.98</v>
      </c>
      <c r="K138" s="1631"/>
      <c r="L138" s="1632">
        <v>0</v>
      </c>
      <c r="M138" s="1631"/>
      <c r="N138" s="1632">
        <v>0</v>
      </c>
      <c r="O138" s="1631"/>
      <c r="P138" s="1632">
        <f>J138+L138+N138</f>
        <v>-14457593.98</v>
      </c>
      <c r="Q138" s="1631"/>
      <c r="R138" s="1632">
        <v>-14457593.98</v>
      </c>
      <c r="S138" s="1632">
        <v>-14457593.98</v>
      </c>
      <c r="T138" s="1632">
        <f t="shared" si="23"/>
        <v>-14457593.98</v>
      </c>
      <c r="U138" s="1631"/>
      <c r="V138" s="1633">
        <f t="shared" si="24"/>
        <v>0</v>
      </c>
      <c r="W138" s="340"/>
      <c r="X138" s="340"/>
    </row>
    <row r="139" spans="1:25" s="236" customFormat="1" ht="5.0999999999999996" customHeight="1" outlineLevel="1">
      <c r="A139" s="342" t="s">
        <v>17</v>
      </c>
      <c r="B139" s="342" t="s">
        <v>17</v>
      </c>
      <c r="C139" s="342"/>
      <c r="D139" s="344"/>
      <c r="E139" s="344"/>
      <c r="F139" s="344"/>
      <c r="G139" s="344"/>
      <c r="H139" s="340"/>
      <c r="I139" s="340"/>
      <c r="J139" s="1637"/>
      <c r="K139" s="1631"/>
      <c r="L139" s="1638"/>
      <c r="M139" s="1631"/>
      <c r="N139" s="1638"/>
      <c r="O139" s="1631"/>
      <c r="P139" s="1638"/>
      <c r="Q139" s="1631"/>
      <c r="R139" s="1638"/>
      <c r="S139" s="1638"/>
      <c r="T139" s="1638"/>
      <c r="U139" s="1631"/>
      <c r="V139" s="1639"/>
      <c r="W139" s="340"/>
      <c r="X139" s="340"/>
      <c r="Y139" s="340"/>
    </row>
    <row r="140" spans="1:25" s="236" customFormat="1">
      <c r="A140" s="342" t="s">
        <v>842</v>
      </c>
      <c r="B140" s="342" t="s">
        <v>17</v>
      </c>
      <c r="C140" s="342"/>
      <c r="D140" s="340"/>
      <c r="E140" s="340"/>
      <c r="F140" s="343" t="s">
        <v>845</v>
      </c>
      <c r="G140" s="340"/>
      <c r="H140" s="340"/>
      <c r="I140" s="340"/>
      <c r="J140" s="1630">
        <f>SUM(J137:J139)</f>
        <v>-9607492.8599999994</v>
      </c>
      <c r="K140" s="1631"/>
      <c r="L140" s="1632">
        <f>SUM(L137:L139)</f>
        <v>0</v>
      </c>
      <c r="M140" s="1631"/>
      <c r="N140" s="1632">
        <f>SUM(N137:N139)</f>
        <v>0</v>
      </c>
      <c r="O140" s="1631"/>
      <c r="P140" s="1632">
        <f>J140+L140+N140</f>
        <v>-9607492.8599999994</v>
      </c>
      <c r="Q140" s="1631"/>
      <c r="R140" s="1632">
        <f>SUM(R137:R139)</f>
        <v>-10079956.99</v>
      </c>
      <c r="S140" s="1632">
        <f>SUM(S137:S139)</f>
        <v>-10030751.83</v>
      </c>
      <c r="T140" s="1632">
        <f>SUM(T137:T139)</f>
        <v>-9607492.8599999994</v>
      </c>
      <c r="U140" s="1631"/>
      <c r="V140" s="1633">
        <f>SUM(V137:V139)</f>
        <v>423258.96999999974</v>
      </c>
      <c r="W140" s="340"/>
      <c r="X140" s="340"/>
      <c r="Y140" s="340"/>
    </row>
    <row r="141" spans="1:25" s="236" customFormat="1" ht="7.5" customHeight="1">
      <c r="A141" s="342" t="s">
        <v>17</v>
      </c>
      <c r="B141" s="368" t="s">
        <v>17</v>
      </c>
      <c r="C141" s="368"/>
      <c r="D141" s="340"/>
      <c r="E141" s="340"/>
      <c r="F141" s="340"/>
      <c r="G141" s="340"/>
      <c r="H141" s="340"/>
      <c r="I141" s="340"/>
      <c r="J141" s="1630"/>
      <c r="K141" s="1631"/>
      <c r="L141" s="1632"/>
      <c r="M141" s="1631"/>
      <c r="N141" s="1632"/>
      <c r="O141" s="1631"/>
      <c r="P141" s="1632"/>
      <c r="Q141" s="1631"/>
      <c r="R141" s="1632"/>
      <c r="S141" s="1632"/>
      <c r="T141" s="1632"/>
      <c r="U141" s="1631"/>
      <c r="V141" s="1633"/>
      <c r="W141" s="340"/>
      <c r="X141" s="340"/>
      <c r="Y141" s="340"/>
    </row>
    <row r="142" spans="1:25" s="236" customFormat="1" ht="13.5" thickBot="1">
      <c r="A142" s="342" t="s">
        <v>17</v>
      </c>
      <c r="B142" s="368" t="s">
        <v>17</v>
      </c>
      <c r="C142" s="368"/>
      <c r="D142" s="340"/>
      <c r="E142" s="369" t="s">
        <v>846</v>
      </c>
      <c r="F142" s="340"/>
      <c r="G142" s="340"/>
      <c r="H142" s="340"/>
      <c r="I142" s="340"/>
      <c r="J142" s="1643">
        <f>SUM(J102,J105,J108,J112,J121,J124,J127,J130,J133,J136,J140,J60)</f>
        <v>12605244.330000002</v>
      </c>
      <c r="K142" s="1631"/>
      <c r="L142" s="1644">
        <f>SUM(L102,L105,L108,L112,L121,L124,L127,L130,L133,L136,L140,L60)</f>
        <v>0</v>
      </c>
      <c r="M142" s="1631"/>
      <c r="N142" s="1644">
        <f>SUM(N102,N105,N108,N112,N121,N124,N127,N130,N133,N136,N140,N60)</f>
        <v>0</v>
      </c>
      <c r="O142" s="1631"/>
      <c r="P142" s="1644">
        <f>SUM(P102,P105,P108,P112,P121,P124,P127,P130,P133,P136,P140,P60)</f>
        <v>12605244.330000002</v>
      </c>
      <c r="Q142" s="1631"/>
      <c r="R142" s="1644">
        <f>SUM(R102,R105,R108,R112,R121,R124,R127,R130,R133,R136,R140,R60)</f>
        <v>12198639.330000002</v>
      </c>
      <c r="S142" s="1644">
        <f>SUM(S102,S105,S108,S112,S121,S124,S127,S130,S133,S136,S140,S60)</f>
        <v>12412559.33</v>
      </c>
      <c r="T142" s="1644">
        <f>SUM(T102,T105,T108,T112,T121,T124,T127,T130,T133,T136,T140,T60)</f>
        <v>12605244.330000002</v>
      </c>
      <c r="U142" s="1631"/>
      <c r="V142" s="1645">
        <f>SUM(V102,V105,V108,V112,V121,V124,V127,V130,V133,V136,V140,V60)</f>
        <v>192685.00000000015</v>
      </c>
      <c r="W142" s="340"/>
      <c r="X142" s="340"/>
      <c r="Y142" s="340"/>
    </row>
    <row r="143" spans="1:25" s="236" customFormat="1" ht="7.5" customHeight="1" thickTop="1">
      <c r="A143" s="368" t="s">
        <v>17</v>
      </c>
      <c r="B143" s="368"/>
      <c r="C143" s="368"/>
      <c r="D143" s="340"/>
      <c r="E143" s="369"/>
      <c r="F143" s="340"/>
      <c r="G143" s="340"/>
      <c r="H143" s="340"/>
      <c r="I143" s="340"/>
      <c r="J143" s="1630"/>
      <c r="K143" s="1631"/>
      <c r="L143" s="1632"/>
      <c r="M143" s="1631"/>
      <c r="N143" s="1632"/>
      <c r="O143" s="1631"/>
      <c r="P143" s="1632"/>
      <c r="Q143" s="1631"/>
      <c r="R143" s="1632"/>
      <c r="S143" s="1632"/>
      <c r="T143" s="1632"/>
      <c r="U143" s="1631"/>
      <c r="V143" s="1633"/>
      <c r="W143" s="340"/>
      <c r="X143" s="340"/>
      <c r="Y143" s="340"/>
    </row>
    <row r="144" spans="1:25" s="236" customFormat="1" outlineLevel="1">
      <c r="A144" s="340"/>
      <c r="B144" s="341" t="s">
        <v>847</v>
      </c>
      <c r="C144" s="342"/>
      <c r="D144" s="343"/>
      <c r="E144" s="343"/>
      <c r="F144" s="344"/>
      <c r="G144" s="344"/>
      <c r="H144" s="340"/>
      <c r="I144" s="340"/>
      <c r="J144" s="1630"/>
      <c r="K144" s="1631"/>
      <c r="L144" s="1632"/>
      <c r="M144" s="1631"/>
      <c r="N144" s="1632"/>
      <c r="O144" s="1631"/>
      <c r="P144" s="1632">
        <f>J144+L144+N144</f>
        <v>0</v>
      </c>
      <c r="Q144" s="1631"/>
      <c r="R144" s="1632"/>
      <c r="S144" s="1632"/>
      <c r="T144" s="1632">
        <f>P144</f>
        <v>0</v>
      </c>
      <c r="U144" s="1631"/>
      <c r="V144" s="1633">
        <f>T144-S144</f>
        <v>0</v>
      </c>
      <c r="W144" s="340"/>
      <c r="X144" s="340"/>
    </row>
    <row r="145" spans="1:25" s="236" customFormat="1" ht="5.0999999999999996" customHeight="1" outlineLevel="1">
      <c r="A145" s="368"/>
      <c r="B145" s="368"/>
      <c r="C145" s="368"/>
      <c r="D145" s="343"/>
      <c r="E145" s="343"/>
      <c r="F145" s="340"/>
      <c r="G145" s="340"/>
      <c r="H145" s="340"/>
      <c r="I145" s="340"/>
      <c r="J145" s="1637"/>
      <c r="K145" s="1631"/>
      <c r="L145" s="1638"/>
      <c r="M145" s="1631"/>
      <c r="N145" s="1638"/>
      <c r="O145" s="1631"/>
      <c r="P145" s="1638"/>
      <c r="Q145" s="1631"/>
      <c r="R145" s="1638"/>
      <c r="S145" s="1638"/>
      <c r="T145" s="1638"/>
      <c r="U145" s="1631"/>
      <c r="V145" s="1639"/>
      <c r="W145" s="340"/>
      <c r="X145" s="340"/>
      <c r="Y145" s="340"/>
    </row>
    <row r="146" spans="1:25" s="236" customFormat="1" ht="12.75" customHeight="1">
      <c r="A146" s="342" t="s">
        <v>847</v>
      </c>
      <c r="B146" s="368" t="s">
        <v>17</v>
      </c>
      <c r="C146" s="368"/>
      <c r="D146" s="340"/>
      <c r="E146" s="340"/>
      <c r="F146" s="340" t="s">
        <v>848</v>
      </c>
      <c r="G146" s="340"/>
      <c r="H146" s="340"/>
      <c r="I146" s="340"/>
      <c r="J146" s="1630">
        <f>SUM(J144:J145)</f>
        <v>0</v>
      </c>
      <c r="K146" s="1631"/>
      <c r="L146" s="1632">
        <f>SUM(L144:L145)</f>
        <v>0</v>
      </c>
      <c r="M146" s="1631"/>
      <c r="N146" s="1632">
        <f>SUM(N144:N145)</f>
        <v>0</v>
      </c>
      <c r="O146" s="1631"/>
      <c r="P146" s="1632">
        <f>J146+L146+N146</f>
        <v>0</v>
      </c>
      <c r="Q146" s="1631"/>
      <c r="R146" s="1632">
        <f>SUM(R144:R145)</f>
        <v>0</v>
      </c>
      <c r="S146" s="1632">
        <f>SUM(S144:S145)</f>
        <v>0</v>
      </c>
      <c r="T146" s="1632">
        <f>SUM(T144:T145)</f>
        <v>0</v>
      </c>
      <c r="U146" s="1631"/>
      <c r="V146" s="1633">
        <f>SUM(V144:V145)</f>
        <v>0</v>
      </c>
      <c r="W146" s="340"/>
      <c r="X146" s="340"/>
      <c r="Y146" s="340"/>
    </row>
    <row r="147" spans="1:25" s="236" customFormat="1" ht="6" customHeight="1" outlineLevel="1">
      <c r="A147" s="368"/>
      <c r="B147" s="342" t="s">
        <v>17</v>
      </c>
      <c r="C147" s="342"/>
      <c r="D147" s="340"/>
      <c r="E147" s="340"/>
      <c r="F147" s="340"/>
      <c r="G147" s="340"/>
      <c r="H147" s="340"/>
      <c r="I147" s="340"/>
      <c r="J147" s="1630"/>
      <c r="K147" s="1631"/>
      <c r="L147" s="1632"/>
      <c r="M147" s="1631"/>
      <c r="N147" s="1632"/>
      <c r="O147" s="1631"/>
      <c r="P147" s="1632"/>
      <c r="Q147" s="1631"/>
      <c r="R147" s="1632"/>
      <c r="S147" s="1632"/>
      <c r="T147" s="1632"/>
      <c r="U147" s="1631"/>
      <c r="V147" s="1633"/>
      <c r="W147" s="340"/>
      <c r="X147" s="340"/>
      <c r="Y147" s="340"/>
    </row>
    <row r="148" spans="1:25" s="236" customFormat="1" outlineLevel="1">
      <c r="A148" s="340"/>
      <c r="B148" s="341" t="s">
        <v>849</v>
      </c>
      <c r="C148" s="342"/>
      <c r="D148" s="343"/>
      <c r="E148" s="343"/>
      <c r="F148" s="344"/>
      <c r="G148" s="344"/>
      <c r="H148" s="340"/>
      <c r="I148" s="340"/>
      <c r="J148" s="1630"/>
      <c r="K148" s="1631"/>
      <c r="L148" s="1632"/>
      <c r="M148" s="1631"/>
      <c r="N148" s="1632"/>
      <c r="O148" s="1631"/>
      <c r="P148" s="1632">
        <f>J148+L148+N148</f>
        <v>0</v>
      </c>
      <c r="Q148" s="1631"/>
      <c r="R148" s="1632"/>
      <c r="S148" s="1632"/>
      <c r="T148" s="1632">
        <f>P148</f>
        <v>0</v>
      </c>
      <c r="U148" s="1631"/>
      <c r="V148" s="1633">
        <f>T148-S148</f>
        <v>0</v>
      </c>
      <c r="W148" s="340"/>
      <c r="X148" s="340"/>
    </row>
    <row r="149" spans="1:25" s="236" customFormat="1" ht="5.0999999999999996" customHeight="1" outlineLevel="1">
      <c r="A149" s="342" t="s">
        <v>17</v>
      </c>
      <c r="B149" s="342" t="s">
        <v>17</v>
      </c>
      <c r="C149" s="342"/>
      <c r="D149" s="344"/>
      <c r="E149" s="344"/>
      <c r="F149" s="344"/>
      <c r="G149" s="344"/>
      <c r="H149" s="340"/>
      <c r="I149" s="340"/>
      <c r="J149" s="1637"/>
      <c r="K149" s="1631"/>
      <c r="L149" s="1638"/>
      <c r="M149" s="1631"/>
      <c r="N149" s="1638"/>
      <c r="O149" s="1631"/>
      <c r="P149" s="1638"/>
      <c r="Q149" s="1631"/>
      <c r="R149" s="1638"/>
      <c r="S149" s="1638"/>
      <c r="T149" s="1638"/>
      <c r="U149" s="1631"/>
      <c r="V149" s="1639"/>
      <c r="W149" s="340"/>
      <c r="X149" s="340"/>
      <c r="Y149" s="340"/>
    </row>
    <row r="150" spans="1:25" s="236" customFormat="1" ht="12.75" customHeight="1">
      <c r="A150" s="342" t="s">
        <v>849</v>
      </c>
      <c r="B150" s="342" t="s">
        <v>17</v>
      </c>
      <c r="C150" s="342"/>
      <c r="D150" s="340"/>
      <c r="E150" s="340"/>
      <c r="F150" s="343" t="s">
        <v>850</v>
      </c>
      <c r="G150" s="340"/>
      <c r="H150" s="340"/>
      <c r="I150" s="340"/>
      <c r="J150" s="1630">
        <f>SUM(J148:J149)</f>
        <v>0</v>
      </c>
      <c r="K150" s="1631"/>
      <c r="L150" s="1632">
        <f>SUM(L148:L149)</f>
        <v>0</v>
      </c>
      <c r="M150" s="1631"/>
      <c r="N150" s="1632">
        <f>SUM(N148:N149)</f>
        <v>0</v>
      </c>
      <c r="O150" s="1631"/>
      <c r="P150" s="1632">
        <f t="shared" ref="P150" si="25">J150+L150+N150</f>
        <v>0</v>
      </c>
      <c r="Q150" s="1631"/>
      <c r="R150" s="1632">
        <f>SUM(R148:R149)</f>
        <v>0</v>
      </c>
      <c r="S150" s="1632">
        <f>SUM(S148:S149)</f>
        <v>0</v>
      </c>
      <c r="T150" s="1632">
        <f>SUM(T148:T149)</f>
        <v>0</v>
      </c>
      <c r="U150" s="1631"/>
      <c r="V150" s="1633">
        <f>SUM(V148:V149)</f>
        <v>0</v>
      </c>
      <c r="W150" s="340"/>
      <c r="X150" s="340"/>
      <c r="Y150" s="340"/>
    </row>
    <row r="151" spans="1:25" s="236" customFormat="1" outlineLevel="1">
      <c r="A151" s="340"/>
      <c r="B151" s="341" t="s">
        <v>851</v>
      </c>
      <c r="C151" s="342"/>
      <c r="D151" s="343">
        <v>20120</v>
      </c>
      <c r="E151" s="343" t="s">
        <v>852</v>
      </c>
      <c r="F151" s="344"/>
      <c r="G151" s="344"/>
      <c r="H151" s="340"/>
      <c r="I151" s="340"/>
      <c r="J151" s="1630">
        <v>529058.11</v>
      </c>
      <c r="K151" s="1631"/>
      <c r="L151" s="1632">
        <v>0</v>
      </c>
      <c r="M151" s="1631"/>
      <c r="N151" s="1632">
        <v>0</v>
      </c>
      <c r="O151" s="1631"/>
      <c r="P151" s="1632">
        <f t="shared" ref="P151:P159" si="26">J151+L151+N151</f>
        <v>529058.11</v>
      </c>
      <c r="Q151" s="1631"/>
      <c r="R151" s="1632">
        <v>465588.16</v>
      </c>
      <c r="S151" s="1632">
        <v>457448.46</v>
      </c>
      <c r="T151" s="1632">
        <f t="shared" ref="T151:T159" si="27">P151</f>
        <v>529058.11</v>
      </c>
      <c r="U151" s="1631"/>
      <c r="V151" s="1633">
        <f t="shared" ref="V151:V159" si="28">T151-S151</f>
        <v>71609.649999999965</v>
      </c>
      <c r="W151" s="340"/>
      <c r="X151" s="340"/>
    </row>
    <row r="152" spans="1:25" s="236" customFormat="1" outlineLevel="1">
      <c r="A152" s="340"/>
      <c r="B152" s="341" t="s">
        <v>24</v>
      </c>
      <c r="C152" s="342"/>
      <c r="D152" s="343">
        <v>20121</v>
      </c>
      <c r="E152" s="343" t="s">
        <v>936</v>
      </c>
      <c r="F152" s="344"/>
      <c r="G152" s="344"/>
      <c r="H152" s="340"/>
      <c r="I152" s="340"/>
      <c r="J152" s="1630">
        <v>750.55</v>
      </c>
      <c r="K152" s="1631"/>
      <c r="L152" s="1632">
        <v>0</v>
      </c>
      <c r="M152" s="1631"/>
      <c r="N152" s="1632">
        <v>0</v>
      </c>
      <c r="O152" s="1631"/>
      <c r="P152" s="1632">
        <f t="shared" si="26"/>
        <v>750.55</v>
      </c>
      <c r="Q152" s="1631"/>
      <c r="R152" s="1632">
        <v>0</v>
      </c>
      <c r="S152" s="1632">
        <v>0</v>
      </c>
      <c r="T152" s="1632">
        <f t="shared" si="27"/>
        <v>750.55</v>
      </c>
      <c r="U152" s="1631"/>
      <c r="V152" s="1633">
        <f t="shared" si="28"/>
        <v>750.55</v>
      </c>
      <c r="W152" s="340"/>
      <c r="X152" s="340"/>
    </row>
    <row r="153" spans="1:25" s="236" customFormat="1" outlineLevel="1">
      <c r="A153" s="340"/>
      <c r="B153" s="341" t="s">
        <v>24</v>
      </c>
      <c r="C153" s="342"/>
      <c r="D153" s="343">
        <v>20123</v>
      </c>
      <c r="E153" s="343" t="s">
        <v>853</v>
      </c>
      <c r="F153" s="344"/>
      <c r="G153" s="344"/>
      <c r="H153" s="340"/>
      <c r="I153" s="340"/>
      <c r="J153" s="1630">
        <v>11284.27</v>
      </c>
      <c r="K153" s="1631"/>
      <c r="L153" s="1632">
        <v>0</v>
      </c>
      <c r="M153" s="1631"/>
      <c r="N153" s="1632">
        <v>0</v>
      </c>
      <c r="O153" s="1631"/>
      <c r="P153" s="1632">
        <f t="shared" si="26"/>
        <v>11284.27</v>
      </c>
      <c r="Q153" s="1631"/>
      <c r="R153" s="1632">
        <v>20020.43</v>
      </c>
      <c r="S153" s="1632">
        <v>8143.34</v>
      </c>
      <c r="T153" s="1632">
        <f t="shared" si="27"/>
        <v>11284.27</v>
      </c>
      <c r="U153" s="1631"/>
      <c r="V153" s="1633">
        <f t="shared" si="28"/>
        <v>3140.9300000000003</v>
      </c>
      <c r="W153" s="340"/>
      <c r="X153" s="340"/>
    </row>
    <row r="154" spans="1:25" s="236" customFormat="1" outlineLevel="1">
      <c r="A154" s="340"/>
      <c r="B154" s="341" t="s">
        <v>24</v>
      </c>
      <c r="C154" s="342"/>
      <c r="D154" s="343">
        <v>20140</v>
      </c>
      <c r="E154" s="343" t="s">
        <v>854</v>
      </c>
      <c r="F154" s="344"/>
      <c r="G154" s="344"/>
      <c r="H154" s="340"/>
      <c r="I154" s="340"/>
      <c r="J154" s="1630">
        <v>11650.04</v>
      </c>
      <c r="K154" s="1631"/>
      <c r="L154" s="1632">
        <v>0</v>
      </c>
      <c r="M154" s="1631"/>
      <c r="N154" s="1632">
        <v>0</v>
      </c>
      <c r="O154" s="1631"/>
      <c r="P154" s="1632">
        <f t="shared" si="26"/>
        <v>11650.04</v>
      </c>
      <c r="Q154" s="1631"/>
      <c r="R154" s="1632">
        <v>10548.92</v>
      </c>
      <c r="S154" s="1632">
        <v>11129.79</v>
      </c>
      <c r="T154" s="1632">
        <f t="shared" si="27"/>
        <v>11650.04</v>
      </c>
      <c r="U154" s="1631"/>
      <c r="V154" s="1633">
        <f t="shared" si="28"/>
        <v>520.25</v>
      </c>
      <c r="W154" s="340"/>
      <c r="X154" s="340"/>
    </row>
    <row r="155" spans="1:25" s="236" customFormat="1" outlineLevel="1">
      <c r="A155" s="340"/>
      <c r="B155" s="341" t="s">
        <v>24</v>
      </c>
      <c r="C155" s="342"/>
      <c r="D155" s="343">
        <v>20170</v>
      </c>
      <c r="E155" s="343" t="s">
        <v>855</v>
      </c>
      <c r="F155" s="344"/>
      <c r="G155" s="344"/>
      <c r="H155" s="340"/>
      <c r="I155" s="340"/>
      <c r="J155" s="1630">
        <v>27815.21</v>
      </c>
      <c r="K155" s="1631"/>
      <c r="L155" s="1632">
        <v>0</v>
      </c>
      <c r="M155" s="1631"/>
      <c r="N155" s="1632">
        <v>0</v>
      </c>
      <c r="O155" s="1631"/>
      <c r="P155" s="1632">
        <f t="shared" si="26"/>
        <v>27815.21</v>
      </c>
      <c r="Q155" s="1631"/>
      <c r="R155" s="1632">
        <v>26177.200000000001</v>
      </c>
      <c r="S155" s="1632">
        <v>26042.83</v>
      </c>
      <c r="T155" s="1632">
        <f t="shared" si="27"/>
        <v>27815.21</v>
      </c>
      <c r="U155" s="1631"/>
      <c r="V155" s="1633">
        <f t="shared" si="28"/>
        <v>1772.3799999999974</v>
      </c>
      <c r="W155" s="340"/>
      <c r="X155" s="340"/>
    </row>
    <row r="156" spans="1:25" s="236" customFormat="1" outlineLevel="1">
      <c r="A156" s="340"/>
      <c r="B156" s="341" t="s">
        <v>24</v>
      </c>
      <c r="C156" s="342"/>
      <c r="D156" s="343">
        <v>20175</v>
      </c>
      <c r="E156" s="343" t="s">
        <v>856</v>
      </c>
      <c r="F156" s="344"/>
      <c r="G156" s="344"/>
      <c r="H156" s="340"/>
      <c r="I156" s="340"/>
      <c r="J156" s="1630">
        <v>120307.36</v>
      </c>
      <c r="K156" s="1631"/>
      <c r="L156" s="1632">
        <v>0</v>
      </c>
      <c r="M156" s="1631"/>
      <c r="N156" s="1632">
        <v>0</v>
      </c>
      <c r="O156" s="1631"/>
      <c r="P156" s="1632">
        <f t="shared" si="26"/>
        <v>120307.36</v>
      </c>
      <c r="Q156" s="1631"/>
      <c r="R156" s="1632">
        <v>108772.68</v>
      </c>
      <c r="S156" s="1632">
        <v>112818.51</v>
      </c>
      <c r="T156" s="1632">
        <f t="shared" si="27"/>
        <v>120307.36</v>
      </c>
      <c r="U156" s="1631"/>
      <c r="V156" s="1633">
        <f t="shared" si="28"/>
        <v>7488.8500000000058</v>
      </c>
      <c r="W156" s="340"/>
      <c r="X156" s="340"/>
    </row>
    <row r="157" spans="1:25" s="236" customFormat="1" outlineLevel="1">
      <c r="A157" s="340"/>
      <c r="B157" s="341" t="s">
        <v>24</v>
      </c>
      <c r="C157" s="342"/>
      <c r="D157" s="343">
        <v>20178</v>
      </c>
      <c r="E157" s="343" t="s">
        <v>857</v>
      </c>
      <c r="F157" s="344"/>
      <c r="G157" s="344"/>
      <c r="H157" s="340"/>
      <c r="I157" s="340"/>
      <c r="J157" s="1630">
        <v>77965</v>
      </c>
      <c r="K157" s="1631"/>
      <c r="L157" s="1632">
        <v>0</v>
      </c>
      <c r="M157" s="1631"/>
      <c r="N157" s="1632">
        <v>0</v>
      </c>
      <c r="O157" s="1631"/>
      <c r="P157" s="1632">
        <f t="shared" si="26"/>
        <v>77965</v>
      </c>
      <c r="Q157" s="1631"/>
      <c r="R157" s="1632">
        <v>67922</v>
      </c>
      <c r="S157" s="1632">
        <v>72966</v>
      </c>
      <c r="T157" s="1632">
        <f t="shared" si="27"/>
        <v>77965</v>
      </c>
      <c r="U157" s="1631"/>
      <c r="V157" s="1633">
        <f t="shared" si="28"/>
        <v>4999</v>
      </c>
      <c r="W157" s="340"/>
      <c r="X157" s="340"/>
    </row>
    <row r="158" spans="1:25" s="236" customFormat="1" outlineLevel="1">
      <c r="A158" s="340"/>
      <c r="B158" s="341" t="s">
        <v>24</v>
      </c>
      <c r="C158" s="342"/>
      <c r="D158" s="343">
        <v>20180</v>
      </c>
      <c r="E158" s="343" t="s">
        <v>858</v>
      </c>
      <c r="F158" s="344"/>
      <c r="G158" s="344"/>
      <c r="H158" s="340"/>
      <c r="I158" s="340"/>
      <c r="J158" s="1630">
        <v>36603.15</v>
      </c>
      <c r="K158" s="1631"/>
      <c r="L158" s="1632">
        <v>0</v>
      </c>
      <c r="M158" s="1631"/>
      <c r="N158" s="1632">
        <v>0</v>
      </c>
      <c r="O158" s="1631"/>
      <c r="P158" s="1632">
        <f t="shared" si="26"/>
        <v>36603.15</v>
      </c>
      <c r="Q158" s="1631"/>
      <c r="R158" s="1632">
        <v>37717.17</v>
      </c>
      <c r="S158" s="1632">
        <v>31653.919999999998</v>
      </c>
      <c r="T158" s="1632">
        <f t="shared" si="27"/>
        <v>36603.15</v>
      </c>
      <c r="U158" s="1631"/>
      <c r="V158" s="1633">
        <f t="shared" si="28"/>
        <v>4949.2300000000032</v>
      </c>
      <c r="W158" s="340"/>
      <c r="X158" s="340"/>
    </row>
    <row r="159" spans="1:25" s="236" customFormat="1" outlineLevel="1">
      <c r="A159" s="340"/>
      <c r="B159" s="341" t="s">
        <v>24</v>
      </c>
      <c r="C159" s="342"/>
      <c r="D159" s="343">
        <v>20181</v>
      </c>
      <c r="E159" s="343" t="s">
        <v>1123</v>
      </c>
      <c r="F159" s="344"/>
      <c r="G159" s="344"/>
      <c r="H159" s="340"/>
      <c r="I159" s="340"/>
      <c r="J159" s="1630">
        <v>3757.29</v>
      </c>
      <c r="K159" s="1631"/>
      <c r="L159" s="1632">
        <v>0</v>
      </c>
      <c r="M159" s="1631"/>
      <c r="N159" s="1632">
        <v>0</v>
      </c>
      <c r="O159" s="1631"/>
      <c r="P159" s="1632">
        <f t="shared" si="26"/>
        <v>3757.29</v>
      </c>
      <c r="Q159" s="1631"/>
      <c r="R159" s="1632">
        <v>3757.29</v>
      </c>
      <c r="S159" s="1632">
        <v>3757.29</v>
      </c>
      <c r="T159" s="1632">
        <f t="shared" si="27"/>
        <v>3757.29</v>
      </c>
      <c r="U159" s="1631"/>
      <c r="V159" s="1633">
        <f t="shared" si="28"/>
        <v>0</v>
      </c>
      <c r="W159" s="340"/>
      <c r="X159" s="340"/>
    </row>
    <row r="160" spans="1:25" s="236" customFormat="1" ht="5.0999999999999996" customHeight="1" outlineLevel="1">
      <c r="A160" s="342" t="s">
        <v>17</v>
      </c>
      <c r="B160" s="342" t="s">
        <v>17</v>
      </c>
      <c r="C160" s="342"/>
      <c r="D160" s="344"/>
      <c r="E160" s="344"/>
      <c r="F160" s="344"/>
      <c r="G160" s="344"/>
      <c r="H160" s="340"/>
      <c r="I160" s="340"/>
      <c r="J160" s="1637"/>
      <c r="K160" s="1631"/>
      <c r="L160" s="1638"/>
      <c r="M160" s="1631"/>
      <c r="N160" s="1638"/>
      <c r="O160" s="1631"/>
      <c r="P160" s="1638"/>
      <c r="Q160" s="1631"/>
      <c r="R160" s="1638"/>
      <c r="S160" s="1638"/>
      <c r="T160" s="1638"/>
      <c r="U160" s="1631"/>
      <c r="V160" s="1639"/>
      <c r="W160" s="340"/>
      <c r="X160" s="340"/>
      <c r="Y160" s="340"/>
    </row>
    <row r="161" spans="1:25" s="236" customFormat="1">
      <c r="A161" s="342" t="s">
        <v>851</v>
      </c>
      <c r="B161" s="342" t="s">
        <v>17</v>
      </c>
      <c r="C161" s="342"/>
      <c r="D161" s="340"/>
      <c r="E161" s="340"/>
      <c r="F161" s="343" t="s">
        <v>859</v>
      </c>
      <c r="G161" s="340"/>
      <c r="H161" s="340"/>
      <c r="I161" s="340"/>
      <c r="J161" s="1630">
        <f>SUM(J151:J160)</f>
        <v>819190.9800000001</v>
      </c>
      <c r="K161" s="1631"/>
      <c r="L161" s="1632">
        <f>SUM(L151:L160)</f>
        <v>0</v>
      </c>
      <c r="M161" s="1631"/>
      <c r="N161" s="1632">
        <f>SUM(N151:N160)</f>
        <v>0</v>
      </c>
      <c r="O161" s="1631"/>
      <c r="P161" s="1632">
        <f>J161+L161+N161</f>
        <v>819190.9800000001</v>
      </c>
      <c r="Q161" s="1631"/>
      <c r="R161" s="1632">
        <f>SUM(R151:R160)</f>
        <v>740503.85</v>
      </c>
      <c r="S161" s="1632">
        <f>SUM(S151:S160)</f>
        <v>723960.14000000013</v>
      </c>
      <c r="T161" s="1632">
        <f>SUM(T151:T160)</f>
        <v>819190.9800000001</v>
      </c>
      <c r="U161" s="1631"/>
      <c r="V161" s="1633">
        <f>SUM(V151:V160)</f>
        <v>95230.84</v>
      </c>
      <c r="W161" s="340"/>
      <c r="X161" s="340"/>
      <c r="Y161" s="340"/>
    </row>
    <row r="162" spans="1:25" s="236" customFormat="1" outlineLevel="1">
      <c r="A162" s="340"/>
      <c r="B162" s="341" t="s">
        <v>860</v>
      </c>
      <c r="C162" s="342"/>
      <c r="D162" s="343">
        <v>20300</v>
      </c>
      <c r="E162" s="343" t="s">
        <v>861</v>
      </c>
      <c r="F162" s="344"/>
      <c r="G162" s="344"/>
      <c r="H162" s="340"/>
      <c r="I162" s="340"/>
      <c r="J162" s="1630">
        <v>125811.13</v>
      </c>
      <c r="K162" s="1631"/>
      <c r="L162" s="1632">
        <v>0</v>
      </c>
      <c r="M162" s="1631"/>
      <c r="N162" s="1632">
        <v>0</v>
      </c>
      <c r="O162" s="1631"/>
      <c r="P162" s="1632">
        <f>J162+L162+N162</f>
        <v>125811.13</v>
      </c>
      <c r="Q162" s="1631"/>
      <c r="R162" s="1632">
        <v>123978.96</v>
      </c>
      <c r="S162" s="1632">
        <v>145505.49</v>
      </c>
      <c r="T162" s="1632">
        <f>P162</f>
        <v>125811.13</v>
      </c>
      <c r="U162" s="1631"/>
      <c r="V162" s="1633">
        <f>T162-S162</f>
        <v>-19694.359999999986</v>
      </c>
      <c r="W162" s="340"/>
      <c r="X162" s="340"/>
    </row>
    <row r="163" spans="1:25" s="236" customFormat="1" ht="5.0999999999999996" customHeight="1" outlineLevel="1">
      <c r="A163" s="342" t="s">
        <v>17</v>
      </c>
      <c r="B163" s="368" t="s">
        <v>17</v>
      </c>
      <c r="C163" s="368"/>
      <c r="D163" s="344"/>
      <c r="E163" s="344"/>
      <c r="F163" s="344"/>
      <c r="G163" s="344"/>
      <c r="H163" s="340"/>
      <c r="I163" s="340"/>
      <c r="J163" s="1637"/>
      <c r="K163" s="1631"/>
      <c r="L163" s="1638"/>
      <c r="M163" s="1631"/>
      <c r="N163" s="1638"/>
      <c r="O163" s="1631"/>
      <c r="P163" s="1638"/>
      <c r="Q163" s="1631"/>
      <c r="R163" s="1638"/>
      <c r="S163" s="1638"/>
      <c r="T163" s="1638"/>
      <c r="U163" s="1631"/>
      <c r="V163" s="1639"/>
      <c r="W163" s="340"/>
      <c r="X163" s="340"/>
      <c r="Y163" s="340"/>
    </row>
    <row r="164" spans="1:25" s="236" customFormat="1">
      <c r="A164" s="342" t="s">
        <v>860</v>
      </c>
      <c r="B164" s="368" t="s">
        <v>17</v>
      </c>
      <c r="C164" s="368"/>
      <c r="D164" s="340"/>
      <c r="E164" s="340"/>
      <c r="F164" s="343" t="s">
        <v>862</v>
      </c>
      <c r="G164" s="340"/>
      <c r="H164" s="340"/>
      <c r="I164" s="340"/>
      <c r="J164" s="1630">
        <f>SUM(J162:J163)</f>
        <v>125811.13</v>
      </c>
      <c r="K164" s="1631"/>
      <c r="L164" s="1632">
        <f>SUM(L162:L163)</f>
        <v>0</v>
      </c>
      <c r="M164" s="1631"/>
      <c r="N164" s="1632">
        <f>SUM(N162:N163)</f>
        <v>0</v>
      </c>
      <c r="O164" s="1631"/>
      <c r="P164" s="1632">
        <f t="shared" ref="P164" si="29">J164+L164+N164</f>
        <v>125811.13</v>
      </c>
      <c r="Q164" s="1631"/>
      <c r="R164" s="1632">
        <f>SUM(R162:R163)</f>
        <v>123978.96</v>
      </c>
      <c r="S164" s="1632">
        <f>SUM(S162:S163)</f>
        <v>145505.49</v>
      </c>
      <c r="T164" s="1632">
        <f>SUM(T162:T163)</f>
        <v>125811.13</v>
      </c>
      <c r="U164" s="1631"/>
      <c r="V164" s="1633">
        <f>SUM(V162:V163)</f>
        <v>-19694.359999999986</v>
      </c>
      <c r="W164" s="340"/>
      <c r="X164" s="340"/>
      <c r="Y164" s="340"/>
    </row>
    <row r="165" spans="1:25" s="236" customFormat="1" outlineLevel="1">
      <c r="A165" s="340"/>
      <c r="B165" s="341" t="s">
        <v>863</v>
      </c>
      <c r="C165" s="342"/>
      <c r="D165" s="343">
        <v>20320</v>
      </c>
      <c r="E165" s="343" t="s">
        <v>864</v>
      </c>
      <c r="F165" s="344"/>
      <c r="G165" s="344"/>
      <c r="H165" s="340"/>
      <c r="I165" s="340"/>
      <c r="J165" s="1630">
        <v>148816.46</v>
      </c>
      <c r="K165" s="1631"/>
      <c r="L165" s="1632">
        <v>0</v>
      </c>
      <c r="M165" s="1631"/>
      <c r="N165" s="1632">
        <v>0</v>
      </c>
      <c r="O165" s="1631"/>
      <c r="P165" s="1632">
        <f>J165+L165+N165</f>
        <v>148816.46</v>
      </c>
      <c r="Q165" s="1631"/>
      <c r="R165" s="1632">
        <v>94418.09</v>
      </c>
      <c r="S165" s="1632">
        <v>93495.63</v>
      </c>
      <c r="T165" s="1632">
        <f t="shared" ref="T165:T169" si="30">P165</f>
        <v>148816.46</v>
      </c>
      <c r="U165" s="1631"/>
      <c r="V165" s="1633">
        <f t="shared" ref="V165:V169" si="31">T165-S165</f>
        <v>55320.829999999987</v>
      </c>
      <c r="W165" s="340"/>
      <c r="X165" s="340"/>
    </row>
    <row r="166" spans="1:25" s="236" customFormat="1" outlineLevel="1">
      <c r="A166" s="340"/>
      <c r="B166" s="341" t="s">
        <v>24</v>
      </c>
      <c r="C166" s="342"/>
      <c r="D166" s="343">
        <v>20321</v>
      </c>
      <c r="E166" s="343" t="s">
        <v>865</v>
      </c>
      <c r="F166" s="344"/>
      <c r="G166" s="344"/>
      <c r="H166" s="340"/>
      <c r="I166" s="340"/>
      <c r="J166" s="1630">
        <v>38966.57</v>
      </c>
      <c r="K166" s="1631"/>
      <c r="L166" s="1632">
        <v>0</v>
      </c>
      <c r="M166" s="1631"/>
      <c r="N166" s="1632">
        <v>0</v>
      </c>
      <c r="O166" s="1631"/>
      <c r="P166" s="1632">
        <f>J166+L166+N166</f>
        <v>38966.57</v>
      </c>
      <c r="Q166" s="1631"/>
      <c r="R166" s="1632">
        <v>26452.34</v>
      </c>
      <c r="S166" s="1632">
        <v>28559.7</v>
      </c>
      <c r="T166" s="1632">
        <f t="shared" si="30"/>
        <v>38966.57</v>
      </c>
      <c r="U166" s="1631"/>
      <c r="V166" s="1633">
        <f t="shared" si="31"/>
        <v>10406.869999999999</v>
      </c>
      <c r="W166" s="340"/>
      <c r="X166" s="340"/>
    </row>
    <row r="167" spans="1:25" s="236" customFormat="1" outlineLevel="1">
      <c r="A167" s="340"/>
      <c r="B167" s="341" t="s">
        <v>24</v>
      </c>
      <c r="C167" s="342"/>
      <c r="D167" s="343">
        <v>20340</v>
      </c>
      <c r="E167" s="343" t="s">
        <v>866</v>
      </c>
      <c r="F167" s="344"/>
      <c r="G167" s="344"/>
      <c r="H167" s="340"/>
      <c r="I167" s="340"/>
      <c r="J167" s="1630">
        <v>31332.26</v>
      </c>
      <c r="K167" s="1631"/>
      <c r="L167" s="1632">
        <v>0</v>
      </c>
      <c r="M167" s="1631"/>
      <c r="N167" s="1632">
        <v>0</v>
      </c>
      <c r="O167" s="1631"/>
      <c r="P167" s="1632">
        <f>J167+L167+N167</f>
        <v>31332.26</v>
      </c>
      <c r="Q167" s="1631"/>
      <c r="R167" s="1632">
        <v>22901.7</v>
      </c>
      <c r="S167" s="1632">
        <v>25877.98</v>
      </c>
      <c r="T167" s="1632">
        <f t="shared" si="30"/>
        <v>31332.26</v>
      </c>
      <c r="U167" s="1631"/>
      <c r="V167" s="1633">
        <f t="shared" si="31"/>
        <v>5454.2799999999988</v>
      </c>
      <c r="W167" s="340"/>
      <c r="X167" s="340"/>
    </row>
    <row r="168" spans="1:25" s="236" customFormat="1" outlineLevel="1">
      <c r="A168" s="340"/>
      <c r="B168" s="341" t="s">
        <v>24</v>
      </c>
      <c r="C168" s="342"/>
      <c r="D168" s="343">
        <v>20351</v>
      </c>
      <c r="E168" s="343" t="s">
        <v>867</v>
      </c>
      <c r="F168" s="344"/>
      <c r="G168" s="344"/>
      <c r="H168" s="340"/>
      <c r="I168" s="340"/>
      <c r="J168" s="1630">
        <v>4069.33</v>
      </c>
      <c r="K168" s="1631"/>
      <c r="L168" s="1632">
        <v>0</v>
      </c>
      <c r="M168" s="1631"/>
      <c r="N168" s="1632">
        <v>0</v>
      </c>
      <c r="O168" s="1631"/>
      <c r="P168" s="1632">
        <f>J168+L168+N168</f>
        <v>4069.33</v>
      </c>
      <c r="Q168" s="1631"/>
      <c r="R168" s="1632">
        <v>7968.52</v>
      </c>
      <c r="S168" s="1632">
        <v>2034.66</v>
      </c>
      <c r="T168" s="1632">
        <f t="shared" si="30"/>
        <v>4069.33</v>
      </c>
      <c r="U168" s="1631"/>
      <c r="V168" s="1633">
        <f t="shared" si="31"/>
        <v>2034.6699999999998</v>
      </c>
      <c r="W168" s="340"/>
      <c r="X168" s="340"/>
    </row>
    <row r="169" spans="1:25" s="236" customFormat="1" outlineLevel="1">
      <c r="A169" s="340"/>
      <c r="B169" s="341" t="s">
        <v>24</v>
      </c>
      <c r="C169" s="342"/>
      <c r="D169" s="343">
        <v>20397</v>
      </c>
      <c r="E169" s="343" t="s">
        <v>869</v>
      </c>
      <c r="F169" s="344"/>
      <c r="G169" s="344"/>
      <c r="H169" s="340"/>
      <c r="I169" s="340"/>
      <c r="J169" s="1630">
        <v>20.79</v>
      </c>
      <c r="K169" s="1631"/>
      <c r="L169" s="1632">
        <v>0</v>
      </c>
      <c r="M169" s="1631"/>
      <c r="N169" s="1632">
        <v>0</v>
      </c>
      <c r="O169" s="1631"/>
      <c r="P169" s="1632">
        <f>J169+L169+N169</f>
        <v>20.79</v>
      </c>
      <c r="Q169" s="1631"/>
      <c r="R169" s="1632">
        <v>20.79</v>
      </c>
      <c r="S169" s="1632">
        <v>20.79</v>
      </c>
      <c r="T169" s="1632">
        <f t="shared" si="30"/>
        <v>20.79</v>
      </c>
      <c r="U169" s="1631"/>
      <c r="V169" s="1633">
        <f t="shared" si="31"/>
        <v>0</v>
      </c>
      <c r="W169" s="340"/>
      <c r="X169" s="340"/>
    </row>
    <row r="170" spans="1:25" s="236" customFormat="1" ht="4.5" customHeight="1" outlineLevel="1">
      <c r="A170" s="368" t="s">
        <v>17</v>
      </c>
      <c r="B170" s="368" t="s">
        <v>17</v>
      </c>
      <c r="C170" s="368"/>
      <c r="D170" s="370"/>
      <c r="E170" s="340"/>
      <c r="F170" s="340"/>
      <c r="G170" s="340"/>
      <c r="H170" s="340"/>
      <c r="I170" s="340"/>
      <c r="J170" s="1637"/>
      <c r="K170" s="1631"/>
      <c r="L170" s="1638"/>
      <c r="M170" s="1631"/>
      <c r="N170" s="1638"/>
      <c r="O170" s="1631"/>
      <c r="P170" s="1638"/>
      <c r="Q170" s="1631"/>
      <c r="R170" s="1638"/>
      <c r="S170" s="1638"/>
      <c r="T170" s="1638"/>
      <c r="U170" s="1631"/>
      <c r="V170" s="1639"/>
      <c r="W170" s="340"/>
      <c r="X170" s="340"/>
      <c r="Y170" s="340"/>
    </row>
    <row r="171" spans="1:25" s="236" customFormat="1">
      <c r="A171" s="342" t="s">
        <v>863</v>
      </c>
      <c r="B171" s="368" t="s">
        <v>17</v>
      </c>
      <c r="C171" s="368"/>
      <c r="D171" s="340"/>
      <c r="E171" s="340"/>
      <c r="F171" s="340" t="s">
        <v>870</v>
      </c>
      <c r="G171" s="340"/>
      <c r="H171" s="340"/>
      <c r="I171" s="340"/>
      <c r="J171" s="1630">
        <f>SUM(J165:J170)</f>
        <v>223205.41</v>
      </c>
      <c r="K171" s="1631"/>
      <c r="L171" s="1632">
        <f>SUM(L165:L170)</f>
        <v>0</v>
      </c>
      <c r="M171" s="1631"/>
      <c r="N171" s="1632">
        <f>SUM(N165:N170)</f>
        <v>0</v>
      </c>
      <c r="O171" s="1631"/>
      <c r="P171" s="1632">
        <f>J171+L171+N171</f>
        <v>223205.41</v>
      </c>
      <c r="Q171" s="1631"/>
      <c r="R171" s="1632">
        <f>SUM(R165:R170)</f>
        <v>151761.44</v>
      </c>
      <c r="S171" s="1632">
        <f>SUM(S165:S170)</f>
        <v>149988.76</v>
      </c>
      <c r="T171" s="1632">
        <f>SUM(T165:T170)</f>
        <v>223205.41</v>
      </c>
      <c r="U171" s="1631"/>
      <c r="V171" s="1633">
        <f>SUM(V165:V170)</f>
        <v>73216.64999999998</v>
      </c>
      <c r="W171" s="340"/>
      <c r="X171" s="340"/>
      <c r="Y171" s="340"/>
    </row>
    <row r="172" spans="1:25" s="236" customFormat="1" ht="7.5" customHeight="1">
      <c r="A172" s="368" t="s">
        <v>17</v>
      </c>
      <c r="B172" s="368" t="s">
        <v>17</v>
      </c>
      <c r="C172" s="368"/>
      <c r="D172" s="340"/>
      <c r="E172" s="340"/>
      <c r="F172" s="340"/>
      <c r="G172" s="340"/>
      <c r="H172" s="340"/>
      <c r="I172" s="340"/>
      <c r="J172" s="1630"/>
      <c r="K172" s="1631"/>
      <c r="L172" s="1632"/>
      <c r="M172" s="1631"/>
      <c r="N172" s="1632"/>
      <c r="O172" s="1631"/>
      <c r="P172" s="1632"/>
      <c r="Q172" s="1631"/>
      <c r="R172" s="1632"/>
      <c r="S172" s="1632"/>
      <c r="T172" s="1632"/>
      <c r="U172" s="1631"/>
      <c r="V172" s="1633"/>
      <c r="W172" s="340"/>
      <c r="X172" s="340"/>
      <c r="Y172" s="340"/>
    </row>
    <row r="173" spans="1:25" s="236" customFormat="1">
      <c r="A173" s="368" t="s">
        <v>17</v>
      </c>
      <c r="B173" s="368" t="s">
        <v>17</v>
      </c>
      <c r="C173" s="368"/>
      <c r="D173" s="340"/>
      <c r="E173" s="369" t="s">
        <v>871</v>
      </c>
      <c r="F173" s="340"/>
      <c r="G173" s="340"/>
      <c r="H173" s="340"/>
      <c r="I173" s="340"/>
      <c r="J173" s="1640">
        <f>SUM(J150,J161,J164,J171,J146)</f>
        <v>1168207.52</v>
      </c>
      <c r="K173" s="1631"/>
      <c r="L173" s="1641">
        <f>SUM(L150,L161,L164,L171,L146)</f>
        <v>0</v>
      </c>
      <c r="M173" s="1631"/>
      <c r="N173" s="1641">
        <f>SUM(N150,N161,N164,N171)</f>
        <v>0</v>
      </c>
      <c r="O173" s="1631"/>
      <c r="P173" s="1641">
        <f>SUM(P150,P161,P164,P171,P146)</f>
        <v>1168207.52</v>
      </c>
      <c r="Q173" s="1631"/>
      <c r="R173" s="1641">
        <f>SUM(R150,R161,R164,R171,R146)</f>
        <v>1016244.25</v>
      </c>
      <c r="S173" s="1641">
        <f>SUM(S150,S161,S164,S171,S146)</f>
        <v>1019454.3900000001</v>
      </c>
      <c r="T173" s="1641">
        <f>SUM(T150,T161,T164,T171,T146)</f>
        <v>1168207.52</v>
      </c>
      <c r="U173" s="1631"/>
      <c r="V173" s="1642">
        <f>SUM(V150,V161,V164,V171,V146)</f>
        <v>148753.13</v>
      </c>
      <c r="W173" s="340"/>
      <c r="X173" s="340"/>
      <c r="Y173" s="340"/>
    </row>
    <row r="174" spans="1:25" s="236" customFormat="1" ht="7.5" customHeight="1">
      <c r="A174" s="368" t="s">
        <v>17</v>
      </c>
      <c r="B174" s="368" t="s">
        <v>17</v>
      </c>
      <c r="C174" s="368"/>
      <c r="D174" s="340"/>
      <c r="E174" s="340"/>
      <c r="F174" s="340"/>
      <c r="G174" s="340"/>
      <c r="H174" s="340"/>
      <c r="I174" s="340"/>
      <c r="J174" s="1630"/>
      <c r="K174" s="1631"/>
      <c r="L174" s="1632"/>
      <c r="M174" s="1631"/>
      <c r="N174" s="1632"/>
      <c r="O174" s="1631"/>
      <c r="P174" s="1632"/>
      <c r="Q174" s="1631"/>
      <c r="R174" s="1632"/>
      <c r="S174" s="1632"/>
      <c r="T174" s="1632"/>
      <c r="U174" s="1631"/>
      <c r="V174" s="1633"/>
      <c r="W174" s="340"/>
      <c r="X174" s="340"/>
      <c r="Y174" s="340"/>
    </row>
    <row r="175" spans="1:25" s="236" customFormat="1" outlineLevel="1">
      <c r="A175" s="368" t="s">
        <v>17</v>
      </c>
      <c r="B175" s="368" t="s">
        <v>17</v>
      </c>
      <c r="C175" s="368"/>
      <c r="D175" s="340"/>
      <c r="E175" s="340"/>
      <c r="F175" s="340"/>
      <c r="G175" s="340"/>
      <c r="H175" s="340"/>
      <c r="I175" s="340"/>
      <c r="J175" s="1630"/>
      <c r="K175" s="1631"/>
      <c r="L175" s="1632"/>
      <c r="M175" s="1631"/>
      <c r="N175" s="1632"/>
      <c r="O175" s="1631"/>
      <c r="P175" s="1632"/>
      <c r="Q175" s="1631"/>
      <c r="R175" s="1632"/>
      <c r="S175" s="1632"/>
      <c r="T175" s="1632"/>
      <c r="U175" s="1631"/>
      <c r="V175" s="1633"/>
      <c r="W175" s="340"/>
      <c r="X175" s="340"/>
      <c r="Y175" s="340"/>
    </row>
    <row r="176" spans="1:25" s="236" customFormat="1" outlineLevel="1">
      <c r="A176" s="340"/>
      <c r="B176" s="341" t="s">
        <v>872</v>
      </c>
      <c r="C176" s="342"/>
      <c r="D176" s="343"/>
      <c r="E176" s="343"/>
      <c r="F176" s="344"/>
      <c r="G176" s="344"/>
      <c r="H176" s="340"/>
      <c r="I176" s="340"/>
      <c r="J176" s="1630"/>
      <c r="K176" s="1631"/>
      <c r="L176" s="1632"/>
      <c r="M176" s="1631"/>
      <c r="N176" s="1632"/>
      <c r="O176" s="1631"/>
      <c r="P176" s="1632">
        <f>J176+L176+N176</f>
        <v>0</v>
      </c>
      <c r="Q176" s="1631"/>
      <c r="R176" s="1632"/>
      <c r="S176" s="1632"/>
      <c r="T176" s="1632">
        <f>P176</f>
        <v>0</v>
      </c>
      <c r="U176" s="1631"/>
      <c r="V176" s="1633">
        <f>T176-S176</f>
        <v>0</v>
      </c>
      <c r="W176" s="340"/>
      <c r="X176" s="340"/>
    </row>
    <row r="177" spans="1:25" s="236" customFormat="1" ht="5.0999999999999996" customHeight="1" outlineLevel="1">
      <c r="A177" s="368" t="s">
        <v>17</v>
      </c>
      <c r="B177" s="368" t="s">
        <v>17</v>
      </c>
      <c r="C177" s="368"/>
      <c r="D177" s="344"/>
      <c r="E177" s="344"/>
      <c r="F177" s="344"/>
      <c r="G177" s="344"/>
      <c r="H177" s="340"/>
      <c r="I177" s="340"/>
      <c r="J177" s="1637"/>
      <c r="K177" s="1631"/>
      <c r="L177" s="1638"/>
      <c r="M177" s="1631"/>
      <c r="N177" s="1638"/>
      <c r="O177" s="1631"/>
      <c r="P177" s="1638"/>
      <c r="Q177" s="1631"/>
      <c r="R177" s="1638"/>
      <c r="S177" s="1638"/>
      <c r="T177" s="1638"/>
      <c r="U177" s="1631"/>
      <c r="V177" s="1639"/>
      <c r="W177" s="340"/>
      <c r="X177" s="340"/>
      <c r="Y177" s="340"/>
    </row>
    <row r="178" spans="1:25" s="236" customFormat="1">
      <c r="A178" s="342" t="s">
        <v>872</v>
      </c>
      <c r="B178" s="368" t="s">
        <v>17</v>
      </c>
      <c r="C178" s="368"/>
      <c r="D178" s="340"/>
      <c r="E178" s="340"/>
      <c r="F178" s="343" t="s">
        <v>873</v>
      </c>
      <c r="G178" s="340"/>
      <c r="H178" s="340"/>
      <c r="I178" s="340"/>
      <c r="J178" s="1630">
        <f>SUM(J176:J177)</f>
        <v>0</v>
      </c>
      <c r="K178" s="1631"/>
      <c r="L178" s="1632">
        <f>SUM(L176:L177)</f>
        <v>0</v>
      </c>
      <c r="M178" s="1631"/>
      <c r="N178" s="1632">
        <f>SUM(N176:N177)</f>
        <v>0</v>
      </c>
      <c r="O178" s="1631"/>
      <c r="P178" s="1632">
        <f>J178+L178+N178</f>
        <v>0</v>
      </c>
      <c r="Q178" s="1631"/>
      <c r="R178" s="1632">
        <f>SUM(R176:R177)</f>
        <v>0</v>
      </c>
      <c r="S178" s="1632">
        <f>SUM(S176:S177)</f>
        <v>0</v>
      </c>
      <c r="T178" s="1632">
        <f>SUM(T176:T177)</f>
        <v>0</v>
      </c>
      <c r="U178" s="1631"/>
      <c r="V178" s="1633">
        <f>SUM(V176:V177)</f>
        <v>0</v>
      </c>
      <c r="W178" s="340"/>
      <c r="X178" s="340"/>
      <c r="Y178" s="340"/>
    </row>
    <row r="179" spans="1:25" s="236" customFormat="1" outlineLevel="1">
      <c r="A179" s="340"/>
      <c r="B179" s="341" t="s">
        <v>874</v>
      </c>
      <c r="C179" s="342"/>
      <c r="D179" s="343"/>
      <c r="E179" s="343"/>
      <c r="F179" s="344"/>
      <c r="G179" s="344"/>
      <c r="H179" s="340"/>
      <c r="I179" s="340"/>
      <c r="J179" s="1630"/>
      <c r="K179" s="1631"/>
      <c r="L179" s="1632"/>
      <c r="M179" s="1631"/>
      <c r="N179" s="1632"/>
      <c r="O179" s="1631"/>
      <c r="P179" s="1632">
        <f>J179+L179+N179</f>
        <v>0</v>
      </c>
      <c r="Q179" s="1631"/>
      <c r="R179" s="1632"/>
      <c r="S179" s="1632"/>
      <c r="T179" s="1632">
        <f>P179</f>
        <v>0</v>
      </c>
      <c r="U179" s="1631"/>
      <c r="V179" s="1633">
        <f>T179-S179</f>
        <v>0</v>
      </c>
      <c r="W179" s="340"/>
      <c r="X179" s="340"/>
    </row>
    <row r="180" spans="1:25" s="236" customFormat="1" ht="5.0999999999999996" customHeight="1" outlineLevel="1">
      <c r="A180" s="368" t="s">
        <v>17</v>
      </c>
      <c r="B180" s="368" t="s">
        <v>17</v>
      </c>
      <c r="C180" s="368"/>
      <c r="D180" s="344"/>
      <c r="E180" s="344"/>
      <c r="F180" s="344"/>
      <c r="G180" s="344"/>
      <c r="H180" s="340"/>
      <c r="I180" s="340"/>
      <c r="J180" s="1637"/>
      <c r="K180" s="1631"/>
      <c r="L180" s="1638"/>
      <c r="M180" s="1631"/>
      <c r="N180" s="1638"/>
      <c r="O180" s="1631"/>
      <c r="P180" s="1638"/>
      <c r="Q180" s="1631"/>
      <c r="R180" s="1638"/>
      <c r="S180" s="1638"/>
      <c r="T180" s="1638"/>
      <c r="U180" s="1631"/>
      <c r="V180" s="1639"/>
      <c r="W180" s="340"/>
      <c r="X180" s="340"/>
      <c r="Y180" s="340"/>
    </row>
    <row r="181" spans="1:25" s="236" customFormat="1">
      <c r="A181" s="342" t="s">
        <v>874</v>
      </c>
      <c r="B181" s="368" t="s">
        <v>17</v>
      </c>
      <c r="C181" s="368"/>
      <c r="D181" s="340"/>
      <c r="E181" s="340"/>
      <c r="F181" s="343" t="s">
        <v>875</v>
      </c>
      <c r="G181" s="340"/>
      <c r="H181" s="340"/>
      <c r="I181" s="340"/>
      <c r="J181" s="1630">
        <f>SUM(J179:J180)</f>
        <v>0</v>
      </c>
      <c r="K181" s="1631"/>
      <c r="L181" s="1632">
        <f>SUM(L179:L180)</f>
        <v>0</v>
      </c>
      <c r="M181" s="1631"/>
      <c r="N181" s="1632">
        <f>SUM(N179:N180)</f>
        <v>0</v>
      </c>
      <c r="O181" s="1631"/>
      <c r="P181" s="1632">
        <f>J181+L181+N181</f>
        <v>0</v>
      </c>
      <c r="Q181" s="1631"/>
      <c r="R181" s="1632">
        <f>SUM(R179:R180)</f>
        <v>0</v>
      </c>
      <c r="S181" s="1632">
        <f>SUM(S179:S180)</f>
        <v>0</v>
      </c>
      <c r="T181" s="1632">
        <f>SUM(T179:T180)</f>
        <v>0</v>
      </c>
      <c r="U181" s="1631"/>
      <c r="V181" s="1633">
        <f>SUM(V179:V180)</f>
        <v>0</v>
      </c>
      <c r="W181" s="340"/>
      <c r="X181" s="340"/>
      <c r="Y181" s="340"/>
    </row>
    <row r="182" spans="1:25" s="236" customFormat="1" outlineLevel="1">
      <c r="A182" s="340"/>
      <c r="B182" s="341" t="s">
        <v>876</v>
      </c>
      <c r="C182" s="342"/>
      <c r="D182" s="343"/>
      <c r="E182" s="343"/>
      <c r="F182" s="344"/>
      <c r="G182" s="344"/>
      <c r="H182" s="340"/>
      <c r="I182" s="340"/>
      <c r="J182" s="1630"/>
      <c r="K182" s="1631"/>
      <c r="L182" s="1632"/>
      <c r="M182" s="1631"/>
      <c r="N182" s="1632"/>
      <c r="O182" s="1631"/>
      <c r="P182" s="1632">
        <f>J182+L182+N182</f>
        <v>0</v>
      </c>
      <c r="Q182" s="1631"/>
      <c r="R182" s="1632"/>
      <c r="S182" s="1632"/>
      <c r="T182" s="1632">
        <f>P182</f>
        <v>0</v>
      </c>
      <c r="U182" s="1631"/>
      <c r="V182" s="1633">
        <f>T182-S182</f>
        <v>0</v>
      </c>
      <c r="W182" s="340"/>
      <c r="X182" s="340"/>
    </row>
    <row r="183" spans="1:25" s="236" customFormat="1" ht="5.0999999999999996" customHeight="1" outlineLevel="1">
      <c r="A183" s="368" t="s">
        <v>17</v>
      </c>
      <c r="B183" s="342" t="s">
        <v>17</v>
      </c>
      <c r="C183" s="342"/>
      <c r="D183" s="344"/>
      <c r="E183" s="344"/>
      <c r="F183" s="344"/>
      <c r="G183" s="344"/>
      <c r="H183" s="340"/>
      <c r="I183" s="340"/>
      <c r="J183" s="1637"/>
      <c r="K183" s="1631"/>
      <c r="L183" s="1638"/>
      <c r="M183" s="1631"/>
      <c r="N183" s="1638"/>
      <c r="O183" s="1631"/>
      <c r="P183" s="1638"/>
      <c r="Q183" s="1631"/>
      <c r="R183" s="1638"/>
      <c r="S183" s="1638"/>
      <c r="T183" s="1638"/>
      <c r="U183" s="1631"/>
      <c r="V183" s="1639"/>
      <c r="W183" s="340"/>
      <c r="X183" s="340"/>
      <c r="Y183" s="340"/>
    </row>
    <row r="184" spans="1:25" s="236" customFormat="1">
      <c r="A184" s="342" t="s">
        <v>876</v>
      </c>
      <c r="B184" s="342" t="s">
        <v>17</v>
      </c>
      <c r="C184" s="342"/>
      <c r="D184" s="340"/>
      <c r="E184" s="340"/>
      <c r="F184" s="343" t="s">
        <v>877</v>
      </c>
      <c r="G184" s="340"/>
      <c r="H184" s="340"/>
      <c r="I184" s="340"/>
      <c r="J184" s="1630">
        <f>SUM(J182:J183)</f>
        <v>0</v>
      </c>
      <c r="K184" s="1631"/>
      <c r="L184" s="1632">
        <f>SUM(L182:L183)</f>
        <v>0</v>
      </c>
      <c r="M184" s="1631"/>
      <c r="N184" s="1632">
        <f>SUM(N182:N183)</f>
        <v>0</v>
      </c>
      <c r="O184" s="1631"/>
      <c r="P184" s="1632">
        <f>J184+L184+N184</f>
        <v>0</v>
      </c>
      <c r="Q184" s="1631"/>
      <c r="R184" s="1632">
        <f>SUM(R182:R183)</f>
        <v>0</v>
      </c>
      <c r="S184" s="1632">
        <f>SUM(S182:S183)</f>
        <v>0</v>
      </c>
      <c r="T184" s="1632">
        <f>SUM(T182:T183)</f>
        <v>0</v>
      </c>
      <c r="U184" s="1631"/>
      <c r="V184" s="1633">
        <f>SUM(V182:V183)</f>
        <v>0</v>
      </c>
      <c r="W184" s="340"/>
      <c r="X184" s="340"/>
      <c r="Y184" s="340"/>
    </row>
    <row r="185" spans="1:25" s="236" customFormat="1" outlineLevel="1">
      <c r="A185" s="340"/>
      <c r="B185" s="341" t="s">
        <v>878</v>
      </c>
      <c r="C185" s="342"/>
      <c r="D185" s="343"/>
      <c r="E185" s="343"/>
      <c r="F185" s="344"/>
      <c r="G185" s="344"/>
      <c r="H185" s="340"/>
      <c r="I185" s="340"/>
      <c r="J185" s="1630"/>
      <c r="K185" s="1631"/>
      <c r="L185" s="1632"/>
      <c r="M185" s="1631"/>
      <c r="N185" s="1632"/>
      <c r="O185" s="1631"/>
      <c r="P185" s="1632">
        <f>J185+L185+N185</f>
        <v>0</v>
      </c>
      <c r="Q185" s="1631"/>
      <c r="R185" s="1632"/>
      <c r="S185" s="1632"/>
      <c r="T185" s="1632">
        <f>P185</f>
        <v>0</v>
      </c>
      <c r="U185" s="1631"/>
      <c r="V185" s="1633">
        <f>T185-S185</f>
        <v>0</v>
      </c>
      <c r="W185" s="340"/>
      <c r="X185" s="340"/>
    </row>
    <row r="186" spans="1:25" s="236" customFormat="1" ht="5.0999999999999996" customHeight="1" outlineLevel="1">
      <c r="A186" s="342" t="s">
        <v>17</v>
      </c>
      <c r="B186" s="368"/>
      <c r="C186" s="368"/>
      <c r="D186" s="343"/>
      <c r="E186" s="343"/>
      <c r="F186" s="340"/>
      <c r="G186" s="340"/>
      <c r="H186" s="340"/>
      <c r="I186" s="340"/>
      <c r="J186" s="1637"/>
      <c r="K186" s="1631"/>
      <c r="L186" s="1638"/>
      <c r="M186" s="1631"/>
      <c r="N186" s="1638"/>
      <c r="O186" s="1631"/>
      <c r="P186" s="1638"/>
      <c r="Q186" s="1631"/>
      <c r="R186" s="1638"/>
      <c r="S186" s="1638"/>
      <c r="T186" s="1638"/>
      <c r="U186" s="1631"/>
      <c r="V186" s="1639"/>
      <c r="W186" s="340"/>
      <c r="X186" s="340"/>
      <c r="Y186" s="340"/>
    </row>
    <row r="187" spans="1:25" s="236" customFormat="1" ht="12.75" customHeight="1">
      <c r="A187" s="342" t="s">
        <v>878</v>
      </c>
      <c r="B187" s="368" t="s">
        <v>17</v>
      </c>
      <c r="C187" s="368"/>
      <c r="D187" s="340"/>
      <c r="E187" s="340"/>
      <c r="F187" s="340" t="s">
        <v>879</v>
      </c>
      <c r="G187" s="340"/>
      <c r="H187" s="340"/>
      <c r="I187" s="340"/>
      <c r="J187" s="1630">
        <f>SUM(J185:J186)</f>
        <v>0</v>
      </c>
      <c r="K187" s="1631"/>
      <c r="L187" s="1632">
        <f>SUM(L185:L186)</f>
        <v>0</v>
      </c>
      <c r="M187" s="1631"/>
      <c r="N187" s="1632">
        <f>SUM(N185:N186)</f>
        <v>0</v>
      </c>
      <c r="O187" s="1631"/>
      <c r="P187" s="1632">
        <f>J187+L187+N187</f>
        <v>0</v>
      </c>
      <c r="Q187" s="1631"/>
      <c r="R187" s="1632">
        <f>SUM(R185:R186)</f>
        <v>0</v>
      </c>
      <c r="S187" s="1632">
        <f>SUM(S185:S186)</f>
        <v>0</v>
      </c>
      <c r="T187" s="1632">
        <f>SUM(T185:T186)</f>
        <v>0</v>
      </c>
      <c r="U187" s="1631"/>
      <c r="V187" s="1633">
        <f>SUM(V185:V186)</f>
        <v>0</v>
      </c>
      <c r="W187" s="340"/>
      <c r="X187" s="340"/>
      <c r="Y187" s="340"/>
    </row>
    <row r="188" spans="1:25" s="236" customFormat="1" outlineLevel="1">
      <c r="A188" s="340"/>
      <c r="B188" s="341" t="s">
        <v>880</v>
      </c>
      <c r="C188" s="342"/>
      <c r="D188" s="343"/>
      <c r="E188" s="343"/>
      <c r="F188" s="344"/>
      <c r="G188" s="344"/>
      <c r="H188" s="340"/>
      <c r="I188" s="340"/>
      <c r="J188" s="1630"/>
      <c r="K188" s="1631"/>
      <c r="L188" s="1632"/>
      <c r="M188" s="1631"/>
      <c r="N188" s="1632"/>
      <c r="O188" s="1631"/>
      <c r="P188" s="1632">
        <f>J188+L188+N188</f>
        <v>0</v>
      </c>
      <c r="Q188" s="1631"/>
      <c r="R188" s="1632"/>
      <c r="S188" s="1632"/>
      <c r="T188" s="1632">
        <f>P188</f>
        <v>0</v>
      </c>
      <c r="U188" s="1631"/>
      <c r="V188" s="1633">
        <f>T188-S188</f>
        <v>0</v>
      </c>
      <c r="W188" s="340"/>
      <c r="X188" s="340"/>
    </row>
    <row r="189" spans="1:25" s="236" customFormat="1" ht="5.0999999999999996" customHeight="1" outlineLevel="1">
      <c r="A189" s="368" t="s">
        <v>17</v>
      </c>
      <c r="B189" s="342" t="s">
        <v>17</v>
      </c>
      <c r="C189" s="342"/>
      <c r="D189" s="344"/>
      <c r="E189" s="344"/>
      <c r="F189" s="344"/>
      <c r="G189" s="344"/>
      <c r="H189" s="340"/>
      <c r="I189" s="340"/>
      <c r="J189" s="1637"/>
      <c r="K189" s="1631"/>
      <c r="L189" s="1638"/>
      <c r="M189" s="1631"/>
      <c r="N189" s="1638"/>
      <c r="O189" s="1631"/>
      <c r="P189" s="1638"/>
      <c r="Q189" s="1631"/>
      <c r="R189" s="1638"/>
      <c r="S189" s="1638"/>
      <c r="T189" s="1638"/>
      <c r="U189" s="1631"/>
      <c r="V189" s="1639"/>
      <c r="W189" s="340"/>
      <c r="X189" s="340"/>
      <c r="Y189" s="340"/>
    </row>
    <row r="190" spans="1:25" s="236" customFormat="1">
      <c r="A190" s="342" t="s">
        <v>880</v>
      </c>
      <c r="B190" s="342" t="s">
        <v>17</v>
      </c>
      <c r="C190" s="342"/>
      <c r="D190" s="340"/>
      <c r="E190" s="340"/>
      <c r="F190" s="343" t="s">
        <v>881</v>
      </c>
      <c r="G190" s="340"/>
      <c r="H190" s="340"/>
      <c r="I190" s="340"/>
      <c r="J190" s="1630">
        <f>SUM(J188:J189)</f>
        <v>0</v>
      </c>
      <c r="K190" s="1631"/>
      <c r="L190" s="1632">
        <f>SUM(L188:L189)</f>
        <v>0</v>
      </c>
      <c r="M190" s="1631"/>
      <c r="N190" s="1632">
        <f>SUM(N188:N189)</f>
        <v>0</v>
      </c>
      <c r="O190" s="1631"/>
      <c r="P190" s="1632">
        <f>J190+L190+N190</f>
        <v>0</v>
      </c>
      <c r="Q190" s="1631"/>
      <c r="R190" s="1632">
        <f>SUM(R188:R189)</f>
        <v>0</v>
      </c>
      <c r="S190" s="1632">
        <f>SUM(S188:S189)</f>
        <v>0</v>
      </c>
      <c r="T190" s="1632">
        <f>SUM(T188:T189)</f>
        <v>0</v>
      </c>
      <c r="U190" s="1631"/>
      <c r="V190" s="1633">
        <f>SUM(V188:V189)</f>
        <v>0</v>
      </c>
      <c r="W190" s="340"/>
      <c r="X190" s="340"/>
      <c r="Y190" s="340"/>
    </row>
    <row r="191" spans="1:25" s="236" customFormat="1" outlineLevel="1">
      <c r="A191" s="340"/>
      <c r="B191" s="341" t="s">
        <v>882</v>
      </c>
      <c r="C191" s="342"/>
      <c r="D191" s="343"/>
      <c r="E191" s="343"/>
      <c r="F191" s="344"/>
      <c r="G191" s="344"/>
      <c r="H191" s="340"/>
      <c r="I191" s="340"/>
      <c r="J191" s="1630"/>
      <c r="K191" s="1631"/>
      <c r="L191" s="1632"/>
      <c r="M191" s="1631"/>
      <c r="N191" s="1632"/>
      <c r="O191" s="1631"/>
      <c r="P191" s="1632">
        <f>J191+L191+N191</f>
        <v>0</v>
      </c>
      <c r="Q191" s="1631"/>
      <c r="R191" s="1632"/>
      <c r="S191" s="1632"/>
      <c r="T191" s="1632">
        <f>P191</f>
        <v>0</v>
      </c>
      <c r="U191" s="1631"/>
      <c r="V191" s="1633">
        <f>T191-S191</f>
        <v>0</v>
      </c>
      <c r="W191" s="340"/>
      <c r="X191" s="340"/>
    </row>
    <row r="192" spans="1:25" s="236" customFormat="1" ht="5.0999999999999996" customHeight="1" outlineLevel="1">
      <c r="A192" s="342" t="s">
        <v>17</v>
      </c>
      <c r="B192" s="342" t="s">
        <v>17</v>
      </c>
      <c r="C192" s="342"/>
      <c r="D192" s="344"/>
      <c r="E192" s="344"/>
      <c r="F192" s="344"/>
      <c r="G192" s="344"/>
      <c r="H192" s="340"/>
      <c r="I192" s="340"/>
      <c r="J192" s="1637"/>
      <c r="K192" s="1631"/>
      <c r="L192" s="1638"/>
      <c r="M192" s="1631"/>
      <c r="N192" s="1638"/>
      <c r="O192" s="1631"/>
      <c r="P192" s="1638"/>
      <c r="Q192" s="1631"/>
      <c r="R192" s="1638"/>
      <c r="S192" s="1638"/>
      <c r="T192" s="1638"/>
      <c r="U192" s="1631"/>
      <c r="V192" s="1639"/>
      <c r="W192" s="340"/>
      <c r="X192" s="340"/>
      <c r="Y192" s="340"/>
    </row>
    <row r="193" spans="1:25" s="236" customFormat="1">
      <c r="A193" s="342" t="s">
        <v>882</v>
      </c>
      <c r="B193" s="342" t="s">
        <v>17</v>
      </c>
      <c r="C193" s="342"/>
      <c r="D193" s="340"/>
      <c r="E193" s="340"/>
      <c r="F193" s="343" t="s">
        <v>883</v>
      </c>
      <c r="G193" s="340"/>
      <c r="H193" s="340"/>
      <c r="I193" s="340"/>
      <c r="J193" s="1630">
        <f>SUM(J191:J192)</f>
        <v>0</v>
      </c>
      <c r="K193" s="1631"/>
      <c r="L193" s="1632">
        <f>SUM(L191:L192)</f>
        <v>0</v>
      </c>
      <c r="M193" s="1631"/>
      <c r="N193" s="1632">
        <f>SUM(N191:N192)</f>
        <v>0</v>
      </c>
      <c r="O193" s="1631"/>
      <c r="P193" s="1632">
        <f>J193+L193+N193</f>
        <v>0</v>
      </c>
      <c r="Q193" s="1631"/>
      <c r="R193" s="1632">
        <f>SUM(R191:R192)</f>
        <v>0</v>
      </c>
      <c r="S193" s="1632">
        <f>SUM(S191:S192)</f>
        <v>0</v>
      </c>
      <c r="T193" s="1632">
        <f>SUM(T191:T192)</f>
        <v>0</v>
      </c>
      <c r="U193" s="1631"/>
      <c r="V193" s="1633">
        <f>SUM(V191:V192)</f>
        <v>0</v>
      </c>
      <c r="W193" s="340"/>
      <c r="X193" s="340"/>
      <c r="Y193" s="340"/>
    </row>
    <row r="194" spans="1:25" s="236" customFormat="1" outlineLevel="1">
      <c r="A194" s="340"/>
      <c r="B194" s="341" t="s">
        <v>884</v>
      </c>
      <c r="C194" s="342"/>
      <c r="D194" s="343"/>
      <c r="E194" s="343"/>
      <c r="F194" s="344"/>
      <c r="G194" s="344"/>
      <c r="H194" s="340"/>
      <c r="I194" s="340"/>
      <c r="J194" s="1630"/>
      <c r="K194" s="1631"/>
      <c r="L194" s="1632"/>
      <c r="M194" s="1631"/>
      <c r="N194" s="1632"/>
      <c r="O194" s="1631"/>
      <c r="P194" s="1632">
        <f>J194+L194+N194</f>
        <v>0</v>
      </c>
      <c r="Q194" s="1631"/>
      <c r="R194" s="1632"/>
      <c r="S194" s="1632"/>
      <c r="T194" s="1632">
        <f>P194</f>
        <v>0</v>
      </c>
      <c r="U194" s="1631"/>
      <c r="V194" s="1633">
        <f>T194-S194</f>
        <v>0</v>
      </c>
      <c r="W194" s="340"/>
      <c r="X194" s="340"/>
    </row>
    <row r="195" spans="1:25" s="236" customFormat="1" ht="5.0999999999999996" customHeight="1" outlineLevel="1">
      <c r="A195" s="368" t="s">
        <v>17</v>
      </c>
      <c r="B195" s="368" t="s">
        <v>17</v>
      </c>
      <c r="C195" s="368"/>
      <c r="D195" s="344"/>
      <c r="E195" s="344"/>
      <c r="F195" s="344"/>
      <c r="G195" s="344"/>
      <c r="H195" s="340"/>
      <c r="I195" s="340"/>
      <c r="J195" s="1637"/>
      <c r="K195" s="1631"/>
      <c r="L195" s="1638"/>
      <c r="M195" s="1631"/>
      <c r="N195" s="1638"/>
      <c r="O195" s="1631"/>
      <c r="P195" s="1638"/>
      <c r="Q195" s="1631"/>
      <c r="R195" s="1638"/>
      <c r="S195" s="1638"/>
      <c r="T195" s="1638"/>
      <c r="U195" s="1631"/>
      <c r="V195" s="1639"/>
      <c r="W195" s="340"/>
      <c r="X195" s="340"/>
      <c r="Y195" s="340"/>
    </row>
    <row r="196" spans="1:25" s="236" customFormat="1">
      <c r="A196" s="342" t="s">
        <v>884</v>
      </c>
      <c r="B196" s="342" t="s">
        <v>17</v>
      </c>
      <c r="C196" s="342"/>
      <c r="D196" s="340"/>
      <c r="E196" s="340"/>
      <c r="F196" s="343" t="s">
        <v>885</v>
      </c>
      <c r="G196" s="340"/>
      <c r="H196" s="340"/>
      <c r="I196" s="340"/>
      <c r="J196" s="1630">
        <f>SUM(J194:J195)</f>
        <v>0</v>
      </c>
      <c r="K196" s="1631"/>
      <c r="L196" s="1632">
        <f>SUM(L194:L195)</f>
        <v>0</v>
      </c>
      <c r="M196" s="1631"/>
      <c r="N196" s="1632">
        <f>SUM(N194:N195)</f>
        <v>0</v>
      </c>
      <c r="O196" s="1631"/>
      <c r="P196" s="1632">
        <f>J196+L196+N196</f>
        <v>0</v>
      </c>
      <c r="Q196" s="1631"/>
      <c r="R196" s="1632">
        <f>SUM(R194:R195)</f>
        <v>0</v>
      </c>
      <c r="S196" s="1632">
        <f>SUM(S194:S195)</f>
        <v>0</v>
      </c>
      <c r="T196" s="1632">
        <f>SUM(T194:T195)</f>
        <v>0</v>
      </c>
      <c r="U196" s="1631"/>
      <c r="V196" s="1633">
        <f>SUM(V194:V195)</f>
        <v>0</v>
      </c>
      <c r="W196" s="340"/>
      <c r="X196" s="340"/>
      <c r="Y196" s="340"/>
    </row>
    <row r="197" spans="1:25" s="236" customFormat="1" ht="7.5" customHeight="1">
      <c r="A197" s="342" t="s">
        <v>17</v>
      </c>
      <c r="B197" s="342" t="s">
        <v>17</v>
      </c>
      <c r="C197" s="342"/>
      <c r="D197" s="340"/>
      <c r="E197" s="340"/>
      <c r="F197" s="340"/>
      <c r="G197" s="340"/>
      <c r="H197" s="340"/>
      <c r="I197" s="340"/>
      <c r="J197" s="1630"/>
      <c r="K197" s="1631"/>
      <c r="L197" s="1632"/>
      <c r="M197" s="1631"/>
      <c r="N197" s="1632"/>
      <c r="O197" s="1631"/>
      <c r="P197" s="1632"/>
      <c r="Q197" s="1631"/>
      <c r="R197" s="1632"/>
      <c r="S197" s="1632"/>
      <c r="T197" s="1632"/>
      <c r="U197" s="1631"/>
      <c r="V197" s="1633"/>
      <c r="W197" s="340"/>
      <c r="X197" s="340"/>
      <c r="Y197" s="340"/>
    </row>
    <row r="198" spans="1:25" s="236" customFormat="1">
      <c r="A198" s="342" t="s">
        <v>17</v>
      </c>
      <c r="B198" s="342" t="s">
        <v>17</v>
      </c>
      <c r="C198" s="342"/>
      <c r="D198" s="340"/>
      <c r="E198" s="369" t="s">
        <v>886</v>
      </c>
      <c r="F198" s="340"/>
      <c r="G198" s="340"/>
      <c r="H198" s="340"/>
      <c r="I198" s="340"/>
      <c r="J198" s="1640">
        <f>SUM(J178,J184,J193,J173,J181,J190,J187)</f>
        <v>1168207.52</v>
      </c>
      <c r="K198" s="1631"/>
      <c r="L198" s="1641">
        <f>SUM(L178,L184,L193,L173,L181,L190,L187)</f>
        <v>0</v>
      </c>
      <c r="M198" s="1631"/>
      <c r="N198" s="1641">
        <f>SUM(N178,N184,N193,N173,N181,N190,N187)</f>
        <v>0</v>
      </c>
      <c r="O198" s="1631"/>
      <c r="P198" s="1641">
        <f>SUM(P178,P184,P193,P173,P181,P190,P187)</f>
        <v>1168207.52</v>
      </c>
      <c r="Q198" s="1631"/>
      <c r="R198" s="1641">
        <f>SUM(R178,R184,R193,R173,R181,R190,R187)</f>
        <v>1016244.25</v>
      </c>
      <c r="S198" s="1641">
        <f>SUM(S178,S184,S193,S173,S181,S190,S187)</f>
        <v>1019454.3900000001</v>
      </c>
      <c r="T198" s="1641">
        <f>SUM(T178,T184,T193,T173,T181,T190,T187)</f>
        <v>1168207.52</v>
      </c>
      <c r="U198" s="1631"/>
      <c r="V198" s="1642">
        <f>SUM(V178,V184,V193,V173,V181,V190,V187)</f>
        <v>148753.13</v>
      </c>
      <c r="W198" s="340"/>
      <c r="X198" s="340"/>
      <c r="Y198" s="340"/>
    </row>
    <row r="199" spans="1:25" s="236" customFormat="1" ht="7.5" customHeight="1">
      <c r="A199" s="342" t="s">
        <v>17</v>
      </c>
      <c r="B199" s="342" t="s">
        <v>17</v>
      </c>
      <c r="C199" s="342"/>
      <c r="D199" s="340"/>
      <c r="E199" s="340"/>
      <c r="F199" s="340"/>
      <c r="G199" s="340"/>
      <c r="H199" s="340"/>
      <c r="I199" s="340"/>
      <c r="J199" s="1630"/>
      <c r="K199" s="1631"/>
      <c r="L199" s="1632"/>
      <c r="M199" s="1631"/>
      <c r="N199" s="1632"/>
      <c r="O199" s="1631"/>
      <c r="P199" s="1632"/>
      <c r="Q199" s="1631"/>
      <c r="R199" s="1632"/>
      <c r="S199" s="1632"/>
      <c r="T199" s="1632"/>
      <c r="U199" s="1631"/>
      <c r="V199" s="1633"/>
      <c r="W199" s="340"/>
      <c r="X199" s="340"/>
      <c r="Y199" s="340"/>
    </row>
    <row r="200" spans="1:25" s="236" customFormat="1" outlineLevel="1">
      <c r="A200" s="340"/>
      <c r="B200" s="341" t="s">
        <v>887</v>
      </c>
      <c r="C200" s="342"/>
      <c r="D200" s="343"/>
      <c r="E200" s="343"/>
      <c r="F200" s="344"/>
      <c r="G200" s="344"/>
      <c r="H200" s="340"/>
      <c r="I200" s="340"/>
      <c r="J200" s="1630"/>
      <c r="K200" s="1631"/>
      <c r="L200" s="1632"/>
      <c r="M200" s="1631"/>
      <c r="N200" s="1632"/>
      <c r="O200" s="1631"/>
      <c r="P200" s="1632">
        <f>J200+L200+N200</f>
        <v>0</v>
      </c>
      <c r="Q200" s="1631"/>
      <c r="R200" s="1632"/>
      <c r="S200" s="1632"/>
      <c r="T200" s="1632">
        <f>P200</f>
        <v>0</v>
      </c>
      <c r="U200" s="1631"/>
      <c r="V200" s="1633">
        <f>T200-S200</f>
        <v>0</v>
      </c>
      <c r="W200" s="340"/>
      <c r="X200" s="340"/>
    </row>
    <row r="201" spans="1:25" s="236" customFormat="1" ht="5.0999999999999996" customHeight="1" outlineLevel="1">
      <c r="A201" s="342" t="s">
        <v>17</v>
      </c>
      <c r="B201" s="342" t="s">
        <v>17</v>
      </c>
      <c r="C201" s="342"/>
      <c r="D201" s="344"/>
      <c r="E201" s="344"/>
      <c r="F201" s="344"/>
      <c r="G201" s="344"/>
      <c r="H201" s="340"/>
      <c r="I201" s="340"/>
      <c r="J201" s="1637"/>
      <c r="K201" s="1631"/>
      <c r="L201" s="1638"/>
      <c r="M201" s="1631"/>
      <c r="N201" s="1638"/>
      <c r="O201" s="1631"/>
      <c r="P201" s="1638"/>
      <c r="Q201" s="1631"/>
      <c r="R201" s="1638"/>
      <c r="S201" s="1638"/>
      <c r="T201" s="1638"/>
      <c r="U201" s="1631"/>
      <c r="V201" s="1639"/>
      <c r="W201" s="340"/>
      <c r="X201" s="340"/>
      <c r="Y201" s="340"/>
    </row>
    <row r="202" spans="1:25" s="236" customFormat="1">
      <c r="A202" s="342" t="s">
        <v>887</v>
      </c>
      <c r="B202" s="342" t="s">
        <v>17</v>
      </c>
      <c r="C202" s="342"/>
      <c r="D202" s="340"/>
      <c r="E202" s="340"/>
      <c r="F202" s="343" t="s">
        <v>888</v>
      </c>
      <c r="G202" s="340"/>
      <c r="H202" s="340"/>
      <c r="I202" s="340"/>
      <c r="J202" s="1630">
        <f>SUM(J200:J201)</f>
        <v>0</v>
      </c>
      <c r="K202" s="1631"/>
      <c r="L202" s="1632">
        <f>SUM(L200:L201)</f>
        <v>0</v>
      </c>
      <c r="M202" s="1631"/>
      <c r="N202" s="1632">
        <f>SUM(N200:N201)</f>
        <v>0</v>
      </c>
      <c r="O202" s="1631"/>
      <c r="P202" s="1632">
        <f>J202+L202+N202</f>
        <v>0</v>
      </c>
      <c r="Q202" s="1631"/>
      <c r="R202" s="1632">
        <f>SUM(R200:R201)</f>
        <v>0</v>
      </c>
      <c r="S202" s="1632">
        <f>SUM(S200:S201)</f>
        <v>0</v>
      </c>
      <c r="T202" s="1632">
        <f>SUM(T200:T201)</f>
        <v>0</v>
      </c>
      <c r="U202" s="1631"/>
      <c r="V202" s="1633">
        <f>SUM(V200:V201)</f>
        <v>0</v>
      </c>
      <c r="W202" s="340"/>
      <c r="X202" s="340"/>
      <c r="Y202" s="340"/>
    </row>
    <row r="203" spans="1:25" s="236" customFormat="1" outlineLevel="1">
      <c r="A203" s="340"/>
      <c r="B203" s="341" t="s">
        <v>889</v>
      </c>
      <c r="C203" s="342"/>
      <c r="D203" s="343"/>
      <c r="E203" s="343"/>
      <c r="F203" s="344"/>
      <c r="G203" s="344"/>
      <c r="H203" s="340"/>
      <c r="I203" s="340"/>
      <c r="J203" s="1630"/>
      <c r="K203" s="1631"/>
      <c r="L203" s="1632"/>
      <c r="M203" s="1631"/>
      <c r="N203" s="1632"/>
      <c r="O203" s="1631"/>
      <c r="P203" s="1632">
        <f>J203+L203+N203</f>
        <v>0</v>
      </c>
      <c r="Q203" s="1631"/>
      <c r="R203" s="1632"/>
      <c r="S203" s="1632"/>
      <c r="T203" s="1632">
        <f>P203</f>
        <v>0</v>
      </c>
      <c r="U203" s="1631"/>
      <c r="V203" s="1633">
        <f>T203-S203</f>
        <v>0</v>
      </c>
      <c r="W203" s="340"/>
      <c r="X203" s="340"/>
    </row>
    <row r="204" spans="1:25" s="236" customFormat="1" ht="5.0999999999999996" customHeight="1" outlineLevel="1">
      <c r="A204" s="342" t="s">
        <v>17</v>
      </c>
      <c r="B204" s="342" t="s">
        <v>17</v>
      </c>
      <c r="C204" s="342"/>
      <c r="D204" s="344"/>
      <c r="E204" s="344"/>
      <c r="F204" s="344"/>
      <c r="G204" s="344"/>
      <c r="H204" s="340"/>
      <c r="I204" s="340"/>
      <c r="J204" s="1637"/>
      <c r="K204" s="1631"/>
      <c r="L204" s="1638"/>
      <c r="M204" s="1631"/>
      <c r="N204" s="1638"/>
      <c r="O204" s="1631"/>
      <c r="P204" s="1638"/>
      <c r="Q204" s="1631"/>
      <c r="R204" s="1638"/>
      <c r="S204" s="1638"/>
      <c r="T204" s="1638"/>
      <c r="U204" s="1631"/>
      <c r="V204" s="1639"/>
      <c r="W204" s="340"/>
      <c r="X204" s="340"/>
      <c r="Y204" s="340"/>
    </row>
    <row r="205" spans="1:25" s="236" customFormat="1">
      <c r="A205" s="373" t="s">
        <v>889</v>
      </c>
      <c r="B205" s="342" t="s">
        <v>17</v>
      </c>
      <c r="C205" s="342"/>
      <c r="D205" s="340"/>
      <c r="E205" s="340"/>
      <c r="F205" s="343" t="s">
        <v>890</v>
      </c>
      <c r="G205" s="340"/>
      <c r="H205" s="340"/>
      <c r="I205" s="340"/>
      <c r="J205" s="1630">
        <f>SUM(J203:J204)</f>
        <v>0</v>
      </c>
      <c r="K205" s="1631"/>
      <c r="L205" s="1632">
        <f>SUM(L203:L204)</f>
        <v>0</v>
      </c>
      <c r="M205" s="1631"/>
      <c r="N205" s="1632">
        <f>SUM(N203:N204)</f>
        <v>0</v>
      </c>
      <c r="O205" s="1631"/>
      <c r="P205" s="1632">
        <f>J205+L205+N205</f>
        <v>0</v>
      </c>
      <c r="Q205" s="1631"/>
      <c r="R205" s="1632">
        <f>SUM(R203:R204)</f>
        <v>0</v>
      </c>
      <c r="S205" s="1632">
        <f>SUM(S203:S204)</f>
        <v>0</v>
      </c>
      <c r="T205" s="1632">
        <f>SUM(T203:T204)</f>
        <v>0</v>
      </c>
      <c r="U205" s="1631"/>
      <c r="V205" s="1633">
        <f>SUM(V203:V204)</f>
        <v>0</v>
      </c>
      <c r="W205" s="340"/>
      <c r="X205" s="340"/>
      <c r="Y205" s="340"/>
    </row>
    <row r="206" spans="1:25" s="236" customFormat="1" outlineLevel="1">
      <c r="A206" s="340"/>
      <c r="B206" s="341" t="s">
        <v>891</v>
      </c>
      <c r="C206" s="342"/>
      <c r="D206" s="343"/>
      <c r="E206" s="343"/>
      <c r="F206" s="344"/>
      <c r="G206" s="344"/>
      <c r="H206" s="340"/>
      <c r="I206" s="340"/>
      <c r="J206" s="1630"/>
      <c r="K206" s="1631"/>
      <c r="L206" s="1632"/>
      <c r="M206" s="1631"/>
      <c r="N206" s="1632"/>
      <c r="O206" s="1631"/>
      <c r="P206" s="1632">
        <f>J206+L206+N206</f>
        <v>0</v>
      </c>
      <c r="Q206" s="1631"/>
      <c r="R206" s="1632"/>
      <c r="S206" s="1632"/>
      <c r="T206" s="1632">
        <f>P206</f>
        <v>0</v>
      </c>
      <c r="U206" s="1631"/>
      <c r="V206" s="1633">
        <f>T206-S206</f>
        <v>0</v>
      </c>
      <c r="W206" s="340"/>
      <c r="X206" s="340"/>
    </row>
    <row r="207" spans="1:25" s="236" customFormat="1" ht="5.0999999999999996" customHeight="1" outlineLevel="1">
      <c r="A207" s="342" t="s">
        <v>17</v>
      </c>
      <c r="B207" s="342" t="s">
        <v>17</v>
      </c>
      <c r="C207" s="342"/>
      <c r="D207" s="344"/>
      <c r="E207" s="344"/>
      <c r="F207" s="344"/>
      <c r="G207" s="344"/>
      <c r="H207" s="340"/>
      <c r="I207" s="340"/>
      <c r="J207" s="1637"/>
      <c r="K207" s="1631"/>
      <c r="L207" s="1638"/>
      <c r="M207" s="1631"/>
      <c r="N207" s="1638"/>
      <c r="O207" s="1631"/>
      <c r="P207" s="1638"/>
      <c r="Q207" s="1631"/>
      <c r="R207" s="1638"/>
      <c r="S207" s="1638"/>
      <c r="T207" s="1638"/>
      <c r="U207" s="1631"/>
      <c r="V207" s="1639"/>
      <c r="W207" s="340"/>
      <c r="X207" s="340"/>
      <c r="Y207" s="340"/>
    </row>
    <row r="208" spans="1:25" s="236" customFormat="1">
      <c r="A208" s="373" t="s">
        <v>891</v>
      </c>
      <c r="B208" s="342" t="s">
        <v>17</v>
      </c>
      <c r="C208" s="342"/>
      <c r="D208" s="340"/>
      <c r="E208" s="340"/>
      <c r="F208" s="343" t="s">
        <v>892</v>
      </c>
      <c r="G208" s="340"/>
      <c r="H208" s="340"/>
      <c r="I208" s="340"/>
      <c r="J208" s="1630">
        <f>SUM(J206:J207)</f>
        <v>0</v>
      </c>
      <c r="K208" s="1631"/>
      <c r="L208" s="1632">
        <f>SUM(L206:L207)</f>
        <v>0</v>
      </c>
      <c r="M208" s="1631"/>
      <c r="N208" s="1632">
        <f>SUM(N206:N207)</f>
        <v>0</v>
      </c>
      <c r="O208" s="1631"/>
      <c r="P208" s="1632">
        <f>J208+L208+N208</f>
        <v>0</v>
      </c>
      <c r="Q208" s="1631"/>
      <c r="R208" s="1632">
        <f>SUM(R206:R207)</f>
        <v>0</v>
      </c>
      <c r="S208" s="1632">
        <f>SUM(S206:S207)</f>
        <v>0</v>
      </c>
      <c r="T208" s="1632">
        <f>SUM(T206:T207)</f>
        <v>0</v>
      </c>
      <c r="U208" s="1631"/>
      <c r="V208" s="1633">
        <f>SUM(V206:V207)</f>
        <v>0</v>
      </c>
      <c r="W208" s="340"/>
      <c r="X208" s="340"/>
      <c r="Y208" s="340"/>
    </row>
    <row r="209" spans="1:25" s="236" customFormat="1" outlineLevel="1">
      <c r="A209" s="340"/>
      <c r="B209" s="341" t="s">
        <v>893</v>
      </c>
      <c r="C209" s="342"/>
      <c r="D209" s="343"/>
      <c r="E209" s="343"/>
      <c r="F209" s="344"/>
      <c r="G209" s="344"/>
      <c r="H209" s="340"/>
      <c r="I209" s="340"/>
      <c r="J209" s="1630"/>
      <c r="K209" s="1631"/>
      <c r="L209" s="1632"/>
      <c r="M209" s="1631"/>
      <c r="N209" s="1632"/>
      <c r="O209" s="1631"/>
      <c r="P209" s="1632">
        <f>J209+L209+N209</f>
        <v>0</v>
      </c>
      <c r="Q209" s="1631"/>
      <c r="R209" s="1632"/>
      <c r="S209" s="1632"/>
      <c r="T209" s="1632">
        <f>P209</f>
        <v>0</v>
      </c>
      <c r="U209" s="1631"/>
      <c r="V209" s="1633">
        <f>T209-S209</f>
        <v>0</v>
      </c>
      <c r="W209" s="340"/>
      <c r="X209" s="340"/>
    </row>
    <row r="210" spans="1:25" s="236" customFormat="1" ht="5.0999999999999996" customHeight="1" outlineLevel="1">
      <c r="A210" s="342" t="s">
        <v>17</v>
      </c>
      <c r="B210" s="342" t="s">
        <v>17</v>
      </c>
      <c r="C210" s="342"/>
      <c r="D210" s="344"/>
      <c r="E210" s="344"/>
      <c r="F210" s="344"/>
      <c r="G210" s="344"/>
      <c r="H210" s="340"/>
      <c r="I210" s="340"/>
      <c r="J210" s="1637"/>
      <c r="K210" s="1631"/>
      <c r="L210" s="1638"/>
      <c r="M210" s="1631"/>
      <c r="N210" s="1638"/>
      <c r="O210" s="1631"/>
      <c r="P210" s="1638"/>
      <c r="Q210" s="1631"/>
      <c r="R210" s="1638"/>
      <c r="S210" s="1638"/>
      <c r="T210" s="1638"/>
      <c r="U210" s="1631"/>
      <c r="V210" s="1639"/>
      <c r="W210" s="340"/>
      <c r="X210" s="340"/>
      <c r="Y210" s="340"/>
    </row>
    <row r="211" spans="1:25" s="236" customFormat="1">
      <c r="A211" s="342" t="s">
        <v>893</v>
      </c>
      <c r="B211" s="342" t="s">
        <v>17</v>
      </c>
      <c r="C211" s="342"/>
      <c r="D211" s="340"/>
      <c r="E211" s="340"/>
      <c r="F211" s="343" t="s">
        <v>894</v>
      </c>
      <c r="G211" s="340"/>
      <c r="H211" s="340"/>
      <c r="I211" s="340"/>
      <c r="J211" s="1630">
        <f>SUM(J209:J210)</f>
        <v>0</v>
      </c>
      <c r="K211" s="1631"/>
      <c r="L211" s="1632">
        <f>SUM(L209:L210)</f>
        <v>0</v>
      </c>
      <c r="M211" s="1631"/>
      <c r="N211" s="1632">
        <f>SUM(N209:N210)</f>
        <v>0</v>
      </c>
      <c r="O211" s="1631"/>
      <c r="P211" s="1632">
        <f>J211+L211+N211</f>
        <v>0</v>
      </c>
      <c r="Q211" s="1631"/>
      <c r="R211" s="1632">
        <f>SUM(R209:R210)</f>
        <v>0</v>
      </c>
      <c r="S211" s="1632">
        <f>SUM(S209:S210)</f>
        <v>0</v>
      </c>
      <c r="T211" s="1632">
        <f>SUM(T209:T210)</f>
        <v>0</v>
      </c>
      <c r="U211" s="1631"/>
      <c r="V211" s="1633">
        <f>SUM(V209:V210)</f>
        <v>0</v>
      </c>
      <c r="W211" s="340"/>
      <c r="X211" s="340"/>
      <c r="Y211" s="340"/>
    </row>
    <row r="212" spans="1:25" s="236" customFormat="1" outlineLevel="1">
      <c r="A212" s="340"/>
      <c r="B212" s="341" t="s">
        <v>895</v>
      </c>
      <c r="C212" s="342"/>
      <c r="D212" s="343"/>
      <c r="E212" s="343"/>
      <c r="F212" s="344"/>
      <c r="G212" s="344"/>
      <c r="H212" s="340"/>
      <c r="I212" s="340"/>
      <c r="J212" s="1630"/>
      <c r="K212" s="1631"/>
      <c r="L212" s="1632"/>
      <c r="M212" s="1631"/>
      <c r="N212" s="1632"/>
      <c r="O212" s="1631"/>
      <c r="P212" s="1632">
        <f>J212+L212+N212</f>
        <v>0</v>
      </c>
      <c r="Q212" s="1631"/>
      <c r="R212" s="1632"/>
      <c r="S212" s="1632"/>
      <c r="T212" s="1632">
        <f>P212</f>
        <v>0</v>
      </c>
      <c r="U212" s="1631"/>
      <c r="V212" s="1633">
        <f>T212-S212</f>
        <v>0</v>
      </c>
      <c r="W212" s="340"/>
      <c r="X212" s="340"/>
    </row>
    <row r="213" spans="1:25" s="236" customFormat="1" ht="5.0999999999999996" customHeight="1" outlineLevel="1">
      <c r="A213" s="342" t="s">
        <v>17</v>
      </c>
      <c r="B213" s="342" t="s">
        <v>17</v>
      </c>
      <c r="C213" s="342"/>
      <c r="D213" s="344"/>
      <c r="E213" s="344"/>
      <c r="F213" s="344"/>
      <c r="G213" s="344"/>
      <c r="H213" s="340"/>
      <c r="I213" s="340"/>
      <c r="J213" s="1637"/>
      <c r="K213" s="1631"/>
      <c r="L213" s="1638"/>
      <c r="M213" s="1631"/>
      <c r="N213" s="1638"/>
      <c r="O213" s="1631"/>
      <c r="P213" s="1638"/>
      <c r="Q213" s="1631"/>
      <c r="R213" s="1638"/>
      <c r="S213" s="1638"/>
      <c r="T213" s="1638"/>
      <c r="U213" s="1631"/>
      <c r="V213" s="1639"/>
      <c r="W213" s="340"/>
      <c r="X213" s="340"/>
      <c r="Y213" s="340"/>
    </row>
    <row r="214" spans="1:25" s="236" customFormat="1">
      <c r="A214" s="342" t="s">
        <v>895</v>
      </c>
      <c r="B214" s="342" t="s">
        <v>17</v>
      </c>
      <c r="C214" s="342"/>
      <c r="D214" s="340"/>
      <c r="E214" s="340"/>
      <c r="F214" s="343" t="s">
        <v>896</v>
      </c>
      <c r="G214" s="340"/>
      <c r="H214" s="340"/>
      <c r="I214" s="340"/>
      <c r="J214" s="1630">
        <f>SUM(J212:J213)</f>
        <v>0</v>
      </c>
      <c r="K214" s="1631"/>
      <c r="L214" s="1632">
        <f>SUM(L212:L213)</f>
        <v>0</v>
      </c>
      <c r="M214" s="1631"/>
      <c r="N214" s="1632">
        <f>SUM(N212:N213)</f>
        <v>0</v>
      </c>
      <c r="O214" s="1631"/>
      <c r="P214" s="1632">
        <f>J214+L214+N214</f>
        <v>0</v>
      </c>
      <c r="Q214" s="1631"/>
      <c r="R214" s="1632">
        <f>SUM(R212:R213)</f>
        <v>0</v>
      </c>
      <c r="S214" s="1632">
        <f>SUM(S212:S213)</f>
        <v>0</v>
      </c>
      <c r="T214" s="1632">
        <f>SUM(T212:T213)</f>
        <v>0</v>
      </c>
      <c r="U214" s="1631"/>
      <c r="V214" s="1633">
        <f>SUM(V212:V213)</f>
        <v>0</v>
      </c>
      <c r="W214" s="340"/>
      <c r="X214" s="340"/>
      <c r="Y214" s="340"/>
    </row>
    <row r="215" spans="1:25" s="236" customFormat="1" outlineLevel="1">
      <c r="A215" s="340"/>
      <c r="B215" s="341" t="s">
        <v>897</v>
      </c>
      <c r="C215" s="342"/>
      <c r="D215" s="343"/>
      <c r="E215" s="343"/>
      <c r="F215" s="344"/>
      <c r="G215" s="344"/>
      <c r="H215" s="340"/>
      <c r="I215" s="340"/>
      <c r="J215" s="1630"/>
      <c r="K215" s="1631"/>
      <c r="L215" s="1632"/>
      <c r="M215" s="1631"/>
      <c r="N215" s="1632"/>
      <c r="O215" s="1631"/>
      <c r="P215" s="1632">
        <f>J215+L215+N215</f>
        <v>0</v>
      </c>
      <c r="Q215" s="1631"/>
      <c r="R215" s="1632"/>
      <c r="S215" s="1632"/>
      <c r="T215" s="1632">
        <f>P215</f>
        <v>0</v>
      </c>
      <c r="U215" s="1631"/>
      <c r="V215" s="1633">
        <f>T215-S215</f>
        <v>0</v>
      </c>
      <c r="W215" s="340"/>
      <c r="X215" s="340"/>
    </row>
    <row r="216" spans="1:25" s="236" customFormat="1" ht="5.0999999999999996" customHeight="1" outlineLevel="1">
      <c r="A216" s="342" t="s">
        <v>17</v>
      </c>
      <c r="B216" s="342" t="s">
        <v>17</v>
      </c>
      <c r="C216" s="342"/>
      <c r="D216" s="344"/>
      <c r="E216" s="344"/>
      <c r="F216" s="344"/>
      <c r="G216" s="344"/>
      <c r="H216" s="340"/>
      <c r="I216" s="340"/>
      <c r="J216" s="1637"/>
      <c r="K216" s="1631"/>
      <c r="L216" s="1638"/>
      <c r="M216" s="1631"/>
      <c r="N216" s="1638"/>
      <c r="O216" s="1631"/>
      <c r="P216" s="1638"/>
      <c r="Q216" s="1631"/>
      <c r="R216" s="1638"/>
      <c r="S216" s="1638"/>
      <c r="T216" s="1638"/>
      <c r="U216" s="1631"/>
      <c r="V216" s="1639"/>
      <c r="W216" s="340"/>
      <c r="X216" s="340"/>
      <c r="Y216" s="340"/>
    </row>
    <row r="217" spans="1:25" s="236" customFormat="1">
      <c r="A217" s="342" t="s">
        <v>897</v>
      </c>
      <c r="B217" s="342" t="s">
        <v>17</v>
      </c>
      <c r="C217" s="342"/>
      <c r="D217" s="340"/>
      <c r="E217" s="340"/>
      <c r="F217" s="343" t="s">
        <v>898</v>
      </c>
      <c r="G217" s="340"/>
      <c r="H217" s="340"/>
      <c r="I217" s="340"/>
      <c r="J217" s="1630">
        <f>SUM(J215:J216)</f>
        <v>0</v>
      </c>
      <c r="K217" s="1631"/>
      <c r="L217" s="1632">
        <f>SUM(L215:L216)</f>
        <v>0</v>
      </c>
      <c r="M217" s="1631"/>
      <c r="N217" s="1632">
        <f>SUM(N215:N216)</f>
        <v>0</v>
      </c>
      <c r="O217" s="1631"/>
      <c r="P217" s="1632">
        <f>J217+L217+N217</f>
        <v>0</v>
      </c>
      <c r="Q217" s="1631"/>
      <c r="R217" s="1632">
        <f>SUM(R215:R216)</f>
        <v>0</v>
      </c>
      <c r="S217" s="1632">
        <f>SUM(S215:S216)</f>
        <v>0</v>
      </c>
      <c r="T217" s="1632">
        <f>SUM(T215:T216)</f>
        <v>0</v>
      </c>
      <c r="U217" s="1631"/>
      <c r="V217" s="1633">
        <f>SUM(V215:V216)</f>
        <v>0</v>
      </c>
      <c r="W217" s="340"/>
      <c r="X217" s="340"/>
      <c r="Y217" s="340"/>
    </row>
    <row r="218" spans="1:25" s="236" customFormat="1" outlineLevel="1">
      <c r="A218" s="340"/>
      <c r="B218" s="341" t="s">
        <v>899</v>
      </c>
      <c r="C218" s="342"/>
      <c r="D218" s="343"/>
      <c r="E218" s="343"/>
      <c r="F218" s="344"/>
      <c r="G218" s="344"/>
      <c r="H218" s="340"/>
      <c r="I218" s="340"/>
      <c r="J218" s="1630"/>
      <c r="K218" s="1631"/>
      <c r="L218" s="1632"/>
      <c r="M218" s="1631"/>
      <c r="N218" s="1632"/>
      <c r="O218" s="1631"/>
      <c r="P218" s="1632">
        <f>J218+L218+N218</f>
        <v>0</v>
      </c>
      <c r="Q218" s="1631"/>
      <c r="R218" s="1632"/>
      <c r="S218" s="1632"/>
      <c r="T218" s="1632">
        <f>P218</f>
        <v>0</v>
      </c>
      <c r="U218" s="1631"/>
      <c r="V218" s="1633">
        <f>T218-S218</f>
        <v>0</v>
      </c>
      <c r="W218" s="340"/>
      <c r="X218" s="340"/>
    </row>
    <row r="219" spans="1:25" s="236" customFormat="1" ht="5.0999999999999996" customHeight="1" outlineLevel="1">
      <c r="A219" s="342" t="s">
        <v>17</v>
      </c>
      <c r="B219" s="368"/>
      <c r="C219" s="368"/>
      <c r="D219" s="344"/>
      <c r="E219" s="344"/>
      <c r="F219" s="344"/>
      <c r="G219" s="344"/>
      <c r="H219" s="340"/>
      <c r="I219" s="340"/>
      <c r="J219" s="1637"/>
      <c r="K219" s="1631"/>
      <c r="L219" s="1638"/>
      <c r="M219" s="1631"/>
      <c r="N219" s="1638"/>
      <c r="O219" s="1631"/>
      <c r="P219" s="1638"/>
      <c r="Q219" s="1631"/>
      <c r="R219" s="1638"/>
      <c r="S219" s="1638"/>
      <c r="T219" s="1638"/>
      <c r="U219" s="1631"/>
      <c r="V219" s="1639"/>
      <c r="W219" s="340"/>
      <c r="X219" s="340"/>
      <c r="Y219" s="340"/>
    </row>
    <row r="220" spans="1:25" s="236" customFormat="1">
      <c r="A220" s="342" t="s">
        <v>899</v>
      </c>
      <c r="B220" s="368"/>
      <c r="C220" s="368"/>
      <c r="D220" s="340"/>
      <c r="E220" s="340"/>
      <c r="F220" s="343" t="s">
        <v>900</v>
      </c>
      <c r="G220" s="340"/>
      <c r="H220" s="340"/>
      <c r="I220" s="340"/>
      <c r="J220" s="1630">
        <f>SUM(J218:J219)</f>
        <v>0</v>
      </c>
      <c r="K220" s="1631"/>
      <c r="L220" s="1632">
        <f>SUM(L218:L219)</f>
        <v>0</v>
      </c>
      <c r="M220" s="1631"/>
      <c r="N220" s="1632">
        <f>SUM(N218:N219)</f>
        <v>0</v>
      </c>
      <c r="O220" s="1631"/>
      <c r="P220" s="1632">
        <f>J220+L220+N220</f>
        <v>0</v>
      </c>
      <c r="Q220" s="1631"/>
      <c r="R220" s="1632">
        <f>SUM(R218:R219)</f>
        <v>0</v>
      </c>
      <c r="S220" s="1632">
        <f>SUM(S218:S219)</f>
        <v>0</v>
      </c>
      <c r="T220" s="1632">
        <f>SUM(T218:T219)</f>
        <v>0</v>
      </c>
      <c r="U220" s="1631"/>
      <c r="V220" s="1633">
        <f>SUM(V218:V219)</f>
        <v>0</v>
      </c>
      <c r="W220" s="340"/>
      <c r="X220" s="340"/>
      <c r="Y220" s="340"/>
    </row>
    <row r="221" spans="1:25" s="236" customFormat="1" ht="7.5" hidden="1" customHeight="1">
      <c r="A221" s="368"/>
      <c r="B221" s="342"/>
      <c r="C221" s="342"/>
      <c r="D221" s="340"/>
      <c r="E221" s="340"/>
      <c r="F221" s="340"/>
      <c r="G221" s="340"/>
      <c r="H221" s="340"/>
      <c r="I221" s="340"/>
      <c r="J221" s="1630"/>
      <c r="K221" s="1631"/>
      <c r="L221" s="1632"/>
      <c r="M221" s="1631"/>
      <c r="N221" s="1632"/>
      <c r="O221" s="1631"/>
      <c r="P221" s="1632"/>
      <c r="Q221" s="1631"/>
      <c r="R221" s="1632"/>
      <c r="S221" s="1632"/>
      <c r="T221" s="1632"/>
      <c r="U221" s="1631"/>
      <c r="V221" s="1633"/>
      <c r="W221" s="340"/>
      <c r="X221" s="340"/>
      <c r="Y221" s="340"/>
    </row>
    <row r="222" spans="1:25" s="236" customFormat="1" outlineLevel="1">
      <c r="A222" s="340"/>
      <c r="B222" s="341" t="s">
        <v>901</v>
      </c>
      <c r="C222" s="342"/>
      <c r="D222" s="343">
        <v>29100</v>
      </c>
      <c r="E222" s="343" t="s">
        <v>902</v>
      </c>
      <c r="F222" s="344"/>
      <c r="G222" s="344"/>
      <c r="H222" s="340"/>
      <c r="I222" s="340"/>
      <c r="J222" s="1630">
        <v>11437036.810000001</v>
      </c>
      <c r="K222" s="1631"/>
      <c r="L222" s="1632">
        <v>0</v>
      </c>
      <c r="M222" s="1631"/>
      <c r="N222" s="1632">
        <v>0</v>
      </c>
      <c r="O222" s="1631"/>
      <c r="P222" s="1632">
        <f>J222+L222+N222</f>
        <v>11437036.810000001</v>
      </c>
      <c r="Q222" s="1631"/>
      <c r="R222" s="1632">
        <v>11182395.08</v>
      </c>
      <c r="S222" s="1632">
        <v>11393104.939999999</v>
      </c>
      <c r="T222" s="1632">
        <f>P222</f>
        <v>11437036.810000001</v>
      </c>
      <c r="U222" s="1631"/>
      <c r="V222" s="1633">
        <f>T222-S222</f>
        <v>43931.870000001043</v>
      </c>
      <c r="W222" s="340"/>
      <c r="X222" s="340"/>
    </row>
    <row r="223" spans="1:25" s="236" customFormat="1" ht="5.0999999999999996" customHeight="1" outlineLevel="1">
      <c r="A223" s="342" t="s">
        <v>17</v>
      </c>
      <c r="B223" s="368"/>
      <c r="C223" s="368"/>
      <c r="D223" s="344"/>
      <c r="E223" s="344"/>
      <c r="F223" s="344"/>
      <c r="G223" s="344"/>
      <c r="H223" s="340"/>
      <c r="I223" s="340"/>
      <c r="J223" s="1637"/>
      <c r="K223" s="1631"/>
      <c r="L223" s="1638"/>
      <c r="M223" s="1631"/>
      <c r="N223" s="1638"/>
      <c r="O223" s="1631"/>
      <c r="P223" s="1638"/>
      <c r="Q223" s="1631"/>
      <c r="R223" s="1638"/>
      <c r="S223" s="1638"/>
      <c r="T223" s="1638"/>
      <c r="U223" s="1631"/>
      <c r="V223" s="1639"/>
      <c r="W223" s="340"/>
      <c r="X223" s="340"/>
      <c r="Y223" s="340"/>
    </row>
    <row r="224" spans="1:25" s="236" customFormat="1">
      <c r="A224" s="342" t="s">
        <v>901</v>
      </c>
      <c r="B224" s="368"/>
      <c r="C224" s="368"/>
      <c r="D224" s="340"/>
      <c r="E224" s="340"/>
      <c r="F224" s="343" t="s">
        <v>902</v>
      </c>
      <c r="G224" s="340"/>
      <c r="H224" s="340"/>
      <c r="I224" s="340"/>
      <c r="J224" s="1630">
        <f>SUM(J222:J223)</f>
        <v>11437036.810000001</v>
      </c>
      <c r="K224" s="1631"/>
      <c r="L224" s="1632">
        <f>SUM(L222:L223)</f>
        <v>0</v>
      </c>
      <c r="M224" s="1631"/>
      <c r="N224" s="1632">
        <f>SUM(N222:N223)</f>
        <v>0</v>
      </c>
      <c r="O224" s="1631"/>
      <c r="P224" s="1632">
        <f>J224+L224+N224</f>
        <v>11437036.810000001</v>
      </c>
      <c r="Q224" s="1631"/>
      <c r="R224" s="1632">
        <f>SUM(R222:R223)</f>
        <v>11182395.08</v>
      </c>
      <c r="S224" s="1632">
        <f>SUM(S222:S223)</f>
        <v>11393104.939999999</v>
      </c>
      <c r="T224" s="1632">
        <f>SUM(T222:T223)</f>
        <v>11437036.810000001</v>
      </c>
      <c r="U224" s="1631"/>
      <c r="V224" s="1633">
        <f>SUM(V222:V223)</f>
        <v>43931.870000001043</v>
      </c>
      <c r="W224" s="340"/>
      <c r="X224" s="340"/>
      <c r="Y224" s="340"/>
    </row>
    <row r="225" spans="1:25" s="236" customFormat="1" ht="7.5" customHeight="1">
      <c r="A225" s="368"/>
      <c r="B225" s="342"/>
      <c r="C225" s="342"/>
      <c r="D225" s="340"/>
      <c r="E225" s="340"/>
      <c r="F225" s="340"/>
      <c r="G225" s="340"/>
      <c r="H225" s="340"/>
      <c r="I225" s="340"/>
      <c r="J225" s="1630"/>
      <c r="K225" s="1631"/>
      <c r="L225" s="1632"/>
      <c r="M225" s="1631"/>
      <c r="N225" s="1632"/>
      <c r="O225" s="1631"/>
      <c r="P225" s="1632"/>
      <c r="Q225" s="1631"/>
      <c r="R225" s="1632"/>
      <c r="S225" s="1632"/>
      <c r="T225" s="1632"/>
      <c r="U225" s="1631"/>
      <c r="V225" s="1633"/>
      <c r="W225" s="340"/>
      <c r="X225" s="340"/>
      <c r="Y225" s="340"/>
    </row>
    <row r="226" spans="1:25" s="236" customFormat="1">
      <c r="A226" s="368"/>
      <c r="B226" s="342"/>
      <c r="C226" s="342"/>
      <c r="D226" s="340"/>
      <c r="E226" s="369" t="s">
        <v>902</v>
      </c>
      <c r="F226" s="340"/>
      <c r="G226" s="340"/>
      <c r="H226" s="340"/>
      <c r="I226" s="340"/>
      <c r="J226" s="1640">
        <f>SUM(J202,J208,J214,J220,J211,J205,J217,J224)</f>
        <v>11437036.810000001</v>
      </c>
      <c r="K226" s="1631"/>
      <c r="L226" s="1641">
        <f>SUM(L202,L208,L214,L220,L211,L205,L217,L224)</f>
        <v>0</v>
      </c>
      <c r="M226" s="1631"/>
      <c r="N226" s="1641">
        <f>SUM(N202,N208,N214,N220,N211,N205,N217,N224)</f>
        <v>0</v>
      </c>
      <c r="O226" s="1631"/>
      <c r="P226" s="1641">
        <f>SUM(P202,P208,P214,P220,P211,P205,P217,P224)</f>
        <v>11437036.810000001</v>
      </c>
      <c r="Q226" s="1631"/>
      <c r="R226" s="1641">
        <f>SUM(R202,R208,R214,R220,R211,R205,R217,R224)</f>
        <v>11182395.08</v>
      </c>
      <c r="S226" s="1641">
        <f>SUM(S202,S208,S214,S220,S211,S205,S217,S224)</f>
        <v>11393104.939999999</v>
      </c>
      <c r="T226" s="1641">
        <f>SUM(T202,T208,T214,T220,T211,T205,T217,T224)</f>
        <v>11437036.810000001</v>
      </c>
      <c r="U226" s="1631"/>
      <c r="V226" s="1642">
        <f>SUM(V202,V208,V214,V220,V211,V205,V217,V224)</f>
        <v>43931.870000001043</v>
      </c>
      <c r="W226" s="340"/>
      <c r="X226" s="340"/>
      <c r="Y226" s="340"/>
    </row>
    <row r="227" spans="1:25" s="236" customFormat="1" ht="7.5" customHeight="1">
      <c r="A227" s="342"/>
      <c r="B227" s="342"/>
      <c r="C227" s="342"/>
      <c r="D227" s="340"/>
      <c r="E227" s="340"/>
      <c r="F227" s="340"/>
      <c r="G227" s="340"/>
      <c r="H227" s="340"/>
      <c r="I227" s="340"/>
      <c r="J227" s="1630"/>
      <c r="K227" s="1631"/>
      <c r="L227" s="1632"/>
      <c r="M227" s="1631"/>
      <c r="N227" s="1632"/>
      <c r="O227" s="1631"/>
      <c r="P227" s="1632"/>
      <c r="Q227" s="1631"/>
      <c r="R227" s="1632"/>
      <c r="S227" s="1632"/>
      <c r="T227" s="1632"/>
      <c r="U227" s="1631"/>
      <c r="V227" s="1633"/>
      <c r="W227" s="340"/>
      <c r="X227" s="340"/>
      <c r="Y227" s="340"/>
    </row>
    <row r="228" spans="1:25" s="236" customFormat="1" ht="13.5" thickBot="1">
      <c r="A228" s="342"/>
      <c r="B228" s="342"/>
      <c r="C228" s="342"/>
      <c r="D228" s="340"/>
      <c r="E228" s="369" t="s">
        <v>903</v>
      </c>
      <c r="F228" s="340"/>
      <c r="G228" s="340"/>
      <c r="H228" s="340"/>
      <c r="I228" s="340"/>
      <c r="J228" s="1643">
        <f>+J198+J226</f>
        <v>12605244.33</v>
      </c>
      <c r="K228" s="1631"/>
      <c r="L228" s="1644">
        <f>+L198+L226</f>
        <v>0</v>
      </c>
      <c r="M228" s="1631"/>
      <c r="N228" s="1644">
        <f>+N198+N226</f>
        <v>0</v>
      </c>
      <c r="O228" s="1631"/>
      <c r="P228" s="1644">
        <f>+P198+P226</f>
        <v>12605244.33</v>
      </c>
      <c r="Q228" s="1631"/>
      <c r="R228" s="1644">
        <f>+R198+R226</f>
        <v>12198639.33</v>
      </c>
      <c r="S228" s="1644">
        <f>+S198+S226</f>
        <v>12412559.33</v>
      </c>
      <c r="T228" s="1644">
        <f>+T198+T226</f>
        <v>12605244.33</v>
      </c>
      <c r="U228" s="1631"/>
      <c r="V228" s="1645">
        <f>+V198+V226</f>
        <v>192685.00000000105</v>
      </c>
      <c r="W228" s="340"/>
      <c r="X228" s="340"/>
      <c r="Y228" s="340"/>
    </row>
    <row r="229" spans="1:25" s="236" customFormat="1" ht="7.5" customHeight="1" thickTop="1">
      <c r="A229" s="342"/>
      <c r="B229" s="342"/>
      <c r="C229" s="342"/>
      <c r="D229" s="340"/>
      <c r="E229" s="340"/>
      <c r="F229" s="340"/>
      <c r="G229" s="340"/>
      <c r="H229" s="340"/>
      <c r="I229" s="340"/>
      <c r="J229" s="1630"/>
      <c r="K229" s="1631"/>
      <c r="L229" s="1632"/>
      <c r="M229" s="1631"/>
      <c r="N229" s="1632"/>
      <c r="O229" s="1631"/>
      <c r="P229" s="1632"/>
      <c r="Q229" s="1631"/>
      <c r="R229" s="1632"/>
      <c r="S229" s="1632"/>
      <c r="T229" s="1632"/>
      <c r="U229" s="1631"/>
      <c r="V229" s="1633"/>
      <c r="W229" s="340"/>
      <c r="X229" s="340"/>
      <c r="Y229" s="340"/>
    </row>
    <row r="230" spans="1:25" s="374" customFormat="1" ht="12">
      <c r="A230" s="342"/>
      <c r="B230" s="342"/>
      <c r="C230" s="342"/>
      <c r="D230" s="340"/>
      <c r="E230" s="340"/>
      <c r="F230" s="340" t="s">
        <v>904</v>
      </c>
      <c r="G230" s="340"/>
      <c r="H230" s="340"/>
      <c r="I230" s="340"/>
      <c r="J230" s="1630">
        <f>J142-J228</f>
        <v>0</v>
      </c>
      <c r="K230" s="1631"/>
      <c r="L230" s="1632">
        <f>L142-L228</f>
        <v>0</v>
      </c>
      <c r="M230" s="1631"/>
      <c r="N230" s="1632">
        <f>N142-N228</f>
        <v>0</v>
      </c>
      <c r="O230" s="1631"/>
      <c r="P230" s="1632">
        <f>P142-P228</f>
        <v>0</v>
      </c>
      <c r="Q230" s="1631"/>
      <c r="R230" s="1632">
        <f>R142-R228</f>
        <v>0</v>
      </c>
      <c r="S230" s="1632">
        <f>S142-S228</f>
        <v>0</v>
      </c>
      <c r="T230" s="1632">
        <f>T142-T228</f>
        <v>0</v>
      </c>
      <c r="U230" s="1631"/>
      <c r="V230" s="1633">
        <f>V142-V228</f>
        <v>-9.0221874415874481E-10</v>
      </c>
      <c r="W230" s="340"/>
      <c r="X230" s="340"/>
      <c r="Y230" s="340"/>
    </row>
    <row r="231" spans="1:25" s="375" customFormat="1" ht="9.75" customHeight="1">
      <c r="A231" s="342"/>
      <c r="B231" s="368"/>
      <c r="C231" s="368"/>
      <c r="D231" s="340"/>
      <c r="E231" s="340"/>
      <c r="F231" s="343"/>
      <c r="G231" s="340"/>
      <c r="H231" s="342"/>
      <c r="I231" s="342"/>
      <c r="J231" s="1646"/>
      <c r="K231" s="1647"/>
      <c r="L231" s="1647"/>
      <c r="M231" s="1647"/>
      <c r="N231" s="1647"/>
      <c r="O231" s="1647"/>
      <c r="P231" s="1647"/>
      <c r="Q231" s="1647"/>
      <c r="R231" s="1647"/>
      <c r="S231" s="1647"/>
      <c r="T231" s="1647"/>
      <c r="U231" s="1647"/>
      <c r="V231" s="1648"/>
      <c r="W231" s="342"/>
      <c r="X231" s="342"/>
      <c r="Y231" s="342"/>
    </row>
    <row r="232" spans="1:25" s="236" customFormat="1" outlineLevel="1">
      <c r="A232" s="342"/>
      <c r="B232" s="341" t="s">
        <v>177</v>
      </c>
      <c r="C232" s="342"/>
      <c r="D232" s="343"/>
      <c r="E232" s="343"/>
      <c r="F232" s="344"/>
      <c r="G232" s="344"/>
      <c r="H232" s="340"/>
      <c r="I232" s="340"/>
      <c r="J232" s="1630"/>
      <c r="K232" s="1631"/>
      <c r="L232" s="1632"/>
      <c r="M232" s="1631"/>
      <c r="N232" s="1632"/>
      <c r="O232" s="1631"/>
      <c r="P232" s="1632"/>
      <c r="Q232" s="1631"/>
      <c r="R232" s="1632"/>
      <c r="S232" s="1632"/>
      <c r="T232" s="1632"/>
      <c r="U232" s="1631"/>
      <c r="V232" s="1633"/>
      <c r="W232" s="340"/>
      <c r="X232" s="340"/>
      <c r="Y232" s="340"/>
    </row>
    <row r="233" spans="1:25" ht="6" customHeight="1" outlineLevel="1" thickBot="1">
      <c r="A233" s="368"/>
      <c r="B233" s="342"/>
      <c r="C233" s="342"/>
      <c r="D233" s="342"/>
      <c r="E233" s="342"/>
      <c r="F233" s="342"/>
      <c r="G233" s="342"/>
      <c r="H233" s="342"/>
      <c r="I233" s="342"/>
      <c r="J233" s="1649"/>
      <c r="K233" s="1650"/>
      <c r="L233" s="1650"/>
      <c r="M233" s="1651"/>
      <c r="N233" s="1650"/>
      <c r="O233" s="1651"/>
      <c r="P233" s="1650"/>
      <c r="Q233" s="1651"/>
      <c r="R233" s="1650"/>
      <c r="S233" s="1650"/>
      <c r="T233" s="1650"/>
      <c r="U233" s="1651"/>
      <c r="V233" s="1652"/>
      <c r="W233" s="342"/>
      <c r="X233" s="342"/>
      <c r="Y233" s="342"/>
    </row>
    <row r="234" spans="1:25" s="4" customFormat="1" ht="13.5" thickTop="1">
      <c r="A234" s="342" t="s">
        <v>177</v>
      </c>
      <c r="B234" s="376"/>
      <c r="C234" s="376"/>
      <c r="D234" s="376"/>
      <c r="E234" s="376" t="s">
        <v>178</v>
      </c>
      <c r="F234" s="376"/>
      <c r="G234" s="376"/>
      <c r="H234" s="376"/>
      <c r="I234" s="376"/>
      <c r="J234" s="377">
        <f>SUM(J232:J233)</f>
        <v>0</v>
      </c>
      <c r="K234" s="378"/>
      <c r="L234" s="377">
        <f>SUM(L232:L233)</f>
        <v>0</v>
      </c>
      <c r="M234" s="378"/>
      <c r="N234" s="377">
        <f>SUM(N232:N233)</f>
        <v>0</v>
      </c>
      <c r="O234" s="378"/>
      <c r="P234" s="377">
        <f>SUM(P232:P233)</f>
        <v>0</v>
      </c>
      <c r="Q234" s="378"/>
      <c r="R234" s="377">
        <f>SUM(R232:R233)</f>
        <v>0</v>
      </c>
      <c r="S234" s="377">
        <f>SUM(S232:S233)</f>
        <v>0</v>
      </c>
      <c r="T234" s="377">
        <f>SUM(T232:T233)</f>
        <v>0</v>
      </c>
      <c r="U234" s="378"/>
      <c r="V234" s="377">
        <f>SUM(V232:V233)</f>
        <v>0</v>
      </c>
      <c r="W234" s="342"/>
      <c r="X234" s="342"/>
      <c r="Y234" s="342"/>
    </row>
    <row r="235" spans="1:25">
      <c r="A235" s="379"/>
      <c r="B235" s="342"/>
      <c r="C235" s="342"/>
      <c r="D235" s="342"/>
      <c r="E235" s="342"/>
      <c r="F235" s="342"/>
      <c r="G235" s="342"/>
      <c r="H235" s="342"/>
      <c r="I235" s="342"/>
      <c r="J235" s="380"/>
      <c r="K235" s="380"/>
      <c r="L235" s="381"/>
      <c r="M235" s="381"/>
      <c r="N235" s="381"/>
      <c r="O235" s="381"/>
      <c r="P235" s="381"/>
      <c r="Q235" s="381"/>
      <c r="R235" s="381"/>
      <c r="S235" s="381"/>
      <c r="T235" s="381"/>
      <c r="U235" s="381"/>
      <c r="V235" s="381"/>
      <c r="W235" s="342"/>
      <c r="X235" s="342"/>
      <c r="Y235" s="342"/>
    </row>
    <row r="236" spans="1:25">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row>
    <row r="237" spans="1:25">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sheetData>
  <dataValidations disablePrompts="1" count="1">
    <dataValidation type="list" allowBlank="1" showInputMessage="1" showErrorMessage="1" sqref="N8" xr:uid="{00000000-0002-0000-0E00-000000000000}">
      <formula1>"TRUE,FALSE"</formula1>
    </dataValidation>
  </dataValidations>
  <pageMargins left="0.5" right="0.5" top="0.39" bottom="0.4" header="0.25" footer="0.25"/>
  <pageSetup scale="58" fitToHeight="0" orientation="landscape" errors="blank" r:id="rId1"/>
  <headerFooter alignWithMargins="0">
    <oddHeader>&amp;C&amp;"-,Bold"&amp;14&amp;KFF0000TEXT IN RED BOX CONFIDENTIAL PER WAC 480-07-16&amp;R&amp;D - &amp;T</oddHeader>
    <oddFooter>&amp;L&amp;F - &amp;A&amp;RPage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tabColor theme="7" tint="0.59999389629810485"/>
    <pageSetUpPr fitToPage="1"/>
  </sheetPr>
  <dimension ref="A1:Y238"/>
  <sheetViews>
    <sheetView showGridLines="0" view="pageBreakPreview" topLeftCell="B189" zoomScale="60" zoomScaleNormal="75" workbookViewId="0">
      <selection activeCell="V235" sqref="J16:V235"/>
    </sheetView>
  </sheetViews>
  <sheetFormatPr defaultColWidth="13.85546875" defaultRowHeight="12.75" outlineLevelRow="1"/>
  <cols>
    <col min="1" max="1" width="116.7109375" style="1" customWidth="1"/>
    <col min="2" max="2" width="16.5703125" style="1" customWidth="1"/>
    <col min="3" max="3" width="12.42578125" style="1" customWidth="1"/>
    <col min="4" max="4" width="6.85546875" style="1" customWidth="1"/>
    <col min="5" max="6" width="2.28515625" style="1" customWidth="1"/>
    <col min="7" max="7" width="25.5703125" style="1" customWidth="1"/>
    <col min="8" max="8" width="3.85546875" style="1" customWidth="1"/>
    <col min="9" max="9" width="2" style="1" customWidth="1"/>
    <col min="10" max="10" width="15.5703125" style="1" customWidth="1"/>
    <col min="11" max="11" width="1.85546875" style="1" customWidth="1"/>
    <col min="12" max="12" width="15.5703125" style="1" customWidth="1"/>
    <col min="13" max="13" width="1.85546875" style="1" customWidth="1"/>
    <col min="14" max="14" width="15.5703125" style="1" customWidth="1"/>
    <col min="15" max="15" width="1.85546875" style="1" customWidth="1"/>
    <col min="16" max="16" width="15.5703125" style="1" customWidth="1"/>
    <col min="17" max="17" width="3.140625" style="1" customWidth="1"/>
    <col min="18" max="20" width="16.28515625" style="1" bestFit="1" customWidth="1"/>
    <col min="21" max="21" width="1.85546875" style="1" customWidth="1"/>
    <col min="22" max="22" width="15.5703125" style="1" customWidth="1"/>
    <col min="23" max="23" width="2.85546875" style="1" customWidth="1"/>
    <col min="24" max="16384" width="13.85546875" style="1"/>
  </cols>
  <sheetData>
    <row r="1" spans="1:25">
      <c r="D1" s="1" t="s">
        <v>0</v>
      </c>
      <c r="E1" s="1" t="s">
        <v>1</v>
      </c>
      <c r="F1" s="2"/>
      <c r="G1" s="3"/>
      <c r="J1" s="1" t="s">
        <v>13</v>
      </c>
      <c r="L1" s="1" t="s">
        <v>743</v>
      </c>
      <c r="N1" s="1" t="s">
        <v>744</v>
      </c>
      <c r="R1" s="339" t="s">
        <v>11</v>
      </c>
      <c r="S1" s="339" t="s">
        <v>12</v>
      </c>
    </row>
    <row r="2" spans="1:25" s="236" customFormat="1" outlineLevel="1">
      <c r="A2" s="340"/>
      <c r="B2" s="341"/>
      <c r="C2" s="342"/>
      <c r="D2" s="343"/>
      <c r="E2" s="343"/>
      <c r="F2" s="344"/>
      <c r="G2" s="344"/>
      <c r="H2" s="340"/>
      <c r="I2" s="340"/>
      <c r="J2" s="345">
        <v>0</v>
      </c>
      <c r="K2" s="340"/>
      <c r="L2" s="345">
        <v>0</v>
      </c>
      <c r="M2" s="340"/>
      <c r="N2" s="346">
        <v>0</v>
      </c>
      <c r="O2" s="340"/>
      <c r="P2" s="345">
        <f>J2+L2+N2</f>
        <v>0</v>
      </c>
      <c r="Q2" s="340"/>
      <c r="R2" s="345">
        <v>0</v>
      </c>
      <c r="S2" s="345">
        <v>0</v>
      </c>
      <c r="T2" s="345">
        <f>P2</f>
        <v>0</v>
      </c>
      <c r="U2" s="340"/>
      <c r="V2" s="346">
        <f>T2-S2</f>
        <v>0</v>
      </c>
      <c r="W2" s="340"/>
      <c r="X2" s="340"/>
    </row>
    <row r="3" spans="1:25">
      <c r="G3" s="3"/>
      <c r="J3" s="1" t="str">
        <f>D9</f>
        <v>2022-03</v>
      </c>
      <c r="L3" s="1" t="str">
        <f>D9</f>
        <v>2022-03</v>
      </c>
      <c r="N3" s="1" t="str">
        <f>YearMonth</f>
        <v>2022-03</v>
      </c>
      <c r="P3" s="1" t="str">
        <f>D9</f>
        <v>2022-03</v>
      </c>
      <c r="R3" s="1" t="str">
        <f>IFERROR(TEXT(EDATE($B$7,MID(LEFT(R1,FIND(")",R1)-1),FIND("(",R1)+1,LEN(R1))),"yyyy-mm"),"")</f>
        <v>2022-01</v>
      </c>
      <c r="S3" s="1" t="str">
        <f>IFERROR(TEXT(EDATE($B$7,MID(LEFT(S1,FIND(")",S1)-1),FIND("(",S1)+1,LEN(S1))),"yyyy-mm"),"")</f>
        <v>2022-02</v>
      </c>
      <c r="T3" s="1" t="str">
        <f>D9</f>
        <v>2022-03</v>
      </c>
    </row>
    <row r="4" spans="1:25">
      <c r="A4" s="1" t="str">
        <f>_xll.jBinder("MarkerCell")</f>
        <v>jBinderOption{MarkerCell}: This cell will be used to note the tab was created from the binder.</v>
      </c>
      <c r="B4" s="1" t="str">
        <f ca="1">_xll.ReportVariable("FinCube",B11:B238,A1:Y1,A2:Y2,_xll.Param("BS"&amp;IF(ExcludeIC=TRUE,",!Eliminated",""),District,System,SubSystem,,,"*",,RIGHT(YearMonth,2),LEFT(YearMonth,4),,,1,,FALSE))</f>
        <v>OK!: ReportVariable Formula OK [jAction{}]</v>
      </c>
      <c r="G4" s="3"/>
      <c r="J4" s="1" t="s">
        <v>745</v>
      </c>
      <c r="L4" s="1" t="s">
        <v>746</v>
      </c>
      <c r="N4" s="1" t="s">
        <v>744</v>
      </c>
      <c r="P4" s="1" t="s">
        <v>683</v>
      </c>
      <c r="R4" s="1" t="s">
        <v>683</v>
      </c>
      <c r="S4" s="1" t="s">
        <v>683</v>
      </c>
      <c r="T4" s="1" t="s">
        <v>683</v>
      </c>
    </row>
    <row r="5" spans="1:25">
      <c r="A5" s="1" t="str">
        <f>_xll.jBinder("ChooseSegmentListtoIterateThru","Dist")</f>
        <v>jBinderOption{ChooseSegmentListtoIterateThru|Dist}: Option "ChooseSegmentListtoIterateThru" has value "Dist"</v>
      </c>
      <c r="B5" s="1"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1" t="str">
        <f>_xll.jBinder("CreateSummaryTab","False")</f>
        <v>jBinderOption{CreateSummaryTab|False}: Option "CreateSummaryTab" has value "False"</v>
      </c>
      <c r="B6" s="1"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14" customFormat="1" ht="15.75">
      <c r="A7" s="1" t="str">
        <f ca="1">_xll.jBinder("Dist",District)</f>
        <v>jBinderOption{Dist||N7}: "Dist" can iterate on cell "N7"</v>
      </c>
      <c r="B7" s="347">
        <f>DATEVALUE(RIGHT(YearMonth,2)&amp;"/1/"&amp;LEFT(YearMonth,4))</f>
        <v>44621</v>
      </c>
      <c r="C7" s="1"/>
      <c r="D7" s="13" t="s">
        <v>1110</v>
      </c>
      <c r="L7" s="15" t="s">
        <v>15</v>
      </c>
      <c r="N7" s="17">
        <v>2195</v>
      </c>
      <c r="T7" s="15" t="s">
        <v>18</v>
      </c>
      <c r="V7" s="16" t="s">
        <v>17</v>
      </c>
      <c r="X7" s="348"/>
    </row>
    <row r="8" spans="1:25" s="14" customFormat="1" ht="15.75">
      <c r="A8" s="14" t="str">
        <f>_xll.jBinder("TabSuffix","_BS")</f>
        <v>jBinderOption{TabSuffix|_BS}: Option "TabSuffix" has value "_BS"</v>
      </c>
      <c r="B8" s="349"/>
      <c r="C8" s="349"/>
      <c r="D8" s="13" t="s">
        <v>1111</v>
      </c>
      <c r="L8" s="15" t="s">
        <v>16</v>
      </c>
      <c r="M8" s="350"/>
      <c r="N8" s="17"/>
      <c r="T8" s="15" t="s">
        <v>747</v>
      </c>
      <c r="V8" s="351" t="s">
        <v>17</v>
      </c>
    </row>
    <row r="9" spans="1:25" s="14" customFormat="1" ht="15.75">
      <c r="B9" s="349"/>
      <c r="C9" s="349"/>
      <c r="D9" s="20" t="s">
        <v>2009</v>
      </c>
      <c r="J9" s="352" t="s">
        <v>748</v>
      </c>
      <c r="K9" s="353"/>
      <c r="L9" s="352" t="s">
        <v>748</v>
      </c>
      <c r="M9" s="353"/>
      <c r="N9" s="352" t="s">
        <v>748</v>
      </c>
      <c r="O9" s="353"/>
      <c r="P9" s="352" t="s">
        <v>748</v>
      </c>
      <c r="Q9" s="353"/>
      <c r="R9" s="352" t="s">
        <v>748</v>
      </c>
      <c r="S9" s="352" t="s">
        <v>748</v>
      </c>
      <c r="T9" s="352" t="s">
        <v>748</v>
      </c>
    </row>
    <row r="10" spans="1:25" s="14" customFormat="1" ht="15.75">
      <c r="B10" s="342"/>
      <c r="C10" s="342"/>
      <c r="D10" s="54" t="str">
        <f>IF(ISERROR($B$7),"The date cell in D9  must be in YYYY-MM format","")</f>
        <v/>
      </c>
      <c r="E10" s="354"/>
      <c r="F10" s="354"/>
      <c r="G10" s="354"/>
      <c r="H10" s="354"/>
      <c r="I10" s="354"/>
      <c r="J10" s="355" t="s">
        <v>749</v>
      </c>
      <c r="K10" s="355"/>
      <c r="L10" s="355"/>
      <c r="M10" s="355"/>
      <c r="N10" s="355"/>
      <c r="O10" s="355"/>
      <c r="P10" s="355"/>
      <c r="Q10" s="354"/>
      <c r="R10" s="355" t="s">
        <v>750</v>
      </c>
      <c r="S10" s="355"/>
      <c r="T10" s="355"/>
      <c r="U10" s="354"/>
      <c r="V10" s="354"/>
      <c r="W10" s="354"/>
      <c r="X10" s="354"/>
      <c r="Y10" s="354"/>
    </row>
    <row r="11" spans="1:25" s="23" customFormat="1">
      <c r="B11" s="342"/>
      <c r="C11" s="342"/>
      <c r="D11" s="354"/>
      <c r="E11" s="354"/>
      <c r="F11" s="354"/>
      <c r="G11" s="354"/>
      <c r="H11" s="354"/>
      <c r="I11" s="354"/>
      <c r="J11" s="354"/>
      <c r="K11" s="354"/>
      <c r="L11" s="354"/>
      <c r="M11" s="354"/>
      <c r="N11" s="354"/>
      <c r="O11" s="354"/>
      <c r="P11" s="354"/>
      <c r="Q11" s="354"/>
      <c r="R11" s="354"/>
      <c r="S11" s="354"/>
      <c r="T11" s="356"/>
      <c r="U11" s="354"/>
      <c r="V11" s="354"/>
      <c r="W11" s="354"/>
      <c r="X11" s="354"/>
      <c r="Y11" s="354"/>
    </row>
    <row r="12" spans="1:25" s="23" customFormat="1">
      <c r="B12" s="342"/>
      <c r="C12" s="342"/>
      <c r="D12" s="354"/>
      <c r="E12" s="354"/>
      <c r="F12" s="354"/>
      <c r="G12" s="354"/>
      <c r="H12" s="354"/>
      <c r="I12" s="354"/>
      <c r="J12" s="354"/>
      <c r="K12" s="354"/>
      <c r="L12" s="357" t="s">
        <v>751</v>
      </c>
      <c r="M12" s="358"/>
      <c r="N12" s="357"/>
      <c r="O12" s="354"/>
      <c r="P12" s="359"/>
      <c r="Q12" s="354"/>
      <c r="R12" s="360"/>
      <c r="S12" s="360"/>
      <c r="T12" s="361" t="s">
        <v>20</v>
      </c>
      <c r="U12" s="354"/>
      <c r="V12" s="362" t="s">
        <v>752</v>
      </c>
      <c r="W12" s="354"/>
      <c r="X12" s="354"/>
      <c r="Y12" s="354"/>
    </row>
    <row r="13" spans="1:25" s="23" customFormat="1" ht="13.5" thickBot="1">
      <c r="B13" s="342"/>
      <c r="C13" s="342"/>
      <c r="D13" s="354"/>
      <c r="E13" s="354"/>
      <c r="F13" s="354"/>
      <c r="G13" s="354"/>
      <c r="H13" s="354"/>
      <c r="I13" s="354"/>
      <c r="J13" s="363" t="s">
        <v>745</v>
      </c>
      <c r="K13" s="354"/>
      <c r="L13" s="363" t="s">
        <v>746</v>
      </c>
      <c r="M13" s="354"/>
      <c r="N13" s="364" t="s">
        <v>744</v>
      </c>
      <c r="O13" s="354"/>
      <c r="P13" s="363" t="s">
        <v>20</v>
      </c>
      <c r="Q13" s="354"/>
      <c r="R13" s="365">
        <f>IFERROR(EDATE(S13,-1),"")</f>
        <v>44562</v>
      </c>
      <c r="S13" s="365">
        <f>IFERROR(EDATE(T13,-1),"")</f>
        <v>44593</v>
      </c>
      <c r="T13" s="365">
        <f>$B$7</f>
        <v>44621</v>
      </c>
      <c r="U13" s="354"/>
      <c r="V13" s="364" t="s">
        <v>753</v>
      </c>
      <c r="W13" s="354"/>
      <c r="X13" s="354"/>
      <c r="Y13" s="354"/>
    </row>
    <row r="14" spans="1:25" s="23" customFormat="1" ht="5.25" customHeight="1">
      <c r="B14" s="342"/>
      <c r="C14" s="342"/>
      <c r="D14" s="354"/>
      <c r="E14" s="354"/>
      <c r="F14" s="366"/>
      <c r="G14" s="354"/>
      <c r="H14" s="354"/>
      <c r="I14" s="354"/>
      <c r="J14" s="352"/>
      <c r="K14" s="354"/>
      <c r="L14" s="352"/>
      <c r="M14" s="354"/>
      <c r="N14" s="352"/>
      <c r="O14" s="354"/>
      <c r="P14" s="352"/>
      <c r="Q14" s="354"/>
      <c r="R14" s="352"/>
      <c r="S14" s="352"/>
      <c r="T14" s="352"/>
      <c r="U14" s="354"/>
      <c r="V14" s="352"/>
      <c r="W14" s="354"/>
      <c r="X14" s="354"/>
      <c r="Y14" s="354"/>
    </row>
    <row r="15" spans="1:25" s="236" customFormat="1" ht="4.5" customHeight="1" thickBot="1">
      <c r="B15" s="342"/>
      <c r="C15" s="342"/>
      <c r="D15" s="340"/>
      <c r="E15" s="340"/>
      <c r="F15" s="340"/>
      <c r="G15" s="340"/>
      <c r="H15" s="340"/>
      <c r="I15" s="340"/>
      <c r="J15" s="340"/>
      <c r="K15" s="340"/>
      <c r="L15" s="340"/>
      <c r="M15" s="340"/>
      <c r="N15" s="340"/>
      <c r="O15" s="340"/>
      <c r="P15" s="340"/>
      <c r="Q15" s="354"/>
      <c r="R15" s="340"/>
      <c r="S15" s="340"/>
      <c r="T15" s="340"/>
      <c r="U15" s="340"/>
      <c r="V15" s="340"/>
      <c r="W15" s="340"/>
      <c r="X15" s="340"/>
      <c r="Y15" s="340"/>
    </row>
    <row r="16" spans="1:25" s="236" customFormat="1" ht="13.5" outlineLevel="1" thickTop="1">
      <c r="A16" s="340"/>
      <c r="B16" s="341" t="s">
        <v>754</v>
      </c>
      <c r="C16" s="342"/>
      <c r="D16" s="343">
        <v>10050</v>
      </c>
      <c r="E16" s="343" t="s">
        <v>2048</v>
      </c>
      <c r="F16" s="344"/>
      <c r="G16" s="344"/>
      <c r="H16" s="340"/>
      <c r="I16" s="340"/>
      <c r="J16" s="1626">
        <v>11869.82</v>
      </c>
      <c r="K16" s="1627"/>
      <c r="L16" s="1628">
        <v>0</v>
      </c>
      <c r="M16" s="1627"/>
      <c r="N16" s="1628">
        <v>0</v>
      </c>
      <c r="O16" s="1627"/>
      <c r="P16" s="1628">
        <f t="shared" ref="P16:P27" si="0">J16+L16+N16</f>
        <v>11869.82</v>
      </c>
      <c r="Q16" s="1627"/>
      <c r="R16" s="1628">
        <v>-36.450000000000003</v>
      </c>
      <c r="S16" s="1628">
        <v>550.89</v>
      </c>
      <c r="T16" s="1628">
        <f t="shared" ref="T16:T27" si="1">P16</f>
        <v>11869.82</v>
      </c>
      <c r="U16" s="1627"/>
      <c r="V16" s="1629">
        <f t="shared" ref="V16:V27" si="2">T16-S16</f>
        <v>11318.93</v>
      </c>
      <c r="W16" s="340"/>
      <c r="X16" s="340"/>
    </row>
    <row r="17" spans="1:25" s="236" customFormat="1" outlineLevel="1">
      <c r="A17" s="340"/>
      <c r="B17" s="341" t="s">
        <v>24</v>
      </c>
      <c r="C17" s="342"/>
      <c r="D17" s="343">
        <v>10051</v>
      </c>
      <c r="E17" s="343" t="s">
        <v>755</v>
      </c>
      <c r="F17" s="344"/>
      <c r="G17" s="344"/>
      <c r="H17" s="340"/>
      <c r="I17" s="340"/>
      <c r="J17" s="1630">
        <v>900</v>
      </c>
      <c r="K17" s="1631"/>
      <c r="L17" s="1632">
        <v>0</v>
      </c>
      <c r="M17" s="1631"/>
      <c r="N17" s="1632">
        <v>0</v>
      </c>
      <c r="O17" s="1631"/>
      <c r="P17" s="1632">
        <f t="shared" si="0"/>
        <v>900</v>
      </c>
      <c r="Q17" s="1631"/>
      <c r="R17" s="1632">
        <v>900</v>
      </c>
      <c r="S17" s="1632">
        <v>900</v>
      </c>
      <c r="T17" s="1632">
        <f t="shared" si="1"/>
        <v>900</v>
      </c>
      <c r="U17" s="1631"/>
      <c r="V17" s="1633">
        <f t="shared" si="2"/>
        <v>0</v>
      </c>
      <c r="W17" s="340"/>
      <c r="X17" s="340"/>
    </row>
    <row r="18" spans="1:25" s="236" customFormat="1" outlineLevel="1">
      <c r="A18" s="340"/>
      <c r="B18" s="341" t="s">
        <v>24</v>
      </c>
      <c r="C18" s="342"/>
      <c r="D18" s="343">
        <v>10070</v>
      </c>
      <c r="E18" s="343" t="s">
        <v>756</v>
      </c>
      <c r="F18" s="344"/>
      <c r="G18" s="344"/>
      <c r="H18" s="340"/>
      <c r="I18" s="340"/>
      <c r="J18" s="1630">
        <v>-137110.84</v>
      </c>
      <c r="K18" s="1631"/>
      <c r="L18" s="1632">
        <v>0</v>
      </c>
      <c r="M18" s="1631"/>
      <c r="N18" s="1632">
        <v>0</v>
      </c>
      <c r="O18" s="1631"/>
      <c r="P18" s="1632">
        <f t="shared" si="0"/>
        <v>-137110.84</v>
      </c>
      <c r="Q18" s="1631"/>
      <c r="R18" s="1632">
        <v>-134746.44</v>
      </c>
      <c r="S18" s="1632">
        <v>-134933.64000000001</v>
      </c>
      <c r="T18" s="1632">
        <f t="shared" si="1"/>
        <v>-137110.84</v>
      </c>
      <c r="U18" s="1631"/>
      <c r="V18" s="1633">
        <f t="shared" si="2"/>
        <v>-2177.1999999999825</v>
      </c>
      <c r="W18" s="340"/>
      <c r="X18" s="340"/>
    </row>
    <row r="19" spans="1:25" s="236" customFormat="1" outlineLevel="1">
      <c r="A19" s="340"/>
      <c r="B19" s="341" t="s">
        <v>24</v>
      </c>
      <c r="C19" s="342"/>
      <c r="D19" s="343">
        <v>10071</v>
      </c>
      <c r="E19" s="343" t="s">
        <v>757</v>
      </c>
      <c r="F19" s="344"/>
      <c r="G19" s="344"/>
      <c r="H19" s="340"/>
      <c r="I19" s="340"/>
      <c r="J19" s="1630">
        <v>137110.84</v>
      </c>
      <c r="K19" s="1631"/>
      <c r="L19" s="1632">
        <v>0</v>
      </c>
      <c r="M19" s="1631"/>
      <c r="N19" s="1632">
        <v>0</v>
      </c>
      <c r="O19" s="1631"/>
      <c r="P19" s="1632">
        <f t="shared" si="0"/>
        <v>137110.84</v>
      </c>
      <c r="Q19" s="1631"/>
      <c r="R19" s="1632">
        <v>134746.44</v>
      </c>
      <c r="S19" s="1632">
        <v>134933.64000000001</v>
      </c>
      <c r="T19" s="1632">
        <f t="shared" si="1"/>
        <v>137110.84</v>
      </c>
      <c r="U19" s="1631"/>
      <c r="V19" s="1633">
        <f t="shared" si="2"/>
        <v>2177.1999999999825</v>
      </c>
      <c r="W19" s="340"/>
      <c r="X19" s="340"/>
    </row>
    <row r="20" spans="1:25" s="236" customFormat="1" outlineLevel="1">
      <c r="A20" s="340"/>
      <c r="B20" s="341" t="s">
        <v>24</v>
      </c>
      <c r="C20" s="342"/>
      <c r="D20" s="343">
        <v>10091</v>
      </c>
      <c r="E20" s="343" t="s">
        <v>758</v>
      </c>
      <c r="F20" s="344"/>
      <c r="G20" s="344"/>
      <c r="H20" s="340"/>
      <c r="I20" s="340"/>
      <c r="J20" s="1630">
        <v>0</v>
      </c>
      <c r="K20" s="1631"/>
      <c r="L20" s="1632">
        <v>0</v>
      </c>
      <c r="M20" s="1631"/>
      <c r="N20" s="1632">
        <v>0</v>
      </c>
      <c r="O20" s="1631"/>
      <c r="P20" s="1632">
        <f t="shared" si="0"/>
        <v>0</v>
      </c>
      <c r="Q20" s="1631"/>
      <c r="R20" s="1632">
        <v>0</v>
      </c>
      <c r="S20" s="1632">
        <v>0</v>
      </c>
      <c r="T20" s="1632">
        <f t="shared" si="1"/>
        <v>0</v>
      </c>
      <c r="U20" s="1631"/>
      <c r="V20" s="1633">
        <f t="shared" si="2"/>
        <v>0</v>
      </c>
      <c r="W20" s="340"/>
      <c r="X20" s="340"/>
    </row>
    <row r="21" spans="1:25" s="236" customFormat="1" outlineLevel="1">
      <c r="A21" s="340"/>
      <c r="B21" s="341" t="s">
        <v>24</v>
      </c>
      <c r="C21" s="342"/>
      <c r="D21" s="343">
        <v>10092</v>
      </c>
      <c r="E21" s="343" t="s">
        <v>759</v>
      </c>
      <c r="F21" s="344"/>
      <c r="G21" s="344"/>
      <c r="H21" s="340"/>
      <c r="I21" s="340"/>
      <c r="J21" s="1630">
        <v>0</v>
      </c>
      <c r="K21" s="1631"/>
      <c r="L21" s="1632">
        <v>0</v>
      </c>
      <c r="M21" s="1631"/>
      <c r="N21" s="1632">
        <v>0</v>
      </c>
      <c r="O21" s="1631"/>
      <c r="P21" s="1632">
        <f t="shared" si="0"/>
        <v>0</v>
      </c>
      <c r="Q21" s="1631"/>
      <c r="R21" s="1632">
        <v>0</v>
      </c>
      <c r="S21" s="1632">
        <v>0</v>
      </c>
      <c r="T21" s="1632">
        <f t="shared" si="1"/>
        <v>0</v>
      </c>
      <c r="U21" s="1631"/>
      <c r="V21" s="1633">
        <f t="shared" si="2"/>
        <v>0</v>
      </c>
      <c r="W21" s="340"/>
      <c r="X21" s="340"/>
    </row>
    <row r="22" spans="1:25" s="236" customFormat="1" outlineLevel="1">
      <c r="A22" s="340"/>
      <c r="B22" s="341" t="s">
        <v>24</v>
      </c>
      <c r="C22" s="342"/>
      <c r="D22" s="343">
        <v>10093</v>
      </c>
      <c r="E22" s="343" t="s">
        <v>760</v>
      </c>
      <c r="F22" s="344"/>
      <c r="G22" s="344"/>
      <c r="H22" s="340"/>
      <c r="I22" s="340"/>
      <c r="J22" s="1630">
        <v>0</v>
      </c>
      <c r="K22" s="1631"/>
      <c r="L22" s="1632">
        <v>0</v>
      </c>
      <c r="M22" s="1631"/>
      <c r="N22" s="1632">
        <v>0</v>
      </c>
      <c r="O22" s="1631"/>
      <c r="P22" s="1632">
        <f t="shared" si="0"/>
        <v>0</v>
      </c>
      <c r="Q22" s="1631"/>
      <c r="R22" s="1632">
        <v>0</v>
      </c>
      <c r="S22" s="1632">
        <v>0</v>
      </c>
      <c r="T22" s="1632">
        <f t="shared" si="1"/>
        <v>0</v>
      </c>
      <c r="U22" s="1631"/>
      <c r="V22" s="1633">
        <f t="shared" si="2"/>
        <v>0</v>
      </c>
      <c r="W22" s="340"/>
      <c r="X22" s="340"/>
    </row>
    <row r="23" spans="1:25" s="236" customFormat="1" outlineLevel="1">
      <c r="A23" s="340"/>
      <c r="B23" s="341" t="s">
        <v>24</v>
      </c>
      <c r="C23" s="342"/>
      <c r="D23" s="343">
        <v>10095</v>
      </c>
      <c r="E23" s="343" t="s">
        <v>761</v>
      </c>
      <c r="F23" s="344"/>
      <c r="G23" s="344"/>
      <c r="H23" s="340"/>
      <c r="I23" s="340"/>
      <c r="J23" s="1630">
        <v>-273.98</v>
      </c>
      <c r="K23" s="1631"/>
      <c r="L23" s="1632">
        <v>0</v>
      </c>
      <c r="M23" s="1631"/>
      <c r="N23" s="1632">
        <v>0</v>
      </c>
      <c r="O23" s="1631"/>
      <c r="P23" s="1632">
        <f t="shared" si="0"/>
        <v>-273.98</v>
      </c>
      <c r="Q23" s="1631"/>
      <c r="R23" s="1632">
        <v>-273.98</v>
      </c>
      <c r="S23" s="1632">
        <v>-273.98</v>
      </c>
      <c r="T23" s="1632">
        <f t="shared" si="1"/>
        <v>-273.98</v>
      </c>
      <c r="U23" s="1631"/>
      <c r="V23" s="1633">
        <f t="shared" si="2"/>
        <v>0</v>
      </c>
      <c r="W23" s="340"/>
      <c r="X23" s="340"/>
    </row>
    <row r="24" spans="1:25" s="236" customFormat="1" outlineLevel="1">
      <c r="A24" s="340"/>
      <c r="B24" s="341" t="s">
        <v>24</v>
      </c>
      <c r="C24" s="342"/>
      <c r="D24" s="343">
        <v>10096</v>
      </c>
      <c r="E24" s="343" t="s">
        <v>1138</v>
      </c>
      <c r="F24" s="344"/>
      <c r="G24" s="344"/>
      <c r="H24" s="340"/>
      <c r="I24" s="340"/>
      <c r="J24" s="1630">
        <v>-847.52</v>
      </c>
      <c r="K24" s="1631"/>
      <c r="L24" s="1632">
        <v>0</v>
      </c>
      <c r="M24" s="1631"/>
      <c r="N24" s="1632">
        <v>0</v>
      </c>
      <c r="O24" s="1631"/>
      <c r="P24" s="1632">
        <f t="shared" si="0"/>
        <v>-847.52</v>
      </c>
      <c r="Q24" s="1631"/>
      <c r="R24" s="1632">
        <v>-847.52</v>
      </c>
      <c r="S24" s="1632">
        <v>-847.52</v>
      </c>
      <c r="T24" s="1632">
        <f t="shared" si="1"/>
        <v>-847.52</v>
      </c>
      <c r="U24" s="1631"/>
      <c r="V24" s="1633">
        <f t="shared" si="2"/>
        <v>0</v>
      </c>
      <c r="W24" s="340"/>
      <c r="X24" s="340"/>
    </row>
    <row r="25" spans="1:25" s="236" customFormat="1" outlineLevel="1">
      <c r="A25" s="340"/>
      <c r="B25" s="341" t="s">
        <v>24</v>
      </c>
      <c r="C25" s="342"/>
      <c r="D25" s="343">
        <v>10097</v>
      </c>
      <c r="E25" s="343" t="s">
        <v>762</v>
      </c>
      <c r="F25" s="344"/>
      <c r="G25" s="344"/>
      <c r="H25" s="340"/>
      <c r="I25" s="340"/>
      <c r="J25" s="1630">
        <v>-141.4</v>
      </c>
      <c r="K25" s="1631"/>
      <c r="L25" s="1632">
        <v>0</v>
      </c>
      <c r="M25" s="1631"/>
      <c r="N25" s="1632">
        <v>0</v>
      </c>
      <c r="O25" s="1631"/>
      <c r="P25" s="1632">
        <f t="shared" si="0"/>
        <v>-141.4</v>
      </c>
      <c r="Q25" s="1631"/>
      <c r="R25" s="1632">
        <v>0</v>
      </c>
      <c r="S25" s="1632">
        <v>-10621.85</v>
      </c>
      <c r="T25" s="1632">
        <f t="shared" si="1"/>
        <v>-141.4</v>
      </c>
      <c r="U25" s="1631"/>
      <c r="V25" s="1633">
        <f t="shared" si="2"/>
        <v>10480.450000000001</v>
      </c>
      <c r="W25" s="340"/>
      <c r="X25" s="340"/>
    </row>
    <row r="26" spans="1:25" s="236" customFormat="1" outlineLevel="1">
      <c r="A26" s="340"/>
      <c r="B26" s="341" t="s">
        <v>24</v>
      </c>
      <c r="C26" s="342"/>
      <c r="D26" s="343">
        <v>10098</v>
      </c>
      <c r="E26" s="343" t="s">
        <v>763</v>
      </c>
      <c r="F26" s="344"/>
      <c r="G26" s="344"/>
      <c r="H26" s="340"/>
      <c r="I26" s="340"/>
      <c r="J26" s="1630">
        <v>209.03</v>
      </c>
      <c r="K26" s="1631"/>
      <c r="L26" s="1632">
        <v>0</v>
      </c>
      <c r="M26" s="1631"/>
      <c r="N26" s="1632">
        <v>0</v>
      </c>
      <c r="O26" s="1631"/>
      <c r="P26" s="1632">
        <f t="shared" si="0"/>
        <v>209.03</v>
      </c>
      <c r="Q26" s="1631"/>
      <c r="R26" s="1632">
        <v>-567.09</v>
      </c>
      <c r="S26" s="1632">
        <v>23.37</v>
      </c>
      <c r="T26" s="1632">
        <f t="shared" si="1"/>
        <v>209.03</v>
      </c>
      <c r="U26" s="1631"/>
      <c r="V26" s="1633">
        <f t="shared" si="2"/>
        <v>185.66</v>
      </c>
      <c r="W26" s="340"/>
      <c r="X26" s="340"/>
    </row>
    <row r="27" spans="1:25" s="236" customFormat="1" outlineLevel="1">
      <c r="A27" s="340"/>
      <c r="B27" s="341" t="s">
        <v>24</v>
      </c>
      <c r="C27" s="342"/>
      <c r="D27" s="343">
        <v>10099</v>
      </c>
      <c r="E27" s="343" t="s">
        <v>764</v>
      </c>
      <c r="F27" s="344"/>
      <c r="G27" s="344"/>
      <c r="H27" s="340"/>
      <c r="I27" s="340"/>
      <c r="J27" s="1630">
        <v>-1043.33</v>
      </c>
      <c r="K27" s="1631"/>
      <c r="L27" s="1632">
        <v>0</v>
      </c>
      <c r="M27" s="1631"/>
      <c r="N27" s="1632">
        <v>0</v>
      </c>
      <c r="O27" s="1631"/>
      <c r="P27" s="1632">
        <f t="shared" si="0"/>
        <v>-1043.33</v>
      </c>
      <c r="Q27" s="1631"/>
      <c r="R27" s="1632">
        <v>0</v>
      </c>
      <c r="S27" s="1632">
        <v>23.37</v>
      </c>
      <c r="T27" s="1632">
        <f t="shared" si="1"/>
        <v>-1043.33</v>
      </c>
      <c r="U27" s="1631"/>
      <c r="V27" s="1633">
        <f t="shared" si="2"/>
        <v>-1066.6999999999998</v>
      </c>
      <c r="W27" s="340"/>
      <c r="X27" s="340"/>
    </row>
    <row r="28" spans="1:25" s="236" customFormat="1" ht="4.5" customHeight="1" outlineLevel="1">
      <c r="A28" s="367"/>
      <c r="B28" s="368" t="s">
        <v>17</v>
      </c>
      <c r="C28" s="368"/>
      <c r="D28" s="340"/>
      <c r="E28" s="340"/>
      <c r="F28" s="340"/>
      <c r="G28" s="340"/>
      <c r="H28" s="340"/>
      <c r="I28" s="340"/>
      <c r="J28" s="1634"/>
      <c r="K28" s="1631"/>
      <c r="L28" s="1635"/>
      <c r="M28" s="1631"/>
      <c r="N28" s="1635"/>
      <c r="O28" s="1631"/>
      <c r="P28" s="1635"/>
      <c r="Q28" s="1631"/>
      <c r="R28" s="1635"/>
      <c r="S28" s="1635"/>
      <c r="T28" s="1635"/>
      <c r="U28" s="1631"/>
      <c r="V28" s="1636"/>
      <c r="W28" s="340"/>
      <c r="X28" s="340"/>
      <c r="Y28" s="340"/>
    </row>
    <row r="29" spans="1:25" s="236" customFormat="1">
      <c r="A29" s="342" t="s">
        <v>754</v>
      </c>
      <c r="B29" s="342" t="s">
        <v>17</v>
      </c>
      <c r="C29" s="342"/>
      <c r="D29" s="340"/>
      <c r="E29" s="340"/>
      <c r="F29" s="340" t="s">
        <v>765</v>
      </c>
      <c r="G29" s="340"/>
      <c r="H29" s="340"/>
      <c r="I29" s="340"/>
      <c r="J29" s="1630">
        <f>SUM(J16:J28)</f>
        <v>10672.620000000008</v>
      </c>
      <c r="K29" s="1631"/>
      <c r="L29" s="1632">
        <f>SUM(L16:L28)</f>
        <v>0</v>
      </c>
      <c r="M29" s="1631"/>
      <c r="N29" s="1632">
        <f>SUM(N16:N28)</f>
        <v>0</v>
      </c>
      <c r="O29" s="1631"/>
      <c r="P29" s="1632">
        <f t="shared" ref="P29" si="3">J29+L29+N29</f>
        <v>10672.620000000008</v>
      </c>
      <c r="Q29" s="1631"/>
      <c r="R29" s="1632">
        <f>SUM(R16:R28)</f>
        <v>-825.04000000001167</v>
      </c>
      <c r="S29" s="1632">
        <f>SUM(S16:S28)</f>
        <v>-10245.719999999985</v>
      </c>
      <c r="T29" s="1632">
        <f>SUM(T16:T28)</f>
        <v>10672.620000000008</v>
      </c>
      <c r="U29" s="1631"/>
      <c r="V29" s="1633">
        <f>SUM(V16:V28)</f>
        <v>20918.34</v>
      </c>
      <c r="W29" s="340"/>
      <c r="X29" s="340"/>
      <c r="Y29" s="340"/>
    </row>
    <row r="30" spans="1:25" s="236" customFormat="1" outlineLevel="1">
      <c r="A30" s="340"/>
      <c r="B30" s="341" t="s">
        <v>766</v>
      </c>
      <c r="C30" s="342"/>
      <c r="D30" s="343">
        <v>11500</v>
      </c>
      <c r="E30" s="343" t="s">
        <v>2050</v>
      </c>
      <c r="F30" s="344"/>
      <c r="G30" s="344"/>
      <c r="H30" s="340"/>
      <c r="I30" s="340"/>
      <c r="J30" s="1630">
        <v>0</v>
      </c>
      <c r="K30" s="1631"/>
      <c r="L30" s="1632">
        <v>0</v>
      </c>
      <c r="M30" s="1631"/>
      <c r="N30" s="1632">
        <v>0</v>
      </c>
      <c r="O30" s="1631"/>
      <c r="P30" s="1632">
        <f t="shared" ref="P30:P38" si="4">J30+L30+N30</f>
        <v>0</v>
      </c>
      <c r="Q30" s="1631"/>
      <c r="R30" s="1632">
        <v>0</v>
      </c>
      <c r="S30" s="1632">
        <v>0</v>
      </c>
      <c r="T30" s="1632">
        <f t="shared" ref="T30:T38" si="5">P30</f>
        <v>0</v>
      </c>
      <c r="U30" s="1631"/>
      <c r="V30" s="1633">
        <f t="shared" ref="V30:V38" si="6">T30-S30</f>
        <v>0</v>
      </c>
      <c r="W30" s="340"/>
      <c r="X30" s="340"/>
    </row>
    <row r="31" spans="1:25" s="236" customFormat="1" outlineLevel="1">
      <c r="A31" s="340"/>
      <c r="B31" s="341" t="s">
        <v>24</v>
      </c>
      <c r="C31" s="342"/>
      <c r="D31" s="343">
        <v>11501</v>
      </c>
      <c r="E31" s="343" t="s">
        <v>767</v>
      </c>
      <c r="F31" s="344"/>
      <c r="G31" s="344"/>
      <c r="H31" s="340"/>
      <c r="I31" s="340"/>
      <c r="J31" s="1630">
        <v>1919089.24</v>
      </c>
      <c r="K31" s="1631"/>
      <c r="L31" s="1632">
        <v>0</v>
      </c>
      <c r="M31" s="1631"/>
      <c r="N31" s="1632">
        <v>0</v>
      </c>
      <c r="O31" s="1631"/>
      <c r="P31" s="1632">
        <f t="shared" si="4"/>
        <v>1919089.24</v>
      </c>
      <c r="Q31" s="1631"/>
      <c r="R31" s="1632">
        <v>2156450.2599999998</v>
      </c>
      <c r="S31" s="1632">
        <v>2027829.53</v>
      </c>
      <c r="T31" s="1632">
        <f t="shared" si="5"/>
        <v>1919089.24</v>
      </c>
      <c r="U31" s="1631"/>
      <c r="V31" s="1633">
        <f t="shared" si="6"/>
        <v>-108740.29000000004</v>
      </c>
      <c r="W31" s="340"/>
      <c r="X31" s="340"/>
    </row>
    <row r="32" spans="1:25" s="236" customFormat="1" outlineLevel="1">
      <c r="A32" s="340"/>
      <c r="B32" s="341" t="s">
        <v>24</v>
      </c>
      <c r="C32" s="342"/>
      <c r="D32" s="343">
        <v>11502</v>
      </c>
      <c r="E32" s="343" t="s">
        <v>768</v>
      </c>
      <c r="F32" s="344"/>
      <c r="G32" s="344"/>
      <c r="H32" s="340"/>
      <c r="I32" s="340"/>
      <c r="J32" s="1630">
        <v>-10648.15</v>
      </c>
      <c r="K32" s="1631"/>
      <c r="L32" s="1632">
        <v>0</v>
      </c>
      <c r="M32" s="1631"/>
      <c r="N32" s="1632">
        <v>0</v>
      </c>
      <c r="O32" s="1631"/>
      <c r="P32" s="1632">
        <f t="shared" si="4"/>
        <v>-10648.15</v>
      </c>
      <c r="Q32" s="1631"/>
      <c r="R32" s="1632">
        <v>0</v>
      </c>
      <c r="S32" s="1632">
        <v>-1347.04</v>
      </c>
      <c r="T32" s="1632">
        <f t="shared" si="5"/>
        <v>-10648.15</v>
      </c>
      <c r="U32" s="1631"/>
      <c r="V32" s="1633">
        <f t="shared" si="6"/>
        <v>-9301.11</v>
      </c>
      <c r="W32" s="340"/>
      <c r="X32" s="340"/>
    </row>
    <row r="33" spans="1:25" s="236" customFormat="1" outlineLevel="1">
      <c r="A33" s="340"/>
      <c r="B33" s="341" t="s">
        <v>24</v>
      </c>
      <c r="C33" s="342"/>
      <c r="D33" s="343">
        <v>11510</v>
      </c>
      <c r="E33" s="343" t="s">
        <v>2047</v>
      </c>
      <c r="F33" s="344"/>
      <c r="G33" s="344"/>
      <c r="H33" s="340"/>
      <c r="I33" s="340"/>
      <c r="J33" s="1630">
        <v>36304.19</v>
      </c>
      <c r="K33" s="1631"/>
      <c r="L33" s="1632">
        <v>0</v>
      </c>
      <c r="M33" s="1631"/>
      <c r="N33" s="1632">
        <v>0</v>
      </c>
      <c r="O33" s="1631"/>
      <c r="P33" s="1632">
        <f t="shared" si="4"/>
        <v>36304.19</v>
      </c>
      <c r="Q33" s="1631"/>
      <c r="R33" s="1632">
        <v>0</v>
      </c>
      <c r="S33" s="1632">
        <v>34441.870000000003</v>
      </c>
      <c r="T33" s="1632">
        <f t="shared" si="5"/>
        <v>36304.19</v>
      </c>
      <c r="U33" s="1631"/>
      <c r="V33" s="1633">
        <f t="shared" si="6"/>
        <v>1862.3199999999997</v>
      </c>
      <c r="W33" s="340"/>
      <c r="X33" s="340"/>
    </row>
    <row r="34" spans="1:25" s="236" customFormat="1" outlineLevel="1">
      <c r="A34" s="340"/>
      <c r="B34" s="341" t="s">
        <v>24</v>
      </c>
      <c r="C34" s="342"/>
      <c r="D34" s="343">
        <v>11701</v>
      </c>
      <c r="E34" s="343" t="s">
        <v>905</v>
      </c>
      <c r="F34" s="344"/>
      <c r="G34" s="344"/>
      <c r="H34" s="340"/>
      <c r="I34" s="340"/>
      <c r="J34" s="1630">
        <v>12095.79</v>
      </c>
      <c r="K34" s="1631"/>
      <c r="L34" s="1632">
        <v>0</v>
      </c>
      <c r="M34" s="1631"/>
      <c r="N34" s="1632">
        <v>0</v>
      </c>
      <c r="O34" s="1631"/>
      <c r="P34" s="1632">
        <f t="shared" si="4"/>
        <v>12095.79</v>
      </c>
      <c r="Q34" s="1631"/>
      <c r="R34" s="1632">
        <v>11879.77</v>
      </c>
      <c r="S34" s="1632">
        <v>12095.79</v>
      </c>
      <c r="T34" s="1632">
        <f t="shared" si="5"/>
        <v>12095.79</v>
      </c>
      <c r="U34" s="1631"/>
      <c r="V34" s="1633">
        <f t="shared" si="6"/>
        <v>0</v>
      </c>
      <c r="W34" s="340"/>
      <c r="X34" s="340"/>
    </row>
    <row r="35" spans="1:25" s="236" customFormat="1" outlineLevel="1">
      <c r="A35" s="340"/>
      <c r="B35" s="341" t="s">
        <v>24</v>
      </c>
      <c r="C35" s="342"/>
      <c r="D35" s="343">
        <v>11800</v>
      </c>
      <c r="E35" s="343" t="s">
        <v>769</v>
      </c>
      <c r="F35" s="344"/>
      <c r="G35" s="344"/>
      <c r="H35" s="340"/>
      <c r="I35" s="340"/>
      <c r="J35" s="1630">
        <v>25431.77</v>
      </c>
      <c r="K35" s="1631"/>
      <c r="L35" s="1632">
        <v>0</v>
      </c>
      <c r="M35" s="1631"/>
      <c r="N35" s="1632">
        <v>0</v>
      </c>
      <c r="O35" s="1631"/>
      <c r="P35" s="1632">
        <f t="shared" si="4"/>
        <v>25431.77</v>
      </c>
      <c r="Q35" s="1631"/>
      <c r="R35" s="1632">
        <v>25431.77</v>
      </c>
      <c r="S35" s="1632">
        <v>25431.77</v>
      </c>
      <c r="T35" s="1632">
        <f t="shared" si="5"/>
        <v>25431.77</v>
      </c>
      <c r="U35" s="1631"/>
      <c r="V35" s="1633">
        <f t="shared" si="6"/>
        <v>0</v>
      </c>
      <c r="W35" s="340"/>
      <c r="X35" s="340"/>
    </row>
    <row r="36" spans="1:25" s="236" customFormat="1" outlineLevel="1">
      <c r="A36" s="340"/>
      <c r="B36" s="341" t="s">
        <v>24</v>
      </c>
      <c r="C36" s="342"/>
      <c r="D36" s="343">
        <v>11901</v>
      </c>
      <c r="E36" s="343" t="s">
        <v>770</v>
      </c>
      <c r="F36" s="344"/>
      <c r="G36" s="344"/>
      <c r="H36" s="340"/>
      <c r="I36" s="340"/>
      <c r="J36" s="1630">
        <v>-880984.27</v>
      </c>
      <c r="K36" s="1631"/>
      <c r="L36" s="1632">
        <v>0</v>
      </c>
      <c r="M36" s="1631"/>
      <c r="N36" s="1632">
        <v>0</v>
      </c>
      <c r="O36" s="1631"/>
      <c r="P36" s="1632">
        <f t="shared" si="4"/>
        <v>-880984.27</v>
      </c>
      <c r="Q36" s="1631"/>
      <c r="R36" s="1632">
        <v>-868790.35</v>
      </c>
      <c r="S36" s="1632">
        <v>-888193.57</v>
      </c>
      <c r="T36" s="1632">
        <f t="shared" si="5"/>
        <v>-880984.27</v>
      </c>
      <c r="U36" s="1631"/>
      <c r="V36" s="1633">
        <f t="shared" si="6"/>
        <v>7209.2999999999302</v>
      </c>
      <c r="W36" s="340"/>
      <c r="X36" s="340"/>
    </row>
    <row r="37" spans="1:25" s="236" customFormat="1" outlineLevel="1">
      <c r="A37" s="340"/>
      <c r="B37" s="341" t="s">
        <v>24</v>
      </c>
      <c r="C37" s="342"/>
      <c r="D37" s="343">
        <v>11902</v>
      </c>
      <c r="E37" s="343" t="s">
        <v>771</v>
      </c>
      <c r="F37" s="344"/>
      <c r="G37" s="344"/>
      <c r="H37" s="340"/>
      <c r="I37" s="340"/>
      <c r="J37" s="1630">
        <v>1180649.53</v>
      </c>
      <c r="K37" s="1631"/>
      <c r="L37" s="1632">
        <v>0</v>
      </c>
      <c r="M37" s="1631"/>
      <c r="N37" s="1632">
        <v>0</v>
      </c>
      <c r="O37" s="1631"/>
      <c r="P37" s="1632">
        <f t="shared" si="4"/>
        <v>1180649.53</v>
      </c>
      <c r="Q37" s="1631"/>
      <c r="R37" s="1632">
        <v>1165928.3799999999</v>
      </c>
      <c r="S37" s="1632">
        <v>1173532.44</v>
      </c>
      <c r="T37" s="1632">
        <f t="shared" si="5"/>
        <v>1180649.53</v>
      </c>
      <c r="U37" s="1631"/>
      <c r="V37" s="1633">
        <f t="shared" si="6"/>
        <v>7117.0900000000838</v>
      </c>
      <c r="W37" s="340"/>
      <c r="X37" s="340"/>
    </row>
    <row r="38" spans="1:25" s="236" customFormat="1" outlineLevel="1">
      <c r="A38" s="340"/>
      <c r="B38" s="341" t="s">
        <v>24</v>
      </c>
      <c r="C38" s="342"/>
      <c r="D38" s="343">
        <v>11903</v>
      </c>
      <c r="E38" s="343" t="s">
        <v>772</v>
      </c>
      <c r="F38" s="344"/>
      <c r="G38" s="344"/>
      <c r="H38" s="340"/>
      <c r="I38" s="340"/>
      <c r="J38" s="1630">
        <v>-323012</v>
      </c>
      <c r="K38" s="1631"/>
      <c r="L38" s="1632">
        <v>0</v>
      </c>
      <c r="M38" s="1631"/>
      <c r="N38" s="1632">
        <v>0</v>
      </c>
      <c r="O38" s="1631"/>
      <c r="P38" s="1632">
        <f t="shared" si="4"/>
        <v>-323012</v>
      </c>
      <c r="Q38" s="1631"/>
      <c r="R38" s="1632">
        <v>-315742.65999999997</v>
      </c>
      <c r="S38" s="1632">
        <v>-319703.40000000002</v>
      </c>
      <c r="T38" s="1632">
        <f t="shared" si="5"/>
        <v>-323012</v>
      </c>
      <c r="U38" s="1631"/>
      <c r="V38" s="1633">
        <f t="shared" si="6"/>
        <v>-3308.5999999999767</v>
      </c>
      <c r="W38" s="340"/>
      <c r="X38" s="340"/>
    </row>
    <row r="39" spans="1:25" s="236" customFormat="1" ht="5.0999999999999996" customHeight="1" outlineLevel="1">
      <c r="A39" s="342" t="s">
        <v>17</v>
      </c>
      <c r="B39" s="368" t="s">
        <v>17</v>
      </c>
      <c r="C39" s="368"/>
      <c r="D39" s="344"/>
      <c r="E39" s="344"/>
      <c r="F39" s="344"/>
      <c r="G39" s="344"/>
      <c r="H39" s="340"/>
      <c r="I39" s="340"/>
      <c r="J39" s="1637"/>
      <c r="K39" s="1631"/>
      <c r="L39" s="1638"/>
      <c r="M39" s="1631"/>
      <c r="N39" s="1638"/>
      <c r="O39" s="1631"/>
      <c r="P39" s="1638"/>
      <c r="Q39" s="1631"/>
      <c r="R39" s="1638"/>
      <c r="S39" s="1638"/>
      <c r="T39" s="1638"/>
      <c r="U39" s="1631"/>
      <c r="V39" s="1639"/>
      <c r="W39" s="340"/>
      <c r="X39" s="340"/>
      <c r="Y39" s="340"/>
    </row>
    <row r="40" spans="1:25" s="236" customFormat="1">
      <c r="A40" s="342" t="s">
        <v>766</v>
      </c>
      <c r="B40" s="342" t="s">
        <v>17</v>
      </c>
      <c r="C40" s="342"/>
      <c r="D40" s="340"/>
      <c r="E40" s="340"/>
      <c r="F40" s="343" t="s">
        <v>773</v>
      </c>
      <c r="G40" s="340"/>
      <c r="H40" s="340"/>
      <c r="I40" s="340"/>
      <c r="J40" s="1630">
        <f>SUM(J30:J39)</f>
        <v>1958926.1</v>
      </c>
      <c r="K40" s="1631"/>
      <c r="L40" s="1632">
        <f>SUM(L30:L39)</f>
        <v>0</v>
      </c>
      <c r="M40" s="1631"/>
      <c r="N40" s="1632">
        <f>SUM(N30:N39)</f>
        <v>0</v>
      </c>
      <c r="O40" s="1631"/>
      <c r="P40" s="1632">
        <f t="shared" ref="P40" si="7">J40+L40+N40</f>
        <v>1958926.1</v>
      </c>
      <c r="Q40" s="1631"/>
      <c r="R40" s="1632">
        <f>SUM(R30:R39)</f>
        <v>2175157.1699999995</v>
      </c>
      <c r="S40" s="1632">
        <f>SUM(S30:S39)</f>
        <v>2064087.3900000001</v>
      </c>
      <c r="T40" s="1632">
        <f>SUM(T30:T39)</f>
        <v>1958926.1</v>
      </c>
      <c r="U40" s="1631"/>
      <c r="V40" s="1633">
        <f>SUM(V30:V39)</f>
        <v>-105161.29000000001</v>
      </c>
      <c r="W40" s="340"/>
      <c r="X40" s="340"/>
      <c r="Y40" s="340"/>
    </row>
    <row r="41" spans="1:25" s="236" customFormat="1" outlineLevel="1">
      <c r="A41" s="340"/>
      <c r="B41" s="341" t="s">
        <v>774</v>
      </c>
      <c r="C41" s="342"/>
      <c r="D41" s="343">
        <v>12001</v>
      </c>
      <c r="E41" s="343" t="s">
        <v>775</v>
      </c>
      <c r="F41" s="344"/>
      <c r="G41" s="344"/>
      <c r="H41" s="340"/>
      <c r="I41" s="340"/>
      <c r="J41" s="1630">
        <v>133808.26</v>
      </c>
      <c r="K41" s="1631"/>
      <c r="L41" s="1632">
        <v>0</v>
      </c>
      <c r="M41" s="1631"/>
      <c r="N41" s="1632">
        <v>0</v>
      </c>
      <c r="O41" s="1631"/>
      <c r="P41" s="1632">
        <f>J41+L41+N41</f>
        <v>133808.26</v>
      </c>
      <c r="Q41" s="1631"/>
      <c r="R41" s="1632">
        <v>133808.26</v>
      </c>
      <c r="S41" s="1632">
        <v>133808.26</v>
      </c>
      <c r="T41" s="1632">
        <f t="shared" ref="T41:T45" si="8">P41</f>
        <v>133808.26</v>
      </c>
      <c r="U41" s="1631"/>
      <c r="V41" s="1633">
        <f t="shared" ref="V41:V45" si="9">T41-S41</f>
        <v>0</v>
      </c>
      <c r="W41" s="340"/>
      <c r="X41" s="340"/>
    </row>
    <row r="42" spans="1:25" s="236" customFormat="1" outlineLevel="1">
      <c r="A42" s="340"/>
      <c r="B42" s="341" t="s">
        <v>24</v>
      </c>
      <c r="C42" s="342"/>
      <c r="D42" s="343">
        <v>12002</v>
      </c>
      <c r="E42" s="343" t="s">
        <v>1137</v>
      </c>
      <c r="F42" s="344"/>
      <c r="G42" s="344"/>
      <c r="H42" s="340"/>
      <c r="I42" s="340"/>
      <c r="J42" s="1630">
        <v>44565.72</v>
      </c>
      <c r="K42" s="1631"/>
      <c r="L42" s="1632">
        <v>0</v>
      </c>
      <c r="M42" s="1631"/>
      <c r="N42" s="1632">
        <v>0</v>
      </c>
      <c r="O42" s="1631"/>
      <c r="P42" s="1632">
        <f>J42+L42+N42</f>
        <v>44565.72</v>
      </c>
      <c r="Q42" s="1631"/>
      <c r="R42" s="1632">
        <v>45046.46</v>
      </c>
      <c r="S42" s="1632">
        <v>24553.41</v>
      </c>
      <c r="T42" s="1632">
        <f t="shared" si="8"/>
        <v>44565.72</v>
      </c>
      <c r="U42" s="1631"/>
      <c r="V42" s="1633">
        <f t="shared" si="9"/>
        <v>20012.310000000001</v>
      </c>
      <c r="W42" s="340"/>
      <c r="X42" s="340"/>
    </row>
    <row r="43" spans="1:25" s="236" customFormat="1" outlineLevel="1">
      <c r="A43" s="340"/>
      <c r="B43" s="341" t="s">
        <v>24</v>
      </c>
      <c r="C43" s="342"/>
      <c r="D43" s="343">
        <v>12003</v>
      </c>
      <c r="E43" s="343" t="s">
        <v>776</v>
      </c>
      <c r="F43" s="344"/>
      <c r="G43" s="344"/>
      <c r="H43" s="340"/>
      <c r="I43" s="340"/>
      <c r="J43" s="1630">
        <v>15013.54</v>
      </c>
      <c r="K43" s="1631"/>
      <c r="L43" s="1632">
        <v>0</v>
      </c>
      <c r="M43" s="1631"/>
      <c r="N43" s="1632">
        <v>0</v>
      </c>
      <c r="O43" s="1631"/>
      <c r="P43" s="1632">
        <f>J43+L43+N43</f>
        <v>15013.54</v>
      </c>
      <c r="Q43" s="1631"/>
      <c r="R43" s="1632">
        <v>15013.54</v>
      </c>
      <c r="S43" s="1632">
        <v>15013.54</v>
      </c>
      <c r="T43" s="1632">
        <f t="shared" si="8"/>
        <v>15013.54</v>
      </c>
      <c r="U43" s="1631"/>
      <c r="V43" s="1633">
        <f t="shared" si="9"/>
        <v>0</v>
      </c>
      <c r="W43" s="340"/>
      <c r="X43" s="340"/>
    </row>
    <row r="44" spans="1:25" s="236" customFormat="1" outlineLevel="1">
      <c r="A44" s="340"/>
      <c r="B44" s="341" t="s">
        <v>24</v>
      </c>
      <c r="C44" s="342"/>
      <c r="D44" s="343">
        <v>12004</v>
      </c>
      <c r="E44" s="343" t="s">
        <v>777</v>
      </c>
      <c r="F44" s="344"/>
      <c r="G44" s="344"/>
      <c r="H44" s="340"/>
      <c r="I44" s="340"/>
      <c r="J44" s="1630">
        <v>11904.11</v>
      </c>
      <c r="K44" s="1631"/>
      <c r="L44" s="1632">
        <v>0</v>
      </c>
      <c r="M44" s="1631"/>
      <c r="N44" s="1632">
        <v>0</v>
      </c>
      <c r="O44" s="1631"/>
      <c r="P44" s="1632">
        <f>J44+L44+N44</f>
        <v>11904.11</v>
      </c>
      <c r="Q44" s="1631"/>
      <c r="R44" s="1632">
        <v>11904.11</v>
      </c>
      <c r="S44" s="1632">
        <v>11904.11</v>
      </c>
      <c r="T44" s="1632">
        <f t="shared" si="8"/>
        <v>11904.11</v>
      </c>
      <c r="U44" s="1631"/>
      <c r="V44" s="1633">
        <f t="shared" si="9"/>
        <v>0</v>
      </c>
      <c r="W44" s="340"/>
      <c r="X44" s="340"/>
    </row>
    <row r="45" spans="1:25" s="236" customFormat="1" outlineLevel="1">
      <c r="A45" s="340"/>
      <c r="B45" s="341" t="s">
        <v>24</v>
      </c>
      <c r="C45" s="342"/>
      <c r="D45" s="343">
        <v>12005</v>
      </c>
      <c r="E45" s="343" t="s">
        <v>778</v>
      </c>
      <c r="F45" s="344"/>
      <c r="G45" s="344"/>
      <c r="H45" s="340"/>
      <c r="I45" s="340"/>
      <c r="J45" s="1630">
        <v>8607.5</v>
      </c>
      <c r="K45" s="1631"/>
      <c r="L45" s="1632">
        <v>0</v>
      </c>
      <c r="M45" s="1631"/>
      <c r="N45" s="1632">
        <v>0</v>
      </c>
      <c r="O45" s="1631"/>
      <c r="P45" s="1632">
        <f>J45+L45+N45</f>
        <v>8607.5</v>
      </c>
      <c r="Q45" s="1631"/>
      <c r="R45" s="1632">
        <v>8607.5</v>
      </c>
      <c r="S45" s="1632">
        <v>8607.5</v>
      </c>
      <c r="T45" s="1632">
        <f t="shared" si="8"/>
        <v>8607.5</v>
      </c>
      <c r="U45" s="1631"/>
      <c r="V45" s="1633">
        <f t="shared" si="9"/>
        <v>0</v>
      </c>
      <c r="W45" s="340"/>
      <c r="X45" s="340"/>
    </row>
    <row r="46" spans="1:25" s="236" customFormat="1" ht="5.0999999999999996" customHeight="1" outlineLevel="1">
      <c r="A46" s="342" t="s">
        <v>17</v>
      </c>
      <c r="B46" s="368" t="s">
        <v>17</v>
      </c>
      <c r="C46" s="368"/>
      <c r="D46" s="344"/>
      <c r="E46" s="344"/>
      <c r="F46" s="344"/>
      <c r="G46" s="344"/>
      <c r="H46" s="340"/>
      <c r="I46" s="340"/>
      <c r="J46" s="1637"/>
      <c r="K46" s="1631"/>
      <c r="L46" s="1638"/>
      <c r="M46" s="1631"/>
      <c r="N46" s="1638"/>
      <c r="O46" s="1631"/>
      <c r="P46" s="1638"/>
      <c r="Q46" s="1631"/>
      <c r="R46" s="1638"/>
      <c r="S46" s="1638"/>
      <c r="T46" s="1638"/>
      <c r="U46" s="1631"/>
      <c r="V46" s="1639"/>
      <c r="W46" s="340"/>
      <c r="X46" s="340"/>
      <c r="Y46" s="340"/>
    </row>
    <row r="47" spans="1:25" s="236" customFormat="1">
      <c r="A47" s="342" t="s">
        <v>774</v>
      </c>
      <c r="B47" s="342" t="s">
        <v>17</v>
      </c>
      <c r="C47" s="342"/>
      <c r="D47" s="340"/>
      <c r="E47" s="340"/>
      <c r="F47" s="343" t="s">
        <v>779</v>
      </c>
      <c r="G47" s="340"/>
      <c r="H47" s="340"/>
      <c r="I47" s="340"/>
      <c r="J47" s="1630">
        <f>SUM(J41:J46)</f>
        <v>213899.13</v>
      </c>
      <c r="K47" s="1631"/>
      <c r="L47" s="1632">
        <f>SUM(L41:L46)</f>
        <v>0</v>
      </c>
      <c r="M47" s="1631"/>
      <c r="N47" s="1632">
        <f>SUM(N41:N46)</f>
        <v>0</v>
      </c>
      <c r="O47" s="1631"/>
      <c r="P47" s="1632">
        <f t="shared" ref="P47" si="10">J47+L47+N47</f>
        <v>213899.13</v>
      </c>
      <c r="Q47" s="1631"/>
      <c r="R47" s="1632">
        <f>SUM(R41:R46)</f>
        <v>214379.87</v>
      </c>
      <c r="S47" s="1632">
        <f>SUM(S41:S46)</f>
        <v>193886.82</v>
      </c>
      <c r="T47" s="1632">
        <f>SUM(T41:T46)</f>
        <v>213899.13</v>
      </c>
      <c r="U47" s="1631"/>
      <c r="V47" s="1633">
        <f>SUM(V41:V46)</f>
        <v>20012.310000000001</v>
      </c>
      <c r="W47" s="340"/>
      <c r="X47" s="340"/>
      <c r="Y47" s="340"/>
    </row>
    <row r="48" spans="1:25" s="236" customFormat="1" outlineLevel="1">
      <c r="A48" s="340"/>
      <c r="B48" s="341" t="s">
        <v>780</v>
      </c>
      <c r="C48" s="342"/>
      <c r="D48" s="343">
        <v>13001</v>
      </c>
      <c r="E48" s="343" t="s">
        <v>781</v>
      </c>
      <c r="F48" s="344"/>
      <c r="G48" s="344"/>
      <c r="H48" s="340"/>
      <c r="I48" s="340"/>
      <c r="J48" s="1630">
        <v>35363.440000000002</v>
      </c>
      <c r="K48" s="1631"/>
      <c r="L48" s="1632">
        <v>0</v>
      </c>
      <c r="M48" s="1631"/>
      <c r="N48" s="1632">
        <v>0</v>
      </c>
      <c r="O48" s="1631"/>
      <c r="P48" s="1632">
        <f t="shared" ref="P48:P53" si="11">J48+L48+N48</f>
        <v>35363.440000000002</v>
      </c>
      <c r="Q48" s="1631"/>
      <c r="R48" s="1632">
        <v>43221.98</v>
      </c>
      <c r="S48" s="1632">
        <v>39292.71</v>
      </c>
      <c r="T48" s="1632">
        <f t="shared" ref="T48:T53" si="12">P48</f>
        <v>35363.440000000002</v>
      </c>
      <c r="U48" s="1631"/>
      <c r="V48" s="1633">
        <f t="shared" ref="V48:V53" si="13">T48-S48</f>
        <v>-3929.2699999999968</v>
      </c>
      <c r="W48" s="340"/>
      <c r="X48" s="340"/>
    </row>
    <row r="49" spans="1:25" s="236" customFormat="1" outlineLevel="1">
      <c r="A49" s="340"/>
      <c r="B49" s="341" t="s">
        <v>24</v>
      </c>
      <c r="C49" s="342"/>
      <c r="D49" s="343">
        <v>13002</v>
      </c>
      <c r="E49" s="343" t="s">
        <v>1135</v>
      </c>
      <c r="F49" s="344"/>
      <c r="G49" s="344"/>
      <c r="H49" s="340"/>
      <c r="I49" s="340"/>
      <c r="J49" s="1630">
        <v>562.5</v>
      </c>
      <c r="K49" s="1631"/>
      <c r="L49" s="1632">
        <v>0</v>
      </c>
      <c r="M49" s="1631"/>
      <c r="N49" s="1632">
        <v>0</v>
      </c>
      <c r="O49" s="1631"/>
      <c r="P49" s="1632">
        <f t="shared" si="11"/>
        <v>562.5</v>
      </c>
      <c r="Q49" s="1631"/>
      <c r="R49" s="1632">
        <v>750</v>
      </c>
      <c r="S49" s="1632">
        <v>656.25</v>
      </c>
      <c r="T49" s="1632">
        <f t="shared" si="12"/>
        <v>562.5</v>
      </c>
      <c r="U49" s="1631"/>
      <c r="V49" s="1633">
        <f t="shared" si="13"/>
        <v>-93.75</v>
      </c>
      <c r="W49" s="340"/>
      <c r="X49" s="340"/>
    </row>
    <row r="50" spans="1:25" s="236" customFormat="1" outlineLevel="1">
      <c r="A50" s="340"/>
      <c r="B50" s="341" t="s">
        <v>24</v>
      </c>
      <c r="C50" s="342"/>
      <c r="D50" s="343">
        <v>13003</v>
      </c>
      <c r="E50" s="343" t="s">
        <v>782</v>
      </c>
      <c r="F50" s="344"/>
      <c r="G50" s="344"/>
      <c r="H50" s="340"/>
      <c r="I50" s="340"/>
      <c r="J50" s="1630">
        <v>1312.03</v>
      </c>
      <c r="K50" s="1631"/>
      <c r="L50" s="1632">
        <v>0</v>
      </c>
      <c r="M50" s="1631"/>
      <c r="N50" s="1632">
        <v>0</v>
      </c>
      <c r="O50" s="1631"/>
      <c r="P50" s="1632">
        <f t="shared" si="11"/>
        <v>1312.03</v>
      </c>
      <c r="Q50" s="1631"/>
      <c r="R50" s="1632">
        <v>2186.69</v>
      </c>
      <c r="S50" s="1632">
        <v>1749.36</v>
      </c>
      <c r="T50" s="1632">
        <f t="shared" si="12"/>
        <v>1312.03</v>
      </c>
      <c r="U50" s="1631"/>
      <c r="V50" s="1633">
        <f t="shared" si="13"/>
        <v>-437.32999999999993</v>
      </c>
      <c r="W50" s="340"/>
      <c r="X50" s="340"/>
    </row>
    <row r="51" spans="1:25" s="236" customFormat="1" outlineLevel="1">
      <c r="A51" s="340"/>
      <c r="B51" s="341" t="s">
        <v>24</v>
      </c>
      <c r="C51" s="342"/>
      <c r="D51" s="343">
        <v>13004</v>
      </c>
      <c r="E51" s="343" t="s">
        <v>783</v>
      </c>
      <c r="F51" s="344"/>
      <c r="G51" s="344"/>
      <c r="H51" s="340"/>
      <c r="I51" s="340"/>
      <c r="J51" s="1630">
        <v>44221.03</v>
      </c>
      <c r="K51" s="1631"/>
      <c r="L51" s="1632">
        <v>0</v>
      </c>
      <c r="M51" s="1631"/>
      <c r="N51" s="1632">
        <v>0</v>
      </c>
      <c r="O51" s="1631"/>
      <c r="P51" s="1632">
        <f t="shared" si="11"/>
        <v>44221.03</v>
      </c>
      <c r="Q51" s="1631"/>
      <c r="R51" s="1632">
        <v>7381.42</v>
      </c>
      <c r="S51" s="1632">
        <v>11816.52</v>
      </c>
      <c r="T51" s="1632">
        <f t="shared" si="12"/>
        <v>44221.03</v>
      </c>
      <c r="U51" s="1631"/>
      <c r="V51" s="1633">
        <f t="shared" si="13"/>
        <v>32404.51</v>
      </c>
      <c r="W51" s="340"/>
      <c r="X51" s="340"/>
    </row>
    <row r="52" spans="1:25" s="236" customFormat="1" outlineLevel="1">
      <c r="A52" s="340"/>
      <c r="B52" s="341" t="s">
        <v>24</v>
      </c>
      <c r="C52" s="342"/>
      <c r="D52" s="343">
        <v>13007</v>
      </c>
      <c r="E52" s="343" t="s">
        <v>1136</v>
      </c>
      <c r="F52" s="344"/>
      <c r="G52" s="344"/>
      <c r="H52" s="340"/>
      <c r="I52" s="340"/>
      <c r="J52" s="1630">
        <v>1197</v>
      </c>
      <c r="K52" s="1631"/>
      <c r="L52" s="1632">
        <v>0</v>
      </c>
      <c r="M52" s="1631"/>
      <c r="N52" s="1632">
        <v>0</v>
      </c>
      <c r="O52" s="1631"/>
      <c r="P52" s="1632">
        <f t="shared" si="11"/>
        <v>1197</v>
      </c>
      <c r="Q52" s="1631"/>
      <c r="R52" s="1632">
        <v>1995</v>
      </c>
      <c r="S52" s="1632">
        <v>1596</v>
      </c>
      <c r="T52" s="1632">
        <f t="shared" si="12"/>
        <v>1197</v>
      </c>
      <c r="U52" s="1631"/>
      <c r="V52" s="1633">
        <f t="shared" si="13"/>
        <v>-399</v>
      </c>
      <c r="W52" s="340"/>
      <c r="X52" s="340"/>
    </row>
    <row r="53" spans="1:25" s="236" customFormat="1" outlineLevel="1">
      <c r="A53" s="340"/>
      <c r="B53" s="341" t="s">
        <v>24</v>
      </c>
      <c r="C53" s="342"/>
      <c r="D53" s="343">
        <v>13008</v>
      </c>
      <c r="E53" s="343" t="s">
        <v>784</v>
      </c>
      <c r="F53" s="344"/>
      <c r="G53" s="344"/>
      <c r="H53" s="340"/>
      <c r="I53" s="340"/>
      <c r="J53" s="1630">
        <v>49219.839999999997</v>
      </c>
      <c r="K53" s="1631"/>
      <c r="L53" s="1632">
        <v>0</v>
      </c>
      <c r="M53" s="1631"/>
      <c r="N53" s="1632">
        <v>0</v>
      </c>
      <c r="O53" s="1631"/>
      <c r="P53" s="1632">
        <f t="shared" si="11"/>
        <v>49219.839999999997</v>
      </c>
      <c r="Q53" s="1631"/>
      <c r="R53" s="1632">
        <v>53071.27</v>
      </c>
      <c r="S53" s="1632">
        <v>50979.82</v>
      </c>
      <c r="T53" s="1632">
        <f t="shared" si="12"/>
        <v>49219.839999999997</v>
      </c>
      <c r="U53" s="1631"/>
      <c r="V53" s="1633">
        <f t="shared" si="13"/>
        <v>-1759.9800000000032</v>
      </c>
      <c r="W53" s="340"/>
      <c r="X53" s="340"/>
    </row>
    <row r="54" spans="1:25" s="236" customFormat="1" ht="3.75" customHeight="1" outlineLevel="1">
      <c r="A54" s="342" t="s">
        <v>17</v>
      </c>
      <c r="B54" s="368" t="s">
        <v>17</v>
      </c>
      <c r="C54" s="368"/>
      <c r="D54" s="344"/>
      <c r="E54" s="344"/>
      <c r="F54" s="344"/>
      <c r="G54" s="344"/>
      <c r="H54" s="340"/>
      <c r="I54" s="340"/>
      <c r="J54" s="1637"/>
      <c r="K54" s="1631"/>
      <c r="L54" s="1638"/>
      <c r="M54" s="1631"/>
      <c r="N54" s="1638"/>
      <c r="O54" s="1631"/>
      <c r="P54" s="1638"/>
      <c r="Q54" s="1631"/>
      <c r="R54" s="1638"/>
      <c r="S54" s="1638"/>
      <c r="T54" s="1638"/>
      <c r="U54" s="1631"/>
      <c r="V54" s="1639"/>
      <c r="W54" s="340"/>
      <c r="X54" s="340"/>
      <c r="Y54" s="340"/>
    </row>
    <row r="55" spans="1:25" s="236" customFormat="1">
      <c r="A55" s="342" t="s">
        <v>780</v>
      </c>
      <c r="B55" s="342" t="s">
        <v>17</v>
      </c>
      <c r="C55" s="342"/>
      <c r="D55" s="340"/>
      <c r="E55" s="340"/>
      <c r="F55" s="343" t="s">
        <v>785</v>
      </c>
      <c r="G55" s="340"/>
      <c r="H55" s="340"/>
      <c r="I55" s="340"/>
      <c r="J55" s="1630">
        <f>SUM(J48:J54)</f>
        <v>131875.84</v>
      </c>
      <c r="K55" s="1631"/>
      <c r="L55" s="1632">
        <f>SUM(L48:L54)</f>
        <v>0</v>
      </c>
      <c r="M55" s="1631"/>
      <c r="N55" s="1632">
        <f>SUM(N48:N54)</f>
        <v>0</v>
      </c>
      <c r="O55" s="1631"/>
      <c r="P55" s="1632">
        <f>J55+L55+N55</f>
        <v>131875.84</v>
      </c>
      <c r="Q55" s="1631"/>
      <c r="R55" s="1632">
        <f>SUM(R48:R54)</f>
        <v>108606.36</v>
      </c>
      <c r="S55" s="1632">
        <f>SUM(S48:S54)</f>
        <v>106090.66</v>
      </c>
      <c r="T55" s="1632">
        <f>SUM(T48:T54)</f>
        <v>131875.84</v>
      </c>
      <c r="U55" s="1631"/>
      <c r="V55" s="1633">
        <f>SUM(V48:V54)</f>
        <v>25785.18</v>
      </c>
      <c r="W55" s="340"/>
      <c r="X55" s="340"/>
      <c r="Y55" s="340"/>
    </row>
    <row r="56" spans="1:25" s="236" customFormat="1" outlineLevel="1">
      <c r="A56" s="340"/>
      <c r="B56" s="341" t="s">
        <v>786</v>
      </c>
      <c r="C56" s="342"/>
      <c r="D56" s="343"/>
      <c r="E56" s="343"/>
      <c r="F56" s="344"/>
      <c r="G56" s="344"/>
      <c r="H56" s="340"/>
      <c r="I56" s="340"/>
      <c r="J56" s="1630"/>
      <c r="K56" s="1631"/>
      <c r="L56" s="1632"/>
      <c r="M56" s="1631"/>
      <c r="N56" s="1632"/>
      <c r="O56" s="1631"/>
      <c r="P56" s="1632">
        <f>J56+L56+N56</f>
        <v>0</v>
      </c>
      <c r="Q56" s="1631"/>
      <c r="R56" s="1632"/>
      <c r="S56" s="1632"/>
      <c r="T56" s="1632">
        <f>P56</f>
        <v>0</v>
      </c>
      <c r="U56" s="1631"/>
      <c r="V56" s="1633">
        <f>T56-S56</f>
        <v>0</v>
      </c>
      <c r="W56" s="340"/>
      <c r="X56" s="340"/>
    </row>
    <row r="57" spans="1:25" s="236" customFormat="1" ht="3.75" customHeight="1" outlineLevel="1">
      <c r="A57" s="342" t="s">
        <v>17</v>
      </c>
      <c r="B57" s="368" t="s">
        <v>17</v>
      </c>
      <c r="C57" s="368"/>
      <c r="D57" s="344"/>
      <c r="E57" s="344"/>
      <c r="F57" s="344"/>
      <c r="G57" s="344"/>
      <c r="H57" s="340"/>
      <c r="I57" s="340"/>
      <c r="J57" s="1637"/>
      <c r="K57" s="1631"/>
      <c r="L57" s="1638"/>
      <c r="M57" s="1631"/>
      <c r="N57" s="1638"/>
      <c r="O57" s="1631"/>
      <c r="P57" s="1638"/>
      <c r="Q57" s="1631"/>
      <c r="R57" s="1638"/>
      <c r="S57" s="1638"/>
      <c r="T57" s="1638"/>
      <c r="U57" s="1631"/>
      <c r="V57" s="1639"/>
      <c r="W57" s="340"/>
      <c r="X57" s="340"/>
      <c r="Y57" s="340"/>
    </row>
    <row r="58" spans="1:25" s="236" customFormat="1">
      <c r="A58" s="342" t="s">
        <v>786</v>
      </c>
      <c r="B58" s="342" t="s">
        <v>17</v>
      </c>
      <c r="C58" s="342"/>
      <c r="D58" s="340"/>
      <c r="E58" s="340"/>
      <c r="F58" s="343" t="s">
        <v>787</v>
      </c>
      <c r="G58" s="340"/>
      <c r="H58" s="340"/>
      <c r="I58" s="340"/>
      <c r="J58" s="1630">
        <f>SUM(J56:J57)</f>
        <v>0</v>
      </c>
      <c r="K58" s="1631"/>
      <c r="L58" s="1632">
        <f>SUM(L56:L57)</f>
        <v>0</v>
      </c>
      <c r="M58" s="1631"/>
      <c r="N58" s="1632">
        <f>SUM(N56:N57)</f>
        <v>0</v>
      </c>
      <c r="O58" s="1631"/>
      <c r="P58" s="1632">
        <f>J58+L58+N58</f>
        <v>0</v>
      </c>
      <c r="Q58" s="1631"/>
      <c r="R58" s="1632">
        <f>SUM(R56:R57)</f>
        <v>0</v>
      </c>
      <c r="S58" s="1632">
        <f>SUM(S56:S57)</f>
        <v>0</v>
      </c>
      <c r="T58" s="1632">
        <f>SUM(T56:T57)</f>
        <v>0</v>
      </c>
      <c r="U58" s="1631"/>
      <c r="V58" s="1633">
        <f>SUM(V56:V57)</f>
        <v>0</v>
      </c>
      <c r="W58" s="340"/>
      <c r="X58" s="340"/>
      <c r="Y58" s="340"/>
    </row>
    <row r="59" spans="1:25" s="236" customFormat="1" ht="7.5" customHeight="1">
      <c r="A59" s="368" t="s">
        <v>17</v>
      </c>
      <c r="B59" s="368" t="s">
        <v>17</v>
      </c>
      <c r="C59" s="368"/>
      <c r="D59" s="340"/>
      <c r="E59" s="340"/>
      <c r="F59" s="340"/>
      <c r="G59" s="340"/>
      <c r="H59" s="340"/>
      <c r="I59" s="340"/>
      <c r="J59" s="1630"/>
      <c r="K59" s="1631"/>
      <c r="L59" s="1632"/>
      <c r="M59" s="1631"/>
      <c r="N59" s="1632"/>
      <c r="O59" s="1631"/>
      <c r="P59" s="1632"/>
      <c r="Q59" s="1631"/>
      <c r="R59" s="1632"/>
      <c r="S59" s="1632"/>
      <c r="T59" s="1632"/>
      <c r="U59" s="1631"/>
      <c r="V59" s="1633"/>
      <c r="W59" s="340"/>
      <c r="X59" s="340"/>
      <c r="Y59" s="340"/>
    </row>
    <row r="60" spans="1:25" s="236" customFormat="1">
      <c r="A60" s="342" t="s">
        <v>17</v>
      </c>
      <c r="B60" s="368" t="s">
        <v>17</v>
      </c>
      <c r="C60" s="368"/>
      <c r="D60" s="340"/>
      <c r="E60" s="369" t="s">
        <v>788</v>
      </c>
      <c r="F60" s="340"/>
      <c r="G60" s="340"/>
      <c r="H60" s="340"/>
      <c r="I60" s="340"/>
      <c r="J60" s="1640">
        <f>SUM(J29,J40,J47,J55,J58)</f>
        <v>2315373.69</v>
      </c>
      <c r="K60" s="1631"/>
      <c r="L60" s="1641">
        <f>SUM(L29,L40,L47,L55,L58)</f>
        <v>0</v>
      </c>
      <c r="M60" s="1631"/>
      <c r="N60" s="1641">
        <f>SUM(N29,N40,N47,N55,N58)</f>
        <v>0</v>
      </c>
      <c r="O60" s="1631"/>
      <c r="P60" s="1641">
        <f>SUM(P29,P40,P47,P55,P58)</f>
        <v>2315373.69</v>
      </c>
      <c r="Q60" s="1631"/>
      <c r="R60" s="1641">
        <f>SUM(R29,R40,R47,R55,R58)</f>
        <v>2497318.3599999994</v>
      </c>
      <c r="S60" s="1641">
        <f>SUM(S29,S40,S47,S55,S58)</f>
        <v>2353819.1500000004</v>
      </c>
      <c r="T60" s="1641">
        <f>SUM(T29,T40,T47,T55,T58)</f>
        <v>2315373.69</v>
      </c>
      <c r="U60" s="1631"/>
      <c r="V60" s="1642">
        <f>SUM(V29,V40,V47,V55,V58)</f>
        <v>-38445.460000000014</v>
      </c>
      <c r="W60" s="340"/>
      <c r="X60" s="340"/>
      <c r="Y60" s="340"/>
    </row>
    <row r="61" spans="1:25" s="236" customFormat="1" ht="7.5" customHeight="1">
      <c r="A61" s="368" t="s">
        <v>17</v>
      </c>
      <c r="B61" s="368" t="s">
        <v>17</v>
      </c>
      <c r="C61" s="368"/>
      <c r="D61" s="340"/>
      <c r="E61" s="340"/>
      <c r="F61" s="340"/>
      <c r="G61" s="340"/>
      <c r="H61" s="340"/>
      <c r="I61" s="340"/>
      <c r="J61" s="1630"/>
      <c r="K61" s="1631"/>
      <c r="L61" s="1632"/>
      <c r="M61" s="1631"/>
      <c r="N61" s="1632"/>
      <c r="O61" s="1631"/>
      <c r="P61" s="1632"/>
      <c r="Q61" s="1631"/>
      <c r="R61" s="1632"/>
      <c r="S61" s="1632"/>
      <c r="T61" s="1632"/>
      <c r="U61" s="1631"/>
      <c r="V61" s="1633"/>
      <c r="W61" s="340"/>
      <c r="X61" s="340"/>
      <c r="Y61" s="340"/>
    </row>
    <row r="62" spans="1:25" s="236" customFormat="1" outlineLevel="1">
      <c r="A62" s="368" t="s">
        <v>17</v>
      </c>
      <c r="B62" s="368" t="s">
        <v>17</v>
      </c>
      <c r="C62" s="368"/>
      <c r="D62" s="340"/>
      <c r="E62" s="340"/>
      <c r="F62" s="340"/>
      <c r="G62" s="340"/>
      <c r="H62" s="340"/>
      <c r="I62" s="340"/>
      <c r="J62" s="1630"/>
      <c r="K62" s="1631"/>
      <c r="L62" s="1632"/>
      <c r="M62" s="1631"/>
      <c r="N62" s="1632"/>
      <c r="O62" s="1631"/>
      <c r="P62" s="1632"/>
      <c r="Q62" s="1631"/>
      <c r="R62" s="1632"/>
      <c r="S62" s="1632"/>
      <c r="T62" s="1632"/>
      <c r="U62" s="1631"/>
      <c r="V62" s="1633"/>
      <c r="W62" s="340"/>
      <c r="X62" s="340"/>
      <c r="Y62" s="340"/>
    </row>
    <row r="63" spans="1:25" s="236" customFormat="1" outlineLevel="1">
      <c r="A63" s="340"/>
      <c r="B63" s="341" t="s">
        <v>789</v>
      </c>
      <c r="C63" s="342"/>
      <c r="D63" s="343">
        <v>14002</v>
      </c>
      <c r="E63" s="343" t="s">
        <v>1129</v>
      </c>
      <c r="F63" s="344"/>
      <c r="G63" s="344"/>
      <c r="H63" s="340"/>
      <c r="I63" s="340"/>
      <c r="J63" s="1630">
        <v>410740</v>
      </c>
      <c r="K63" s="1631"/>
      <c r="L63" s="1632">
        <v>0</v>
      </c>
      <c r="M63" s="1631"/>
      <c r="N63" s="1632">
        <v>0</v>
      </c>
      <c r="O63" s="1631"/>
      <c r="P63" s="1632">
        <f t="shared" ref="P63:P101" si="14">J63+L63+N63</f>
        <v>410740</v>
      </c>
      <c r="Q63" s="1631"/>
      <c r="R63" s="1632">
        <v>410740</v>
      </c>
      <c r="S63" s="1632">
        <v>410740</v>
      </c>
      <c r="T63" s="1632">
        <f t="shared" ref="T63:T101" si="15">P63</f>
        <v>410740</v>
      </c>
      <c r="U63" s="1631"/>
      <c r="V63" s="1633">
        <f t="shared" ref="V63:V101" si="16">T63-S63</f>
        <v>0</v>
      </c>
      <c r="W63" s="340"/>
      <c r="X63" s="340"/>
    </row>
    <row r="64" spans="1:25" s="236" customFormat="1" outlineLevel="1">
      <c r="A64" s="340"/>
      <c r="B64" s="341" t="s">
        <v>24</v>
      </c>
      <c r="C64" s="342"/>
      <c r="D64" s="343">
        <v>14004</v>
      </c>
      <c r="E64" s="343" t="s">
        <v>1130</v>
      </c>
      <c r="F64" s="344"/>
      <c r="G64" s="344"/>
      <c r="H64" s="340"/>
      <c r="I64" s="340"/>
      <c r="J64" s="1630">
        <v>-17406.080000000002</v>
      </c>
      <c r="K64" s="1631"/>
      <c r="L64" s="1632">
        <v>0</v>
      </c>
      <c r="M64" s="1631"/>
      <c r="N64" s="1632">
        <v>0</v>
      </c>
      <c r="O64" s="1631"/>
      <c r="P64" s="1632">
        <f t="shared" si="14"/>
        <v>-17406.080000000002</v>
      </c>
      <c r="Q64" s="1631"/>
      <c r="R64" s="1632">
        <v>-17406.080000000002</v>
      </c>
      <c r="S64" s="1632">
        <v>-17406.080000000002</v>
      </c>
      <c r="T64" s="1632">
        <f t="shared" si="15"/>
        <v>-17406.080000000002</v>
      </c>
      <c r="U64" s="1631"/>
      <c r="V64" s="1633">
        <f t="shared" si="16"/>
        <v>0</v>
      </c>
      <c r="W64" s="340"/>
      <c r="X64" s="340"/>
    </row>
    <row r="65" spans="1:24" s="236" customFormat="1" outlineLevel="1">
      <c r="A65" s="340"/>
      <c r="B65" s="341" t="s">
        <v>24</v>
      </c>
      <c r="C65" s="342"/>
      <c r="D65" s="343">
        <v>14011</v>
      </c>
      <c r="E65" s="343" t="s">
        <v>790</v>
      </c>
      <c r="F65" s="344"/>
      <c r="G65" s="344"/>
      <c r="H65" s="340"/>
      <c r="I65" s="340"/>
      <c r="J65" s="1630">
        <v>390832.85</v>
      </c>
      <c r="K65" s="1631"/>
      <c r="L65" s="1632">
        <v>0</v>
      </c>
      <c r="M65" s="1631"/>
      <c r="N65" s="1632">
        <v>0</v>
      </c>
      <c r="O65" s="1631"/>
      <c r="P65" s="1632">
        <f t="shared" si="14"/>
        <v>390832.85</v>
      </c>
      <c r="Q65" s="1631"/>
      <c r="R65" s="1632">
        <v>390832.85</v>
      </c>
      <c r="S65" s="1632">
        <v>390832.85</v>
      </c>
      <c r="T65" s="1632">
        <f t="shared" si="15"/>
        <v>390832.85</v>
      </c>
      <c r="U65" s="1631"/>
      <c r="V65" s="1633">
        <f t="shared" si="16"/>
        <v>0</v>
      </c>
      <c r="W65" s="340"/>
      <c r="X65" s="340"/>
    </row>
    <row r="66" spans="1:24" s="236" customFormat="1" outlineLevel="1">
      <c r="A66" s="340"/>
      <c r="B66" s="341" t="s">
        <v>24</v>
      </c>
      <c r="C66" s="342"/>
      <c r="D66" s="343">
        <v>14016</v>
      </c>
      <c r="E66" s="343" t="s">
        <v>791</v>
      </c>
      <c r="F66" s="344"/>
      <c r="G66" s="344"/>
      <c r="H66" s="340"/>
      <c r="I66" s="340"/>
      <c r="J66" s="1630">
        <v>-292084.28000000003</v>
      </c>
      <c r="K66" s="1631"/>
      <c r="L66" s="1632">
        <v>0</v>
      </c>
      <c r="M66" s="1631"/>
      <c r="N66" s="1632">
        <v>0</v>
      </c>
      <c r="O66" s="1631"/>
      <c r="P66" s="1632">
        <f t="shared" si="14"/>
        <v>-292084.28000000003</v>
      </c>
      <c r="Q66" s="1631"/>
      <c r="R66" s="1632">
        <v>-285566.19</v>
      </c>
      <c r="S66" s="1632">
        <v>-288825.25</v>
      </c>
      <c r="T66" s="1632">
        <f t="shared" si="15"/>
        <v>-292084.28000000003</v>
      </c>
      <c r="U66" s="1631"/>
      <c r="V66" s="1633">
        <f t="shared" si="16"/>
        <v>-3259.0300000000279</v>
      </c>
      <c r="W66" s="340"/>
      <c r="X66" s="340"/>
    </row>
    <row r="67" spans="1:24" s="236" customFormat="1" outlineLevel="1">
      <c r="A67" s="340"/>
      <c r="B67" s="341" t="s">
        <v>24</v>
      </c>
      <c r="C67" s="342"/>
      <c r="D67" s="343">
        <v>14031</v>
      </c>
      <c r="E67" s="343" t="s">
        <v>792</v>
      </c>
      <c r="F67" s="344"/>
      <c r="G67" s="344"/>
      <c r="H67" s="340"/>
      <c r="I67" s="340"/>
      <c r="J67" s="1630">
        <v>49408.639999999999</v>
      </c>
      <c r="K67" s="1631"/>
      <c r="L67" s="1632">
        <v>0</v>
      </c>
      <c r="M67" s="1631"/>
      <c r="N67" s="1632">
        <v>0</v>
      </c>
      <c r="O67" s="1631"/>
      <c r="P67" s="1632">
        <f t="shared" si="14"/>
        <v>49408.639999999999</v>
      </c>
      <c r="Q67" s="1631"/>
      <c r="R67" s="1632">
        <v>49408.639999999999</v>
      </c>
      <c r="S67" s="1632">
        <v>49408.639999999999</v>
      </c>
      <c r="T67" s="1632">
        <f t="shared" si="15"/>
        <v>49408.639999999999</v>
      </c>
      <c r="U67" s="1631"/>
      <c r="V67" s="1633">
        <f t="shared" si="16"/>
        <v>0</v>
      </c>
      <c r="W67" s="340"/>
      <c r="X67" s="340"/>
    </row>
    <row r="68" spans="1:24" s="236" customFormat="1" outlineLevel="1">
      <c r="A68" s="340"/>
      <c r="B68" s="341" t="s">
        <v>24</v>
      </c>
      <c r="C68" s="342"/>
      <c r="D68" s="343">
        <v>14033</v>
      </c>
      <c r="E68" s="343" t="s">
        <v>2049</v>
      </c>
      <c r="F68" s="344"/>
      <c r="G68" s="344"/>
      <c r="H68" s="340"/>
      <c r="I68" s="340"/>
      <c r="J68" s="1630">
        <v>73923.73</v>
      </c>
      <c r="K68" s="1631"/>
      <c r="L68" s="1632">
        <v>0</v>
      </c>
      <c r="M68" s="1631"/>
      <c r="N68" s="1632">
        <v>0</v>
      </c>
      <c r="O68" s="1631"/>
      <c r="P68" s="1632">
        <f t="shared" si="14"/>
        <v>73923.73</v>
      </c>
      <c r="Q68" s="1631"/>
      <c r="R68" s="1632">
        <v>73923.73</v>
      </c>
      <c r="S68" s="1632">
        <v>73923.73</v>
      </c>
      <c r="T68" s="1632">
        <f t="shared" si="15"/>
        <v>73923.73</v>
      </c>
      <c r="U68" s="1631"/>
      <c r="V68" s="1633">
        <f t="shared" si="16"/>
        <v>0</v>
      </c>
      <c r="W68" s="340"/>
      <c r="X68" s="340"/>
    </row>
    <row r="69" spans="1:24" s="236" customFormat="1" outlineLevel="1">
      <c r="A69" s="340"/>
      <c r="B69" s="341" t="s">
        <v>24</v>
      </c>
      <c r="C69" s="342"/>
      <c r="D69" s="343">
        <v>14036</v>
      </c>
      <c r="E69" s="343" t="s">
        <v>793</v>
      </c>
      <c r="F69" s="344"/>
      <c r="G69" s="344"/>
      <c r="H69" s="340"/>
      <c r="I69" s="340"/>
      <c r="J69" s="1630">
        <v>-13042.76</v>
      </c>
      <c r="K69" s="1631"/>
      <c r="L69" s="1632">
        <v>0</v>
      </c>
      <c r="M69" s="1631"/>
      <c r="N69" s="1632">
        <v>0</v>
      </c>
      <c r="O69" s="1631"/>
      <c r="P69" s="1632">
        <f t="shared" si="14"/>
        <v>-13042.76</v>
      </c>
      <c r="Q69" s="1631"/>
      <c r="R69" s="1632">
        <v>-12399.11</v>
      </c>
      <c r="S69" s="1632">
        <v>-12720.93</v>
      </c>
      <c r="T69" s="1632">
        <f t="shared" si="15"/>
        <v>-13042.76</v>
      </c>
      <c r="U69" s="1631"/>
      <c r="V69" s="1633">
        <f t="shared" si="16"/>
        <v>-321.82999999999993</v>
      </c>
      <c r="W69" s="340"/>
      <c r="X69" s="340"/>
    </row>
    <row r="70" spans="1:24" s="236" customFormat="1" outlineLevel="1">
      <c r="A70" s="340"/>
      <c r="B70" s="341" t="s">
        <v>24</v>
      </c>
      <c r="C70" s="342"/>
      <c r="D70" s="343">
        <v>14037</v>
      </c>
      <c r="E70" s="343" t="s">
        <v>2049</v>
      </c>
      <c r="F70" s="344"/>
      <c r="G70" s="344"/>
      <c r="H70" s="340"/>
      <c r="I70" s="340"/>
      <c r="J70" s="1630">
        <v>-73923.73</v>
      </c>
      <c r="K70" s="1631"/>
      <c r="L70" s="1632">
        <v>0</v>
      </c>
      <c r="M70" s="1631"/>
      <c r="N70" s="1632">
        <v>0</v>
      </c>
      <c r="O70" s="1631"/>
      <c r="P70" s="1632">
        <f t="shared" si="14"/>
        <v>-73923.73</v>
      </c>
      <c r="Q70" s="1631"/>
      <c r="R70" s="1632">
        <v>-73923.73</v>
      </c>
      <c r="S70" s="1632">
        <v>-73923.73</v>
      </c>
      <c r="T70" s="1632">
        <f t="shared" si="15"/>
        <v>-73923.73</v>
      </c>
      <c r="U70" s="1631"/>
      <c r="V70" s="1633">
        <f t="shared" si="16"/>
        <v>0</v>
      </c>
      <c r="W70" s="340"/>
      <c r="X70" s="340"/>
    </row>
    <row r="71" spans="1:24" s="236" customFormat="1" outlineLevel="1">
      <c r="A71" s="340"/>
      <c r="B71" s="341" t="s">
        <v>24</v>
      </c>
      <c r="C71" s="342"/>
      <c r="D71" s="343">
        <v>14041</v>
      </c>
      <c r="E71" s="343" t="s">
        <v>794</v>
      </c>
      <c r="F71" s="344"/>
      <c r="G71" s="344"/>
      <c r="H71" s="340"/>
      <c r="I71" s="340"/>
      <c r="J71" s="1630">
        <v>11649956.300000001</v>
      </c>
      <c r="K71" s="1631"/>
      <c r="L71" s="1632">
        <v>0</v>
      </c>
      <c r="M71" s="1631"/>
      <c r="N71" s="1632">
        <v>0</v>
      </c>
      <c r="O71" s="1631"/>
      <c r="P71" s="1632">
        <f t="shared" si="14"/>
        <v>11649956.300000001</v>
      </c>
      <c r="Q71" s="1631"/>
      <c r="R71" s="1632">
        <v>11649956.300000001</v>
      </c>
      <c r="S71" s="1632">
        <v>11649956.300000001</v>
      </c>
      <c r="T71" s="1632">
        <f t="shared" si="15"/>
        <v>11649956.300000001</v>
      </c>
      <c r="U71" s="1631"/>
      <c r="V71" s="1633">
        <f t="shared" si="16"/>
        <v>0</v>
      </c>
      <c r="W71" s="340"/>
      <c r="X71" s="340"/>
    </row>
    <row r="72" spans="1:24" s="236" customFormat="1" outlineLevel="1">
      <c r="A72" s="340"/>
      <c r="B72" s="341" t="s">
        <v>24</v>
      </c>
      <c r="C72" s="342"/>
      <c r="D72" s="343">
        <v>14042</v>
      </c>
      <c r="E72" s="343" t="s">
        <v>1131</v>
      </c>
      <c r="F72" s="344"/>
      <c r="G72" s="344"/>
      <c r="H72" s="340"/>
      <c r="I72" s="340"/>
      <c r="J72" s="1630">
        <v>1341075</v>
      </c>
      <c r="K72" s="1631"/>
      <c r="L72" s="1632">
        <v>0</v>
      </c>
      <c r="M72" s="1631"/>
      <c r="N72" s="1632">
        <v>0</v>
      </c>
      <c r="O72" s="1631"/>
      <c r="P72" s="1632">
        <f t="shared" si="14"/>
        <v>1341075</v>
      </c>
      <c r="Q72" s="1631"/>
      <c r="R72" s="1632">
        <v>1341075</v>
      </c>
      <c r="S72" s="1632">
        <v>1341075</v>
      </c>
      <c r="T72" s="1632">
        <f t="shared" si="15"/>
        <v>1341075</v>
      </c>
      <c r="U72" s="1631"/>
      <c r="V72" s="1633">
        <f t="shared" si="16"/>
        <v>0</v>
      </c>
      <c r="W72" s="340"/>
      <c r="X72" s="340"/>
    </row>
    <row r="73" spans="1:24" s="236" customFormat="1" outlineLevel="1">
      <c r="A73" s="340"/>
      <c r="B73" s="341" t="s">
        <v>24</v>
      </c>
      <c r="C73" s="342"/>
      <c r="D73" s="343">
        <v>14043</v>
      </c>
      <c r="E73" s="343" t="s">
        <v>795</v>
      </c>
      <c r="F73" s="344"/>
      <c r="G73" s="344"/>
      <c r="H73" s="340"/>
      <c r="I73" s="340"/>
      <c r="J73" s="1630">
        <v>1567115.8</v>
      </c>
      <c r="K73" s="1631"/>
      <c r="L73" s="1632">
        <v>0</v>
      </c>
      <c r="M73" s="1631"/>
      <c r="N73" s="1632">
        <v>0</v>
      </c>
      <c r="O73" s="1631"/>
      <c r="P73" s="1632">
        <f t="shared" si="14"/>
        <v>1567115.8</v>
      </c>
      <c r="Q73" s="1631"/>
      <c r="R73" s="1632">
        <v>1567115.8</v>
      </c>
      <c r="S73" s="1632">
        <v>1567115.8</v>
      </c>
      <c r="T73" s="1632">
        <f t="shared" si="15"/>
        <v>1567115.8</v>
      </c>
      <c r="U73" s="1631"/>
      <c r="V73" s="1633">
        <f t="shared" si="16"/>
        <v>0</v>
      </c>
      <c r="W73" s="340"/>
      <c r="X73" s="340"/>
    </row>
    <row r="74" spans="1:24" s="236" customFormat="1" outlineLevel="1">
      <c r="A74" s="340"/>
      <c r="B74" s="341" t="s">
        <v>24</v>
      </c>
      <c r="C74" s="342"/>
      <c r="D74" s="343">
        <v>14044</v>
      </c>
      <c r="E74" s="343" t="s">
        <v>796</v>
      </c>
      <c r="F74" s="344"/>
      <c r="G74" s="344"/>
      <c r="H74" s="340"/>
      <c r="I74" s="340"/>
      <c r="J74" s="1630">
        <v>-1927897.85</v>
      </c>
      <c r="K74" s="1631"/>
      <c r="L74" s="1632">
        <v>0</v>
      </c>
      <c r="M74" s="1631"/>
      <c r="N74" s="1632">
        <v>0</v>
      </c>
      <c r="O74" s="1631"/>
      <c r="P74" s="1632">
        <f t="shared" si="14"/>
        <v>-1927897.85</v>
      </c>
      <c r="Q74" s="1631"/>
      <c r="R74" s="1632">
        <v>-1927897.85</v>
      </c>
      <c r="S74" s="1632">
        <v>-1927897.85</v>
      </c>
      <c r="T74" s="1632">
        <f t="shared" si="15"/>
        <v>-1927897.85</v>
      </c>
      <c r="U74" s="1631"/>
      <c r="V74" s="1633">
        <f t="shared" si="16"/>
        <v>0</v>
      </c>
      <c r="W74" s="340"/>
      <c r="X74" s="340"/>
    </row>
    <row r="75" spans="1:24" s="236" customFormat="1" outlineLevel="1">
      <c r="A75" s="340"/>
      <c r="B75" s="341" t="s">
        <v>24</v>
      </c>
      <c r="C75" s="342"/>
      <c r="D75" s="343">
        <v>14046</v>
      </c>
      <c r="E75" s="343" t="s">
        <v>797</v>
      </c>
      <c r="F75" s="344"/>
      <c r="G75" s="344"/>
      <c r="H75" s="340"/>
      <c r="I75" s="340"/>
      <c r="J75" s="1630">
        <v>-7757856.9100000001</v>
      </c>
      <c r="K75" s="1631"/>
      <c r="L75" s="1632">
        <v>0</v>
      </c>
      <c r="M75" s="1631"/>
      <c r="N75" s="1632">
        <v>0</v>
      </c>
      <c r="O75" s="1631"/>
      <c r="P75" s="1632">
        <f t="shared" si="14"/>
        <v>-7757856.9100000001</v>
      </c>
      <c r="Q75" s="1631"/>
      <c r="R75" s="1632">
        <v>-7597260.9199999999</v>
      </c>
      <c r="S75" s="1632">
        <v>-7677558.9100000001</v>
      </c>
      <c r="T75" s="1632">
        <f t="shared" si="15"/>
        <v>-7757856.9100000001</v>
      </c>
      <c r="U75" s="1631"/>
      <c r="V75" s="1633">
        <f t="shared" si="16"/>
        <v>-80298</v>
      </c>
      <c r="W75" s="340"/>
      <c r="X75" s="340"/>
    </row>
    <row r="76" spans="1:24" s="236" customFormat="1" outlineLevel="1">
      <c r="A76" s="340"/>
      <c r="B76" s="341" t="s">
        <v>24</v>
      </c>
      <c r="C76" s="342"/>
      <c r="D76" s="343">
        <v>14047</v>
      </c>
      <c r="E76" s="343" t="s">
        <v>795</v>
      </c>
      <c r="F76" s="344"/>
      <c r="G76" s="344"/>
      <c r="H76" s="340"/>
      <c r="I76" s="340"/>
      <c r="J76" s="1630">
        <v>-1364798.56</v>
      </c>
      <c r="K76" s="1631"/>
      <c r="L76" s="1632">
        <v>0</v>
      </c>
      <c r="M76" s="1631"/>
      <c r="N76" s="1632">
        <v>0</v>
      </c>
      <c r="O76" s="1631"/>
      <c r="P76" s="1632">
        <f t="shared" si="14"/>
        <v>-1364798.56</v>
      </c>
      <c r="Q76" s="1631"/>
      <c r="R76" s="1632">
        <v>-1364798.56</v>
      </c>
      <c r="S76" s="1632">
        <v>-1364798.56</v>
      </c>
      <c r="T76" s="1632">
        <f t="shared" si="15"/>
        <v>-1364798.56</v>
      </c>
      <c r="U76" s="1631"/>
      <c r="V76" s="1633">
        <f t="shared" si="16"/>
        <v>0</v>
      </c>
      <c r="W76" s="340"/>
      <c r="X76" s="340"/>
    </row>
    <row r="77" spans="1:24" s="236" customFormat="1" outlineLevel="1">
      <c r="A77" s="340"/>
      <c r="B77" s="341" t="s">
        <v>24</v>
      </c>
      <c r="C77" s="342"/>
      <c r="D77" s="343">
        <v>14048</v>
      </c>
      <c r="E77" s="343" t="s">
        <v>796</v>
      </c>
      <c r="F77" s="344"/>
      <c r="G77" s="344"/>
      <c r="H77" s="340"/>
      <c r="I77" s="340"/>
      <c r="J77" s="1630">
        <v>1907973.79</v>
      </c>
      <c r="K77" s="1631"/>
      <c r="L77" s="1632">
        <v>0</v>
      </c>
      <c r="M77" s="1631"/>
      <c r="N77" s="1632">
        <v>0</v>
      </c>
      <c r="O77" s="1631"/>
      <c r="P77" s="1632">
        <f t="shared" si="14"/>
        <v>1907973.79</v>
      </c>
      <c r="Q77" s="1631"/>
      <c r="R77" s="1632">
        <v>1907973.79</v>
      </c>
      <c r="S77" s="1632">
        <v>1907973.79</v>
      </c>
      <c r="T77" s="1632">
        <f t="shared" si="15"/>
        <v>1907973.79</v>
      </c>
      <c r="U77" s="1631"/>
      <c r="V77" s="1633">
        <f t="shared" si="16"/>
        <v>0</v>
      </c>
      <c r="W77" s="340"/>
      <c r="X77" s="340"/>
    </row>
    <row r="78" spans="1:24" s="236" customFormat="1" outlineLevel="1">
      <c r="A78" s="340"/>
      <c r="B78" s="341" t="s">
        <v>24</v>
      </c>
      <c r="C78" s="342"/>
      <c r="D78" s="343">
        <v>14051</v>
      </c>
      <c r="E78" s="343" t="s">
        <v>798</v>
      </c>
      <c r="F78" s="344"/>
      <c r="G78" s="344"/>
      <c r="H78" s="340"/>
      <c r="I78" s="340"/>
      <c r="J78" s="1630">
        <v>3584646.45</v>
      </c>
      <c r="K78" s="1631"/>
      <c r="L78" s="1632">
        <v>0</v>
      </c>
      <c r="M78" s="1631"/>
      <c r="N78" s="1632">
        <v>0</v>
      </c>
      <c r="O78" s="1631"/>
      <c r="P78" s="1632">
        <f t="shared" si="14"/>
        <v>3584646.45</v>
      </c>
      <c r="Q78" s="1631"/>
      <c r="R78" s="1632">
        <v>3506518.46</v>
      </c>
      <c r="S78" s="1632">
        <v>3584646.45</v>
      </c>
      <c r="T78" s="1632">
        <f t="shared" si="15"/>
        <v>3584646.45</v>
      </c>
      <c r="U78" s="1631"/>
      <c r="V78" s="1633">
        <f t="shared" si="16"/>
        <v>0</v>
      </c>
      <c r="W78" s="340"/>
      <c r="X78" s="340"/>
    </row>
    <row r="79" spans="1:24" s="236" customFormat="1" outlineLevel="1">
      <c r="A79" s="340"/>
      <c r="B79" s="341" t="s">
        <v>24</v>
      </c>
      <c r="C79" s="342"/>
      <c r="D79" s="343">
        <v>14052</v>
      </c>
      <c r="E79" s="343" t="s">
        <v>1132</v>
      </c>
      <c r="F79" s="344"/>
      <c r="G79" s="344"/>
      <c r="H79" s="340"/>
      <c r="I79" s="340"/>
      <c r="J79" s="1630">
        <v>775600</v>
      </c>
      <c r="K79" s="1631"/>
      <c r="L79" s="1632">
        <v>0</v>
      </c>
      <c r="M79" s="1631"/>
      <c r="N79" s="1632">
        <v>0</v>
      </c>
      <c r="O79" s="1631"/>
      <c r="P79" s="1632">
        <f t="shared" si="14"/>
        <v>775600</v>
      </c>
      <c r="Q79" s="1631"/>
      <c r="R79" s="1632">
        <v>775600</v>
      </c>
      <c r="S79" s="1632">
        <v>775600</v>
      </c>
      <c r="T79" s="1632">
        <f t="shared" si="15"/>
        <v>775600</v>
      </c>
      <c r="U79" s="1631"/>
      <c r="V79" s="1633">
        <f t="shared" si="16"/>
        <v>0</v>
      </c>
      <c r="W79" s="340"/>
      <c r="X79" s="340"/>
    </row>
    <row r="80" spans="1:24" s="236" customFormat="1" outlineLevel="1">
      <c r="A80" s="340"/>
      <c r="B80" s="341" t="s">
        <v>24</v>
      </c>
      <c r="C80" s="342"/>
      <c r="D80" s="343">
        <v>14053</v>
      </c>
      <c r="E80" s="343" t="s">
        <v>799</v>
      </c>
      <c r="F80" s="344"/>
      <c r="G80" s="344"/>
      <c r="H80" s="340"/>
      <c r="I80" s="340"/>
      <c r="J80" s="1630">
        <v>301549.65999999997</v>
      </c>
      <c r="K80" s="1631"/>
      <c r="L80" s="1632">
        <v>0</v>
      </c>
      <c r="M80" s="1631"/>
      <c r="N80" s="1632">
        <v>0</v>
      </c>
      <c r="O80" s="1631"/>
      <c r="P80" s="1632">
        <f t="shared" si="14"/>
        <v>301549.65999999997</v>
      </c>
      <c r="Q80" s="1631"/>
      <c r="R80" s="1632">
        <v>301549.65999999997</v>
      </c>
      <c r="S80" s="1632">
        <v>301549.65999999997</v>
      </c>
      <c r="T80" s="1632">
        <f t="shared" si="15"/>
        <v>301549.65999999997</v>
      </c>
      <c r="U80" s="1631"/>
      <c r="V80" s="1633">
        <f t="shared" si="16"/>
        <v>0</v>
      </c>
      <c r="W80" s="340"/>
      <c r="X80" s="340"/>
    </row>
    <row r="81" spans="1:24" s="236" customFormat="1" outlineLevel="1">
      <c r="A81" s="340"/>
      <c r="B81" s="341" t="s">
        <v>24</v>
      </c>
      <c r="C81" s="342"/>
      <c r="D81" s="343">
        <v>14054</v>
      </c>
      <c r="E81" s="343" t="s">
        <v>800</v>
      </c>
      <c r="F81" s="344"/>
      <c r="G81" s="344"/>
      <c r="H81" s="340"/>
      <c r="I81" s="340"/>
      <c r="J81" s="1630">
        <v>-156153.76</v>
      </c>
      <c r="K81" s="1631"/>
      <c r="L81" s="1632">
        <v>0</v>
      </c>
      <c r="M81" s="1631"/>
      <c r="N81" s="1632">
        <v>0</v>
      </c>
      <c r="O81" s="1631"/>
      <c r="P81" s="1632">
        <f t="shared" si="14"/>
        <v>-156153.76</v>
      </c>
      <c r="Q81" s="1631"/>
      <c r="R81" s="1632">
        <v>-151620</v>
      </c>
      <c r="S81" s="1632">
        <v>-154051.66</v>
      </c>
      <c r="T81" s="1632">
        <f t="shared" si="15"/>
        <v>-156153.76</v>
      </c>
      <c r="U81" s="1631"/>
      <c r="V81" s="1633">
        <f t="shared" si="16"/>
        <v>-2102.1000000000058</v>
      </c>
      <c r="W81" s="340"/>
      <c r="X81" s="340"/>
    </row>
    <row r="82" spans="1:24" s="236" customFormat="1" outlineLevel="1">
      <c r="A82" s="340"/>
      <c r="B82" s="341" t="s">
        <v>24</v>
      </c>
      <c r="C82" s="342"/>
      <c r="D82" s="343">
        <v>14056</v>
      </c>
      <c r="E82" s="343" t="s">
        <v>801</v>
      </c>
      <c r="F82" s="344"/>
      <c r="G82" s="344"/>
      <c r="H82" s="340"/>
      <c r="I82" s="340"/>
      <c r="J82" s="1630">
        <v>-2584375.7799999998</v>
      </c>
      <c r="K82" s="1631"/>
      <c r="L82" s="1632">
        <v>0</v>
      </c>
      <c r="M82" s="1631"/>
      <c r="N82" s="1632">
        <v>0</v>
      </c>
      <c r="O82" s="1631"/>
      <c r="P82" s="1632">
        <f t="shared" si="14"/>
        <v>-2584375.7799999998</v>
      </c>
      <c r="Q82" s="1631"/>
      <c r="R82" s="1632">
        <v>-2538119.7599999998</v>
      </c>
      <c r="S82" s="1632">
        <v>-2560976.25</v>
      </c>
      <c r="T82" s="1632">
        <f t="shared" si="15"/>
        <v>-2584375.7799999998</v>
      </c>
      <c r="U82" s="1631"/>
      <c r="V82" s="1633">
        <f t="shared" si="16"/>
        <v>-23399.529999999795</v>
      </c>
      <c r="W82" s="340"/>
      <c r="X82" s="340"/>
    </row>
    <row r="83" spans="1:24" s="236" customFormat="1" outlineLevel="1">
      <c r="A83" s="340"/>
      <c r="B83" s="341" t="s">
        <v>24</v>
      </c>
      <c r="C83" s="342"/>
      <c r="D83" s="343">
        <v>14057</v>
      </c>
      <c r="E83" s="343" t="s">
        <v>802</v>
      </c>
      <c r="F83" s="344"/>
      <c r="G83" s="344"/>
      <c r="H83" s="340"/>
      <c r="I83" s="340"/>
      <c r="J83" s="1630">
        <v>-130655.33</v>
      </c>
      <c r="K83" s="1631"/>
      <c r="L83" s="1632">
        <v>0</v>
      </c>
      <c r="M83" s="1631"/>
      <c r="N83" s="1632">
        <v>0</v>
      </c>
      <c r="O83" s="1631"/>
      <c r="P83" s="1632">
        <f t="shared" si="14"/>
        <v>-130655.33</v>
      </c>
      <c r="Q83" s="1631"/>
      <c r="R83" s="1632">
        <v>-130655.33</v>
      </c>
      <c r="S83" s="1632">
        <v>-130655.33</v>
      </c>
      <c r="T83" s="1632">
        <f t="shared" si="15"/>
        <v>-130655.33</v>
      </c>
      <c r="U83" s="1631"/>
      <c r="V83" s="1633">
        <f t="shared" si="16"/>
        <v>0</v>
      </c>
      <c r="W83" s="340"/>
      <c r="X83" s="340"/>
    </row>
    <row r="84" spans="1:24" s="236" customFormat="1" outlineLevel="1">
      <c r="A84" s="340"/>
      <c r="B84" s="341" t="s">
        <v>24</v>
      </c>
      <c r="C84" s="342"/>
      <c r="D84" s="343">
        <v>14058</v>
      </c>
      <c r="E84" s="343" t="s">
        <v>803</v>
      </c>
      <c r="F84" s="344"/>
      <c r="G84" s="344"/>
      <c r="H84" s="340"/>
      <c r="I84" s="340"/>
      <c r="J84" s="1630">
        <v>102827.07</v>
      </c>
      <c r="K84" s="1631"/>
      <c r="L84" s="1632">
        <v>0</v>
      </c>
      <c r="M84" s="1631"/>
      <c r="N84" s="1632">
        <v>0</v>
      </c>
      <c r="O84" s="1631"/>
      <c r="P84" s="1632">
        <f t="shared" si="14"/>
        <v>102827.07</v>
      </c>
      <c r="Q84" s="1631"/>
      <c r="R84" s="1632">
        <v>98293.31</v>
      </c>
      <c r="S84" s="1632">
        <v>100724.97</v>
      </c>
      <c r="T84" s="1632">
        <f t="shared" si="15"/>
        <v>102827.07</v>
      </c>
      <c r="U84" s="1631"/>
      <c r="V84" s="1633">
        <f t="shared" si="16"/>
        <v>2102.1000000000058</v>
      </c>
      <c r="W84" s="340"/>
      <c r="X84" s="340"/>
    </row>
    <row r="85" spans="1:24" s="236" customFormat="1" outlineLevel="1">
      <c r="A85" s="340"/>
      <c r="B85" s="341" t="s">
        <v>24</v>
      </c>
      <c r="C85" s="342"/>
      <c r="D85" s="343">
        <v>14071</v>
      </c>
      <c r="E85" s="343" t="s">
        <v>804</v>
      </c>
      <c r="F85" s="344"/>
      <c r="G85" s="344"/>
      <c r="H85" s="340"/>
      <c r="I85" s="340"/>
      <c r="J85" s="1630">
        <v>266415.78000000003</v>
      </c>
      <c r="K85" s="1631"/>
      <c r="L85" s="1632">
        <v>0</v>
      </c>
      <c r="M85" s="1631"/>
      <c r="N85" s="1632">
        <v>0</v>
      </c>
      <c r="O85" s="1631"/>
      <c r="P85" s="1632">
        <f t="shared" si="14"/>
        <v>266415.78000000003</v>
      </c>
      <c r="Q85" s="1631"/>
      <c r="R85" s="1632">
        <v>266415.78000000003</v>
      </c>
      <c r="S85" s="1632">
        <v>266415.78000000003</v>
      </c>
      <c r="T85" s="1632">
        <f t="shared" si="15"/>
        <v>266415.78000000003</v>
      </c>
      <c r="U85" s="1631"/>
      <c r="V85" s="1633">
        <f t="shared" si="16"/>
        <v>0</v>
      </c>
      <c r="W85" s="340"/>
      <c r="X85" s="340"/>
    </row>
    <row r="86" spans="1:24" s="236" customFormat="1" outlineLevel="1">
      <c r="A86" s="340"/>
      <c r="B86" s="341" t="s">
        <v>24</v>
      </c>
      <c r="C86" s="342"/>
      <c r="D86" s="343">
        <v>14072</v>
      </c>
      <c r="E86" s="343" t="s">
        <v>1133</v>
      </c>
      <c r="F86" s="344"/>
      <c r="G86" s="344"/>
      <c r="H86" s="340"/>
      <c r="I86" s="340"/>
      <c r="J86" s="1630">
        <v>34650</v>
      </c>
      <c r="K86" s="1631"/>
      <c r="L86" s="1632">
        <v>0</v>
      </c>
      <c r="M86" s="1631"/>
      <c r="N86" s="1632">
        <v>0</v>
      </c>
      <c r="O86" s="1631"/>
      <c r="P86" s="1632">
        <f t="shared" si="14"/>
        <v>34650</v>
      </c>
      <c r="Q86" s="1631"/>
      <c r="R86" s="1632">
        <v>34650</v>
      </c>
      <c r="S86" s="1632">
        <v>34650</v>
      </c>
      <c r="T86" s="1632">
        <f t="shared" si="15"/>
        <v>34650</v>
      </c>
      <c r="U86" s="1631"/>
      <c r="V86" s="1633">
        <f t="shared" si="16"/>
        <v>0</v>
      </c>
      <c r="W86" s="340"/>
      <c r="X86" s="340"/>
    </row>
    <row r="87" spans="1:24" s="236" customFormat="1" outlineLevel="1">
      <c r="A87" s="340"/>
      <c r="B87" s="341" t="s">
        <v>24</v>
      </c>
      <c r="C87" s="342"/>
      <c r="D87" s="343">
        <v>14073</v>
      </c>
      <c r="E87" s="343" t="s">
        <v>805</v>
      </c>
      <c r="F87" s="344"/>
      <c r="G87" s="344"/>
      <c r="H87" s="340"/>
      <c r="I87" s="340"/>
      <c r="J87" s="1630">
        <v>16160.04</v>
      </c>
      <c r="K87" s="1631"/>
      <c r="L87" s="1632">
        <v>0</v>
      </c>
      <c r="M87" s="1631"/>
      <c r="N87" s="1632">
        <v>0</v>
      </c>
      <c r="O87" s="1631"/>
      <c r="P87" s="1632">
        <f t="shared" si="14"/>
        <v>16160.04</v>
      </c>
      <c r="Q87" s="1631"/>
      <c r="R87" s="1632">
        <v>16160.04</v>
      </c>
      <c r="S87" s="1632">
        <v>16160.04</v>
      </c>
      <c r="T87" s="1632">
        <f t="shared" si="15"/>
        <v>16160.04</v>
      </c>
      <c r="U87" s="1631"/>
      <c r="V87" s="1633">
        <f t="shared" si="16"/>
        <v>0</v>
      </c>
      <c r="W87" s="340"/>
      <c r="X87" s="340"/>
    </row>
    <row r="88" spans="1:24" s="236" customFormat="1" outlineLevel="1">
      <c r="A88" s="340"/>
      <c r="B88" s="341" t="s">
        <v>24</v>
      </c>
      <c r="C88" s="342"/>
      <c r="D88" s="343">
        <v>14074</v>
      </c>
      <c r="E88" s="343" t="s">
        <v>806</v>
      </c>
      <c r="F88" s="344"/>
      <c r="G88" s="344"/>
      <c r="H88" s="340"/>
      <c r="I88" s="340"/>
      <c r="J88" s="1630">
        <v>-35195.22</v>
      </c>
      <c r="K88" s="1631"/>
      <c r="L88" s="1632">
        <v>0</v>
      </c>
      <c r="M88" s="1631"/>
      <c r="N88" s="1632">
        <v>0</v>
      </c>
      <c r="O88" s="1631"/>
      <c r="P88" s="1632">
        <f t="shared" si="14"/>
        <v>-35195.22</v>
      </c>
      <c r="Q88" s="1631"/>
      <c r="R88" s="1632">
        <v>-35195.22</v>
      </c>
      <c r="S88" s="1632">
        <v>-35195.22</v>
      </c>
      <c r="T88" s="1632">
        <f t="shared" si="15"/>
        <v>-35195.22</v>
      </c>
      <c r="U88" s="1631"/>
      <c r="V88" s="1633">
        <f t="shared" si="16"/>
        <v>0</v>
      </c>
      <c r="W88" s="340"/>
      <c r="X88" s="340"/>
    </row>
    <row r="89" spans="1:24" s="236" customFormat="1" outlineLevel="1">
      <c r="A89" s="340"/>
      <c r="B89" s="341" t="s">
        <v>24</v>
      </c>
      <c r="C89" s="342"/>
      <c r="D89" s="343">
        <v>14076</v>
      </c>
      <c r="E89" s="343" t="s">
        <v>807</v>
      </c>
      <c r="F89" s="344"/>
      <c r="G89" s="344"/>
      <c r="H89" s="340"/>
      <c r="I89" s="340"/>
      <c r="J89" s="1630">
        <v>-238491.32</v>
      </c>
      <c r="K89" s="1631"/>
      <c r="L89" s="1632">
        <v>0</v>
      </c>
      <c r="M89" s="1631"/>
      <c r="N89" s="1632">
        <v>0</v>
      </c>
      <c r="O89" s="1631"/>
      <c r="P89" s="1632">
        <f t="shared" si="14"/>
        <v>-238491.32</v>
      </c>
      <c r="Q89" s="1631"/>
      <c r="R89" s="1632">
        <v>-234623.3</v>
      </c>
      <c r="S89" s="1632">
        <v>-236557.31</v>
      </c>
      <c r="T89" s="1632">
        <f t="shared" si="15"/>
        <v>-238491.32</v>
      </c>
      <c r="U89" s="1631"/>
      <c r="V89" s="1633">
        <f t="shared" si="16"/>
        <v>-1934.0100000000093</v>
      </c>
      <c r="W89" s="340"/>
      <c r="X89" s="340"/>
    </row>
    <row r="90" spans="1:24" s="236" customFormat="1" outlineLevel="1">
      <c r="A90" s="340"/>
      <c r="B90" s="341" t="s">
        <v>24</v>
      </c>
      <c r="C90" s="342"/>
      <c r="D90" s="343">
        <v>14077</v>
      </c>
      <c r="E90" s="343" t="s">
        <v>808</v>
      </c>
      <c r="F90" s="344"/>
      <c r="G90" s="344"/>
      <c r="H90" s="340"/>
      <c r="I90" s="340"/>
      <c r="J90" s="1630">
        <v>-7232.84</v>
      </c>
      <c r="K90" s="1631"/>
      <c r="L90" s="1632">
        <v>0</v>
      </c>
      <c r="M90" s="1631"/>
      <c r="N90" s="1632">
        <v>0</v>
      </c>
      <c r="O90" s="1631"/>
      <c r="P90" s="1632">
        <f t="shared" si="14"/>
        <v>-7232.84</v>
      </c>
      <c r="Q90" s="1631"/>
      <c r="R90" s="1632">
        <v>-7232.84</v>
      </c>
      <c r="S90" s="1632">
        <v>-7232.84</v>
      </c>
      <c r="T90" s="1632">
        <f t="shared" si="15"/>
        <v>-7232.84</v>
      </c>
      <c r="U90" s="1631"/>
      <c r="V90" s="1633">
        <f t="shared" si="16"/>
        <v>0</v>
      </c>
      <c r="W90" s="340"/>
      <c r="X90" s="340"/>
    </row>
    <row r="91" spans="1:24" s="236" customFormat="1" outlineLevel="1">
      <c r="A91" s="340"/>
      <c r="B91" s="341" t="s">
        <v>24</v>
      </c>
      <c r="C91" s="342"/>
      <c r="D91" s="343">
        <v>14078</v>
      </c>
      <c r="E91" s="343" t="s">
        <v>809</v>
      </c>
      <c r="F91" s="344"/>
      <c r="G91" s="344"/>
      <c r="H91" s="340"/>
      <c r="I91" s="340"/>
      <c r="J91" s="1630">
        <v>35195.22</v>
      </c>
      <c r="K91" s="1631"/>
      <c r="L91" s="1632">
        <v>0</v>
      </c>
      <c r="M91" s="1631"/>
      <c r="N91" s="1632">
        <v>0</v>
      </c>
      <c r="O91" s="1631"/>
      <c r="P91" s="1632">
        <f t="shared" si="14"/>
        <v>35195.22</v>
      </c>
      <c r="Q91" s="1631"/>
      <c r="R91" s="1632">
        <v>35195.22</v>
      </c>
      <c r="S91" s="1632">
        <v>35195.22</v>
      </c>
      <c r="T91" s="1632">
        <f t="shared" si="15"/>
        <v>35195.22</v>
      </c>
      <c r="U91" s="1631"/>
      <c r="V91" s="1633">
        <f t="shared" si="16"/>
        <v>0</v>
      </c>
      <c r="W91" s="340"/>
      <c r="X91" s="340"/>
    </row>
    <row r="92" spans="1:24" s="236" customFormat="1" outlineLevel="1">
      <c r="A92" s="340"/>
      <c r="B92" s="341" t="s">
        <v>24</v>
      </c>
      <c r="C92" s="342"/>
      <c r="D92" s="343">
        <v>14081</v>
      </c>
      <c r="E92" s="343" t="s">
        <v>810</v>
      </c>
      <c r="F92" s="344"/>
      <c r="G92" s="344"/>
      <c r="H92" s="340"/>
      <c r="I92" s="340"/>
      <c r="J92" s="1630">
        <v>194463.76</v>
      </c>
      <c r="K92" s="1631"/>
      <c r="L92" s="1632">
        <v>0</v>
      </c>
      <c r="M92" s="1631"/>
      <c r="N92" s="1632">
        <v>0</v>
      </c>
      <c r="O92" s="1631"/>
      <c r="P92" s="1632">
        <f t="shared" si="14"/>
        <v>194463.76</v>
      </c>
      <c r="Q92" s="1631"/>
      <c r="R92" s="1632">
        <v>194463.76</v>
      </c>
      <c r="S92" s="1632">
        <v>194463.76</v>
      </c>
      <c r="T92" s="1632">
        <f t="shared" si="15"/>
        <v>194463.76</v>
      </c>
      <c r="U92" s="1631"/>
      <c r="V92" s="1633">
        <f t="shared" si="16"/>
        <v>0</v>
      </c>
      <c r="W92" s="340"/>
      <c r="X92" s="340"/>
    </row>
    <row r="93" spans="1:24" s="236" customFormat="1" outlineLevel="1">
      <c r="A93" s="340"/>
      <c r="B93" s="341" t="s">
        <v>24</v>
      </c>
      <c r="C93" s="342"/>
      <c r="D93" s="343">
        <v>14082</v>
      </c>
      <c r="E93" s="343" t="s">
        <v>1134</v>
      </c>
      <c r="F93" s="344"/>
      <c r="G93" s="344"/>
      <c r="H93" s="340"/>
      <c r="I93" s="340"/>
      <c r="J93" s="1630">
        <v>834400</v>
      </c>
      <c r="K93" s="1631"/>
      <c r="L93" s="1632">
        <v>0</v>
      </c>
      <c r="M93" s="1631"/>
      <c r="N93" s="1632">
        <v>0</v>
      </c>
      <c r="O93" s="1631"/>
      <c r="P93" s="1632">
        <f t="shared" si="14"/>
        <v>834400</v>
      </c>
      <c r="Q93" s="1631"/>
      <c r="R93" s="1632">
        <v>834400</v>
      </c>
      <c r="S93" s="1632">
        <v>834400</v>
      </c>
      <c r="T93" s="1632">
        <f t="shared" si="15"/>
        <v>834400</v>
      </c>
      <c r="U93" s="1631"/>
      <c r="V93" s="1633">
        <f t="shared" si="16"/>
        <v>0</v>
      </c>
      <c r="W93" s="340"/>
      <c r="X93" s="340"/>
    </row>
    <row r="94" spans="1:24" s="236" customFormat="1" outlineLevel="1">
      <c r="A94" s="340"/>
      <c r="B94" s="341" t="s">
        <v>24</v>
      </c>
      <c r="C94" s="342"/>
      <c r="D94" s="343">
        <v>14086</v>
      </c>
      <c r="E94" s="343" t="s">
        <v>811</v>
      </c>
      <c r="F94" s="344"/>
      <c r="G94" s="344"/>
      <c r="H94" s="340"/>
      <c r="I94" s="340"/>
      <c r="J94" s="1630">
        <v>-654561.06000000006</v>
      </c>
      <c r="K94" s="1631"/>
      <c r="L94" s="1632">
        <v>0</v>
      </c>
      <c r="M94" s="1631"/>
      <c r="N94" s="1632">
        <v>0</v>
      </c>
      <c r="O94" s="1631"/>
      <c r="P94" s="1632">
        <f t="shared" si="14"/>
        <v>-654561.06000000006</v>
      </c>
      <c r="Q94" s="1631"/>
      <c r="R94" s="1632">
        <v>-645475.06999999995</v>
      </c>
      <c r="S94" s="1632">
        <v>-650018.07999999996</v>
      </c>
      <c r="T94" s="1632">
        <f t="shared" si="15"/>
        <v>-654561.06000000006</v>
      </c>
      <c r="U94" s="1631"/>
      <c r="V94" s="1633">
        <f t="shared" si="16"/>
        <v>-4542.9800000000978</v>
      </c>
      <c r="W94" s="340"/>
      <c r="X94" s="340"/>
    </row>
    <row r="95" spans="1:24" s="236" customFormat="1" outlineLevel="1">
      <c r="A95" s="340"/>
      <c r="B95" s="341" t="s">
        <v>24</v>
      </c>
      <c r="C95" s="342"/>
      <c r="D95" s="343">
        <v>14101</v>
      </c>
      <c r="E95" s="343" t="s">
        <v>812</v>
      </c>
      <c r="F95" s="344"/>
      <c r="G95" s="344"/>
      <c r="H95" s="340"/>
      <c r="I95" s="340"/>
      <c r="J95" s="1630">
        <v>15160.03</v>
      </c>
      <c r="K95" s="1631"/>
      <c r="L95" s="1632">
        <v>0</v>
      </c>
      <c r="M95" s="1631"/>
      <c r="N95" s="1632">
        <v>0</v>
      </c>
      <c r="O95" s="1631"/>
      <c r="P95" s="1632">
        <f t="shared" si="14"/>
        <v>15160.03</v>
      </c>
      <c r="Q95" s="1631"/>
      <c r="R95" s="1632">
        <v>15160.03</v>
      </c>
      <c r="S95" s="1632">
        <v>15160.03</v>
      </c>
      <c r="T95" s="1632">
        <f t="shared" si="15"/>
        <v>15160.03</v>
      </c>
      <c r="U95" s="1631"/>
      <c r="V95" s="1633">
        <f t="shared" si="16"/>
        <v>0</v>
      </c>
      <c r="W95" s="340"/>
      <c r="X95" s="340"/>
    </row>
    <row r="96" spans="1:24" s="236" customFormat="1" outlineLevel="1">
      <c r="A96" s="340"/>
      <c r="B96" s="341" t="s">
        <v>24</v>
      </c>
      <c r="C96" s="342"/>
      <c r="D96" s="343">
        <v>14106</v>
      </c>
      <c r="E96" s="343" t="s">
        <v>813</v>
      </c>
      <c r="F96" s="344"/>
      <c r="G96" s="344"/>
      <c r="H96" s="340"/>
      <c r="I96" s="340"/>
      <c r="J96" s="1630">
        <v>-15160.03</v>
      </c>
      <c r="K96" s="1631"/>
      <c r="L96" s="1632">
        <v>0</v>
      </c>
      <c r="M96" s="1631"/>
      <c r="N96" s="1632">
        <v>0</v>
      </c>
      <c r="O96" s="1631"/>
      <c r="P96" s="1632">
        <f t="shared" si="14"/>
        <v>-15160.03</v>
      </c>
      <c r="Q96" s="1631"/>
      <c r="R96" s="1632">
        <v>-15160.03</v>
      </c>
      <c r="S96" s="1632">
        <v>-15160.03</v>
      </c>
      <c r="T96" s="1632">
        <f t="shared" si="15"/>
        <v>-15160.03</v>
      </c>
      <c r="U96" s="1631"/>
      <c r="V96" s="1633">
        <f t="shared" si="16"/>
        <v>0</v>
      </c>
      <c r="W96" s="340"/>
      <c r="X96" s="340"/>
    </row>
    <row r="97" spans="1:25" s="236" customFormat="1" outlineLevel="1">
      <c r="A97" s="340"/>
      <c r="B97" s="341" t="s">
        <v>24</v>
      </c>
      <c r="C97" s="342"/>
      <c r="D97" s="343">
        <v>14111</v>
      </c>
      <c r="E97" s="343" t="s">
        <v>814</v>
      </c>
      <c r="F97" s="344"/>
      <c r="G97" s="344"/>
      <c r="H97" s="340"/>
      <c r="I97" s="340"/>
      <c r="J97" s="1630">
        <v>69702.850000000006</v>
      </c>
      <c r="K97" s="1631"/>
      <c r="L97" s="1632">
        <v>0</v>
      </c>
      <c r="M97" s="1631"/>
      <c r="N97" s="1632">
        <v>0</v>
      </c>
      <c r="O97" s="1631"/>
      <c r="P97" s="1632">
        <f t="shared" si="14"/>
        <v>69702.850000000006</v>
      </c>
      <c r="Q97" s="1631"/>
      <c r="R97" s="1632">
        <v>69702.850000000006</v>
      </c>
      <c r="S97" s="1632">
        <v>69702.850000000006</v>
      </c>
      <c r="T97" s="1632">
        <f t="shared" si="15"/>
        <v>69702.850000000006</v>
      </c>
      <c r="U97" s="1631"/>
      <c r="V97" s="1633">
        <f t="shared" si="16"/>
        <v>0</v>
      </c>
      <c r="W97" s="340"/>
      <c r="X97" s="340"/>
    </row>
    <row r="98" spans="1:25" s="236" customFormat="1" outlineLevel="1">
      <c r="A98" s="340"/>
      <c r="B98" s="341" t="s">
        <v>24</v>
      </c>
      <c r="C98" s="342"/>
      <c r="D98" s="343">
        <v>14113</v>
      </c>
      <c r="E98" s="343" t="s">
        <v>815</v>
      </c>
      <c r="F98" s="344"/>
      <c r="G98" s="344"/>
      <c r="H98" s="340"/>
      <c r="I98" s="340"/>
      <c r="J98" s="1630">
        <v>-666.75</v>
      </c>
      <c r="K98" s="1631"/>
      <c r="L98" s="1632">
        <v>0</v>
      </c>
      <c r="M98" s="1631"/>
      <c r="N98" s="1632">
        <v>0</v>
      </c>
      <c r="O98" s="1631"/>
      <c r="P98" s="1632">
        <f t="shared" si="14"/>
        <v>-666.75</v>
      </c>
      <c r="Q98" s="1631"/>
      <c r="R98" s="1632">
        <v>-666.75</v>
      </c>
      <c r="S98" s="1632">
        <v>-666.75</v>
      </c>
      <c r="T98" s="1632">
        <f t="shared" si="15"/>
        <v>-666.75</v>
      </c>
      <c r="U98" s="1631"/>
      <c r="V98" s="1633">
        <f t="shared" si="16"/>
        <v>0</v>
      </c>
      <c r="W98" s="340"/>
      <c r="X98" s="340"/>
    </row>
    <row r="99" spans="1:25" s="236" customFormat="1" outlineLevel="1">
      <c r="A99" s="340"/>
      <c r="B99" s="341" t="s">
        <v>24</v>
      </c>
      <c r="C99" s="342"/>
      <c r="D99" s="343">
        <v>14116</v>
      </c>
      <c r="E99" s="343" t="s">
        <v>816</v>
      </c>
      <c r="F99" s="344"/>
      <c r="G99" s="344"/>
      <c r="H99" s="340"/>
      <c r="I99" s="340"/>
      <c r="J99" s="1630">
        <v>-66439.19</v>
      </c>
      <c r="K99" s="1631"/>
      <c r="L99" s="1632">
        <v>0</v>
      </c>
      <c r="M99" s="1631"/>
      <c r="N99" s="1632">
        <v>0</v>
      </c>
      <c r="O99" s="1631"/>
      <c r="P99" s="1632">
        <f t="shared" si="14"/>
        <v>-66439.19</v>
      </c>
      <c r="Q99" s="1631"/>
      <c r="R99" s="1632">
        <v>-66054.320000000007</v>
      </c>
      <c r="S99" s="1632">
        <v>-66246.75</v>
      </c>
      <c r="T99" s="1632">
        <f t="shared" si="15"/>
        <v>-66439.19</v>
      </c>
      <c r="U99" s="1631"/>
      <c r="V99" s="1633">
        <f t="shared" si="16"/>
        <v>-192.44000000000233</v>
      </c>
      <c r="W99" s="340"/>
      <c r="X99" s="340"/>
    </row>
    <row r="100" spans="1:25" s="236" customFormat="1" outlineLevel="1">
      <c r="A100" s="340"/>
      <c r="B100" s="341" t="s">
        <v>24</v>
      </c>
      <c r="C100" s="342"/>
      <c r="D100" s="343">
        <v>14117</v>
      </c>
      <c r="E100" s="343" t="s">
        <v>817</v>
      </c>
      <c r="F100" s="344"/>
      <c r="G100" s="344"/>
      <c r="H100" s="340"/>
      <c r="I100" s="340"/>
      <c r="J100" s="1630">
        <v>464.33</v>
      </c>
      <c r="K100" s="1631"/>
      <c r="L100" s="1632">
        <v>0</v>
      </c>
      <c r="M100" s="1631"/>
      <c r="N100" s="1632">
        <v>0</v>
      </c>
      <c r="O100" s="1631"/>
      <c r="P100" s="1632">
        <f t="shared" si="14"/>
        <v>464.33</v>
      </c>
      <c r="Q100" s="1631"/>
      <c r="R100" s="1632">
        <v>464.33</v>
      </c>
      <c r="S100" s="1632">
        <v>464.33</v>
      </c>
      <c r="T100" s="1632">
        <f t="shared" si="15"/>
        <v>464.33</v>
      </c>
      <c r="U100" s="1631"/>
      <c r="V100" s="1633">
        <f t="shared" si="16"/>
        <v>0</v>
      </c>
      <c r="W100" s="340"/>
      <c r="X100" s="340"/>
    </row>
    <row r="101" spans="1:25" s="236" customFormat="1" outlineLevel="1">
      <c r="A101" s="340"/>
      <c r="B101" s="341" t="s">
        <v>24</v>
      </c>
      <c r="C101" s="342"/>
      <c r="D101" s="343">
        <v>14201</v>
      </c>
      <c r="E101" s="343" t="s">
        <v>818</v>
      </c>
      <c r="F101" s="344"/>
      <c r="G101" s="344"/>
      <c r="H101" s="340"/>
      <c r="I101" s="340"/>
      <c r="J101" s="1630">
        <v>578891.28</v>
      </c>
      <c r="K101" s="1631"/>
      <c r="L101" s="1632">
        <v>0</v>
      </c>
      <c r="M101" s="1631"/>
      <c r="N101" s="1632">
        <v>0</v>
      </c>
      <c r="O101" s="1631"/>
      <c r="P101" s="1632">
        <f t="shared" si="14"/>
        <v>578891.28</v>
      </c>
      <c r="Q101" s="1631"/>
      <c r="R101" s="1632">
        <v>0</v>
      </c>
      <c r="S101" s="1632">
        <v>0</v>
      </c>
      <c r="T101" s="1632">
        <f t="shared" si="15"/>
        <v>578891.28</v>
      </c>
      <c r="U101" s="1631"/>
      <c r="V101" s="1633">
        <f t="shared" si="16"/>
        <v>578891.28</v>
      </c>
      <c r="W101" s="340"/>
      <c r="X101" s="340"/>
    </row>
    <row r="102" spans="1:25" s="236" customFormat="1" ht="4.5" customHeight="1" outlineLevel="1">
      <c r="A102" s="368" t="s">
        <v>17</v>
      </c>
      <c r="B102" s="368" t="s">
        <v>17</v>
      </c>
      <c r="C102" s="368"/>
      <c r="D102" s="370"/>
      <c r="E102" s="340"/>
      <c r="F102" s="340"/>
      <c r="G102" s="340"/>
      <c r="H102" s="340"/>
      <c r="I102" s="340"/>
      <c r="J102" s="1637"/>
      <c r="K102" s="1631"/>
      <c r="L102" s="1638"/>
      <c r="M102" s="1631"/>
      <c r="N102" s="1638"/>
      <c r="O102" s="1631"/>
      <c r="P102" s="1638"/>
      <c r="Q102" s="1631"/>
      <c r="R102" s="1638"/>
      <c r="S102" s="1638"/>
      <c r="T102" s="1638"/>
      <c r="U102" s="1631"/>
      <c r="V102" s="1639"/>
      <c r="W102" s="340"/>
      <c r="X102" s="340"/>
      <c r="Y102" s="340"/>
    </row>
    <row r="103" spans="1:25" s="236" customFormat="1">
      <c r="A103" s="342" t="s">
        <v>789</v>
      </c>
      <c r="B103" s="368" t="s">
        <v>17</v>
      </c>
      <c r="C103" s="368"/>
      <c r="D103" s="340"/>
      <c r="E103" s="340"/>
      <c r="F103" s="340" t="s">
        <v>819</v>
      </c>
      <c r="G103" s="340"/>
      <c r="H103" s="340"/>
      <c r="I103" s="340"/>
      <c r="J103" s="1630">
        <f>SUM(J63:J102)</f>
        <v>8865211.1300000008</v>
      </c>
      <c r="K103" s="1631"/>
      <c r="L103" s="1632">
        <f>SUM(L63:L102)</f>
        <v>0</v>
      </c>
      <c r="M103" s="1631"/>
      <c r="N103" s="1632">
        <f>SUM(N63:N102)</f>
        <v>0</v>
      </c>
      <c r="O103" s="1631"/>
      <c r="P103" s="1632">
        <f>J103+L103+N103</f>
        <v>8865211.1300000008</v>
      </c>
      <c r="Q103" s="1631"/>
      <c r="R103" s="1632">
        <f>SUM(R63:R102)</f>
        <v>8435544.4900000002</v>
      </c>
      <c r="S103" s="1632">
        <f>SUM(S63:S102)</f>
        <v>8400267.6700000037</v>
      </c>
      <c r="T103" s="1632">
        <f>SUM(T63:T102)</f>
        <v>8865211.1300000008</v>
      </c>
      <c r="U103" s="1631"/>
      <c r="V103" s="1633">
        <f>SUM(V63:V102)</f>
        <v>464943.46000000008</v>
      </c>
      <c r="W103" s="340"/>
      <c r="X103" s="340"/>
      <c r="Y103" s="340"/>
    </row>
    <row r="104" spans="1:25" s="236" customFormat="1" outlineLevel="1">
      <c r="A104" s="340"/>
      <c r="B104" s="341" t="s">
        <v>820</v>
      </c>
      <c r="C104" s="342"/>
      <c r="D104" s="343"/>
      <c r="E104" s="343"/>
      <c r="F104" s="344"/>
      <c r="G104" s="344"/>
      <c r="H104" s="340"/>
      <c r="I104" s="340"/>
      <c r="J104" s="1630"/>
      <c r="K104" s="1631"/>
      <c r="L104" s="1632"/>
      <c r="M104" s="1631"/>
      <c r="N104" s="1632"/>
      <c r="O104" s="1631"/>
      <c r="P104" s="1632">
        <f>J104+L104+N104</f>
        <v>0</v>
      </c>
      <c r="Q104" s="1631"/>
      <c r="R104" s="1632"/>
      <c r="S104" s="1632"/>
      <c r="T104" s="1632">
        <f>P104</f>
        <v>0</v>
      </c>
      <c r="U104" s="1631"/>
      <c r="V104" s="1633">
        <f>T104-S104</f>
        <v>0</v>
      </c>
      <c r="W104" s="340"/>
      <c r="X104" s="340"/>
    </row>
    <row r="105" spans="1:25" s="236" customFormat="1" ht="5.0999999999999996" customHeight="1" outlineLevel="1">
      <c r="A105" s="368" t="s">
        <v>17</v>
      </c>
      <c r="B105" s="368" t="s">
        <v>17</v>
      </c>
      <c r="C105" s="368"/>
      <c r="D105" s="344"/>
      <c r="E105" s="344"/>
      <c r="F105" s="344"/>
      <c r="G105" s="344"/>
      <c r="H105" s="340"/>
      <c r="I105" s="340"/>
      <c r="J105" s="1637"/>
      <c r="K105" s="1631"/>
      <c r="L105" s="1638"/>
      <c r="M105" s="1631"/>
      <c r="N105" s="1638"/>
      <c r="O105" s="1631"/>
      <c r="P105" s="1638"/>
      <c r="Q105" s="1631"/>
      <c r="R105" s="1638"/>
      <c r="S105" s="1638"/>
      <c r="T105" s="1638"/>
      <c r="U105" s="1631"/>
      <c r="V105" s="1639"/>
      <c r="W105" s="340"/>
      <c r="X105" s="340"/>
      <c r="Y105" s="340"/>
    </row>
    <row r="106" spans="1:25" s="236" customFormat="1">
      <c r="A106" s="342" t="s">
        <v>820</v>
      </c>
      <c r="B106" s="368" t="s">
        <v>17</v>
      </c>
      <c r="C106" s="368"/>
      <c r="D106" s="340"/>
      <c r="E106" s="340"/>
      <c r="F106" s="343" t="s">
        <v>821</v>
      </c>
      <c r="G106" s="340"/>
      <c r="H106" s="340"/>
      <c r="I106" s="340"/>
      <c r="J106" s="1630">
        <f>SUM(J104:J105)</f>
        <v>0</v>
      </c>
      <c r="K106" s="1631"/>
      <c r="L106" s="1632">
        <f>SUM(L104:L105)</f>
        <v>0</v>
      </c>
      <c r="M106" s="1631"/>
      <c r="N106" s="1632">
        <f>SUM(N104:N105)</f>
        <v>0</v>
      </c>
      <c r="O106" s="1631"/>
      <c r="P106" s="1632">
        <f>J106+L106+N106</f>
        <v>0</v>
      </c>
      <c r="Q106" s="1631"/>
      <c r="R106" s="1632">
        <f>SUM(R104:R105)</f>
        <v>0</v>
      </c>
      <c r="S106" s="1632">
        <f>SUM(S104:S105)</f>
        <v>0</v>
      </c>
      <c r="T106" s="1632">
        <f>SUM(T104:T105)</f>
        <v>0</v>
      </c>
      <c r="U106" s="1631"/>
      <c r="V106" s="1633">
        <f>SUM(V104:V105)</f>
        <v>0</v>
      </c>
      <c r="W106" s="340"/>
      <c r="X106" s="340"/>
      <c r="Y106" s="340"/>
    </row>
    <row r="107" spans="1:25" s="236" customFormat="1" outlineLevel="1">
      <c r="A107" s="340"/>
      <c r="B107" s="341" t="s">
        <v>822</v>
      </c>
      <c r="C107" s="342"/>
      <c r="D107" s="343"/>
      <c r="E107" s="343"/>
      <c r="F107" s="344"/>
      <c r="G107" s="344"/>
      <c r="H107" s="340"/>
      <c r="I107" s="340"/>
      <c r="J107" s="1630"/>
      <c r="K107" s="1631"/>
      <c r="L107" s="1632"/>
      <c r="M107" s="1631"/>
      <c r="N107" s="1632"/>
      <c r="O107" s="1631"/>
      <c r="P107" s="1632">
        <f>J107+L107+N107</f>
        <v>0</v>
      </c>
      <c r="Q107" s="1631"/>
      <c r="R107" s="1632"/>
      <c r="S107" s="1632"/>
      <c r="T107" s="1632">
        <f>P107</f>
        <v>0</v>
      </c>
      <c r="U107" s="1631"/>
      <c r="V107" s="1633">
        <f>T107-S107</f>
        <v>0</v>
      </c>
      <c r="W107" s="340"/>
      <c r="X107" s="340"/>
    </row>
    <row r="108" spans="1:25" s="236" customFormat="1" ht="4.5" customHeight="1" outlineLevel="1">
      <c r="A108" s="368" t="s">
        <v>17</v>
      </c>
      <c r="B108" s="340" t="s">
        <v>17</v>
      </c>
      <c r="C108" s="371"/>
      <c r="D108" s="370"/>
      <c r="E108" s="340"/>
      <c r="F108" s="340"/>
      <c r="G108" s="340"/>
      <c r="H108" s="340"/>
      <c r="I108" s="340"/>
      <c r="J108" s="1637"/>
      <c r="K108" s="1631"/>
      <c r="L108" s="1638"/>
      <c r="M108" s="1631"/>
      <c r="N108" s="1638"/>
      <c r="O108" s="1631"/>
      <c r="P108" s="1638"/>
      <c r="Q108" s="1631"/>
      <c r="R108" s="1638"/>
      <c r="S108" s="1638"/>
      <c r="T108" s="1638"/>
      <c r="U108" s="1631"/>
      <c r="V108" s="1639"/>
      <c r="W108" s="340"/>
      <c r="X108" s="340"/>
      <c r="Y108" s="340"/>
    </row>
    <row r="109" spans="1:25" s="236" customFormat="1">
      <c r="A109" s="342" t="s">
        <v>822</v>
      </c>
      <c r="B109" s="368" t="s">
        <v>17</v>
      </c>
      <c r="C109" s="368"/>
      <c r="D109" s="340"/>
      <c r="E109" s="340"/>
      <c r="F109" s="340" t="s">
        <v>823</v>
      </c>
      <c r="G109" s="340"/>
      <c r="H109" s="340"/>
      <c r="I109" s="340"/>
      <c r="J109" s="1630">
        <f>SUM(J107:J108)</f>
        <v>0</v>
      </c>
      <c r="K109" s="1631"/>
      <c r="L109" s="1632">
        <f>SUM(L107:L108)</f>
        <v>0</v>
      </c>
      <c r="M109" s="1631"/>
      <c r="N109" s="1632">
        <f>SUM(N107:N108)</f>
        <v>0</v>
      </c>
      <c r="O109" s="1631"/>
      <c r="P109" s="1632">
        <f>J109+L109+N109</f>
        <v>0</v>
      </c>
      <c r="Q109" s="1631"/>
      <c r="R109" s="1632">
        <f>SUM(R107:R108)</f>
        <v>0</v>
      </c>
      <c r="S109" s="1632">
        <f>SUM(S107:S108)</f>
        <v>0</v>
      </c>
      <c r="T109" s="1632">
        <f>SUM(T107:T108)</f>
        <v>0</v>
      </c>
      <c r="U109" s="1631"/>
      <c r="V109" s="1633">
        <f>SUM(V107:V108)</f>
        <v>0</v>
      </c>
      <c r="W109" s="340"/>
      <c r="X109" s="340"/>
      <c r="Y109" s="340"/>
    </row>
    <row r="110" spans="1:25" s="236" customFormat="1" outlineLevel="1">
      <c r="A110" s="340"/>
      <c r="B110" s="341" t="s">
        <v>824</v>
      </c>
      <c r="C110" s="342"/>
      <c r="D110" s="343">
        <v>15111</v>
      </c>
      <c r="E110" s="343" t="s">
        <v>825</v>
      </c>
      <c r="F110" s="344"/>
      <c r="G110" s="344"/>
      <c r="H110" s="340"/>
      <c r="I110" s="340"/>
      <c r="J110" s="1630">
        <v>886998.82</v>
      </c>
      <c r="K110" s="1631"/>
      <c r="L110" s="1632">
        <v>0</v>
      </c>
      <c r="M110" s="1631"/>
      <c r="N110" s="1632">
        <v>0</v>
      </c>
      <c r="O110" s="1631"/>
      <c r="P110" s="1632">
        <f>J110+L110+N110</f>
        <v>886998.82</v>
      </c>
      <c r="Q110" s="1631"/>
      <c r="R110" s="1632">
        <v>886998.82</v>
      </c>
      <c r="S110" s="1632">
        <v>886998.82</v>
      </c>
      <c r="T110" s="1632">
        <f t="shared" ref="T110:T111" si="17">P110</f>
        <v>886998.82</v>
      </c>
      <c r="U110" s="1631"/>
      <c r="V110" s="1633">
        <f t="shared" ref="V110:V111" si="18">T110-S110</f>
        <v>0</v>
      </c>
      <c r="W110" s="340"/>
      <c r="X110" s="340"/>
    </row>
    <row r="111" spans="1:25" s="236" customFormat="1" outlineLevel="1">
      <c r="A111" s="340"/>
      <c r="B111" s="341" t="s">
        <v>24</v>
      </c>
      <c r="C111" s="342"/>
      <c r="D111" s="343">
        <v>15112</v>
      </c>
      <c r="E111" s="343" t="s">
        <v>826</v>
      </c>
      <c r="F111" s="344"/>
      <c r="G111" s="344"/>
      <c r="H111" s="340"/>
      <c r="I111" s="340"/>
      <c r="J111" s="1630">
        <v>342745.35</v>
      </c>
      <c r="K111" s="1631"/>
      <c r="L111" s="1632">
        <v>0</v>
      </c>
      <c r="M111" s="1631"/>
      <c r="N111" s="1632">
        <v>0</v>
      </c>
      <c r="O111" s="1631"/>
      <c r="P111" s="1632">
        <f>J111+L111+N111</f>
        <v>342745.35</v>
      </c>
      <c r="Q111" s="1631"/>
      <c r="R111" s="1632">
        <v>342745.35</v>
      </c>
      <c r="S111" s="1632">
        <v>342745.35</v>
      </c>
      <c r="T111" s="1632">
        <f t="shared" si="17"/>
        <v>342745.35</v>
      </c>
      <c r="U111" s="1631"/>
      <c r="V111" s="1633">
        <f t="shared" si="18"/>
        <v>0</v>
      </c>
      <c r="W111" s="340"/>
      <c r="X111" s="340"/>
    </row>
    <row r="112" spans="1:25" s="236" customFormat="1" ht="4.5" customHeight="1" outlineLevel="1">
      <c r="A112" s="368" t="s">
        <v>17</v>
      </c>
      <c r="B112" s="340" t="s">
        <v>17</v>
      </c>
      <c r="C112" s="371"/>
      <c r="D112" s="370"/>
      <c r="E112" s="340"/>
      <c r="F112" s="340"/>
      <c r="G112" s="340"/>
      <c r="H112" s="340"/>
      <c r="I112" s="340"/>
      <c r="J112" s="1637"/>
      <c r="K112" s="1631"/>
      <c r="L112" s="1638"/>
      <c r="M112" s="1631"/>
      <c r="N112" s="1638"/>
      <c r="O112" s="1631"/>
      <c r="P112" s="1638"/>
      <c r="Q112" s="1631"/>
      <c r="R112" s="1638"/>
      <c r="S112" s="1638"/>
      <c r="T112" s="1638"/>
      <c r="U112" s="1631"/>
      <c r="V112" s="1639"/>
      <c r="W112" s="340"/>
      <c r="X112" s="340"/>
      <c r="Y112" s="340"/>
    </row>
    <row r="113" spans="1:25" s="236" customFormat="1">
      <c r="A113" s="342" t="s">
        <v>824</v>
      </c>
      <c r="B113" s="368" t="s">
        <v>17</v>
      </c>
      <c r="C113" s="368"/>
      <c r="D113" s="340"/>
      <c r="E113" s="340"/>
      <c r="F113" s="340" t="s">
        <v>827</v>
      </c>
      <c r="G113" s="340"/>
      <c r="H113" s="340"/>
      <c r="I113" s="340"/>
      <c r="J113" s="1630">
        <f>SUM(J110:J112)</f>
        <v>1229744.17</v>
      </c>
      <c r="K113" s="1631"/>
      <c r="L113" s="1632">
        <f>SUM(L110:L112)</f>
        <v>0</v>
      </c>
      <c r="M113" s="1631"/>
      <c r="N113" s="1632">
        <f>SUM(N110:N112)</f>
        <v>0</v>
      </c>
      <c r="O113" s="1631"/>
      <c r="P113" s="1632">
        <f t="shared" ref="P113" si="19">J113+L113+N113</f>
        <v>1229744.17</v>
      </c>
      <c r="Q113" s="1631"/>
      <c r="R113" s="1632">
        <f>SUM(R110:R112)</f>
        <v>1229744.17</v>
      </c>
      <c r="S113" s="1632">
        <f>SUM(S110:S112)</f>
        <v>1229744.17</v>
      </c>
      <c r="T113" s="1632">
        <f>SUM(T110:T112)</f>
        <v>1229744.17</v>
      </c>
      <c r="U113" s="1631"/>
      <c r="V113" s="1633">
        <f>SUM(V110:V112)</f>
        <v>0</v>
      </c>
      <c r="W113" s="340"/>
      <c r="X113" s="340"/>
      <c r="Y113" s="340"/>
    </row>
    <row r="114" spans="1:25" s="236" customFormat="1" outlineLevel="1">
      <c r="A114" s="340"/>
      <c r="B114" s="341" t="s">
        <v>828</v>
      </c>
      <c r="C114" s="342"/>
      <c r="D114" s="343">
        <v>15222</v>
      </c>
      <c r="E114" s="343" t="s">
        <v>1124</v>
      </c>
      <c r="F114" s="344"/>
      <c r="G114" s="344"/>
      <c r="H114" s="340"/>
      <c r="I114" s="340"/>
      <c r="J114" s="1630">
        <v>141653.54999999999</v>
      </c>
      <c r="K114" s="1631"/>
      <c r="L114" s="1632">
        <v>0</v>
      </c>
      <c r="M114" s="1631"/>
      <c r="N114" s="1632">
        <v>0</v>
      </c>
      <c r="O114" s="1631"/>
      <c r="P114" s="1632">
        <f t="shared" ref="P114:P120" si="20">J114+L114+N114</f>
        <v>141653.54999999999</v>
      </c>
      <c r="Q114" s="1631"/>
      <c r="R114" s="1632">
        <v>141653.54999999999</v>
      </c>
      <c r="S114" s="1632">
        <v>141653.54999999999</v>
      </c>
      <c r="T114" s="1632">
        <f t="shared" ref="T114:T120" si="21">P114</f>
        <v>141653.54999999999</v>
      </c>
      <c r="U114" s="1631"/>
      <c r="V114" s="1633">
        <f t="shared" ref="V114:V120" si="22">T114-S114</f>
        <v>0</v>
      </c>
      <c r="W114" s="340"/>
      <c r="X114" s="340"/>
    </row>
    <row r="115" spans="1:25" s="236" customFormat="1" outlineLevel="1">
      <c r="A115" s="340"/>
      <c r="B115" s="341" t="s">
        <v>24</v>
      </c>
      <c r="C115" s="342"/>
      <c r="D115" s="343">
        <v>15226</v>
      </c>
      <c r="E115" s="343" t="s">
        <v>1125</v>
      </c>
      <c r="F115" s="344"/>
      <c r="G115" s="344"/>
      <c r="H115" s="340"/>
      <c r="I115" s="340"/>
      <c r="J115" s="1630">
        <v>-51939.64</v>
      </c>
      <c r="K115" s="1631"/>
      <c r="L115" s="1632">
        <v>0</v>
      </c>
      <c r="M115" s="1631"/>
      <c r="N115" s="1632">
        <v>0</v>
      </c>
      <c r="O115" s="1631"/>
      <c r="P115" s="1632">
        <f t="shared" si="20"/>
        <v>-51939.64</v>
      </c>
      <c r="Q115" s="1631"/>
      <c r="R115" s="1632">
        <v>-51939.64</v>
      </c>
      <c r="S115" s="1632">
        <v>-51939.64</v>
      </c>
      <c r="T115" s="1632">
        <f t="shared" si="21"/>
        <v>-51939.64</v>
      </c>
      <c r="U115" s="1631"/>
      <c r="V115" s="1633">
        <f t="shared" si="22"/>
        <v>0</v>
      </c>
      <c r="W115" s="340"/>
      <c r="X115" s="340"/>
    </row>
    <row r="116" spans="1:25" s="236" customFormat="1" outlineLevel="1">
      <c r="A116" s="340"/>
      <c r="B116" s="341" t="s">
        <v>24</v>
      </c>
      <c r="C116" s="342"/>
      <c r="D116" s="343">
        <v>15227</v>
      </c>
      <c r="E116" s="343" t="s">
        <v>1126</v>
      </c>
      <c r="F116" s="344"/>
      <c r="G116" s="344"/>
      <c r="H116" s="340"/>
      <c r="I116" s="340"/>
      <c r="J116" s="1630">
        <v>-89713.91</v>
      </c>
      <c r="K116" s="1631"/>
      <c r="L116" s="1632">
        <v>0</v>
      </c>
      <c r="M116" s="1631"/>
      <c r="N116" s="1632">
        <v>0</v>
      </c>
      <c r="O116" s="1631"/>
      <c r="P116" s="1632">
        <f t="shared" si="20"/>
        <v>-89713.91</v>
      </c>
      <c r="Q116" s="1631"/>
      <c r="R116" s="1632">
        <v>-89713.91</v>
      </c>
      <c r="S116" s="1632">
        <v>-89713.91</v>
      </c>
      <c r="T116" s="1632">
        <f t="shared" si="21"/>
        <v>-89713.91</v>
      </c>
      <c r="U116" s="1631"/>
      <c r="V116" s="1633">
        <f t="shared" si="22"/>
        <v>0</v>
      </c>
      <c r="W116" s="340"/>
      <c r="X116" s="340"/>
    </row>
    <row r="117" spans="1:25" s="236" customFormat="1" outlineLevel="1">
      <c r="A117" s="340"/>
      <c r="B117" s="341" t="s">
        <v>24</v>
      </c>
      <c r="C117" s="342"/>
      <c r="D117" s="343">
        <v>15252</v>
      </c>
      <c r="E117" s="343" t="s">
        <v>1127</v>
      </c>
      <c r="F117" s="344"/>
      <c r="G117" s="344"/>
      <c r="H117" s="340"/>
      <c r="I117" s="340"/>
      <c r="J117" s="1630">
        <v>2597940.2599999998</v>
      </c>
      <c r="K117" s="1631"/>
      <c r="L117" s="1632">
        <v>0</v>
      </c>
      <c r="M117" s="1631"/>
      <c r="N117" s="1632">
        <v>0</v>
      </c>
      <c r="O117" s="1631"/>
      <c r="P117" s="1632">
        <f t="shared" si="20"/>
        <v>2597940.2599999998</v>
      </c>
      <c r="Q117" s="1631"/>
      <c r="R117" s="1632">
        <v>2597940.2599999998</v>
      </c>
      <c r="S117" s="1632">
        <v>2597940.2599999998</v>
      </c>
      <c r="T117" s="1632">
        <f t="shared" si="21"/>
        <v>2597940.2599999998</v>
      </c>
      <c r="U117" s="1631"/>
      <c r="V117" s="1633">
        <f t="shared" si="22"/>
        <v>0</v>
      </c>
      <c r="W117" s="340"/>
      <c r="X117" s="340"/>
    </row>
    <row r="118" spans="1:25" s="236" customFormat="1" outlineLevel="1">
      <c r="A118" s="340"/>
      <c r="B118" s="341" t="s">
        <v>24</v>
      </c>
      <c r="C118" s="342"/>
      <c r="D118" s="343">
        <v>15256</v>
      </c>
      <c r="E118" s="343" t="s">
        <v>829</v>
      </c>
      <c r="F118" s="344"/>
      <c r="G118" s="344"/>
      <c r="H118" s="340"/>
      <c r="I118" s="340"/>
      <c r="J118" s="1630">
        <v>-836029.2</v>
      </c>
      <c r="K118" s="1631"/>
      <c r="L118" s="1632">
        <v>0</v>
      </c>
      <c r="M118" s="1631"/>
      <c r="N118" s="1632">
        <v>0</v>
      </c>
      <c r="O118" s="1631"/>
      <c r="P118" s="1632">
        <f t="shared" si="20"/>
        <v>-836029.2</v>
      </c>
      <c r="Q118" s="1631"/>
      <c r="R118" s="1632">
        <v>-822323.8</v>
      </c>
      <c r="S118" s="1632">
        <v>-829176.49</v>
      </c>
      <c r="T118" s="1632">
        <f t="shared" si="21"/>
        <v>-836029.2</v>
      </c>
      <c r="U118" s="1631"/>
      <c r="V118" s="1633">
        <f t="shared" si="22"/>
        <v>-6852.7099999999627</v>
      </c>
      <c r="W118" s="340"/>
      <c r="X118" s="340"/>
    </row>
    <row r="119" spans="1:25" s="236" customFormat="1" outlineLevel="1">
      <c r="A119" s="340"/>
      <c r="B119" s="341" t="s">
        <v>24</v>
      </c>
      <c r="C119" s="342"/>
      <c r="D119" s="343">
        <v>15257</v>
      </c>
      <c r="E119" s="343" t="s">
        <v>1128</v>
      </c>
      <c r="F119" s="344"/>
      <c r="G119" s="344"/>
      <c r="H119" s="340"/>
      <c r="I119" s="340"/>
      <c r="J119" s="1630">
        <v>-260402.54</v>
      </c>
      <c r="K119" s="1631"/>
      <c r="L119" s="1632">
        <v>0</v>
      </c>
      <c r="M119" s="1631"/>
      <c r="N119" s="1632">
        <v>0</v>
      </c>
      <c r="O119" s="1631"/>
      <c r="P119" s="1632">
        <f t="shared" si="20"/>
        <v>-260402.54</v>
      </c>
      <c r="Q119" s="1631"/>
      <c r="R119" s="1632">
        <v>-260402.54</v>
      </c>
      <c r="S119" s="1632">
        <v>-260402.54</v>
      </c>
      <c r="T119" s="1632">
        <f t="shared" si="21"/>
        <v>-260402.54</v>
      </c>
      <c r="U119" s="1631"/>
      <c r="V119" s="1633">
        <f t="shared" si="22"/>
        <v>0</v>
      </c>
      <c r="W119" s="340"/>
      <c r="X119" s="340"/>
    </row>
    <row r="120" spans="1:25" s="236" customFormat="1" outlineLevel="1">
      <c r="A120" s="340"/>
      <c r="B120" s="341" t="s">
        <v>24</v>
      </c>
      <c r="C120" s="342"/>
      <c r="D120" s="343">
        <v>15261</v>
      </c>
      <c r="E120" s="343" t="s">
        <v>830</v>
      </c>
      <c r="F120" s="344"/>
      <c r="G120" s="344"/>
      <c r="H120" s="340"/>
      <c r="I120" s="340"/>
      <c r="J120" s="1630">
        <v>9552800.7799999993</v>
      </c>
      <c r="K120" s="1631"/>
      <c r="L120" s="1632">
        <v>0</v>
      </c>
      <c r="M120" s="1631"/>
      <c r="N120" s="1632">
        <v>0</v>
      </c>
      <c r="O120" s="1631"/>
      <c r="P120" s="1632">
        <f t="shared" si="20"/>
        <v>9552800.7799999993</v>
      </c>
      <c r="Q120" s="1631"/>
      <c r="R120" s="1632">
        <v>9552800.7799999993</v>
      </c>
      <c r="S120" s="1632">
        <v>9552800.7799999993</v>
      </c>
      <c r="T120" s="1632">
        <f t="shared" si="21"/>
        <v>9552800.7799999993</v>
      </c>
      <c r="U120" s="1631"/>
      <c r="V120" s="1633">
        <f t="shared" si="22"/>
        <v>0</v>
      </c>
      <c r="W120" s="340"/>
      <c r="X120" s="340"/>
    </row>
    <row r="121" spans="1:25" s="236" customFormat="1" ht="5.0999999999999996" customHeight="1" outlineLevel="1">
      <c r="A121" s="368" t="s">
        <v>17</v>
      </c>
      <c r="B121" s="342" t="s">
        <v>17</v>
      </c>
      <c r="C121" s="342"/>
      <c r="D121" s="344"/>
      <c r="E121" s="344"/>
      <c r="F121" s="344"/>
      <c r="G121" s="344"/>
      <c r="H121" s="340"/>
      <c r="I121" s="340"/>
      <c r="J121" s="1637"/>
      <c r="K121" s="1631"/>
      <c r="L121" s="1638"/>
      <c r="M121" s="1631"/>
      <c r="N121" s="1638"/>
      <c r="O121" s="1631"/>
      <c r="P121" s="1638"/>
      <c r="Q121" s="1631"/>
      <c r="R121" s="1638"/>
      <c r="S121" s="1638"/>
      <c r="T121" s="1638"/>
      <c r="U121" s="1631"/>
      <c r="V121" s="1639"/>
      <c r="W121" s="340"/>
      <c r="X121" s="340"/>
      <c r="Y121" s="340"/>
    </row>
    <row r="122" spans="1:25" s="236" customFormat="1">
      <c r="A122" s="342" t="s">
        <v>828</v>
      </c>
      <c r="B122" s="368" t="s">
        <v>17</v>
      </c>
      <c r="C122" s="368"/>
      <c r="D122" s="340"/>
      <c r="E122" s="340"/>
      <c r="F122" s="343" t="s">
        <v>831</v>
      </c>
      <c r="G122" s="372"/>
      <c r="H122" s="372"/>
      <c r="I122" s="372"/>
      <c r="J122" s="1630">
        <f>SUM(J114:J121)</f>
        <v>11054309.299999999</v>
      </c>
      <c r="K122" s="1631"/>
      <c r="L122" s="1632">
        <f>SUM(L114:L121)</f>
        <v>0</v>
      </c>
      <c r="M122" s="1631"/>
      <c r="N122" s="1632">
        <f>SUM(N114:N121)</f>
        <v>0</v>
      </c>
      <c r="O122" s="1631"/>
      <c r="P122" s="1632">
        <f>J122+L122+N122</f>
        <v>11054309.299999999</v>
      </c>
      <c r="Q122" s="1631"/>
      <c r="R122" s="1632">
        <f>SUM(R114:R121)</f>
        <v>11068014.699999999</v>
      </c>
      <c r="S122" s="1632">
        <f>SUM(S114:S121)</f>
        <v>11061162.01</v>
      </c>
      <c r="T122" s="1632">
        <f>SUM(T114:T121)</f>
        <v>11054309.299999999</v>
      </c>
      <c r="U122" s="1631"/>
      <c r="V122" s="1633">
        <f>SUM(V114:V121)</f>
        <v>-6852.7099999999627</v>
      </c>
      <c r="W122" s="340"/>
      <c r="X122" s="340"/>
      <c r="Y122" s="340"/>
    </row>
    <row r="123" spans="1:25" s="236" customFormat="1" outlineLevel="1">
      <c r="A123" s="340"/>
      <c r="B123" s="341" t="s">
        <v>832</v>
      </c>
      <c r="C123" s="342"/>
      <c r="D123" s="343"/>
      <c r="E123" s="343"/>
      <c r="F123" s="344"/>
      <c r="G123" s="344"/>
      <c r="H123" s="340"/>
      <c r="I123" s="340"/>
      <c r="J123" s="1630"/>
      <c r="K123" s="1631"/>
      <c r="L123" s="1632"/>
      <c r="M123" s="1631"/>
      <c r="N123" s="1632"/>
      <c r="O123" s="1631"/>
      <c r="P123" s="1632">
        <f>J123+L123+N123</f>
        <v>0</v>
      </c>
      <c r="Q123" s="1631"/>
      <c r="R123" s="1632"/>
      <c r="S123" s="1632"/>
      <c r="T123" s="1632">
        <f>P123</f>
        <v>0</v>
      </c>
      <c r="U123" s="1631"/>
      <c r="V123" s="1633">
        <f>T123-S123</f>
        <v>0</v>
      </c>
      <c r="W123" s="340"/>
      <c r="X123" s="340"/>
    </row>
    <row r="124" spans="1:25" s="236" customFormat="1" ht="5.0999999999999996" customHeight="1" outlineLevel="1">
      <c r="A124" s="368" t="s">
        <v>17</v>
      </c>
      <c r="B124" s="342" t="s">
        <v>17</v>
      </c>
      <c r="C124" s="342"/>
      <c r="D124" s="344"/>
      <c r="E124" s="344"/>
      <c r="F124" s="344"/>
      <c r="G124" s="344"/>
      <c r="H124" s="340"/>
      <c r="I124" s="340"/>
      <c r="J124" s="1637"/>
      <c r="K124" s="1631"/>
      <c r="L124" s="1638"/>
      <c r="M124" s="1631"/>
      <c r="N124" s="1638"/>
      <c r="O124" s="1631"/>
      <c r="P124" s="1638"/>
      <c r="Q124" s="1631"/>
      <c r="R124" s="1638"/>
      <c r="S124" s="1638"/>
      <c r="T124" s="1638"/>
      <c r="U124" s="1631"/>
      <c r="V124" s="1639"/>
      <c r="W124" s="340"/>
      <c r="X124" s="340"/>
      <c r="Y124" s="340"/>
    </row>
    <row r="125" spans="1:25" s="236" customFormat="1">
      <c r="A125" s="342" t="s">
        <v>832</v>
      </c>
      <c r="B125" s="342" t="s">
        <v>17</v>
      </c>
      <c r="C125" s="342"/>
      <c r="D125" s="340"/>
      <c r="E125" s="340"/>
      <c r="F125" s="343" t="s">
        <v>833</v>
      </c>
      <c r="G125" s="372"/>
      <c r="H125" s="372"/>
      <c r="I125" s="372"/>
      <c r="J125" s="1630">
        <f>SUM(J123:J124)</f>
        <v>0</v>
      </c>
      <c r="K125" s="1631"/>
      <c r="L125" s="1632">
        <f>SUM(L123:L124)</f>
        <v>0</v>
      </c>
      <c r="M125" s="1631"/>
      <c r="N125" s="1632">
        <f>SUM(N123:N124)</f>
        <v>0</v>
      </c>
      <c r="O125" s="1631"/>
      <c r="P125" s="1632">
        <f>J125+L125+N125</f>
        <v>0</v>
      </c>
      <c r="Q125" s="1631"/>
      <c r="R125" s="1632">
        <f>SUM(R123:R124)</f>
        <v>0</v>
      </c>
      <c r="S125" s="1632">
        <f>SUM(S123:S124)</f>
        <v>0</v>
      </c>
      <c r="T125" s="1632">
        <f>SUM(T123:T124)</f>
        <v>0</v>
      </c>
      <c r="U125" s="1631"/>
      <c r="V125" s="1633">
        <f>SUM(V123:V124)</f>
        <v>0</v>
      </c>
      <c r="W125" s="340"/>
      <c r="X125" s="340"/>
      <c r="Y125" s="340"/>
    </row>
    <row r="126" spans="1:25" s="236" customFormat="1" outlineLevel="1">
      <c r="A126" s="340"/>
      <c r="B126" s="341" t="s">
        <v>834</v>
      </c>
      <c r="C126" s="342"/>
      <c r="D126" s="343"/>
      <c r="E126" s="343"/>
      <c r="F126" s="344"/>
      <c r="G126" s="344"/>
      <c r="H126" s="340"/>
      <c r="I126" s="340"/>
      <c r="J126" s="1630"/>
      <c r="K126" s="1631"/>
      <c r="L126" s="1632"/>
      <c r="M126" s="1631"/>
      <c r="N126" s="1632"/>
      <c r="O126" s="1631"/>
      <c r="P126" s="1632">
        <f>J126+L126+N126</f>
        <v>0</v>
      </c>
      <c r="Q126" s="1631"/>
      <c r="R126" s="1632"/>
      <c r="S126" s="1632"/>
      <c r="T126" s="1632">
        <f>P126</f>
        <v>0</v>
      </c>
      <c r="U126" s="1631"/>
      <c r="V126" s="1633">
        <f>T126-S126</f>
        <v>0</v>
      </c>
      <c r="W126" s="340"/>
      <c r="X126" s="340"/>
    </row>
    <row r="127" spans="1:25" s="236" customFormat="1" ht="4.5" customHeight="1" outlineLevel="1">
      <c r="A127" s="342" t="s">
        <v>17</v>
      </c>
      <c r="B127" s="340" t="s">
        <v>17</v>
      </c>
      <c r="C127" s="371"/>
      <c r="D127" s="370"/>
      <c r="E127" s="340"/>
      <c r="F127" s="340"/>
      <c r="G127" s="340"/>
      <c r="H127" s="340"/>
      <c r="I127" s="340"/>
      <c r="J127" s="1637"/>
      <c r="K127" s="1631"/>
      <c r="L127" s="1638"/>
      <c r="M127" s="1631"/>
      <c r="N127" s="1638"/>
      <c r="O127" s="1631"/>
      <c r="P127" s="1638"/>
      <c r="Q127" s="1631"/>
      <c r="R127" s="1638"/>
      <c r="S127" s="1638"/>
      <c r="T127" s="1638"/>
      <c r="U127" s="1631"/>
      <c r="V127" s="1639"/>
      <c r="W127" s="340"/>
      <c r="X127" s="340"/>
      <c r="Y127" s="340"/>
    </row>
    <row r="128" spans="1:25" s="236" customFormat="1">
      <c r="A128" s="342" t="s">
        <v>834</v>
      </c>
      <c r="B128" s="368" t="s">
        <v>17</v>
      </c>
      <c r="C128" s="368"/>
      <c r="D128" s="340"/>
      <c r="E128" s="340"/>
      <c r="F128" s="340" t="s">
        <v>835</v>
      </c>
      <c r="G128" s="340"/>
      <c r="H128" s="340"/>
      <c r="I128" s="340"/>
      <c r="J128" s="1630">
        <f>SUM(J126:J127)</f>
        <v>0</v>
      </c>
      <c r="K128" s="1631"/>
      <c r="L128" s="1632">
        <f>SUM(L126:L127)</f>
        <v>0</v>
      </c>
      <c r="M128" s="1631"/>
      <c r="N128" s="1632">
        <f>SUM(N126:N127)</f>
        <v>0</v>
      </c>
      <c r="O128" s="1631"/>
      <c r="P128" s="1632">
        <f>J128+L128+N128</f>
        <v>0</v>
      </c>
      <c r="Q128" s="1631"/>
      <c r="R128" s="1632">
        <f>SUM(R126:R127)</f>
        <v>0</v>
      </c>
      <c r="S128" s="1632">
        <f>SUM(S126:S127)</f>
        <v>0</v>
      </c>
      <c r="T128" s="1632">
        <f>SUM(T126:T127)</f>
        <v>0</v>
      </c>
      <c r="U128" s="1631"/>
      <c r="V128" s="1633">
        <f>SUM(V126:V127)</f>
        <v>0</v>
      </c>
      <c r="W128" s="340"/>
      <c r="X128" s="340"/>
      <c r="Y128" s="340"/>
    </row>
    <row r="129" spans="1:25" s="236" customFormat="1" outlineLevel="1">
      <c r="A129" s="340"/>
      <c r="B129" s="341" t="s">
        <v>836</v>
      </c>
      <c r="C129" s="342"/>
      <c r="D129" s="343"/>
      <c r="E129" s="343"/>
      <c r="F129" s="344"/>
      <c r="G129" s="344"/>
      <c r="H129" s="340"/>
      <c r="I129" s="340"/>
      <c r="J129" s="1630"/>
      <c r="K129" s="1631"/>
      <c r="L129" s="1632"/>
      <c r="M129" s="1631"/>
      <c r="N129" s="1632"/>
      <c r="O129" s="1631"/>
      <c r="P129" s="1632">
        <f>J129+L129+N129</f>
        <v>0</v>
      </c>
      <c r="Q129" s="1631"/>
      <c r="R129" s="1632"/>
      <c r="S129" s="1632"/>
      <c r="T129" s="1632">
        <f>P129</f>
        <v>0</v>
      </c>
      <c r="U129" s="1631"/>
      <c r="V129" s="1633">
        <f>T129-S129</f>
        <v>0</v>
      </c>
      <c r="W129" s="340"/>
      <c r="X129" s="340"/>
    </row>
    <row r="130" spans="1:25" s="236" customFormat="1" ht="4.5" customHeight="1" outlineLevel="1">
      <c r="A130" s="342" t="s">
        <v>17</v>
      </c>
      <c r="B130" s="340" t="s">
        <v>17</v>
      </c>
      <c r="C130" s="371"/>
      <c r="D130" s="370"/>
      <c r="E130" s="340"/>
      <c r="F130" s="340"/>
      <c r="G130" s="340"/>
      <c r="H130" s="340"/>
      <c r="I130" s="340"/>
      <c r="J130" s="1637"/>
      <c r="K130" s="1631"/>
      <c r="L130" s="1638"/>
      <c r="M130" s="1631"/>
      <c r="N130" s="1638"/>
      <c r="O130" s="1631"/>
      <c r="P130" s="1638"/>
      <c r="Q130" s="1631"/>
      <c r="R130" s="1638"/>
      <c r="S130" s="1638"/>
      <c r="T130" s="1638"/>
      <c r="U130" s="1631"/>
      <c r="V130" s="1639"/>
      <c r="W130" s="340"/>
      <c r="X130" s="340"/>
      <c r="Y130" s="340"/>
    </row>
    <row r="131" spans="1:25" s="236" customFormat="1">
      <c r="A131" s="342" t="s">
        <v>836</v>
      </c>
      <c r="B131" s="368" t="s">
        <v>17</v>
      </c>
      <c r="C131" s="368"/>
      <c r="D131" s="340"/>
      <c r="E131" s="340"/>
      <c r="F131" s="340" t="s">
        <v>837</v>
      </c>
      <c r="G131" s="340"/>
      <c r="H131" s="340"/>
      <c r="I131" s="340"/>
      <c r="J131" s="1630">
        <f>SUM(J129:J130)</f>
        <v>0</v>
      </c>
      <c r="K131" s="1631"/>
      <c r="L131" s="1632">
        <f>SUM(L129:L130)</f>
        <v>0</v>
      </c>
      <c r="M131" s="1631"/>
      <c r="N131" s="1632">
        <f>SUM(N129:N130)</f>
        <v>0</v>
      </c>
      <c r="O131" s="1631"/>
      <c r="P131" s="1632">
        <f>J131+L131+N131</f>
        <v>0</v>
      </c>
      <c r="Q131" s="1631"/>
      <c r="R131" s="1632">
        <f>SUM(R129:R130)</f>
        <v>0</v>
      </c>
      <c r="S131" s="1632">
        <f>SUM(S129:S130)</f>
        <v>0</v>
      </c>
      <c r="T131" s="1632">
        <f>SUM(T129:T130)</f>
        <v>0</v>
      </c>
      <c r="U131" s="1631"/>
      <c r="V131" s="1633">
        <f>SUM(V129:V130)</f>
        <v>0</v>
      </c>
      <c r="W131" s="340"/>
      <c r="X131" s="340"/>
      <c r="Y131" s="340"/>
    </row>
    <row r="132" spans="1:25" s="236" customFormat="1" outlineLevel="1">
      <c r="A132" s="340"/>
      <c r="B132" s="341" t="s">
        <v>838</v>
      </c>
      <c r="C132" s="342"/>
      <c r="D132" s="343"/>
      <c r="E132" s="343"/>
      <c r="F132" s="344"/>
      <c r="G132" s="344"/>
      <c r="H132" s="340"/>
      <c r="I132" s="340"/>
      <c r="J132" s="1630"/>
      <c r="K132" s="1631"/>
      <c r="L132" s="1632"/>
      <c r="M132" s="1631"/>
      <c r="N132" s="1632"/>
      <c r="O132" s="1631"/>
      <c r="P132" s="1632">
        <f>J132+L132+N132</f>
        <v>0</v>
      </c>
      <c r="Q132" s="1631"/>
      <c r="R132" s="1632"/>
      <c r="S132" s="1632"/>
      <c r="T132" s="1632">
        <f>P132</f>
        <v>0</v>
      </c>
      <c r="U132" s="1631"/>
      <c r="V132" s="1633">
        <f>T132-S132</f>
        <v>0</v>
      </c>
      <c r="W132" s="340"/>
      <c r="X132" s="340"/>
    </row>
    <row r="133" spans="1:25" s="236" customFormat="1" ht="5.0999999999999996" customHeight="1" outlineLevel="1">
      <c r="A133" s="368" t="s">
        <v>17</v>
      </c>
      <c r="B133" s="368" t="s">
        <v>17</v>
      </c>
      <c r="C133" s="368"/>
      <c r="D133" s="344"/>
      <c r="E133" s="344"/>
      <c r="F133" s="344"/>
      <c r="G133" s="344"/>
      <c r="H133" s="340"/>
      <c r="I133" s="340"/>
      <c r="J133" s="1637"/>
      <c r="K133" s="1631"/>
      <c r="L133" s="1638"/>
      <c r="M133" s="1631"/>
      <c r="N133" s="1638"/>
      <c r="O133" s="1631"/>
      <c r="P133" s="1638"/>
      <c r="Q133" s="1631"/>
      <c r="R133" s="1638"/>
      <c r="S133" s="1638"/>
      <c r="T133" s="1638"/>
      <c r="U133" s="1631"/>
      <c r="V133" s="1639"/>
      <c r="W133" s="340"/>
      <c r="X133" s="340"/>
      <c r="Y133" s="340"/>
    </row>
    <row r="134" spans="1:25" s="236" customFormat="1">
      <c r="A134" s="342" t="s">
        <v>838</v>
      </c>
      <c r="B134" s="368" t="s">
        <v>17</v>
      </c>
      <c r="C134" s="368"/>
      <c r="D134" s="340"/>
      <c r="E134" s="340"/>
      <c r="F134" s="343" t="s">
        <v>839</v>
      </c>
      <c r="G134" s="340"/>
      <c r="H134" s="340"/>
      <c r="I134" s="340"/>
      <c r="J134" s="1630">
        <f>SUM(J132:J133)</f>
        <v>0</v>
      </c>
      <c r="K134" s="1631"/>
      <c r="L134" s="1632">
        <f>SUM(L132:L133)</f>
        <v>0</v>
      </c>
      <c r="M134" s="1631"/>
      <c r="N134" s="1632">
        <f>SUM(N132:N133)</f>
        <v>0</v>
      </c>
      <c r="O134" s="1631"/>
      <c r="P134" s="1632">
        <f>J134+L134+N134</f>
        <v>0</v>
      </c>
      <c r="Q134" s="1631"/>
      <c r="R134" s="1632">
        <f>SUM(R132:R133)</f>
        <v>0</v>
      </c>
      <c r="S134" s="1632">
        <f>SUM(S132:S133)</f>
        <v>0</v>
      </c>
      <c r="T134" s="1632">
        <f>SUM(T132:T133)</f>
        <v>0</v>
      </c>
      <c r="U134" s="1631"/>
      <c r="V134" s="1633">
        <f>SUM(V132:V133)</f>
        <v>0</v>
      </c>
      <c r="W134" s="340"/>
      <c r="X134" s="340"/>
      <c r="Y134" s="340"/>
    </row>
    <row r="135" spans="1:25" s="236" customFormat="1" outlineLevel="1">
      <c r="A135" s="340"/>
      <c r="B135" s="341" t="s">
        <v>840</v>
      </c>
      <c r="C135" s="342"/>
      <c r="D135" s="343"/>
      <c r="E135" s="343"/>
      <c r="F135" s="344"/>
      <c r="G135" s="344"/>
      <c r="H135" s="340"/>
      <c r="I135" s="340"/>
      <c r="J135" s="1630"/>
      <c r="K135" s="1631"/>
      <c r="L135" s="1632"/>
      <c r="M135" s="1631"/>
      <c r="N135" s="1632"/>
      <c r="O135" s="1631"/>
      <c r="P135" s="1632">
        <f>J135+L135+N135</f>
        <v>0</v>
      </c>
      <c r="Q135" s="1631"/>
      <c r="R135" s="1632"/>
      <c r="S135" s="1632"/>
      <c r="T135" s="1632">
        <f>P135</f>
        <v>0</v>
      </c>
      <c r="U135" s="1631"/>
      <c r="V135" s="1633">
        <f>T135-S135</f>
        <v>0</v>
      </c>
      <c r="W135" s="340"/>
      <c r="X135" s="340"/>
    </row>
    <row r="136" spans="1:25" s="236" customFormat="1" ht="5.0999999999999996" customHeight="1" outlineLevel="1">
      <c r="A136" s="368" t="s">
        <v>17</v>
      </c>
      <c r="B136" s="368" t="s">
        <v>17</v>
      </c>
      <c r="C136" s="368"/>
      <c r="D136" s="344"/>
      <c r="E136" s="344"/>
      <c r="F136" s="344"/>
      <c r="G136" s="344"/>
      <c r="H136" s="340"/>
      <c r="I136" s="340"/>
      <c r="J136" s="1637"/>
      <c r="K136" s="1631"/>
      <c r="L136" s="1638"/>
      <c r="M136" s="1631"/>
      <c r="N136" s="1638"/>
      <c r="O136" s="1631"/>
      <c r="P136" s="1638"/>
      <c r="Q136" s="1631"/>
      <c r="R136" s="1638"/>
      <c r="S136" s="1638"/>
      <c r="T136" s="1638"/>
      <c r="U136" s="1631"/>
      <c r="V136" s="1639"/>
      <c r="W136" s="340"/>
      <c r="X136" s="340"/>
      <c r="Y136" s="340"/>
    </row>
    <row r="137" spans="1:25" s="236" customFormat="1">
      <c r="A137" s="342" t="s">
        <v>840</v>
      </c>
      <c r="B137" s="342" t="s">
        <v>17</v>
      </c>
      <c r="C137" s="342"/>
      <c r="D137" s="340"/>
      <c r="E137" s="340"/>
      <c r="F137" s="343" t="s">
        <v>841</v>
      </c>
      <c r="G137" s="340"/>
      <c r="H137" s="340"/>
      <c r="I137" s="340"/>
      <c r="J137" s="1630">
        <f>SUM(J135:J136)</f>
        <v>0</v>
      </c>
      <c r="K137" s="1631"/>
      <c r="L137" s="1632">
        <f>SUM(L135:L136)</f>
        <v>0</v>
      </c>
      <c r="M137" s="1631"/>
      <c r="N137" s="1632">
        <f>SUM(N135:N136)</f>
        <v>0</v>
      </c>
      <c r="O137" s="1631"/>
      <c r="P137" s="1632">
        <f>J137+L137+N137</f>
        <v>0</v>
      </c>
      <c r="Q137" s="1631"/>
      <c r="R137" s="1632">
        <f>SUM(R135:R136)</f>
        <v>0</v>
      </c>
      <c r="S137" s="1632">
        <f>SUM(S135:S136)</f>
        <v>0</v>
      </c>
      <c r="T137" s="1632">
        <f>SUM(T135:T136)</f>
        <v>0</v>
      </c>
      <c r="U137" s="1631"/>
      <c r="V137" s="1633">
        <f>SUM(V135:V136)</f>
        <v>0</v>
      </c>
      <c r="W137" s="340"/>
      <c r="X137" s="340"/>
      <c r="Y137" s="340"/>
    </row>
    <row r="138" spans="1:25" s="236" customFormat="1" outlineLevel="1">
      <c r="A138" s="340"/>
      <c r="B138" s="341" t="s">
        <v>842</v>
      </c>
      <c r="C138" s="342"/>
      <c r="D138" s="343">
        <v>17100</v>
      </c>
      <c r="E138" s="343" t="s">
        <v>843</v>
      </c>
      <c r="F138" s="344"/>
      <c r="G138" s="344"/>
      <c r="H138" s="340"/>
      <c r="I138" s="340"/>
      <c r="J138" s="1630">
        <v>5430281.7800000003</v>
      </c>
      <c r="K138" s="1631"/>
      <c r="L138" s="1632">
        <v>0</v>
      </c>
      <c r="M138" s="1631"/>
      <c r="N138" s="1632">
        <v>0</v>
      </c>
      <c r="O138" s="1631"/>
      <c r="P138" s="1632">
        <f>J138+L138+N138</f>
        <v>5430281.7800000003</v>
      </c>
      <c r="Q138" s="1631"/>
      <c r="R138" s="1632">
        <v>5024605.9800000004</v>
      </c>
      <c r="S138" s="1632">
        <v>5560245.96</v>
      </c>
      <c r="T138" s="1632">
        <f t="shared" ref="T138:T139" si="23">P138</f>
        <v>5430281.7800000003</v>
      </c>
      <c r="U138" s="1631"/>
      <c r="V138" s="1633">
        <f t="shared" ref="V138:V139" si="24">T138-S138</f>
        <v>-129964.1799999997</v>
      </c>
      <c r="W138" s="340"/>
      <c r="X138" s="340"/>
    </row>
    <row r="139" spans="1:25" s="236" customFormat="1" outlineLevel="1">
      <c r="A139" s="340"/>
      <c r="B139" s="341" t="s">
        <v>24</v>
      </c>
      <c r="C139" s="342"/>
      <c r="D139" s="343">
        <v>18100</v>
      </c>
      <c r="E139" s="343" t="s">
        <v>844</v>
      </c>
      <c r="F139" s="344"/>
      <c r="G139" s="344"/>
      <c r="H139" s="340"/>
      <c r="I139" s="340"/>
      <c r="J139" s="1630">
        <v>-14457593.98</v>
      </c>
      <c r="K139" s="1631"/>
      <c r="L139" s="1632">
        <v>0</v>
      </c>
      <c r="M139" s="1631"/>
      <c r="N139" s="1632">
        <v>0</v>
      </c>
      <c r="O139" s="1631"/>
      <c r="P139" s="1632">
        <f>J139+L139+N139</f>
        <v>-14457593.98</v>
      </c>
      <c r="Q139" s="1631"/>
      <c r="R139" s="1632">
        <v>-14457593.98</v>
      </c>
      <c r="S139" s="1632">
        <v>-14457593.98</v>
      </c>
      <c r="T139" s="1632">
        <f t="shared" si="23"/>
        <v>-14457593.98</v>
      </c>
      <c r="U139" s="1631"/>
      <c r="V139" s="1633">
        <f t="shared" si="24"/>
        <v>0</v>
      </c>
      <c r="W139" s="340"/>
      <c r="X139" s="340"/>
    </row>
    <row r="140" spans="1:25" s="236" customFormat="1" ht="5.0999999999999996" customHeight="1" outlineLevel="1">
      <c r="A140" s="342" t="s">
        <v>17</v>
      </c>
      <c r="B140" s="342" t="s">
        <v>17</v>
      </c>
      <c r="C140" s="342"/>
      <c r="D140" s="344"/>
      <c r="E140" s="344"/>
      <c r="F140" s="344"/>
      <c r="G140" s="344"/>
      <c r="H140" s="340"/>
      <c r="I140" s="340"/>
      <c r="J140" s="1637"/>
      <c r="K140" s="1631"/>
      <c r="L140" s="1638"/>
      <c r="M140" s="1631"/>
      <c r="N140" s="1638"/>
      <c r="O140" s="1631"/>
      <c r="P140" s="1638"/>
      <c r="Q140" s="1631"/>
      <c r="R140" s="1638"/>
      <c r="S140" s="1638"/>
      <c r="T140" s="1638"/>
      <c r="U140" s="1631"/>
      <c r="V140" s="1639"/>
      <c r="W140" s="340"/>
      <c r="X140" s="340"/>
      <c r="Y140" s="340"/>
    </row>
    <row r="141" spans="1:25" s="236" customFormat="1">
      <c r="A141" s="342" t="s">
        <v>842</v>
      </c>
      <c r="B141" s="342" t="s">
        <v>17</v>
      </c>
      <c r="C141" s="342"/>
      <c r="D141" s="340"/>
      <c r="E141" s="340"/>
      <c r="F141" s="343" t="s">
        <v>845</v>
      </c>
      <c r="G141" s="340"/>
      <c r="H141" s="340"/>
      <c r="I141" s="340"/>
      <c r="J141" s="1630">
        <f>SUM(J138:J140)</f>
        <v>-9027312.1999999993</v>
      </c>
      <c r="K141" s="1631"/>
      <c r="L141" s="1632">
        <f>SUM(L138:L140)</f>
        <v>0</v>
      </c>
      <c r="M141" s="1631"/>
      <c r="N141" s="1632">
        <f>SUM(N138:N140)</f>
        <v>0</v>
      </c>
      <c r="O141" s="1631"/>
      <c r="P141" s="1632">
        <f>J141+L141+N141</f>
        <v>-9027312.1999999993</v>
      </c>
      <c r="Q141" s="1631"/>
      <c r="R141" s="1632">
        <f>SUM(R138:R140)</f>
        <v>-9432988</v>
      </c>
      <c r="S141" s="1632">
        <f>SUM(S138:S140)</f>
        <v>-8897348.0199999996</v>
      </c>
      <c r="T141" s="1632">
        <f>SUM(T138:T140)</f>
        <v>-9027312.1999999993</v>
      </c>
      <c r="U141" s="1631"/>
      <c r="V141" s="1633">
        <f>SUM(V138:V140)</f>
        <v>-129964.1799999997</v>
      </c>
      <c r="W141" s="340"/>
      <c r="X141" s="340"/>
      <c r="Y141" s="340"/>
    </row>
    <row r="142" spans="1:25" s="236" customFormat="1" ht="7.5" customHeight="1">
      <c r="A142" s="342" t="s">
        <v>17</v>
      </c>
      <c r="B142" s="368" t="s">
        <v>17</v>
      </c>
      <c r="C142" s="368"/>
      <c r="D142" s="340"/>
      <c r="E142" s="340"/>
      <c r="F142" s="340"/>
      <c r="G142" s="340"/>
      <c r="H142" s="340"/>
      <c r="I142" s="340"/>
      <c r="J142" s="1630"/>
      <c r="K142" s="1631"/>
      <c r="L142" s="1632"/>
      <c r="M142" s="1631"/>
      <c r="N142" s="1632"/>
      <c r="O142" s="1631"/>
      <c r="P142" s="1632"/>
      <c r="Q142" s="1631"/>
      <c r="R142" s="1632"/>
      <c r="S142" s="1632"/>
      <c r="T142" s="1632"/>
      <c r="U142" s="1631"/>
      <c r="V142" s="1633"/>
      <c r="W142" s="340"/>
      <c r="X142" s="340"/>
      <c r="Y142" s="340"/>
    </row>
    <row r="143" spans="1:25" s="236" customFormat="1" ht="13.5" thickBot="1">
      <c r="A143" s="342" t="s">
        <v>17</v>
      </c>
      <c r="B143" s="368" t="s">
        <v>17</v>
      </c>
      <c r="C143" s="368"/>
      <c r="D143" s="340"/>
      <c r="E143" s="369" t="s">
        <v>846</v>
      </c>
      <c r="F143" s="340"/>
      <c r="G143" s="340"/>
      <c r="H143" s="340"/>
      <c r="I143" s="340"/>
      <c r="J143" s="1643">
        <f>SUM(J103,J106,J109,J113,J122,J125,J128,J131,J134,J137,J141,J60)</f>
        <v>14437326.090000002</v>
      </c>
      <c r="K143" s="1631"/>
      <c r="L143" s="1644">
        <f>SUM(L103,L106,L109,L113,L122,L125,L128,L131,L134,L137,L141,L60)</f>
        <v>0</v>
      </c>
      <c r="M143" s="1631"/>
      <c r="N143" s="1644">
        <f>SUM(N103,N106,N109,N113,N122,N125,N128,N131,N134,N137,N141,N60)</f>
        <v>0</v>
      </c>
      <c r="O143" s="1631"/>
      <c r="P143" s="1644">
        <f>SUM(P103,P106,P109,P113,P122,P125,P128,P131,P134,P137,P141,P60)</f>
        <v>14437326.090000002</v>
      </c>
      <c r="Q143" s="1631"/>
      <c r="R143" s="1644">
        <f>SUM(R103,R106,R109,R113,R122,R125,R128,R131,R134,R137,R141,R60)</f>
        <v>13797633.719999999</v>
      </c>
      <c r="S143" s="1644">
        <f>SUM(S103,S106,S109,S113,S122,S125,S128,S131,S134,S137,S141,S60)</f>
        <v>14147644.980000002</v>
      </c>
      <c r="T143" s="1644">
        <f>SUM(T103,T106,T109,T113,T122,T125,T128,T131,T134,T137,T141,T60)</f>
        <v>14437326.090000002</v>
      </c>
      <c r="U143" s="1631"/>
      <c r="V143" s="1645">
        <f>SUM(V103,V106,V109,V113,V122,V125,V128,V131,V134,V137,V141,V60)</f>
        <v>289681.11000000039</v>
      </c>
      <c r="W143" s="340"/>
      <c r="X143" s="340"/>
      <c r="Y143" s="340"/>
    </row>
    <row r="144" spans="1:25" s="236" customFormat="1" ht="7.5" customHeight="1" thickTop="1">
      <c r="A144" s="368" t="s">
        <v>17</v>
      </c>
      <c r="B144" s="368"/>
      <c r="C144" s="368"/>
      <c r="D144" s="340"/>
      <c r="E144" s="369"/>
      <c r="F144" s="340"/>
      <c r="G144" s="340"/>
      <c r="H144" s="340"/>
      <c r="I144" s="340"/>
      <c r="J144" s="1630"/>
      <c r="K144" s="1631"/>
      <c r="L144" s="1632"/>
      <c r="M144" s="1631"/>
      <c r="N144" s="1632"/>
      <c r="O144" s="1631"/>
      <c r="P144" s="1632"/>
      <c r="Q144" s="1631"/>
      <c r="R144" s="1632"/>
      <c r="S144" s="1632"/>
      <c r="T144" s="1632"/>
      <c r="U144" s="1631"/>
      <c r="V144" s="1633"/>
      <c r="W144" s="340"/>
      <c r="X144" s="340"/>
      <c r="Y144" s="340"/>
    </row>
    <row r="145" spans="1:25" s="236" customFormat="1" outlineLevel="1">
      <c r="A145" s="340"/>
      <c r="B145" s="341" t="s">
        <v>847</v>
      </c>
      <c r="C145" s="342"/>
      <c r="D145" s="343"/>
      <c r="E145" s="343"/>
      <c r="F145" s="344"/>
      <c r="G145" s="344"/>
      <c r="H145" s="340"/>
      <c r="I145" s="340"/>
      <c r="J145" s="1630"/>
      <c r="K145" s="1631"/>
      <c r="L145" s="1632"/>
      <c r="M145" s="1631"/>
      <c r="N145" s="1632"/>
      <c r="O145" s="1631"/>
      <c r="P145" s="1632">
        <f>J145+L145+N145</f>
        <v>0</v>
      </c>
      <c r="Q145" s="1631"/>
      <c r="R145" s="1632"/>
      <c r="S145" s="1632"/>
      <c r="T145" s="1632">
        <f>P145</f>
        <v>0</v>
      </c>
      <c r="U145" s="1631"/>
      <c r="V145" s="1633">
        <f>T145-S145</f>
        <v>0</v>
      </c>
      <c r="W145" s="340"/>
      <c r="X145" s="340"/>
    </row>
    <row r="146" spans="1:25" s="236" customFormat="1" ht="5.0999999999999996" customHeight="1" outlineLevel="1">
      <c r="A146" s="368"/>
      <c r="B146" s="368"/>
      <c r="C146" s="368"/>
      <c r="D146" s="343"/>
      <c r="E146" s="343"/>
      <c r="F146" s="340"/>
      <c r="G146" s="340"/>
      <c r="H146" s="340"/>
      <c r="I146" s="340"/>
      <c r="J146" s="1637"/>
      <c r="K146" s="1631"/>
      <c r="L146" s="1638"/>
      <c r="M146" s="1631"/>
      <c r="N146" s="1638"/>
      <c r="O146" s="1631"/>
      <c r="P146" s="1638"/>
      <c r="Q146" s="1631"/>
      <c r="R146" s="1638"/>
      <c r="S146" s="1638"/>
      <c r="T146" s="1638"/>
      <c r="U146" s="1631"/>
      <c r="V146" s="1639"/>
      <c r="W146" s="340"/>
      <c r="X146" s="340"/>
      <c r="Y146" s="340"/>
    </row>
    <row r="147" spans="1:25" s="236" customFormat="1" ht="12.75" customHeight="1">
      <c r="A147" s="342" t="s">
        <v>847</v>
      </c>
      <c r="B147" s="368" t="s">
        <v>17</v>
      </c>
      <c r="C147" s="368"/>
      <c r="D147" s="340"/>
      <c r="E147" s="340"/>
      <c r="F147" s="340" t="s">
        <v>848</v>
      </c>
      <c r="G147" s="340"/>
      <c r="H147" s="340"/>
      <c r="I147" s="340"/>
      <c r="J147" s="1630">
        <f>SUM(J145:J146)</f>
        <v>0</v>
      </c>
      <c r="K147" s="1631"/>
      <c r="L147" s="1632">
        <f>SUM(L145:L146)</f>
        <v>0</v>
      </c>
      <c r="M147" s="1631"/>
      <c r="N147" s="1632">
        <f>SUM(N145:N146)</f>
        <v>0</v>
      </c>
      <c r="O147" s="1631"/>
      <c r="P147" s="1632">
        <f>J147+L147+N147</f>
        <v>0</v>
      </c>
      <c r="Q147" s="1631"/>
      <c r="R147" s="1632">
        <f>SUM(R145:R146)</f>
        <v>0</v>
      </c>
      <c r="S147" s="1632">
        <f>SUM(S145:S146)</f>
        <v>0</v>
      </c>
      <c r="T147" s="1632">
        <f>SUM(T145:T146)</f>
        <v>0</v>
      </c>
      <c r="U147" s="1631"/>
      <c r="V147" s="1633">
        <f>SUM(V145:V146)</f>
        <v>0</v>
      </c>
      <c r="W147" s="340"/>
      <c r="X147" s="340"/>
      <c r="Y147" s="340"/>
    </row>
    <row r="148" spans="1:25" s="236" customFormat="1" ht="6" customHeight="1" outlineLevel="1">
      <c r="A148" s="368"/>
      <c r="B148" s="342" t="s">
        <v>17</v>
      </c>
      <c r="C148" s="342"/>
      <c r="D148" s="340"/>
      <c r="E148" s="340"/>
      <c r="F148" s="340"/>
      <c r="G148" s="340"/>
      <c r="H148" s="340"/>
      <c r="I148" s="340"/>
      <c r="J148" s="1630"/>
      <c r="K148" s="1631"/>
      <c r="L148" s="1632"/>
      <c r="M148" s="1631"/>
      <c r="N148" s="1632"/>
      <c r="O148" s="1631"/>
      <c r="P148" s="1632"/>
      <c r="Q148" s="1631"/>
      <c r="R148" s="1632"/>
      <c r="S148" s="1632"/>
      <c r="T148" s="1632"/>
      <c r="U148" s="1631"/>
      <c r="V148" s="1633"/>
      <c r="W148" s="340"/>
      <c r="X148" s="340"/>
      <c r="Y148" s="340"/>
    </row>
    <row r="149" spans="1:25" s="236" customFormat="1" outlineLevel="1">
      <c r="A149" s="340"/>
      <c r="B149" s="341" t="s">
        <v>849</v>
      </c>
      <c r="C149" s="342"/>
      <c r="D149" s="343"/>
      <c r="E149" s="343"/>
      <c r="F149" s="344"/>
      <c r="G149" s="344"/>
      <c r="H149" s="340"/>
      <c r="I149" s="340"/>
      <c r="J149" s="1630"/>
      <c r="K149" s="1631"/>
      <c r="L149" s="1632"/>
      <c r="M149" s="1631"/>
      <c r="N149" s="1632"/>
      <c r="O149" s="1631"/>
      <c r="P149" s="1632">
        <f>J149+L149+N149</f>
        <v>0</v>
      </c>
      <c r="Q149" s="1631"/>
      <c r="R149" s="1632"/>
      <c r="S149" s="1632"/>
      <c r="T149" s="1632">
        <f>P149</f>
        <v>0</v>
      </c>
      <c r="U149" s="1631"/>
      <c r="V149" s="1633">
        <f>T149-S149</f>
        <v>0</v>
      </c>
      <c r="W149" s="340"/>
      <c r="X149" s="340"/>
    </row>
    <row r="150" spans="1:25" s="236" customFormat="1" ht="5.0999999999999996" customHeight="1" outlineLevel="1">
      <c r="A150" s="342" t="s">
        <v>17</v>
      </c>
      <c r="B150" s="342" t="s">
        <v>17</v>
      </c>
      <c r="C150" s="342"/>
      <c r="D150" s="344"/>
      <c r="E150" s="344"/>
      <c r="F150" s="344"/>
      <c r="G150" s="344"/>
      <c r="H150" s="340"/>
      <c r="I150" s="340"/>
      <c r="J150" s="1637"/>
      <c r="K150" s="1631"/>
      <c r="L150" s="1638"/>
      <c r="M150" s="1631"/>
      <c r="N150" s="1638"/>
      <c r="O150" s="1631"/>
      <c r="P150" s="1638"/>
      <c r="Q150" s="1631"/>
      <c r="R150" s="1638"/>
      <c r="S150" s="1638"/>
      <c r="T150" s="1638"/>
      <c r="U150" s="1631"/>
      <c r="V150" s="1639"/>
      <c r="W150" s="340"/>
      <c r="X150" s="340"/>
      <c r="Y150" s="340"/>
    </row>
    <row r="151" spans="1:25" s="236" customFormat="1" ht="12.75" customHeight="1">
      <c r="A151" s="342" t="s">
        <v>849</v>
      </c>
      <c r="B151" s="342" t="s">
        <v>17</v>
      </c>
      <c r="C151" s="342"/>
      <c r="D151" s="340"/>
      <c r="E151" s="340"/>
      <c r="F151" s="343" t="s">
        <v>850</v>
      </c>
      <c r="G151" s="340"/>
      <c r="H151" s="340"/>
      <c r="I151" s="340"/>
      <c r="J151" s="1630">
        <f>SUM(J149:J150)</f>
        <v>0</v>
      </c>
      <c r="K151" s="1631"/>
      <c r="L151" s="1632">
        <f>SUM(L149:L150)</f>
        <v>0</v>
      </c>
      <c r="M151" s="1631"/>
      <c r="N151" s="1632">
        <f>SUM(N149:N150)</f>
        <v>0</v>
      </c>
      <c r="O151" s="1631"/>
      <c r="P151" s="1632">
        <f t="shared" ref="P151" si="25">J151+L151+N151</f>
        <v>0</v>
      </c>
      <c r="Q151" s="1631"/>
      <c r="R151" s="1632">
        <f>SUM(R149:R150)</f>
        <v>0</v>
      </c>
      <c r="S151" s="1632">
        <f>SUM(S149:S150)</f>
        <v>0</v>
      </c>
      <c r="T151" s="1632">
        <f>SUM(T149:T150)</f>
        <v>0</v>
      </c>
      <c r="U151" s="1631"/>
      <c r="V151" s="1633">
        <f>SUM(V149:V150)</f>
        <v>0</v>
      </c>
      <c r="W151" s="340"/>
      <c r="X151" s="340"/>
      <c r="Y151" s="340"/>
    </row>
    <row r="152" spans="1:25" s="236" customFormat="1" outlineLevel="1">
      <c r="A152" s="340"/>
      <c r="B152" s="341" t="s">
        <v>851</v>
      </c>
      <c r="C152" s="342"/>
      <c r="D152" s="343">
        <v>20120</v>
      </c>
      <c r="E152" s="343" t="s">
        <v>852</v>
      </c>
      <c r="F152" s="344"/>
      <c r="G152" s="344"/>
      <c r="H152" s="340"/>
      <c r="I152" s="340"/>
      <c r="J152" s="1630">
        <v>542202.22</v>
      </c>
      <c r="K152" s="1631"/>
      <c r="L152" s="1632">
        <v>0</v>
      </c>
      <c r="M152" s="1631"/>
      <c r="N152" s="1632">
        <v>0</v>
      </c>
      <c r="O152" s="1631"/>
      <c r="P152" s="1632">
        <f t="shared" ref="P152:P159" si="26">J152+L152+N152</f>
        <v>542202.22</v>
      </c>
      <c r="Q152" s="1631"/>
      <c r="R152" s="1632">
        <v>397602.13</v>
      </c>
      <c r="S152" s="1632">
        <v>450074.66</v>
      </c>
      <c r="T152" s="1632">
        <f t="shared" ref="T152:T159" si="27">P152</f>
        <v>542202.22</v>
      </c>
      <c r="U152" s="1631"/>
      <c r="V152" s="1633">
        <f t="shared" ref="V152:V159" si="28">T152-S152</f>
        <v>92127.56</v>
      </c>
      <c r="W152" s="340"/>
      <c r="X152" s="340"/>
    </row>
    <row r="153" spans="1:25" s="236" customFormat="1" outlineLevel="1">
      <c r="A153" s="340"/>
      <c r="B153" s="341" t="s">
        <v>24</v>
      </c>
      <c r="C153" s="342"/>
      <c r="D153" s="343">
        <v>20123</v>
      </c>
      <c r="E153" s="343" t="s">
        <v>853</v>
      </c>
      <c r="F153" s="344"/>
      <c r="G153" s="344"/>
      <c r="H153" s="340"/>
      <c r="I153" s="340"/>
      <c r="J153" s="1630">
        <v>13380.52</v>
      </c>
      <c r="K153" s="1631"/>
      <c r="L153" s="1632">
        <v>0</v>
      </c>
      <c r="M153" s="1631"/>
      <c r="N153" s="1632">
        <v>0</v>
      </c>
      <c r="O153" s="1631"/>
      <c r="P153" s="1632">
        <f t="shared" si="26"/>
        <v>13380.52</v>
      </c>
      <c r="Q153" s="1631"/>
      <c r="R153" s="1632">
        <v>21210.7</v>
      </c>
      <c r="S153" s="1632">
        <v>16801.009999999998</v>
      </c>
      <c r="T153" s="1632">
        <f t="shared" si="27"/>
        <v>13380.52</v>
      </c>
      <c r="U153" s="1631"/>
      <c r="V153" s="1633">
        <f t="shared" si="28"/>
        <v>-3420.489999999998</v>
      </c>
      <c r="W153" s="340"/>
      <c r="X153" s="340"/>
    </row>
    <row r="154" spans="1:25" s="236" customFormat="1" outlineLevel="1">
      <c r="A154" s="340"/>
      <c r="B154" s="341" t="s">
        <v>24</v>
      </c>
      <c r="C154" s="342"/>
      <c r="D154" s="343">
        <v>20140</v>
      </c>
      <c r="E154" s="343" t="s">
        <v>854</v>
      </c>
      <c r="F154" s="344"/>
      <c r="G154" s="344"/>
      <c r="H154" s="340"/>
      <c r="I154" s="340"/>
      <c r="J154" s="1630">
        <v>12582.64</v>
      </c>
      <c r="K154" s="1631"/>
      <c r="L154" s="1632">
        <v>0</v>
      </c>
      <c r="M154" s="1631"/>
      <c r="N154" s="1632">
        <v>0</v>
      </c>
      <c r="O154" s="1631"/>
      <c r="P154" s="1632">
        <f t="shared" si="26"/>
        <v>12582.64</v>
      </c>
      <c r="Q154" s="1631"/>
      <c r="R154" s="1632">
        <v>11761.75</v>
      </c>
      <c r="S154" s="1632">
        <v>14391.91</v>
      </c>
      <c r="T154" s="1632">
        <f t="shared" si="27"/>
        <v>12582.64</v>
      </c>
      <c r="U154" s="1631"/>
      <c r="V154" s="1633">
        <f t="shared" si="28"/>
        <v>-1809.2700000000004</v>
      </c>
      <c r="W154" s="340"/>
      <c r="X154" s="340"/>
    </row>
    <row r="155" spans="1:25" s="236" customFormat="1" outlineLevel="1">
      <c r="A155" s="340"/>
      <c r="B155" s="341" t="s">
        <v>24</v>
      </c>
      <c r="C155" s="342"/>
      <c r="D155" s="343">
        <v>20170</v>
      </c>
      <c r="E155" s="343" t="s">
        <v>855</v>
      </c>
      <c r="F155" s="344"/>
      <c r="G155" s="344"/>
      <c r="H155" s="340"/>
      <c r="I155" s="340"/>
      <c r="J155" s="1630">
        <v>31009.4</v>
      </c>
      <c r="K155" s="1631"/>
      <c r="L155" s="1632">
        <v>0</v>
      </c>
      <c r="M155" s="1631"/>
      <c r="N155" s="1632">
        <v>0</v>
      </c>
      <c r="O155" s="1631"/>
      <c r="P155" s="1632">
        <f t="shared" si="26"/>
        <v>31009.4</v>
      </c>
      <c r="Q155" s="1631"/>
      <c r="R155" s="1632">
        <v>27438.959999999999</v>
      </c>
      <c r="S155" s="1632">
        <v>30083.040000000001</v>
      </c>
      <c r="T155" s="1632">
        <f t="shared" si="27"/>
        <v>31009.4</v>
      </c>
      <c r="U155" s="1631"/>
      <c r="V155" s="1633">
        <f t="shared" si="28"/>
        <v>926.36000000000058</v>
      </c>
      <c r="W155" s="340"/>
      <c r="X155" s="340"/>
    </row>
    <row r="156" spans="1:25" s="236" customFormat="1" outlineLevel="1">
      <c r="A156" s="340"/>
      <c r="B156" s="341" t="s">
        <v>24</v>
      </c>
      <c r="C156" s="342"/>
      <c r="D156" s="343">
        <v>20175</v>
      </c>
      <c r="E156" s="343" t="s">
        <v>856</v>
      </c>
      <c r="F156" s="344"/>
      <c r="G156" s="344"/>
      <c r="H156" s="340"/>
      <c r="I156" s="340"/>
      <c r="J156" s="1630">
        <v>128768.11</v>
      </c>
      <c r="K156" s="1631"/>
      <c r="L156" s="1632">
        <v>0</v>
      </c>
      <c r="M156" s="1631"/>
      <c r="N156" s="1632">
        <v>0</v>
      </c>
      <c r="O156" s="1631"/>
      <c r="P156" s="1632">
        <f t="shared" si="26"/>
        <v>128768.11</v>
      </c>
      <c r="Q156" s="1631"/>
      <c r="R156" s="1632">
        <v>112145.43</v>
      </c>
      <c r="S156" s="1632">
        <v>120757.06</v>
      </c>
      <c r="T156" s="1632">
        <f t="shared" si="27"/>
        <v>128768.11</v>
      </c>
      <c r="U156" s="1631"/>
      <c r="V156" s="1633">
        <f t="shared" si="28"/>
        <v>8011.0500000000029</v>
      </c>
      <c r="W156" s="340"/>
      <c r="X156" s="340"/>
    </row>
    <row r="157" spans="1:25" s="236" customFormat="1" outlineLevel="1">
      <c r="A157" s="340"/>
      <c r="B157" s="341" t="s">
        <v>24</v>
      </c>
      <c r="C157" s="342"/>
      <c r="D157" s="343">
        <v>20178</v>
      </c>
      <c r="E157" s="343" t="s">
        <v>857</v>
      </c>
      <c r="F157" s="344"/>
      <c r="G157" s="344"/>
      <c r="H157" s="340"/>
      <c r="I157" s="340"/>
      <c r="J157" s="1630">
        <v>84452</v>
      </c>
      <c r="K157" s="1631"/>
      <c r="L157" s="1632">
        <v>0</v>
      </c>
      <c r="M157" s="1631"/>
      <c r="N157" s="1632">
        <v>0</v>
      </c>
      <c r="O157" s="1631"/>
      <c r="P157" s="1632">
        <f t="shared" si="26"/>
        <v>84452</v>
      </c>
      <c r="Q157" s="1631"/>
      <c r="R157" s="1632">
        <v>73000</v>
      </c>
      <c r="S157" s="1632">
        <v>78538</v>
      </c>
      <c r="T157" s="1632">
        <f t="shared" si="27"/>
        <v>84452</v>
      </c>
      <c r="U157" s="1631"/>
      <c r="V157" s="1633">
        <f t="shared" si="28"/>
        <v>5914</v>
      </c>
      <c r="W157" s="340"/>
      <c r="X157" s="340"/>
    </row>
    <row r="158" spans="1:25" s="236" customFormat="1" outlineLevel="1">
      <c r="A158" s="340"/>
      <c r="B158" s="341" t="s">
        <v>24</v>
      </c>
      <c r="C158" s="342"/>
      <c r="D158" s="343">
        <v>20180</v>
      </c>
      <c r="E158" s="343" t="s">
        <v>858</v>
      </c>
      <c r="F158" s="344"/>
      <c r="G158" s="344"/>
      <c r="H158" s="340"/>
      <c r="I158" s="340"/>
      <c r="J158" s="1630">
        <v>39444.78</v>
      </c>
      <c r="K158" s="1631"/>
      <c r="L158" s="1632">
        <v>0</v>
      </c>
      <c r="M158" s="1631"/>
      <c r="N158" s="1632">
        <v>0</v>
      </c>
      <c r="O158" s="1631"/>
      <c r="P158" s="1632">
        <f t="shared" si="26"/>
        <v>39444.78</v>
      </c>
      <c r="Q158" s="1631"/>
      <c r="R158" s="1632">
        <v>35287.74</v>
      </c>
      <c r="S158" s="1632">
        <v>37613.68</v>
      </c>
      <c r="T158" s="1632">
        <f t="shared" si="27"/>
        <v>39444.78</v>
      </c>
      <c r="U158" s="1631"/>
      <c r="V158" s="1633">
        <f t="shared" si="28"/>
        <v>1831.0999999999985</v>
      </c>
      <c r="W158" s="340"/>
      <c r="X158" s="340"/>
    </row>
    <row r="159" spans="1:25" s="236" customFormat="1" outlineLevel="1">
      <c r="A159" s="340"/>
      <c r="B159" s="341" t="s">
        <v>24</v>
      </c>
      <c r="C159" s="342"/>
      <c r="D159" s="343">
        <v>20181</v>
      </c>
      <c r="E159" s="343" t="s">
        <v>1123</v>
      </c>
      <c r="F159" s="344"/>
      <c r="G159" s="344"/>
      <c r="H159" s="340"/>
      <c r="I159" s="340"/>
      <c r="J159" s="1630">
        <v>3757.29</v>
      </c>
      <c r="K159" s="1631"/>
      <c r="L159" s="1632">
        <v>0</v>
      </c>
      <c r="M159" s="1631"/>
      <c r="N159" s="1632">
        <v>0</v>
      </c>
      <c r="O159" s="1631"/>
      <c r="P159" s="1632">
        <f t="shared" si="26"/>
        <v>3757.29</v>
      </c>
      <c r="Q159" s="1631"/>
      <c r="R159" s="1632">
        <v>3757.29</v>
      </c>
      <c r="S159" s="1632">
        <v>3757.29</v>
      </c>
      <c r="T159" s="1632">
        <f t="shared" si="27"/>
        <v>3757.29</v>
      </c>
      <c r="U159" s="1631"/>
      <c r="V159" s="1633">
        <f t="shared" si="28"/>
        <v>0</v>
      </c>
      <c r="W159" s="340"/>
      <c r="X159" s="340"/>
    </row>
    <row r="160" spans="1:25" s="236" customFormat="1" ht="5.0999999999999996" customHeight="1" outlineLevel="1">
      <c r="A160" s="342" t="s">
        <v>17</v>
      </c>
      <c r="B160" s="342" t="s">
        <v>17</v>
      </c>
      <c r="C160" s="342"/>
      <c r="D160" s="344"/>
      <c r="E160" s="344"/>
      <c r="F160" s="344"/>
      <c r="G160" s="344"/>
      <c r="H160" s="340"/>
      <c r="I160" s="340"/>
      <c r="J160" s="1637"/>
      <c r="K160" s="1631"/>
      <c r="L160" s="1638"/>
      <c r="M160" s="1631"/>
      <c r="N160" s="1638"/>
      <c r="O160" s="1631"/>
      <c r="P160" s="1638"/>
      <c r="Q160" s="1631"/>
      <c r="R160" s="1638"/>
      <c r="S160" s="1638"/>
      <c r="T160" s="1638"/>
      <c r="U160" s="1631"/>
      <c r="V160" s="1639"/>
      <c r="W160" s="340"/>
      <c r="X160" s="340"/>
      <c r="Y160" s="340"/>
    </row>
    <row r="161" spans="1:25" s="236" customFormat="1">
      <c r="A161" s="342" t="s">
        <v>851</v>
      </c>
      <c r="B161" s="342" t="s">
        <v>17</v>
      </c>
      <c r="C161" s="342"/>
      <c r="D161" s="340"/>
      <c r="E161" s="340"/>
      <c r="F161" s="343" t="s">
        <v>859</v>
      </c>
      <c r="G161" s="340"/>
      <c r="H161" s="340"/>
      <c r="I161" s="340"/>
      <c r="J161" s="1630">
        <f>SUM(J152:J160)</f>
        <v>855596.96000000008</v>
      </c>
      <c r="K161" s="1631"/>
      <c r="L161" s="1632">
        <f>SUM(L152:L160)</f>
        <v>0</v>
      </c>
      <c r="M161" s="1631"/>
      <c r="N161" s="1632">
        <f>SUM(N152:N160)</f>
        <v>0</v>
      </c>
      <c r="O161" s="1631"/>
      <c r="P161" s="1632">
        <f>J161+L161+N161</f>
        <v>855596.96000000008</v>
      </c>
      <c r="Q161" s="1631"/>
      <c r="R161" s="1632">
        <f>SUM(R152:R160)</f>
        <v>682204</v>
      </c>
      <c r="S161" s="1632">
        <f>SUM(S152:S160)</f>
        <v>752016.65</v>
      </c>
      <c r="T161" s="1632">
        <f>SUM(T152:T160)</f>
        <v>855596.96000000008</v>
      </c>
      <c r="U161" s="1631"/>
      <c r="V161" s="1633">
        <f>SUM(V152:V160)</f>
        <v>103580.31</v>
      </c>
      <c r="W161" s="340"/>
      <c r="X161" s="340"/>
      <c r="Y161" s="340"/>
    </row>
    <row r="162" spans="1:25" s="236" customFormat="1" outlineLevel="1">
      <c r="A162" s="340"/>
      <c r="B162" s="341" t="s">
        <v>860</v>
      </c>
      <c r="C162" s="342"/>
      <c r="D162" s="343">
        <v>20300</v>
      </c>
      <c r="E162" s="343" t="s">
        <v>861</v>
      </c>
      <c r="F162" s="344"/>
      <c r="G162" s="344"/>
      <c r="H162" s="340"/>
      <c r="I162" s="340"/>
      <c r="J162" s="1630">
        <v>140858.29</v>
      </c>
      <c r="K162" s="1631"/>
      <c r="L162" s="1632">
        <v>0</v>
      </c>
      <c r="M162" s="1631"/>
      <c r="N162" s="1632">
        <v>0</v>
      </c>
      <c r="O162" s="1631"/>
      <c r="P162" s="1632">
        <f>J162+L162+N162</f>
        <v>140858.29</v>
      </c>
      <c r="Q162" s="1631"/>
      <c r="R162" s="1632">
        <v>141641.71</v>
      </c>
      <c r="S162" s="1632">
        <v>164254.09</v>
      </c>
      <c r="T162" s="1632">
        <f>P162</f>
        <v>140858.29</v>
      </c>
      <c r="U162" s="1631"/>
      <c r="V162" s="1633">
        <f>T162-S162</f>
        <v>-23395.799999999988</v>
      </c>
      <c r="W162" s="340"/>
      <c r="X162" s="340"/>
    </row>
    <row r="163" spans="1:25" s="236" customFormat="1" ht="5.0999999999999996" customHeight="1" outlineLevel="1">
      <c r="A163" s="342" t="s">
        <v>17</v>
      </c>
      <c r="B163" s="368" t="s">
        <v>17</v>
      </c>
      <c r="C163" s="368"/>
      <c r="D163" s="344"/>
      <c r="E163" s="344"/>
      <c r="F163" s="344"/>
      <c r="G163" s="344"/>
      <c r="H163" s="340"/>
      <c r="I163" s="340"/>
      <c r="J163" s="1637"/>
      <c r="K163" s="1631"/>
      <c r="L163" s="1638"/>
      <c r="M163" s="1631"/>
      <c r="N163" s="1638"/>
      <c r="O163" s="1631"/>
      <c r="P163" s="1638"/>
      <c r="Q163" s="1631"/>
      <c r="R163" s="1638"/>
      <c r="S163" s="1638"/>
      <c r="T163" s="1638"/>
      <c r="U163" s="1631"/>
      <c r="V163" s="1639"/>
      <c r="W163" s="340"/>
      <c r="X163" s="340"/>
      <c r="Y163" s="340"/>
    </row>
    <row r="164" spans="1:25" s="236" customFormat="1">
      <c r="A164" s="342" t="s">
        <v>860</v>
      </c>
      <c r="B164" s="368" t="s">
        <v>17</v>
      </c>
      <c r="C164" s="368"/>
      <c r="D164" s="340"/>
      <c r="E164" s="340"/>
      <c r="F164" s="343" t="s">
        <v>862</v>
      </c>
      <c r="G164" s="340"/>
      <c r="H164" s="340"/>
      <c r="I164" s="340"/>
      <c r="J164" s="1630">
        <f>SUM(J162:J163)</f>
        <v>140858.29</v>
      </c>
      <c r="K164" s="1631"/>
      <c r="L164" s="1632">
        <f>SUM(L162:L163)</f>
        <v>0</v>
      </c>
      <c r="M164" s="1631"/>
      <c r="N164" s="1632">
        <f>SUM(N162:N163)</f>
        <v>0</v>
      </c>
      <c r="O164" s="1631"/>
      <c r="P164" s="1632">
        <f t="shared" ref="P164" si="29">J164+L164+N164</f>
        <v>140858.29</v>
      </c>
      <c r="Q164" s="1631"/>
      <c r="R164" s="1632">
        <f>SUM(R162:R163)</f>
        <v>141641.71</v>
      </c>
      <c r="S164" s="1632">
        <f>SUM(S162:S163)</f>
        <v>164254.09</v>
      </c>
      <c r="T164" s="1632">
        <f>SUM(T162:T163)</f>
        <v>140858.29</v>
      </c>
      <c r="U164" s="1631"/>
      <c r="V164" s="1633">
        <f>SUM(V162:V163)</f>
        <v>-23395.799999999988</v>
      </c>
      <c r="W164" s="340"/>
      <c r="X164" s="340"/>
      <c r="Y164" s="340"/>
    </row>
    <row r="165" spans="1:25" s="236" customFormat="1" outlineLevel="1">
      <c r="A165" s="340"/>
      <c r="B165" s="341" t="s">
        <v>863</v>
      </c>
      <c r="C165" s="342"/>
      <c r="D165" s="343">
        <v>20320</v>
      </c>
      <c r="E165" s="343" t="s">
        <v>864</v>
      </c>
      <c r="F165" s="344"/>
      <c r="G165" s="344"/>
      <c r="H165" s="340"/>
      <c r="I165" s="340"/>
      <c r="J165" s="1630">
        <v>178556.53</v>
      </c>
      <c r="K165" s="1631"/>
      <c r="L165" s="1632">
        <v>0</v>
      </c>
      <c r="M165" s="1631"/>
      <c r="N165" s="1632">
        <v>0</v>
      </c>
      <c r="O165" s="1631"/>
      <c r="P165" s="1632">
        <f t="shared" ref="P165:P170" si="30">J165+L165+N165</f>
        <v>178556.53</v>
      </c>
      <c r="Q165" s="1631"/>
      <c r="R165" s="1632">
        <v>124263.4</v>
      </c>
      <c r="S165" s="1632">
        <v>125073.05</v>
      </c>
      <c r="T165" s="1632">
        <f t="shared" ref="T165:T170" si="31">P165</f>
        <v>178556.53</v>
      </c>
      <c r="U165" s="1631"/>
      <c r="V165" s="1633">
        <f t="shared" ref="V165:V170" si="32">T165-S165</f>
        <v>53483.479999999996</v>
      </c>
      <c r="W165" s="340"/>
      <c r="X165" s="340"/>
    </row>
    <row r="166" spans="1:25" s="236" customFormat="1" outlineLevel="1">
      <c r="A166" s="340"/>
      <c r="B166" s="341" t="s">
        <v>24</v>
      </c>
      <c r="C166" s="342"/>
      <c r="D166" s="343">
        <v>20321</v>
      </c>
      <c r="E166" s="343" t="s">
        <v>865</v>
      </c>
      <c r="F166" s="344"/>
      <c r="G166" s="344"/>
      <c r="H166" s="340"/>
      <c r="I166" s="340"/>
      <c r="J166" s="1630">
        <v>27792.62</v>
      </c>
      <c r="K166" s="1631"/>
      <c r="L166" s="1632">
        <v>0</v>
      </c>
      <c r="M166" s="1631"/>
      <c r="N166" s="1632">
        <v>0</v>
      </c>
      <c r="O166" s="1631"/>
      <c r="P166" s="1632">
        <f t="shared" si="30"/>
        <v>27792.62</v>
      </c>
      <c r="Q166" s="1631"/>
      <c r="R166" s="1632">
        <v>17669.560000000001</v>
      </c>
      <c r="S166" s="1632">
        <v>29592.44</v>
      </c>
      <c r="T166" s="1632">
        <f t="shared" si="31"/>
        <v>27792.62</v>
      </c>
      <c r="U166" s="1631"/>
      <c r="V166" s="1633">
        <f t="shared" si="32"/>
        <v>-1799.8199999999997</v>
      </c>
      <c r="W166" s="340"/>
      <c r="X166" s="340"/>
    </row>
    <row r="167" spans="1:25" s="236" customFormat="1" outlineLevel="1">
      <c r="A167" s="340"/>
      <c r="B167" s="341" t="s">
        <v>24</v>
      </c>
      <c r="C167" s="342"/>
      <c r="D167" s="343">
        <v>20340</v>
      </c>
      <c r="E167" s="343" t="s">
        <v>866</v>
      </c>
      <c r="F167" s="344"/>
      <c r="G167" s="344"/>
      <c r="H167" s="340"/>
      <c r="I167" s="340"/>
      <c r="J167" s="1630">
        <v>37902.120000000003</v>
      </c>
      <c r="K167" s="1631"/>
      <c r="L167" s="1632">
        <v>0</v>
      </c>
      <c r="M167" s="1631"/>
      <c r="N167" s="1632">
        <v>0</v>
      </c>
      <c r="O167" s="1631"/>
      <c r="P167" s="1632">
        <f t="shared" si="30"/>
        <v>37902.120000000003</v>
      </c>
      <c r="Q167" s="1631"/>
      <c r="R167" s="1632">
        <v>23235.81</v>
      </c>
      <c r="S167" s="1632">
        <v>30632.48</v>
      </c>
      <c r="T167" s="1632">
        <f t="shared" si="31"/>
        <v>37902.120000000003</v>
      </c>
      <c r="U167" s="1631"/>
      <c r="V167" s="1633">
        <f t="shared" si="32"/>
        <v>7269.6400000000031</v>
      </c>
      <c r="W167" s="340"/>
      <c r="X167" s="340"/>
    </row>
    <row r="168" spans="1:25" s="236" customFormat="1" outlineLevel="1">
      <c r="A168" s="340"/>
      <c r="B168" s="341" t="s">
        <v>24</v>
      </c>
      <c r="C168" s="342"/>
      <c r="D168" s="343">
        <v>20351</v>
      </c>
      <c r="E168" s="343" t="s">
        <v>867</v>
      </c>
      <c r="F168" s="344"/>
      <c r="G168" s="344"/>
      <c r="H168" s="340"/>
      <c r="I168" s="340"/>
      <c r="J168" s="1630">
        <v>9976.4599999999991</v>
      </c>
      <c r="K168" s="1631"/>
      <c r="L168" s="1632">
        <v>0</v>
      </c>
      <c r="M168" s="1631"/>
      <c r="N168" s="1632">
        <v>0</v>
      </c>
      <c r="O168" s="1631"/>
      <c r="P168" s="1632">
        <f t="shared" si="30"/>
        <v>9976.4599999999991</v>
      </c>
      <c r="Q168" s="1631"/>
      <c r="R168" s="1632">
        <v>4988.2299999999996</v>
      </c>
      <c r="S168" s="1632">
        <v>7482.34</v>
      </c>
      <c r="T168" s="1632">
        <f t="shared" si="31"/>
        <v>9976.4599999999991</v>
      </c>
      <c r="U168" s="1631"/>
      <c r="V168" s="1633">
        <f t="shared" si="32"/>
        <v>2494.119999999999</v>
      </c>
      <c r="W168" s="340"/>
      <c r="X168" s="340"/>
    </row>
    <row r="169" spans="1:25" s="236" customFormat="1" outlineLevel="1">
      <c r="A169" s="340"/>
      <c r="B169" s="341" t="s">
        <v>24</v>
      </c>
      <c r="C169" s="342"/>
      <c r="D169" s="343">
        <v>20360</v>
      </c>
      <c r="E169" s="343" t="s">
        <v>868</v>
      </c>
      <c r="F169" s="344"/>
      <c r="G169" s="344"/>
      <c r="H169" s="340"/>
      <c r="I169" s="340"/>
      <c r="J169" s="1630">
        <v>0</v>
      </c>
      <c r="K169" s="1631"/>
      <c r="L169" s="1632">
        <v>0</v>
      </c>
      <c r="M169" s="1631"/>
      <c r="N169" s="1632">
        <v>0</v>
      </c>
      <c r="O169" s="1631"/>
      <c r="P169" s="1632">
        <f t="shared" si="30"/>
        <v>0</v>
      </c>
      <c r="Q169" s="1631"/>
      <c r="R169" s="1632">
        <v>0</v>
      </c>
      <c r="S169" s="1632">
        <v>0</v>
      </c>
      <c r="T169" s="1632">
        <f t="shared" si="31"/>
        <v>0</v>
      </c>
      <c r="U169" s="1631"/>
      <c r="V169" s="1633">
        <f t="shared" si="32"/>
        <v>0</v>
      </c>
      <c r="W169" s="340"/>
      <c r="X169" s="340"/>
    </row>
    <row r="170" spans="1:25" s="236" customFormat="1" outlineLevel="1">
      <c r="A170" s="340"/>
      <c r="B170" s="341" t="s">
        <v>24</v>
      </c>
      <c r="C170" s="342"/>
      <c r="D170" s="343">
        <v>20397</v>
      </c>
      <c r="E170" s="343" t="s">
        <v>869</v>
      </c>
      <c r="F170" s="344"/>
      <c r="G170" s="344"/>
      <c r="H170" s="340"/>
      <c r="I170" s="340"/>
      <c r="J170" s="1630">
        <v>0</v>
      </c>
      <c r="K170" s="1631"/>
      <c r="L170" s="1632">
        <v>0</v>
      </c>
      <c r="M170" s="1631"/>
      <c r="N170" s="1632">
        <v>0</v>
      </c>
      <c r="O170" s="1631"/>
      <c r="P170" s="1632">
        <f t="shared" si="30"/>
        <v>0</v>
      </c>
      <c r="Q170" s="1631"/>
      <c r="R170" s="1632">
        <v>0</v>
      </c>
      <c r="S170" s="1632">
        <v>0</v>
      </c>
      <c r="T170" s="1632">
        <f t="shared" si="31"/>
        <v>0</v>
      </c>
      <c r="U170" s="1631"/>
      <c r="V170" s="1633">
        <f t="shared" si="32"/>
        <v>0</v>
      </c>
      <c r="W170" s="340"/>
      <c r="X170" s="340"/>
    </row>
    <row r="171" spans="1:25" s="236" customFormat="1" ht="4.5" customHeight="1" outlineLevel="1">
      <c r="A171" s="368" t="s">
        <v>17</v>
      </c>
      <c r="B171" s="368" t="s">
        <v>17</v>
      </c>
      <c r="C171" s="368"/>
      <c r="D171" s="370"/>
      <c r="E171" s="340"/>
      <c r="F171" s="340"/>
      <c r="G171" s="340"/>
      <c r="H171" s="340"/>
      <c r="I171" s="340"/>
      <c r="J171" s="1637"/>
      <c r="K171" s="1631"/>
      <c r="L171" s="1638"/>
      <c r="M171" s="1631"/>
      <c r="N171" s="1638"/>
      <c r="O171" s="1631"/>
      <c r="P171" s="1638"/>
      <c r="Q171" s="1631"/>
      <c r="R171" s="1638"/>
      <c r="S171" s="1638"/>
      <c r="T171" s="1638"/>
      <c r="U171" s="1631"/>
      <c r="V171" s="1639"/>
      <c r="W171" s="340"/>
      <c r="X171" s="340"/>
      <c r="Y171" s="340"/>
    </row>
    <row r="172" spans="1:25" s="236" customFormat="1">
      <c r="A172" s="342" t="s">
        <v>863</v>
      </c>
      <c r="B172" s="368" t="s">
        <v>17</v>
      </c>
      <c r="C172" s="368"/>
      <c r="D172" s="340"/>
      <c r="E172" s="340"/>
      <c r="F172" s="340" t="s">
        <v>870</v>
      </c>
      <c r="G172" s="340"/>
      <c r="H172" s="340"/>
      <c r="I172" s="340"/>
      <c r="J172" s="1630">
        <f>SUM(J165:J171)</f>
        <v>254227.72999999998</v>
      </c>
      <c r="K172" s="1631"/>
      <c r="L172" s="1632">
        <f>SUM(L165:L171)</f>
        <v>0</v>
      </c>
      <c r="M172" s="1631"/>
      <c r="N172" s="1632">
        <f>SUM(N165:N171)</f>
        <v>0</v>
      </c>
      <c r="O172" s="1631"/>
      <c r="P172" s="1632">
        <f>J172+L172+N172</f>
        <v>254227.72999999998</v>
      </c>
      <c r="Q172" s="1631"/>
      <c r="R172" s="1632">
        <f>SUM(R165:R171)</f>
        <v>170157</v>
      </c>
      <c r="S172" s="1632">
        <f>SUM(S165:S171)</f>
        <v>192780.31</v>
      </c>
      <c r="T172" s="1632">
        <f>SUM(T165:T171)</f>
        <v>254227.72999999998</v>
      </c>
      <c r="U172" s="1631"/>
      <c r="V172" s="1633">
        <f>SUM(V165:V171)</f>
        <v>61447.42</v>
      </c>
      <c r="W172" s="340"/>
      <c r="X172" s="340"/>
      <c r="Y172" s="340"/>
    </row>
    <row r="173" spans="1:25" s="236" customFormat="1" ht="7.5" customHeight="1">
      <c r="A173" s="368" t="s">
        <v>17</v>
      </c>
      <c r="B173" s="368" t="s">
        <v>17</v>
      </c>
      <c r="C173" s="368"/>
      <c r="D173" s="340"/>
      <c r="E173" s="340"/>
      <c r="F173" s="340"/>
      <c r="G173" s="340"/>
      <c r="H173" s="340"/>
      <c r="I173" s="340"/>
      <c r="J173" s="1630"/>
      <c r="K173" s="1631"/>
      <c r="L173" s="1632"/>
      <c r="M173" s="1631"/>
      <c r="N173" s="1632"/>
      <c r="O173" s="1631"/>
      <c r="P173" s="1632"/>
      <c r="Q173" s="1631"/>
      <c r="R173" s="1632"/>
      <c r="S173" s="1632"/>
      <c r="T173" s="1632"/>
      <c r="U173" s="1631"/>
      <c r="V173" s="1633"/>
      <c r="W173" s="340"/>
      <c r="X173" s="340"/>
      <c r="Y173" s="340"/>
    </row>
    <row r="174" spans="1:25" s="236" customFormat="1">
      <c r="A174" s="368" t="s">
        <v>17</v>
      </c>
      <c r="B174" s="368" t="s">
        <v>17</v>
      </c>
      <c r="C174" s="368"/>
      <c r="D174" s="340"/>
      <c r="E174" s="369" t="s">
        <v>871</v>
      </c>
      <c r="F174" s="340"/>
      <c r="G174" s="340"/>
      <c r="H174" s="340"/>
      <c r="I174" s="340"/>
      <c r="J174" s="1640">
        <f>SUM(J151,J161,J164,J172,J147)</f>
        <v>1250682.98</v>
      </c>
      <c r="K174" s="1631"/>
      <c r="L174" s="1641">
        <f>SUM(L151,L161,L164,L172,L147)</f>
        <v>0</v>
      </c>
      <c r="M174" s="1631"/>
      <c r="N174" s="1641">
        <f>SUM(N151,N161,N164,N172)</f>
        <v>0</v>
      </c>
      <c r="O174" s="1631"/>
      <c r="P174" s="1641">
        <f>SUM(P151,P161,P164,P172,P147)</f>
        <v>1250682.98</v>
      </c>
      <c r="Q174" s="1631"/>
      <c r="R174" s="1641">
        <f>SUM(R151,R161,R164,R172,R147)</f>
        <v>994002.71</v>
      </c>
      <c r="S174" s="1641">
        <f>SUM(S151,S161,S164,S172,S147)</f>
        <v>1109051.05</v>
      </c>
      <c r="T174" s="1641">
        <f>SUM(T151,T161,T164,T172,T147)</f>
        <v>1250682.98</v>
      </c>
      <c r="U174" s="1631"/>
      <c r="V174" s="1642">
        <f>SUM(V151,V161,V164,V172,V147)</f>
        <v>141631.93</v>
      </c>
      <c r="W174" s="340"/>
      <c r="X174" s="340"/>
      <c r="Y174" s="340"/>
    </row>
    <row r="175" spans="1:25" s="236" customFormat="1" ht="7.5" customHeight="1">
      <c r="A175" s="368" t="s">
        <v>17</v>
      </c>
      <c r="B175" s="368" t="s">
        <v>17</v>
      </c>
      <c r="C175" s="368"/>
      <c r="D175" s="340"/>
      <c r="E175" s="340"/>
      <c r="F175" s="340"/>
      <c r="G175" s="340"/>
      <c r="H175" s="340"/>
      <c r="I175" s="340"/>
      <c r="J175" s="1630"/>
      <c r="K175" s="1631"/>
      <c r="L175" s="1632"/>
      <c r="M175" s="1631"/>
      <c r="N175" s="1632"/>
      <c r="O175" s="1631"/>
      <c r="P175" s="1632"/>
      <c r="Q175" s="1631"/>
      <c r="R175" s="1632"/>
      <c r="S175" s="1632"/>
      <c r="T175" s="1632"/>
      <c r="U175" s="1631"/>
      <c r="V175" s="1633"/>
      <c r="W175" s="340"/>
      <c r="X175" s="340"/>
      <c r="Y175" s="340"/>
    </row>
    <row r="176" spans="1:25" s="236" customFormat="1" outlineLevel="1">
      <c r="A176" s="368" t="s">
        <v>17</v>
      </c>
      <c r="B176" s="368" t="s">
        <v>17</v>
      </c>
      <c r="C176" s="368"/>
      <c r="D176" s="340"/>
      <c r="E176" s="340"/>
      <c r="F176" s="340"/>
      <c r="G176" s="340"/>
      <c r="H176" s="340"/>
      <c r="I176" s="340"/>
      <c r="J176" s="1630"/>
      <c r="K176" s="1631"/>
      <c r="L176" s="1632"/>
      <c r="M176" s="1631"/>
      <c r="N176" s="1632"/>
      <c r="O176" s="1631"/>
      <c r="P176" s="1632"/>
      <c r="Q176" s="1631"/>
      <c r="R176" s="1632"/>
      <c r="S176" s="1632"/>
      <c r="T176" s="1632"/>
      <c r="U176" s="1631"/>
      <c r="V176" s="1633"/>
      <c r="W176" s="340"/>
      <c r="X176" s="340"/>
      <c r="Y176" s="340"/>
    </row>
    <row r="177" spans="1:25" s="236" customFormat="1" outlineLevel="1">
      <c r="A177" s="340"/>
      <c r="B177" s="341" t="s">
        <v>872</v>
      </c>
      <c r="C177" s="342"/>
      <c r="D177" s="343"/>
      <c r="E177" s="343"/>
      <c r="F177" s="344"/>
      <c r="G177" s="344"/>
      <c r="H177" s="340"/>
      <c r="I177" s="340"/>
      <c r="J177" s="1630"/>
      <c r="K177" s="1631"/>
      <c r="L177" s="1632"/>
      <c r="M177" s="1631"/>
      <c r="N177" s="1632"/>
      <c r="O177" s="1631"/>
      <c r="P177" s="1632">
        <f>J177+L177+N177</f>
        <v>0</v>
      </c>
      <c r="Q177" s="1631"/>
      <c r="R177" s="1632"/>
      <c r="S177" s="1632"/>
      <c r="T177" s="1632">
        <f>P177</f>
        <v>0</v>
      </c>
      <c r="U177" s="1631"/>
      <c r="V177" s="1633">
        <f>T177-S177</f>
        <v>0</v>
      </c>
      <c r="W177" s="340"/>
      <c r="X177" s="340"/>
    </row>
    <row r="178" spans="1:25" s="236" customFormat="1" ht="5.0999999999999996" customHeight="1" outlineLevel="1">
      <c r="A178" s="368" t="s">
        <v>17</v>
      </c>
      <c r="B178" s="368" t="s">
        <v>17</v>
      </c>
      <c r="C178" s="368"/>
      <c r="D178" s="344"/>
      <c r="E178" s="344"/>
      <c r="F178" s="344"/>
      <c r="G178" s="344"/>
      <c r="H178" s="340"/>
      <c r="I178" s="340"/>
      <c r="J178" s="1637"/>
      <c r="K178" s="1631"/>
      <c r="L178" s="1638"/>
      <c r="M178" s="1631"/>
      <c r="N178" s="1638"/>
      <c r="O178" s="1631"/>
      <c r="P178" s="1638"/>
      <c r="Q178" s="1631"/>
      <c r="R178" s="1638"/>
      <c r="S178" s="1638"/>
      <c r="T178" s="1638"/>
      <c r="U178" s="1631"/>
      <c r="V178" s="1639"/>
      <c r="W178" s="340"/>
      <c r="X178" s="340"/>
      <c r="Y178" s="340"/>
    </row>
    <row r="179" spans="1:25" s="236" customFormat="1">
      <c r="A179" s="342" t="s">
        <v>872</v>
      </c>
      <c r="B179" s="368" t="s">
        <v>17</v>
      </c>
      <c r="C179" s="368"/>
      <c r="D179" s="340"/>
      <c r="E179" s="340"/>
      <c r="F179" s="343" t="s">
        <v>873</v>
      </c>
      <c r="G179" s="340"/>
      <c r="H179" s="340"/>
      <c r="I179" s="340"/>
      <c r="J179" s="1630">
        <f>SUM(J177:J178)</f>
        <v>0</v>
      </c>
      <c r="K179" s="1631"/>
      <c r="L179" s="1632">
        <f>SUM(L177:L178)</f>
        <v>0</v>
      </c>
      <c r="M179" s="1631"/>
      <c r="N179" s="1632">
        <f>SUM(N177:N178)</f>
        <v>0</v>
      </c>
      <c r="O179" s="1631"/>
      <c r="P179" s="1632">
        <f>J179+L179+N179</f>
        <v>0</v>
      </c>
      <c r="Q179" s="1631"/>
      <c r="R179" s="1632">
        <f>SUM(R177:R178)</f>
        <v>0</v>
      </c>
      <c r="S179" s="1632">
        <f>SUM(S177:S178)</f>
        <v>0</v>
      </c>
      <c r="T179" s="1632">
        <f>SUM(T177:T178)</f>
        <v>0</v>
      </c>
      <c r="U179" s="1631"/>
      <c r="V179" s="1633">
        <f>SUM(V177:V178)</f>
        <v>0</v>
      </c>
      <c r="W179" s="340"/>
      <c r="X179" s="340"/>
      <c r="Y179" s="340"/>
    </row>
    <row r="180" spans="1:25" s="236" customFormat="1" outlineLevel="1">
      <c r="A180" s="340"/>
      <c r="B180" s="341" t="s">
        <v>874</v>
      </c>
      <c r="C180" s="342"/>
      <c r="D180" s="343"/>
      <c r="E180" s="343"/>
      <c r="F180" s="344"/>
      <c r="G180" s="344"/>
      <c r="H180" s="340"/>
      <c r="I180" s="340"/>
      <c r="J180" s="1630"/>
      <c r="K180" s="1631"/>
      <c r="L180" s="1632"/>
      <c r="M180" s="1631"/>
      <c r="N180" s="1632"/>
      <c r="O180" s="1631"/>
      <c r="P180" s="1632">
        <f>J180+L180+N180</f>
        <v>0</v>
      </c>
      <c r="Q180" s="1631"/>
      <c r="R180" s="1632"/>
      <c r="S180" s="1632"/>
      <c r="T180" s="1632">
        <f>P180</f>
        <v>0</v>
      </c>
      <c r="U180" s="1631"/>
      <c r="V180" s="1633">
        <f>T180-S180</f>
        <v>0</v>
      </c>
      <c r="W180" s="340"/>
      <c r="X180" s="340"/>
    </row>
    <row r="181" spans="1:25" s="236" customFormat="1" ht="5.0999999999999996" customHeight="1" outlineLevel="1">
      <c r="A181" s="368" t="s">
        <v>17</v>
      </c>
      <c r="B181" s="368" t="s">
        <v>17</v>
      </c>
      <c r="C181" s="368"/>
      <c r="D181" s="344"/>
      <c r="E181" s="344"/>
      <c r="F181" s="344"/>
      <c r="G181" s="344"/>
      <c r="H181" s="340"/>
      <c r="I181" s="340"/>
      <c r="J181" s="1637"/>
      <c r="K181" s="1631"/>
      <c r="L181" s="1638"/>
      <c r="M181" s="1631"/>
      <c r="N181" s="1638"/>
      <c r="O181" s="1631"/>
      <c r="P181" s="1638"/>
      <c r="Q181" s="1631"/>
      <c r="R181" s="1638"/>
      <c r="S181" s="1638"/>
      <c r="T181" s="1638"/>
      <c r="U181" s="1631"/>
      <c r="V181" s="1639"/>
      <c r="W181" s="340"/>
      <c r="X181" s="340"/>
      <c r="Y181" s="340"/>
    </row>
    <row r="182" spans="1:25" s="236" customFormat="1">
      <c r="A182" s="342" t="s">
        <v>874</v>
      </c>
      <c r="B182" s="368" t="s">
        <v>17</v>
      </c>
      <c r="C182" s="368"/>
      <c r="D182" s="340"/>
      <c r="E182" s="340"/>
      <c r="F182" s="343" t="s">
        <v>875</v>
      </c>
      <c r="G182" s="340"/>
      <c r="H182" s="340"/>
      <c r="I182" s="340"/>
      <c r="J182" s="1630">
        <f>SUM(J180:J181)</f>
        <v>0</v>
      </c>
      <c r="K182" s="1631"/>
      <c r="L182" s="1632">
        <f>SUM(L180:L181)</f>
        <v>0</v>
      </c>
      <c r="M182" s="1631"/>
      <c r="N182" s="1632">
        <f>SUM(N180:N181)</f>
        <v>0</v>
      </c>
      <c r="O182" s="1631"/>
      <c r="P182" s="1632">
        <f>J182+L182+N182</f>
        <v>0</v>
      </c>
      <c r="Q182" s="1631"/>
      <c r="R182" s="1632">
        <f>SUM(R180:R181)</f>
        <v>0</v>
      </c>
      <c r="S182" s="1632">
        <f>SUM(S180:S181)</f>
        <v>0</v>
      </c>
      <c r="T182" s="1632">
        <f>SUM(T180:T181)</f>
        <v>0</v>
      </c>
      <c r="U182" s="1631"/>
      <c r="V182" s="1633">
        <f>SUM(V180:V181)</f>
        <v>0</v>
      </c>
      <c r="W182" s="340"/>
      <c r="X182" s="340"/>
      <c r="Y182" s="340"/>
    </row>
    <row r="183" spans="1:25" s="236" customFormat="1" outlineLevel="1">
      <c r="A183" s="340"/>
      <c r="B183" s="341" t="s">
        <v>876</v>
      </c>
      <c r="C183" s="342"/>
      <c r="D183" s="343"/>
      <c r="E183" s="343"/>
      <c r="F183" s="344"/>
      <c r="G183" s="344"/>
      <c r="H183" s="340"/>
      <c r="I183" s="340"/>
      <c r="J183" s="1630"/>
      <c r="K183" s="1631"/>
      <c r="L183" s="1632"/>
      <c r="M183" s="1631"/>
      <c r="N183" s="1632"/>
      <c r="O183" s="1631"/>
      <c r="P183" s="1632">
        <f>J183+L183+N183</f>
        <v>0</v>
      </c>
      <c r="Q183" s="1631"/>
      <c r="R183" s="1632"/>
      <c r="S183" s="1632"/>
      <c r="T183" s="1632">
        <f>P183</f>
        <v>0</v>
      </c>
      <c r="U183" s="1631"/>
      <c r="V183" s="1633">
        <f>T183-S183</f>
        <v>0</v>
      </c>
      <c r="W183" s="340"/>
      <c r="X183" s="340"/>
    </row>
    <row r="184" spans="1:25" s="236" customFormat="1" ht="5.0999999999999996" customHeight="1" outlineLevel="1">
      <c r="A184" s="368" t="s">
        <v>17</v>
      </c>
      <c r="B184" s="342" t="s">
        <v>17</v>
      </c>
      <c r="C184" s="342"/>
      <c r="D184" s="344"/>
      <c r="E184" s="344"/>
      <c r="F184" s="344"/>
      <c r="G184" s="344"/>
      <c r="H184" s="340"/>
      <c r="I184" s="340"/>
      <c r="J184" s="1637"/>
      <c r="K184" s="1631"/>
      <c r="L184" s="1638"/>
      <c r="M184" s="1631"/>
      <c r="N184" s="1638"/>
      <c r="O184" s="1631"/>
      <c r="P184" s="1638"/>
      <c r="Q184" s="1631"/>
      <c r="R184" s="1638"/>
      <c r="S184" s="1638"/>
      <c r="T184" s="1638"/>
      <c r="U184" s="1631"/>
      <c r="V184" s="1639"/>
      <c r="W184" s="340"/>
      <c r="X184" s="340"/>
      <c r="Y184" s="340"/>
    </row>
    <row r="185" spans="1:25" s="236" customFormat="1">
      <c r="A185" s="342" t="s">
        <v>876</v>
      </c>
      <c r="B185" s="342" t="s">
        <v>17</v>
      </c>
      <c r="C185" s="342"/>
      <c r="D185" s="340"/>
      <c r="E185" s="340"/>
      <c r="F185" s="343" t="s">
        <v>877</v>
      </c>
      <c r="G185" s="340"/>
      <c r="H185" s="340"/>
      <c r="I185" s="340"/>
      <c r="J185" s="1630">
        <f>SUM(J183:J184)</f>
        <v>0</v>
      </c>
      <c r="K185" s="1631"/>
      <c r="L185" s="1632">
        <f>SUM(L183:L184)</f>
        <v>0</v>
      </c>
      <c r="M185" s="1631"/>
      <c r="N185" s="1632">
        <f>SUM(N183:N184)</f>
        <v>0</v>
      </c>
      <c r="O185" s="1631"/>
      <c r="P185" s="1632">
        <f>J185+L185+N185</f>
        <v>0</v>
      </c>
      <c r="Q185" s="1631"/>
      <c r="R185" s="1632">
        <f>SUM(R183:R184)</f>
        <v>0</v>
      </c>
      <c r="S185" s="1632">
        <f>SUM(S183:S184)</f>
        <v>0</v>
      </c>
      <c r="T185" s="1632">
        <f>SUM(T183:T184)</f>
        <v>0</v>
      </c>
      <c r="U185" s="1631"/>
      <c r="V185" s="1633">
        <f>SUM(V183:V184)</f>
        <v>0</v>
      </c>
      <c r="W185" s="340"/>
      <c r="X185" s="340"/>
      <c r="Y185" s="340"/>
    </row>
    <row r="186" spans="1:25" s="236" customFormat="1" outlineLevel="1">
      <c r="A186" s="340"/>
      <c r="B186" s="341" t="s">
        <v>878</v>
      </c>
      <c r="C186" s="342"/>
      <c r="D186" s="343"/>
      <c r="E186" s="343"/>
      <c r="F186" s="344"/>
      <c r="G186" s="344"/>
      <c r="H186" s="340"/>
      <c r="I186" s="340"/>
      <c r="J186" s="1630"/>
      <c r="K186" s="1631"/>
      <c r="L186" s="1632"/>
      <c r="M186" s="1631"/>
      <c r="N186" s="1632"/>
      <c r="O186" s="1631"/>
      <c r="P186" s="1632">
        <f>J186+L186+N186</f>
        <v>0</v>
      </c>
      <c r="Q186" s="1631"/>
      <c r="R186" s="1632"/>
      <c r="S186" s="1632"/>
      <c r="T186" s="1632">
        <f>P186</f>
        <v>0</v>
      </c>
      <c r="U186" s="1631"/>
      <c r="V186" s="1633">
        <f>T186-S186</f>
        <v>0</v>
      </c>
      <c r="W186" s="340"/>
      <c r="X186" s="340"/>
    </row>
    <row r="187" spans="1:25" s="236" customFormat="1" ht="5.0999999999999996" customHeight="1" outlineLevel="1">
      <c r="A187" s="342" t="s">
        <v>17</v>
      </c>
      <c r="B187" s="368"/>
      <c r="C187" s="368"/>
      <c r="D187" s="343"/>
      <c r="E187" s="343"/>
      <c r="F187" s="340"/>
      <c r="G187" s="340"/>
      <c r="H187" s="340"/>
      <c r="I187" s="340"/>
      <c r="J187" s="1637"/>
      <c r="K187" s="1631"/>
      <c r="L187" s="1638"/>
      <c r="M187" s="1631"/>
      <c r="N187" s="1638"/>
      <c r="O187" s="1631"/>
      <c r="P187" s="1638"/>
      <c r="Q187" s="1631"/>
      <c r="R187" s="1638"/>
      <c r="S187" s="1638"/>
      <c r="T187" s="1638"/>
      <c r="U187" s="1631"/>
      <c r="V187" s="1639"/>
      <c r="W187" s="340"/>
      <c r="X187" s="340"/>
      <c r="Y187" s="340"/>
    </row>
    <row r="188" spans="1:25" s="236" customFormat="1" ht="12.75" customHeight="1">
      <c r="A188" s="342" t="s">
        <v>878</v>
      </c>
      <c r="B188" s="368" t="s">
        <v>17</v>
      </c>
      <c r="C188" s="368"/>
      <c r="D188" s="340"/>
      <c r="E188" s="340"/>
      <c r="F188" s="340" t="s">
        <v>879</v>
      </c>
      <c r="G188" s="340"/>
      <c r="H188" s="340"/>
      <c r="I188" s="340"/>
      <c r="J188" s="1630">
        <f>SUM(J186:J187)</f>
        <v>0</v>
      </c>
      <c r="K188" s="1631"/>
      <c r="L188" s="1632">
        <f>SUM(L186:L187)</f>
        <v>0</v>
      </c>
      <c r="M188" s="1631"/>
      <c r="N188" s="1632">
        <f>SUM(N186:N187)</f>
        <v>0</v>
      </c>
      <c r="O188" s="1631"/>
      <c r="P188" s="1632">
        <f>J188+L188+N188</f>
        <v>0</v>
      </c>
      <c r="Q188" s="1631"/>
      <c r="R188" s="1632">
        <f>SUM(R186:R187)</f>
        <v>0</v>
      </c>
      <c r="S188" s="1632">
        <f>SUM(S186:S187)</f>
        <v>0</v>
      </c>
      <c r="T188" s="1632">
        <f>SUM(T186:T187)</f>
        <v>0</v>
      </c>
      <c r="U188" s="1631"/>
      <c r="V188" s="1633">
        <f>SUM(V186:V187)</f>
        <v>0</v>
      </c>
      <c r="W188" s="340"/>
      <c r="X188" s="340"/>
      <c r="Y188" s="340"/>
    </row>
    <row r="189" spans="1:25" s="236" customFormat="1" outlineLevel="1">
      <c r="A189" s="340"/>
      <c r="B189" s="341" t="s">
        <v>880</v>
      </c>
      <c r="C189" s="342"/>
      <c r="D189" s="343"/>
      <c r="E189" s="343"/>
      <c r="F189" s="344"/>
      <c r="G189" s="344"/>
      <c r="H189" s="340"/>
      <c r="I189" s="340"/>
      <c r="J189" s="1630"/>
      <c r="K189" s="1631"/>
      <c r="L189" s="1632"/>
      <c r="M189" s="1631"/>
      <c r="N189" s="1632"/>
      <c r="O189" s="1631"/>
      <c r="P189" s="1632">
        <f>J189+L189+N189</f>
        <v>0</v>
      </c>
      <c r="Q189" s="1631"/>
      <c r="R189" s="1632"/>
      <c r="S189" s="1632"/>
      <c r="T189" s="1632">
        <f>P189</f>
        <v>0</v>
      </c>
      <c r="U189" s="1631"/>
      <c r="V189" s="1633">
        <f>T189-S189</f>
        <v>0</v>
      </c>
      <c r="W189" s="340"/>
      <c r="X189" s="340"/>
    </row>
    <row r="190" spans="1:25" s="236" customFormat="1" ht="5.0999999999999996" customHeight="1" outlineLevel="1">
      <c r="A190" s="368" t="s">
        <v>17</v>
      </c>
      <c r="B190" s="342" t="s">
        <v>17</v>
      </c>
      <c r="C190" s="342"/>
      <c r="D190" s="344"/>
      <c r="E190" s="344"/>
      <c r="F190" s="344"/>
      <c r="G190" s="344"/>
      <c r="H190" s="340"/>
      <c r="I190" s="340"/>
      <c r="J190" s="1637"/>
      <c r="K190" s="1631"/>
      <c r="L190" s="1638"/>
      <c r="M190" s="1631"/>
      <c r="N190" s="1638"/>
      <c r="O190" s="1631"/>
      <c r="P190" s="1638"/>
      <c r="Q190" s="1631"/>
      <c r="R190" s="1638"/>
      <c r="S190" s="1638"/>
      <c r="T190" s="1638"/>
      <c r="U190" s="1631"/>
      <c r="V190" s="1639"/>
      <c r="W190" s="340"/>
      <c r="X190" s="340"/>
      <c r="Y190" s="340"/>
    </row>
    <row r="191" spans="1:25" s="236" customFormat="1">
      <c r="A191" s="342" t="s">
        <v>880</v>
      </c>
      <c r="B191" s="342" t="s">
        <v>17</v>
      </c>
      <c r="C191" s="342"/>
      <c r="D191" s="340"/>
      <c r="E191" s="340"/>
      <c r="F191" s="343" t="s">
        <v>881</v>
      </c>
      <c r="G191" s="340"/>
      <c r="H191" s="340"/>
      <c r="I191" s="340"/>
      <c r="J191" s="1630">
        <f>SUM(J189:J190)</f>
        <v>0</v>
      </c>
      <c r="K191" s="1631"/>
      <c r="L191" s="1632">
        <f>SUM(L189:L190)</f>
        <v>0</v>
      </c>
      <c r="M191" s="1631"/>
      <c r="N191" s="1632">
        <f>SUM(N189:N190)</f>
        <v>0</v>
      </c>
      <c r="O191" s="1631"/>
      <c r="P191" s="1632">
        <f>J191+L191+N191</f>
        <v>0</v>
      </c>
      <c r="Q191" s="1631"/>
      <c r="R191" s="1632">
        <f>SUM(R189:R190)</f>
        <v>0</v>
      </c>
      <c r="S191" s="1632">
        <f>SUM(S189:S190)</f>
        <v>0</v>
      </c>
      <c r="T191" s="1632">
        <f>SUM(T189:T190)</f>
        <v>0</v>
      </c>
      <c r="U191" s="1631"/>
      <c r="V191" s="1633">
        <f>SUM(V189:V190)</f>
        <v>0</v>
      </c>
      <c r="W191" s="340"/>
      <c r="X191" s="340"/>
      <c r="Y191" s="340"/>
    </row>
    <row r="192" spans="1:25" s="236" customFormat="1" outlineLevel="1">
      <c r="A192" s="340"/>
      <c r="B192" s="341" t="s">
        <v>882</v>
      </c>
      <c r="C192" s="342"/>
      <c r="D192" s="343"/>
      <c r="E192" s="343"/>
      <c r="F192" s="344"/>
      <c r="G192" s="344"/>
      <c r="H192" s="340"/>
      <c r="I192" s="340"/>
      <c r="J192" s="1630"/>
      <c r="K192" s="1631"/>
      <c r="L192" s="1632"/>
      <c r="M192" s="1631"/>
      <c r="N192" s="1632"/>
      <c r="O192" s="1631"/>
      <c r="P192" s="1632">
        <f>J192+L192+N192</f>
        <v>0</v>
      </c>
      <c r="Q192" s="1631"/>
      <c r="R192" s="1632"/>
      <c r="S192" s="1632"/>
      <c r="T192" s="1632">
        <f>P192</f>
        <v>0</v>
      </c>
      <c r="U192" s="1631"/>
      <c r="V192" s="1633">
        <f>T192-S192</f>
        <v>0</v>
      </c>
      <c r="W192" s="340"/>
      <c r="X192" s="340"/>
    </row>
    <row r="193" spans="1:25" s="236" customFormat="1" ht="5.0999999999999996" customHeight="1" outlineLevel="1">
      <c r="A193" s="342" t="s">
        <v>17</v>
      </c>
      <c r="B193" s="342" t="s">
        <v>17</v>
      </c>
      <c r="C193" s="342"/>
      <c r="D193" s="344"/>
      <c r="E193" s="344"/>
      <c r="F193" s="344"/>
      <c r="G193" s="344"/>
      <c r="H193" s="340"/>
      <c r="I193" s="340"/>
      <c r="J193" s="1637"/>
      <c r="K193" s="1631"/>
      <c r="L193" s="1638"/>
      <c r="M193" s="1631"/>
      <c r="N193" s="1638"/>
      <c r="O193" s="1631"/>
      <c r="P193" s="1638"/>
      <c r="Q193" s="1631"/>
      <c r="R193" s="1638"/>
      <c r="S193" s="1638"/>
      <c r="T193" s="1638"/>
      <c r="U193" s="1631"/>
      <c r="V193" s="1639"/>
      <c r="W193" s="340"/>
      <c r="X193" s="340"/>
      <c r="Y193" s="340"/>
    </row>
    <row r="194" spans="1:25" s="236" customFormat="1">
      <c r="A194" s="342" t="s">
        <v>882</v>
      </c>
      <c r="B194" s="342" t="s">
        <v>17</v>
      </c>
      <c r="C194" s="342"/>
      <c r="D194" s="340"/>
      <c r="E194" s="340"/>
      <c r="F194" s="343" t="s">
        <v>883</v>
      </c>
      <c r="G194" s="340"/>
      <c r="H194" s="340"/>
      <c r="I194" s="340"/>
      <c r="J194" s="1630">
        <f>SUM(J192:J193)</f>
        <v>0</v>
      </c>
      <c r="K194" s="1631"/>
      <c r="L194" s="1632">
        <f>SUM(L192:L193)</f>
        <v>0</v>
      </c>
      <c r="M194" s="1631"/>
      <c r="N194" s="1632">
        <f>SUM(N192:N193)</f>
        <v>0</v>
      </c>
      <c r="O194" s="1631"/>
      <c r="P194" s="1632">
        <f>J194+L194+N194</f>
        <v>0</v>
      </c>
      <c r="Q194" s="1631"/>
      <c r="R194" s="1632">
        <f>SUM(R192:R193)</f>
        <v>0</v>
      </c>
      <c r="S194" s="1632">
        <f>SUM(S192:S193)</f>
        <v>0</v>
      </c>
      <c r="T194" s="1632">
        <f>SUM(T192:T193)</f>
        <v>0</v>
      </c>
      <c r="U194" s="1631"/>
      <c r="V194" s="1633">
        <f>SUM(V192:V193)</f>
        <v>0</v>
      </c>
      <c r="W194" s="340"/>
      <c r="X194" s="340"/>
      <c r="Y194" s="340"/>
    </row>
    <row r="195" spans="1:25" s="236" customFormat="1" outlineLevel="1">
      <c r="A195" s="340"/>
      <c r="B195" s="341" t="s">
        <v>884</v>
      </c>
      <c r="C195" s="342"/>
      <c r="D195" s="343"/>
      <c r="E195" s="343"/>
      <c r="F195" s="344"/>
      <c r="G195" s="344"/>
      <c r="H195" s="340"/>
      <c r="I195" s="340"/>
      <c r="J195" s="1630"/>
      <c r="K195" s="1631"/>
      <c r="L195" s="1632"/>
      <c r="M195" s="1631"/>
      <c r="N195" s="1632"/>
      <c r="O195" s="1631"/>
      <c r="P195" s="1632">
        <f>J195+L195+N195</f>
        <v>0</v>
      </c>
      <c r="Q195" s="1631"/>
      <c r="R195" s="1632"/>
      <c r="S195" s="1632"/>
      <c r="T195" s="1632">
        <f>P195</f>
        <v>0</v>
      </c>
      <c r="U195" s="1631"/>
      <c r="V195" s="1633">
        <f>T195-S195</f>
        <v>0</v>
      </c>
      <c r="W195" s="340"/>
      <c r="X195" s="340"/>
    </row>
    <row r="196" spans="1:25" s="236" customFormat="1" ht="5.0999999999999996" customHeight="1" outlineLevel="1">
      <c r="A196" s="368" t="s">
        <v>17</v>
      </c>
      <c r="B196" s="368" t="s">
        <v>17</v>
      </c>
      <c r="C196" s="368"/>
      <c r="D196" s="344"/>
      <c r="E196" s="344"/>
      <c r="F196" s="344"/>
      <c r="G196" s="344"/>
      <c r="H196" s="340"/>
      <c r="I196" s="340"/>
      <c r="J196" s="1637"/>
      <c r="K196" s="1631"/>
      <c r="L196" s="1638"/>
      <c r="M196" s="1631"/>
      <c r="N196" s="1638"/>
      <c r="O196" s="1631"/>
      <c r="P196" s="1638"/>
      <c r="Q196" s="1631"/>
      <c r="R196" s="1638"/>
      <c r="S196" s="1638"/>
      <c r="T196" s="1638"/>
      <c r="U196" s="1631"/>
      <c r="V196" s="1639"/>
      <c r="W196" s="340"/>
      <c r="X196" s="340"/>
      <c r="Y196" s="340"/>
    </row>
    <row r="197" spans="1:25" s="236" customFormat="1">
      <c r="A197" s="342" t="s">
        <v>884</v>
      </c>
      <c r="B197" s="342" t="s">
        <v>17</v>
      </c>
      <c r="C197" s="342"/>
      <c r="D197" s="340"/>
      <c r="E197" s="340"/>
      <c r="F197" s="343" t="s">
        <v>885</v>
      </c>
      <c r="G197" s="340"/>
      <c r="H197" s="340"/>
      <c r="I197" s="340"/>
      <c r="J197" s="1630">
        <f>SUM(J195:J196)</f>
        <v>0</v>
      </c>
      <c r="K197" s="1631"/>
      <c r="L197" s="1632">
        <f>SUM(L195:L196)</f>
        <v>0</v>
      </c>
      <c r="M197" s="1631"/>
      <c r="N197" s="1632">
        <f>SUM(N195:N196)</f>
        <v>0</v>
      </c>
      <c r="O197" s="1631"/>
      <c r="P197" s="1632">
        <f>J197+L197+N197</f>
        <v>0</v>
      </c>
      <c r="Q197" s="1631"/>
      <c r="R197" s="1632">
        <f>SUM(R195:R196)</f>
        <v>0</v>
      </c>
      <c r="S197" s="1632">
        <f>SUM(S195:S196)</f>
        <v>0</v>
      </c>
      <c r="T197" s="1632">
        <f>SUM(T195:T196)</f>
        <v>0</v>
      </c>
      <c r="U197" s="1631"/>
      <c r="V197" s="1633">
        <f>SUM(V195:V196)</f>
        <v>0</v>
      </c>
      <c r="W197" s="340"/>
      <c r="X197" s="340"/>
      <c r="Y197" s="340"/>
    </row>
    <row r="198" spans="1:25" s="236" customFormat="1" ht="7.5" customHeight="1">
      <c r="A198" s="342" t="s">
        <v>17</v>
      </c>
      <c r="B198" s="342" t="s">
        <v>17</v>
      </c>
      <c r="C198" s="342"/>
      <c r="D198" s="340"/>
      <c r="E198" s="340"/>
      <c r="F198" s="340"/>
      <c r="G198" s="340"/>
      <c r="H198" s="340"/>
      <c r="I198" s="340"/>
      <c r="J198" s="1630"/>
      <c r="K198" s="1631"/>
      <c r="L198" s="1632"/>
      <c r="M198" s="1631"/>
      <c r="N198" s="1632"/>
      <c r="O198" s="1631"/>
      <c r="P198" s="1632"/>
      <c r="Q198" s="1631"/>
      <c r="R198" s="1632"/>
      <c r="S198" s="1632"/>
      <c r="T198" s="1632"/>
      <c r="U198" s="1631"/>
      <c r="V198" s="1633"/>
      <c r="W198" s="340"/>
      <c r="X198" s="340"/>
      <c r="Y198" s="340"/>
    </row>
    <row r="199" spans="1:25" s="236" customFormat="1">
      <c r="A199" s="342" t="s">
        <v>17</v>
      </c>
      <c r="B199" s="342" t="s">
        <v>17</v>
      </c>
      <c r="C199" s="342"/>
      <c r="D199" s="340"/>
      <c r="E199" s="369" t="s">
        <v>886</v>
      </c>
      <c r="F199" s="340"/>
      <c r="G199" s="340"/>
      <c r="H199" s="340"/>
      <c r="I199" s="340"/>
      <c r="J199" s="1640">
        <f>SUM(J179,J185,J194,J174,J182,J191,J188)</f>
        <v>1250682.98</v>
      </c>
      <c r="K199" s="1631"/>
      <c r="L199" s="1641">
        <f>SUM(L179,L185,L194,L174,L182,L191,L188)</f>
        <v>0</v>
      </c>
      <c r="M199" s="1631"/>
      <c r="N199" s="1641">
        <f>SUM(N179,N185,N194,N174,N182,N191,N188)</f>
        <v>0</v>
      </c>
      <c r="O199" s="1631"/>
      <c r="P199" s="1641">
        <f>SUM(P179,P185,P194,P174,P182,P191,P188)</f>
        <v>1250682.98</v>
      </c>
      <c r="Q199" s="1631"/>
      <c r="R199" s="1641">
        <f>SUM(R179,R185,R194,R174,R182,R191,R188)</f>
        <v>994002.71</v>
      </c>
      <c r="S199" s="1641">
        <f>SUM(S179,S185,S194,S174,S182,S191,S188)</f>
        <v>1109051.05</v>
      </c>
      <c r="T199" s="1641">
        <f>SUM(T179,T185,T194,T174,T182,T191,T188)</f>
        <v>1250682.98</v>
      </c>
      <c r="U199" s="1631"/>
      <c r="V199" s="1642">
        <f>SUM(V179,V185,V194,V174,V182,V191,V188)</f>
        <v>141631.93</v>
      </c>
      <c r="W199" s="340"/>
      <c r="X199" s="340"/>
      <c r="Y199" s="340"/>
    </row>
    <row r="200" spans="1:25" s="236" customFormat="1" ht="7.5" customHeight="1">
      <c r="A200" s="342" t="s">
        <v>17</v>
      </c>
      <c r="B200" s="342" t="s">
        <v>17</v>
      </c>
      <c r="C200" s="342"/>
      <c r="D200" s="340"/>
      <c r="E200" s="340"/>
      <c r="F200" s="340"/>
      <c r="G200" s="340"/>
      <c r="H200" s="340"/>
      <c r="I200" s="340"/>
      <c r="J200" s="1630"/>
      <c r="K200" s="1631"/>
      <c r="L200" s="1632"/>
      <c r="M200" s="1631"/>
      <c r="N200" s="1632"/>
      <c r="O200" s="1631"/>
      <c r="P200" s="1632"/>
      <c r="Q200" s="1631"/>
      <c r="R200" s="1632"/>
      <c r="S200" s="1632"/>
      <c r="T200" s="1632"/>
      <c r="U200" s="1631"/>
      <c r="V200" s="1633"/>
      <c r="W200" s="340"/>
      <c r="X200" s="340"/>
      <c r="Y200" s="340"/>
    </row>
    <row r="201" spans="1:25" s="236" customFormat="1" outlineLevel="1">
      <c r="A201" s="340"/>
      <c r="B201" s="341" t="s">
        <v>887</v>
      </c>
      <c r="C201" s="342"/>
      <c r="D201" s="343"/>
      <c r="E201" s="343"/>
      <c r="F201" s="344"/>
      <c r="G201" s="344"/>
      <c r="H201" s="340"/>
      <c r="I201" s="340"/>
      <c r="J201" s="1630"/>
      <c r="K201" s="1631"/>
      <c r="L201" s="1632"/>
      <c r="M201" s="1631"/>
      <c r="N201" s="1632"/>
      <c r="O201" s="1631"/>
      <c r="P201" s="1632">
        <f>J201+L201+N201</f>
        <v>0</v>
      </c>
      <c r="Q201" s="1631"/>
      <c r="R201" s="1632"/>
      <c r="S201" s="1632"/>
      <c r="T201" s="1632">
        <f>P201</f>
        <v>0</v>
      </c>
      <c r="U201" s="1631"/>
      <c r="V201" s="1633">
        <f>T201-S201</f>
        <v>0</v>
      </c>
      <c r="W201" s="340"/>
      <c r="X201" s="340"/>
    </row>
    <row r="202" spans="1:25" s="236" customFormat="1" ht="5.0999999999999996" customHeight="1" outlineLevel="1">
      <c r="A202" s="342" t="s">
        <v>17</v>
      </c>
      <c r="B202" s="342" t="s">
        <v>17</v>
      </c>
      <c r="C202" s="342"/>
      <c r="D202" s="344"/>
      <c r="E202" s="344"/>
      <c r="F202" s="344"/>
      <c r="G202" s="344"/>
      <c r="H202" s="340"/>
      <c r="I202" s="340"/>
      <c r="J202" s="1637"/>
      <c r="K202" s="1631"/>
      <c r="L202" s="1638"/>
      <c r="M202" s="1631"/>
      <c r="N202" s="1638"/>
      <c r="O202" s="1631"/>
      <c r="P202" s="1638"/>
      <c r="Q202" s="1631"/>
      <c r="R202" s="1638"/>
      <c r="S202" s="1638"/>
      <c r="T202" s="1638"/>
      <c r="U202" s="1631"/>
      <c r="V202" s="1639"/>
      <c r="W202" s="340"/>
      <c r="X202" s="340"/>
      <c r="Y202" s="340"/>
    </row>
    <row r="203" spans="1:25" s="236" customFormat="1">
      <c r="A203" s="342" t="s">
        <v>887</v>
      </c>
      <c r="B203" s="342" t="s">
        <v>17</v>
      </c>
      <c r="C203" s="342"/>
      <c r="D203" s="340"/>
      <c r="E203" s="340"/>
      <c r="F203" s="343" t="s">
        <v>888</v>
      </c>
      <c r="G203" s="340"/>
      <c r="H203" s="340"/>
      <c r="I203" s="340"/>
      <c r="J203" s="1630">
        <f>SUM(J201:J202)</f>
        <v>0</v>
      </c>
      <c r="K203" s="1631"/>
      <c r="L203" s="1632">
        <f>SUM(L201:L202)</f>
        <v>0</v>
      </c>
      <c r="M203" s="1631"/>
      <c r="N203" s="1632">
        <f>SUM(N201:N202)</f>
        <v>0</v>
      </c>
      <c r="O203" s="1631"/>
      <c r="P203" s="1632">
        <f>J203+L203+N203</f>
        <v>0</v>
      </c>
      <c r="Q203" s="1631"/>
      <c r="R203" s="1632">
        <f>SUM(R201:R202)</f>
        <v>0</v>
      </c>
      <c r="S203" s="1632">
        <f>SUM(S201:S202)</f>
        <v>0</v>
      </c>
      <c r="T203" s="1632">
        <f>SUM(T201:T202)</f>
        <v>0</v>
      </c>
      <c r="U203" s="1631"/>
      <c r="V203" s="1633">
        <f>SUM(V201:V202)</f>
        <v>0</v>
      </c>
      <c r="W203" s="340"/>
      <c r="X203" s="340"/>
      <c r="Y203" s="340"/>
    </row>
    <row r="204" spans="1:25" s="236" customFormat="1" outlineLevel="1">
      <c r="A204" s="340"/>
      <c r="B204" s="341" t="s">
        <v>889</v>
      </c>
      <c r="C204" s="342"/>
      <c r="D204" s="343"/>
      <c r="E204" s="343"/>
      <c r="F204" s="344"/>
      <c r="G204" s="344"/>
      <c r="H204" s="340"/>
      <c r="I204" s="340"/>
      <c r="J204" s="1630"/>
      <c r="K204" s="1631"/>
      <c r="L204" s="1632"/>
      <c r="M204" s="1631"/>
      <c r="N204" s="1632"/>
      <c r="O204" s="1631"/>
      <c r="P204" s="1632">
        <f>J204+L204+N204</f>
        <v>0</v>
      </c>
      <c r="Q204" s="1631"/>
      <c r="R204" s="1632"/>
      <c r="S204" s="1632"/>
      <c r="T204" s="1632">
        <f>P204</f>
        <v>0</v>
      </c>
      <c r="U204" s="1631"/>
      <c r="V204" s="1633">
        <f>T204-S204</f>
        <v>0</v>
      </c>
      <c r="W204" s="340"/>
      <c r="X204" s="340"/>
    </row>
    <row r="205" spans="1:25" s="236" customFormat="1" ht="5.0999999999999996" customHeight="1" outlineLevel="1">
      <c r="A205" s="342" t="s">
        <v>17</v>
      </c>
      <c r="B205" s="342" t="s">
        <v>17</v>
      </c>
      <c r="C205" s="342"/>
      <c r="D205" s="344"/>
      <c r="E205" s="344"/>
      <c r="F205" s="344"/>
      <c r="G205" s="344"/>
      <c r="H205" s="340"/>
      <c r="I205" s="340"/>
      <c r="J205" s="1637"/>
      <c r="K205" s="1631"/>
      <c r="L205" s="1638"/>
      <c r="M205" s="1631"/>
      <c r="N205" s="1638"/>
      <c r="O205" s="1631"/>
      <c r="P205" s="1638"/>
      <c r="Q205" s="1631"/>
      <c r="R205" s="1638"/>
      <c r="S205" s="1638"/>
      <c r="T205" s="1638"/>
      <c r="U205" s="1631"/>
      <c r="V205" s="1639"/>
      <c r="W205" s="340"/>
      <c r="X205" s="340"/>
      <c r="Y205" s="340"/>
    </row>
    <row r="206" spans="1:25" s="236" customFormat="1">
      <c r="A206" s="373" t="s">
        <v>889</v>
      </c>
      <c r="B206" s="342" t="s">
        <v>17</v>
      </c>
      <c r="C206" s="342"/>
      <c r="D206" s="340"/>
      <c r="E206" s="340"/>
      <c r="F206" s="343" t="s">
        <v>890</v>
      </c>
      <c r="G206" s="340"/>
      <c r="H206" s="340"/>
      <c r="I206" s="340"/>
      <c r="J206" s="1630">
        <f>SUM(J204:J205)</f>
        <v>0</v>
      </c>
      <c r="K206" s="1631"/>
      <c r="L206" s="1632">
        <f>SUM(L204:L205)</f>
        <v>0</v>
      </c>
      <c r="M206" s="1631"/>
      <c r="N206" s="1632">
        <f>SUM(N204:N205)</f>
        <v>0</v>
      </c>
      <c r="O206" s="1631"/>
      <c r="P206" s="1632">
        <f>J206+L206+N206</f>
        <v>0</v>
      </c>
      <c r="Q206" s="1631"/>
      <c r="R206" s="1632">
        <f>SUM(R204:R205)</f>
        <v>0</v>
      </c>
      <c r="S206" s="1632">
        <f>SUM(S204:S205)</f>
        <v>0</v>
      </c>
      <c r="T206" s="1632">
        <f>SUM(T204:T205)</f>
        <v>0</v>
      </c>
      <c r="U206" s="1631"/>
      <c r="V206" s="1633">
        <f>SUM(V204:V205)</f>
        <v>0</v>
      </c>
      <c r="W206" s="340"/>
      <c r="X206" s="340"/>
      <c r="Y206" s="340"/>
    </row>
    <row r="207" spans="1:25" s="236" customFormat="1" outlineLevel="1">
      <c r="A207" s="340"/>
      <c r="B207" s="341" t="s">
        <v>891</v>
      </c>
      <c r="C207" s="342"/>
      <c r="D207" s="343"/>
      <c r="E207" s="343"/>
      <c r="F207" s="344"/>
      <c r="G207" s="344"/>
      <c r="H207" s="340"/>
      <c r="I207" s="340"/>
      <c r="J207" s="1630"/>
      <c r="K207" s="1631"/>
      <c r="L207" s="1632"/>
      <c r="M207" s="1631"/>
      <c r="N207" s="1632"/>
      <c r="O207" s="1631"/>
      <c r="P207" s="1632">
        <f>J207+L207+N207</f>
        <v>0</v>
      </c>
      <c r="Q207" s="1631"/>
      <c r="R207" s="1632"/>
      <c r="S207" s="1632"/>
      <c r="T207" s="1632">
        <f>P207</f>
        <v>0</v>
      </c>
      <c r="U207" s="1631"/>
      <c r="V207" s="1633">
        <f>T207-S207</f>
        <v>0</v>
      </c>
      <c r="W207" s="340"/>
      <c r="X207" s="340"/>
    </row>
    <row r="208" spans="1:25" s="236" customFormat="1" ht="5.0999999999999996" customHeight="1" outlineLevel="1">
      <c r="A208" s="342" t="s">
        <v>17</v>
      </c>
      <c r="B208" s="342" t="s">
        <v>17</v>
      </c>
      <c r="C208" s="342"/>
      <c r="D208" s="344"/>
      <c r="E208" s="344"/>
      <c r="F208" s="344"/>
      <c r="G208" s="344"/>
      <c r="H208" s="340"/>
      <c r="I208" s="340"/>
      <c r="J208" s="1637"/>
      <c r="K208" s="1631"/>
      <c r="L208" s="1638"/>
      <c r="M208" s="1631"/>
      <c r="N208" s="1638"/>
      <c r="O208" s="1631"/>
      <c r="P208" s="1638"/>
      <c r="Q208" s="1631"/>
      <c r="R208" s="1638"/>
      <c r="S208" s="1638"/>
      <c r="T208" s="1638"/>
      <c r="U208" s="1631"/>
      <c r="V208" s="1639"/>
      <c r="W208" s="340"/>
      <c r="X208" s="340"/>
      <c r="Y208" s="340"/>
    </row>
    <row r="209" spans="1:25" s="236" customFormat="1">
      <c r="A209" s="373" t="s">
        <v>891</v>
      </c>
      <c r="B209" s="342" t="s">
        <v>17</v>
      </c>
      <c r="C209" s="342"/>
      <c r="D209" s="340"/>
      <c r="E209" s="340"/>
      <c r="F209" s="343" t="s">
        <v>892</v>
      </c>
      <c r="G209" s="340"/>
      <c r="H209" s="340"/>
      <c r="I209" s="340"/>
      <c r="J209" s="1630">
        <f>SUM(J207:J208)</f>
        <v>0</v>
      </c>
      <c r="K209" s="1631"/>
      <c r="L209" s="1632">
        <f>SUM(L207:L208)</f>
        <v>0</v>
      </c>
      <c r="M209" s="1631"/>
      <c r="N209" s="1632">
        <f>SUM(N207:N208)</f>
        <v>0</v>
      </c>
      <c r="O209" s="1631"/>
      <c r="P209" s="1632">
        <f>J209+L209+N209</f>
        <v>0</v>
      </c>
      <c r="Q209" s="1631"/>
      <c r="R209" s="1632">
        <f>SUM(R207:R208)</f>
        <v>0</v>
      </c>
      <c r="S209" s="1632">
        <f>SUM(S207:S208)</f>
        <v>0</v>
      </c>
      <c r="T209" s="1632">
        <f>SUM(T207:T208)</f>
        <v>0</v>
      </c>
      <c r="U209" s="1631"/>
      <c r="V209" s="1633">
        <f>SUM(V207:V208)</f>
        <v>0</v>
      </c>
      <c r="W209" s="340"/>
      <c r="X209" s="340"/>
      <c r="Y209" s="340"/>
    </row>
    <row r="210" spans="1:25" s="236" customFormat="1" outlineLevel="1">
      <c r="A210" s="340"/>
      <c r="B210" s="341" t="s">
        <v>893</v>
      </c>
      <c r="C210" s="342"/>
      <c r="D210" s="343"/>
      <c r="E210" s="343"/>
      <c r="F210" s="344"/>
      <c r="G210" s="344"/>
      <c r="H210" s="340"/>
      <c r="I210" s="340"/>
      <c r="J210" s="1630"/>
      <c r="K210" s="1631"/>
      <c r="L210" s="1632"/>
      <c r="M210" s="1631"/>
      <c r="N210" s="1632"/>
      <c r="O210" s="1631"/>
      <c r="P210" s="1632">
        <f>J210+L210+N210</f>
        <v>0</v>
      </c>
      <c r="Q210" s="1631"/>
      <c r="R210" s="1632"/>
      <c r="S210" s="1632"/>
      <c r="T210" s="1632">
        <f>P210</f>
        <v>0</v>
      </c>
      <c r="U210" s="1631"/>
      <c r="V210" s="1633">
        <f>T210-S210</f>
        <v>0</v>
      </c>
      <c r="W210" s="340"/>
      <c r="X210" s="340"/>
    </row>
    <row r="211" spans="1:25" s="236" customFormat="1" ht="5.0999999999999996" customHeight="1" outlineLevel="1">
      <c r="A211" s="342" t="s">
        <v>17</v>
      </c>
      <c r="B211" s="342" t="s">
        <v>17</v>
      </c>
      <c r="C211" s="342"/>
      <c r="D211" s="344"/>
      <c r="E211" s="344"/>
      <c r="F211" s="344"/>
      <c r="G211" s="344"/>
      <c r="H211" s="340"/>
      <c r="I211" s="340"/>
      <c r="J211" s="1637"/>
      <c r="K211" s="1631"/>
      <c r="L211" s="1638"/>
      <c r="M211" s="1631"/>
      <c r="N211" s="1638"/>
      <c r="O211" s="1631"/>
      <c r="P211" s="1638"/>
      <c r="Q211" s="1631"/>
      <c r="R211" s="1638"/>
      <c r="S211" s="1638"/>
      <c r="T211" s="1638"/>
      <c r="U211" s="1631"/>
      <c r="V211" s="1639"/>
      <c r="W211" s="340"/>
      <c r="X211" s="340"/>
      <c r="Y211" s="340"/>
    </row>
    <row r="212" spans="1:25" s="236" customFormat="1">
      <c r="A212" s="342" t="s">
        <v>893</v>
      </c>
      <c r="B212" s="342" t="s">
        <v>17</v>
      </c>
      <c r="C212" s="342"/>
      <c r="D212" s="340"/>
      <c r="E212" s="340"/>
      <c r="F212" s="343" t="s">
        <v>894</v>
      </c>
      <c r="G212" s="340"/>
      <c r="H212" s="340"/>
      <c r="I212" s="340"/>
      <c r="J212" s="1630">
        <f>SUM(J210:J211)</f>
        <v>0</v>
      </c>
      <c r="K212" s="1631"/>
      <c r="L212" s="1632">
        <f>SUM(L210:L211)</f>
        <v>0</v>
      </c>
      <c r="M212" s="1631"/>
      <c r="N212" s="1632">
        <f>SUM(N210:N211)</f>
        <v>0</v>
      </c>
      <c r="O212" s="1631"/>
      <c r="P212" s="1632">
        <f>J212+L212+N212</f>
        <v>0</v>
      </c>
      <c r="Q212" s="1631"/>
      <c r="R212" s="1632">
        <f>SUM(R210:R211)</f>
        <v>0</v>
      </c>
      <c r="S212" s="1632">
        <f>SUM(S210:S211)</f>
        <v>0</v>
      </c>
      <c r="T212" s="1632">
        <f>SUM(T210:T211)</f>
        <v>0</v>
      </c>
      <c r="U212" s="1631"/>
      <c r="V212" s="1633">
        <f>SUM(V210:V211)</f>
        <v>0</v>
      </c>
      <c r="W212" s="340"/>
      <c r="X212" s="340"/>
      <c r="Y212" s="340"/>
    </row>
    <row r="213" spans="1:25" s="236" customFormat="1" outlineLevel="1">
      <c r="A213" s="340"/>
      <c r="B213" s="341" t="s">
        <v>895</v>
      </c>
      <c r="C213" s="342"/>
      <c r="D213" s="343"/>
      <c r="E213" s="343"/>
      <c r="F213" s="344"/>
      <c r="G213" s="344"/>
      <c r="H213" s="340"/>
      <c r="I213" s="340"/>
      <c r="J213" s="1630"/>
      <c r="K213" s="1631"/>
      <c r="L213" s="1632"/>
      <c r="M213" s="1631"/>
      <c r="N213" s="1632"/>
      <c r="O213" s="1631"/>
      <c r="P213" s="1632">
        <f>J213+L213+N213</f>
        <v>0</v>
      </c>
      <c r="Q213" s="1631"/>
      <c r="R213" s="1632"/>
      <c r="S213" s="1632"/>
      <c r="T213" s="1632">
        <f>P213</f>
        <v>0</v>
      </c>
      <c r="U213" s="1631"/>
      <c r="V213" s="1633">
        <f>T213-S213</f>
        <v>0</v>
      </c>
      <c r="W213" s="340"/>
      <c r="X213" s="340"/>
    </row>
    <row r="214" spans="1:25" s="236" customFormat="1" ht="5.0999999999999996" customHeight="1" outlineLevel="1">
      <c r="A214" s="342" t="s">
        <v>17</v>
      </c>
      <c r="B214" s="342" t="s">
        <v>17</v>
      </c>
      <c r="C214" s="342"/>
      <c r="D214" s="344"/>
      <c r="E214" s="344"/>
      <c r="F214" s="344"/>
      <c r="G214" s="344"/>
      <c r="H214" s="340"/>
      <c r="I214" s="340"/>
      <c r="J214" s="1637"/>
      <c r="K214" s="1631"/>
      <c r="L214" s="1638"/>
      <c r="M214" s="1631"/>
      <c r="N214" s="1638"/>
      <c r="O214" s="1631"/>
      <c r="P214" s="1638"/>
      <c r="Q214" s="1631"/>
      <c r="R214" s="1638"/>
      <c r="S214" s="1638"/>
      <c r="T214" s="1638"/>
      <c r="U214" s="1631"/>
      <c r="V214" s="1639"/>
      <c r="W214" s="340"/>
      <c r="X214" s="340"/>
      <c r="Y214" s="340"/>
    </row>
    <row r="215" spans="1:25" s="236" customFormat="1">
      <c r="A215" s="342" t="s">
        <v>895</v>
      </c>
      <c r="B215" s="342" t="s">
        <v>17</v>
      </c>
      <c r="C215" s="342"/>
      <c r="D215" s="340"/>
      <c r="E215" s="340"/>
      <c r="F215" s="343" t="s">
        <v>896</v>
      </c>
      <c r="G215" s="340"/>
      <c r="H215" s="340"/>
      <c r="I215" s="340"/>
      <c r="J215" s="1630">
        <f>SUM(J213:J214)</f>
        <v>0</v>
      </c>
      <c r="K215" s="1631"/>
      <c r="L215" s="1632">
        <f>SUM(L213:L214)</f>
        <v>0</v>
      </c>
      <c r="M215" s="1631"/>
      <c r="N215" s="1632">
        <f>SUM(N213:N214)</f>
        <v>0</v>
      </c>
      <c r="O215" s="1631"/>
      <c r="P215" s="1632">
        <f>J215+L215+N215</f>
        <v>0</v>
      </c>
      <c r="Q215" s="1631"/>
      <c r="R215" s="1632">
        <f>SUM(R213:R214)</f>
        <v>0</v>
      </c>
      <c r="S215" s="1632">
        <f>SUM(S213:S214)</f>
        <v>0</v>
      </c>
      <c r="T215" s="1632">
        <f>SUM(T213:T214)</f>
        <v>0</v>
      </c>
      <c r="U215" s="1631"/>
      <c r="V215" s="1633">
        <f>SUM(V213:V214)</f>
        <v>0</v>
      </c>
      <c r="W215" s="340"/>
      <c r="X215" s="340"/>
      <c r="Y215" s="340"/>
    </row>
    <row r="216" spans="1:25" s="236" customFormat="1" outlineLevel="1">
      <c r="A216" s="340"/>
      <c r="B216" s="341" t="s">
        <v>897</v>
      </c>
      <c r="C216" s="342"/>
      <c r="D216" s="343"/>
      <c r="E216" s="343"/>
      <c r="F216" s="344"/>
      <c r="G216" s="344"/>
      <c r="H216" s="340"/>
      <c r="I216" s="340"/>
      <c r="J216" s="1630"/>
      <c r="K216" s="1631"/>
      <c r="L216" s="1632"/>
      <c r="M216" s="1631"/>
      <c r="N216" s="1632"/>
      <c r="O216" s="1631"/>
      <c r="P216" s="1632">
        <f>J216+L216+N216</f>
        <v>0</v>
      </c>
      <c r="Q216" s="1631"/>
      <c r="R216" s="1632"/>
      <c r="S216" s="1632"/>
      <c r="T216" s="1632">
        <f>P216</f>
        <v>0</v>
      </c>
      <c r="U216" s="1631"/>
      <c r="V216" s="1633">
        <f>T216-S216</f>
        <v>0</v>
      </c>
      <c r="W216" s="340"/>
      <c r="X216" s="340"/>
    </row>
    <row r="217" spans="1:25" s="236" customFormat="1" ht="5.0999999999999996" customHeight="1" outlineLevel="1">
      <c r="A217" s="342" t="s">
        <v>17</v>
      </c>
      <c r="B217" s="342" t="s">
        <v>17</v>
      </c>
      <c r="C217" s="342"/>
      <c r="D217" s="344"/>
      <c r="E217" s="344"/>
      <c r="F217" s="344"/>
      <c r="G217" s="344"/>
      <c r="H217" s="340"/>
      <c r="I217" s="340"/>
      <c r="J217" s="1637"/>
      <c r="K217" s="1631"/>
      <c r="L217" s="1638"/>
      <c r="M217" s="1631"/>
      <c r="N217" s="1638"/>
      <c r="O217" s="1631"/>
      <c r="P217" s="1638"/>
      <c r="Q217" s="1631"/>
      <c r="R217" s="1638"/>
      <c r="S217" s="1638"/>
      <c r="T217" s="1638"/>
      <c r="U217" s="1631"/>
      <c r="V217" s="1639"/>
      <c r="W217" s="340"/>
      <c r="X217" s="340"/>
      <c r="Y217" s="340"/>
    </row>
    <row r="218" spans="1:25" s="236" customFormat="1">
      <c r="A218" s="342" t="s">
        <v>897</v>
      </c>
      <c r="B218" s="342" t="s">
        <v>17</v>
      </c>
      <c r="C218" s="342"/>
      <c r="D218" s="340"/>
      <c r="E218" s="340"/>
      <c r="F218" s="343" t="s">
        <v>898</v>
      </c>
      <c r="G218" s="340"/>
      <c r="H218" s="340"/>
      <c r="I218" s="340"/>
      <c r="J218" s="1630">
        <f>SUM(J216:J217)</f>
        <v>0</v>
      </c>
      <c r="K218" s="1631"/>
      <c r="L218" s="1632">
        <f>SUM(L216:L217)</f>
        <v>0</v>
      </c>
      <c r="M218" s="1631"/>
      <c r="N218" s="1632">
        <f>SUM(N216:N217)</f>
        <v>0</v>
      </c>
      <c r="O218" s="1631"/>
      <c r="P218" s="1632">
        <f>J218+L218+N218</f>
        <v>0</v>
      </c>
      <c r="Q218" s="1631"/>
      <c r="R218" s="1632">
        <f>SUM(R216:R217)</f>
        <v>0</v>
      </c>
      <c r="S218" s="1632">
        <f>SUM(S216:S217)</f>
        <v>0</v>
      </c>
      <c r="T218" s="1632">
        <f>SUM(T216:T217)</f>
        <v>0</v>
      </c>
      <c r="U218" s="1631"/>
      <c r="V218" s="1633">
        <f>SUM(V216:V217)</f>
        <v>0</v>
      </c>
      <c r="W218" s="340"/>
      <c r="X218" s="340"/>
      <c r="Y218" s="340"/>
    </row>
    <row r="219" spans="1:25" s="236" customFormat="1" outlineLevel="1">
      <c r="A219" s="340"/>
      <c r="B219" s="341" t="s">
        <v>899</v>
      </c>
      <c r="C219" s="342"/>
      <c r="D219" s="343"/>
      <c r="E219" s="343"/>
      <c r="F219" s="344"/>
      <c r="G219" s="344"/>
      <c r="H219" s="340"/>
      <c r="I219" s="340"/>
      <c r="J219" s="1630"/>
      <c r="K219" s="1631"/>
      <c r="L219" s="1632"/>
      <c r="M219" s="1631"/>
      <c r="N219" s="1632"/>
      <c r="O219" s="1631"/>
      <c r="P219" s="1632">
        <f>J219+L219+N219</f>
        <v>0</v>
      </c>
      <c r="Q219" s="1631"/>
      <c r="R219" s="1632"/>
      <c r="S219" s="1632"/>
      <c r="T219" s="1632">
        <f>P219</f>
        <v>0</v>
      </c>
      <c r="U219" s="1631"/>
      <c r="V219" s="1633">
        <f>T219-S219</f>
        <v>0</v>
      </c>
      <c r="W219" s="340"/>
      <c r="X219" s="340"/>
    </row>
    <row r="220" spans="1:25" s="236" customFormat="1" ht="5.0999999999999996" customHeight="1" outlineLevel="1">
      <c r="A220" s="342" t="s">
        <v>17</v>
      </c>
      <c r="B220" s="368"/>
      <c r="C220" s="368"/>
      <c r="D220" s="344"/>
      <c r="E220" s="344"/>
      <c r="F220" s="344"/>
      <c r="G220" s="344"/>
      <c r="H220" s="340"/>
      <c r="I220" s="340"/>
      <c r="J220" s="1637"/>
      <c r="K220" s="1631"/>
      <c r="L220" s="1638"/>
      <c r="M220" s="1631"/>
      <c r="N220" s="1638"/>
      <c r="O220" s="1631"/>
      <c r="P220" s="1638"/>
      <c r="Q220" s="1631"/>
      <c r="R220" s="1638"/>
      <c r="S220" s="1638"/>
      <c r="T220" s="1638"/>
      <c r="U220" s="1631"/>
      <c r="V220" s="1639"/>
      <c r="W220" s="340"/>
      <c r="X220" s="340"/>
      <c r="Y220" s="340"/>
    </row>
    <row r="221" spans="1:25" s="236" customFormat="1">
      <c r="A221" s="342" t="s">
        <v>899</v>
      </c>
      <c r="B221" s="368"/>
      <c r="C221" s="368"/>
      <c r="D221" s="340"/>
      <c r="E221" s="340"/>
      <c r="F221" s="343" t="s">
        <v>900</v>
      </c>
      <c r="G221" s="340"/>
      <c r="H221" s="340"/>
      <c r="I221" s="340"/>
      <c r="J221" s="1630">
        <f>SUM(J219:J220)</f>
        <v>0</v>
      </c>
      <c r="K221" s="1631"/>
      <c r="L221" s="1632">
        <f>SUM(L219:L220)</f>
        <v>0</v>
      </c>
      <c r="M221" s="1631"/>
      <c r="N221" s="1632">
        <f>SUM(N219:N220)</f>
        <v>0</v>
      </c>
      <c r="O221" s="1631"/>
      <c r="P221" s="1632">
        <f>J221+L221+N221</f>
        <v>0</v>
      </c>
      <c r="Q221" s="1631"/>
      <c r="R221" s="1632">
        <f>SUM(R219:R220)</f>
        <v>0</v>
      </c>
      <c r="S221" s="1632">
        <f>SUM(S219:S220)</f>
        <v>0</v>
      </c>
      <c r="T221" s="1632">
        <f>SUM(T219:T220)</f>
        <v>0</v>
      </c>
      <c r="U221" s="1631"/>
      <c r="V221" s="1633">
        <f>SUM(V219:V220)</f>
        <v>0</v>
      </c>
      <c r="W221" s="340"/>
      <c r="X221" s="340"/>
      <c r="Y221" s="340"/>
    </row>
    <row r="222" spans="1:25" s="236" customFormat="1" ht="7.5" hidden="1" customHeight="1">
      <c r="A222" s="368"/>
      <c r="B222" s="342"/>
      <c r="C222" s="342"/>
      <c r="D222" s="340"/>
      <c r="E222" s="340"/>
      <c r="F222" s="340"/>
      <c r="G222" s="340"/>
      <c r="H222" s="340"/>
      <c r="I222" s="340"/>
      <c r="J222" s="1630"/>
      <c r="K222" s="1631"/>
      <c r="L222" s="1632"/>
      <c r="M222" s="1631"/>
      <c r="N222" s="1632"/>
      <c r="O222" s="1631"/>
      <c r="P222" s="1632"/>
      <c r="Q222" s="1631"/>
      <c r="R222" s="1632"/>
      <c r="S222" s="1632"/>
      <c r="T222" s="1632"/>
      <c r="U222" s="1631"/>
      <c r="V222" s="1633"/>
      <c r="W222" s="340"/>
      <c r="X222" s="340"/>
      <c r="Y222" s="340"/>
    </row>
    <row r="223" spans="1:25" s="236" customFormat="1" outlineLevel="1">
      <c r="A223" s="340"/>
      <c r="B223" s="341" t="s">
        <v>901</v>
      </c>
      <c r="C223" s="342"/>
      <c r="D223" s="343">
        <v>29100</v>
      </c>
      <c r="E223" s="343" t="s">
        <v>902</v>
      </c>
      <c r="F223" s="344"/>
      <c r="G223" s="344"/>
      <c r="H223" s="340"/>
      <c r="I223" s="340"/>
      <c r="J223" s="1630">
        <v>13186643.109999999</v>
      </c>
      <c r="K223" s="1631"/>
      <c r="L223" s="1632">
        <v>0</v>
      </c>
      <c r="M223" s="1631"/>
      <c r="N223" s="1632">
        <v>0</v>
      </c>
      <c r="O223" s="1631"/>
      <c r="P223" s="1632">
        <f>J223+L223+N223</f>
        <v>13186643.109999999</v>
      </c>
      <c r="Q223" s="1631"/>
      <c r="R223" s="1632">
        <v>12803631.01</v>
      </c>
      <c r="S223" s="1632">
        <v>13038593.93</v>
      </c>
      <c r="T223" s="1632">
        <f>P223</f>
        <v>13186643.109999999</v>
      </c>
      <c r="U223" s="1631"/>
      <c r="V223" s="1633">
        <f>T223-S223</f>
        <v>148049.1799999997</v>
      </c>
      <c r="W223" s="340"/>
      <c r="X223" s="340"/>
    </row>
    <row r="224" spans="1:25" s="236" customFormat="1" ht="5.0999999999999996" customHeight="1" outlineLevel="1">
      <c r="A224" s="342" t="s">
        <v>17</v>
      </c>
      <c r="B224" s="368"/>
      <c r="C224" s="368"/>
      <c r="D224" s="344"/>
      <c r="E224" s="344"/>
      <c r="F224" s="344"/>
      <c r="G224" s="344"/>
      <c r="H224" s="340"/>
      <c r="I224" s="340"/>
      <c r="J224" s="1637"/>
      <c r="K224" s="1631"/>
      <c r="L224" s="1638"/>
      <c r="M224" s="1631"/>
      <c r="N224" s="1638"/>
      <c r="O224" s="1631"/>
      <c r="P224" s="1638"/>
      <c r="Q224" s="1631"/>
      <c r="R224" s="1638"/>
      <c r="S224" s="1638"/>
      <c r="T224" s="1638"/>
      <c r="U224" s="1631"/>
      <c r="V224" s="1639"/>
      <c r="W224" s="340"/>
      <c r="X224" s="340"/>
      <c r="Y224" s="340"/>
    </row>
    <row r="225" spans="1:25" s="236" customFormat="1">
      <c r="A225" s="342" t="s">
        <v>901</v>
      </c>
      <c r="B225" s="368"/>
      <c r="C225" s="368"/>
      <c r="D225" s="340"/>
      <c r="E225" s="340"/>
      <c r="F225" s="343" t="s">
        <v>902</v>
      </c>
      <c r="G225" s="340"/>
      <c r="H225" s="340"/>
      <c r="I225" s="340"/>
      <c r="J225" s="1630">
        <f>SUM(J223:J224)</f>
        <v>13186643.109999999</v>
      </c>
      <c r="K225" s="1631"/>
      <c r="L225" s="1632">
        <f>SUM(L223:L224)</f>
        <v>0</v>
      </c>
      <c r="M225" s="1631"/>
      <c r="N225" s="1632">
        <f>SUM(N223:N224)</f>
        <v>0</v>
      </c>
      <c r="O225" s="1631"/>
      <c r="P225" s="1632">
        <f>J225+L225+N225</f>
        <v>13186643.109999999</v>
      </c>
      <c r="Q225" s="1631"/>
      <c r="R225" s="1632">
        <f>SUM(R223:R224)</f>
        <v>12803631.01</v>
      </c>
      <c r="S225" s="1632">
        <f>SUM(S223:S224)</f>
        <v>13038593.93</v>
      </c>
      <c r="T225" s="1632">
        <f>SUM(T223:T224)</f>
        <v>13186643.109999999</v>
      </c>
      <c r="U225" s="1631"/>
      <c r="V225" s="1633">
        <f>SUM(V223:V224)</f>
        <v>148049.1799999997</v>
      </c>
      <c r="W225" s="340"/>
      <c r="X225" s="340"/>
      <c r="Y225" s="340"/>
    </row>
    <row r="226" spans="1:25" s="236" customFormat="1" ht="7.5" customHeight="1">
      <c r="A226" s="368"/>
      <c r="B226" s="342"/>
      <c r="C226" s="342"/>
      <c r="D226" s="340"/>
      <c r="E226" s="340"/>
      <c r="F226" s="340"/>
      <c r="G226" s="340"/>
      <c r="H226" s="340"/>
      <c r="I226" s="340"/>
      <c r="J226" s="1630"/>
      <c r="K226" s="1631"/>
      <c r="L226" s="1632"/>
      <c r="M226" s="1631"/>
      <c r="N226" s="1632"/>
      <c r="O226" s="1631"/>
      <c r="P226" s="1632"/>
      <c r="Q226" s="1631"/>
      <c r="R226" s="1632"/>
      <c r="S226" s="1632"/>
      <c r="T226" s="1632"/>
      <c r="U226" s="1631"/>
      <c r="V226" s="1633"/>
      <c r="W226" s="340"/>
      <c r="X226" s="340"/>
      <c r="Y226" s="340"/>
    </row>
    <row r="227" spans="1:25" s="236" customFormat="1">
      <c r="A227" s="368"/>
      <c r="B227" s="342"/>
      <c r="C227" s="342"/>
      <c r="D227" s="340"/>
      <c r="E227" s="369" t="s">
        <v>902</v>
      </c>
      <c r="F227" s="340"/>
      <c r="G227" s="340"/>
      <c r="H227" s="340"/>
      <c r="I227" s="340"/>
      <c r="J227" s="1640">
        <f>SUM(J203,J209,J215,J221,J212,J206,J218,J225)</f>
        <v>13186643.109999999</v>
      </c>
      <c r="K227" s="1631"/>
      <c r="L227" s="1641">
        <f>SUM(L203,L209,L215,L221,L212,L206,L218,L225)</f>
        <v>0</v>
      </c>
      <c r="M227" s="1631"/>
      <c r="N227" s="1641">
        <f>SUM(N203,N209,N215,N221,N212,N206,N218,N225)</f>
        <v>0</v>
      </c>
      <c r="O227" s="1631"/>
      <c r="P227" s="1641">
        <f>SUM(P203,P209,P215,P221,P212,P206,P218,P225)</f>
        <v>13186643.109999999</v>
      </c>
      <c r="Q227" s="1631"/>
      <c r="R227" s="1641">
        <f>SUM(R203,R209,R215,R221,R212,R206,R218,R225)</f>
        <v>12803631.01</v>
      </c>
      <c r="S227" s="1641">
        <f>SUM(S203,S209,S215,S221,S212,S206,S218,S225)</f>
        <v>13038593.93</v>
      </c>
      <c r="T227" s="1641">
        <f>SUM(T203,T209,T215,T221,T212,T206,T218,T225)</f>
        <v>13186643.109999999</v>
      </c>
      <c r="U227" s="1631"/>
      <c r="V227" s="1642">
        <f>SUM(V203,V209,V215,V221,V212,V206,V218,V225)</f>
        <v>148049.1799999997</v>
      </c>
      <c r="W227" s="340"/>
      <c r="X227" s="340"/>
      <c r="Y227" s="340"/>
    </row>
    <row r="228" spans="1:25" s="236" customFormat="1" ht="7.5" customHeight="1">
      <c r="A228" s="342"/>
      <c r="B228" s="342"/>
      <c r="C228" s="342"/>
      <c r="D228" s="340"/>
      <c r="E228" s="340"/>
      <c r="F228" s="340"/>
      <c r="G228" s="340"/>
      <c r="H228" s="340"/>
      <c r="I228" s="340"/>
      <c r="J228" s="1630"/>
      <c r="K228" s="1631"/>
      <c r="L228" s="1632"/>
      <c r="M228" s="1631"/>
      <c r="N228" s="1632"/>
      <c r="O228" s="1631"/>
      <c r="P228" s="1632"/>
      <c r="Q228" s="1631"/>
      <c r="R228" s="1632"/>
      <c r="S228" s="1632"/>
      <c r="T228" s="1632"/>
      <c r="U228" s="1631"/>
      <c r="V228" s="1633"/>
      <c r="W228" s="340"/>
      <c r="X228" s="340"/>
      <c r="Y228" s="340"/>
    </row>
    <row r="229" spans="1:25" s="236" customFormat="1" ht="13.5" thickBot="1">
      <c r="A229" s="342"/>
      <c r="B229" s="342"/>
      <c r="C229" s="342"/>
      <c r="D229" s="340"/>
      <c r="E229" s="369" t="s">
        <v>903</v>
      </c>
      <c r="F229" s="340"/>
      <c r="G229" s="340"/>
      <c r="H229" s="340"/>
      <c r="I229" s="340"/>
      <c r="J229" s="1643">
        <f>+J199+J227</f>
        <v>14437326.09</v>
      </c>
      <c r="K229" s="1631"/>
      <c r="L229" s="1644">
        <f>+L199+L227</f>
        <v>0</v>
      </c>
      <c r="M229" s="1631"/>
      <c r="N229" s="1644">
        <f>+N199+N227</f>
        <v>0</v>
      </c>
      <c r="O229" s="1631"/>
      <c r="P229" s="1644">
        <f>+P199+P227</f>
        <v>14437326.09</v>
      </c>
      <c r="Q229" s="1631"/>
      <c r="R229" s="1644">
        <f>+R199+R227</f>
        <v>13797633.719999999</v>
      </c>
      <c r="S229" s="1644">
        <f>+S199+S227</f>
        <v>14147644.98</v>
      </c>
      <c r="T229" s="1644">
        <f>+T199+T227</f>
        <v>14437326.09</v>
      </c>
      <c r="U229" s="1631"/>
      <c r="V229" s="1645">
        <f>+V199+V227</f>
        <v>289681.10999999969</v>
      </c>
      <c r="W229" s="340"/>
      <c r="X229" s="340"/>
      <c r="Y229" s="340"/>
    </row>
    <row r="230" spans="1:25" s="236" customFormat="1" ht="7.5" customHeight="1" thickTop="1">
      <c r="A230" s="342"/>
      <c r="B230" s="342"/>
      <c r="C230" s="342"/>
      <c r="D230" s="340"/>
      <c r="E230" s="340"/>
      <c r="F230" s="340"/>
      <c r="G230" s="340"/>
      <c r="H230" s="340"/>
      <c r="I230" s="340"/>
      <c r="J230" s="1630"/>
      <c r="K230" s="1631"/>
      <c r="L230" s="1632"/>
      <c r="M230" s="1631"/>
      <c r="N230" s="1632"/>
      <c r="O230" s="1631"/>
      <c r="P230" s="1632"/>
      <c r="Q230" s="1631"/>
      <c r="R230" s="1632"/>
      <c r="S230" s="1632"/>
      <c r="T230" s="1632"/>
      <c r="U230" s="1631"/>
      <c r="V230" s="1633"/>
      <c r="W230" s="340"/>
      <c r="X230" s="340"/>
      <c r="Y230" s="340"/>
    </row>
    <row r="231" spans="1:25" s="374" customFormat="1" ht="12">
      <c r="A231" s="342"/>
      <c r="B231" s="342"/>
      <c r="C231" s="342"/>
      <c r="D231" s="340"/>
      <c r="E231" s="340"/>
      <c r="F231" s="340" t="s">
        <v>904</v>
      </c>
      <c r="G231" s="340"/>
      <c r="H231" s="340"/>
      <c r="I231" s="340"/>
      <c r="J231" s="1630">
        <f>J143-J229</f>
        <v>0</v>
      </c>
      <c r="K231" s="1631"/>
      <c r="L231" s="1632">
        <f>L143-L229</f>
        <v>0</v>
      </c>
      <c r="M231" s="1631"/>
      <c r="N231" s="1632">
        <f>N143-N229</f>
        <v>0</v>
      </c>
      <c r="O231" s="1631"/>
      <c r="P231" s="1632">
        <f>P143-P229</f>
        <v>0</v>
      </c>
      <c r="Q231" s="1631"/>
      <c r="R231" s="1632">
        <f>R143-R229</f>
        <v>0</v>
      </c>
      <c r="S231" s="1632">
        <f>S143-S229</f>
        <v>0</v>
      </c>
      <c r="T231" s="1632">
        <f>T143-T229</f>
        <v>0</v>
      </c>
      <c r="U231" s="1631"/>
      <c r="V231" s="1633">
        <f>V143-V229</f>
        <v>6.9849193096160889E-10</v>
      </c>
      <c r="W231" s="340"/>
      <c r="X231" s="340"/>
      <c r="Y231" s="340"/>
    </row>
    <row r="232" spans="1:25" s="375" customFormat="1" ht="9.75" customHeight="1">
      <c r="A232" s="342"/>
      <c r="B232" s="368"/>
      <c r="C232" s="368"/>
      <c r="D232" s="340"/>
      <c r="E232" s="340"/>
      <c r="F232" s="343"/>
      <c r="G232" s="340"/>
      <c r="H232" s="342"/>
      <c r="I232" s="342"/>
      <c r="J232" s="1646"/>
      <c r="K232" s="1647"/>
      <c r="L232" s="1647"/>
      <c r="M232" s="1647"/>
      <c r="N232" s="1647"/>
      <c r="O232" s="1647"/>
      <c r="P232" s="1647"/>
      <c r="Q232" s="1647"/>
      <c r="R232" s="1647"/>
      <c r="S232" s="1647"/>
      <c r="T232" s="1647"/>
      <c r="U232" s="1647"/>
      <c r="V232" s="1648"/>
      <c r="W232" s="342"/>
      <c r="X232" s="342"/>
      <c r="Y232" s="342"/>
    </row>
    <row r="233" spans="1:25" s="236" customFormat="1" outlineLevel="1">
      <c r="A233" s="342"/>
      <c r="B233" s="341" t="s">
        <v>177</v>
      </c>
      <c r="C233" s="342"/>
      <c r="D233" s="343"/>
      <c r="E233" s="343"/>
      <c r="F233" s="344"/>
      <c r="G233" s="344"/>
      <c r="H233" s="340"/>
      <c r="I233" s="340"/>
      <c r="J233" s="1630"/>
      <c r="K233" s="1631"/>
      <c r="L233" s="1632"/>
      <c r="M233" s="1631"/>
      <c r="N233" s="1632"/>
      <c r="O233" s="1631"/>
      <c r="P233" s="1632"/>
      <c r="Q233" s="1631"/>
      <c r="R233" s="1632"/>
      <c r="S233" s="1632"/>
      <c r="T233" s="1632"/>
      <c r="U233" s="1631"/>
      <c r="V233" s="1633"/>
      <c r="W233" s="340"/>
      <c r="X233" s="340"/>
      <c r="Y233" s="340"/>
    </row>
    <row r="234" spans="1:25" ht="6" customHeight="1" outlineLevel="1">
      <c r="A234" s="368"/>
      <c r="B234" s="342"/>
      <c r="C234" s="342"/>
      <c r="D234" s="342"/>
      <c r="E234" s="342"/>
      <c r="F234" s="342"/>
      <c r="G234" s="342"/>
      <c r="H234" s="342"/>
      <c r="I234" s="342"/>
      <c r="J234" s="1637"/>
      <c r="K234" s="1632"/>
      <c r="L234" s="1638"/>
      <c r="M234" s="1647"/>
      <c r="N234" s="1638"/>
      <c r="O234" s="1647"/>
      <c r="P234" s="1638"/>
      <c r="Q234" s="1647"/>
      <c r="R234" s="1638"/>
      <c r="S234" s="1638"/>
      <c r="T234" s="1638"/>
      <c r="U234" s="1647"/>
      <c r="V234" s="1639"/>
      <c r="W234" s="342"/>
      <c r="X234" s="342"/>
      <c r="Y234" s="342"/>
    </row>
    <row r="235" spans="1:25" s="4" customFormat="1" ht="13.5" thickBot="1">
      <c r="A235" s="342" t="s">
        <v>177</v>
      </c>
      <c r="B235" s="376"/>
      <c r="C235" s="376"/>
      <c r="D235" s="376"/>
      <c r="E235" s="376" t="s">
        <v>178</v>
      </c>
      <c r="F235" s="376"/>
      <c r="G235" s="376"/>
      <c r="H235" s="376"/>
      <c r="I235" s="376"/>
      <c r="J235" s="1649">
        <f>SUM(J233:J234)</f>
        <v>0</v>
      </c>
      <c r="K235" s="1653"/>
      <c r="L235" s="1650">
        <f>SUM(L233:L234)</f>
        <v>0</v>
      </c>
      <c r="M235" s="1653"/>
      <c r="N235" s="1650">
        <f>SUM(N233:N234)</f>
        <v>0</v>
      </c>
      <c r="O235" s="1653"/>
      <c r="P235" s="1650">
        <f>SUM(P233:P234)</f>
        <v>0</v>
      </c>
      <c r="Q235" s="1653"/>
      <c r="R235" s="1650">
        <f>SUM(R233:R234)</f>
        <v>0</v>
      </c>
      <c r="S235" s="1650">
        <f>SUM(S233:S234)</f>
        <v>0</v>
      </c>
      <c r="T235" s="1650">
        <f>SUM(T233:T234)</f>
        <v>0</v>
      </c>
      <c r="U235" s="1653"/>
      <c r="V235" s="1652">
        <f>SUM(V233:V234)</f>
        <v>0</v>
      </c>
      <c r="W235" s="342"/>
      <c r="X235" s="342"/>
      <c r="Y235" s="342"/>
    </row>
    <row r="236" spans="1:25" ht="13.5" thickTop="1">
      <c r="A236" s="379"/>
      <c r="B236" s="342"/>
      <c r="C236" s="342"/>
      <c r="D236" s="342"/>
      <c r="E236" s="342"/>
      <c r="F236" s="342"/>
      <c r="G236" s="342"/>
      <c r="H236" s="342"/>
      <c r="I236" s="342"/>
      <c r="J236" s="380"/>
      <c r="K236" s="380"/>
      <c r="L236" s="381"/>
      <c r="M236" s="381"/>
      <c r="N236" s="381"/>
      <c r="O236" s="381"/>
      <c r="P236" s="381"/>
      <c r="Q236" s="381"/>
      <c r="R236" s="381"/>
      <c r="S236" s="381"/>
      <c r="T236" s="381"/>
      <c r="U236" s="381"/>
      <c r="V236" s="381"/>
      <c r="W236" s="342"/>
      <c r="X236" s="342"/>
      <c r="Y236" s="342"/>
    </row>
    <row r="237" spans="1:25">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row r="238" spans="1:25">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row>
  </sheetData>
  <dataValidations disablePrompts="1" count="1">
    <dataValidation type="list" allowBlank="1" showInputMessage="1" showErrorMessage="1" sqref="N8" xr:uid="{00000000-0002-0000-0F00-000000000000}">
      <formula1>"TRUE,FALSE"</formula1>
    </dataValidation>
  </dataValidations>
  <pageMargins left="0.5" right="0.5" top="0.39" bottom="0.4" header="0.25" footer="0.25"/>
  <pageSetup scale="58" fitToHeight="0" orientation="landscape" errors="blank" r:id="rId1"/>
  <headerFooter alignWithMargins="0">
    <oddHeader>&amp;C&amp;"-,Bold"&amp;14&amp;KFF0000TEXT IN RED BOX CONFIDENTIAL PER WAC 480-07-16&amp;R&amp;D - &amp;T</oddHeader>
    <oddFooter>&amp;L&amp;F - &amp;A&amp;RPage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theme="8" tint="0.59999389629810485"/>
  </sheetPr>
  <dimension ref="A1:AV112"/>
  <sheetViews>
    <sheetView showGridLines="0" showOutlineSymbols="0" view="pageBreakPreview" zoomScaleNormal="70" zoomScaleSheetLayoutView="10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4.85546875" style="139" bestFit="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20.57031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(C)'!E41</f>
        <v>13691336.231019938</v>
      </c>
      <c r="D5" s="993">
        <f>C5-'LG BRG - MSW'!C5-'LG BRG - Recycle'!C5-'LG BRG - Yard Waste'!C5</f>
        <v>1.0040821507573128E-9</v>
      </c>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(C)'!E327</f>
        <v>13299748.950588811</v>
      </c>
      <c r="D6" s="993">
        <f>C6-'LG BRG - MSW'!C6-'LG BRG - Recycle'!C6-'LG BRG - Yard Waste'!C6</f>
        <v>2.3283064365386963E-10</v>
      </c>
      <c r="E6" s="94"/>
      <c r="F6" s="120" t="s">
        <v>332</v>
      </c>
      <c r="G6" s="117"/>
      <c r="H6" s="117"/>
      <c r="I6" s="121"/>
      <c r="J6" s="122" t="s">
        <v>333</v>
      </c>
      <c r="K6" s="123"/>
      <c r="L6" s="122" t="s">
        <v>334</v>
      </c>
      <c r="M6" s="122" t="s">
        <v>335</v>
      </c>
      <c r="O6" s="106"/>
      <c r="P6" s="95"/>
      <c r="R6" s="413">
        <v>1</v>
      </c>
      <c r="S6" s="404">
        <f>Revenue/Investment*100</f>
        <v>179.28440163222626</v>
      </c>
      <c r="T6" s="412">
        <f>EXP(y_inter1-(slope*LN(+S6)))</f>
        <v>8.6541218216457398</v>
      </c>
      <c r="U6" s="411">
        <f>(+S6*T6/100)/100</f>
        <v>0.15515490524461484</v>
      </c>
      <c r="V6" s="411">
        <f>regDebt_weighted</f>
        <v>3.5860000000000003E-2</v>
      </c>
      <c r="W6" s="411">
        <f>+U6-V6</f>
        <v>0.11929490524461484</v>
      </c>
      <c r="X6" s="411">
        <f>+((W6*(1-0.34))-Pfd_weighted)/Equity_percent</f>
        <v>0.21088557401583077</v>
      </c>
      <c r="Y6" s="411">
        <f>+C15</f>
        <v>2.5000000000000001E-3</v>
      </c>
      <c r="Z6" s="411">
        <f>+X6+Y6</f>
        <v>0.21338557401583078</v>
      </c>
      <c r="AA6" s="411">
        <f>Z6*equityP</f>
        <v>0.12394630878077015</v>
      </c>
      <c r="AB6" s="411">
        <f>+AA6/(1-taxrate)</f>
        <v>0.15689406174781031</v>
      </c>
      <c r="AC6" s="411">
        <f>debtP*Debt_Rate</f>
        <v>1.3521189462017025E-2</v>
      </c>
      <c r="AD6" s="411">
        <f>AC6+AB6</f>
        <v>0.17041525120982734</v>
      </c>
      <c r="AE6" s="411">
        <f>AD6/(S6/100)</f>
        <v>9.5053027289795922E-2</v>
      </c>
      <c r="AF6" s="411">
        <f>1-AE6</f>
        <v>0.90494697271020408</v>
      </c>
      <c r="AG6" s="408">
        <f>expenses/(AF6)</f>
        <v>14696716.328866996</v>
      </c>
      <c r="AH6" s="410">
        <f>+AG6-Revenue</f>
        <v>1005380.0978470575</v>
      </c>
      <c r="AI6" s="409">
        <f ca="1">+AH6/$J$49</f>
        <v>1141875.5578764959</v>
      </c>
      <c r="AJ6" s="409">
        <f ca="1">+AI6*$J$47</f>
        <v>29016.14160607363</v>
      </c>
      <c r="AK6" s="408">
        <f ca="1">ROUND(+AJ6+AG6,5)</f>
        <v>14725732.47047</v>
      </c>
    </row>
    <row r="7" spans="1:37" ht="15.75">
      <c r="A7" s="94"/>
      <c r="B7" s="115" t="s">
        <v>292</v>
      </c>
      <c r="C7" s="238">
        <f>+'Yakima LOB (C)'!E334</f>
        <v>7636657.7941931393</v>
      </c>
      <c r="D7" s="993">
        <f>C7-'LG BRG - MSW'!C7-'LG BRG - Recycle'!C7-'LG BRG - Yard Waste'!C7</f>
        <v>1.8480932340025902E-9</v>
      </c>
      <c r="E7" s="94"/>
      <c r="F7" s="415">
        <v>1</v>
      </c>
      <c r="G7" s="117"/>
      <c r="H7" s="124" t="s">
        <v>318</v>
      </c>
      <c r="I7" s="125">
        <f>IF(A64=TRUE,C5,0)</f>
        <v>13691336.231019938</v>
      </c>
      <c r="J7" s="125">
        <f ca="1">(+$I8/($R50))-I7</f>
        <v>993306.71076573804</v>
      </c>
      <c r="K7" s="125">
        <f ca="1">+I7+J7</f>
        <v>14684642.941785676</v>
      </c>
      <c r="L7" s="125">
        <f ca="1">((+J7/J49*K35)-J7)</f>
        <v>28667.693183465512</v>
      </c>
      <c r="M7" s="125">
        <f ca="1">IFERROR(+K7+L7,0.00001)</f>
        <v>14713310.634969141</v>
      </c>
      <c r="O7" s="106"/>
      <c r="P7" s="95"/>
      <c r="R7" s="126">
        <v>2</v>
      </c>
      <c r="S7" s="127">
        <f>Revenue/Investment*100</f>
        <v>179.28440163222626</v>
      </c>
      <c r="T7" s="128">
        <f>EXP(y_inter1-(slope*LN(+S7)))</f>
        <v>8.6541218216457398</v>
      </c>
      <c r="U7" s="129">
        <f t="shared" ref="U7:U9" si="0">(+S7*T7/100)/100</f>
        <v>0.15515490524461484</v>
      </c>
      <c r="V7" s="129">
        <f>regDebt_weighted</f>
        <v>3.5860000000000003E-2</v>
      </c>
      <c r="W7" s="129">
        <f t="shared" ref="W7:W9" si="1">+U7-V7</f>
        <v>0.11929490524461484</v>
      </c>
      <c r="X7" s="129">
        <f>+((W7*(1-0.34))-Pfd_weighted)/Equity_percent</f>
        <v>0.21088557401583077</v>
      </c>
      <c r="Y7" s="129">
        <f>+Y6</f>
        <v>2.5000000000000001E-3</v>
      </c>
      <c r="Z7" s="129">
        <f>+X7+Y7</f>
        <v>0.21338557401583078</v>
      </c>
      <c r="AA7" s="129">
        <f>Z7*equityP</f>
        <v>0.12394630878077015</v>
      </c>
      <c r="AB7" s="129">
        <f>+AA7/(1-taxrate)</f>
        <v>0.15689406174781031</v>
      </c>
      <c r="AC7" s="129">
        <f>debtP*Debt_Rate</f>
        <v>1.3521189462017025E-2</v>
      </c>
      <c r="AD7" s="129">
        <f t="shared" ref="AD7:AD9" si="2">AC7+AB7</f>
        <v>0.17041525120982734</v>
      </c>
      <c r="AE7" s="129">
        <f t="shared" ref="AE7:AE9" si="3">AD7/(S7/100)</f>
        <v>9.5053027289795922E-2</v>
      </c>
      <c r="AF7" s="129">
        <f t="shared" ref="AF7:AF9" si="4">1-AE7</f>
        <v>0.90494697271020408</v>
      </c>
      <c r="AG7" s="130">
        <f>expenses/(AF7)</f>
        <v>14696716.328866996</v>
      </c>
      <c r="AH7" s="239">
        <f>+AG7-Revenue</f>
        <v>1005380.0978470575</v>
      </c>
      <c r="AI7" s="131">
        <f ca="1">+AH7/$J$49</f>
        <v>1141875.5578764959</v>
      </c>
      <c r="AJ7" s="131">
        <f ca="1">+AI7*$J$47</f>
        <v>29016.14160607363</v>
      </c>
      <c r="AK7" s="130">
        <f t="shared" ref="AK7:AK9" ca="1" si="5">ROUND(+AJ7+AG7,5)</f>
        <v>14725732.47047</v>
      </c>
    </row>
    <row r="8" spans="1:37" ht="15.75">
      <c r="A8" s="94"/>
      <c r="B8" s="115" t="s">
        <v>336</v>
      </c>
      <c r="C8" s="453">
        <f>+'Corp BS &amp; IS'!$K$5</f>
        <v>0.41914391658184569</v>
      </c>
      <c r="D8" s="112"/>
      <c r="E8" s="94"/>
      <c r="F8" s="132">
        <f>+F7+1</f>
        <v>2</v>
      </c>
      <c r="G8" s="117"/>
      <c r="H8" s="124" t="s">
        <v>331</v>
      </c>
      <c r="I8" s="125">
        <f>IF(A64=TRUE,C6,0)</f>
        <v>13299748.950588811</v>
      </c>
      <c r="J8" s="108"/>
      <c r="K8" s="125">
        <f>+I8</f>
        <v>13299748.950588811</v>
      </c>
      <c r="L8" s="125">
        <f ca="1">+L7</f>
        <v>28667.693183465512</v>
      </c>
      <c r="M8" s="125">
        <f ca="1">IFERROR(+K8+L8,0.00001)</f>
        <v>13328416.643772276</v>
      </c>
      <c r="O8" s="106"/>
      <c r="P8" s="95"/>
      <c r="R8" s="133">
        <v>3</v>
      </c>
      <c r="S8" s="127">
        <f>Revenue/Investment*100</f>
        <v>179.28440163222626</v>
      </c>
      <c r="T8" s="128">
        <f>EXP(y_inter1-(slope*LN(+S8)))</f>
        <v>8.6541218216457398</v>
      </c>
      <c r="U8" s="129">
        <f t="shared" si="0"/>
        <v>0.15515490524461484</v>
      </c>
      <c r="V8" s="129">
        <f>regDebt_weighted</f>
        <v>3.5860000000000003E-2</v>
      </c>
      <c r="W8" s="129">
        <f t="shared" si="1"/>
        <v>0.11929490524461484</v>
      </c>
      <c r="X8" s="129">
        <f>+((W8*(1-0.34))-Pfd_weighted)/Equity_percent</f>
        <v>0.21088557401583077</v>
      </c>
      <c r="Y8" s="129">
        <f>+Y7</f>
        <v>2.5000000000000001E-3</v>
      </c>
      <c r="Z8" s="129">
        <f t="shared" ref="Z8:Z9" si="6">+X8+Y8</f>
        <v>0.21338557401583078</v>
      </c>
      <c r="AA8" s="129">
        <f>Z8*equityP</f>
        <v>0.12394630878077015</v>
      </c>
      <c r="AB8" s="129">
        <f>+AA8/(1-taxrate)</f>
        <v>0.15689406174781031</v>
      </c>
      <c r="AC8" s="129">
        <f>debtP*Debt_Rate</f>
        <v>1.3521189462017025E-2</v>
      </c>
      <c r="AD8" s="129">
        <f t="shared" si="2"/>
        <v>0.17041525120982734</v>
      </c>
      <c r="AE8" s="129">
        <f t="shared" si="3"/>
        <v>9.5053027289795922E-2</v>
      </c>
      <c r="AF8" s="129">
        <f t="shared" si="4"/>
        <v>0.90494697271020408</v>
      </c>
      <c r="AG8" s="130">
        <f>expenses/(AF8)</f>
        <v>14696716.328866996</v>
      </c>
      <c r="AH8" s="239">
        <f>+AG8-Revenue</f>
        <v>1005380.0978470575</v>
      </c>
      <c r="AI8" s="131">
        <f ca="1">+AH8/$J$49</f>
        <v>1141875.5578764959</v>
      </c>
      <c r="AJ8" s="131">
        <f ca="1">+AI8*$J$47</f>
        <v>29016.14160607363</v>
      </c>
      <c r="AK8" s="130">
        <f t="shared" ca="1" si="5"/>
        <v>14725732.47047</v>
      </c>
    </row>
    <row r="9" spans="1:37" ht="15.75">
      <c r="A9" s="94"/>
      <c r="B9" s="115" t="s">
        <v>337</v>
      </c>
      <c r="C9" s="453">
        <f>+'Corp BS &amp; IS'!$J$14</f>
        <v>3.2259061690035909E-2</v>
      </c>
      <c r="D9" s="112"/>
      <c r="E9" s="94"/>
      <c r="F9" s="132">
        <f t="shared" ref="F9:F49" si="7">+F8+1</f>
        <v>3</v>
      </c>
      <c r="G9" s="117"/>
      <c r="H9" s="124" t="s">
        <v>338</v>
      </c>
      <c r="I9" s="454">
        <f>+I7-I8</f>
        <v>391587.28043112718</v>
      </c>
      <c r="J9" s="108"/>
      <c r="K9" s="454">
        <f ca="1">+K7-K8</f>
        <v>1384893.9911968652</v>
      </c>
      <c r="L9" s="117"/>
      <c r="M9" s="455">
        <f ca="1">+M7-M8</f>
        <v>1384893.9911968652</v>
      </c>
      <c r="O9" s="106"/>
      <c r="P9" s="95"/>
      <c r="R9" s="134">
        <v>4</v>
      </c>
      <c r="S9" s="127">
        <f>Revenue/Investment*100</f>
        <v>179.28440163222626</v>
      </c>
      <c r="T9" s="128">
        <f>EXP(y_inter1-(slope*LN(+S9)))</f>
        <v>8.6541218216457398</v>
      </c>
      <c r="U9" s="129">
        <f t="shared" si="0"/>
        <v>0.15515490524461484</v>
      </c>
      <c r="V9" s="129">
        <f>regDebt_weighted</f>
        <v>3.5860000000000003E-2</v>
      </c>
      <c r="W9" s="129">
        <f t="shared" si="1"/>
        <v>0.11929490524461484</v>
      </c>
      <c r="X9" s="129">
        <f>+((W9*(1-0.34))-Pfd_weighted)/Equity_percent</f>
        <v>0.21088557401583077</v>
      </c>
      <c r="Y9" s="129">
        <f>+Y8</f>
        <v>2.5000000000000001E-3</v>
      </c>
      <c r="Z9" s="129">
        <f t="shared" si="6"/>
        <v>0.21338557401583078</v>
      </c>
      <c r="AA9" s="129">
        <f>Z9*equityP</f>
        <v>0.12394630878077015</v>
      </c>
      <c r="AB9" s="129">
        <f>+AA9/(1-taxrate)</f>
        <v>0.15689406174781031</v>
      </c>
      <c r="AC9" s="129">
        <f>debtP*Debt_Rate</f>
        <v>1.3521189462017025E-2</v>
      </c>
      <c r="AD9" s="129">
        <f t="shared" si="2"/>
        <v>0.17041525120982734</v>
      </c>
      <c r="AE9" s="129">
        <f t="shared" si="3"/>
        <v>9.5053027289795922E-2</v>
      </c>
      <c r="AF9" s="129">
        <f t="shared" si="4"/>
        <v>0.90494697271020408</v>
      </c>
      <c r="AG9" s="130">
        <f>expenses/(AF9)</f>
        <v>14696716.328866996</v>
      </c>
      <c r="AH9" s="239">
        <f>+AG9-Revenue</f>
        <v>1005380.0978470575</v>
      </c>
      <c r="AI9" s="131">
        <f ca="1">+AH9/$J$49</f>
        <v>1141875.5578764959</v>
      </c>
      <c r="AJ9" s="131">
        <f ca="1">+AI9*$J$47</f>
        <v>29016.14160607363</v>
      </c>
      <c r="AK9" s="130">
        <f t="shared" ca="1" si="5"/>
        <v>14725732.47047</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103256.69689187445</v>
      </c>
      <c r="J11" s="108"/>
      <c r="K11" s="125">
        <f>+M27</f>
        <v>103256.69689187445</v>
      </c>
      <c r="L11" s="117"/>
      <c r="M11" s="125">
        <f>+K11</f>
        <v>103256.69689187445</v>
      </c>
      <c r="O11" s="106"/>
      <c r="P11" s="94"/>
      <c r="R11" s="413">
        <v>1</v>
      </c>
      <c r="S11" s="404">
        <f ca="1">IF((AK6/Investment*100)&gt;0,(AK6/Investment*100),0)</f>
        <v>192.82954490467469</v>
      </c>
      <c r="T11" s="412">
        <f ca="1">EXP(y_inter1-(slope*LN(S11)))</f>
        <v>8.4661446248566676</v>
      </c>
      <c r="U11" s="411">
        <f ca="1">(+S11*T11/100)/100</f>
        <v>0.16325228151082691</v>
      </c>
      <c r="V11" s="411">
        <f>regDebt_weighted</f>
        <v>3.5860000000000003E-2</v>
      </c>
      <c r="W11" s="411">
        <f ca="1">+U11-V11</f>
        <v>0.1273922815108269</v>
      </c>
      <c r="X11" s="411">
        <f ca="1">+((W11*(1-0.34))-Pfd_weighted)/Equity_percent</f>
        <v>0.22642123778240045</v>
      </c>
      <c r="Y11" s="411">
        <f>+Y9</f>
        <v>2.5000000000000001E-3</v>
      </c>
      <c r="Z11" s="411">
        <f ca="1">+X11+Y11</f>
        <v>0.22892123778240045</v>
      </c>
      <c r="AA11" s="411">
        <f ca="1">Z11*equityP</f>
        <v>0.13297029358952114</v>
      </c>
      <c r="AB11" s="411">
        <f ca="1">+AA11/(1-taxrate)</f>
        <v>0.16831682732850778</v>
      </c>
      <c r="AC11" s="411">
        <f>debtP*Debt_Rate</f>
        <v>1.3521189462017025E-2</v>
      </c>
      <c r="AD11" s="411">
        <f ca="1">+AC11+AB11</f>
        <v>0.1818380167905248</v>
      </c>
      <c r="AE11" s="411">
        <f ca="1">+AD11/(S11/100)</f>
        <v>9.4299873435067461E-2</v>
      </c>
      <c r="AF11" s="411">
        <f ca="1">1-AE11</f>
        <v>0.90570012656493248</v>
      </c>
      <c r="AG11" s="408">
        <f ca="1">expenses/(AF11)</f>
        <v>14684494.967480067</v>
      </c>
      <c r="AH11" s="410">
        <f ca="1">+AG11-Revenue</f>
        <v>993158.7364601288</v>
      </c>
      <c r="AI11" s="409">
        <f ca="1">+AH11/$J$49</f>
        <v>1127994.9629834862</v>
      </c>
      <c r="AJ11" s="409">
        <f ca="1">+AI11*$J$47</f>
        <v>28663.42251666505</v>
      </c>
      <c r="AK11" s="408">
        <f ca="1">ROUND(+AJ11+AG11,5)</f>
        <v>14713158.390000001</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269143.83180404804</v>
      </c>
      <c r="L12" s="117"/>
      <c r="M12" s="125">
        <f ca="1">+K12</f>
        <v>269143.83180404804</v>
      </c>
      <c r="O12" s="106"/>
      <c r="P12" s="94"/>
      <c r="R12" s="126">
        <v>2</v>
      </c>
      <c r="S12" s="127">
        <f ca="1">IF((AK7/Investment*100)&gt;0,(AK7/Investment*100),0)</f>
        <v>192.82954490467469</v>
      </c>
      <c r="T12" s="136">
        <f ca="1">EXP(y_inter2-(slope*LN(+S12)))</f>
        <v>8.4661446248566676</v>
      </c>
      <c r="U12" s="129">
        <f ca="1">(+S12*T12/100)/100</f>
        <v>0.16325228151082691</v>
      </c>
      <c r="V12" s="129">
        <f>regDebt_weighted</f>
        <v>3.5860000000000003E-2</v>
      </c>
      <c r="W12" s="129">
        <f ca="1">+U12-V12</f>
        <v>0.1273922815108269</v>
      </c>
      <c r="X12" s="129">
        <f ca="1">+((W12*(1-0.34))-Pfd_weighted)/Equity_percent</f>
        <v>0.22642123778240045</v>
      </c>
      <c r="Y12" s="129">
        <f>+Y11</f>
        <v>2.5000000000000001E-3</v>
      </c>
      <c r="Z12" s="129">
        <f ca="1">+X12+Y12</f>
        <v>0.22892123778240045</v>
      </c>
      <c r="AA12" s="129">
        <f ca="1">Z12*equityP</f>
        <v>0.13297029358952114</v>
      </c>
      <c r="AB12" s="129">
        <f ca="1">+AA12/(1-taxrate)</f>
        <v>0.16831682732850778</v>
      </c>
      <c r="AC12" s="129">
        <f>debtP*Debt_Rate</f>
        <v>1.3521189462017025E-2</v>
      </c>
      <c r="AD12" s="129">
        <f ca="1">+AC12+AB12</f>
        <v>0.1818380167905248</v>
      </c>
      <c r="AE12" s="129">
        <f ca="1">+AD12/(S12/100)</f>
        <v>9.4299873435067461E-2</v>
      </c>
      <c r="AF12" s="129">
        <f ca="1">1-AE12</f>
        <v>0.90570012656493248</v>
      </c>
      <c r="AG12" s="130">
        <f ca="1">expenses/(AF12)</f>
        <v>14684494.967480067</v>
      </c>
      <c r="AH12" s="239">
        <f ca="1">+AG12-Revenue</f>
        <v>993158.7364601288</v>
      </c>
      <c r="AI12" s="131">
        <f ca="1">+AH12/$J$49</f>
        <v>1127994.9629834862</v>
      </c>
      <c r="AJ12" s="131">
        <f ca="1">+AI12*$J$47</f>
        <v>28663.42251666505</v>
      </c>
      <c r="AK12" s="130">
        <f t="shared" ref="AK12:AK14" ca="1" si="8">ROUND(+AJ12+AG12,5)</f>
        <v>14713158.390000001</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192.82954490467469</v>
      </c>
      <c r="T13" s="128">
        <f ca="1">EXP(y_inter3-(slope*LN(S13)))</f>
        <v>8.4661446248566676</v>
      </c>
      <c r="U13" s="129">
        <f ca="1">(+S13*T13/100)/100</f>
        <v>0.16325228151082691</v>
      </c>
      <c r="V13" s="129">
        <f>regDebt_weighted</f>
        <v>3.5860000000000003E-2</v>
      </c>
      <c r="W13" s="129">
        <f ca="1">+U13-V13</f>
        <v>0.1273922815108269</v>
      </c>
      <c r="X13" s="129">
        <f ca="1">+((W13*(1-0.34))-Pfd_weighted)/Equity_percent</f>
        <v>0.22642123778240045</v>
      </c>
      <c r="Y13" s="129">
        <f>+Y12</f>
        <v>2.5000000000000001E-3</v>
      </c>
      <c r="Z13" s="129">
        <f t="shared" ref="Z13:Z14" ca="1" si="9">+X13+Y13</f>
        <v>0.22892123778240045</v>
      </c>
      <c r="AA13" s="129">
        <f ca="1">Z13*equityP</f>
        <v>0.13297029358952114</v>
      </c>
      <c r="AB13" s="129">
        <f ca="1">+AA13/(1-taxrate)</f>
        <v>0.16831682732850778</v>
      </c>
      <c r="AC13" s="129">
        <f>debtP*Debt_Rate</f>
        <v>1.3521189462017025E-2</v>
      </c>
      <c r="AD13" s="129">
        <f ca="1">+AC13+AB13</f>
        <v>0.1818380167905248</v>
      </c>
      <c r="AE13" s="129">
        <f ca="1">+AD13/(S13/100)</f>
        <v>9.4299873435067461E-2</v>
      </c>
      <c r="AF13" s="129">
        <f ca="1">1-AE13</f>
        <v>0.90570012656493248</v>
      </c>
      <c r="AG13" s="130">
        <f ca="1">expenses/(AF13)</f>
        <v>14684494.967480067</v>
      </c>
      <c r="AH13" s="239">
        <f ca="1">+AG13-Revenue</f>
        <v>993158.7364601288</v>
      </c>
      <c r="AI13" s="131">
        <f ca="1">+AH13/$J$49</f>
        <v>1127994.9629834862</v>
      </c>
      <c r="AJ13" s="131">
        <f ca="1">+AI13*$J$47</f>
        <v>28663.42251666505</v>
      </c>
      <c r="AK13" s="130">
        <f t="shared" ca="1" si="8"/>
        <v>14713158.390000001</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1012493.4625009428</v>
      </c>
      <c r="L14" s="117"/>
      <c r="M14" s="284">
        <f ca="1">+M9-SUM(M11:M13)</f>
        <v>1012493.4625009428</v>
      </c>
      <c r="O14" s="106"/>
      <c r="P14" s="94"/>
      <c r="R14" s="134">
        <v>4</v>
      </c>
      <c r="S14" s="127">
        <f ca="1">IF((AK9/Investment*100)&gt;0,(AK9/Investment*100),0)</f>
        <v>192.82954490467469</v>
      </c>
      <c r="T14" s="138">
        <f ca="1">EXP(y_inter4-(slope*LN(S14)))</f>
        <v>8.4661446248566676</v>
      </c>
      <c r="U14" s="129">
        <f ca="1">(+S14*T14/100)/100</f>
        <v>0.16325228151082691</v>
      </c>
      <c r="V14" s="129">
        <f>regDebt_weighted</f>
        <v>3.5860000000000003E-2</v>
      </c>
      <c r="W14" s="129">
        <f ca="1">+U14-V14</f>
        <v>0.1273922815108269</v>
      </c>
      <c r="X14" s="129">
        <f ca="1">+((W14*(1-0.34))-Pfd_weighted)/Equity_percent</f>
        <v>0.22642123778240045</v>
      </c>
      <c r="Y14" s="129">
        <f>+Y13</f>
        <v>2.5000000000000001E-3</v>
      </c>
      <c r="Z14" s="129">
        <f t="shared" ca="1" si="9"/>
        <v>0.22892123778240045</v>
      </c>
      <c r="AA14" s="129">
        <f ca="1">Z14*equityP</f>
        <v>0.13297029358952114</v>
      </c>
      <c r="AB14" s="129">
        <f ca="1">+AA14/(1-taxrate)</f>
        <v>0.16831682732850778</v>
      </c>
      <c r="AC14" s="129">
        <f>debtP*Debt_Rate</f>
        <v>1.3521189462017025E-2</v>
      </c>
      <c r="AD14" s="129">
        <f ca="1">+AC14+AB14</f>
        <v>0.1818380167905248</v>
      </c>
      <c r="AE14" s="129">
        <f ca="1">+AD14/(S14/100)</f>
        <v>9.4299873435067461E-2</v>
      </c>
      <c r="AF14" s="129">
        <f ca="1">1-AE14</f>
        <v>0.90570012656493248</v>
      </c>
      <c r="AG14" s="130">
        <f ca="1">expenses/(AF14)</f>
        <v>14684494.967480067</v>
      </c>
      <c r="AH14" s="239">
        <f ca="1">+AG14-Revenue</f>
        <v>993158.7364601288</v>
      </c>
      <c r="AI14" s="131">
        <f ca="1">+AH14/$J$49</f>
        <v>1127994.9629834862</v>
      </c>
      <c r="AJ14" s="131">
        <f ca="1">+AI14*$J$47</f>
        <v>28663.42251666505</v>
      </c>
      <c r="AK14" s="130">
        <f t="shared" ca="1" si="8"/>
        <v>14713158.390000001</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0.97139889972580451</v>
      </c>
      <c r="J16" s="142"/>
      <c r="K16" s="141">
        <f ca="1">+K8/K7</f>
        <v>0.90569100000000002</v>
      </c>
      <c r="L16" s="143"/>
      <c r="M16" s="141">
        <f ca="1">+M8/M7</f>
        <v>0.90587475344227519</v>
      </c>
      <c r="O16" s="106"/>
      <c r="P16" s="94"/>
      <c r="R16" s="413">
        <v>1</v>
      </c>
      <c r="S16" s="404">
        <f ca="1">AK11/Investment*100</f>
        <v>192.66489066968251</v>
      </c>
      <c r="T16" s="412">
        <f ca="1">EXP(y_inter1-(slope*LN(+S16)))</f>
        <v>8.4683255409272906</v>
      </c>
      <c r="U16" s="411">
        <f ca="1">(+S16*T16/100)/100</f>
        <v>0.16315490144980366</v>
      </c>
      <c r="V16" s="411">
        <f>regDebt_weighted</f>
        <v>3.5860000000000003E-2</v>
      </c>
      <c r="W16" s="411">
        <f ca="1">+U16-V16</f>
        <v>0.12729490144980365</v>
      </c>
      <c r="X16" s="411">
        <f ca="1">+((W16*(1-0.34))-Pfd_weighted)/Equity_percent</f>
        <v>0.22623440394439073</v>
      </c>
      <c r="Y16" s="411">
        <f>+Y14</f>
        <v>2.5000000000000001E-3</v>
      </c>
      <c r="Z16" s="411">
        <f ca="1">+X16+Y16</f>
        <v>0.22873440394439074</v>
      </c>
      <c r="AA16" s="411">
        <f ca="1">Z16*equityP</f>
        <v>0.13286177001812483</v>
      </c>
      <c r="AB16" s="411">
        <f ca="1">+AA16/(1-taxrate)</f>
        <v>0.16817945571914533</v>
      </c>
      <c r="AC16" s="411">
        <f>debtP*Debt_Rate</f>
        <v>1.3521189462017025E-2</v>
      </c>
      <c r="AD16" s="411">
        <f ca="1">+AC16+AB16</f>
        <v>0.18170064518116236</v>
      </c>
      <c r="AE16" s="411">
        <f ca="1">+AD16/(S16/100)</f>
        <v>9.4309162686356807E-2</v>
      </c>
      <c r="AF16" s="411">
        <f ca="1">1-AE16</f>
        <v>0.90569083731364319</v>
      </c>
      <c r="AG16" s="408">
        <f ca="1">expenses/(AF16)</f>
        <v>14684645.579541259</v>
      </c>
      <c r="AH16" s="410">
        <f ca="1">+AG16-Revenue</f>
        <v>993309.34852132015</v>
      </c>
      <c r="AI16" s="409">
        <f ca="1">+AH16/$J$49</f>
        <v>1128166.022895816</v>
      </c>
      <c r="AJ16" s="409">
        <f ca="1">+AI16*$J$47</f>
        <v>28667.769311379277</v>
      </c>
      <c r="AK16" s="408">
        <f ca="1">ROUND(+AJ16+AG16,5)</f>
        <v>14713313.348850001</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192.66489066968251</v>
      </c>
      <c r="T17" s="136">
        <f ca="1">EXP(y_inter2-(slope*LN(+S17)))</f>
        <v>8.4683255409272906</v>
      </c>
      <c r="U17" s="129">
        <f ca="1">(+S17*T17/100)/100</f>
        <v>0.16315490144980366</v>
      </c>
      <c r="V17" s="129">
        <f>regDebt_weighted</f>
        <v>3.5860000000000003E-2</v>
      </c>
      <c r="W17" s="129">
        <f ca="1">+U17-V17</f>
        <v>0.12729490144980365</v>
      </c>
      <c r="X17" s="129">
        <f ca="1">+((W17*(1-0.34))-Pfd_weighted)/Equity_percent</f>
        <v>0.22623440394439073</v>
      </c>
      <c r="Y17" s="129">
        <f>+Y16</f>
        <v>2.5000000000000001E-3</v>
      </c>
      <c r="Z17" s="129">
        <f ca="1">+X17+Y17</f>
        <v>0.22873440394439074</v>
      </c>
      <c r="AA17" s="129">
        <f ca="1">Z17*equityP</f>
        <v>0.13286177001812483</v>
      </c>
      <c r="AB17" s="129">
        <f ca="1">+AA17/(1-taxrate)</f>
        <v>0.16817945571914533</v>
      </c>
      <c r="AC17" s="129">
        <f>debtP*Debt_Rate</f>
        <v>1.3521189462017025E-2</v>
      </c>
      <c r="AD17" s="129">
        <f ca="1">+AC17+AB17</f>
        <v>0.18170064518116236</v>
      </c>
      <c r="AE17" s="129">
        <f ca="1">+AD17/(S17/100)</f>
        <v>9.4309162686356807E-2</v>
      </c>
      <c r="AF17" s="129">
        <f ca="1">1-AE17</f>
        <v>0.90569083731364319</v>
      </c>
      <c r="AG17" s="130">
        <f ca="1">expenses/(AF17)</f>
        <v>14684645.579541259</v>
      </c>
      <c r="AH17" s="239">
        <f ca="1">+AG17-Revenue</f>
        <v>993309.34852132015</v>
      </c>
      <c r="AI17" s="131">
        <f ca="1">+AH17/$J$49</f>
        <v>1128166.022895816</v>
      </c>
      <c r="AJ17" s="131">
        <f ca="1">+AI17*$J$47</f>
        <v>28667.769311379277</v>
      </c>
      <c r="AK17" s="130">
        <f t="shared" ref="AK17:AK19" ca="1" si="10">ROUND(+AJ17+AG17,5)</f>
        <v>14713313.348850001</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192.66489066968251</v>
      </c>
      <c r="T18" s="128">
        <f ca="1">EXP(y_inter3-(slope*LN(S18)))</f>
        <v>8.4683255409272906</v>
      </c>
      <c r="U18" s="129">
        <f ca="1">(+S18*T18/100)/100</f>
        <v>0.16315490144980366</v>
      </c>
      <c r="V18" s="129">
        <f>regDebt_weighted</f>
        <v>3.5860000000000003E-2</v>
      </c>
      <c r="W18" s="129">
        <f ca="1">+U18-V18</f>
        <v>0.12729490144980365</v>
      </c>
      <c r="X18" s="129">
        <f ca="1">+((W18*(1-0.34))-Pfd_weighted)/Equity_percent</f>
        <v>0.22623440394439073</v>
      </c>
      <c r="Y18" s="129">
        <f>+Y17</f>
        <v>2.5000000000000001E-3</v>
      </c>
      <c r="Z18" s="129">
        <f t="shared" ref="Z18:Z19" ca="1" si="11">+X18+Y18</f>
        <v>0.22873440394439074</v>
      </c>
      <c r="AA18" s="129">
        <f ca="1">Z18*equityP</f>
        <v>0.13286177001812483</v>
      </c>
      <c r="AB18" s="129">
        <f ca="1">+AA18/(1-taxrate)</f>
        <v>0.16817945571914533</v>
      </c>
      <c r="AC18" s="129">
        <f>debtP*Debt_Rate</f>
        <v>1.3521189462017025E-2</v>
      </c>
      <c r="AD18" s="129">
        <f ca="1">+AC18+AB18</f>
        <v>0.18170064518116236</v>
      </c>
      <c r="AE18" s="129">
        <f ca="1">+AD18/(S18/100)</f>
        <v>9.4309162686356807E-2</v>
      </c>
      <c r="AF18" s="129">
        <f ca="1">1-AE18</f>
        <v>0.90569083731364319</v>
      </c>
      <c r="AG18" s="130">
        <f ca="1">expenses/(AF18)</f>
        <v>14684645.579541259</v>
      </c>
      <c r="AH18" s="239">
        <f ca="1">+AG18-Revenue</f>
        <v>993309.34852132015</v>
      </c>
      <c r="AI18" s="131">
        <f ca="1">+AH18/$J$49</f>
        <v>1128166.022895816</v>
      </c>
      <c r="AJ18" s="131">
        <f ca="1">+AI18*$J$47</f>
        <v>28667.769311379277</v>
      </c>
      <c r="AK18" s="130">
        <f t="shared" ca="1" si="10"/>
        <v>14713313.348850001</v>
      </c>
    </row>
    <row r="19" spans="1:37" ht="15.75">
      <c r="A19" s="94"/>
      <c r="B19" s="1073" t="s">
        <v>417</v>
      </c>
      <c r="C19" s="1073"/>
      <c r="D19" s="94"/>
      <c r="E19" s="94"/>
      <c r="F19" s="132">
        <f t="shared" si="7"/>
        <v>13</v>
      </c>
      <c r="G19" s="108"/>
      <c r="H19" s="113"/>
      <c r="I19" s="145" t="s">
        <v>346</v>
      </c>
      <c r="J19" s="137">
        <f>+Revenue</f>
        <v>13691336.231019938</v>
      </c>
      <c r="K19" s="146"/>
      <c r="L19" s="145" t="s">
        <v>418</v>
      </c>
      <c r="M19" s="147">
        <f ca="1">+J7</f>
        <v>993306.71076573804</v>
      </c>
      <c r="O19" s="94"/>
      <c r="P19" s="94"/>
      <c r="R19" s="134">
        <v>4</v>
      </c>
      <c r="S19" s="127">
        <f ca="1">AK14/Investment*100</f>
        <v>192.66489066968251</v>
      </c>
      <c r="T19" s="138">
        <f ca="1">EXP(y_inter4-(slope*LN(S19)))</f>
        <v>8.4683255409272906</v>
      </c>
      <c r="U19" s="129">
        <f ca="1">(+S19*T19/100)/100</f>
        <v>0.16315490144980366</v>
      </c>
      <c r="V19" s="129">
        <f>regDebt_weighted</f>
        <v>3.5860000000000003E-2</v>
      </c>
      <c r="W19" s="129">
        <f ca="1">+U19-V19</f>
        <v>0.12729490144980365</v>
      </c>
      <c r="X19" s="129">
        <f ca="1">+((W19*(1-0.34))-Pfd_weighted)/Equity_percent</f>
        <v>0.22623440394439073</v>
      </c>
      <c r="Y19" s="129">
        <f>+Y18</f>
        <v>2.5000000000000001E-3</v>
      </c>
      <c r="Z19" s="129">
        <f t="shared" ca="1" si="11"/>
        <v>0.22873440394439074</v>
      </c>
      <c r="AA19" s="129">
        <f ca="1">Z19*equityP</f>
        <v>0.13286177001812483</v>
      </c>
      <c r="AB19" s="129">
        <f ca="1">+AA19/(1-taxrate)</f>
        <v>0.16817945571914533</v>
      </c>
      <c r="AC19" s="129">
        <f>debtP*Debt_Rate</f>
        <v>1.3521189462017025E-2</v>
      </c>
      <c r="AD19" s="129">
        <f ca="1">+AC19+AB19</f>
        <v>0.18170064518116236</v>
      </c>
      <c r="AE19" s="129">
        <f ca="1">+AD19/(S19/100)</f>
        <v>9.4309162686356807E-2</v>
      </c>
      <c r="AF19" s="129">
        <f ca="1">1-AE19</f>
        <v>0.90569083731364319</v>
      </c>
      <c r="AG19" s="130">
        <f ca="1">expenses/(AF19)</f>
        <v>14684645.579541259</v>
      </c>
      <c r="AH19" s="239">
        <f ca="1">+AG19-Revenue</f>
        <v>993309.34852132015</v>
      </c>
      <c r="AI19" s="131">
        <f ca="1">+AH19/$J$49</f>
        <v>1128166.022895816</v>
      </c>
      <c r="AJ19" s="131">
        <f ca="1">+AI19*$J$47</f>
        <v>28667.769311379277</v>
      </c>
      <c r="AK19" s="130">
        <f t="shared" ca="1" si="10"/>
        <v>14713313.348850001</v>
      </c>
    </row>
    <row r="20" spans="1:37" ht="15.75">
      <c r="A20" s="94"/>
      <c r="B20" s="177"/>
      <c r="C20" s="94"/>
      <c r="D20" s="94"/>
      <c r="E20" s="94"/>
      <c r="F20" s="132">
        <f t="shared" si="7"/>
        <v>14</v>
      </c>
      <c r="G20" s="108"/>
      <c r="H20" s="113"/>
      <c r="I20" s="145" t="s">
        <v>347</v>
      </c>
      <c r="J20" s="137">
        <f ca="1">+J21-J19</f>
        <v>1021974.403949203</v>
      </c>
      <c r="K20" s="456"/>
      <c r="L20" s="145" t="s">
        <v>419</v>
      </c>
      <c r="M20" s="147">
        <f ca="1">+L8</f>
        <v>28667.693183465512</v>
      </c>
      <c r="O20" s="94"/>
      <c r="P20" s="695"/>
      <c r="R20" s="111" t="s">
        <v>348</v>
      </c>
    </row>
    <row r="21" spans="1:37" ht="16.5" thickBot="1">
      <c r="A21" s="94"/>
      <c r="B21" s="177"/>
      <c r="C21" s="177"/>
      <c r="D21" s="94"/>
      <c r="E21" s="94"/>
      <c r="F21" s="132">
        <f t="shared" si="7"/>
        <v>15</v>
      </c>
      <c r="G21" s="108"/>
      <c r="H21" s="113"/>
      <c r="I21" s="149" t="s">
        <v>211</v>
      </c>
      <c r="J21" s="150">
        <f ca="1">+M7</f>
        <v>14713310.634969141</v>
      </c>
      <c r="K21" s="151"/>
      <c r="L21" s="149" t="s">
        <v>347</v>
      </c>
      <c r="M21" s="240">
        <f ca="1">+M19+M20</f>
        <v>1021974.4039492036</v>
      </c>
      <c r="O21" s="94"/>
      <c r="P21" s="694"/>
      <c r="R21" s="413">
        <v>1</v>
      </c>
      <c r="S21" s="404">
        <f ca="1">AK16/Investment*100</f>
        <v>192.66691981455421</v>
      </c>
      <c r="T21" s="412">
        <f ca="1">EXP(y_inter1-(slope*LN(+S21)))</f>
        <v>8.4682986492701051</v>
      </c>
      <c r="U21" s="411">
        <f ca="1">(+S21*T21/100)/100</f>
        <v>0.16315610168246208</v>
      </c>
      <c r="V21" s="411">
        <f>regDebt_weighted</f>
        <v>3.5860000000000003E-2</v>
      </c>
      <c r="W21" s="411">
        <f ca="1">+U21-V21</f>
        <v>0.12729610168246208</v>
      </c>
      <c r="X21" s="411">
        <f ca="1">+((W21*(1-0.34))-Pfd_weighted)/Equity_percent</f>
        <v>0.22623670671635165</v>
      </c>
      <c r="Y21" s="411">
        <f>+Y19</f>
        <v>2.5000000000000001E-3</v>
      </c>
      <c r="Z21" s="411">
        <f ca="1">+X21+Y21</f>
        <v>0.22873670671635166</v>
      </c>
      <c r="AA21" s="411">
        <f ca="1">Z21*equityP</f>
        <v>0.13286310759722705</v>
      </c>
      <c r="AB21" s="411">
        <f ca="1">+AA21/(1-taxrate)</f>
        <v>0.16818114885724944</v>
      </c>
      <c r="AC21" s="411">
        <f>debtP*Debt_Rate</f>
        <v>1.3521189462017025E-2</v>
      </c>
      <c r="AD21" s="411">
        <f ca="1">+AC21+AB21</f>
        <v>0.18170233831926647</v>
      </c>
      <c r="AE21" s="411">
        <f ca="1">+AD21/(S21/100)</f>
        <v>9.4309048223825145E-2</v>
      </c>
      <c r="AF21" s="411">
        <f ca="1">1-AE21</f>
        <v>0.90569095177617487</v>
      </c>
      <c r="AG21" s="408">
        <f ca="1">expenses/(AF21)</f>
        <v>14684643.723674523</v>
      </c>
      <c r="AH21" s="410">
        <f ca="1">+AG21-Revenue</f>
        <v>993307.49265458435</v>
      </c>
      <c r="AI21" s="409">
        <f ca="1">+AH21/$J$49</f>
        <v>1128163.9150672755</v>
      </c>
      <c r="AJ21" s="409">
        <f ca="1">+AI21*$J$47</f>
        <v>28667.71574945566</v>
      </c>
      <c r="AK21" s="408">
        <f ca="1">ROUND(+AJ21+AG21,5)</f>
        <v>14713311.43942</v>
      </c>
    </row>
    <row r="22" spans="1:37" ht="21" customHeight="1" thickTop="1">
      <c r="A22" s="94"/>
      <c r="B22" s="177"/>
      <c r="C22" s="94"/>
      <c r="D22" s="94"/>
      <c r="E22" s="94"/>
      <c r="F22" s="132">
        <f t="shared" si="7"/>
        <v>16</v>
      </c>
      <c r="G22" s="108"/>
      <c r="H22" s="152"/>
      <c r="I22" s="153"/>
      <c r="J22" s="241" t="s">
        <v>420</v>
      </c>
      <c r="K22" s="242">
        <f ca="1">+(J21/J19)-1</f>
        <v>7.4643876003406717E-2</v>
      </c>
      <c r="L22" s="153"/>
      <c r="M22" s="154"/>
      <c r="O22" s="94"/>
      <c r="P22" s="94"/>
      <c r="R22" s="126">
        <v>2</v>
      </c>
      <c r="S22" s="127">
        <f ca="1">AK17/Investment*100</f>
        <v>192.66691981455421</v>
      </c>
      <c r="T22" s="136">
        <f ca="1">EXP(y_inter2-(slope*LN(+S22)))</f>
        <v>8.4682986492701051</v>
      </c>
      <c r="U22" s="129">
        <f ca="1">(+S22*T22/100)/100</f>
        <v>0.16315610168246208</v>
      </c>
      <c r="V22" s="129">
        <f>regDebt_weighted</f>
        <v>3.5860000000000003E-2</v>
      </c>
      <c r="W22" s="129">
        <f ca="1">+U22-V22</f>
        <v>0.12729610168246208</v>
      </c>
      <c r="X22" s="129">
        <f ca="1">+((W22*(1-0.34))-Pfd_weighted)/Equity_percent</f>
        <v>0.22623670671635165</v>
      </c>
      <c r="Y22" s="129">
        <f>+Y21</f>
        <v>2.5000000000000001E-3</v>
      </c>
      <c r="Z22" s="129">
        <f ca="1">+X22+Y22</f>
        <v>0.22873670671635166</v>
      </c>
      <c r="AA22" s="129">
        <f ca="1">Z22*equityP</f>
        <v>0.13286310759722705</v>
      </c>
      <c r="AB22" s="129">
        <f ca="1">+AA22/(1-taxrate)</f>
        <v>0.16818114885724944</v>
      </c>
      <c r="AC22" s="129">
        <f>debtP*Debt_Rate</f>
        <v>1.3521189462017025E-2</v>
      </c>
      <c r="AD22" s="129">
        <f ca="1">+AC22+AB22</f>
        <v>0.18170233831926647</v>
      </c>
      <c r="AE22" s="129">
        <f ca="1">+AD22/(S22/100)</f>
        <v>9.4309048223825145E-2</v>
      </c>
      <c r="AF22" s="129">
        <f ca="1">1-AE22</f>
        <v>0.90569095177617487</v>
      </c>
      <c r="AG22" s="130">
        <f ca="1">expenses/(AF22)</f>
        <v>14684643.723674523</v>
      </c>
      <c r="AH22" s="239">
        <f ca="1">+AG22-Revenue</f>
        <v>993307.49265458435</v>
      </c>
      <c r="AI22" s="131">
        <f ca="1">+AH22/$J$49</f>
        <v>1128163.9150672755</v>
      </c>
      <c r="AJ22" s="131">
        <f ca="1">+AI22*$J$47</f>
        <v>28667.71574945566</v>
      </c>
      <c r="AK22" s="130">
        <f t="shared" ref="AK22:AK24" ca="1" si="12">ROUND(+AJ22+AG22,5)</f>
        <v>14713311.43942</v>
      </c>
    </row>
    <row r="23" spans="1:37" ht="15.75">
      <c r="A23" s="94"/>
      <c r="B23" s="457" t="s">
        <v>421</v>
      </c>
      <c r="C23" s="458"/>
      <c r="D23" s="458"/>
      <c r="E23" s="458"/>
      <c r="F23" s="132">
        <f t="shared" si="7"/>
        <v>17</v>
      </c>
      <c r="H23" s="108"/>
      <c r="I23" s="108"/>
      <c r="J23" s="108"/>
      <c r="K23" s="108"/>
      <c r="L23" s="108"/>
      <c r="M23" s="108"/>
      <c r="N23" s="108"/>
      <c r="O23" s="94"/>
      <c r="P23" s="94"/>
      <c r="R23" s="133">
        <v>3</v>
      </c>
      <c r="S23" s="127">
        <f ca="1">AK18/Investment*100</f>
        <v>192.66691981455421</v>
      </c>
      <c r="T23" s="128">
        <f ca="1">EXP(y_inter3-(slope*LN(S23)))</f>
        <v>8.4682986492701051</v>
      </c>
      <c r="U23" s="129">
        <f ca="1">(+S23*T23/100)/100</f>
        <v>0.16315610168246208</v>
      </c>
      <c r="V23" s="129">
        <f>regDebt_weighted</f>
        <v>3.5860000000000003E-2</v>
      </c>
      <c r="W23" s="129">
        <f ca="1">+U23-V23</f>
        <v>0.12729610168246208</v>
      </c>
      <c r="X23" s="129">
        <f ca="1">+((W23*(1-0.34))-Pfd_weighted)/Equity_percent</f>
        <v>0.22623670671635165</v>
      </c>
      <c r="Y23" s="129">
        <f>+Y22</f>
        <v>2.5000000000000001E-3</v>
      </c>
      <c r="Z23" s="129">
        <f t="shared" ref="Z23:Z24" ca="1" si="13">+X23+Y23</f>
        <v>0.22873670671635166</v>
      </c>
      <c r="AA23" s="129">
        <f ca="1">Z23*equityP</f>
        <v>0.13286310759722705</v>
      </c>
      <c r="AB23" s="129">
        <f ca="1">+AA23/(1-taxrate)</f>
        <v>0.16818114885724944</v>
      </c>
      <c r="AC23" s="129">
        <f>debtP*Debt_Rate</f>
        <v>1.3521189462017025E-2</v>
      </c>
      <c r="AD23" s="129">
        <f ca="1">+AC23+AB23</f>
        <v>0.18170233831926647</v>
      </c>
      <c r="AE23" s="129">
        <f ca="1">+AD23/(S23/100)</f>
        <v>9.4309048223825145E-2</v>
      </c>
      <c r="AF23" s="129">
        <f ca="1">1-AE23</f>
        <v>0.90569095177617487</v>
      </c>
      <c r="AG23" s="130">
        <f ca="1">expenses/(AF23)</f>
        <v>14684643.723674523</v>
      </c>
      <c r="AH23" s="239">
        <f ca="1">+AG23-Revenue</f>
        <v>993307.49265458435</v>
      </c>
      <c r="AI23" s="131">
        <f ca="1">+AH23/$J$49</f>
        <v>1128163.9150672755</v>
      </c>
      <c r="AJ23" s="131">
        <f ca="1">+AI23*$J$47</f>
        <v>28667.71574945566</v>
      </c>
      <c r="AK23" s="130">
        <f t="shared" ca="1" si="12"/>
        <v>14713311.43942</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192.66691981455421</v>
      </c>
      <c r="T24" s="138">
        <f ca="1">EXP(y_inter4-(slope*LN(S24)))</f>
        <v>8.4682986492701051</v>
      </c>
      <c r="U24" s="129">
        <f ca="1">(+S24*T24/100)/100</f>
        <v>0.16315610168246208</v>
      </c>
      <c r="V24" s="129">
        <f>regDebt_weighted</f>
        <v>3.5860000000000003E-2</v>
      </c>
      <c r="W24" s="129">
        <f ca="1">+U24-V24</f>
        <v>0.12729610168246208</v>
      </c>
      <c r="X24" s="129">
        <f ca="1">+((W24*(1-0.34))-Pfd_weighted)/Equity_percent</f>
        <v>0.22623670671635165</v>
      </c>
      <c r="Y24" s="129">
        <f>+Y23</f>
        <v>2.5000000000000001E-3</v>
      </c>
      <c r="Z24" s="129">
        <f t="shared" ca="1" si="13"/>
        <v>0.22873670671635166</v>
      </c>
      <c r="AA24" s="129">
        <f ca="1">Z24*equityP</f>
        <v>0.13286310759722705</v>
      </c>
      <c r="AB24" s="129">
        <f ca="1">+AA24/(1-taxrate)</f>
        <v>0.16818114885724944</v>
      </c>
      <c r="AC24" s="129">
        <f>debtP*Debt_Rate</f>
        <v>1.3521189462017025E-2</v>
      </c>
      <c r="AD24" s="129">
        <f ca="1">+AC24+AB24</f>
        <v>0.18170233831926647</v>
      </c>
      <c r="AE24" s="129">
        <f ca="1">+AD24/(S24/100)</f>
        <v>9.4309048223825145E-2</v>
      </c>
      <c r="AF24" s="129">
        <f ca="1">1-AE24</f>
        <v>0.90569095177617487</v>
      </c>
      <c r="AG24" s="130">
        <f ca="1">expenses/(AF24)</f>
        <v>14684643.723674523</v>
      </c>
      <c r="AH24" s="239">
        <f ca="1">+AG24-Revenue</f>
        <v>993307.49265458435</v>
      </c>
      <c r="AI24" s="131">
        <f ca="1">+AH24/$J$49</f>
        <v>1128163.9150672755</v>
      </c>
      <c r="AJ24" s="131">
        <f ca="1">+AI24*$J$47</f>
        <v>28667.71574945566</v>
      </c>
      <c r="AK24" s="130">
        <f t="shared" ca="1" si="12"/>
        <v>14713311.43942</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4435799.1367397485</v>
      </c>
      <c r="K26" s="141">
        <f ca="1">+K34</f>
        <v>0.22825502942973913</v>
      </c>
      <c r="L26" s="163">
        <f ca="1">+K26*I26</f>
        <v>0.13258332241505383</v>
      </c>
      <c r="M26" s="125">
        <f ca="1">+J26*K26</f>
        <v>1012493.4625009428</v>
      </c>
      <c r="O26" s="94"/>
      <c r="P26" s="94"/>
      <c r="R26" s="413">
        <v>1</v>
      </c>
      <c r="S26" s="404">
        <f ca="1">AK21/Investment*100</f>
        <v>192.66689481107687</v>
      </c>
      <c r="T26" s="412">
        <f ca="1">EXP(y_inter1-(slope*LN(+S26)))</f>
        <v>8.4682989806315554</v>
      </c>
      <c r="U26" s="411">
        <f ca="1">(+S26*T26/100)/100</f>
        <v>0.16315608689300895</v>
      </c>
      <c r="V26" s="411">
        <f>regDebt_weighted</f>
        <v>3.5860000000000003E-2</v>
      </c>
      <c r="W26" s="411">
        <f ca="1">+U26-V26</f>
        <v>0.12729608689300895</v>
      </c>
      <c r="X26" s="411">
        <f ca="1">+((W26*(1-0.34))-Pfd_weighted)/Equity_percent</f>
        <v>0.22623667834123806</v>
      </c>
      <c r="Y26" s="411">
        <f>+Y24</f>
        <v>2.5000000000000001E-3</v>
      </c>
      <c r="Z26" s="411">
        <f ca="1">+X26+Y26</f>
        <v>0.22873667834123806</v>
      </c>
      <c r="AA26" s="411">
        <f ca="1">Z26*equityP</f>
        <v>0.1328630911153697</v>
      </c>
      <c r="AB26" s="411">
        <f ca="1">+AA26/(1-taxrate)</f>
        <v>0.16818112799413887</v>
      </c>
      <c r="AC26" s="411">
        <f>debtP*Debt_Rate</f>
        <v>1.3521189462017025E-2</v>
      </c>
      <c r="AD26" s="411">
        <f ca="1">+AC26+AB26</f>
        <v>0.18170231745615589</v>
      </c>
      <c r="AE26" s="411">
        <f ca="1">+AD26/(S26/100)</f>
        <v>9.4309049634254752E-2</v>
      </c>
      <c r="AF26" s="411">
        <f ca="1">1-AE26</f>
        <v>0.90569095036574521</v>
      </c>
      <c r="AG26" s="408">
        <f ca="1">expenses/(AF26)</f>
        <v>14684643.746542873</v>
      </c>
      <c r="AH26" s="410">
        <f ca="1">+AG26-Revenue</f>
        <v>993307.5155229345</v>
      </c>
      <c r="AI26" s="409">
        <f ca="1">+AH26/$J$49</f>
        <v>1128163.9410403478</v>
      </c>
      <c r="AJ26" s="409">
        <f ca="1">+AI26*$J$47</f>
        <v>28667.716409456076</v>
      </c>
      <c r="AK26" s="408">
        <f ca="1">ROUND(+AJ26+AG26,5)</f>
        <v>14713311.462950001</v>
      </c>
    </row>
    <row r="27" spans="1:37" ht="15.75">
      <c r="A27" s="94"/>
      <c r="B27" s="459" t="s">
        <v>359</v>
      </c>
      <c r="C27" s="458"/>
      <c r="D27" s="458"/>
      <c r="E27" s="458"/>
      <c r="F27" s="132">
        <f t="shared" si="7"/>
        <v>21</v>
      </c>
      <c r="H27" s="124" t="s">
        <v>329</v>
      </c>
      <c r="I27" s="163">
        <f>IF(A64=TRUE,C8,0)</f>
        <v>0.41914391658184569</v>
      </c>
      <c r="J27" s="165">
        <f>+I27*J28</f>
        <v>3200858.6574533908</v>
      </c>
      <c r="K27" s="141">
        <f>IF(A64=TRUE,C9,0)</f>
        <v>3.2259061690035909E-2</v>
      </c>
      <c r="L27" s="163">
        <f>+K27*I27</f>
        <v>1.3521189462017025E-2</v>
      </c>
      <c r="M27" s="137">
        <f>+K27*J27</f>
        <v>103256.69689187445</v>
      </c>
      <c r="O27" s="94"/>
      <c r="P27" s="94"/>
      <c r="R27" s="126">
        <v>2</v>
      </c>
      <c r="S27" s="127">
        <f ca="1">AK22/Investment*100</f>
        <v>192.66689481107687</v>
      </c>
      <c r="T27" s="136">
        <f ca="1">EXP(y_inter2-(slope*LN(+S27)))</f>
        <v>8.4682989806315554</v>
      </c>
      <c r="U27" s="129">
        <f ca="1">(+S27*T27/100)/100</f>
        <v>0.16315608689300895</v>
      </c>
      <c r="V27" s="129">
        <f>regDebt_weighted</f>
        <v>3.5860000000000003E-2</v>
      </c>
      <c r="W27" s="129">
        <f ca="1">+U27-V27</f>
        <v>0.12729608689300895</v>
      </c>
      <c r="X27" s="129">
        <f ca="1">+((W27*(1-0.34))-Pfd_weighted)/Equity_percent</f>
        <v>0.22623667834123806</v>
      </c>
      <c r="Y27" s="129">
        <f>+Y26</f>
        <v>2.5000000000000001E-3</v>
      </c>
      <c r="Z27" s="129">
        <f ca="1">+X27+Y27</f>
        <v>0.22873667834123806</v>
      </c>
      <c r="AA27" s="129">
        <f ca="1">Z27*equityP</f>
        <v>0.1328630911153697</v>
      </c>
      <c r="AB27" s="129">
        <f ca="1">+AA27/(1-taxrate)</f>
        <v>0.16818112799413887</v>
      </c>
      <c r="AC27" s="129">
        <f>debtP*Debt_Rate</f>
        <v>1.3521189462017025E-2</v>
      </c>
      <c r="AD27" s="129">
        <f ca="1">+AC27+AB27</f>
        <v>0.18170231745615589</v>
      </c>
      <c r="AE27" s="129">
        <f ca="1">+AD27/(S27/100)</f>
        <v>9.4309049634254752E-2</v>
      </c>
      <c r="AF27" s="129">
        <f ca="1">1-AE27</f>
        <v>0.90569095036574521</v>
      </c>
      <c r="AG27" s="130">
        <f ca="1">expenses/(AF27)</f>
        <v>14684643.746542873</v>
      </c>
      <c r="AH27" s="239">
        <f ca="1">+AG27-Revenue</f>
        <v>993307.5155229345</v>
      </c>
      <c r="AI27" s="131">
        <f ca="1">+AH27/$J$49</f>
        <v>1128163.9410403478</v>
      </c>
      <c r="AJ27" s="131">
        <f ca="1">+AI27*$J$47</f>
        <v>28667.716409456076</v>
      </c>
      <c r="AK27" s="130">
        <f t="shared" ref="AK27:AK29" ca="1" si="14">ROUND(+AJ27+AG27,5)</f>
        <v>14713311.462950001</v>
      </c>
    </row>
    <row r="28" spans="1:37" ht="16.5" thickBot="1">
      <c r="A28" s="94"/>
      <c r="B28" s="94"/>
      <c r="C28" s="94"/>
      <c r="D28" s="94"/>
      <c r="E28" s="94"/>
      <c r="F28" s="132">
        <f t="shared" si="7"/>
        <v>22</v>
      </c>
      <c r="H28" s="124" t="s">
        <v>20</v>
      </c>
      <c r="I28" s="163">
        <f>SUM(I26:I27)</f>
        <v>1</v>
      </c>
      <c r="J28" s="166">
        <f>IF(A64=TRUE,C7,0)</f>
        <v>7636657.7941931393</v>
      </c>
      <c r="K28" s="167"/>
      <c r="L28" s="168">
        <f ca="1">SUM(L26:L27)</f>
        <v>0.14610451187707085</v>
      </c>
      <c r="M28" s="166">
        <f ca="1">SUM(M26:M27)</f>
        <v>1115750.1593928172</v>
      </c>
      <c r="O28" s="94"/>
      <c r="P28" s="94"/>
      <c r="R28" s="133">
        <v>3</v>
      </c>
      <c r="S28" s="127">
        <f ca="1">AK23/Investment*100</f>
        <v>192.66689481107687</v>
      </c>
      <c r="T28" s="128">
        <f ca="1">EXP(y_inter3-(slope*LN(S28)))</f>
        <v>8.4682989806315554</v>
      </c>
      <c r="U28" s="129">
        <f ca="1">(+S28*T28/100)/100</f>
        <v>0.16315608689300895</v>
      </c>
      <c r="V28" s="129">
        <f>regDebt_weighted</f>
        <v>3.5860000000000003E-2</v>
      </c>
      <c r="W28" s="129">
        <f ca="1">+U28-V28</f>
        <v>0.12729608689300895</v>
      </c>
      <c r="X28" s="129">
        <f ca="1">+((W28*(1-0.34))-Pfd_weighted)/Equity_percent</f>
        <v>0.22623667834123806</v>
      </c>
      <c r="Y28" s="129">
        <f>+Y27</f>
        <v>2.5000000000000001E-3</v>
      </c>
      <c r="Z28" s="129">
        <f t="shared" ref="Z28:Z29" ca="1" si="15">+X28+Y28</f>
        <v>0.22873667834123806</v>
      </c>
      <c r="AA28" s="129">
        <f ca="1">Z28*equityP</f>
        <v>0.1328630911153697</v>
      </c>
      <c r="AB28" s="129">
        <f ca="1">+AA28/(1-taxrate)</f>
        <v>0.16818112799413887</v>
      </c>
      <c r="AC28" s="129">
        <f>debtP*Debt_Rate</f>
        <v>1.3521189462017025E-2</v>
      </c>
      <c r="AD28" s="129">
        <f ca="1">+AC28+AB28</f>
        <v>0.18170231745615589</v>
      </c>
      <c r="AE28" s="129">
        <f ca="1">+AD28/(S28/100)</f>
        <v>9.4309049634254752E-2</v>
      </c>
      <c r="AF28" s="129">
        <f ca="1">1-AE28</f>
        <v>0.90569095036574521</v>
      </c>
      <c r="AG28" s="130">
        <f ca="1">expenses/(AF28)</f>
        <v>14684643.746542873</v>
      </c>
      <c r="AH28" s="239">
        <f ca="1">+AG28-Revenue</f>
        <v>993307.5155229345</v>
      </c>
      <c r="AI28" s="131">
        <f ca="1">+AH28/$J$49</f>
        <v>1128163.9410403478</v>
      </c>
      <c r="AJ28" s="131">
        <f ca="1">+AI28*$J$47</f>
        <v>28667.716409456076</v>
      </c>
      <c r="AK28" s="130">
        <f t="shared" ca="1" si="14"/>
        <v>14713311.462950001</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192.66689481107687</v>
      </c>
      <c r="T29" s="138">
        <f ca="1">EXP(y_inter4-(slope*LN(S29)))</f>
        <v>8.4682989806315554</v>
      </c>
      <c r="U29" s="129">
        <f ca="1">(+S29*T29/100)/100</f>
        <v>0.16315608689300895</v>
      </c>
      <c r="V29" s="129">
        <f>regDebt_weighted</f>
        <v>3.5860000000000003E-2</v>
      </c>
      <c r="W29" s="129">
        <f ca="1">+U29-V29</f>
        <v>0.12729608689300895</v>
      </c>
      <c r="X29" s="129">
        <f ca="1">+((W29*(1-0.34))-Pfd_weighted)/Equity_percent</f>
        <v>0.22623667834123806</v>
      </c>
      <c r="Y29" s="129">
        <f>+Y28</f>
        <v>2.5000000000000001E-3</v>
      </c>
      <c r="Z29" s="129">
        <f t="shared" ca="1" si="15"/>
        <v>0.22873667834123806</v>
      </c>
      <c r="AA29" s="129">
        <f ca="1">Z29*equityP</f>
        <v>0.1328630911153697</v>
      </c>
      <c r="AB29" s="129">
        <f ca="1">+AA29/(1-taxrate)</f>
        <v>0.16818112799413887</v>
      </c>
      <c r="AC29" s="129">
        <f>debtP*Debt_Rate</f>
        <v>1.3521189462017025E-2</v>
      </c>
      <c r="AD29" s="129">
        <f ca="1">+AC29+AB29</f>
        <v>0.18170231745615589</v>
      </c>
      <c r="AE29" s="129">
        <f ca="1">+AD29/(S29/100)</f>
        <v>9.4309049634254752E-2</v>
      </c>
      <c r="AF29" s="129">
        <f ca="1">1-AE29</f>
        <v>0.90569095036574521</v>
      </c>
      <c r="AG29" s="130">
        <f ca="1">expenses/(AF29)</f>
        <v>14684643.746542873</v>
      </c>
      <c r="AH29" s="239">
        <f ca="1">+AG29-Revenue</f>
        <v>993307.5155229345</v>
      </c>
      <c r="AI29" s="131">
        <f ca="1">+AH29/$J$49</f>
        <v>1128163.9410403478</v>
      </c>
      <c r="AJ29" s="131">
        <f ca="1">+AI29*$J$47</f>
        <v>28667.716409456076</v>
      </c>
      <c r="AK29" s="130">
        <f t="shared" ca="1" si="14"/>
        <v>14713311.462950001</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192.66689511919597</v>
      </c>
      <c r="T31" s="412">
        <f ca="1">EXP(y_inter1-(slope*LN(+S31)))</f>
        <v>8.4682989765481711</v>
      </c>
      <c r="U31" s="411">
        <f ca="1">(+S31*T31/100)/100</f>
        <v>0.16315608707526011</v>
      </c>
      <c r="V31" s="411">
        <f>regDebt_weighted</f>
        <v>3.5860000000000003E-2</v>
      </c>
      <c r="W31" s="411">
        <f ca="1">+U31-V31</f>
        <v>0.12729608707526011</v>
      </c>
      <c r="X31" s="411">
        <f ca="1">+((W31*(1-0.34))-Pfd_weighted)/Equity_percent</f>
        <v>0.226236678690906</v>
      </c>
      <c r="Y31" s="411">
        <f>+Y29</f>
        <v>2.5000000000000001E-3</v>
      </c>
      <c r="Z31" s="411">
        <f ca="1">+X31+Y31</f>
        <v>0.228736678690906</v>
      </c>
      <c r="AA31" s="411">
        <f ca="1">Z31*equityP</f>
        <v>0.13286309131847646</v>
      </c>
      <c r="AB31" s="411">
        <f ca="1">+AA31/(1-taxrate)</f>
        <v>0.16818112825123602</v>
      </c>
      <c r="AC31" s="411">
        <f>debtP*Debt_Rate</f>
        <v>1.3521189462017025E-2</v>
      </c>
      <c r="AD31" s="411">
        <f ca="1">+AC31+AB31</f>
        <v>0.18170231771325304</v>
      </c>
      <c r="AE31" s="411">
        <f ca="1">+AD31/(S31/100)</f>
        <v>9.4309049616873961E-2</v>
      </c>
      <c r="AF31" s="411">
        <f ca="1">1-AE31</f>
        <v>0.90569095038312608</v>
      </c>
      <c r="AG31" s="408">
        <f ca="1">expenses/(AF31)</f>
        <v>14684643.746261064</v>
      </c>
      <c r="AH31" s="410">
        <f ca="1">+AG31-Revenue</f>
        <v>993307.5152411256</v>
      </c>
      <c r="AI31" s="409">
        <f ca="1">+AH31/$J$49</f>
        <v>1128163.9407202792</v>
      </c>
      <c r="AJ31" s="409">
        <f ca="1">+AI31*$J$47</f>
        <v>28667.716401322828</v>
      </c>
      <c r="AK31" s="408">
        <f ca="1">ROUND(+AJ31+AG31,5)</f>
        <v>14713311.46266</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192.66689511919597</v>
      </c>
      <c r="T32" s="136">
        <f ca="1">EXP(y_inter2-(slope*LN(+S32)))</f>
        <v>8.4682989765481711</v>
      </c>
      <c r="U32" s="129">
        <f ca="1">(+S32*T32/100)/100</f>
        <v>0.16315608707526011</v>
      </c>
      <c r="V32" s="129">
        <f>regDebt_weighted</f>
        <v>3.5860000000000003E-2</v>
      </c>
      <c r="W32" s="129">
        <f ca="1">+U32-V32</f>
        <v>0.12729608707526011</v>
      </c>
      <c r="X32" s="129">
        <f ca="1">+((W32*(1-0.34))-Pfd_weighted)/Equity_percent</f>
        <v>0.226236678690906</v>
      </c>
      <c r="Y32" s="129">
        <f>+Y31</f>
        <v>2.5000000000000001E-3</v>
      </c>
      <c r="Z32" s="129">
        <f ca="1">+X32+Y32</f>
        <v>0.228736678690906</v>
      </c>
      <c r="AA32" s="129">
        <f ca="1">Z32*equityP</f>
        <v>0.13286309131847646</v>
      </c>
      <c r="AB32" s="129">
        <f ca="1">+AA32/(1-taxrate)</f>
        <v>0.16818112825123602</v>
      </c>
      <c r="AC32" s="129">
        <f>debtP*Debt_Rate</f>
        <v>1.3521189462017025E-2</v>
      </c>
      <c r="AD32" s="129">
        <f ca="1">+AC32+AB32</f>
        <v>0.18170231771325304</v>
      </c>
      <c r="AE32" s="129">
        <f ca="1">+AD32/(S32/100)</f>
        <v>9.4309049616873961E-2</v>
      </c>
      <c r="AF32" s="129">
        <f ca="1">1-AE32</f>
        <v>0.90569095038312608</v>
      </c>
      <c r="AG32" s="130">
        <f ca="1">expenses/(AF32)</f>
        <v>14684643.746261064</v>
      </c>
      <c r="AH32" s="239">
        <f ca="1">+AG32-Revenue</f>
        <v>993307.5152411256</v>
      </c>
      <c r="AI32" s="131">
        <f ca="1">+AH32/$J$49</f>
        <v>1128163.9407202792</v>
      </c>
      <c r="AJ32" s="131">
        <f ca="1">+AI32*$J$47</f>
        <v>28667.716401322828</v>
      </c>
      <c r="AK32" s="130">
        <f t="shared" ref="AK32:AK34" ca="1" si="16">ROUND(+AJ32+AG32,5)</f>
        <v>14713311.46266</v>
      </c>
    </row>
    <row r="33" spans="1:48" ht="15.75">
      <c r="A33" s="94"/>
      <c r="B33" s="94"/>
      <c r="C33" s="94"/>
      <c r="D33" s="94"/>
      <c r="E33" s="94"/>
      <c r="F33" s="132">
        <f t="shared" si="7"/>
        <v>27</v>
      </c>
      <c r="G33" s="108"/>
      <c r="H33" s="117" t="s">
        <v>365</v>
      </c>
      <c r="I33" s="117"/>
      <c r="J33" s="175">
        <f ca="1">+K9/J28</f>
        <v>0.18134817986081933</v>
      </c>
      <c r="K33" s="175">
        <f ca="1">+(M14+M11)/J28</f>
        <v>0.14610451187707085</v>
      </c>
      <c r="L33" s="124"/>
      <c r="M33" s="124"/>
      <c r="N33" s="125"/>
      <c r="O33" s="94"/>
      <c r="P33" s="94"/>
      <c r="R33" s="133">
        <v>3</v>
      </c>
      <c r="S33" s="127">
        <f ca="1">AK28/Investment*100</f>
        <v>192.66689511919597</v>
      </c>
      <c r="T33" s="128">
        <f ca="1">EXP(y_inter3-(slope*LN(S33)))</f>
        <v>8.4682989765481711</v>
      </c>
      <c r="U33" s="129">
        <f ca="1">(+S33*T33/100)/100</f>
        <v>0.16315608707526011</v>
      </c>
      <c r="V33" s="129">
        <f>regDebt_weighted</f>
        <v>3.5860000000000003E-2</v>
      </c>
      <c r="W33" s="129">
        <f ca="1">+U33-V33</f>
        <v>0.12729608707526011</v>
      </c>
      <c r="X33" s="129">
        <f ca="1">+((W33*(1-0.34))-Pfd_weighted)/Equity_percent</f>
        <v>0.226236678690906</v>
      </c>
      <c r="Y33" s="129">
        <f>+Y32</f>
        <v>2.5000000000000001E-3</v>
      </c>
      <c r="Z33" s="129">
        <f t="shared" ref="Z33:Z34" ca="1" si="17">+X33+Y33</f>
        <v>0.228736678690906</v>
      </c>
      <c r="AA33" s="129">
        <f ca="1">Z33*equityP</f>
        <v>0.13286309131847646</v>
      </c>
      <c r="AB33" s="129">
        <f ca="1">+AA33/(1-taxrate)</f>
        <v>0.16818112825123602</v>
      </c>
      <c r="AC33" s="129">
        <f>debtP*Debt_Rate</f>
        <v>1.3521189462017025E-2</v>
      </c>
      <c r="AD33" s="129">
        <f ca="1">+AC33+AB33</f>
        <v>0.18170231771325304</v>
      </c>
      <c r="AE33" s="129">
        <f ca="1">+AD33/(S33/100)</f>
        <v>9.4309049616873961E-2</v>
      </c>
      <c r="AF33" s="129">
        <f ca="1">1-AE33</f>
        <v>0.90569095038312608</v>
      </c>
      <c r="AG33" s="130">
        <f ca="1">expenses/(AF33)</f>
        <v>14684643.746261064</v>
      </c>
      <c r="AH33" s="239">
        <f ca="1">+AG33-Revenue</f>
        <v>993307.5152411256</v>
      </c>
      <c r="AI33" s="131">
        <f ca="1">+AH33/$J$49</f>
        <v>1128163.9407202792</v>
      </c>
      <c r="AJ33" s="131">
        <f ca="1">+AI33*$J$47</f>
        <v>28667.716401322828</v>
      </c>
      <c r="AK33" s="130">
        <f t="shared" ca="1" si="16"/>
        <v>14713311.46266</v>
      </c>
    </row>
    <row r="34" spans="1:48" ht="15.75">
      <c r="A34" s="94"/>
      <c r="B34" s="94"/>
      <c r="C34" s="94"/>
      <c r="D34" s="94"/>
      <c r="E34" s="94"/>
      <c r="F34" s="132">
        <f t="shared" si="7"/>
        <v>28</v>
      </c>
      <c r="G34" s="108"/>
      <c r="H34" s="117" t="s">
        <v>366</v>
      </c>
      <c r="I34" s="117"/>
      <c r="J34" s="175">
        <f ca="1">+(M9-M11)/J26</f>
        <v>0.28893041699966976</v>
      </c>
      <c r="K34" s="175">
        <f ca="1">+M14/J26</f>
        <v>0.22825502942973913</v>
      </c>
      <c r="L34" s="124"/>
      <c r="M34" s="124"/>
      <c r="N34" s="125"/>
      <c r="O34" s="176"/>
      <c r="P34" s="94"/>
      <c r="R34" s="134">
        <v>4</v>
      </c>
      <c r="S34" s="127">
        <f ca="1">AK29/Investment*100</f>
        <v>192.66689511919597</v>
      </c>
      <c r="T34" s="138">
        <f ca="1">EXP(y_inter4-(slope*LN(S34)))</f>
        <v>8.4682989765481711</v>
      </c>
      <c r="U34" s="129">
        <f ca="1">(+S34*T34/100)/100</f>
        <v>0.16315608707526011</v>
      </c>
      <c r="V34" s="129">
        <f>regDebt_weighted</f>
        <v>3.5860000000000003E-2</v>
      </c>
      <c r="W34" s="129">
        <f ca="1">+U34-V34</f>
        <v>0.12729608707526011</v>
      </c>
      <c r="X34" s="129">
        <f ca="1">+((W34*(1-0.34))-Pfd_weighted)/Equity_percent</f>
        <v>0.226236678690906</v>
      </c>
      <c r="Y34" s="129">
        <f>+Y33</f>
        <v>2.5000000000000001E-3</v>
      </c>
      <c r="Z34" s="129">
        <f t="shared" ca="1" si="17"/>
        <v>0.228736678690906</v>
      </c>
      <c r="AA34" s="129">
        <f ca="1">Z34*equityP</f>
        <v>0.13286309131847646</v>
      </c>
      <c r="AB34" s="129">
        <f ca="1">+AA34/(1-taxrate)</f>
        <v>0.16818112825123602</v>
      </c>
      <c r="AC34" s="129">
        <f>debtP*Debt_Rate</f>
        <v>1.3521189462017025E-2</v>
      </c>
      <c r="AD34" s="129">
        <f ca="1">+AC34+AB34</f>
        <v>0.18170231771325304</v>
      </c>
      <c r="AE34" s="129">
        <f ca="1">+AD34/(S34/100)</f>
        <v>9.4309049616873961E-2</v>
      </c>
      <c r="AF34" s="129">
        <f ca="1">1-AE34</f>
        <v>0.90569095038312608</v>
      </c>
      <c r="AG34" s="130">
        <f ca="1">expenses/(AF34)</f>
        <v>14684643.746261064</v>
      </c>
      <c r="AH34" s="239">
        <f ca="1">+AG34-Revenue</f>
        <v>993307.5152411256</v>
      </c>
      <c r="AI34" s="131">
        <f ca="1">+AH34/$J$49</f>
        <v>1128163.9407202792</v>
      </c>
      <c r="AJ34" s="131">
        <f ca="1">+AI34*$J$47</f>
        <v>28667.716401322828</v>
      </c>
      <c r="AK34" s="130">
        <f t="shared" ca="1" si="16"/>
        <v>14713311.46266</v>
      </c>
    </row>
    <row r="35" spans="1:48" ht="15.75">
      <c r="A35" s="94"/>
      <c r="B35" s="94"/>
      <c r="C35" s="94"/>
      <c r="D35" s="94"/>
      <c r="E35" s="94"/>
      <c r="F35" s="132">
        <f t="shared" si="7"/>
        <v>29</v>
      </c>
      <c r="G35" s="108"/>
      <c r="H35" s="178" t="s">
        <v>282</v>
      </c>
      <c r="I35" s="117"/>
      <c r="J35" s="175">
        <f ca="1">+K8/K7</f>
        <v>0.90569100000000002</v>
      </c>
      <c r="K35" s="175">
        <f ca="1">+M8/M7</f>
        <v>0.90587475344227519</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9.430899999999999E-2</v>
      </c>
      <c r="K36" s="175">
        <f ca="1">+J36</f>
        <v>9.430899999999999E-2</v>
      </c>
      <c r="L36" s="108"/>
      <c r="M36" s="108"/>
      <c r="N36" s="125"/>
      <c r="O36" s="94"/>
      <c r="P36" s="94"/>
      <c r="R36" s="413">
        <v>1</v>
      </c>
      <c r="S36" s="404">
        <f ca="1">AK31/Investment*100</f>
        <v>192.66689511539849</v>
      </c>
      <c r="T36" s="412">
        <f ca="1">EXP(y_inter1-(slope*LN(+S36)))</f>
        <v>8.4682989765985006</v>
      </c>
      <c r="U36" s="411">
        <f ca="1">(+S36*T36/100)/100</f>
        <v>0.16315608707301396</v>
      </c>
      <c r="V36" s="411">
        <f>regDebt_weighted</f>
        <v>3.5860000000000003E-2</v>
      </c>
      <c r="W36" s="411">
        <f ca="1">+U36-V36</f>
        <v>0.12729608707301396</v>
      </c>
      <c r="X36" s="411">
        <f ca="1">+((W36*(1-0.34))-Pfd_weighted)/Equity_percent</f>
        <v>0.22623667868659655</v>
      </c>
      <c r="Y36" s="411">
        <f>+Y34</f>
        <v>2.5000000000000001E-3</v>
      </c>
      <c r="Z36" s="411">
        <f ca="1">+X36+Y36</f>
        <v>0.22873667868659656</v>
      </c>
      <c r="AA36" s="411">
        <f ca="1">Z36*equityP</f>
        <v>0.13286309131597329</v>
      </c>
      <c r="AB36" s="411">
        <f ca="1">+AA36/(1-taxrate)</f>
        <v>0.16818112824806744</v>
      </c>
      <c r="AC36" s="411">
        <f>debtP*Debt_Rate</f>
        <v>1.3521189462017025E-2</v>
      </c>
      <c r="AD36" s="411">
        <f ca="1">+AC36+AB36</f>
        <v>0.18170231771008447</v>
      </c>
      <c r="AE36" s="411">
        <f ca="1">+AD36/(S36/100)</f>
        <v>9.4309049617088206E-2</v>
      </c>
      <c r="AF36" s="411">
        <f ca="1">1-AE36</f>
        <v>0.90569095038291181</v>
      </c>
      <c r="AG36" s="408">
        <f ca="1">expenses/(AF36)</f>
        <v>14684643.746264538</v>
      </c>
      <c r="AH36" s="410">
        <f ca="1">+AG36-Revenue</f>
        <v>993307.51524459943</v>
      </c>
      <c r="AI36" s="409">
        <f ca="1">+AH36/$J$49</f>
        <v>1128163.9407242246</v>
      </c>
      <c r="AJ36" s="409">
        <f ca="1">+AI36*$J$47</f>
        <v>28667.716401423084</v>
      </c>
      <c r="AK36" s="408">
        <f ca="1">ROUND(+AJ36+AG36,5)</f>
        <v>14713311.46267</v>
      </c>
    </row>
    <row r="37" spans="1:48" ht="15.75">
      <c r="A37" s="94"/>
      <c r="B37" s="94"/>
      <c r="C37" s="94"/>
      <c r="D37" s="106"/>
      <c r="E37" s="94"/>
      <c r="F37" s="132">
        <f t="shared" si="7"/>
        <v>31</v>
      </c>
      <c r="G37" s="108"/>
      <c r="H37" s="117" t="s">
        <v>369</v>
      </c>
      <c r="I37" s="180"/>
      <c r="J37" s="181">
        <f ca="1">+S39/100</f>
        <v>1.926668951153985</v>
      </c>
      <c r="K37" s="181">
        <f ca="1">+J37</f>
        <v>1.926668951153985</v>
      </c>
      <c r="L37" s="108"/>
      <c r="M37" s="108"/>
      <c r="N37" s="108"/>
      <c r="O37" s="94"/>
      <c r="P37" s="94"/>
      <c r="R37" s="126">
        <v>2</v>
      </c>
      <c r="S37" s="127">
        <f ca="1">AK32/Investment*100</f>
        <v>192.66689511539849</v>
      </c>
      <c r="T37" s="136">
        <f ca="1">EXP(y_inter2-(slope*LN(+S37)))</f>
        <v>8.4682989765985006</v>
      </c>
      <c r="U37" s="129">
        <f ca="1">(+S37*T37/100)/100</f>
        <v>0.16315608707301396</v>
      </c>
      <c r="V37" s="129">
        <f>regDebt_weighted</f>
        <v>3.5860000000000003E-2</v>
      </c>
      <c r="W37" s="129">
        <f ca="1">+U37-V37</f>
        <v>0.12729608707301396</v>
      </c>
      <c r="X37" s="129">
        <f ca="1">+((W37*(1-0.34))-Pfd_weighted)/Equity_percent</f>
        <v>0.22623667868659655</v>
      </c>
      <c r="Y37" s="129">
        <f>+Y36</f>
        <v>2.5000000000000001E-3</v>
      </c>
      <c r="Z37" s="129">
        <f ca="1">+X37+Y37</f>
        <v>0.22873667868659656</v>
      </c>
      <c r="AA37" s="129">
        <f ca="1">Z37*equityP</f>
        <v>0.13286309131597329</v>
      </c>
      <c r="AB37" s="129">
        <f ca="1">+AA37/(1-taxrate)</f>
        <v>0.16818112824806744</v>
      </c>
      <c r="AC37" s="129">
        <f>debtP*Debt_Rate</f>
        <v>1.3521189462017025E-2</v>
      </c>
      <c r="AD37" s="129">
        <f ca="1">+AC37+AB37</f>
        <v>0.18170231771008447</v>
      </c>
      <c r="AE37" s="129">
        <f ca="1">+AD37/(S37/100)</f>
        <v>9.4309049617088206E-2</v>
      </c>
      <c r="AF37" s="129">
        <f ca="1">1-AE37</f>
        <v>0.90569095038291181</v>
      </c>
      <c r="AG37" s="130">
        <f ca="1">expenses/(AF37)</f>
        <v>14684643.746264538</v>
      </c>
      <c r="AH37" s="239">
        <f ca="1">+AG37-Revenue</f>
        <v>993307.51524459943</v>
      </c>
      <c r="AI37" s="131">
        <f ca="1">+AH37/$J$49</f>
        <v>1128163.9407242246</v>
      </c>
      <c r="AJ37" s="131">
        <f ca="1">+AI37*$J$47</f>
        <v>28667.716401423084</v>
      </c>
      <c r="AK37" s="130">
        <f t="shared" ref="AK37:AK39" ca="1" si="18">ROUND(+AJ37+AG37,5)</f>
        <v>14713311.46267</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192.66689511539849</v>
      </c>
      <c r="T38" s="128">
        <f ca="1">EXP(y_inter3-(slope*LN(S38)))</f>
        <v>8.4682989765985006</v>
      </c>
      <c r="U38" s="129">
        <f ca="1">(+S38*T38/100)/100</f>
        <v>0.16315608707301396</v>
      </c>
      <c r="V38" s="129">
        <f>regDebt_weighted</f>
        <v>3.5860000000000003E-2</v>
      </c>
      <c r="W38" s="129">
        <f ca="1">+U38-V38</f>
        <v>0.12729608707301396</v>
      </c>
      <c r="X38" s="129">
        <f ca="1">+((W38*(1-0.34))-Pfd_weighted)/Equity_percent</f>
        <v>0.22623667868659655</v>
      </c>
      <c r="Y38" s="129">
        <f>+Y37</f>
        <v>2.5000000000000001E-3</v>
      </c>
      <c r="Z38" s="129">
        <f t="shared" ref="Z38:Z39" ca="1" si="19">+X38+Y38</f>
        <v>0.22873667868659656</v>
      </c>
      <c r="AA38" s="129">
        <f ca="1">Z38*equityP</f>
        <v>0.13286309131597329</v>
      </c>
      <c r="AB38" s="129">
        <f ca="1">+AA38/(1-taxrate)</f>
        <v>0.16818112824806744</v>
      </c>
      <c r="AC38" s="129">
        <f>debtP*Debt_Rate</f>
        <v>1.3521189462017025E-2</v>
      </c>
      <c r="AD38" s="129">
        <f ca="1">+AC38+AB38</f>
        <v>0.18170231771008447</v>
      </c>
      <c r="AE38" s="129">
        <f ca="1">+AD38/(S38/100)</f>
        <v>9.4309049617088206E-2</v>
      </c>
      <c r="AF38" s="129">
        <f ca="1">1-AE38</f>
        <v>0.90569095038291181</v>
      </c>
      <c r="AG38" s="130">
        <f ca="1">expenses/(AF38)</f>
        <v>14684643.746264538</v>
      </c>
      <c r="AH38" s="239">
        <f ca="1">+AG38-Revenue</f>
        <v>993307.51524459943</v>
      </c>
      <c r="AI38" s="131">
        <f ca="1">+AH38/$J$49</f>
        <v>1128163.9407242246</v>
      </c>
      <c r="AJ38" s="131">
        <f ca="1">+AI38*$J$47</f>
        <v>28667.716401423084</v>
      </c>
      <c r="AK38" s="130">
        <f t="shared" ca="1" si="18"/>
        <v>14713311.46267</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192.66689511539849</v>
      </c>
      <c r="T39" s="138">
        <f ca="1">EXP(y_inter4-(slope*LN(S39)))</f>
        <v>8.4682989765985006</v>
      </c>
      <c r="U39" s="129">
        <f ca="1">(+S39*T39/100)/100</f>
        <v>0.16315608707301396</v>
      </c>
      <c r="V39" s="129">
        <f>regDebt_weighted</f>
        <v>3.5860000000000003E-2</v>
      </c>
      <c r="W39" s="129">
        <f ca="1">+U39-V39</f>
        <v>0.12729608707301396</v>
      </c>
      <c r="X39" s="129">
        <f ca="1">+((W39*(1-0.34))-Pfd_weighted)/Equity_percent</f>
        <v>0.22623667868659655</v>
      </c>
      <c r="Y39" s="129">
        <f>+Y38</f>
        <v>2.5000000000000001E-3</v>
      </c>
      <c r="Z39" s="129">
        <f t="shared" ca="1" si="19"/>
        <v>0.22873667868659656</v>
      </c>
      <c r="AA39" s="129">
        <f ca="1">Z39*equityP</f>
        <v>0.13286309131597329</v>
      </c>
      <c r="AB39" s="129">
        <f ca="1">+AA39/(1-taxrate)</f>
        <v>0.16818112824806744</v>
      </c>
      <c r="AC39" s="129">
        <f>debtP*Debt_Rate</f>
        <v>1.3521189462017025E-2</v>
      </c>
      <c r="AD39" s="129">
        <f ca="1">+AC39+AB39</f>
        <v>0.18170231771008447</v>
      </c>
      <c r="AE39" s="129">
        <f ca="1">+AD39/(S39/100)</f>
        <v>9.4309049617088206E-2</v>
      </c>
      <c r="AF39" s="129">
        <f ca="1">1-AE39</f>
        <v>0.90569095038291181</v>
      </c>
      <c r="AG39" s="130">
        <f ca="1">expenses/(AF39)</f>
        <v>14684643.746264538</v>
      </c>
      <c r="AH39" s="239">
        <f ca="1">+AG39-Revenue</f>
        <v>993307.51524459943</v>
      </c>
      <c r="AI39" s="131">
        <f ca="1">+AH39/$J$49</f>
        <v>1128163.9407242246</v>
      </c>
      <c r="AJ39" s="131">
        <f ca="1">+AI39*$J$47</f>
        <v>28667.716401423084</v>
      </c>
      <c r="AK39" s="130">
        <f t="shared" ca="1" si="18"/>
        <v>14713311.46267</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19742.852972942153</v>
      </c>
      <c r="L43" s="108"/>
      <c r="M43" s="108"/>
      <c r="N43" s="108"/>
      <c r="O43" s="94"/>
      <c r="P43" s="94"/>
      <c r="R43" s="133">
        <v>0</v>
      </c>
      <c r="S43" s="191">
        <v>1</v>
      </c>
      <c r="T43" s="151"/>
      <c r="U43" s="192" t="s">
        <v>368</v>
      </c>
      <c r="V43" s="193">
        <f ca="1">VLOOKUP(R48,R36:AG39,14)</f>
        <v>9.4309049617088206E-2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5753.6314378288562</v>
      </c>
      <c r="L44" s="108"/>
      <c r="M44" s="108"/>
      <c r="N44" s="108"/>
      <c r="O44" s="94"/>
      <c r="P44" s="94"/>
      <c r="R44" s="133">
        <v>50</v>
      </c>
      <c r="S44" s="191">
        <v>2</v>
      </c>
      <c r="T44" s="151"/>
      <c r="U44" s="192" t="s">
        <v>282</v>
      </c>
      <c r="V44" s="193">
        <f ca="1">ROUND(1-V43,6)</f>
        <v>0.90569100000000002</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7.4643876003406717E-2</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3171.2087726944001</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28667.69318346541</v>
      </c>
      <c r="L47" s="108"/>
      <c r="M47" s="108"/>
      <c r="N47" s="108"/>
      <c r="O47" s="94"/>
      <c r="P47" s="94"/>
      <c r="R47" s="404">
        <f ca="1">VLOOKUP(R48,R36:S39,2)</f>
        <v>192.66689511539849</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0.88046380440678318</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0.90569100000000002</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0.18134817986081933</v>
      </c>
      <c r="Z62" s="193">
        <f t="shared" ca="1" si="20"/>
        <v>0.14610451187707085</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0.28893041699966976</v>
      </c>
      <c r="Z63" s="193">
        <f t="shared" ca="1" si="20"/>
        <v>0.22825502942973913</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0.90569100000000002</v>
      </c>
      <c r="Z64" s="193">
        <f t="shared" ca="1" si="20"/>
        <v>0.90587475344227519</v>
      </c>
      <c r="AE64" s="161"/>
      <c r="AF64" s="161"/>
      <c r="AG64" s="162"/>
      <c r="AH64" s="160"/>
      <c r="AJ64" s="162"/>
    </row>
    <row r="65" spans="8:40">
      <c r="H65" s="160"/>
      <c r="I65" s="160"/>
      <c r="J65" s="160"/>
      <c r="K65" s="160"/>
      <c r="L65" s="160"/>
      <c r="M65" s="160"/>
      <c r="N65" s="160"/>
      <c r="O65" s="160"/>
      <c r="R65" s="104"/>
      <c r="W65" s="105"/>
      <c r="X65" s="192" t="s">
        <v>368</v>
      </c>
      <c r="Y65" s="193">
        <f t="shared" ca="1" si="20"/>
        <v>9.430899999999999E-2</v>
      </c>
      <c r="Z65" s="193">
        <f t="shared" ca="1" si="20"/>
        <v>9.430899999999999E-2</v>
      </c>
      <c r="AE65" s="161"/>
      <c r="AH65" s="160"/>
      <c r="AJ65" s="162"/>
      <c r="AN65" s="160"/>
    </row>
    <row r="66" spans="8:40">
      <c r="H66" s="160"/>
      <c r="I66" s="160"/>
      <c r="J66" s="160"/>
      <c r="K66" s="160"/>
      <c r="L66" s="160"/>
      <c r="M66" s="160"/>
      <c r="N66" s="160"/>
      <c r="O66" s="160"/>
      <c r="R66" s="104"/>
      <c r="S66" s="228"/>
      <c r="W66" s="105"/>
      <c r="X66" s="192" t="s">
        <v>369</v>
      </c>
      <c r="Y66" s="193">
        <f t="shared" ca="1" si="20"/>
        <v>1.926668951153985</v>
      </c>
      <c r="Z66" s="193">
        <f t="shared" ca="1" si="20"/>
        <v>1.926668951153985</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0" orientation="portrait" r:id="rId1"/>
  <headerFooter alignWithMargins="0"/>
  <drawing r:id="rId2"/>
  <legacyDrawing r:id="rId3"/>
  <controls>
    <mc:AlternateContent xmlns:mc="http://schemas.openxmlformats.org/markup-compatibility/2006">
      <mc:Choice Requires="x14">
        <control shapeId="959489"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959489" r:id="rId4" name="DataCompleted"/>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theme="8" tint="0.59999389629810485"/>
  </sheetPr>
  <dimension ref="A1:AV112"/>
  <sheetViews>
    <sheetView showGridLines="0" showOutlineSymbols="0" view="pageBreakPreview" zoomScale="60" zoomScaleNormal="7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21.28515625" style="139" hidden="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20.57031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(C)'!F41</f>
        <v>13216010.740582306</v>
      </c>
      <c r="D5" s="112"/>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(C)'!F327</f>
        <v>12729783.463299453</v>
      </c>
      <c r="D6" s="112"/>
      <c r="E6" s="94"/>
      <c r="F6" s="120" t="s">
        <v>332</v>
      </c>
      <c r="G6" s="117"/>
      <c r="H6" s="117"/>
      <c r="I6" s="121"/>
      <c r="J6" s="122" t="s">
        <v>333</v>
      </c>
      <c r="K6" s="123"/>
      <c r="L6" s="122" t="s">
        <v>334</v>
      </c>
      <c r="M6" s="122" t="s">
        <v>335</v>
      </c>
      <c r="O6" s="106"/>
      <c r="P6" s="95"/>
      <c r="R6" s="413">
        <v>1</v>
      </c>
      <c r="S6" s="404">
        <f>Revenue/Investment*100</f>
        <v>179.65735171092066</v>
      </c>
      <c r="T6" s="412">
        <f>EXP(y_inter1-(slope*LN(+S6)))</f>
        <v>8.6487011094177522</v>
      </c>
      <c r="U6" s="411">
        <f>(+S6*T6/100)/100</f>
        <v>0.15538027370572949</v>
      </c>
      <c r="V6" s="411">
        <f>regDebt_weighted</f>
        <v>3.5860000000000003E-2</v>
      </c>
      <c r="W6" s="411">
        <f>+U6-V6</f>
        <v>0.11952027370572949</v>
      </c>
      <c r="X6" s="411">
        <f>+((W6*(1-0.34))-Pfd_weighted)/Equity_percent</f>
        <v>0.21131796699355074</v>
      </c>
      <c r="Y6" s="411">
        <f>+C15</f>
        <v>2.5000000000000001E-3</v>
      </c>
      <c r="Z6" s="411">
        <f>+X6+Y6</f>
        <v>0.21381796699355074</v>
      </c>
      <c r="AA6" s="411">
        <f>Z6*equityP</f>
        <v>0.12419746687230607</v>
      </c>
      <c r="AB6" s="411">
        <f>+AA6/(1-taxrate)</f>
        <v>0.1572119833826659</v>
      </c>
      <c r="AC6" s="411">
        <f>debtP*Debt_Rate</f>
        <v>1.3521189462017025E-2</v>
      </c>
      <c r="AD6" s="411">
        <f>AC6+AB6</f>
        <v>0.17073317284468292</v>
      </c>
      <c r="AE6" s="411">
        <f>AD6/(S6/100)</f>
        <v>9.5032667029069165E-2</v>
      </c>
      <c r="AF6" s="411">
        <f>1-AE6</f>
        <v>0.90496733297093079</v>
      </c>
      <c r="AG6" s="408">
        <f>expenses/(AF6)</f>
        <v>14066566.824582117</v>
      </c>
      <c r="AH6" s="410">
        <f>+AG6-Revenue</f>
        <v>850556.08399981074</v>
      </c>
      <c r="AI6" s="409">
        <f ca="1">+AH6/$J$49</f>
        <v>966132.98272198497</v>
      </c>
      <c r="AJ6" s="409">
        <f ca="1">+AI6*$J$47</f>
        <v>24550.35598545623</v>
      </c>
      <c r="AK6" s="408">
        <f ca="1">ROUND(+AJ6+AG6,5)</f>
        <v>14091117.180570001</v>
      </c>
    </row>
    <row r="7" spans="1:37" ht="15.75">
      <c r="A7" s="94"/>
      <c r="B7" s="115" t="s">
        <v>292</v>
      </c>
      <c r="C7" s="238">
        <f>+'Yakima LOB (C)'!F334</f>
        <v>7356231.523354331</v>
      </c>
      <c r="D7" s="112"/>
      <c r="E7" s="94"/>
      <c r="F7" s="415">
        <v>1</v>
      </c>
      <c r="G7" s="117"/>
      <c r="H7" s="124" t="s">
        <v>318</v>
      </c>
      <c r="I7" s="125">
        <f>IF(A64=TRUE,C5,0)</f>
        <v>13216010.740582306</v>
      </c>
      <c r="J7" s="125">
        <f ca="1">(+$I8/($R50))-I7</f>
        <v>840418.51594852842</v>
      </c>
      <c r="K7" s="125">
        <f ca="1">+I7+J7</f>
        <v>14056429.256530834</v>
      </c>
      <c r="L7" s="125">
        <f ca="1">((+J7/J49*K35)-J7)</f>
        <v>24257.746351397363</v>
      </c>
      <c r="M7" s="125">
        <f ca="1">IFERROR(+K7+L7,0.00001)</f>
        <v>14080687.002882231</v>
      </c>
      <c r="O7" s="106"/>
      <c r="P7" s="95"/>
      <c r="R7" s="126">
        <v>2</v>
      </c>
      <c r="S7" s="127">
        <f>Revenue/Investment*100</f>
        <v>179.65735171092066</v>
      </c>
      <c r="T7" s="128">
        <f>EXP(y_inter1-(slope*LN(+S7)))</f>
        <v>8.6487011094177522</v>
      </c>
      <c r="U7" s="129">
        <f t="shared" ref="U7:U9" si="0">(+S7*T7/100)/100</f>
        <v>0.15538027370572949</v>
      </c>
      <c r="V7" s="129">
        <f>regDebt_weighted</f>
        <v>3.5860000000000003E-2</v>
      </c>
      <c r="W7" s="129">
        <f t="shared" ref="W7:W9" si="1">+U7-V7</f>
        <v>0.11952027370572949</v>
      </c>
      <c r="X7" s="129">
        <f>+((W7*(1-0.34))-Pfd_weighted)/Equity_percent</f>
        <v>0.21131796699355074</v>
      </c>
      <c r="Y7" s="129">
        <f>+Y6</f>
        <v>2.5000000000000001E-3</v>
      </c>
      <c r="Z7" s="129">
        <f>+X7+Y7</f>
        <v>0.21381796699355074</v>
      </c>
      <c r="AA7" s="129">
        <f>Z7*equityP</f>
        <v>0.12419746687230607</v>
      </c>
      <c r="AB7" s="129">
        <f>+AA7/(1-taxrate)</f>
        <v>0.1572119833826659</v>
      </c>
      <c r="AC7" s="129">
        <f>debtP*Debt_Rate</f>
        <v>1.3521189462017025E-2</v>
      </c>
      <c r="AD7" s="129">
        <f t="shared" ref="AD7:AD9" si="2">AC7+AB7</f>
        <v>0.17073317284468292</v>
      </c>
      <c r="AE7" s="129">
        <f t="shared" ref="AE7:AE9" si="3">AD7/(S7/100)</f>
        <v>9.5032667029069165E-2</v>
      </c>
      <c r="AF7" s="129">
        <f t="shared" ref="AF7:AF9" si="4">1-AE7</f>
        <v>0.90496733297093079</v>
      </c>
      <c r="AG7" s="130">
        <f>expenses/(AF7)</f>
        <v>14066566.824582117</v>
      </c>
      <c r="AH7" s="239">
        <f>+AG7-Revenue</f>
        <v>850556.08399981074</v>
      </c>
      <c r="AI7" s="131">
        <f ca="1">+AH7/$J$49</f>
        <v>966132.98272198497</v>
      </c>
      <c r="AJ7" s="131">
        <f ca="1">+AI7*$J$47</f>
        <v>24550.35598545623</v>
      </c>
      <c r="AK7" s="130">
        <f t="shared" ref="AK7:AK9" ca="1" si="5">ROUND(+AJ7+AG7,5)</f>
        <v>14091117.180570001</v>
      </c>
    </row>
    <row r="8" spans="1:37" ht="15.75">
      <c r="A8" s="94"/>
      <c r="B8" s="115" t="s">
        <v>336</v>
      </c>
      <c r="C8" s="453">
        <f>+'Corp BS &amp; IS'!$K$5</f>
        <v>0.41914391658184569</v>
      </c>
      <c r="D8" s="112"/>
      <c r="E8" s="94"/>
      <c r="F8" s="132">
        <f>+F7+1</f>
        <v>2</v>
      </c>
      <c r="G8" s="117"/>
      <c r="H8" s="124" t="s">
        <v>331</v>
      </c>
      <c r="I8" s="125">
        <f>IF(A64=TRUE,C6,0)</f>
        <v>12729783.463299453</v>
      </c>
      <c r="J8" s="108"/>
      <c r="K8" s="125">
        <f>+I8</f>
        <v>12729783.463299453</v>
      </c>
      <c r="L8" s="125">
        <f ca="1">+L7</f>
        <v>24257.746351397363</v>
      </c>
      <c r="M8" s="125">
        <f ca="1">IFERROR(+K8+L8,0.00001)</f>
        <v>12754041.20965085</v>
      </c>
      <c r="O8" s="106"/>
      <c r="P8" s="95"/>
      <c r="R8" s="133">
        <v>3</v>
      </c>
      <c r="S8" s="127">
        <f>Revenue/Investment*100</f>
        <v>179.65735171092066</v>
      </c>
      <c r="T8" s="128">
        <f>EXP(y_inter1-(slope*LN(+S8)))</f>
        <v>8.6487011094177522</v>
      </c>
      <c r="U8" s="129">
        <f t="shared" si="0"/>
        <v>0.15538027370572949</v>
      </c>
      <c r="V8" s="129">
        <f>regDebt_weighted</f>
        <v>3.5860000000000003E-2</v>
      </c>
      <c r="W8" s="129">
        <f t="shared" si="1"/>
        <v>0.11952027370572949</v>
      </c>
      <c r="X8" s="129">
        <f>+((W8*(1-0.34))-Pfd_weighted)/Equity_percent</f>
        <v>0.21131796699355074</v>
      </c>
      <c r="Y8" s="129">
        <f>+Y7</f>
        <v>2.5000000000000001E-3</v>
      </c>
      <c r="Z8" s="129">
        <f t="shared" ref="Z8:Z9" si="6">+X8+Y8</f>
        <v>0.21381796699355074</v>
      </c>
      <c r="AA8" s="129">
        <f>Z8*equityP</f>
        <v>0.12419746687230607</v>
      </c>
      <c r="AB8" s="129">
        <f>+AA8/(1-taxrate)</f>
        <v>0.1572119833826659</v>
      </c>
      <c r="AC8" s="129">
        <f>debtP*Debt_Rate</f>
        <v>1.3521189462017025E-2</v>
      </c>
      <c r="AD8" s="129">
        <f t="shared" si="2"/>
        <v>0.17073317284468292</v>
      </c>
      <c r="AE8" s="129">
        <f t="shared" si="3"/>
        <v>9.5032667029069165E-2</v>
      </c>
      <c r="AF8" s="129">
        <f t="shared" si="4"/>
        <v>0.90496733297093079</v>
      </c>
      <c r="AG8" s="130">
        <f>expenses/(AF8)</f>
        <v>14066566.824582117</v>
      </c>
      <c r="AH8" s="239">
        <f>+AG8-Revenue</f>
        <v>850556.08399981074</v>
      </c>
      <c r="AI8" s="131">
        <f ca="1">+AH8/$J$49</f>
        <v>966132.98272198497</v>
      </c>
      <c r="AJ8" s="131">
        <f ca="1">+AI8*$J$47</f>
        <v>24550.35598545623</v>
      </c>
      <c r="AK8" s="130">
        <f t="shared" ca="1" si="5"/>
        <v>14091117.180570001</v>
      </c>
    </row>
    <row r="9" spans="1:37" ht="15.75">
      <c r="A9" s="94"/>
      <c r="B9" s="115" t="s">
        <v>337</v>
      </c>
      <c r="C9" s="453">
        <f>+'Corp BS &amp; IS'!$J$14</f>
        <v>3.2259061690035909E-2</v>
      </c>
      <c r="D9" s="112"/>
      <c r="E9" s="94"/>
      <c r="F9" s="132">
        <f t="shared" ref="F9:F49" si="7">+F8+1</f>
        <v>3</v>
      </c>
      <c r="G9" s="117"/>
      <c r="H9" s="124" t="s">
        <v>338</v>
      </c>
      <c r="I9" s="454">
        <f>+I7-I8</f>
        <v>486227.27728285268</v>
      </c>
      <c r="J9" s="108"/>
      <c r="K9" s="454">
        <f ca="1">+K7-K8</f>
        <v>1326645.7932313811</v>
      </c>
      <c r="L9" s="117"/>
      <c r="M9" s="455">
        <f ca="1">+M7-M8</f>
        <v>1326645.7932313811</v>
      </c>
      <c r="O9" s="106"/>
      <c r="P9" s="95"/>
      <c r="R9" s="134">
        <v>4</v>
      </c>
      <c r="S9" s="127">
        <f>Revenue/Investment*100</f>
        <v>179.65735171092066</v>
      </c>
      <c r="T9" s="128">
        <f>EXP(y_inter1-(slope*LN(+S9)))</f>
        <v>8.6487011094177522</v>
      </c>
      <c r="U9" s="129">
        <f t="shared" si="0"/>
        <v>0.15538027370572949</v>
      </c>
      <c r="V9" s="129">
        <f>regDebt_weighted</f>
        <v>3.5860000000000003E-2</v>
      </c>
      <c r="W9" s="129">
        <f t="shared" si="1"/>
        <v>0.11952027370572949</v>
      </c>
      <c r="X9" s="129">
        <f>+((W9*(1-0.34))-Pfd_weighted)/Equity_percent</f>
        <v>0.21131796699355074</v>
      </c>
      <c r="Y9" s="129">
        <f>+Y8</f>
        <v>2.5000000000000001E-3</v>
      </c>
      <c r="Z9" s="129">
        <f t="shared" si="6"/>
        <v>0.21381796699355074</v>
      </c>
      <c r="AA9" s="129">
        <f>Z9*equityP</f>
        <v>0.12419746687230607</v>
      </c>
      <c r="AB9" s="129">
        <f>+AA9/(1-taxrate)</f>
        <v>0.1572119833826659</v>
      </c>
      <c r="AC9" s="129">
        <f>debtP*Debt_Rate</f>
        <v>1.3521189462017025E-2</v>
      </c>
      <c r="AD9" s="129">
        <f t="shared" si="2"/>
        <v>0.17073317284468292</v>
      </c>
      <c r="AE9" s="129">
        <f t="shared" si="3"/>
        <v>9.5032667029069165E-2</v>
      </c>
      <c r="AF9" s="129">
        <f t="shared" si="4"/>
        <v>0.90496733297093079</v>
      </c>
      <c r="AG9" s="130">
        <f>expenses/(AF9)</f>
        <v>14066566.824582117</v>
      </c>
      <c r="AH9" s="239">
        <f>+AG9-Revenue</f>
        <v>850556.08399981074</v>
      </c>
      <c r="AI9" s="131">
        <f ca="1">+AH9/$J$49</f>
        <v>966132.98272198497</v>
      </c>
      <c r="AJ9" s="131">
        <f ca="1">+AI9*$J$47</f>
        <v>24550.35598545623</v>
      </c>
      <c r="AK9" s="130">
        <f t="shared" ca="1" si="5"/>
        <v>14091117.180570001</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99465.000153736022</v>
      </c>
      <c r="J11" s="108"/>
      <c r="K11" s="125">
        <f>+M27</f>
        <v>99465.000153736022</v>
      </c>
      <c r="L11" s="117"/>
      <c r="M11" s="125">
        <f>+K11</f>
        <v>99465.000153736022</v>
      </c>
      <c r="O11" s="106"/>
      <c r="P11" s="94"/>
      <c r="R11" s="413">
        <v>1</v>
      </c>
      <c r="S11" s="404">
        <f ca="1">IF((AK6/Investment*100)&gt;0,(AK6/Investment*100),0)</f>
        <v>191.55347593171814</v>
      </c>
      <c r="T11" s="412">
        <f ca="1">EXP(y_inter1-(slope*LN(S11)))</f>
        <v>8.4831104326550246</v>
      </c>
      <c r="U11" s="411">
        <f ca="1">(+S11*T11/100)/100</f>
        <v>0.16249692900876911</v>
      </c>
      <c r="V11" s="411">
        <f>regDebt_weighted</f>
        <v>3.5860000000000003E-2</v>
      </c>
      <c r="W11" s="411">
        <f ca="1">+U11-V11</f>
        <v>0.12663692900876911</v>
      </c>
      <c r="X11" s="411">
        <f ca="1">+((W11*(1-0.34))-Pfd_weighted)/Equity_percent</f>
        <v>0.22497201495868491</v>
      </c>
      <c r="Y11" s="411">
        <f>+Y9</f>
        <v>2.5000000000000001E-3</v>
      </c>
      <c r="Z11" s="411">
        <f ca="1">+X11+Y11</f>
        <v>0.22747201495868491</v>
      </c>
      <c r="AA11" s="411">
        <f ca="1">Z11*equityP</f>
        <v>0.13212850369613752</v>
      </c>
      <c r="AB11" s="411">
        <f ca="1">+AA11/(1-taxrate)</f>
        <v>0.1672512705014399</v>
      </c>
      <c r="AC11" s="411">
        <f>debtP*Debt_Rate</f>
        <v>1.3521189462017025E-2</v>
      </c>
      <c r="AD11" s="411">
        <f ca="1">+AC11+AB11</f>
        <v>0.18077245996345692</v>
      </c>
      <c r="AE11" s="411">
        <f ca="1">+AD11/(S11/100)</f>
        <v>9.4371798310721206E-2</v>
      </c>
      <c r="AF11" s="411">
        <f ca="1">1-AE11</f>
        <v>0.90562820168927882</v>
      </c>
      <c r="AG11" s="408">
        <f ca="1">expenses/(AF11)</f>
        <v>14056301.956536291</v>
      </c>
      <c r="AH11" s="410">
        <f ca="1">+AG11-Revenue</f>
        <v>840291.21595398523</v>
      </c>
      <c r="AI11" s="409">
        <f ca="1">+AH11/$J$49</f>
        <v>954473.2841213654</v>
      </c>
      <c r="AJ11" s="409">
        <f ca="1">+AI11*$J$47</f>
        <v>24254.07197854669</v>
      </c>
      <c r="AK11" s="408">
        <f ca="1">ROUND(+AJ11+AG11,5)</f>
        <v>14080556.028510001</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257707.96654630546</v>
      </c>
      <c r="L12" s="117"/>
      <c r="M12" s="125">
        <f ca="1">+K12</f>
        <v>257707.96654630546</v>
      </c>
      <c r="O12" s="106"/>
      <c r="P12" s="94"/>
      <c r="R12" s="126">
        <v>2</v>
      </c>
      <c r="S12" s="127">
        <f ca="1">IF((AK7/Investment*100)&gt;0,(AK7/Investment*100),0)</f>
        <v>191.55347593171814</v>
      </c>
      <c r="T12" s="136">
        <f ca="1">EXP(y_inter2-(slope*LN(+S12)))</f>
        <v>8.4831104326550246</v>
      </c>
      <c r="U12" s="129">
        <f ca="1">(+S12*T12/100)/100</f>
        <v>0.16249692900876911</v>
      </c>
      <c r="V12" s="129">
        <f>regDebt_weighted</f>
        <v>3.5860000000000003E-2</v>
      </c>
      <c r="W12" s="129">
        <f ca="1">+U12-V12</f>
        <v>0.12663692900876911</v>
      </c>
      <c r="X12" s="129">
        <f ca="1">+((W12*(1-0.34))-Pfd_weighted)/Equity_percent</f>
        <v>0.22497201495868491</v>
      </c>
      <c r="Y12" s="129">
        <f>+Y11</f>
        <v>2.5000000000000001E-3</v>
      </c>
      <c r="Z12" s="129">
        <f ca="1">+X12+Y12</f>
        <v>0.22747201495868491</v>
      </c>
      <c r="AA12" s="129">
        <f ca="1">Z12*equityP</f>
        <v>0.13212850369613752</v>
      </c>
      <c r="AB12" s="129">
        <f ca="1">+AA12/(1-taxrate)</f>
        <v>0.1672512705014399</v>
      </c>
      <c r="AC12" s="129">
        <f>debtP*Debt_Rate</f>
        <v>1.3521189462017025E-2</v>
      </c>
      <c r="AD12" s="129">
        <f ca="1">+AC12+AB12</f>
        <v>0.18077245996345692</v>
      </c>
      <c r="AE12" s="129">
        <f ca="1">+AD12/(S12/100)</f>
        <v>9.4371798310721206E-2</v>
      </c>
      <c r="AF12" s="129">
        <f ca="1">1-AE12</f>
        <v>0.90562820168927882</v>
      </c>
      <c r="AG12" s="130">
        <f ca="1">expenses/(AF12)</f>
        <v>14056301.956536291</v>
      </c>
      <c r="AH12" s="239">
        <f ca="1">+AG12-Revenue</f>
        <v>840291.21595398523</v>
      </c>
      <c r="AI12" s="131">
        <f ca="1">+AH12/$J$49</f>
        <v>954473.2841213654</v>
      </c>
      <c r="AJ12" s="131">
        <f ca="1">+AI12*$J$47</f>
        <v>24254.07197854669</v>
      </c>
      <c r="AK12" s="130">
        <f t="shared" ref="AK12:AK14" ca="1" si="8">ROUND(+AJ12+AG12,5)</f>
        <v>14080556.028510001</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191.55347593171814</v>
      </c>
      <c r="T13" s="128">
        <f ca="1">EXP(y_inter3-(slope*LN(S13)))</f>
        <v>8.4831104326550246</v>
      </c>
      <c r="U13" s="129">
        <f ca="1">(+S13*T13/100)/100</f>
        <v>0.16249692900876911</v>
      </c>
      <c r="V13" s="129">
        <f>regDebt_weighted</f>
        <v>3.5860000000000003E-2</v>
      </c>
      <c r="W13" s="129">
        <f ca="1">+U13-V13</f>
        <v>0.12663692900876911</v>
      </c>
      <c r="X13" s="129">
        <f ca="1">+((W13*(1-0.34))-Pfd_weighted)/Equity_percent</f>
        <v>0.22497201495868491</v>
      </c>
      <c r="Y13" s="129">
        <f>+Y12</f>
        <v>2.5000000000000001E-3</v>
      </c>
      <c r="Z13" s="129">
        <f t="shared" ref="Z13:Z14" ca="1" si="9">+X13+Y13</f>
        <v>0.22747201495868491</v>
      </c>
      <c r="AA13" s="129">
        <f ca="1">Z13*equityP</f>
        <v>0.13212850369613752</v>
      </c>
      <c r="AB13" s="129">
        <f ca="1">+AA13/(1-taxrate)</f>
        <v>0.1672512705014399</v>
      </c>
      <c r="AC13" s="129">
        <f>debtP*Debt_Rate</f>
        <v>1.3521189462017025E-2</v>
      </c>
      <c r="AD13" s="129">
        <f ca="1">+AC13+AB13</f>
        <v>0.18077245996345692</v>
      </c>
      <c r="AE13" s="129">
        <f ca="1">+AD13/(S13/100)</f>
        <v>9.4371798310721206E-2</v>
      </c>
      <c r="AF13" s="129">
        <f ca="1">1-AE13</f>
        <v>0.90562820168927882</v>
      </c>
      <c r="AG13" s="130">
        <f ca="1">expenses/(AF13)</f>
        <v>14056301.956536291</v>
      </c>
      <c r="AH13" s="239">
        <f ca="1">+AG13-Revenue</f>
        <v>840291.21595398523</v>
      </c>
      <c r="AI13" s="131">
        <f ca="1">+AH13/$J$49</f>
        <v>954473.2841213654</v>
      </c>
      <c r="AJ13" s="131">
        <f ca="1">+AI13*$J$47</f>
        <v>24254.07197854669</v>
      </c>
      <c r="AK13" s="130">
        <f t="shared" ca="1" si="8"/>
        <v>14080556.028510001</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969472.82653133967</v>
      </c>
      <c r="L14" s="117"/>
      <c r="M14" s="284">
        <f ca="1">+M9-SUM(M11:M13)</f>
        <v>969472.82653133967</v>
      </c>
      <c r="O14" s="106"/>
      <c r="P14" s="94"/>
      <c r="R14" s="134">
        <v>4</v>
      </c>
      <c r="S14" s="127">
        <f ca="1">IF((AK9/Investment*100)&gt;0,(AK9/Investment*100),0)</f>
        <v>191.55347593171814</v>
      </c>
      <c r="T14" s="138">
        <f ca="1">EXP(y_inter4-(slope*LN(S14)))</f>
        <v>8.4831104326550246</v>
      </c>
      <c r="U14" s="129">
        <f ca="1">(+S14*T14/100)/100</f>
        <v>0.16249692900876911</v>
      </c>
      <c r="V14" s="129">
        <f>regDebt_weighted</f>
        <v>3.5860000000000003E-2</v>
      </c>
      <c r="W14" s="129">
        <f ca="1">+U14-V14</f>
        <v>0.12663692900876911</v>
      </c>
      <c r="X14" s="129">
        <f ca="1">+((W14*(1-0.34))-Pfd_weighted)/Equity_percent</f>
        <v>0.22497201495868491</v>
      </c>
      <c r="Y14" s="129">
        <f>+Y13</f>
        <v>2.5000000000000001E-3</v>
      </c>
      <c r="Z14" s="129">
        <f t="shared" ca="1" si="9"/>
        <v>0.22747201495868491</v>
      </c>
      <c r="AA14" s="129">
        <f ca="1">Z14*equityP</f>
        <v>0.13212850369613752</v>
      </c>
      <c r="AB14" s="129">
        <f ca="1">+AA14/(1-taxrate)</f>
        <v>0.1672512705014399</v>
      </c>
      <c r="AC14" s="129">
        <f>debtP*Debt_Rate</f>
        <v>1.3521189462017025E-2</v>
      </c>
      <c r="AD14" s="129">
        <f ca="1">+AC14+AB14</f>
        <v>0.18077245996345692</v>
      </c>
      <c r="AE14" s="129">
        <f ca="1">+AD14/(S14/100)</f>
        <v>9.4371798310721206E-2</v>
      </c>
      <c r="AF14" s="129">
        <f ca="1">1-AE14</f>
        <v>0.90562820168927882</v>
      </c>
      <c r="AG14" s="130">
        <f ca="1">expenses/(AF14)</f>
        <v>14056301.956536291</v>
      </c>
      <c r="AH14" s="239">
        <f ca="1">+AG14-Revenue</f>
        <v>840291.21595398523</v>
      </c>
      <c r="AI14" s="131">
        <f ca="1">+AH14/$J$49</f>
        <v>954473.2841213654</v>
      </c>
      <c r="AJ14" s="131">
        <f ca="1">+AI14*$J$47</f>
        <v>24254.07197854669</v>
      </c>
      <c r="AK14" s="130">
        <f t="shared" ca="1" si="8"/>
        <v>14080556.028510001</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0.96320922502054285</v>
      </c>
      <c r="J16" s="142"/>
      <c r="K16" s="141">
        <f ca="1">+K8/K7</f>
        <v>0.90561999999999998</v>
      </c>
      <c r="L16" s="143"/>
      <c r="M16" s="141">
        <f ca="1">+M8/M7</f>
        <v>0.90578259477255441</v>
      </c>
      <c r="O16" s="106"/>
      <c r="P16" s="94"/>
      <c r="R16" s="413">
        <v>1</v>
      </c>
      <c r="S16" s="404">
        <f ca="1">AK11/Investment*100</f>
        <v>191.40990850828302</v>
      </c>
      <c r="T16" s="412">
        <f ca="1">EXP(y_inter1-(slope*LN(+S16)))</f>
        <v>8.485028418532929</v>
      </c>
      <c r="U16" s="411">
        <f ca="1">(+S16*T16/100)/100</f>
        <v>0.16241185132815694</v>
      </c>
      <c r="V16" s="411">
        <f>regDebt_weighted</f>
        <v>3.5860000000000003E-2</v>
      </c>
      <c r="W16" s="411">
        <f ca="1">+U16-V16</f>
        <v>0.12655185132815694</v>
      </c>
      <c r="X16" s="411">
        <f ca="1">+((W16*(1-0.34))-Pfd_weighted)/Equity_percent</f>
        <v>0.22480878452495223</v>
      </c>
      <c r="Y16" s="411">
        <f>+Y14</f>
        <v>2.5000000000000001E-3</v>
      </c>
      <c r="Z16" s="411">
        <f ca="1">+X16+Y16</f>
        <v>0.22730878452495223</v>
      </c>
      <c r="AA16" s="411">
        <f ca="1">Z16*equityP</f>
        <v>0.13203369030570491</v>
      </c>
      <c r="AB16" s="411">
        <f ca="1">+AA16/(1-taxrate)</f>
        <v>0.16713125355152519</v>
      </c>
      <c r="AC16" s="411">
        <f>debtP*Debt_Rate</f>
        <v>1.3521189462017025E-2</v>
      </c>
      <c r="AD16" s="411">
        <f ca="1">+AC16+AB16</f>
        <v>0.18065244301354222</v>
      </c>
      <c r="AE16" s="411">
        <f ca="1">+AD16/(S16/100)</f>
        <v>9.4379880551337655E-2</v>
      </c>
      <c r="AF16" s="411">
        <f ca="1">1-AE16</f>
        <v>0.90562011944866239</v>
      </c>
      <c r="AG16" s="408">
        <f ca="1">expenses/(AF16)</f>
        <v>14056427.402528657</v>
      </c>
      <c r="AH16" s="410">
        <f ca="1">+AG16-Revenue</f>
        <v>840416.66194635071</v>
      </c>
      <c r="AI16" s="409">
        <f ca="1">+AH16/$J$49</f>
        <v>954615.77620748943</v>
      </c>
      <c r="AJ16" s="409">
        <f ca="1">+AI16*$J$47</f>
        <v>24257.692837685147</v>
      </c>
      <c r="AK16" s="408">
        <f ca="1">ROUND(+AJ16+AG16,5)</f>
        <v>14080685.09537</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191.40990850828302</v>
      </c>
      <c r="T17" s="136">
        <f ca="1">EXP(y_inter2-(slope*LN(+S17)))</f>
        <v>8.485028418532929</v>
      </c>
      <c r="U17" s="129">
        <f ca="1">(+S17*T17/100)/100</f>
        <v>0.16241185132815694</v>
      </c>
      <c r="V17" s="129">
        <f>regDebt_weighted</f>
        <v>3.5860000000000003E-2</v>
      </c>
      <c r="W17" s="129">
        <f ca="1">+U17-V17</f>
        <v>0.12655185132815694</v>
      </c>
      <c r="X17" s="129">
        <f ca="1">+((W17*(1-0.34))-Pfd_weighted)/Equity_percent</f>
        <v>0.22480878452495223</v>
      </c>
      <c r="Y17" s="129">
        <f>+Y16</f>
        <v>2.5000000000000001E-3</v>
      </c>
      <c r="Z17" s="129">
        <f ca="1">+X17+Y17</f>
        <v>0.22730878452495223</v>
      </c>
      <c r="AA17" s="129">
        <f ca="1">Z17*equityP</f>
        <v>0.13203369030570491</v>
      </c>
      <c r="AB17" s="129">
        <f ca="1">+AA17/(1-taxrate)</f>
        <v>0.16713125355152519</v>
      </c>
      <c r="AC17" s="129">
        <f>debtP*Debt_Rate</f>
        <v>1.3521189462017025E-2</v>
      </c>
      <c r="AD17" s="129">
        <f ca="1">+AC17+AB17</f>
        <v>0.18065244301354222</v>
      </c>
      <c r="AE17" s="129">
        <f ca="1">+AD17/(S17/100)</f>
        <v>9.4379880551337655E-2</v>
      </c>
      <c r="AF17" s="129">
        <f ca="1">1-AE17</f>
        <v>0.90562011944866239</v>
      </c>
      <c r="AG17" s="130">
        <f ca="1">expenses/(AF17)</f>
        <v>14056427.402528657</v>
      </c>
      <c r="AH17" s="239">
        <f ca="1">+AG17-Revenue</f>
        <v>840416.66194635071</v>
      </c>
      <c r="AI17" s="131">
        <f ca="1">+AH17/$J$49</f>
        <v>954615.77620748943</v>
      </c>
      <c r="AJ17" s="131">
        <f ca="1">+AI17*$J$47</f>
        <v>24257.692837685147</v>
      </c>
      <c r="AK17" s="130">
        <f t="shared" ref="AK17:AK19" ca="1" si="10">ROUND(+AJ17+AG17,5)</f>
        <v>14080685.09537</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191.40990850828302</v>
      </c>
      <c r="T18" s="128">
        <f ca="1">EXP(y_inter3-(slope*LN(S18)))</f>
        <v>8.485028418532929</v>
      </c>
      <c r="U18" s="129">
        <f ca="1">(+S18*T18/100)/100</f>
        <v>0.16241185132815694</v>
      </c>
      <c r="V18" s="129">
        <f>regDebt_weighted</f>
        <v>3.5860000000000003E-2</v>
      </c>
      <c r="W18" s="129">
        <f ca="1">+U18-V18</f>
        <v>0.12655185132815694</v>
      </c>
      <c r="X18" s="129">
        <f ca="1">+((W18*(1-0.34))-Pfd_weighted)/Equity_percent</f>
        <v>0.22480878452495223</v>
      </c>
      <c r="Y18" s="129">
        <f>+Y17</f>
        <v>2.5000000000000001E-3</v>
      </c>
      <c r="Z18" s="129">
        <f t="shared" ref="Z18:Z19" ca="1" si="11">+X18+Y18</f>
        <v>0.22730878452495223</v>
      </c>
      <c r="AA18" s="129">
        <f ca="1">Z18*equityP</f>
        <v>0.13203369030570491</v>
      </c>
      <c r="AB18" s="129">
        <f ca="1">+AA18/(1-taxrate)</f>
        <v>0.16713125355152519</v>
      </c>
      <c r="AC18" s="129">
        <f>debtP*Debt_Rate</f>
        <v>1.3521189462017025E-2</v>
      </c>
      <c r="AD18" s="129">
        <f ca="1">+AC18+AB18</f>
        <v>0.18065244301354222</v>
      </c>
      <c r="AE18" s="129">
        <f ca="1">+AD18/(S18/100)</f>
        <v>9.4379880551337655E-2</v>
      </c>
      <c r="AF18" s="129">
        <f ca="1">1-AE18</f>
        <v>0.90562011944866239</v>
      </c>
      <c r="AG18" s="130">
        <f ca="1">expenses/(AF18)</f>
        <v>14056427.402528657</v>
      </c>
      <c r="AH18" s="239">
        <f ca="1">+AG18-Revenue</f>
        <v>840416.66194635071</v>
      </c>
      <c r="AI18" s="131">
        <f ca="1">+AH18/$J$49</f>
        <v>954615.77620748943</v>
      </c>
      <c r="AJ18" s="131">
        <f ca="1">+AI18*$J$47</f>
        <v>24257.692837685147</v>
      </c>
      <c r="AK18" s="130">
        <f t="shared" ca="1" si="10"/>
        <v>14080685.09537</v>
      </c>
    </row>
    <row r="19" spans="1:37" ht="15.75">
      <c r="A19" s="94"/>
      <c r="B19" s="1073" t="s">
        <v>417</v>
      </c>
      <c r="C19" s="1073"/>
      <c r="D19" s="94"/>
      <c r="E19" s="94"/>
      <c r="F19" s="132">
        <f t="shared" si="7"/>
        <v>13</v>
      </c>
      <c r="G19" s="108"/>
      <c r="H19" s="113"/>
      <c r="I19" s="145" t="s">
        <v>346</v>
      </c>
      <c r="J19" s="137">
        <f>+Revenue</f>
        <v>13216010.740582306</v>
      </c>
      <c r="K19" s="146"/>
      <c r="L19" s="145" t="s">
        <v>418</v>
      </c>
      <c r="M19" s="147">
        <f ca="1">+J7</f>
        <v>840418.51594852842</v>
      </c>
      <c r="O19" s="94"/>
      <c r="P19" s="94"/>
      <c r="R19" s="134">
        <v>4</v>
      </c>
      <c r="S19" s="127">
        <f ca="1">AK14/Investment*100</f>
        <v>191.40990850828302</v>
      </c>
      <c r="T19" s="138">
        <f ca="1">EXP(y_inter4-(slope*LN(S19)))</f>
        <v>8.485028418532929</v>
      </c>
      <c r="U19" s="129">
        <f ca="1">(+S19*T19/100)/100</f>
        <v>0.16241185132815694</v>
      </c>
      <c r="V19" s="129">
        <f>regDebt_weighted</f>
        <v>3.5860000000000003E-2</v>
      </c>
      <c r="W19" s="129">
        <f ca="1">+U19-V19</f>
        <v>0.12655185132815694</v>
      </c>
      <c r="X19" s="129">
        <f ca="1">+((W19*(1-0.34))-Pfd_weighted)/Equity_percent</f>
        <v>0.22480878452495223</v>
      </c>
      <c r="Y19" s="129">
        <f>+Y18</f>
        <v>2.5000000000000001E-3</v>
      </c>
      <c r="Z19" s="129">
        <f t="shared" ca="1" si="11"/>
        <v>0.22730878452495223</v>
      </c>
      <c r="AA19" s="129">
        <f ca="1">Z19*equityP</f>
        <v>0.13203369030570491</v>
      </c>
      <c r="AB19" s="129">
        <f ca="1">+AA19/(1-taxrate)</f>
        <v>0.16713125355152519</v>
      </c>
      <c r="AC19" s="129">
        <f>debtP*Debt_Rate</f>
        <v>1.3521189462017025E-2</v>
      </c>
      <c r="AD19" s="129">
        <f ca="1">+AC19+AB19</f>
        <v>0.18065244301354222</v>
      </c>
      <c r="AE19" s="129">
        <f ca="1">+AD19/(S19/100)</f>
        <v>9.4379880551337655E-2</v>
      </c>
      <c r="AF19" s="129">
        <f ca="1">1-AE19</f>
        <v>0.90562011944866239</v>
      </c>
      <c r="AG19" s="130">
        <f ca="1">expenses/(AF19)</f>
        <v>14056427.402528657</v>
      </c>
      <c r="AH19" s="239">
        <f ca="1">+AG19-Revenue</f>
        <v>840416.66194635071</v>
      </c>
      <c r="AI19" s="131">
        <f ca="1">+AH19/$J$49</f>
        <v>954615.77620748943</v>
      </c>
      <c r="AJ19" s="131">
        <f ca="1">+AI19*$J$47</f>
        <v>24257.692837685147</v>
      </c>
      <c r="AK19" s="130">
        <f t="shared" ca="1" si="10"/>
        <v>14080685.09537</v>
      </c>
    </row>
    <row r="20" spans="1:37" ht="15.75">
      <c r="A20" s="94"/>
      <c r="B20" s="177"/>
      <c r="C20" s="94"/>
      <c r="D20" s="94"/>
      <c r="E20" s="94"/>
      <c r="F20" s="132">
        <f t="shared" si="7"/>
        <v>14</v>
      </c>
      <c r="G20" s="108"/>
      <c r="H20" s="113"/>
      <c r="I20" s="145" t="s">
        <v>347</v>
      </c>
      <c r="J20" s="137">
        <f ca="1">+J21-J19</f>
        <v>864676.26229992509</v>
      </c>
      <c r="K20" s="456"/>
      <c r="L20" s="145" t="s">
        <v>419</v>
      </c>
      <c r="M20" s="147">
        <f ca="1">+L8</f>
        <v>24257.746351397363</v>
      </c>
      <c r="O20" s="94"/>
      <c r="P20" s="94"/>
      <c r="R20" s="111" t="s">
        <v>348</v>
      </c>
    </row>
    <row r="21" spans="1:37" ht="16.5" thickBot="1">
      <c r="A21" s="94"/>
      <c r="B21" s="177"/>
      <c r="C21" s="177"/>
      <c r="D21" s="94"/>
      <c r="E21" s="94"/>
      <c r="F21" s="132">
        <f t="shared" si="7"/>
        <v>15</v>
      </c>
      <c r="G21" s="108"/>
      <c r="H21" s="113"/>
      <c r="I21" s="149" t="s">
        <v>211</v>
      </c>
      <c r="J21" s="150">
        <f ca="1">+M7</f>
        <v>14080687.002882231</v>
      </c>
      <c r="K21" s="151"/>
      <c r="L21" s="149" t="s">
        <v>347</v>
      </c>
      <c r="M21" s="240">
        <f ca="1">+M19+M20</f>
        <v>864676.26229992579</v>
      </c>
      <c r="O21" s="94"/>
      <c r="P21" s="94"/>
      <c r="R21" s="413">
        <v>1</v>
      </c>
      <c r="S21" s="404">
        <f ca="1">AK16/Investment*100</f>
        <v>191.41166303245197</v>
      </c>
      <c r="T21" s="412">
        <f ca="1">EXP(y_inter1-(slope*LN(+S21)))</f>
        <v>8.4850049677053487</v>
      </c>
      <c r="U21" s="411">
        <f ca="1">(+S21*T21/100)/100</f>
        <v>0.1624128911707097</v>
      </c>
      <c r="V21" s="411">
        <f>regDebt_weighted</f>
        <v>3.5860000000000003E-2</v>
      </c>
      <c r="W21" s="411">
        <f ca="1">+U21-V21</f>
        <v>0.1265528911707097</v>
      </c>
      <c r="X21" s="411">
        <f ca="1">+((W21*(1-0.34))-Pfd_weighted)/Equity_percent</f>
        <v>0.22481077957171045</v>
      </c>
      <c r="Y21" s="411">
        <f>+Y19</f>
        <v>2.5000000000000001E-3</v>
      </c>
      <c r="Z21" s="411">
        <f ca="1">+X21+Y21</f>
        <v>0.22731077957171045</v>
      </c>
      <c r="AA21" s="411">
        <f ca="1">Z21*equityP</f>
        <v>0.13203484914075114</v>
      </c>
      <c r="AB21" s="411">
        <f ca="1">+AA21/(1-taxrate)</f>
        <v>0.16713272043133054</v>
      </c>
      <c r="AC21" s="411">
        <f>debtP*Debt_Rate</f>
        <v>1.3521189462017025E-2</v>
      </c>
      <c r="AD21" s="411">
        <f ca="1">+AC21+AB21</f>
        <v>0.18065390989334756</v>
      </c>
      <c r="AE21" s="411">
        <f ca="1">+AD21/(S21/100)</f>
        <v>9.4379781791415429E-2</v>
      </c>
      <c r="AF21" s="411">
        <f ca="1">1-AE21</f>
        <v>0.90562021820858463</v>
      </c>
      <c r="AG21" s="408">
        <f ca="1">expenses/(AF21)</f>
        <v>14056425.869643625</v>
      </c>
      <c r="AH21" s="410">
        <f ca="1">+AG21-Revenue</f>
        <v>840415.12906131893</v>
      </c>
      <c r="AI21" s="409">
        <f ca="1">+AH21/$J$49</f>
        <v>954614.03502802365</v>
      </c>
      <c r="AJ21" s="409">
        <f ca="1">+AI21*$J$47</f>
        <v>24257.648592662481</v>
      </c>
      <c r="AK21" s="408">
        <f ca="1">ROUND(+AJ21+AG21,5)</f>
        <v>14080683.518239999</v>
      </c>
    </row>
    <row r="22" spans="1:37" ht="21" customHeight="1" thickTop="1">
      <c r="A22" s="94"/>
      <c r="B22" s="177"/>
      <c r="C22" s="94"/>
      <c r="D22" s="94"/>
      <c r="E22" s="94"/>
      <c r="F22" s="132">
        <f t="shared" si="7"/>
        <v>16</v>
      </c>
      <c r="G22" s="108"/>
      <c r="H22" s="152"/>
      <c r="I22" s="153"/>
      <c r="J22" s="241" t="s">
        <v>420</v>
      </c>
      <c r="K22" s="242">
        <f ca="1">+(J21/J19)-1</f>
        <v>6.542641945990324E-2</v>
      </c>
      <c r="L22" s="153"/>
      <c r="M22" s="154"/>
      <c r="O22" s="94"/>
      <c r="P22" s="94"/>
      <c r="R22" s="126">
        <v>2</v>
      </c>
      <c r="S22" s="127">
        <f ca="1">AK17/Investment*100</f>
        <v>191.41166303245197</v>
      </c>
      <c r="T22" s="136">
        <f ca="1">EXP(y_inter2-(slope*LN(+S22)))</f>
        <v>8.4850049677053487</v>
      </c>
      <c r="U22" s="129">
        <f ca="1">(+S22*T22/100)/100</f>
        <v>0.1624128911707097</v>
      </c>
      <c r="V22" s="129">
        <f>regDebt_weighted</f>
        <v>3.5860000000000003E-2</v>
      </c>
      <c r="W22" s="129">
        <f ca="1">+U22-V22</f>
        <v>0.1265528911707097</v>
      </c>
      <c r="X22" s="129">
        <f ca="1">+((W22*(1-0.34))-Pfd_weighted)/Equity_percent</f>
        <v>0.22481077957171045</v>
      </c>
      <c r="Y22" s="129">
        <f>+Y21</f>
        <v>2.5000000000000001E-3</v>
      </c>
      <c r="Z22" s="129">
        <f ca="1">+X22+Y22</f>
        <v>0.22731077957171045</v>
      </c>
      <c r="AA22" s="129">
        <f ca="1">Z22*equityP</f>
        <v>0.13203484914075114</v>
      </c>
      <c r="AB22" s="129">
        <f ca="1">+AA22/(1-taxrate)</f>
        <v>0.16713272043133054</v>
      </c>
      <c r="AC22" s="129">
        <f>debtP*Debt_Rate</f>
        <v>1.3521189462017025E-2</v>
      </c>
      <c r="AD22" s="129">
        <f ca="1">+AC22+AB22</f>
        <v>0.18065390989334756</v>
      </c>
      <c r="AE22" s="129">
        <f ca="1">+AD22/(S22/100)</f>
        <v>9.4379781791415429E-2</v>
      </c>
      <c r="AF22" s="129">
        <f ca="1">1-AE22</f>
        <v>0.90562021820858463</v>
      </c>
      <c r="AG22" s="130">
        <f ca="1">expenses/(AF22)</f>
        <v>14056425.869643625</v>
      </c>
      <c r="AH22" s="239">
        <f ca="1">+AG22-Revenue</f>
        <v>840415.12906131893</v>
      </c>
      <c r="AI22" s="131">
        <f ca="1">+AH22/$J$49</f>
        <v>954614.03502802365</v>
      </c>
      <c r="AJ22" s="131">
        <f ca="1">+AI22*$J$47</f>
        <v>24257.648592662481</v>
      </c>
      <c r="AK22" s="130">
        <f t="shared" ref="AK22:AK24" ca="1" si="12">ROUND(+AJ22+AG22,5)</f>
        <v>14080683.518239999</v>
      </c>
    </row>
    <row r="23" spans="1:37" ht="15.75">
      <c r="A23" s="94"/>
      <c r="B23" s="457" t="s">
        <v>421</v>
      </c>
      <c r="C23" s="458"/>
      <c r="D23" s="458"/>
      <c r="E23" s="458"/>
      <c r="F23" s="132">
        <f t="shared" si="7"/>
        <v>17</v>
      </c>
      <c r="H23" s="108"/>
      <c r="I23" s="108"/>
      <c r="J23" s="108"/>
      <c r="K23" s="108"/>
      <c r="L23" s="108"/>
      <c r="M23" s="108"/>
      <c r="N23" s="108"/>
      <c r="O23" s="94"/>
      <c r="P23" s="94"/>
      <c r="R23" s="133">
        <v>3</v>
      </c>
      <c r="S23" s="127">
        <f ca="1">AK18/Investment*100</f>
        <v>191.41166303245197</v>
      </c>
      <c r="T23" s="128">
        <f ca="1">EXP(y_inter3-(slope*LN(S23)))</f>
        <v>8.4850049677053487</v>
      </c>
      <c r="U23" s="129">
        <f ca="1">(+S23*T23/100)/100</f>
        <v>0.1624128911707097</v>
      </c>
      <c r="V23" s="129">
        <f>regDebt_weighted</f>
        <v>3.5860000000000003E-2</v>
      </c>
      <c r="W23" s="129">
        <f ca="1">+U23-V23</f>
        <v>0.1265528911707097</v>
      </c>
      <c r="X23" s="129">
        <f ca="1">+((W23*(1-0.34))-Pfd_weighted)/Equity_percent</f>
        <v>0.22481077957171045</v>
      </c>
      <c r="Y23" s="129">
        <f>+Y22</f>
        <v>2.5000000000000001E-3</v>
      </c>
      <c r="Z23" s="129">
        <f t="shared" ref="Z23:Z24" ca="1" si="13">+X23+Y23</f>
        <v>0.22731077957171045</v>
      </c>
      <c r="AA23" s="129">
        <f ca="1">Z23*equityP</f>
        <v>0.13203484914075114</v>
      </c>
      <c r="AB23" s="129">
        <f ca="1">+AA23/(1-taxrate)</f>
        <v>0.16713272043133054</v>
      </c>
      <c r="AC23" s="129">
        <f>debtP*Debt_Rate</f>
        <v>1.3521189462017025E-2</v>
      </c>
      <c r="AD23" s="129">
        <f ca="1">+AC23+AB23</f>
        <v>0.18065390989334756</v>
      </c>
      <c r="AE23" s="129">
        <f ca="1">+AD23/(S23/100)</f>
        <v>9.4379781791415429E-2</v>
      </c>
      <c r="AF23" s="129">
        <f ca="1">1-AE23</f>
        <v>0.90562021820858463</v>
      </c>
      <c r="AG23" s="130">
        <f ca="1">expenses/(AF23)</f>
        <v>14056425.869643625</v>
      </c>
      <c r="AH23" s="239">
        <f ca="1">+AG23-Revenue</f>
        <v>840415.12906131893</v>
      </c>
      <c r="AI23" s="131">
        <f ca="1">+AH23/$J$49</f>
        <v>954614.03502802365</v>
      </c>
      <c r="AJ23" s="131">
        <f ca="1">+AI23*$J$47</f>
        <v>24257.648592662481</v>
      </c>
      <c r="AK23" s="130">
        <f t="shared" ca="1" si="12"/>
        <v>14080683.518239999</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191.41166303245197</v>
      </c>
      <c r="T24" s="138">
        <f ca="1">EXP(y_inter4-(slope*LN(S24)))</f>
        <v>8.4850049677053487</v>
      </c>
      <c r="U24" s="129">
        <f ca="1">(+S24*T24/100)/100</f>
        <v>0.1624128911707097</v>
      </c>
      <c r="V24" s="129">
        <f>regDebt_weighted</f>
        <v>3.5860000000000003E-2</v>
      </c>
      <c r="W24" s="129">
        <f ca="1">+U24-V24</f>
        <v>0.1265528911707097</v>
      </c>
      <c r="X24" s="129">
        <f ca="1">+((W24*(1-0.34))-Pfd_weighted)/Equity_percent</f>
        <v>0.22481077957171045</v>
      </c>
      <c r="Y24" s="129">
        <f>+Y23</f>
        <v>2.5000000000000001E-3</v>
      </c>
      <c r="Z24" s="129">
        <f t="shared" ca="1" si="13"/>
        <v>0.22731077957171045</v>
      </c>
      <c r="AA24" s="129">
        <f ca="1">Z24*equityP</f>
        <v>0.13203484914075114</v>
      </c>
      <c r="AB24" s="129">
        <f ca="1">+AA24/(1-taxrate)</f>
        <v>0.16713272043133054</v>
      </c>
      <c r="AC24" s="129">
        <f>debtP*Debt_Rate</f>
        <v>1.3521189462017025E-2</v>
      </c>
      <c r="AD24" s="129">
        <f ca="1">+AC24+AB24</f>
        <v>0.18065390989334756</v>
      </c>
      <c r="AE24" s="129">
        <f ca="1">+AD24/(S24/100)</f>
        <v>9.4379781791415429E-2</v>
      </c>
      <c r="AF24" s="129">
        <f ca="1">1-AE24</f>
        <v>0.90562021820858463</v>
      </c>
      <c r="AG24" s="130">
        <f ca="1">expenses/(AF24)</f>
        <v>14056425.869643625</v>
      </c>
      <c r="AH24" s="239">
        <f ca="1">+AG24-Revenue</f>
        <v>840415.12906131893</v>
      </c>
      <c r="AI24" s="131">
        <f ca="1">+AH24/$J$49</f>
        <v>954614.03502802365</v>
      </c>
      <c r="AJ24" s="131">
        <f ca="1">+AI24*$J$47</f>
        <v>24257.648592662481</v>
      </c>
      <c r="AK24" s="130">
        <f t="shared" ca="1" si="12"/>
        <v>14080683.518239999</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4272911.8313727593</v>
      </c>
      <c r="K26" s="141">
        <f ca="1">+K34</f>
        <v>0.22688809523595457</v>
      </c>
      <c r="L26" s="163">
        <f ca="1">+K26*I26</f>
        <v>0.13178933037296178</v>
      </c>
      <c r="M26" s="125">
        <f ca="1">+J26*K26</f>
        <v>969472.82653133967</v>
      </c>
      <c r="O26" s="94"/>
      <c r="P26" s="94"/>
      <c r="R26" s="413">
        <v>1</v>
      </c>
      <c r="S26" s="404">
        <f ca="1">AK21/Investment*100</f>
        <v>191.4116415930778</v>
      </c>
      <c r="T26" s="412">
        <f ca="1">EXP(y_inter1-(slope*LN(+S26)))</f>
        <v>8.4850052542605923</v>
      </c>
      <c r="U26" s="411">
        <f ca="1">(+S26*T26/100)/100</f>
        <v>0.16241287846439104</v>
      </c>
      <c r="V26" s="411">
        <f>regDebt_weighted</f>
        <v>3.5860000000000003E-2</v>
      </c>
      <c r="W26" s="411">
        <f ca="1">+U26-V26</f>
        <v>0.12655287846439103</v>
      </c>
      <c r="X26" s="411">
        <f ca="1">+((W26*(1-0.34))-Pfd_weighted)/Equity_percent</f>
        <v>0.22481075519330837</v>
      </c>
      <c r="Y26" s="411">
        <f>+Y24</f>
        <v>2.5000000000000001E-3</v>
      </c>
      <c r="Z26" s="411">
        <f ca="1">+X26+Y26</f>
        <v>0.22731075519330837</v>
      </c>
      <c r="AA26" s="411">
        <f ca="1">Z26*equityP</f>
        <v>0.13203483498040799</v>
      </c>
      <c r="AB26" s="411">
        <f ca="1">+AA26/(1-taxrate)</f>
        <v>0.16713270250684556</v>
      </c>
      <c r="AC26" s="411">
        <f>debtP*Debt_Rate</f>
        <v>1.3521189462017025E-2</v>
      </c>
      <c r="AD26" s="411">
        <f ca="1">+AC26+AB26</f>
        <v>0.18065389196886258</v>
      </c>
      <c r="AE26" s="411">
        <f ca="1">+AD26/(S26/100)</f>
        <v>9.4379782998212244E-2</v>
      </c>
      <c r="AF26" s="411">
        <f ca="1">1-AE26</f>
        <v>0.90562021700178774</v>
      </c>
      <c r="AG26" s="408">
        <f ca="1">expenses/(AF26)</f>
        <v>14056425.888374712</v>
      </c>
      <c r="AH26" s="410">
        <f ca="1">+AG26-Revenue</f>
        <v>840415.14779240638</v>
      </c>
      <c r="AI26" s="409">
        <f ca="1">+AH26/$J$49</f>
        <v>954614.05630436481</v>
      </c>
      <c r="AJ26" s="409">
        <f ca="1">+AI26*$J$47</f>
        <v>24257.649133314502</v>
      </c>
      <c r="AK26" s="408">
        <f ca="1">ROUND(+AJ26+AG26,5)</f>
        <v>14080683.53751</v>
      </c>
    </row>
    <row r="27" spans="1:37" ht="15.75">
      <c r="A27" s="94"/>
      <c r="B27" s="459" t="s">
        <v>359</v>
      </c>
      <c r="C27" s="458"/>
      <c r="D27" s="458"/>
      <c r="E27" s="458"/>
      <c r="F27" s="132">
        <f t="shared" si="7"/>
        <v>21</v>
      </c>
      <c r="H27" s="124" t="s">
        <v>329</v>
      </c>
      <c r="I27" s="163">
        <f>IF(A64=TRUE,C8,0)</f>
        <v>0.41914391658184569</v>
      </c>
      <c r="J27" s="165">
        <f>+I27*J28</f>
        <v>3083319.6919815713</v>
      </c>
      <c r="K27" s="141">
        <f>IF(A64=TRUE,C9,0)</f>
        <v>3.2259061690035909E-2</v>
      </c>
      <c r="L27" s="163">
        <f>+K27*I27</f>
        <v>1.3521189462017025E-2</v>
      </c>
      <c r="M27" s="137">
        <f>+K27*J27</f>
        <v>99465.000153736022</v>
      </c>
      <c r="O27" s="94"/>
      <c r="P27" s="94"/>
      <c r="R27" s="126">
        <v>2</v>
      </c>
      <c r="S27" s="127">
        <f ca="1">AK22/Investment*100</f>
        <v>191.4116415930778</v>
      </c>
      <c r="T27" s="136">
        <f ca="1">EXP(y_inter2-(slope*LN(+S27)))</f>
        <v>8.4850052542605923</v>
      </c>
      <c r="U27" s="129">
        <f ca="1">(+S27*T27/100)/100</f>
        <v>0.16241287846439104</v>
      </c>
      <c r="V27" s="129">
        <f>regDebt_weighted</f>
        <v>3.5860000000000003E-2</v>
      </c>
      <c r="W27" s="129">
        <f ca="1">+U27-V27</f>
        <v>0.12655287846439103</v>
      </c>
      <c r="X27" s="129">
        <f ca="1">+((W27*(1-0.34))-Pfd_weighted)/Equity_percent</f>
        <v>0.22481075519330837</v>
      </c>
      <c r="Y27" s="129">
        <f>+Y26</f>
        <v>2.5000000000000001E-3</v>
      </c>
      <c r="Z27" s="129">
        <f ca="1">+X27+Y27</f>
        <v>0.22731075519330837</v>
      </c>
      <c r="AA27" s="129">
        <f ca="1">Z27*equityP</f>
        <v>0.13203483498040799</v>
      </c>
      <c r="AB27" s="129">
        <f ca="1">+AA27/(1-taxrate)</f>
        <v>0.16713270250684556</v>
      </c>
      <c r="AC27" s="129">
        <f>debtP*Debt_Rate</f>
        <v>1.3521189462017025E-2</v>
      </c>
      <c r="AD27" s="129">
        <f ca="1">+AC27+AB27</f>
        <v>0.18065389196886258</v>
      </c>
      <c r="AE27" s="129">
        <f ca="1">+AD27/(S27/100)</f>
        <v>9.4379782998212244E-2</v>
      </c>
      <c r="AF27" s="129">
        <f ca="1">1-AE27</f>
        <v>0.90562021700178774</v>
      </c>
      <c r="AG27" s="130">
        <f ca="1">expenses/(AF27)</f>
        <v>14056425.888374712</v>
      </c>
      <c r="AH27" s="239">
        <f ca="1">+AG27-Revenue</f>
        <v>840415.14779240638</v>
      </c>
      <c r="AI27" s="131">
        <f ca="1">+AH27/$J$49</f>
        <v>954614.05630436481</v>
      </c>
      <c r="AJ27" s="131">
        <f ca="1">+AI27*$J$47</f>
        <v>24257.649133314502</v>
      </c>
      <c r="AK27" s="130">
        <f t="shared" ref="AK27:AK29" ca="1" si="14">ROUND(+AJ27+AG27,5)</f>
        <v>14080683.53751</v>
      </c>
    </row>
    <row r="28" spans="1:37" ht="16.5" thickBot="1">
      <c r="A28" s="94"/>
      <c r="B28" s="94"/>
      <c r="C28" s="94"/>
      <c r="D28" s="94"/>
      <c r="E28" s="94"/>
      <c r="F28" s="132">
        <f t="shared" si="7"/>
        <v>22</v>
      </c>
      <c r="H28" s="124" t="s">
        <v>20</v>
      </c>
      <c r="I28" s="163">
        <f>SUM(I26:I27)</f>
        <v>1</v>
      </c>
      <c r="J28" s="166">
        <f>IF(A64=TRUE,C7,0)</f>
        <v>7356231.523354331</v>
      </c>
      <c r="K28" s="167"/>
      <c r="L28" s="168">
        <f ca="1">SUM(L26:L27)</f>
        <v>0.14531051983497881</v>
      </c>
      <c r="M28" s="166">
        <f ca="1">SUM(M26:M27)</f>
        <v>1068937.8266850756</v>
      </c>
      <c r="O28" s="94"/>
      <c r="P28" s="94"/>
      <c r="R28" s="133">
        <v>3</v>
      </c>
      <c r="S28" s="127">
        <f ca="1">AK23/Investment*100</f>
        <v>191.4116415930778</v>
      </c>
      <c r="T28" s="128">
        <f ca="1">EXP(y_inter3-(slope*LN(S28)))</f>
        <v>8.4850052542605923</v>
      </c>
      <c r="U28" s="129">
        <f ca="1">(+S28*T28/100)/100</f>
        <v>0.16241287846439104</v>
      </c>
      <c r="V28" s="129">
        <f>regDebt_weighted</f>
        <v>3.5860000000000003E-2</v>
      </c>
      <c r="W28" s="129">
        <f ca="1">+U28-V28</f>
        <v>0.12655287846439103</v>
      </c>
      <c r="X28" s="129">
        <f ca="1">+((W28*(1-0.34))-Pfd_weighted)/Equity_percent</f>
        <v>0.22481075519330837</v>
      </c>
      <c r="Y28" s="129">
        <f>+Y27</f>
        <v>2.5000000000000001E-3</v>
      </c>
      <c r="Z28" s="129">
        <f t="shared" ref="Z28:Z29" ca="1" si="15">+X28+Y28</f>
        <v>0.22731075519330837</v>
      </c>
      <c r="AA28" s="129">
        <f ca="1">Z28*equityP</f>
        <v>0.13203483498040799</v>
      </c>
      <c r="AB28" s="129">
        <f ca="1">+AA28/(1-taxrate)</f>
        <v>0.16713270250684556</v>
      </c>
      <c r="AC28" s="129">
        <f>debtP*Debt_Rate</f>
        <v>1.3521189462017025E-2</v>
      </c>
      <c r="AD28" s="129">
        <f ca="1">+AC28+AB28</f>
        <v>0.18065389196886258</v>
      </c>
      <c r="AE28" s="129">
        <f ca="1">+AD28/(S28/100)</f>
        <v>9.4379782998212244E-2</v>
      </c>
      <c r="AF28" s="129">
        <f ca="1">1-AE28</f>
        <v>0.90562021700178774</v>
      </c>
      <c r="AG28" s="130">
        <f ca="1">expenses/(AF28)</f>
        <v>14056425.888374712</v>
      </c>
      <c r="AH28" s="239">
        <f ca="1">+AG28-Revenue</f>
        <v>840415.14779240638</v>
      </c>
      <c r="AI28" s="131">
        <f ca="1">+AH28/$J$49</f>
        <v>954614.05630436481</v>
      </c>
      <c r="AJ28" s="131">
        <f ca="1">+AI28*$J$47</f>
        <v>24257.649133314502</v>
      </c>
      <c r="AK28" s="130">
        <f t="shared" ca="1" si="14"/>
        <v>14080683.53751</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191.4116415930778</v>
      </c>
      <c r="T29" s="138">
        <f ca="1">EXP(y_inter4-(slope*LN(S29)))</f>
        <v>8.4850052542605923</v>
      </c>
      <c r="U29" s="129">
        <f ca="1">(+S29*T29/100)/100</f>
        <v>0.16241287846439104</v>
      </c>
      <c r="V29" s="129">
        <f>regDebt_weighted</f>
        <v>3.5860000000000003E-2</v>
      </c>
      <c r="W29" s="129">
        <f ca="1">+U29-V29</f>
        <v>0.12655287846439103</v>
      </c>
      <c r="X29" s="129">
        <f ca="1">+((W29*(1-0.34))-Pfd_weighted)/Equity_percent</f>
        <v>0.22481075519330837</v>
      </c>
      <c r="Y29" s="129">
        <f>+Y28</f>
        <v>2.5000000000000001E-3</v>
      </c>
      <c r="Z29" s="129">
        <f t="shared" ca="1" si="15"/>
        <v>0.22731075519330837</v>
      </c>
      <c r="AA29" s="129">
        <f ca="1">Z29*equityP</f>
        <v>0.13203483498040799</v>
      </c>
      <c r="AB29" s="129">
        <f ca="1">+AA29/(1-taxrate)</f>
        <v>0.16713270250684556</v>
      </c>
      <c r="AC29" s="129">
        <f>debtP*Debt_Rate</f>
        <v>1.3521189462017025E-2</v>
      </c>
      <c r="AD29" s="129">
        <f ca="1">+AC29+AB29</f>
        <v>0.18065389196886258</v>
      </c>
      <c r="AE29" s="129">
        <f ca="1">+AD29/(S29/100)</f>
        <v>9.4379782998212244E-2</v>
      </c>
      <c r="AF29" s="129">
        <f ca="1">1-AE29</f>
        <v>0.90562021700178774</v>
      </c>
      <c r="AG29" s="130">
        <f ca="1">expenses/(AF29)</f>
        <v>14056425.888374712</v>
      </c>
      <c r="AH29" s="239">
        <f ca="1">+AG29-Revenue</f>
        <v>840415.14779240638</v>
      </c>
      <c r="AI29" s="131">
        <f ca="1">+AH29/$J$49</f>
        <v>954614.05630436481</v>
      </c>
      <c r="AJ29" s="131">
        <f ca="1">+AI29*$J$47</f>
        <v>24257.649133314502</v>
      </c>
      <c r="AK29" s="130">
        <f t="shared" ca="1" si="14"/>
        <v>14080683.53751</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191.4116418550326</v>
      </c>
      <c r="T31" s="412">
        <f ca="1">EXP(y_inter1-(slope*LN(+S31)))</f>
        <v>8.4850052507593468</v>
      </c>
      <c r="U31" s="411">
        <f ca="1">(+S31*T31/100)/100</f>
        <v>0.16241287861964193</v>
      </c>
      <c r="V31" s="411">
        <f>regDebt_weighted</f>
        <v>3.5860000000000003E-2</v>
      </c>
      <c r="W31" s="411">
        <f ca="1">+U31-V31</f>
        <v>0.12655287861964193</v>
      </c>
      <c r="X31" s="411">
        <f ca="1">+((W31*(1-0.34))-Pfd_weighted)/Equity_percent</f>
        <v>0.22481075549117346</v>
      </c>
      <c r="Y31" s="411">
        <f>+Y29</f>
        <v>2.5000000000000001E-3</v>
      </c>
      <c r="Z31" s="411">
        <f ca="1">+X31+Y31</f>
        <v>0.22731075549117347</v>
      </c>
      <c r="AA31" s="411">
        <f ca="1">Z31*equityP</f>
        <v>0.13203483515342473</v>
      </c>
      <c r="AB31" s="411">
        <f ca="1">+AA31/(1-taxrate)</f>
        <v>0.16713270272585409</v>
      </c>
      <c r="AC31" s="411">
        <f>debtP*Debt_Rate</f>
        <v>1.3521189462017025E-2</v>
      </c>
      <c r="AD31" s="411">
        <f ca="1">+AC31+AB31</f>
        <v>0.18065389218787112</v>
      </c>
      <c r="AE31" s="411">
        <f ca="1">+AD31/(S31/100)</f>
        <v>9.4379782983467136E-2</v>
      </c>
      <c r="AF31" s="411">
        <f ca="1">1-AE31</f>
        <v>0.90562021701653284</v>
      </c>
      <c r="AG31" s="408">
        <f ca="1">expenses/(AF31)</f>
        <v>14056425.888145847</v>
      </c>
      <c r="AH31" s="410">
        <f ca="1">+AG31-Revenue</f>
        <v>840415.14756354131</v>
      </c>
      <c r="AI31" s="409">
        <f ca="1">+AH31/$J$49</f>
        <v>954614.05604440067</v>
      </c>
      <c r="AJ31" s="409">
        <f ca="1">+AI31*$J$47</f>
        <v>24257.649126708566</v>
      </c>
      <c r="AK31" s="408">
        <f ca="1">ROUND(+AJ31+AG31,5)</f>
        <v>14080683.53727</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191.4116418550326</v>
      </c>
      <c r="T32" s="136">
        <f ca="1">EXP(y_inter2-(slope*LN(+S32)))</f>
        <v>8.4850052507593468</v>
      </c>
      <c r="U32" s="129">
        <f ca="1">(+S32*T32/100)/100</f>
        <v>0.16241287861964193</v>
      </c>
      <c r="V32" s="129">
        <f>regDebt_weighted</f>
        <v>3.5860000000000003E-2</v>
      </c>
      <c r="W32" s="129">
        <f ca="1">+U32-V32</f>
        <v>0.12655287861964193</v>
      </c>
      <c r="X32" s="129">
        <f ca="1">+((W32*(1-0.34))-Pfd_weighted)/Equity_percent</f>
        <v>0.22481075549117346</v>
      </c>
      <c r="Y32" s="129">
        <f>+Y31</f>
        <v>2.5000000000000001E-3</v>
      </c>
      <c r="Z32" s="129">
        <f ca="1">+X32+Y32</f>
        <v>0.22731075549117347</v>
      </c>
      <c r="AA32" s="129">
        <f ca="1">Z32*equityP</f>
        <v>0.13203483515342473</v>
      </c>
      <c r="AB32" s="129">
        <f ca="1">+AA32/(1-taxrate)</f>
        <v>0.16713270272585409</v>
      </c>
      <c r="AC32" s="129">
        <f>debtP*Debt_Rate</f>
        <v>1.3521189462017025E-2</v>
      </c>
      <c r="AD32" s="129">
        <f ca="1">+AC32+AB32</f>
        <v>0.18065389218787112</v>
      </c>
      <c r="AE32" s="129">
        <f ca="1">+AD32/(S32/100)</f>
        <v>9.4379782983467136E-2</v>
      </c>
      <c r="AF32" s="129">
        <f ca="1">1-AE32</f>
        <v>0.90562021701653284</v>
      </c>
      <c r="AG32" s="130">
        <f ca="1">expenses/(AF32)</f>
        <v>14056425.888145847</v>
      </c>
      <c r="AH32" s="239">
        <f ca="1">+AG32-Revenue</f>
        <v>840415.14756354131</v>
      </c>
      <c r="AI32" s="131">
        <f ca="1">+AH32/$J$49</f>
        <v>954614.05604440067</v>
      </c>
      <c r="AJ32" s="131">
        <f ca="1">+AI32*$J$47</f>
        <v>24257.649126708566</v>
      </c>
      <c r="AK32" s="130">
        <f t="shared" ref="AK32:AK34" ca="1" si="16">ROUND(+AJ32+AG32,5)</f>
        <v>14080683.53727</v>
      </c>
    </row>
    <row r="33" spans="1:48" ht="15.75">
      <c r="A33" s="94"/>
      <c r="B33" s="94"/>
      <c r="C33" s="94"/>
      <c r="D33" s="94"/>
      <c r="E33" s="94"/>
      <c r="F33" s="132">
        <f t="shared" si="7"/>
        <v>27</v>
      </c>
      <c r="G33" s="108"/>
      <c r="H33" s="117" t="s">
        <v>365</v>
      </c>
      <c r="I33" s="117"/>
      <c r="J33" s="175">
        <f ca="1">+K9/J28</f>
        <v>0.18034312664298127</v>
      </c>
      <c r="K33" s="175">
        <f ca="1">+(M14+M11)/J28</f>
        <v>0.14531051983497878</v>
      </c>
      <c r="L33" s="124"/>
      <c r="M33" s="124"/>
      <c r="N33" s="125"/>
      <c r="O33" s="94"/>
      <c r="P33" s="94"/>
      <c r="R33" s="133">
        <v>3</v>
      </c>
      <c r="S33" s="127">
        <f ca="1">AK28/Investment*100</f>
        <v>191.4116418550326</v>
      </c>
      <c r="T33" s="128">
        <f ca="1">EXP(y_inter3-(slope*LN(S33)))</f>
        <v>8.4850052507593468</v>
      </c>
      <c r="U33" s="129">
        <f ca="1">(+S33*T33/100)/100</f>
        <v>0.16241287861964193</v>
      </c>
      <c r="V33" s="129">
        <f>regDebt_weighted</f>
        <v>3.5860000000000003E-2</v>
      </c>
      <c r="W33" s="129">
        <f ca="1">+U33-V33</f>
        <v>0.12655287861964193</v>
      </c>
      <c r="X33" s="129">
        <f ca="1">+((W33*(1-0.34))-Pfd_weighted)/Equity_percent</f>
        <v>0.22481075549117346</v>
      </c>
      <c r="Y33" s="129">
        <f>+Y32</f>
        <v>2.5000000000000001E-3</v>
      </c>
      <c r="Z33" s="129">
        <f t="shared" ref="Z33:Z34" ca="1" si="17">+X33+Y33</f>
        <v>0.22731075549117347</v>
      </c>
      <c r="AA33" s="129">
        <f ca="1">Z33*equityP</f>
        <v>0.13203483515342473</v>
      </c>
      <c r="AB33" s="129">
        <f ca="1">+AA33/(1-taxrate)</f>
        <v>0.16713270272585409</v>
      </c>
      <c r="AC33" s="129">
        <f>debtP*Debt_Rate</f>
        <v>1.3521189462017025E-2</v>
      </c>
      <c r="AD33" s="129">
        <f ca="1">+AC33+AB33</f>
        <v>0.18065389218787112</v>
      </c>
      <c r="AE33" s="129">
        <f ca="1">+AD33/(S33/100)</f>
        <v>9.4379782983467136E-2</v>
      </c>
      <c r="AF33" s="129">
        <f ca="1">1-AE33</f>
        <v>0.90562021701653284</v>
      </c>
      <c r="AG33" s="130">
        <f ca="1">expenses/(AF33)</f>
        <v>14056425.888145847</v>
      </c>
      <c r="AH33" s="239">
        <f ca="1">+AG33-Revenue</f>
        <v>840415.14756354131</v>
      </c>
      <c r="AI33" s="131">
        <f ca="1">+AH33/$J$49</f>
        <v>954614.05604440067</v>
      </c>
      <c r="AJ33" s="131">
        <f ca="1">+AI33*$J$47</f>
        <v>24257.649126708566</v>
      </c>
      <c r="AK33" s="130">
        <f t="shared" ca="1" si="16"/>
        <v>14080683.53727</v>
      </c>
    </row>
    <row r="34" spans="1:48" ht="15.75">
      <c r="A34" s="94"/>
      <c r="B34" s="94"/>
      <c r="C34" s="94"/>
      <c r="D34" s="94"/>
      <c r="E34" s="94"/>
      <c r="F34" s="132">
        <f t="shared" si="7"/>
        <v>28</v>
      </c>
      <c r="G34" s="108"/>
      <c r="H34" s="117" t="s">
        <v>366</v>
      </c>
      <c r="I34" s="117"/>
      <c r="J34" s="175">
        <f ca="1">+(M9-M11)/J26</f>
        <v>0.28720012055184124</v>
      </c>
      <c r="K34" s="175">
        <f ca="1">+M14/J26</f>
        <v>0.22688809523595457</v>
      </c>
      <c r="L34" s="124"/>
      <c r="M34" s="124"/>
      <c r="N34" s="125"/>
      <c r="O34" s="176"/>
      <c r="P34" s="94"/>
      <c r="R34" s="134">
        <v>4</v>
      </c>
      <c r="S34" s="127">
        <f ca="1">AK29/Investment*100</f>
        <v>191.4116418550326</v>
      </c>
      <c r="T34" s="138">
        <f ca="1">EXP(y_inter4-(slope*LN(S34)))</f>
        <v>8.4850052507593468</v>
      </c>
      <c r="U34" s="129">
        <f ca="1">(+S34*T34/100)/100</f>
        <v>0.16241287861964193</v>
      </c>
      <c r="V34" s="129">
        <f>regDebt_weighted</f>
        <v>3.5860000000000003E-2</v>
      </c>
      <c r="W34" s="129">
        <f ca="1">+U34-V34</f>
        <v>0.12655287861964193</v>
      </c>
      <c r="X34" s="129">
        <f ca="1">+((W34*(1-0.34))-Pfd_weighted)/Equity_percent</f>
        <v>0.22481075549117346</v>
      </c>
      <c r="Y34" s="129">
        <f>+Y33</f>
        <v>2.5000000000000001E-3</v>
      </c>
      <c r="Z34" s="129">
        <f t="shared" ca="1" si="17"/>
        <v>0.22731075549117347</v>
      </c>
      <c r="AA34" s="129">
        <f ca="1">Z34*equityP</f>
        <v>0.13203483515342473</v>
      </c>
      <c r="AB34" s="129">
        <f ca="1">+AA34/(1-taxrate)</f>
        <v>0.16713270272585409</v>
      </c>
      <c r="AC34" s="129">
        <f>debtP*Debt_Rate</f>
        <v>1.3521189462017025E-2</v>
      </c>
      <c r="AD34" s="129">
        <f ca="1">+AC34+AB34</f>
        <v>0.18065389218787112</v>
      </c>
      <c r="AE34" s="129">
        <f ca="1">+AD34/(S34/100)</f>
        <v>9.4379782983467136E-2</v>
      </c>
      <c r="AF34" s="129">
        <f ca="1">1-AE34</f>
        <v>0.90562021701653284</v>
      </c>
      <c r="AG34" s="130">
        <f ca="1">expenses/(AF34)</f>
        <v>14056425.888145847</v>
      </c>
      <c r="AH34" s="239">
        <f ca="1">+AG34-Revenue</f>
        <v>840415.14756354131</v>
      </c>
      <c r="AI34" s="131">
        <f ca="1">+AH34/$J$49</f>
        <v>954614.05604440067</v>
      </c>
      <c r="AJ34" s="131">
        <f ca="1">+AI34*$J$47</f>
        <v>24257.649126708566</v>
      </c>
      <c r="AK34" s="130">
        <f t="shared" ca="1" si="16"/>
        <v>14080683.53727</v>
      </c>
    </row>
    <row r="35" spans="1:48" ht="15.75">
      <c r="A35" s="94"/>
      <c r="B35" s="94"/>
      <c r="C35" s="94"/>
      <c r="D35" s="94"/>
      <c r="E35" s="94"/>
      <c r="F35" s="132">
        <f t="shared" si="7"/>
        <v>29</v>
      </c>
      <c r="G35" s="108"/>
      <c r="H35" s="178" t="s">
        <v>282</v>
      </c>
      <c r="I35" s="117"/>
      <c r="J35" s="175">
        <f ca="1">+K8/K7</f>
        <v>0.90561999999999998</v>
      </c>
      <c r="K35" s="175">
        <f ca="1">+M8/M7</f>
        <v>0.90578259477255441</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9.4380000000000075E-2</v>
      </c>
      <c r="K36" s="175">
        <f ca="1">+J36</f>
        <v>9.4380000000000075E-2</v>
      </c>
      <c r="L36" s="108"/>
      <c r="M36" s="108"/>
      <c r="N36" s="125"/>
      <c r="O36" s="94"/>
      <c r="P36" s="94"/>
      <c r="R36" s="413">
        <v>1</v>
      </c>
      <c r="S36" s="404">
        <f ca="1">AK31/Investment*100</f>
        <v>191.41164185177004</v>
      </c>
      <c r="T36" s="412">
        <f ca="1">EXP(y_inter1-(slope*LN(+S36)))</f>
        <v>8.4850052508029545</v>
      </c>
      <c r="U36" s="411">
        <f ca="1">(+S36*T36/100)/100</f>
        <v>0.16241287861770831</v>
      </c>
      <c r="V36" s="411">
        <f>regDebt_weighted</f>
        <v>3.5860000000000003E-2</v>
      </c>
      <c r="W36" s="411">
        <f ca="1">+U36-V36</f>
        <v>0.12655287861770831</v>
      </c>
      <c r="X36" s="411">
        <f ca="1">+((W36*(1-0.34))-Pfd_weighted)/Equity_percent</f>
        <v>0.22481075548746363</v>
      </c>
      <c r="Y36" s="411">
        <f>+Y34</f>
        <v>2.5000000000000001E-3</v>
      </c>
      <c r="Z36" s="411">
        <f ca="1">+X36+Y36</f>
        <v>0.22731075548746363</v>
      </c>
      <c r="AA36" s="411">
        <f ca="1">Z36*equityP</f>
        <v>0.13203483515126985</v>
      </c>
      <c r="AB36" s="411">
        <f ca="1">+AA36/(1-taxrate)</f>
        <v>0.16713270272312639</v>
      </c>
      <c r="AC36" s="411">
        <f>debtP*Debt_Rate</f>
        <v>1.3521189462017025E-2</v>
      </c>
      <c r="AD36" s="411">
        <f ca="1">+AC36+AB36</f>
        <v>0.18065389218514341</v>
      </c>
      <c r="AE36" s="411">
        <f ca="1">+AD36/(S36/100)</f>
        <v>9.4379782983650767E-2</v>
      </c>
      <c r="AF36" s="411">
        <f ca="1">1-AE36</f>
        <v>0.9056202170163492</v>
      </c>
      <c r="AG36" s="408">
        <f ca="1">expenses/(AF36)</f>
        <v>14056425.888148699</v>
      </c>
      <c r="AH36" s="410">
        <f ca="1">+AG36-Revenue</f>
        <v>840415.14756639302</v>
      </c>
      <c r="AI36" s="409">
        <f ca="1">+AH36/$J$49</f>
        <v>954614.05604763981</v>
      </c>
      <c r="AJ36" s="409">
        <f ca="1">+AI36*$J$47</f>
        <v>24257.649126790875</v>
      </c>
      <c r="AK36" s="408">
        <f ca="1">ROUND(+AJ36+AG36,5)</f>
        <v>14080683.537280001</v>
      </c>
    </row>
    <row r="37" spans="1:48" ht="15.75">
      <c r="A37" s="94"/>
      <c r="B37" s="94"/>
      <c r="C37" s="94"/>
      <c r="D37" s="106"/>
      <c r="E37" s="94"/>
      <c r="F37" s="132">
        <f t="shared" si="7"/>
        <v>31</v>
      </c>
      <c r="G37" s="108"/>
      <c r="H37" s="117" t="s">
        <v>369</v>
      </c>
      <c r="I37" s="180"/>
      <c r="J37" s="181">
        <f ca="1">+S39/100</f>
        <v>1.9141164185177004</v>
      </c>
      <c r="K37" s="181">
        <f ca="1">+J37</f>
        <v>1.9141164185177004</v>
      </c>
      <c r="L37" s="108"/>
      <c r="M37" s="108"/>
      <c r="N37" s="108"/>
      <c r="O37" s="94"/>
      <c r="P37" s="94"/>
      <c r="R37" s="126">
        <v>2</v>
      </c>
      <c r="S37" s="127">
        <f ca="1">AK32/Investment*100</f>
        <v>191.41164185177004</v>
      </c>
      <c r="T37" s="136">
        <f ca="1">EXP(y_inter2-(slope*LN(+S37)))</f>
        <v>8.4850052508029545</v>
      </c>
      <c r="U37" s="129">
        <f ca="1">(+S37*T37/100)/100</f>
        <v>0.16241287861770831</v>
      </c>
      <c r="V37" s="129">
        <f>regDebt_weighted</f>
        <v>3.5860000000000003E-2</v>
      </c>
      <c r="W37" s="129">
        <f ca="1">+U37-V37</f>
        <v>0.12655287861770831</v>
      </c>
      <c r="X37" s="129">
        <f ca="1">+((W37*(1-0.34))-Pfd_weighted)/Equity_percent</f>
        <v>0.22481075548746363</v>
      </c>
      <c r="Y37" s="129">
        <f>+Y36</f>
        <v>2.5000000000000001E-3</v>
      </c>
      <c r="Z37" s="129">
        <f ca="1">+X37+Y37</f>
        <v>0.22731075548746363</v>
      </c>
      <c r="AA37" s="129">
        <f ca="1">Z37*equityP</f>
        <v>0.13203483515126985</v>
      </c>
      <c r="AB37" s="129">
        <f ca="1">+AA37/(1-taxrate)</f>
        <v>0.16713270272312639</v>
      </c>
      <c r="AC37" s="129">
        <f>debtP*Debt_Rate</f>
        <v>1.3521189462017025E-2</v>
      </c>
      <c r="AD37" s="129">
        <f ca="1">+AC37+AB37</f>
        <v>0.18065389218514341</v>
      </c>
      <c r="AE37" s="129">
        <f ca="1">+AD37/(S37/100)</f>
        <v>9.4379782983650767E-2</v>
      </c>
      <c r="AF37" s="129">
        <f ca="1">1-AE37</f>
        <v>0.9056202170163492</v>
      </c>
      <c r="AG37" s="130">
        <f ca="1">expenses/(AF37)</f>
        <v>14056425.888148699</v>
      </c>
      <c r="AH37" s="239">
        <f ca="1">+AG37-Revenue</f>
        <v>840415.14756639302</v>
      </c>
      <c r="AI37" s="131">
        <f ca="1">+AH37/$J$49</f>
        <v>954614.05604763981</v>
      </c>
      <c r="AJ37" s="131">
        <f ca="1">+AI37*$J$47</f>
        <v>24257.649126790875</v>
      </c>
      <c r="AK37" s="130">
        <f t="shared" ref="AK37:AK39" ca="1" si="18">ROUND(+AJ37+AG37,5)</f>
        <v>14080683.537280001</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191.41164185177004</v>
      </c>
      <c r="T38" s="128">
        <f ca="1">EXP(y_inter3-(slope*LN(S38)))</f>
        <v>8.4850052508029545</v>
      </c>
      <c r="U38" s="129">
        <f ca="1">(+S38*T38/100)/100</f>
        <v>0.16241287861770831</v>
      </c>
      <c r="V38" s="129">
        <f>regDebt_weighted</f>
        <v>3.5860000000000003E-2</v>
      </c>
      <c r="W38" s="129">
        <f ca="1">+U38-V38</f>
        <v>0.12655287861770831</v>
      </c>
      <c r="X38" s="129">
        <f ca="1">+((W38*(1-0.34))-Pfd_weighted)/Equity_percent</f>
        <v>0.22481075548746363</v>
      </c>
      <c r="Y38" s="129">
        <f>+Y37</f>
        <v>2.5000000000000001E-3</v>
      </c>
      <c r="Z38" s="129">
        <f t="shared" ref="Z38:Z39" ca="1" si="19">+X38+Y38</f>
        <v>0.22731075548746363</v>
      </c>
      <c r="AA38" s="129">
        <f ca="1">Z38*equityP</f>
        <v>0.13203483515126985</v>
      </c>
      <c r="AB38" s="129">
        <f ca="1">+AA38/(1-taxrate)</f>
        <v>0.16713270272312639</v>
      </c>
      <c r="AC38" s="129">
        <f>debtP*Debt_Rate</f>
        <v>1.3521189462017025E-2</v>
      </c>
      <c r="AD38" s="129">
        <f ca="1">+AC38+AB38</f>
        <v>0.18065389218514341</v>
      </c>
      <c r="AE38" s="129">
        <f ca="1">+AD38/(S38/100)</f>
        <v>9.4379782983650767E-2</v>
      </c>
      <c r="AF38" s="129">
        <f ca="1">1-AE38</f>
        <v>0.9056202170163492</v>
      </c>
      <c r="AG38" s="130">
        <f ca="1">expenses/(AF38)</f>
        <v>14056425.888148699</v>
      </c>
      <c r="AH38" s="239">
        <f ca="1">+AG38-Revenue</f>
        <v>840415.14756639302</v>
      </c>
      <c r="AI38" s="131">
        <f ca="1">+AH38/$J$49</f>
        <v>954614.05604763981</v>
      </c>
      <c r="AJ38" s="131">
        <f ca="1">+AI38*$J$47</f>
        <v>24257.649126790875</v>
      </c>
      <c r="AK38" s="130">
        <f t="shared" ca="1" si="18"/>
        <v>14080683.537280001</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191.41164185177004</v>
      </c>
      <c r="T39" s="138">
        <f ca="1">EXP(y_inter4-(slope*LN(S39)))</f>
        <v>8.4850052508029545</v>
      </c>
      <c r="U39" s="129">
        <f ca="1">(+S39*T39/100)/100</f>
        <v>0.16241287861770831</v>
      </c>
      <c r="V39" s="129">
        <f>regDebt_weighted</f>
        <v>3.5860000000000003E-2</v>
      </c>
      <c r="W39" s="129">
        <f ca="1">+U39-V39</f>
        <v>0.12655287861770831</v>
      </c>
      <c r="X39" s="129">
        <f ca="1">+((W39*(1-0.34))-Pfd_weighted)/Equity_percent</f>
        <v>0.22481075548746363</v>
      </c>
      <c r="Y39" s="129">
        <f>+Y38</f>
        <v>2.5000000000000001E-3</v>
      </c>
      <c r="Z39" s="129">
        <f t="shared" ca="1" si="19"/>
        <v>0.22731075548746363</v>
      </c>
      <c r="AA39" s="129">
        <f ca="1">Z39*equityP</f>
        <v>0.13203483515126985</v>
      </c>
      <c r="AB39" s="129">
        <f ca="1">+AA39/(1-taxrate)</f>
        <v>0.16713270272312639</v>
      </c>
      <c r="AC39" s="129">
        <f>debtP*Debt_Rate</f>
        <v>1.3521189462017025E-2</v>
      </c>
      <c r="AD39" s="129">
        <f ca="1">+AC39+AB39</f>
        <v>0.18065389218514341</v>
      </c>
      <c r="AE39" s="129">
        <f ca="1">+AD39/(S39/100)</f>
        <v>9.4379782983650767E-2</v>
      </c>
      <c r="AF39" s="129">
        <f ca="1">1-AE39</f>
        <v>0.9056202170163492</v>
      </c>
      <c r="AG39" s="130">
        <f ca="1">expenses/(AF39)</f>
        <v>14056425.888148699</v>
      </c>
      <c r="AH39" s="239">
        <f ca="1">+AG39-Revenue</f>
        <v>840415.14756639302</v>
      </c>
      <c r="AI39" s="131">
        <f ca="1">+AH39/$J$49</f>
        <v>954614.05604763981</v>
      </c>
      <c r="AJ39" s="131">
        <f ca="1">+AI39*$J$47</f>
        <v>24257.649126790875</v>
      </c>
      <c r="AK39" s="130">
        <f t="shared" ca="1" si="18"/>
        <v>14080683.537280001</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16705.812937428287</v>
      </c>
      <c r="L43" s="108"/>
      <c r="M43" s="108"/>
      <c r="N43" s="108"/>
      <c r="O43" s="94"/>
      <c r="P43" s="94"/>
      <c r="R43" s="133">
        <v>0</v>
      </c>
      <c r="S43" s="191">
        <v>1</v>
      </c>
      <c r="T43" s="151"/>
      <c r="U43" s="192" t="s">
        <v>368</v>
      </c>
      <c r="V43" s="193">
        <f ca="1">VLOOKUP(R48,R36:AG39,14)</f>
        <v>9.4379782983650767E-2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4868.5511989076722</v>
      </c>
      <c r="L44" s="108"/>
      <c r="M44" s="108"/>
      <c r="N44" s="108"/>
      <c r="O44" s="94"/>
      <c r="P44" s="94"/>
      <c r="R44" s="133">
        <v>50</v>
      </c>
      <c r="S44" s="191">
        <v>2</v>
      </c>
      <c r="T44" s="151"/>
      <c r="U44" s="192" t="s">
        <v>282</v>
      </c>
      <c r="V44" s="193">
        <f ca="1">ROUND(1-V43,6)</f>
        <v>0.90561999999999998</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6.542641945990324E-2</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2683.3822150613555</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24257.746351397316</v>
      </c>
      <c r="L47" s="108"/>
      <c r="M47" s="108"/>
      <c r="N47" s="108"/>
      <c r="O47" s="94"/>
      <c r="P47" s="94"/>
      <c r="R47" s="404">
        <f ca="1">VLOOKUP(R48,R36:S39,2)</f>
        <v>191.41164185177004</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0.88037164573706239</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0.90561999999999998</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0.18034312664298127</v>
      </c>
      <c r="Z62" s="193">
        <f t="shared" ca="1" si="20"/>
        <v>0.14531051983497878</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0.28720012055184124</v>
      </c>
      <c r="Z63" s="193">
        <f t="shared" ca="1" si="20"/>
        <v>0.22688809523595457</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0.90561999999999998</v>
      </c>
      <c r="Z64" s="193">
        <f t="shared" ca="1" si="20"/>
        <v>0.90578259477255441</v>
      </c>
      <c r="AE64" s="161"/>
      <c r="AF64" s="161"/>
      <c r="AG64" s="162"/>
      <c r="AH64" s="160"/>
      <c r="AJ64" s="162"/>
    </row>
    <row r="65" spans="8:40">
      <c r="H65" s="160"/>
      <c r="I65" s="160"/>
      <c r="J65" s="160"/>
      <c r="K65" s="160"/>
      <c r="L65" s="160"/>
      <c r="M65" s="160"/>
      <c r="N65" s="160"/>
      <c r="O65" s="160"/>
      <c r="R65" s="104"/>
      <c r="W65" s="105"/>
      <c r="X65" s="192" t="s">
        <v>368</v>
      </c>
      <c r="Y65" s="193">
        <f t="shared" ca="1" si="20"/>
        <v>9.4380000000000075E-2</v>
      </c>
      <c r="Z65" s="193">
        <f t="shared" ca="1" si="20"/>
        <v>9.4380000000000075E-2</v>
      </c>
      <c r="AE65" s="161"/>
      <c r="AH65" s="160"/>
      <c r="AJ65" s="162"/>
      <c r="AN65" s="160"/>
    </row>
    <row r="66" spans="8:40">
      <c r="H66" s="160"/>
      <c r="I66" s="160"/>
      <c r="J66" s="160"/>
      <c r="K66" s="160"/>
      <c r="L66" s="160"/>
      <c r="M66" s="160"/>
      <c r="N66" s="160"/>
      <c r="O66" s="160"/>
      <c r="R66" s="104"/>
      <c r="S66" s="228"/>
      <c r="W66" s="105"/>
      <c r="X66" s="192" t="s">
        <v>369</v>
      </c>
      <c r="Y66" s="193">
        <f t="shared" ca="1" si="20"/>
        <v>1.9141164185177004</v>
      </c>
      <c r="Z66" s="193">
        <f t="shared" ca="1" si="20"/>
        <v>1.9141164185177004</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0" orientation="portrait" r:id="rId1"/>
  <headerFooter alignWithMargins="0"/>
  <drawing r:id="rId2"/>
  <legacyDrawing r:id="rId3"/>
  <controls>
    <mc:AlternateContent xmlns:mc="http://schemas.openxmlformats.org/markup-compatibility/2006">
      <mc:Choice Requires="x14">
        <control shapeId="960513"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960513" r:id="rId4" name="DataCompleted"/>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8" tint="0.59999389629810485"/>
  </sheetPr>
  <dimension ref="A1:AV112"/>
  <sheetViews>
    <sheetView showGridLines="0" showOutlineSymbols="0" view="pageBreakPreview" zoomScale="60" zoomScaleNormal="7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21.28515625" style="139" hidden="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17.285156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(C)'!H41</f>
        <v>388521.38905054366</v>
      </c>
      <c r="D5" s="112"/>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(C)'!H327</f>
        <v>497506.13471483655</v>
      </c>
      <c r="D6" s="112"/>
      <c r="E6" s="94"/>
      <c r="F6" s="120" t="s">
        <v>332</v>
      </c>
      <c r="G6" s="117"/>
      <c r="H6" s="117"/>
      <c r="I6" s="121"/>
      <c r="J6" s="122" t="s">
        <v>333</v>
      </c>
      <c r="K6" s="123"/>
      <c r="L6" s="122" t="s">
        <v>334</v>
      </c>
      <c r="M6" s="122" t="s">
        <v>335</v>
      </c>
      <c r="O6" s="106"/>
      <c r="P6" s="95"/>
      <c r="R6" s="413">
        <v>1</v>
      </c>
      <c r="S6" s="404">
        <f>Revenue/Investment*100</f>
        <v>152.6122741706593</v>
      </c>
      <c r="T6" s="412">
        <f>EXP(y_inter1-(slope*LN(+S6)))</f>
        <v>9.0847937210318186</v>
      </c>
      <c r="U6" s="411">
        <f>(+S6*T6/100)/100</f>
        <v>0.1386451030137992</v>
      </c>
      <c r="V6" s="411">
        <f>regDebt_weighted</f>
        <v>3.5860000000000003E-2</v>
      </c>
      <c r="W6" s="411">
        <f>+U6-V6</f>
        <v>0.1027851030137992</v>
      </c>
      <c r="X6" s="411">
        <f>+((W6*(1-0.34))-Pfd_weighted)/Equity_percent</f>
        <v>0.17920979066601009</v>
      </c>
      <c r="Y6" s="411">
        <f>+C15</f>
        <v>2.5000000000000001E-3</v>
      </c>
      <c r="Z6" s="411">
        <f>+X6+Y6</f>
        <v>0.18170979066601009</v>
      </c>
      <c r="AA6" s="411">
        <f>Z6*equityP</f>
        <v>0.10554723732499131</v>
      </c>
      <c r="AB6" s="411">
        <f>+AA6/(1-taxrate)</f>
        <v>0.13360409787973584</v>
      </c>
      <c r="AC6" s="411">
        <f>debtP*Debt_Rate</f>
        <v>1.3521189462017025E-2</v>
      </c>
      <c r="AD6" s="411">
        <f>AC6+AB6</f>
        <v>0.14712528734175287</v>
      </c>
      <c r="AE6" s="411">
        <f>AD6/(S6/100)</f>
        <v>9.6404622853093327E-2</v>
      </c>
      <c r="AF6" s="411">
        <f>1-AE6</f>
        <v>0.90359537714690663</v>
      </c>
      <c r="AG6" s="408">
        <f>expenses/(AF6)</f>
        <v>550585.08188223268</v>
      </c>
      <c r="AH6" s="410">
        <f>+AG6-Revenue</f>
        <v>162063.69283168903</v>
      </c>
      <c r="AI6" s="409">
        <f ca="1">+AH6/$J$49</f>
        <v>183650.7923674926</v>
      </c>
      <c r="AJ6" s="409">
        <f ca="1">+AI6*$J$47</f>
        <v>4666.7409251780773</v>
      </c>
      <c r="AK6" s="408">
        <f ca="1">ROUND(+AJ6+AG6,5)</f>
        <v>555251.82281000004</v>
      </c>
    </row>
    <row r="7" spans="1:37" ht="15.75">
      <c r="A7" s="94"/>
      <c r="B7" s="115" t="s">
        <v>292</v>
      </c>
      <c r="C7" s="238">
        <f>+'Yakima LOB (C)'!H334</f>
        <v>254580.69553178799</v>
      </c>
      <c r="D7" s="112"/>
      <c r="E7" s="94"/>
      <c r="F7" s="415">
        <v>1</v>
      </c>
      <c r="G7" s="117"/>
      <c r="H7" s="124" t="s">
        <v>318</v>
      </c>
      <c r="I7" s="125">
        <f>IF(A64=TRUE,C5,0)</f>
        <v>388521.38905054366</v>
      </c>
      <c r="J7" s="125">
        <f ca="1">(+$I8/($R50))-I7</f>
        <v>159940.7143003107</v>
      </c>
      <c r="K7" s="125">
        <f ca="1">+I7+J7</f>
        <v>548462.10335085436</v>
      </c>
      <c r="L7" s="125">
        <f ca="1">((+J7/J49*K35)-J7)</f>
        <v>4605.6082271471387</v>
      </c>
      <c r="M7" s="125">
        <f ca="1">IFERROR(+K7+L7,0.00001)</f>
        <v>553067.7115780015</v>
      </c>
      <c r="O7" s="106"/>
      <c r="P7" s="95"/>
      <c r="R7" s="126">
        <v>2</v>
      </c>
      <c r="S7" s="127">
        <f>Revenue/Investment*100</f>
        <v>152.6122741706593</v>
      </c>
      <c r="T7" s="128">
        <f>EXP(y_inter1-(slope*LN(+S7)))</f>
        <v>9.0847937210318186</v>
      </c>
      <c r="U7" s="129">
        <f t="shared" ref="U7:U9" si="0">(+S7*T7/100)/100</f>
        <v>0.1386451030137992</v>
      </c>
      <c r="V7" s="129">
        <f>regDebt_weighted</f>
        <v>3.5860000000000003E-2</v>
      </c>
      <c r="W7" s="129">
        <f t="shared" ref="W7:W9" si="1">+U7-V7</f>
        <v>0.1027851030137992</v>
      </c>
      <c r="X7" s="129">
        <f>+((W7*(1-0.34))-Pfd_weighted)/Equity_percent</f>
        <v>0.17920979066601009</v>
      </c>
      <c r="Y7" s="129">
        <f>+Y6</f>
        <v>2.5000000000000001E-3</v>
      </c>
      <c r="Z7" s="129">
        <f>+X7+Y7</f>
        <v>0.18170979066601009</v>
      </c>
      <c r="AA7" s="129">
        <f>Z7*equityP</f>
        <v>0.10554723732499131</v>
      </c>
      <c r="AB7" s="129">
        <f>+AA7/(1-taxrate)</f>
        <v>0.13360409787973584</v>
      </c>
      <c r="AC7" s="129">
        <f>debtP*Debt_Rate</f>
        <v>1.3521189462017025E-2</v>
      </c>
      <c r="AD7" s="129">
        <f t="shared" ref="AD7:AD9" si="2">AC7+AB7</f>
        <v>0.14712528734175287</v>
      </c>
      <c r="AE7" s="129">
        <f t="shared" ref="AE7:AE9" si="3">AD7/(S7/100)</f>
        <v>9.6404622853093327E-2</v>
      </c>
      <c r="AF7" s="129">
        <f t="shared" ref="AF7:AF9" si="4">1-AE7</f>
        <v>0.90359537714690663</v>
      </c>
      <c r="AG7" s="130">
        <f>expenses/(AF7)</f>
        <v>550585.08188223268</v>
      </c>
      <c r="AH7" s="239">
        <f>+AG7-Revenue</f>
        <v>162063.69283168903</v>
      </c>
      <c r="AI7" s="131">
        <f ca="1">+AH7/$J$49</f>
        <v>183650.7923674926</v>
      </c>
      <c r="AJ7" s="131">
        <f ca="1">+AI7*$J$47</f>
        <v>4666.7409251780773</v>
      </c>
      <c r="AK7" s="130">
        <f t="shared" ref="AK7:AK9" ca="1" si="5">ROUND(+AJ7+AG7,5)</f>
        <v>555251.82281000004</v>
      </c>
    </row>
    <row r="8" spans="1:37" ht="15.75">
      <c r="A8" s="94"/>
      <c r="B8" s="115" t="s">
        <v>336</v>
      </c>
      <c r="C8" s="453">
        <f>+'Corp BS &amp; IS'!$K$5</f>
        <v>0.41914391658184569</v>
      </c>
      <c r="D8" s="112"/>
      <c r="E8" s="94"/>
      <c r="F8" s="132">
        <f>+F7+1</f>
        <v>2</v>
      </c>
      <c r="G8" s="117"/>
      <c r="H8" s="124" t="s">
        <v>331</v>
      </c>
      <c r="I8" s="125">
        <f>IF(A64=TRUE,C6,0)</f>
        <v>497506.13471483655</v>
      </c>
      <c r="J8" s="108"/>
      <c r="K8" s="125">
        <f>+I8</f>
        <v>497506.13471483655</v>
      </c>
      <c r="L8" s="125">
        <f ca="1">+L7</f>
        <v>4605.6082271471387</v>
      </c>
      <c r="M8" s="125">
        <f ca="1">IFERROR(+K8+L8,0.00001)</f>
        <v>502111.74294198368</v>
      </c>
      <c r="O8" s="106"/>
      <c r="P8" s="95"/>
      <c r="R8" s="133">
        <v>3</v>
      </c>
      <c r="S8" s="127">
        <f>Revenue/Investment*100</f>
        <v>152.6122741706593</v>
      </c>
      <c r="T8" s="128">
        <f>EXP(y_inter1-(slope*LN(+S8)))</f>
        <v>9.0847937210318186</v>
      </c>
      <c r="U8" s="129">
        <f t="shared" si="0"/>
        <v>0.1386451030137992</v>
      </c>
      <c r="V8" s="129">
        <f>regDebt_weighted</f>
        <v>3.5860000000000003E-2</v>
      </c>
      <c r="W8" s="129">
        <f t="shared" si="1"/>
        <v>0.1027851030137992</v>
      </c>
      <c r="X8" s="129">
        <f>+((W8*(1-0.34))-Pfd_weighted)/Equity_percent</f>
        <v>0.17920979066601009</v>
      </c>
      <c r="Y8" s="129">
        <f>+Y7</f>
        <v>2.5000000000000001E-3</v>
      </c>
      <c r="Z8" s="129">
        <f t="shared" ref="Z8:Z9" si="6">+X8+Y8</f>
        <v>0.18170979066601009</v>
      </c>
      <c r="AA8" s="129">
        <f>Z8*equityP</f>
        <v>0.10554723732499131</v>
      </c>
      <c r="AB8" s="129">
        <f>+AA8/(1-taxrate)</f>
        <v>0.13360409787973584</v>
      </c>
      <c r="AC8" s="129">
        <f>debtP*Debt_Rate</f>
        <v>1.3521189462017025E-2</v>
      </c>
      <c r="AD8" s="129">
        <f t="shared" si="2"/>
        <v>0.14712528734175287</v>
      </c>
      <c r="AE8" s="129">
        <f t="shared" si="3"/>
        <v>9.6404622853093327E-2</v>
      </c>
      <c r="AF8" s="129">
        <f t="shared" si="4"/>
        <v>0.90359537714690663</v>
      </c>
      <c r="AG8" s="130">
        <f>expenses/(AF8)</f>
        <v>550585.08188223268</v>
      </c>
      <c r="AH8" s="239">
        <f>+AG8-Revenue</f>
        <v>162063.69283168903</v>
      </c>
      <c r="AI8" s="131">
        <f ca="1">+AH8/$J$49</f>
        <v>183650.7923674926</v>
      </c>
      <c r="AJ8" s="131">
        <f ca="1">+AI8*$J$47</f>
        <v>4666.7409251780773</v>
      </c>
      <c r="AK8" s="130">
        <f t="shared" ca="1" si="5"/>
        <v>555251.82281000004</v>
      </c>
    </row>
    <row r="9" spans="1:37" ht="15.75">
      <c r="A9" s="94"/>
      <c r="B9" s="115" t="s">
        <v>337</v>
      </c>
      <c r="C9" s="453">
        <f>+'Corp BS &amp; IS'!$J$14</f>
        <v>3.2259061690035909E-2</v>
      </c>
      <c r="D9" s="112"/>
      <c r="E9" s="94"/>
      <c r="F9" s="132">
        <f t="shared" ref="F9:F49" si="7">+F8+1</f>
        <v>3</v>
      </c>
      <c r="G9" s="117"/>
      <c r="H9" s="124" t="s">
        <v>338</v>
      </c>
      <c r="I9" s="454">
        <f>+I7-I8</f>
        <v>-108984.74566429289</v>
      </c>
      <c r="J9" s="108"/>
      <c r="K9" s="454">
        <f ca="1">+K7-K8</f>
        <v>50955.968636017817</v>
      </c>
      <c r="L9" s="117"/>
      <c r="M9" s="455">
        <f ca="1">+M7-M8</f>
        <v>50955.968636017817</v>
      </c>
      <c r="O9" s="106"/>
      <c r="P9" s="95"/>
      <c r="R9" s="134">
        <v>4</v>
      </c>
      <c r="S9" s="127">
        <f>Revenue/Investment*100</f>
        <v>152.6122741706593</v>
      </c>
      <c r="T9" s="128">
        <f>EXP(y_inter1-(slope*LN(+S9)))</f>
        <v>9.0847937210318186</v>
      </c>
      <c r="U9" s="129">
        <f t="shared" si="0"/>
        <v>0.1386451030137992</v>
      </c>
      <c r="V9" s="129">
        <f>regDebt_weighted</f>
        <v>3.5860000000000003E-2</v>
      </c>
      <c r="W9" s="129">
        <f t="shared" si="1"/>
        <v>0.1027851030137992</v>
      </c>
      <c r="X9" s="129">
        <f>+((W9*(1-0.34))-Pfd_weighted)/Equity_percent</f>
        <v>0.17920979066601009</v>
      </c>
      <c r="Y9" s="129">
        <f>+Y8</f>
        <v>2.5000000000000001E-3</v>
      </c>
      <c r="Z9" s="129">
        <f t="shared" si="6"/>
        <v>0.18170979066601009</v>
      </c>
      <c r="AA9" s="129">
        <f>Z9*equityP</f>
        <v>0.10554723732499131</v>
      </c>
      <c r="AB9" s="129">
        <f>+AA9/(1-taxrate)</f>
        <v>0.13360409787973584</v>
      </c>
      <c r="AC9" s="129">
        <f>debtP*Debt_Rate</f>
        <v>1.3521189462017025E-2</v>
      </c>
      <c r="AD9" s="129">
        <f t="shared" si="2"/>
        <v>0.14712528734175287</v>
      </c>
      <c r="AE9" s="129">
        <f t="shared" si="3"/>
        <v>9.6404622853093327E-2</v>
      </c>
      <c r="AF9" s="129">
        <f t="shared" si="4"/>
        <v>0.90359537714690663</v>
      </c>
      <c r="AG9" s="130">
        <f>expenses/(AF9)</f>
        <v>550585.08188223268</v>
      </c>
      <c r="AH9" s="239">
        <f>+AG9-Revenue</f>
        <v>162063.69283168903</v>
      </c>
      <c r="AI9" s="131">
        <f ca="1">+AH9/$J$49</f>
        <v>183650.7923674926</v>
      </c>
      <c r="AJ9" s="131">
        <f ca="1">+AI9*$J$47</f>
        <v>4666.7409251780773</v>
      </c>
      <c r="AK9" s="130">
        <f t="shared" ca="1" si="5"/>
        <v>555251.82281000004</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3442.2338176573762</v>
      </c>
      <c r="J11" s="108"/>
      <c r="K11" s="125">
        <f>+M27</f>
        <v>3442.2338176573762</v>
      </c>
      <c r="L11" s="117"/>
      <c r="M11" s="125">
        <f>+K11</f>
        <v>3442.2338176573762</v>
      </c>
      <c r="O11" s="106"/>
      <c r="P11" s="94"/>
      <c r="R11" s="413">
        <v>1</v>
      </c>
      <c r="S11" s="404">
        <f ca="1">IF((AK6/Investment*100)&gt;0,(AK6/Investment*100),0)</f>
        <v>218.10444882717709</v>
      </c>
      <c r="T11" s="412">
        <f ca="1">EXP(y_inter1-(slope*LN(S11)))</f>
        <v>8.1575027003755363</v>
      </c>
      <c r="U11" s="411">
        <f ca="1">(+S11*T11/100)/100</f>
        <v>0.1779187630271615</v>
      </c>
      <c r="V11" s="411">
        <f>regDebt_weighted</f>
        <v>3.5860000000000003E-2</v>
      </c>
      <c r="W11" s="411">
        <f ca="1">+U11-V11</f>
        <v>0.1420587630271615</v>
      </c>
      <c r="X11" s="411">
        <f ca="1">+((W11*(1-0.34))-Pfd_weighted)/Equity_percent</f>
        <v>0.25456041743583313</v>
      </c>
      <c r="Y11" s="411">
        <f>+Y9</f>
        <v>2.5000000000000001E-3</v>
      </c>
      <c r="Z11" s="411">
        <f ca="1">+X11+Y11</f>
        <v>0.25706041743583313</v>
      </c>
      <c r="AA11" s="411">
        <f ca="1">Z11*equityP</f>
        <v>0.14931510727361386</v>
      </c>
      <c r="AB11" s="411">
        <f ca="1">+AA11/(1-taxrate)</f>
        <v>0.18900646490330866</v>
      </c>
      <c r="AC11" s="411">
        <f>debtP*Debt_Rate</f>
        <v>1.3521189462017025E-2</v>
      </c>
      <c r="AD11" s="411">
        <f ca="1">+AC11+AB11</f>
        <v>0.20252765436532569</v>
      </c>
      <c r="AE11" s="411">
        <f ca="1">+AD11/(S11/100)</f>
        <v>9.2858103286928256E-2</v>
      </c>
      <c r="AF11" s="411">
        <f ca="1">1-AE11</f>
        <v>0.90714189671307177</v>
      </c>
      <c r="AG11" s="408">
        <f ca="1">expenses/(AF11)</f>
        <v>548432.54017645412</v>
      </c>
      <c r="AH11" s="410">
        <f ca="1">+AG11-Revenue</f>
        <v>159911.15112591046</v>
      </c>
      <c r="AI11" s="409">
        <f ca="1">+AH11/$J$49</f>
        <v>181211.52924221716</v>
      </c>
      <c r="AJ11" s="409">
        <f ca="1">+AI11*$J$47</f>
        <v>4604.7569342175484</v>
      </c>
      <c r="AK11" s="408">
        <f ca="1">ROUND(+AJ11+AG11,5)</f>
        <v>553037.29711000004</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9977.8843118556924</v>
      </c>
      <c r="L12" s="117"/>
      <c r="M12" s="125">
        <f ca="1">+K12</f>
        <v>9977.8843118556924</v>
      </c>
      <c r="O12" s="106"/>
      <c r="P12" s="94"/>
      <c r="R12" s="126">
        <v>2</v>
      </c>
      <c r="S12" s="127">
        <f ca="1">IF((AK7/Investment*100)&gt;0,(AK7/Investment*100),0)</f>
        <v>218.10444882717709</v>
      </c>
      <c r="T12" s="136">
        <f ca="1">EXP(y_inter2-(slope*LN(+S12)))</f>
        <v>8.1575027003755363</v>
      </c>
      <c r="U12" s="129">
        <f ca="1">(+S12*T12/100)/100</f>
        <v>0.1779187630271615</v>
      </c>
      <c r="V12" s="129">
        <f>regDebt_weighted</f>
        <v>3.5860000000000003E-2</v>
      </c>
      <c r="W12" s="129">
        <f ca="1">+U12-V12</f>
        <v>0.1420587630271615</v>
      </c>
      <c r="X12" s="129">
        <f ca="1">+((W12*(1-0.34))-Pfd_weighted)/Equity_percent</f>
        <v>0.25456041743583313</v>
      </c>
      <c r="Y12" s="129">
        <f>+Y11</f>
        <v>2.5000000000000001E-3</v>
      </c>
      <c r="Z12" s="129">
        <f ca="1">+X12+Y12</f>
        <v>0.25706041743583313</v>
      </c>
      <c r="AA12" s="129">
        <f ca="1">Z12*equityP</f>
        <v>0.14931510727361386</v>
      </c>
      <c r="AB12" s="129">
        <f ca="1">+AA12/(1-taxrate)</f>
        <v>0.18900646490330866</v>
      </c>
      <c r="AC12" s="129">
        <f>debtP*Debt_Rate</f>
        <v>1.3521189462017025E-2</v>
      </c>
      <c r="AD12" s="129">
        <f ca="1">+AC12+AB12</f>
        <v>0.20252765436532569</v>
      </c>
      <c r="AE12" s="129">
        <f ca="1">+AD12/(S12/100)</f>
        <v>9.2858103286928256E-2</v>
      </c>
      <c r="AF12" s="129">
        <f ca="1">1-AE12</f>
        <v>0.90714189671307177</v>
      </c>
      <c r="AG12" s="130">
        <f ca="1">expenses/(AF12)</f>
        <v>548432.54017645412</v>
      </c>
      <c r="AH12" s="239">
        <f ca="1">+AG12-Revenue</f>
        <v>159911.15112591046</v>
      </c>
      <c r="AI12" s="131">
        <f ca="1">+AH12/$J$49</f>
        <v>181211.52924221716</v>
      </c>
      <c r="AJ12" s="131">
        <f ca="1">+AI12*$J$47</f>
        <v>4604.7569342175484</v>
      </c>
      <c r="AK12" s="130">
        <f t="shared" ref="AK12:AK14" ca="1" si="8">ROUND(+AJ12+AG12,5)</f>
        <v>553037.29711000004</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218.10444882717709</v>
      </c>
      <c r="T13" s="128">
        <f ca="1">EXP(y_inter3-(slope*LN(S13)))</f>
        <v>8.1575027003755363</v>
      </c>
      <c r="U13" s="129">
        <f ca="1">(+S13*T13/100)/100</f>
        <v>0.1779187630271615</v>
      </c>
      <c r="V13" s="129">
        <f>regDebt_weighted</f>
        <v>3.5860000000000003E-2</v>
      </c>
      <c r="W13" s="129">
        <f ca="1">+U13-V13</f>
        <v>0.1420587630271615</v>
      </c>
      <c r="X13" s="129">
        <f ca="1">+((W13*(1-0.34))-Pfd_weighted)/Equity_percent</f>
        <v>0.25456041743583313</v>
      </c>
      <c r="Y13" s="129">
        <f>+Y12</f>
        <v>2.5000000000000001E-3</v>
      </c>
      <c r="Z13" s="129">
        <f t="shared" ref="Z13:Z14" ca="1" si="9">+X13+Y13</f>
        <v>0.25706041743583313</v>
      </c>
      <c r="AA13" s="129">
        <f ca="1">Z13*equityP</f>
        <v>0.14931510727361386</v>
      </c>
      <c r="AB13" s="129">
        <f ca="1">+AA13/(1-taxrate)</f>
        <v>0.18900646490330866</v>
      </c>
      <c r="AC13" s="129">
        <f>debtP*Debt_Rate</f>
        <v>1.3521189462017025E-2</v>
      </c>
      <c r="AD13" s="129">
        <f ca="1">+AC13+AB13</f>
        <v>0.20252765436532569</v>
      </c>
      <c r="AE13" s="129">
        <f ca="1">+AD13/(S13/100)</f>
        <v>9.2858103286928256E-2</v>
      </c>
      <c r="AF13" s="129">
        <f ca="1">1-AE13</f>
        <v>0.90714189671307177</v>
      </c>
      <c r="AG13" s="130">
        <f ca="1">expenses/(AF13)</f>
        <v>548432.54017645412</v>
      </c>
      <c r="AH13" s="239">
        <f ca="1">+AG13-Revenue</f>
        <v>159911.15112591046</v>
      </c>
      <c r="AI13" s="131">
        <f ca="1">+AH13/$J$49</f>
        <v>181211.52924221716</v>
      </c>
      <c r="AJ13" s="131">
        <f ca="1">+AI13*$J$47</f>
        <v>4604.7569342175484</v>
      </c>
      <c r="AK13" s="130">
        <f t="shared" ca="1" si="8"/>
        <v>553037.29711000004</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37535.85050650475</v>
      </c>
      <c r="L14" s="117"/>
      <c r="M14" s="284">
        <f ca="1">+M9-SUM(M11:M13)</f>
        <v>37535.85050650475</v>
      </c>
      <c r="O14" s="106"/>
      <c r="P14" s="94"/>
      <c r="R14" s="134">
        <v>4</v>
      </c>
      <c r="S14" s="127">
        <f ca="1">IF((AK9/Investment*100)&gt;0,(AK9/Investment*100),0)</f>
        <v>218.10444882717709</v>
      </c>
      <c r="T14" s="138">
        <f ca="1">EXP(y_inter4-(slope*LN(S14)))</f>
        <v>8.1575027003755363</v>
      </c>
      <c r="U14" s="129">
        <f ca="1">(+S14*T14/100)/100</f>
        <v>0.1779187630271615</v>
      </c>
      <c r="V14" s="129">
        <f>regDebt_weighted</f>
        <v>3.5860000000000003E-2</v>
      </c>
      <c r="W14" s="129">
        <f ca="1">+U14-V14</f>
        <v>0.1420587630271615</v>
      </c>
      <c r="X14" s="129">
        <f ca="1">+((W14*(1-0.34))-Pfd_weighted)/Equity_percent</f>
        <v>0.25456041743583313</v>
      </c>
      <c r="Y14" s="129">
        <f>+Y13</f>
        <v>2.5000000000000001E-3</v>
      </c>
      <c r="Z14" s="129">
        <f t="shared" ca="1" si="9"/>
        <v>0.25706041743583313</v>
      </c>
      <c r="AA14" s="129">
        <f ca="1">Z14*equityP</f>
        <v>0.14931510727361386</v>
      </c>
      <c r="AB14" s="129">
        <f ca="1">+AA14/(1-taxrate)</f>
        <v>0.18900646490330866</v>
      </c>
      <c r="AC14" s="129">
        <f>debtP*Debt_Rate</f>
        <v>1.3521189462017025E-2</v>
      </c>
      <c r="AD14" s="129">
        <f ca="1">+AC14+AB14</f>
        <v>0.20252765436532569</v>
      </c>
      <c r="AE14" s="129">
        <f ca="1">+AD14/(S14/100)</f>
        <v>9.2858103286928256E-2</v>
      </c>
      <c r="AF14" s="129">
        <f ca="1">1-AE14</f>
        <v>0.90714189671307177</v>
      </c>
      <c r="AG14" s="130">
        <f ca="1">expenses/(AF14)</f>
        <v>548432.54017645412</v>
      </c>
      <c r="AH14" s="239">
        <f ca="1">+AG14-Revenue</f>
        <v>159911.15112591046</v>
      </c>
      <c r="AI14" s="131">
        <f ca="1">+AH14/$J$49</f>
        <v>181211.52924221716</v>
      </c>
      <c r="AJ14" s="131">
        <f ca="1">+AI14*$J$47</f>
        <v>4604.7569342175484</v>
      </c>
      <c r="AK14" s="130">
        <f t="shared" ca="1" si="8"/>
        <v>553037.29711000004</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1.2805115721701354</v>
      </c>
      <c r="J16" s="142"/>
      <c r="K16" s="141">
        <f ca="1">+K8/K7</f>
        <v>0.90709300000000004</v>
      </c>
      <c r="L16" s="143"/>
      <c r="M16" s="141">
        <f ca="1">+M8/M7</f>
        <v>0.90786667243576502</v>
      </c>
      <c r="O16" s="106"/>
      <c r="P16" s="94"/>
      <c r="R16" s="413">
        <v>1</v>
      </c>
      <c r="S16" s="404">
        <f ca="1">AK11/Investment*100</f>
        <v>217.23457701880054</v>
      </c>
      <c r="T16" s="412">
        <f ca="1">EXP(y_inter1-(slope*LN(+S16)))</f>
        <v>8.1673380467055292</v>
      </c>
      <c r="U16" s="411">
        <f ca="1">(+S16*T16/100)/100</f>
        <v>0.17742282259456321</v>
      </c>
      <c r="V16" s="411">
        <f>regDebt_weighted</f>
        <v>3.5860000000000003E-2</v>
      </c>
      <c r="W16" s="411">
        <f ca="1">+U16-V16</f>
        <v>0.14156282259456321</v>
      </c>
      <c r="X16" s="411">
        <f ca="1">+((W16*(1-0.34))-Pfd_weighted)/Equity_percent</f>
        <v>0.25360890381515033</v>
      </c>
      <c r="Y16" s="411">
        <f>+Y14</f>
        <v>2.5000000000000001E-3</v>
      </c>
      <c r="Z16" s="411">
        <f ca="1">+X16+Y16</f>
        <v>0.25610890381515033</v>
      </c>
      <c r="AA16" s="411">
        <f ca="1">Z16*equityP</f>
        <v>0.14876241479858501</v>
      </c>
      <c r="AB16" s="411">
        <f ca="1">+AA16/(1-taxrate)</f>
        <v>0.18830685417542406</v>
      </c>
      <c r="AC16" s="411">
        <f>debtP*Debt_Rate</f>
        <v>1.3521189462017025E-2</v>
      </c>
      <c r="AD16" s="411">
        <f ca="1">+AC16+AB16</f>
        <v>0.20182804363744108</v>
      </c>
      <c r="AE16" s="411">
        <f ca="1">+AD16/(S16/100)</f>
        <v>9.2907881612223228E-2</v>
      </c>
      <c r="AF16" s="411">
        <f ca="1">1-AE16</f>
        <v>0.90709211838777681</v>
      </c>
      <c r="AG16" s="408">
        <f ca="1">expenses/(AF16)</f>
        <v>548462.63640685217</v>
      </c>
      <c r="AH16" s="410">
        <f ca="1">+AG16-Revenue</f>
        <v>159941.24735630851</v>
      </c>
      <c r="AI16" s="409">
        <f ca="1">+AH16/$J$49</f>
        <v>181245.63433055187</v>
      </c>
      <c r="AJ16" s="409">
        <f ca="1">+AI16*$J$47</f>
        <v>4605.6235768790721</v>
      </c>
      <c r="AK16" s="408">
        <f ca="1">ROUND(+AJ16+AG16,5)</f>
        <v>553068.25997999997</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217.23457701880054</v>
      </c>
      <c r="T17" s="136">
        <f ca="1">EXP(y_inter2-(slope*LN(+S17)))</f>
        <v>8.1673380467055292</v>
      </c>
      <c r="U17" s="129">
        <f ca="1">(+S17*T17/100)/100</f>
        <v>0.17742282259456321</v>
      </c>
      <c r="V17" s="129">
        <f>regDebt_weighted</f>
        <v>3.5860000000000003E-2</v>
      </c>
      <c r="W17" s="129">
        <f ca="1">+U17-V17</f>
        <v>0.14156282259456321</v>
      </c>
      <c r="X17" s="129">
        <f ca="1">+((W17*(1-0.34))-Pfd_weighted)/Equity_percent</f>
        <v>0.25360890381515033</v>
      </c>
      <c r="Y17" s="129">
        <f>+Y16</f>
        <v>2.5000000000000001E-3</v>
      </c>
      <c r="Z17" s="129">
        <f ca="1">+X17+Y17</f>
        <v>0.25610890381515033</v>
      </c>
      <c r="AA17" s="129">
        <f ca="1">Z17*equityP</f>
        <v>0.14876241479858501</v>
      </c>
      <c r="AB17" s="129">
        <f ca="1">+AA17/(1-taxrate)</f>
        <v>0.18830685417542406</v>
      </c>
      <c r="AC17" s="129">
        <f>debtP*Debt_Rate</f>
        <v>1.3521189462017025E-2</v>
      </c>
      <c r="AD17" s="129">
        <f ca="1">+AC17+AB17</f>
        <v>0.20182804363744108</v>
      </c>
      <c r="AE17" s="129">
        <f ca="1">+AD17/(S17/100)</f>
        <v>9.2907881612223228E-2</v>
      </c>
      <c r="AF17" s="129">
        <f ca="1">1-AE17</f>
        <v>0.90709211838777681</v>
      </c>
      <c r="AG17" s="130">
        <f ca="1">expenses/(AF17)</f>
        <v>548462.63640685217</v>
      </c>
      <c r="AH17" s="239">
        <f ca="1">+AG17-Revenue</f>
        <v>159941.24735630851</v>
      </c>
      <c r="AI17" s="131">
        <f ca="1">+AH17/$J$49</f>
        <v>181245.63433055187</v>
      </c>
      <c r="AJ17" s="131">
        <f ca="1">+AI17*$J$47</f>
        <v>4605.6235768790721</v>
      </c>
      <c r="AK17" s="130">
        <f t="shared" ref="AK17:AK19" ca="1" si="10">ROUND(+AJ17+AG17,5)</f>
        <v>553068.25997999997</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217.23457701880054</v>
      </c>
      <c r="T18" s="128">
        <f ca="1">EXP(y_inter3-(slope*LN(S18)))</f>
        <v>8.1673380467055292</v>
      </c>
      <c r="U18" s="129">
        <f ca="1">(+S18*T18/100)/100</f>
        <v>0.17742282259456321</v>
      </c>
      <c r="V18" s="129">
        <f>regDebt_weighted</f>
        <v>3.5860000000000003E-2</v>
      </c>
      <c r="W18" s="129">
        <f ca="1">+U18-V18</f>
        <v>0.14156282259456321</v>
      </c>
      <c r="X18" s="129">
        <f ca="1">+((W18*(1-0.34))-Pfd_weighted)/Equity_percent</f>
        <v>0.25360890381515033</v>
      </c>
      <c r="Y18" s="129">
        <f>+Y17</f>
        <v>2.5000000000000001E-3</v>
      </c>
      <c r="Z18" s="129">
        <f t="shared" ref="Z18:Z19" ca="1" si="11">+X18+Y18</f>
        <v>0.25610890381515033</v>
      </c>
      <c r="AA18" s="129">
        <f ca="1">Z18*equityP</f>
        <v>0.14876241479858501</v>
      </c>
      <c r="AB18" s="129">
        <f ca="1">+AA18/(1-taxrate)</f>
        <v>0.18830685417542406</v>
      </c>
      <c r="AC18" s="129">
        <f>debtP*Debt_Rate</f>
        <v>1.3521189462017025E-2</v>
      </c>
      <c r="AD18" s="129">
        <f ca="1">+AC18+AB18</f>
        <v>0.20182804363744108</v>
      </c>
      <c r="AE18" s="129">
        <f ca="1">+AD18/(S18/100)</f>
        <v>9.2907881612223228E-2</v>
      </c>
      <c r="AF18" s="129">
        <f ca="1">1-AE18</f>
        <v>0.90709211838777681</v>
      </c>
      <c r="AG18" s="130">
        <f ca="1">expenses/(AF18)</f>
        <v>548462.63640685217</v>
      </c>
      <c r="AH18" s="239">
        <f ca="1">+AG18-Revenue</f>
        <v>159941.24735630851</v>
      </c>
      <c r="AI18" s="131">
        <f ca="1">+AH18/$J$49</f>
        <v>181245.63433055187</v>
      </c>
      <c r="AJ18" s="131">
        <f ca="1">+AI18*$J$47</f>
        <v>4605.6235768790721</v>
      </c>
      <c r="AK18" s="130">
        <f t="shared" ca="1" si="10"/>
        <v>553068.25997999997</v>
      </c>
    </row>
    <row r="19" spans="1:37" ht="15.75">
      <c r="A19" s="94"/>
      <c r="B19" s="1073" t="s">
        <v>417</v>
      </c>
      <c r="C19" s="1073"/>
      <c r="D19" s="94"/>
      <c r="E19" s="94"/>
      <c r="F19" s="132">
        <f t="shared" si="7"/>
        <v>13</v>
      </c>
      <c r="G19" s="108"/>
      <c r="H19" s="113"/>
      <c r="I19" s="145" t="s">
        <v>346</v>
      </c>
      <c r="J19" s="137">
        <f>+Revenue</f>
        <v>388521.38905054366</v>
      </c>
      <c r="K19" s="146"/>
      <c r="L19" s="145" t="s">
        <v>418</v>
      </c>
      <c r="M19" s="147">
        <f ca="1">+J7</f>
        <v>159940.7143003107</v>
      </c>
      <c r="O19" s="94"/>
      <c r="P19" s="94"/>
      <c r="R19" s="134">
        <v>4</v>
      </c>
      <c r="S19" s="127">
        <f ca="1">AK14/Investment*100</f>
        <v>217.23457701880054</v>
      </c>
      <c r="T19" s="138">
        <f ca="1">EXP(y_inter4-(slope*LN(S19)))</f>
        <v>8.1673380467055292</v>
      </c>
      <c r="U19" s="129">
        <f ca="1">(+S19*T19/100)/100</f>
        <v>0.17742282259456321</v>
      </c>
      <c r="V19" s="129">
        <f>regDebt_weighted</f>
        <v>3.5860000000000003E-2</v>
      </c>
      <c r="W19" s="129">
        <f ca="1">+U19-V19</f>
        <v>0.14156282259456321</v>
      </c>
      <c r="X19" s="129">
        <f ca="1">+((W19*(1-0.34))-Pfd_weighted)/Equity_percent</f>
        <v>0.25360890381515033</v>
      </c>
      <c r="Y19" s="129">
        <f>+Y18</f>
        <v>2.5000000000000001E-3</v>
      </c>
      <c r="Z19" s="129">
        <f t="shared" ca="1" si="11"/>
        <v>0.25610890381515033</v>
      </c>
      <c r="AA19" s="129">
        <f ca="1">Z19*equityP</f>
        <v>0.14876241479858501</v>
      </c>
      <c r="AB19" s="129">
        <f ca="1">+AA19/(1-taxrate)</f>
        <v>0.18830685417542406</v>
      </c>
      <c r="AC19" s="129">
        <f>debtP*Debt_Rate</f>
        <v>1.3521189462017025E-2</v>
      </c>
      <c r="AD19" s="129">
        <f ca="1">+AC19+AB19</f>
        <v>0.20182804363744108</v>
      </c>
      <c r="AE19" s="129">
        <f ca="1">+AD19/(S19/100)</f>
        <v>9.2907881612223228E-2</v>
      </c>
      <c r="AF19" s="129">
        <f ca="1">1-AE19</f>
        <v>0.90709211838777681</v>
      </c>
      <c r="AG19" s="130">
        <f ca="1">expenses/(AF19)</f>
        <v>548462.63640685217</v>
      </c>
      <c r="AH19" s="239">
        <f ca="1">+AG19-Revenue</f>
        <v>159941.24735630851</v>
      </c>
      <c r="AI19" s="131">
        <f ca="1">+AH19/$J$49</f>
        <v>181245.63433055187</v>
      </c>
      <c r="AJ19" s="131">
        <f ca="1">+AI19*$J$47</f>
        <v>4605.6235768790721</v>
      </c>
      <c r="AK19" s="130">
        <f t="shared" ca="1" si="10"/>
        <v>553068.25997999997</v>
      </c>
    </row>
    <row r="20" spans="1:37" ht="15.75">
      <c r="A20" s="94"/>
      <c r="B20" s="177"/>
      <c r="C20" s="94"/>
      <c r="D20" s="94"/>
      <c r="E20" s="94"/>
      <c r="F20" s="132">
        <f t="shared" si="7"/>
        <v>14</v>
      </c>
      <c r="G20" s="108"/>
      <c r="H20" s="113"/>
      <c r="I20" s="145" t="s">
        <v>347</v>
      </c>
      <c r="J20" s="137">
        <f ca="1">+J21-J19</f>
        <v>164546.32252745784</v>
      </c>
      <c r="K20" s="456"/>
      <c r="L20" s="145" t="s">
        <v>419</v>
      </c>
      <c r="M20" s="147">
        <f ca="1">+L8</f>
        <v>4605.6082271471387</v>
      </c>
      <c r="O20" s="94"/>
      <c r="P20" s="94"/>
      <c r="R20" s="111" t="s">
        <v>348</v>
      </c>
    </row>
    <row r="21" spans="1:37" ht="16.5" thickBot="1">
      <c r="A21" s="94"/>
      <c r="B21" s="177"/>
      <c r="C21" s="177"/>
      <c r="D21" s="94"/>
      <c r="E21" s="94"/>
      <c r="F21" s="132">
        <f t="shared" si="7"/>
        <v>15</v>
      </c>
      <c r="G21" s="108"/>
      <c r="H21" s="113"/>
      <c r="I21" s="149" t="s">
        <v>211</v>
      </c>
      <c r="J21" s="150">
        <f ca="1">+M7</f>
        <v>553067.7115780015</v>
      </c>
      <c r="K21" s="151"/>
      <c r="L21" s="149" t="s">
        <v>347</v>
      </c>
      <c r="M21" s="240">
        <f ca="1">+M19+M20</f>
        <v>164546.32252745784</v>
      </c>
      <c r="O21" s="94"/>
      <c r="P21" s="94"/>
      <c r="R21" s="413">
        <v>1</v>
      </c>
      <c r="S21" s="404">
        <f ca="1">AK16/Investment*100</f>
        <v>217.24673931961257</v>
      </c>
      <c r="T21" s="412">
        <f ca="1">EXP(y_inter1-(slope*LN(+S21)))</f>
        <v>8.1672001785325659</v>
      </c>
      <c r="U21" s="411">
        <f ca="1">(+S21*T21/100)/100</f>
        <v>0.17742976081567577</v>
      </c>
      <c r="V21" s="411">
        <f>regDebt_weighted</f>
        <v>3.5860000000000003E-2</v>
      </c>
      <c r="W21" s="411">
        <f ca="1">+U21-V21</f>
        <v>0.14156976081567577</v>
      </c>
      <c r="X21" s="411">
        <f ca="1">+((W21*(1-0.34))-Pfd_weighted)/Equity_percent</f>
        <v>0.25362221551844771</v>
      </c>
      <c r="Y21" s="411">
        <f>+Y19</f>
        <v>2.5000000000000001E-3</v>
      </c>
      <c r="Z21" s="411">
        <f ca="1">+X21+Y21</f>
        <v>0.25612221551844772</v>
      </c>
      <c r="AA21" s="411">
        <f ca="1">Z21*equityP</f>
        <v>0.14877014698242597</v>
      </c>
      <c r="AB21" s="411">
        <f ca="1">+AA21/(1-taxrate)</f>
        <v>0.18831664174990628</v>
      </c>
      <c r="AC21" s="411">
        <f>debtP*Debt_Rate</f>
        <v>1.3521189462017025E-2</v>
      </c>
      <c r="AD21" s="411">
        <f ca="1">+AC21+AB21</f>
        <v>0.20183783121192331</v>
      </c>
      <c r="AE21" s="411">
        <f ca="1">+AD21/(S21/100)</f>
        <v>9.2907185555029331E-2</v>
      </c>
      <c r="AF21" s="411">
        <f ca="1">1-AE21</f>
        <v>0.9070928144449707</v>
      </c>
      <c r="AG21" s="408">
        <f ca="1">expenses/(AF21)</f>
        <v>548462.21554433671</v>
      </c>
      <c r="AH21" s="410">
        <f ca="1">+AG21-Revenue</f>
        <v>159940.82649379305</v>
      </c>
      <c r="AI21" s="409">
        <f ca="1">+AH21/$J$49</f>
        <v>181245.15740858932</v>
      </c>
      <c r="AJ21" s="409">
        <f ca="1">+AI21*$J$47</f>
        <v>4605.6114578393881</v>
      </c>
      <c r="AK21" s="408">
        <f ca="1">ROUND(+AJ21+AG21,5)</f>
        <v>553067.82700000005</v>
      </c>
    </row>
    <row r="22" spans="1:37" ht="21" customHeight="1" thickTop="1">
      <c r="A22" s="94"/>
      <c r="B22" s="177"/>
      <c r="C22" s="94"/>
      <c r="D22" s="94"/>
      <c r="E22" s="94"/>
      <c r="F22" s="132">
        <f t="shared" si="7"/>
        <v>16</v>
      </c>
      <c r="G22" s="108"/>
      <c r="H22" s="152"/>
      <c r="I22" s="153"/>
      <c r="J22" s="241" t="s">
        <v>420</v>
      </c>
      <c r="K22" s="242">
        <f ca="1">+(J21/J19)-1</f>
        <v>0.42351934067149033</v>
      </c>
      <c r="L22" s="153"/>
      <c r="M22" s="154"/>
      <c r="O22" s="94"/>
      <c r="P22" s="694"/>
      <c r="R22" s="126">
        <v>2</v>
      </c>
      <c r="S22" s="127">
        <f ca="1">AK17/Investment*100</f>
        <v>217.24673931961257</v>
      </c>
      <c r="T22" s="136">
        <f ca="1">EXP(y_inter2-(slope*LN(+S22)))</f>
        <v>8.1672001785325659</v>
      </c>
      <c r="U22" s="129">
        <f ca="1">(+S22*T22/100)/100</f>
        <v>0.17742976081567577</v>
      </c>
      <c r="V22" s="129">
        <f>regDebt_weighted</f>
        <v>3.5860000000000003E-2</v>
      </c>
      <c r="W22" s="129">
        <f ca="1">+U22-V22</f>
        <v>0.14156976081567577</v>
      </c>
      <c r="X22" s="129">
        <f ca="1">+((W22*(1-0.34))-Pfd_weighted)/Equity_percent</f>
        <v>0.25362221551844771</v>
      </c>
      <c r="Y22" s="129">
        <f>+Y21</f>
        <v>2.5000000000000001E-3</v>
      </c>
      <c r="Z22" s="129">
        <f ca="1">+X22+Y22</f>
        <v>0.25612221551844772</v>
      </c>
      <c r="AA22" s="129">
        <f ca="1">Z22*equityP</f>
        <v>0.14877014698242597</v>
      </c>
      <c r="AB22" s="129">
        <f ca="1">+AA22/(1-taxrate)</f>
        <v>0.18831664174990628</v>
      </c>
      <c r="AC22" s="129">
        <f>debtP*Debt_Rate</f>
        <v>1.3521189462017025E-2</v>
      </c>
      <c r="AD22" s="129">
        <f ca="1">+AC22+AB22</f>
        <v>0.20183783121192331</v>
      </c>
      <c r="AE22" s="129">
        <f ca="1">+AD22/(S22/100)</f>
        <v>9.2907185555029331E-2</v>
      </c>
      <c r="AF22" s="129">
        <f ca="1">1-AE22</f>
        <v>0.9070928144449707</v>
      </c>
      <c r="AG22" s="130">
        <f ca="1">expenses/(AF22)</f>
        <v>548462.21554433671</v>
      </c>
      <c r="AH22" s="239">
        <f ca="1">+AG22-Revenue</f>
        <v>159940.82649379305</v>
      </c>
      <c r="AI22" s="131">
        <f ca="1">+AH22/$J$49</f>
        <v>181245.15740858932</v>
      </c>
      <c r="AJ22" s="131">
        <f ca="1">+AI22*$J$47</f>
        <v>4605.6114578393881</v>
      </c>
      <c r="AK22" s="130">
        <f t="shared" ref="AK22:AK24" ca="1" si="12">ROUND(+AJ22+AG22,5)</f>
        <v>553067.82700000005</v>
      </c>
    </row>
    <row r="23" spans="1:37" ht="15.75">
      <c r="A23" s="94"/>
      <c r="B23" s="457" t="s">
        <v>421</v>
      </c>
      <c r="C23" s="458"/>
      <c r="D23" s="458"/>
      <c r="E23" s="458"/>
      <c r="F23" s="132">
        <f t="shared" si="7"/>
        <v>17</v>
      </c>
      <c r="H23" s="108"/>
      <c r="I23" s="108"/>
      <c r="J23" s="108"/>
      <c r="K23" s="108"/>
      <c r="L23" s="108"/>
      <c r="M23" s="108"/>
      <c r="N23" s="108"/>
      <c r="O23" s="94"/>
      <c r="P23" s="694"/>
      <c r="R23" s="133">
        <v>3</v>
      </c>
      <c r="S23" s="127">
        <f ca="1">AK18/Investment*100</f>
        <v>217.24673931961257</v>
      </c>
      <c r="T23" s="128">
        <f ca="1">EXP(y_inter3-(slope*LN(S23)))</f>
        <v>8.1672001785325659</v>
      </c>
      <c r="U23" s="129">
        <f ca="1">(+S23*T23/100)/100</f>
        <v>0.17742976081567577</v>
      </c>
      <c r="V23" s="129">
        <f>regDebt_weighted</f>
        <v>3.5860000000000003E-2</v>
      </c>
      <c r="W23" s="129">
        <f ca="1">+U23-V23</f>
        <v>0.14156976081567577</v>
      </c>
      <c r="X23" s="129">
        <f ca="1">+((W23*(1-0.34))-Pfd_weighted)/Equity_percent</f>
        <v>0.25362221551844771</v>
      </c>
      <c r="Y23" s="129">
        <f>+Y22</f>
        <v>2.5000000000000001E-3</v>
      </c>
      <c r="Z23" s="129">
        <f t="shared" ref="Z23:Z24" ca="1" si="13">+X23+Y23</f>
        <v>0.25612221551844772</v>
      </c>
      <c r="AA23" s="129">
        <f ca="1">Z23*equityP</f>
        <v>0.14877014698242597</v>
      </c>
      <c r="AB23" s="129">
        <f ca="1">+AA23/(1-taxrate)</f>
        <v>0.18831664174990628</v>
      </c>
      <c r="AC23" s="129">
        <f>debtP*Debt_Rate</f>
        <v>1.3521189462017025E-2</v>
      </c>
      <c r="AD23" s="129">
        <f ca="1">+AC23+AB23</f>
        <v>0.20183783121192331</v>
      </c>
      <c r="AE23" s="129">
        <f ca="1">+AD23/(S23/100)</f>
        <v>9.2907185555029331E-2</v>
      </c>
      <c r="AF23" s="129">
        <f ca="1">1-AE23</f>
        <v>0.9070928144449707</v>
      </c>
      <c r="AG23" s="130">
        <f ca="1">expenses/(AF23)</f>
        <v>548462.21554433671</v>
      </c>
      <c r="AH23" s="239">
        <f ca="1">+AG23-Revenue</f>
        <v>159940.82649379305</v>
      </c>
      <c r="AI23" s="131">
        <f ca="1">+AH23/$J$49</f>
        <v>181245.15740858932</v>
      </c>
      <c r="AJ23" s="131">
        <f ca="1">+AI23*$J$47</f>
        <v>4605.6114578393881</v>
      </c>
      <c r="AK23" s="130">
        <f t="shared" ca="1" si="12"/>
        <v>553067.82700000005</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217.24673931961257</v>
      </c>
      <c r="T24" s="138">
        <f ca="1">EXP(y_inter4-(slope*LN(S24)))</f>
        <v>8.1672001785325659</v>
      </c>
      <c r="U24" s="129">
        <f ca="1">(+S24*T24/100)/100</f>
        <v>0.17742976081567577</v>
      </c>
      <c r="V24" s="129">
        <f>regDebt_weighted</f>
        <v>3.5860000000000003E-2</v>
      </c>
      <c r="W24" s="129">
        <f ca="1">+U24-V24</f>
        <v>0.14156976081567577</v>
      </c>
      <c r="X24" s="129">
        <f ca="1">+((W24*(1-0.34))-Pfd_weighted)/Equity_percent</f>
        <v>0.25362221551844771</v>
      </c>
      <c r="Y24" s="129">
        <f>+Y23</f>
        <v>2.5000000000000001E-3</v>
      </c>
      <c r="Z24" s="129">
        <f t="shared" ca="1" si="13"/>
        <v>0.25612221551844772</v>
      </c>
      <c r="AA24" s="129">
        <f ca="1">Z24*equityP</f>
        <v>0.14877014698242597</v>
      </c>
      <c r="AB24" s="129">
        <f ca="1">+AA24/(1-taxrate)</f>
        <v>0.18831664174990628</v>
      </c>
      <c r="AC24" s="129">
        <f>debtP*Debt_Rate</f>
        <v>1.3521189462017025E-2</v>
      </c>
      <c r="AD24" s="129">
        <f ca="1">+AC24+AB24</f>
        <v>0.20183783121192331</v>
      </c>
      <c r="AE24" s="129">
        <f ca="1">+AD24/(S24/100)</f>
        <v>9.2907185555029331E-2</v>
      </c>
      <c r="AF24" s="129">
        <f ca="1">1-AE24</f>
        <v>0.9070928144449707</v>
      </c>
      <c r="AG24" s="130">
        <f ca="1">expenses/(AF24)</f>
        <v>548462.21554433671</v>
      </c>
      <c r="AH24" s="239">
        <f ca="1">+AG24-Revenue</f>
        <v>159940.82649379305</v>
      </c>
      <c r="AI24" s="131">
        <f ca="1">+AH24/$J$49</f>
        <v>181245.15740858932</v>
      </c>
      <c r="AJ24" s="131">
        <f ca="1">+AI24*$J$47</f>
        <v>4605.6114578393881</v>
      </c>
      <c r="AK24" s="130">
        <f t="shared" ca="1" si="12"/>
        <v>553067.82700000005</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147874.74572046398</v>
      </c>
      <c r="K26" s="141">
        <f ca="1">+K34</f>
        <v>0.25383543568325656</v>
      </c>
      <c r="L26" s="163">
        <f ca="1">+K26*I26</f>
        <v>0.1474418570037172</v>
      </c>
      <c r="M26" s="125">
        <f ca="1">+J26*K26</f>
        <v>37535.85050650475</v>
      </c>
      <c r="O26" s="94"/>
      <c r="P26" s="94"/>
      <c r="R26" s="413">
        <v>1</v>
      </c>
      <c r="S26" s="404">
        <f ca="1">AK21/Investment*100</f>
        <v>217.2465692438733</v>
      </c>
      <c r="T26" s="412">
        <f ca="1">EXP(y_inter1-(slope*LN(+S26)))</f>
        <v>8.1672021063905813</v>
      </c>
      <c r="U26" s="411">
        <f ca="1">(+S26*T26/100)/100</f>
        <v>0.17742966379346892</v>
      </c>
      <c r="V26" s="411">
        <f>regDebt_weighted</f>
        <v>3.5860000000000003E-2</v>
      </c>
      <c r="W26" s="411">
        <f ca="1">+U26-V26</f>
        <v>0.14156966379346891</v>
      </c>
      <c r="X26" s="411">
        <f ca="1">+((W26*(1-0.34))-Pfd_weighted)/Equity_percent</f>
        <v>0.25362202937119038</v>
      </c>
      <c r="Y26" s="411">
        <f>+Y24</f>
        <v>2.5000000000000001E-3</v>
      </c>
      <c r="Z26" s="411">
        <f ca="1">+X26+Y26</f>
        <v>0.25612202937119039</v>
      </c>
      <c r="AA26" s="411">
        <f ca="1">Z26*equityP</f>
        <v>0.14877003885765913</v>
      </c>
      <c r="AB26" s="411">
        <f ca="1">+AA26/(1-taxrate)</f>
        <v>0.18831650488311283</v>
      </c>
      <c r="AC26" s="411">
        <f>debtP*Debt_Rate</f>
        <v>1.3521189462017025E-2</v>
      </c>
      <c r="AD26" s="411">
        <f ca="1">+AC26+AB26</f>
        <v>0.20183769434512985</v>
      </c>
      <c r="AE26" s="411">
        <f ca="1">+AD26/(S26/100)</f>
        <v>9.2907195288572789E-2</v>
      </c>
      <c r="AF26" s="411">
        <f ca="1">1-AE26</f>
        <v>0.90709280471142717</v>
      </c>
      <c r="AG26" s="408">
        <f ca="1">expenses/(AF26)</f>
        <v>548462.22142960096</v>
      </c>
      <c r="AH26" s="410">
        <f ca="1">+AG26-Revenue</f>
        <v>159940.8323790573</v>
      </c>
      <c r="AI26" s="409">
        <f ca="1">+AH26/$J$49</f>
        <v>181245.16407777861</v>
      </c>
      <c r="AJ26" s="409">
        <f ca="1">+AI26*$J$47</f>
        <v>4605.6116273098169</v>
      </c>
      <c r="AK26" s="408">
        <f ca="1">ROUND(+AJ26+AG26,5)</f>
        <v>553067.83305999998</v>
      </c>
    </row>
    <row r="27" spans="1:37" ht="15.75">
      <c r="A27" s="94"/>
      <c r="B27" s="459" t="s">
        <v>359</v>
      </c>
      <c r="C27" s="458"/>
      <c r="D27" s="458"/>
      <c r="E27" s="458"/>
      <c r="F27" s="132">
        <f t="shared" si="7"/>
        <v>21</v>
      </c>
      <c r="H27" s="124" t="s">
        <v>329</v>
      </c>
      <c r="I27" s="163">
        <f>IF(A64=TRUE,C8,0)</f>
        <v>0.41914391658184569</v>
      </c>
      <c r="J27" s="165">
        <f>+I27*J28</f>
        <v>106705.949811324</v>
      </c>
      <c r="K27" s="141">
        <f>IF(A64=TRUE,C9,0)</f>
        <v>3.2259061690035909E-2</v>
      </c>
      <c r="L27" s="163">
        <f>+K27*I27</f>
        <v>1.3521189462017025E-2</v>
      </c>
      <c r="M27" s="137">
        <f>+K27*J27</f>
        <v>3442.2338176573762</v>
      </c>
      <c r="O27" s="94"/>
      <c r="P27" s="94"/>
      <c r="R27" s="126">
        <v>2</v>
      </c>
      <c r="S27" s="127">
        <f ca="1">AK22/Investment*100</f>
        <v>217.2465692438733</v>
      </c>
      <c r="T27" s="136">
        <f ca="1">EXP(y_inter2-(slope*LN(+S27)))</f>
        <v>8.1672021063905813</v>
      </c>
      <c r="U27" s="129">
        <f ca="1">(+S27*T27/100)/100</f>
        <v>0.17742966379346892</v>
      </c>
      <c r="V27" s="129">
        <f>regDebt_weighted</f>
        <v>3.5860000000000003E-2</v>
      </c>
      <c r="W27" s="129">
        <f ca="1">+U27-V27</f>
        <v>0.14156966379346891</v>
      </c>
      <c r="X27" s="129">
        <f ca="1">+((W27*(1-0.34))-Pfd_weighted)/Equity_percent</f>
        <v>0.25362202937119038</v>
      </c>
      <c r="Y27" s="129">
        <f>+Y26</f>
        <v>2.5000000000000001E-3</v>
      </c>
      <c r="Z27" s="129">
        <f ca="1">+X27+Y27</f>
        <v>0.25612202937119039</v>
      </c>
      <c r="AA27" s="129">
        <f ca="1">Z27*equityP</f>
        <v>0.14877003885765913</v>
      </c>
      <c r="AB27" s="129">
        <f ca="1">+AA27/(1-taxrate)</f>
        <v>0.18831650488311283</v>
      </c>
      <c r="AC27" s="129">
        <f>debtP*Debt_Rate</f>
        <v>1.3521189462017025E-2</v>
      </c>
      <c r="AD27" s="129">
        <f ca="1">+AC27+AB27</f>
        <v>0.20183769434512985</v>
      </c>
      <c r="AE27" s="129">
        <f ca="1">+AD27/(S27/100)</f>
        <v>9.2907195288572789E-2</v>
      </c>
      <c r="AF27" s="129">
        <f ca="1">1-AE27</f>
        <v>0.90709280471142717</v>
      </c>
      <c r="AG27" s="130">
        <f ca="1">expenses/(AF27)</f>
        <v>548462.22142960096</v>
      </c>
      <c r="AH27" s="239">
        <f ca="1">+AG27-Revenue</f>
        <v>159940.8323790573</v>
      </c>
      <c r="AI27" s="131">
        <f ca="1">+AH27/$J$49</f>
        <v>181245.16407777861</v>
      </c>
      <c r="AJ27" s="131">
        <f ca="1">+AI27*$J$47</f>
        <v>4605.6116273098169</v>
      </c>
      <c r="AK27" s="130">
        <f t="shared" ref="AK27:AK29" ca="1" si="14">ROUND(+AJ27+AG27,5)</f>
        <v>553067.83305999998</v>
      </c>
    </row>
    <row r="28" spans="1:37" ht="16.5" thickBot="1">
      <c r="A28" s="94"/>
      <c r="B28" s="94"/>
      <c r="C28" s="94"/>
      <c r="D28" s="94"/>
      <c r="E28" s="94"/>
      <c r="F28" s="132">
        <f t="shared" si="7"/>
        <v>22</v>
      </c>
      <c r="H28" s="124" t="s">
        <v>20</v>
      </c>
      <c r="I28" s="163">
        <f>SUM(I26:I27)</f>
        <v>1</v>
      </c>
      <c r="J28" s="166">
        <f>IF(A64=TRUE,C7,0)</f>
        <v>254580.69553178799</v>
      </c>
      <c r="K28" s="167"/>
      <c r="L28" s="168">
        <f ca="1">SUM(L26:L27)</f>
        <v>0.16096304646573423</v>
      </c>
      <c r="M28" s="166">
        <f ca="1">SUM(M26:M27)</f>
        <v>40978.084324162126</v>
      </c>
      <c r="O28" s="94"/>
      <c r="P28" s="94"/>
      <c r="R28" s="133">
        <v>3</v>
      </c>
      <c r="S28" s="127">
        <f ca="1">AK23/Investment*100</f>
        <v>217.2465692438733</v>
      </c>
      <c r="T28" s="128">
        <f ca="1">EXP(y_inter3-(slope*LN(S28)))</f>
        <v>8.1672021063905813</v>
      </c>
      <c r="U28" s="129">
        <f ca="1">(+S28*T28/100)/100</f>
        <v>0.17742966379346892</v>
      </c>
      <c r="V28" s="129">
        <f>regDebt_weighted</f>
        <v>3.5860000000000003E-2</v>
      </c>
      <c r="W28" s="129">
        <f ca="1">+U28-V28</f>
        <v>0.14156966379346891</v>
      </c>
      <c r="X28" s="129">
        <f ca="1">+((W28*(1-0.34))-Pfd_weighted)/Equity_percent</f>
        <v>0.25362202937119038</v>
      </c>
      <c r="Y28" s="129">
        <f>+Y27</f>
        <v>2.5000000000000001E-3</v>
      </c>
      <c r="Z28" s="129">
        <f t="shared" ref="Z28:Z29" ca="1" si="15">+X28+Y28</f>
        <v>0.25612202937119039</v>
      </c>
      <c r="AA28" s="129">
        <f ca="1">Z28*equityP</f>
        <v>0.14877003885765913</v>
      </c>
      <c r="AB28" s="129">
        <f ca="1">+AA28/(1-taxrate)</f>
        <v>0.18831650488311283</v>
      </c>
      <c r="AC28" s="129">
        <f>debtP*Debt_Rate</f>
        <v>1.3521189462017025E-2</v>
      </c>
      <c r="AD28" s="129">
        <f ca="1">+AC28+AB28</f>
        <v>0.20183769434512985</v>
      </c>
      <c r="AE28" s="129">
        <f ca="1">+AD28/(S28/100)</f>
        <v>9.2907195288572789E-2</v>
      </c>
      <c r="AF28" s="129">
        <f ca="1">1-AE28</f>
        <v>0.90709280471142717</v>
      </c>
      <c r="AG28" s="130">
        <f ca="1">expenses/(AF28)</f>
        <v>548462.22142960096</v>
      </c>
      <c r="AH28" s="239">
        <f ca="1">+AG28-Revenue</f>
        <v>159940.8323790573</v>
      </c>
      <c r="AI28" s="131">
        <f ca="1">+AH28/$J$49</f>
        <v>181245.16407777861</v>
      </c>
      <c r="AJ28" s="131">
        <f ca="1">+AI28*$J$47</f>
        <v>4605.6116273098169</v>
      </c>
      <c r="AK28" s="130">
        <f t="shared" ca="1" si="14"/>
        <v>553067.83305999998</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217.2465692438733</v>
      </c>
      <c r="T29" s="138">
        <f ca="1">EXP(y_inter4-(slope*LN(S29)))</f>
        <v>8.1672021063905813</v>
      </c>
      <c r="U29" s="129">
        <f ca="1">(+S29*T29/100)/100</f>
        <v>0.17742966379346892</v>
      </c>
      <c r="V29" s="129">
        <f>regDebt_weighted</f>
        <v>3.5860000000000003E-2</v>
      </c>
      <c r="W29" s="129">
        <f ca="1">+U29-V29</f>
        <v>0.14156966379346891</v>
      </c>
      <c r="X29" s="129">
        <f ca="1">+((W29*(1-0.34))-Pfd_weighted)/Equity_percent</f>
        <v>0.25362202937119038</v>
      </c>
      <c r="Y29" s="129">
        <f>+Y28</f>
        <v>2.5000000000000001E-3</v>
      </c>
      <c r="Z29" s="129">
        <f t="shared" ca="1" si="15"/>
        <v>0.25612202937119039</v>
      </c>
      <c r="AA29" s="129">
        <f ca="1">Z29*equityP</f>
        <v>0.14877003885765913</v>
      </c>
      <c r="AB29" s="129">
        <f ca="1">+AA29/(1-taxrate)</f>
        <v>0.18831650488311283</v>
      </c>
      <c r="AC29" s="129">
        <f>debtP*Debt_Rate</f>
        <v>1.3521189462017025E-2</v>
      </c>
      <c r="AD29" s="129">
        <f ca="1">+AC29+AB29</f>
        <v>0.20183769434512985</v>
      </c>
      <c r="AE29" s="129">
        <f ca="1">+AD29/(S29/100)</f>
        <v>9.2907195288572789E-2</v>
      </c>
      <c r="AF29" s="129">
        <f ca="1">1-AE29</f>
        <v>0.90709280471142717</v>
      </c>
      <c r="AG29" s="130">
        <f ca="1">expenses/(AF29)</f>
        <v>548462.22142960096</v>
      </c>
      <c r="AH29" s="239">
        <f ca="1">+AG29-Revenue</f>
        <v>159940.8323790573</v>
      </c>
      <c r="AI29" s="131">
        <f ca="1">+AH29/$J$49</f>
        <v>181245.16407777861</v>
      </c>
      <c r="AJ29" s="131">
        <f ca="1">+AI29*$J$47</f>
        <v>4605.6116273098169</v>
      </c>
      <c r="AK29" s="130">
        <f t="shared" ca="1" si="14"/>
        <v>553067.83305999998</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217.24657162425797</v>
      </c>
      <c r="T31" s="412">
        <f ca="1">EXP(y_inter1-(slope*LN(+S31)))</f>
        <v>8.1672020794082183</v>
      </c>
      <c r="U31" s="411">
        <f ca="1">(+S31*T31/100)/100</f>
        <v>0.17742966515139461</v>
      </c>
      <c r="V31" s="411">
        <f>regDebt_weighted</f>
        <v>3.5860000000000003E-2</v>
      </c>
      <c r="W31" s="411">
        <f ca="1">+U31-V31</f>
        <v>0.1415696651513946</v>
      </c>
      <c r="X31" s="411">
        <f ca="1">+((W31*(1-0.34))-Pfd_weighted)/Equity_percent</f>
        <v>0.2536220319765129</v>
      </c>
      <c r="Y31" s="411">
        <f>+Y29</f>
        <v>2.5000000000000001E-3</v>
      </c>
      <c r="Z31" s="411">
        <f ca="1">+X31+Y31</f>
        <v>0.2561220319765129</v>
      </c>
      <c r="AA31" s="411">
        <f ca="1">Z31*equityP</f>
        <v>0.14877004037097658</v>
      </c>
      <c r="AB31" s="411">
        <f ca="1">+AA31/(1-taxrate)</f>
        <v>0.18831650679870451</v>
      </c>
      <c r="AC31" s="411">
        <f>debtP*Debt_Rate</f>
        <v>1.3521189462017025E-2</v>
      </c>
      <c r="AD31" s="411">
        <f ca="1">+AC31+AB31</f>
        <v>0.20183769626072154</v>
      </c>
      <c r="AE31" s="411">
        <f ca="1">+AD31/(S31/100)</f>
        <v>9.2907195152341873E-2</v>
      </c>
      <c r="AF31" s="411">
        <f ca="1">1-AE31</f>
        <v>0.90709280484765809</v>
      </c>
      <c r="AG31" s="408">
        <f ca="1">expenses/(AF31)</f>
        <v>548462.2213472306</v>
      </c>
      <c r="AH31" s="410">
        <f ca="1">+AG31-Revenue</f>
        <v>159940.83229668695</v>
      </c>
      <c r="AI31" s="409">
        <f ca="1">+AH31/$J$49</f>
        <v>181245.16398443643</v>
      </c>
      <c r="AJ31" s="409">
        <f ca="1">+AI31*$J$47</f>
        <v>4605.6116249379038</v>
      </c>
      <c r="AK31" s="408">
        <f ca="1">ROUND(+AJ31+AG31,5)</f>
        <v>553067.83296999999</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217.24657162425797</v>
      </c>
      <c r="T32" s="136">
        <f ca="1">EXP(y_inter2-(slope*LN(+S32)))</f>
        <v>8.1672020794082183</v>
      </c>
      <c r="U32" s="129">
        <f ca="1">(+S32*T32/100)/100</f>
        <v>0.17742966515139461</v>
      </c>
      <c r="V32" s="129">
        <f>regDebt_weighted</f>
        <v>3.5860000000000003E-2</v>
      </c>
      <c r="W32" s="129">
        <f ca="1">+U32-V32</f>
        <v>0.1415696651513946</v>
      </c>
      <c r="X32" s="129">
        <f ca="1">+((W32*(1-0.34))-Pfd_weighted)/Equity_percent</f>
        <v>0.2536220319765129</v>
      </c>
      <c r="Y32" s="129">
        <f>+Y31</f>
        <v>2.5000000000000001E-3</v>
      </c>
      <c r="Z32" s="129">
        <f ca="1">+X32+Y32</f>
        <v>0.2561220319765129</v>
      </c>
      <c r="AA32" s="129">
        <f ca="1">Z32*equityP</f>
        <v>0.14877004037097658</v>
      </c>
      <c r="AB32" s="129">
        <f ca="1">+AA32/(1-taxrate)</f>
        <v>0.18831650679870451</v>
      </c>
      <c r="AC32" s="129">
        <f>debtP*Debt_Rate</f>
        <v>1.3521189462017025E-2</v>
      </c>
      <c r="AD32" s="129">
        <f ca="1">+AC32+AB32</f>
        <v>0.20183769626072154</v>
      </c>
      <c r="AE32" s="129">
        <f ca="1">+AD32/(S32/100)</f>
        <v>9.2907195152341873E-2</v>
      </c>
      <c r="AF32" s="129">
        <f ca="1">1-AE32</f>
        <v>0.90709280484765809</v>
      </c>
      <c r="AG32" s="130">
        <f ca="1">expenses/(AF32)</f>
        <v>548462.2213472306</v>
      </c>
      <c r="AH32" s="239">
        <f ca="1">+AG32-Revenue</f>
        <v>159940.83229668695</v>
      </c>
      <c r="AI32" s="131">
        <f ca="1">+AH32/$J$49</f>
        <v>181245.16398443643</v>
      </c>
      <c r="AJ32" s="131">
        <f ca="1">+AI32*$J$47</f>
        <v>4605.6116249379038</v>
      </c>
      <c r="AK32" s="130">
        <f t="shared" ref="AK32:AK34" ca="1" si="16">ROUND(+AJ32+AG32,5)</f>
        <v>553067.83296999999</v>
      </c>
    </row>
    <row r="33" spans="1:48" ht="15.75">
      <c r="A33" s="94"/>
      <c r="B33" s="94"/>
      <c r="C33" s="94"/>
      <c r="D33" s="94"/>
      <c r="E33" s="94"/>
      <c r="F33" s="132">
        <f t="shared" si="7"/>
        <v>27</v>
      </c>
      <c r="G33" s="108"/>
      <c r="H33" s="117" t="s">
        <v>365</v>
      </c>
      <c r="I33" s="117"/>
      <c r="J33" s="175">
        <f ca="1">+K9/J28</f>
        <v>0.20015645149203878</v>
      </c>
      <c r="K33" s="175">
        <f ca="1">+(M14+M11)/J28</f>
        <v>0.16096304646573423</v>
      </c>
      <c r="L33" s="124"/>
      <c r="M33" s="124"/>
      <c r="N33" s="125"/>
      <c r="O33" s="94"/>
      <c r="P33" s="94"/>
      <c r="R33" s="133">
        <v>3</v>
      </c>
      <c r="S33" s="127">
        <f ca="1">AK28/Investment*100</f>
        <v>217.24657162425797</v>
      </c>
      <c r="T33" s="128">
        <f ca="1">EXP(y_inter3-(slope*LN(S33)))</f>
        <v>8.1672020794082183</v>
      </c>
      <c r="U33" s="129">
        <f ca="1">(+S33*T33/100)/100</f>
        <v>0.17742966515139461</v>
      </c>
      <c r="V33" s="129">
        <f>regDebt_weighted</f>
        <v>3.5860000000000003E-2</v>
      </c>
      <c r="W33" s="129">
        <f ca="1">+U33-V33</f>
        <v>0.1415696651513946</v>
      </c>
      <c r="X33" s="129">
        <f ca="1">+((W33*(1-0.34))-Pfd_weighted)/Equity_percent</f>
        <v>0.2536220319765129</v>
      </c>
      <c r="Y33" s="129">
        <f>+Y32</f>
        <v>2.5000000000000001E-3</v>
      </c>
      <c r="Z33" s="129">
        <f t="shared" ref="Z33:Z34" ca="1" si="17">+X33+Y33</f>
        <v>0.2561220319765129</v>
      </c>
      <c r="AA33" s="129">
        <f ca="1">Z33*equityP</f>
        <v>0.14877004037097658</v>
      </c>
      <c r="AB33" s="129">
        <f ca="1">+AA33/(1-taxrate)</f>
        <v>0.18831650679870451</v>
      </c>
      <c r="AC33" s="129">
        <f>debtP*Debt_Rate</f>
        <v>1.3521189462017025E-2</v>
      </c>
      <c r="AD33" s="129">
        <f ca="1">+AC33+AB33</f>
        <v>0.20183769626072154</v>
      </c>
      <c r="AE33" s="129">
        <f ca="1">+AD33/(S33/100)</f>
        <v>9.2907195152341873E-2</v>
      </c>
      <c r="AF33" s="129">
        <f ca="1">1-AE33</f>
        <v>0.90709280484765809</v>
      </c>
      <c r="AG33" s="130">
        <f ca="1">expenses/(AF33)</f>
        <v>548462.2213472306</v>
      </c>
      <c r="AH33" s="239">
        <f ca="1">+AG33-Revenue</f>
        <v>159940.83229668695</v>
      </c>
      <c r="AI33" s="131">
        <f ca="1">+AH33/$J$49</f>
        <v>181245.16398443643</v>
      </c>
      <c r="AJ33" s="131">
        <f ca="1">+AI33*$J$47</f>
        <v>4605.6116249379038</v>
      </c>
      <c r="AK33" s="130">
        <f t="shared" ca="1" si="16"/>
        <v>553067.83296999999</v>
      </c>
    </row>
    <row r="34" spans="1:48" ht="15.75">
      <c r="A34" s="94"/>
      <c r="B34" s="94"/>
      <c r="C34" s="94"/>
      <c r="D34" s="94"/>
      <c r="E34" s="94"/>
      <c r="F34" s="132">
        <f t="shared" si="7"/>
        <v>28</v>
      </c>
      <c r="G34" s="108"/>
      <c r="H34" s="117" t="s">
        <v>366</v>
      </c>
      <c r="I34" s="117"/>
      <c r="J34" s="175">
        <f ca="1">+(M9-M11)/J26</f>
        <v>0.32131067808007158</v>
      </c>
      <c r="K34" s="175">
        <f ca="1">+M14/J26</f>
        <v>0.25383543568325656</v>
      </c>
      <c r="L34" s="124"/>
      <c r="M34" s="124"/>
      <c r="N34" s="125"/>
      <c r="O34" s="176"/>
      <c r="P34" s="94"/>
      <c r="R34" s="134">
        <v>4</v>
      </c>
      <c r="S34" s="127">
        <f ca="1">AK29/Investment*100</f>
        <v>217.24657162425797</v>
      </c>
      <c r="T34" s="138">
        <f ca="1">EXP(y_inter4-(slope*LN(S34)))</f>
        <v>8.1672020794082183</v>
      </c>
      <c r="U34" s="129">
        <f ca="1">(+S34*T34/100)/100</f>
        <v>0.17742966515139461</v>
      </c>
      <c r="V34" s="129">
        <f>regDebt_weighted</f>
        <v>3.5860000000000003E-2</v>
      </c>
      <c r="W34" s="129">
        <f ca="1">+U34-V34</f>
        <v>0.1415696651513946</v>
      </c>
      <c r="X34" s="129">
        <f ca="1">+((W34*(1-0.34))-Pfd_weighted)/Equity_percent</f>
        <v>0.2536220319765129</v>
      </c>
      <c r="Y34" s="129">
        <f>+Y33</f>
        <v>2.5000000000000001E-3</v>
      </c>
      <c r="Z34" s="129">
        <f t="shared" ca="1" si="17"/>
        <v>0.2561220319765129</v>
      </c>
      <c r="AA34" s="129">
        <f ca="1">Z34*equityP</f>
        <v>0.14877004037097658</v>
      </c>
      <c r="AB34" s="129">
        <f ca="1">+AA34/(1-taxrate)</f>
        <v>0.18831650679870451</v>
      </c>
      <c r="AC34" s="129">
        <f>debtP*Debt_Rate</f>
        <v>1.3521189462017025E-2</v>
      </c>
      <c r="AD34" s="129">
        <f ca="1">+AC34+AB34</f>
        <v>0.20183769626072154</v>
      </c>
      <c r="AE34" s="129">
        <f ca="1">+AD34/(S34/100)</f>
        <v>9.2907195152341873E-2</v>
      </c>
      <c r="AF34" s="129">
        <f ca="1">1-AE34</f>
        <v>0.90709280484765809</v>
      </c>
      <c r="AG34" s="130">
        <f ca="1">expenses/(AF34)</f>
        <v>548462.2213472306</v>
      </c>
      <c r="AH34" s="239">
        <f ca="1">+AG34-Revenue</f>
        <v>159940.83229668695</v>
      </c>
      <c r="AI34" s="131">
        <f ca="1">+AH34/$J$49</f>
        <v>181245.16398443643</v>
      </c>
      <c r="AJ34" s="131">
        <f ca="1">+AI34*$J$47</f>
        <v>4605.6116249379038</v>
      </c>
      <c r="AK34" s="130">
        <f t="shared" ca="1" si="16"/>
        <v>553067.83296999999</v>
      </c>
    </row>
    <row r="35" spans="1:48" ht="15.75">
      <c r="A35" s="94"/>
      <c r="B35" s="94"/>
      <c r="C35" s="94"/>
      <c r="D35" s="94"/>
      <c r="E35" s="94"/>
      <c r="F35" s="132">
        <f t="shared" si="7"/>
        <v>29</v>
      </c>
      <c r="G35" s="108"/>
      <c r="H35" s="178" t="s">
        <v>282</v>
      </c>
      <c r="I35" s="117"/>
      <c r="J35" s="175">
        <f ca="1">+K8/K7</f>
        <v>0.90709300000000004</v>
      </c>
      <c r="K35" s="175">
        <f ca="1">+M8/M7</f>
        <v>0.90786667243576502</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9.2906999999999976E-2</v>
      </c>
      <c r="K36" s="175">
        <f ca="1">+J36</f>
        <v>9.2906999999999976E-2</v>
      </c>
      <c r="L36" s="108"/>
      <c r="M36" s="108"/>
      <c r="N36" s="125"/>
      <c r="O36" s="94"/>
      <c r="P36" s="94"/>
      <c r="R36" s="413">
        <v>1</v>
      </c>
      <c r="S36" s="404">
        <f ca="1">AK31/Investment*100</f>
        <v>217.24657158890577</v>
      </c>
      <c r="T36" s="412">
        <f ca="1">EXP(y_inter1-(slope*LN(+S36)))</f>
        <v>8.1672020798089431</v>
      </c>
      <c r="U36" s="411">
        <f ca="1">(+S36*T36/100)/100</f>
        <v>0.17742966513122735</v>
      </c>
      <c r="V36" s="411">
        <f>regDebt_weighted</f>
        <v>3.5860000000000003E-2</v>
      </c>
      <c r="W36" s="411">
        <f ca="1">+U36-V36</f>
        <v>0.14156966513122735</v>
      </c>
      <c r="X36" s="411">
        <f ca="1">+((W36*(1-0.34))-Pfd_weighted)/Equity_percent</f>
        <v>0.2536220319378199</v>
      </c>
      <c r="Y36" s="411">
        <f>+Y34</f>
        <v>2.5000000000000001E-3</v>
      </c>
      <c r="Z36" s="411">
        <f ca="1">+X36+Y36</f>
        <v>0.25612203193781991</v>
      </c>
      <c r="AA36" s="411">
        <f ca="1">Z36*equityP</f>
        <v>0.1487700403485015</v>
      </c>
      <c r="AB36" s="411">
        <f ca="1">+AA36/(1-taxrate)</f>
        <v>0.18831650677025505</v>
      </c>
      <c r="AC36" s="411">
        <f>debtP*Debt_Rate</f>
        <v>1.3521189462017025E-2</v>
      </c>
      <c r="AD36" s="411">
        <f ca="1">+AC36+AB36</f>
        <v>0.20183769623227207</v>
      </c>
      <c r="AE36" s="411">
        <f ca="1">+AD36/(S36/100)</f>
        <v>9.290719515436506E-2</v>
      </c>
      <c r="AF36" s="411">
        <f ca="1">1-AE36</f>
        <v>0.90709280484563493</v>
      </c>
      <c r="AG36" s="408">
        <f ca="1">expenses/(AF36)</f>
        <v>548462.2213484539</v>
      </c>
      <c r="AH36" s="410">
        <f ca="1">+AG36-Revenue</f>
        <v>159940.83229791024</v>
      </c>
      <c r="AI36" s="409">
        <f ca="1">+AH36/$J$49</f>
        <v>181245.16398582264</v>
      </c>
      <c r="AJ36" s="409">
        <f ca="1">+AI36*$J$47</f>
        <v>4605.6116249731285</v>
      </c>
      <c r="AK36" s="408">
        <f ca="1">ROUND(+AJ36+AG36,5)</f>
        <v>553067.83296999999</v>
      </c>
    </row>
    <row r="37" spans="1:48" ht="15.75">
      <c r="A37" s="94"/>
      <c r="B37" s="94"/>
      <c r="C37" s="94"/>
      <c r="D37" s="106"/>
      <c r="E37" s="94"/>
      <c r="F37" s="132">
        <f t="shared" si="7"/>
        <v>31</v>
      </c>
      <c r="G37" s="108"/>
      <c r="H37" s="117" t="s">
        <v>369</v>
      </c>
      <c r="I37" s="180"/>
      <c r="J37" s="181">
        <f ca="1">+S39/100</f>
        <v>2.1724657158890577</v>
      </c>
      <c r="K37" s="181">
        <f ca="1">+J37</f>
        <v>2.1724657158890577</v>
      </c>
      <c r="L37" s="108"/>
      <c r="M37" s="108"/>
      <c r="N37" s="108"/>
      <c r="O37" s="94"/>
      <c r="P37" s="94"/>
      <c r="R37" s="126">
        <v>2</v>
      </c>
      <c r="S37" s="127">
        <f ca="1">AK32/Investment*100</f>
        <v>217.24657158890577</v>
      </c>
      <c r="T37" s="136">
        <f ca="1">EXP(y_inter2-(slope*LN(+S37)))</f>
        <v>8.1672020798089431</v>
      </c>
      <c r="U37" s="129">
        <f ca="1">(+S37*T37/100)/100</f>
        <v>0.17742966513122735</v>
      </c>
      <c r="V37" s="129">
        <f>regDebt_weighted</f>
        <v>3.5860000000000003E-2</v>
      </c>
      <c r="W37" s="129">
        <f ca="1">+U37-V37</f>
        <v>0.14156966513122735</v>
      </c>
      <c r="X37" s="129">
        <f ca="1">+((W37*(1-0.34))-Pfd_weighted)/Equity_percent</f>
        <v>0.2536220319378199</v>
      </c>
      <c r="Y37" s="129">
        <f>+Y36</f>
        <v>2.5000000000000001E-3</v>
      </c>
      <c r="Z37" s="129">
        <f ca="1">+X37+Y37</f>
        <v>0.25612203193781991</v>
      </c>
      <c r="AA37" s="129">
        <f ca="1">Z37*equityP</f>
        <v>0.1487700403485015</v>
      </c>
      <c r="AB37" s="129">
        <f ca="1">+AA37/(1-taxrate)</f>
        <v>0.18831650677025505</v>
      </c>
      <c r="AC37" s="129">
        <f>debtP*Debt_Rate</f>
        <v>1.3521189462017025E-2</v>
      </c>
      <c r="AD37" s="129">
        <f ca="1">+AC37+AB37</f>
        <v>0.20183769623227207</v>
      </c>
      <c r="AE37" s="129">
        <f ca="1">+AD37/(S37/100)</f>
        <v>9.290719515436506E-2</v>
      </c>
      <c r="AF37" s="129">
        <f ca="1">1-AE37</f>
        <v>0.90709280484563493</v>
      </c>
      <c r="AG37" s="130">
        <f ca="1">expenses/(AF37)</f>
        <v>548462.2213484539</v>
      </c>
      <c r="AH37" s="239">
        <f ca="1">+AG37-Revenue</f>
        <v>159940.83229791024</v>
      </c>
      <c r="AI37" s="131">
        <f ca="1">+AH37/$J$49</f>
        <v>181245.16398582264</v>
      </c>
      <c r="AJ37" s="131">
        <f ca="1">+AI37*$J$47</f>
        <v>4605.6116249731285</v>
      </c>
      <c r="AK37" s="130">
        <f t="shared" ref="AK37:AK39" ca="1" si="18">ROUND(+AJ37+AG37,5)</f>
        <v>553067.83296999999</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217.24657158890577</v>
      </c>
      <c r="T38" s="128">
        <f ca="1">EXP(y_inter3-(slope*LN(S38)))</f>
        <v>8.1672020798089431</v>
      </c>
      <c r="U38" s="129">
        <f ca="1">(+S38*T38/100)/100</f>
        <v>0.17742966513122735</v>
      </c>
      <c r="V38" s="129">
        <f>regDebt_weighted</f>
        <v>3.5860000000000003E-2</v>
      </c>
      <c r="W38" s="129">
        <f ca="1">+U38-V38</f>
        <v>0.14156966513122735</v>
      </c>
      <c r="X38" s="129">
        <f ca="1">+((W38*(1-0.34))-Pfd_weighted)/Equity_percent</f>
        <v>0.2536220319378199</v>
      </c>
      <c r="Y38" s="129">
        <f>+Y37</f>
        <v>2.5000000000000001E-3</v>
      </c>
      <c r="Z38" s="129">
        <f t="shared" ref="Z38:Z39" ca="1" si="19">+X38+Y38</f>
        <v>0.25612203193781991</v>
      </c>
      <c r="AA38" s="129">
        <f ca="1">Z38*equityP</f>
        <v>0.1487700403485015</v>
      </c>
      <c r="AB38" s="129">
        <f ca="1">+AA38/(1-taxrate)</f>
        <v>0.18831650677025505</v>
      </c>
      <c r="AC38" s="129">
        <f>debtP*Debt_Rate</f>
        <v>1.3521189462017025E-2</v>
      </c>
      <c r="AD38" s="129">
        <f ca="1">+AC38+AB38</f>
        <v>0.20183769623227207</v>
      </c>
      <c r="AE38" s="129">
        <f ca="1">+AD38/(S38/100)</f>
        <v>9.290719515436506E-2</v>
      </c>
      <c r="AF38" s="129">
        <f ca="1">1-AE38</f>
        <v>0.90709280484563493</v>
      </c>
      <c r="AG38" s="130">
        <f ca="1">expenses/(AF38)</f>
        <v>548462.2213484539</v>
      </c>
      <c r="AH38" s="239">
        <f ca="1">+AG38-Revenue</f>
        <v>159940.83229791024</v>
      </c>
      <c r="AI38" s="131">
        <f ca="1">+AH38/$J$49</f>
        <v>181245.16398582264</v>
      </c>
      <c r="AJ38" s="131">
        <f ca="1">+AI38*$J$47</f>
        <v>4605.6116249731285</v>
      </c>
      <c r="AK38" s="130">
        <f t="shared" ca="1" si="18"/>
        <v>553067.83296999999</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217.24657158890577</v>
      </c>
      <c r="T39" s="138">
        <f ca="1">EXP(y_inter4-(slope*LN(S39)))</f>
        <v>8.1672020798089431</v>
      </c>
      <c r="U39" s="129">
        <f ca="1">(+S39*T39/100)/100</f>
        <v>0.17742966513122735</v>
      </c>
      <c r="V39" s="129">
        <f>regDebt_weighted</f>
        <v>3.5860000000000003E-2</v>
      </c>
      <c r="W39" s="129">
        <f ca="1">+U39-V39</f>
        <v>0.14156966513122735</v>
      </c>
      <c r="X39" s="129">
        <f ca="1">+((W39*(1-0.34))-Pfd_weighted)/Equity_percent</f>
        <v>0.2536220319378199</v>
      </c>
      <c r="Y39" s="129">
        <f>+Y38</f>
        <v>2.5000000000000001E-3</v>
      </c>
      <c r="Z39" s="129">
        <f t="shared" ca="1" si="19"/>
        <v>0.25612203193781991</v>
      </c>
      <c r="AA39" s="129">
        <f ca="1">Z39*equityP</f>
        <v>0.1487700403485015</v>
      </c>
      <c r="AB39" s="129">
        <f ca="1">+AA39/(1-taxrate)</f>
        <v>0.18831650677025505</v>
      </c>
      <c r="AC39" s="129">
        <f>debtP*Debt_Rate</f>
        <v>1.3521189462017025E-2</v>
      </c>
      <c r="AD39" s="129">
        <f ca="1">+AC39+AB39</f>
        <v>0.20183769623227207</v>
      </c>
      <c r="AE39" s="129">
        <f ca="1">+AD39/(S39/100)</f>
        <v>9.290719515436506E-2</v>
      </c>
      <c r="AF39" s="129">
        <f ca="1">1-AE39</f>
        <v>0.90709280484563493</v>
      </c>
      <c r="AG39" s="130">
        <f ca="1">expenses/(AF39)</f>
        <v>548462.2213484539</v>
      </c>
      <c r="AH39" s="239">
        <f ca="1">+AG39-Revenue</f>
        <v>159940.83229791024</v>
      </c>
      <c r="AI39" s="131">
        <f ca="1">+AH39/$J$49</f>
        <v>181245.16398582264</v>
      </c>
      <c r="AJ39" s="131">
        <f ca="1">+AI39*$J$47</f>
        <v>4605.6116249731285</v>
      </c>
      <c r="AK39" s="130">
        <f t="shared" ca="1" si="18"/>
        <v>553067.83296999999</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3171.7880297387528</v>
      </c>
      <c r="L43" s="108"/>
      <c r="M43" s="108"/>
      <c r="N43" s="108"/>
      <c r="O43" s="94"/>
      <c r="P43" s="94"/>
      <c r="R43" s="133">
        <v>0</v>
      </c>
      <c r="S43" s="191">
        <v>1</v>
      </c>
      <c r="T43" s="151"/>
      <c r="U43" s="192" t="s">
        <v>368</v>
      </c>
      <c r="V43" s="193">
        <f ca="1">VLOOKUP(R48,R36:AG39,14)</f>
        <v>9.290719515436506E-2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924.34965438100789</v>
      </c>
      <c r="L44" s="108"/>
      <c r="M44" s="108"/>
      <c r="N44" s="108"/>
      <c r="O44" s="94"/>
      <c r="P44" s="94"/>
      <c r="R44" s="133">
        <v>50</v>
      </c>
      <c r="S44" s="191">
        <v>2</v>
      </c>
      <c r="T44" s="151"/>
      <c r="U44" s="192" t="s">
        <v>282</v>
      </c>
      <c r="V44" s="193">
        <f ca="1">ROUND(1-V43,6)</f>
        <v>0.90709300000000004</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0.42351934067149033</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509.4705430273828</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4605.6082271471432</v>
      </c>
      <c r="L47" s="108"/>
      <c r="M47" s="108"/>
      <c r="N47" s="108"/>
      <c r="O47" s="94"/>
      <c r="P47" s="94"/>
      <c r="R47" s="404">
        <f ca="1">VLOOKUP(R48,R36:S39,2)</f>
        <v>217.24657158890577</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0.88245572340027301</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0.90709300000000004</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0.20015645149203878</v>
      </c>
      <c r="Z62" s="193">
        <f t="shared" ca="1" si="20"/>
        <v>0.16096304646573423</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0.32131067808007158</v>
      </c>
      <c r="Z63" s="193">
        <f t="shared" ca="1" si="20"/>
        <v>0.25383543568325656</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0.90709300000000004</v>
      </c>
      <c r="Z64" s="193">
        <f t="shared" ca="1" si="20"/>
        <v>0.90786667243576502</v>
      </c>
      <c r="AE64" s="161"/>
      <c r="AF64" s="161"/>
      <c r="AG64" s="162"/>
      <c r="AH64" s="160"/>
      <c r="AJ64" s="162"/>
    </row>
    <row r="65" spans="8:40">
      <c r="H65" s="160"/>
      <c r="I65" s="160"/>
      <c r="J65" s="160"/>
      <c r="K65" s="160"/>
      <c r="L65" s="160"/>
      <c r="M65" s="160"/>
      <c r="N65" s="160"/>
      <c r="O65" s="160"/>
      <c r="R65" s="104"/>
      <c r="W65" s="105"/>
      <c r="X65" s="192" t="s">
        <v>368</v>
      </c>
      <c r="Y65" s="193">
        <f t="shared" ca="1" si="20"/>
        <v>9.2906999999999976E-2</v>
      </c>
      <c r="Z65" s="193">
        <f t="shared" ca="1" si="20"/>
        <v>9.2906999999999976E-2</v>
      </c>
      <c r="AE65" s="161"/>
      <c r="AH65" s="160"/>
      <c r="AJ65" s="162"/>
      <c r="AN65" s="160"/>
    </row>
    <row r="66" spans="8:40">
      <c r="H66" s="160"/>
      <c r="I66" s="160"/>
      <c r="J66" s="160"/>
      <c r="K66" s="160"/>
      <c r="L66" s="160"/>
      <c r="M66" s="160"/>
      <c r="N66" s="160"/>
      <c r="O66" s="160"/>
      <c r="R66" s="104"/>
      <c r="S66" s="228"/>
      <c r="W66" s="105"/>
      <c r="X66" s="192" t="s">
        <v>369</v>
      </c>
      <c r="Y66" s="193">
        <f t="shared" ca="1" si="20"/>
        <v>2.1724657158890577</v>
      </c>
      <c r="Z66" s="193">
        <f t="shared" ca="1" si="20"/>
        <v>2.1724657158890577</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2" orientation="portrait" r:id="rId1"/>
  <headerFooter alignWithMargins="0"/>
  <drawing r:id="rId2"/>
  <legacyDrawing r:id="rId3"/>
  <controls>
    <mc:AlternateContent xmlns:mc="http://schemas.openxmlformats.org/markup-compatibility/2006">
      <mc:Choice Requires="x14">
        <control shapeId="961537"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961537" r:id="rId4" name="DataCompleted"/>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fitToPage="1"/>
  </sheetPr>
  <dimension ref="A1:W344"/>
  <sheetViews>
    <sheetView showGridLines="0" view="pageBreakPreview" zoomScale="85" zoomScaleNormal="80" zoomScaleSheetLayoutView="85" zoomScalePageLayoutView="70" workbookViewId="0">
      <pane xSplit="4" ySplit="23" topLeftCell="E312" activePane="bottomRight" state="frozen"/>
      <selection activeCell="AL35" sqref="AL35"/>
      <selection pane="topRight" activeCell="AL35" sqref="AL35"/>
      <selection pane="bottomLeft" activeCell="AL35" sqref="AL35"/>
      <selection pane="bottomRight" activeCell="B24" sqref="B24:O343"/>
    </sheetView>
  </sheetViews>
  <sheetFormatPr defaultColWidth="9.140625" defaultRowHeight="14.25" outlineLevelRow="1"/>
  <cols>
    <col min="1" max="1" width="9.28515625" style="628" bestFit="1" customWidth="1"/>
    <col min="2" max="2" width="9.140625" style="625" customWidth="1"/>
    <col min="3" max="3" width="39.42578125" style="625" customWidth="1"/>
    <col min="4" max="4" width="13.85546875" style="684" bestFit="1" customWidth="1"/>
    <col min="5" max="5" width="14.7109375" style="625" customWidth="1"/>
    <col min="6" max="9" width="15.7109375" style="625" customWidth="1"/>
    <col min="10" max="10" width="13.7109375" style="625" bestFit="1" customWidth="1"/>
    <col min="11" max="11" width="1.28515625" style="625" customWidth="1"/>
    <col min="12" max="12" width="15.7109375" style="625" customWidth="1"/>
    <col min="13" max="13" width="15.7109375" style="661" customWidth="1"/>
    <col min="14" max="14" width="11.28515625" style="661" customWidth="1"/>
    <col min="15" max="15" width="16" style="625" bestFit="1" customWidth="1"/>
    <col min="16" max="16" width="11" style="625" bestFit="1" customWidth="1"/>
    <col min="17" max="17" width="13.140625" style="628" customWidth="1"/>
    <col min="18" max="18" width="14.28515625" style="628" bestFit="1" customWidth="1"/>
    <col min="19" max="19" width="15.5703125" style="628" customWidth="1"/>
    <col min="20" max="20" width="14" style="628" customWidth="1"/>
    <col min="21" max="21" width="9.7109375" style="628" bestFit="1" customWidth="1"/>
    <col min="22" max="22" width="12.5703125" style="628" bestFit="1" customWidth="1"/>
    <col min="23" max="23" width="24.28515625" style="628" customWidth="1"/>
    <col min="24" max="16384" width="9.140625" style="628"/>
  </cols>
  <sheetData>
    <row r="1" spans="2:23" ht="15">
      <c r="B1" s="624" t="s">
        <v>1121</v>
      </c>
      <c r="D1" s="682"/>
      <c r="L1" s="626"/>
      <c r="M1" s="627"/>
      <c r="N1" s="627"/>
      <c r="O1" s="626"/>
      <c r="P1" s="626"/>
      <c r="V1" s="628" t="s">
        <v>180</v>
      </c>
      <c r="W1" s="629" t="s">
        <v>181</v>
      </c>
    </row>
    <row r="2" spans="2:23" ht="15">
      <c r="B2" s="630" t="s">
        <v>922</v>
      </c>
      <c r="C2" s="628"/>
      <c r="D2" s="683"/>
      <c r="F2" s="631"/>
      <c r="G2" s="631"/>
      <c r="L2" s="626"/>
      <c r="M2" s="627"/>
      <c r="N2" s="627"/>
      <c r="O2" s="626"/>
      <c r="P2" s="626"/>
      <c r="V2" s="628" t="s">
        <v>182</v>
      </c>
      <c r="W2" s="629">
        <v>2009</v>
      </c>
    </row>
    <row r="3" spans="2:23" ht="15">
      <c r="B3" s="630" t="s">
        <v>2414</v>
      </c>
      <c r="C3" s="628"/>
      <c r="D3" s="682"/>
      <c r="F3" s="631"/>
      <c r="G3" s="631"/>
      <c r="L3" s="626"/>
      <c r="M3" s="627"/>
      <c r="N3" s="627"/>
      <c r="O3" s="626"/>
      <c r="P3" s="626"/>
      <c r="V3" s="628" t="s">
        <v>927</v>
      </c>
      <c r="W3" s="629">
        <v>2012</v>
      </c>
    </row>
    <row r="4" spans="2:23">
      <c r="B4" s="625">
        <v>1</v>
      </c>
      <c r="C4" s="625">
        <v>2</v>
      </c>
      <c r="D4" s="625">
        <v>3</v>
      </c>
      <c r="E4" s="625">
        <v>4</v>
      </c>
      <c r="F4" s="625">
        <v>5</v>
      </c>
      <c r="G4" s="625">
        <v>6</v>
      </c>
      <c r="H4" s="625">
        <v>7</v>
      </c>
      <c r="I4" s="625">
        <v>8</v>
      </c>
      <c r="J4" s="625">
        <v>9</v>
      </c>
      <c r="K4" s="625">
        <v>10</v>
      </c>
      <c r="L4" s="625">
        <v>11</v>
      </c>
      <c r="M4" s="625">
        <v>12</v>
      </c>
      <c r="N4" s="625">
        <v>13</v>
      </c>
      <c r="O4" s="625">
        <v>14</v>
      </c>
      <c r="P4" s="625">
        <v>15</v>
      </c>
    </row>
    <row r="5" spans="2:23" hidden="1" outlineLevel="1">
      <c r="E5" s="625">
        <v>1</v>
      </c>
      <c r="F5" s="625">
        <v>2</v>
      </c>
      <c r="G5" s="625">
        <v>3</v>
      </c>
      <c r="H5" s="625">
        <v>4</v>
      </c>
      <c r="I5" s="625">
        <v>5</v>
      </c>
      <c r="J5" s="625">
        <v>6</v>
      </c>
      <c r="K5" s="625">
        <v>7</v>
      </c>
      <c r="L5" s="625">
        <v>8</v>
      </c>
      <c r="M5" s="625">
        <v>9</v>
      </c>
      <c r="N5" s="625">
        <v>10</v>
      </c>
    </row>
    <row r="6" spans="2:23" hidden="1" outlineLevel="1">
      <c r="D6" s="685"/>
      <c r="E6" s="632"/>
      <c r="F6" s="632"/>
      <c r="G6" s="633"/>
      <c r="H6" s="632"/>
      <c r="I6" s="633"/>
      <c r="J6" s="633"/>
      <c r="K6" s="632"/>
      <c r="L6" s="632"/>
      <c r="M6" s="634"/>
      <c r="N6" s="635"/>
      <c r="O6" s="632"/>
      <c r="P6" s="632"/>
    </row>
    <row r="7" spans="2:23" ht="25.5" hidden="1" customHeight="1" outlineLevel="1">
      <c r="B7" s="628"/>
      <c r="D7" s="686"/>
      <c r="E7" s="636" t="s">
        <v>195</v>
      </c>
      <c r="F7" s="637"/>
      <c r="G7" s="637"/>
      <c r="H7" s="637"/>
      <c r="I7" s="637"/>
      <c r="J7" s="637"/>
      <c r="K7" s="637"/>
      <c r="L7" s="638" t="str">
        <f t="shared" ref="L7" si="0">+L22</f>
        <v>Regulated</v>
      </c>
      <c r="M7" s="639" t="s">
        <v>231</v>
      </c>
      <c r="N7" s="640" t="s">
        <v>20</v>
      </c>
      <c r="O7" s="637"/>
      <c r="P7" s="637"/>
    </row>
    <row r="8" spans="2:23" ht="15" hidden="1" outlineLevel="1">
      <c r="D8" s="687"/>
      <c r="E8" s="641"/>
      <c r="F8" s="642"/>
      <c r="G8" s="642"/>
      <c r="H8" s="642"/>
      <c r="I8" s="642"/>
      <c r="J8" s="642"/>
      <c r="K8" s="642"/>
      <c r="L8" s="643"/>
      <c r="M8" s="644"/>
      <c r="N8" s="645"/>
      <c r="O8" s="642"/>
      <c r="P8" s="642"/>
    </row>
    <row r="9" spans="2:23" ht="15" hidden="1" outlineLevel="1">
      <c r="D9" s="687"/>
      <c r="E9" s="641"/>
      <c r="F9" s="642"/>
      <c r="G9" s="642"/>
      <c r="H9" s="642"/>
      <c r="I9" s="642"/>
      <c r="J9" s="642"/>
      <c r="K9" s="642"/>
      <c r="L9" s="643"/>
      <c r="M9" s="644"/>
      <c r="N9" s="645"/>
      <c r="O9" s="642"/>
      <c r="P9" s="642"/>
    </row>
    <row r="10" spans="2:23" ht="15" hidden="1" customHeight="1" outlineLevel="1">
      <c r="B10" s="628"/>
      <c r="C10" s="646"/>
      <c r="D10" s="688" t="s">
        <v>183</v>
      </c>
      <c r="E10" s="647" t="s">
        <v>187</v>
      </c>
      <c r="F10" s="648"/>
      <c r="G10" s="648"/>
      <c r="H10" s="648"/>
      <c r="I10" s="648"/>
      <c r="J10" s="648"/>
      <c r="K10" s="649"/>
      <c r="L10" s="650">
        <f>+'Allocators (C)'!C70</f>
        <v>0.71047696764817814</v>
      </c>
      <c r="M10" s="650">
        <f>'Allocators (C)'!D70</f>
        <v>0.28952303235182186</v>
      </c>
      <c r="N10" s="651">
        <f t="shared" ref="N10:N17" si="1">SUM(L10:M10)</f>
        <v>1</v>
      </c>
      <c r="O10" s="649"/>
      <c r="P10" s="649"/>
    </row>
    <row r="11" spans="2:23" ht="15" hidden="1" customHeight="1" outlineLevel="1">
      <c r="B11" s="630"/>
      <c r="C11" s="628"/>
      <c r="D11" s="689" t="s">
        <v>45</v>
      </c>
      <c r="E11" s="652" t="s">
        <v>485</v>
      </c>
      <c r="F11" s="653"/>
      <c r="G11" s="653"/>
      <c r="H11" s="653"/>
      <c r="I11" s="653"/>
      <c r="J11" s="653"/>
      <c r="K11" s="654"/>
      <c r="L11" s="655">
        <f>L35</f>
        <v>0.68099841971663011</v>
      </c>
      <c r="M11" s="655">
        <f>M35</f>
        <v>0.31900158028336989</v>
      </c>
      <c r="N11" s="656">
        <f t="shared" si="1"/>
        <v>1</v>
      </c>
      <c r="O11" s="657"/>
      <c r="P11" s="649"/>
    </row>
    <row r="12" spans="2:23" ht="15" hidden="1" customHeight="1" outlineLevel="1">
      <c r="B12" s="628"/>
      <c r="C12" s="628"/>
      <c r="D12" s="688" t="s">
        <v>445</v>
      </c>
      <c r="E12" s="647" t="s">
        <v>486</v>
      </c>
      <c r="F12" s="648"/>
      <c r="G12" s="648"/>
      <c r="H12" s="648"/>
      <c r="I12" s="648"/>
      <c r="J12" s="648"/>
      <c r="K12" s="649"/>
      <c r="L12" s="650">
        <f>'Allocators (C)'!C33</f>
        <v>0.68464787727197662</v>
      </c>
      <c r="M12" s="650">
        <f>'Allocators (C)'!D33</f>
        <v>0.31535212272802327</v>
      </c>
      <c r="N12" s="651">
        <f t="shared" si="1"/>
        <v>0.99999999999999989</v>
      </c>
      <c r="O12" s="649"/>
      <c r="P12" s="657"/>
    </row>
    <row r="13" spans="2:23" ht="15" hidden="1" customHeight="1" outlineLevel="1">
      <c r="B13" s="628"/>
      <c r="C13" s="628"/>
      <c r="D13" s="689"/>
      <c r="E13" s="652" t="s">
        <v>1431</v>
      </c>
      <c r="F13" s="653"/>
      <c r="G13" s="653"/>
      <c r="H13" s="653"/>
      <c r="I13" s="653"/>
      <c r="J13" s="653"/>
      <c r="K13" s="654"/>
      <c r="L13" s="655">
        <f>+'Allocators (C)'!C34</f>
        <v>0.68464787727197662</v>
      </c>
      <c r="M13" s="655">
        <f>+'Allocators (C)'!D34</f>
        <v>0.31535212272802327</v>
      </c>
      <c r="N13" s="656">
        <f t="shared" si="1"/>
        <v>0.99999999999999989</v>
      </c>
      <c r="O13" s="657"/>
      <c r="P13" s="657"/>
    </row>
    <row r="14" spans="2:23" ht="15" hidden="1" customHeight="1" outlineLevel="1">
      <c r="B14" s="630"/>
      <c r="C14" s="628"/>
      <c r="D14" s="688"/>
      <c r="E14" s="647" t="s">
        <v>487</v>
      </c>
      <c r="F14" s="648"/>
      <c r="G14" s="648"/>
      <c r="H14" s="648"/>
      <c r="I14" s="648"/>
      <c r="J14" s="648"/>
      <c r="K14" s="649"/>
      <c r="L14" s="650">
        <f>'Allocators (C)'!C123</f>
        <v>0.73172294890395218</v>
      </c>
      <c r="M14" s="650">
        <f>SUM('Allocators (C)'!D123:D123)</f>
        <v>0.26827705109604777</v>
      </c>
      <c r="N14" s="651">
        <f t="shared" si="1"/>
        <v>1</v>
      </c>
      <c r="O14" s="649"/>
      <c r="P14" s="649"/>
    </row>
    <row r="15" spans="2:23" ht="15" hidden="1" customHeight="1" outlineLevel="1">
      <c r="B15" s="628"/>
      <c r="C15" s="646"/>
      <c r="D15" s="689"/>
      <c r="E15" s="652" t="s">
        <v>1027</v>
      </c>
      <c r="F15" s="653"/>
      <c r="G15" s="653"/>
      <c r="H15" s="653"/>
      <c r="I15" s="653"/>
      <c r="J15" s="653"/>
      <c r="K15" s="654"/>
      <c r="L15" s="655">
        <f>+'Allocators (C)'!C129</f>
        <v>0.72908064850481036</v>
      </c>
      <c r="M15" s="655">
        <f>+'Allocators (C)'!D129</f>
        <v>0.27091935149518975</v>
      </c>
      <c r="N15" s="656">
        <f t="shared" si="1"/>
        <v>1</v>
      </c>
      <c r="O15" s="657"/>
      <c r="P15" s="649"/>
    </row>
    <row r="16" spans="2:23" ht="15" hidden="1" customHeight="1" outlineLevel="1">
      <c r="B16" s="658"/>
      <c r="C16" s="646"/>
      <c r="D16" s="688" t="s">
        <v>597</v>
      </c>
      <c r="E16" s="647" t="s">
        <v>208</v>
      </c>
      <c r="F16" s="648"/>
      <c r="G16" s="648"/>
      <c r="H16" s="648"/>
      <c r="I16" s="648"/>
      <c r="J16" s="648"/>
      <c r="K16" s="649"/>
      <c r="L16" s="650">
        <f>+'Allocators (C)'!C134</f>
        <v>0.13988717894705419</v>
      </c>
      <c r="M16" s="650">
        <f>+'Allocators (C)'!D134</f>
        <v>0.86011282105294584</v>
      </c>
      <c r="N16" s="651">
        <f t="shared" si="1"/>
        <v>1</v>
      </c>
      <c r="O16" s="649"/>
      <c r="P16" s="657"/>
    </row>
    <row r="17" spans="1:16" ht="15" hidden="1" customHeight="1" outlineLevel="1">
      <c r="B17" s="658"/>
      <c r="C17" s="646"/>
      <c r="D17" s="689" t="s">
        <v>1021</v>
      </c>
      <c r="E17" s="652" t="s">
        <v>1022</v>
      </c>
      <c r="F17" s="653"/>
      <c r="G17" s="653"/>
      <c r="H17" s="653"/>
      <c r="I17" s="653"/>
      <c r="J17" s="653"/>
      <c r="K17" s="654"/>
      <c r="L17" s="655">
        <f>+'Disposal 4.21-3-22'!G49</f>
        <v>0.72356879442742861</v>
      </c>
      <c r="M17" s="655">
        <f>+'Disposal 4.21-3-22'!H49</f>
        <v>0.2764312055725715</v>
      </c>
      <c r="N17" s="656">
        <f t="shared" si="1"/>
        <v>1</v>
      </c>
      <c r="O17" s="657"/>
      <c r="P17" s="649"/>
    </row>
    <row r="18" spans="1:16" ht="15" hidden="1" customHeight="1" outlineLevel="1">
      <c r="B18" s="658"/>
      <c r="C18" s="646"/>
      <c r="D18" s="688" t="s">
        <v>205</v>
      </c>
      <c r="E18" s="647" t="s">
        <v>186</v>
      </c>
      <c r="F18" s="648"/>
      <c r="G18" s="648"/>
      <c r="H18" s="648"/>
      <c r="I18" s="648"/>
      <c r="J18" s="648"/>
      <c r="K18" s="649"/>
      <c r="L18" s="650"/>
      <c r="M18" s="650"/>
      <c r="N18" s="651"/>
      <c r="O18" s="649"/>
      <c r="P18" s="659"/>
    </row>
    <row r="19" spans="1:16" ht="15" hidden="1" customHeight="1" outlineLevel="1">
      <c r="B19" s="658"/>
      <c r="C19" s="628"/>
      <c r="D19" s="690"/>
      <c r="E19" s="660"/>
      <c r="F19" s="654"/>
      <c r="G19" s="654"/>
      <c r="H19" s="654"/>
      <c r="I19" s="654"/>
      <c r="J19" s="654"/>
      <c r="K19" s="659"/>
      <c r="O19" s="659"/>
      <c r="P19" s="659"/>
    </row>
    <row r="20" spans="1:16" ht="15" collapsed="1">
      <c r="B20" s="624"/>
      <c r="C20" s="630"/>
      <c r="D20" s="691"/>
      <c r="E20" s="662"/>
      <c r="F20" s="663"/>
      <c r="G20" s="663"/>
      <c r="H20" s="664"/>
      <c r="I20" s="664"/>
      <c r="J20" s="664"/>
    </row>
    <row r="21" spans="1:16" s="670" customFormat="1" ht="26.25" customHeight="1">
      <c r="A21" s="665"/>
      <c r="B21" s="665"/>
      <c r="C21" s="665"/>
      <c r="D21" s="692"/>
      <c r="E21" s="667" t="s">
        <v>600</v>
      </c>
      <c r="F21" s="667" t="s">
        <v>429</v>
      </c>
      <c r="G21" s="667" t="s">
        <v>560</v>
      </c>
      <c r="H21" s="667" t="s">
        <v>439</v>
      </c>
      <c r="I21" s="667" t="s">
        <v>2986</v>
      </c>
      <c r="J21" s="667" t="s">
        <v>620</v>
      </c>
      <c r="K21" s="668"/>
      <c r="L21" s="665"/>
      <c r="M21" s="665"/>
      <c r="N21" s="665"/>
      <c r="O21" s="665"/>
      <c r="P21" s="669"/>
    </row>
    <row r="22" spans="1:16" s="670" customFormat="1" ht="30">
      <c r="A22" s="665" t="s">
        <v>441</v>
      </c>
      <c r="B22" s="665" t="s">
        <v>184</v>
      </c>
      <c r="C22" s="665" t="s">
        <v>185</v>
      </c>
      <c r="D22" s="692" t="s">
        <v>436</v>
      </c>
      <c r="E22" s="666">
        <v>2195</v>
      </c>
      <c r="F22" s="666">
        <v>2195</v>
      </c>
      <c r="G22" s="666">
        <v>2195</v>
      </c>
      <c r="H22" s="666">
        <v>2195</v>
      </c>
      <c r="I22" s="666">
        <v>2195</v>
      </c>
      <c r="J22" s="666">
        <v>2195</v>
      </c>
      <c r="K22" s="668"/>
      <c r="L22" s="665" t="s">
        <v>916</v>
      </c>
      <c r="M22" s="665" t="s">
        <v>230</v>
      </c>
      <c r="N22" s="665"/>
      <c r="O22" s="665" t="s">
        <v>189</v>
      </c>
      <c r="P22" s="669" t="s">
        <v>179</v>
      </c>
    </row>
    <row r="23" spans="1:16" ht="15.75" thickBot="1">
      <c r="B23" s="671" t="s">
        <v>45</v>
      </c>
      <c r="C23" s="672"/>
      <c r="D23" s="693"/>
      <c r="E23" s="673"/>
      <c r="F23" s="673"/>
      <c r="G23" s="673"/>
      <c r="H23" s="673"/>
      <c r="I23" s="673"/>
      <c r="J23" s="673"/>
      <c r="K23" s="674"/>
      <c r="L23" s="675"/>
      <c r="M23" s="676"/>
      <c r="N23" s="675"/>
      <c r="O23" s="675"/>
      <c r="P23" s="675"/>
    </row>
    <row r="24" spans="1:16" ht="15" thickTop="1">
      <c r="B24" s="1192">
        <v>31000</v>
      </c>
      <c r="C24" s="1193" t="s">
        <v>233</v>
      </c>
      <c r="D24" s="1121" t="s">
        <v>186</v>
      </c>
      <c r="E24" s="1194">
        <f>+SUM('2195 IS (C)'!AH20:AH21)</f>
        <v>4009161.7</v>
      </c>
      <c r="F24" s="1194">
        <f>+'Restating Adj (C)'!E10-'Master IS (C)'!E24</f>
        <v>-15240.929999999702</v>
      </c>
      <c r="G24" s="1194">
        <f t="shared" ref="G24:G30" si="2">+E24+F24</f>
        <v>3993920.7700000005</v>
      </c>
      <c r="H24" s="1194"/>
      <c r="I24" s="1194"/>
      <c r="J24" s="1194">
        <f>+SUM(G24:I24)</f>
        <v>3993920.7700000005</v>
      </c>
      <c r="K24" s="1122"/>
      <c r="L24" s="1123">
        <f>+'Restating Adj (C)'!B10+H24</f>
        <v>2262552.1500000008</v>
      </c>
      <c r="M24" s="1123">
        <f>+'Restating Adj (C)'!C10</f>
        <v>1731368.6199999999</v>
      </c>
      <c r="N24" s="1122"/>
      <c r="O24" s="1124">
        <f t="shared" ref="O24:O30" si="3">SUM(L24:M24)</f>
        <v>3993920.7700000005</v>
      </c>
      <c r="P24" s="677">
        <f>ROUND(IF(((O24-J24)=0),0,(O24-J24)),2)</f>
        <v>0</v>
      </c>
    </row>
    <row r="25" spans="1:16">
      <c r="B25" s="1177">
        <v>31100</v>
      </c>
      <c r="C25" s="1144" t="s">
        <v>615</v>
      </c>
      <c r="D25" s="1125" t="s">
        <v>186</v>
      </c>
      <c r="E25" s="1152">
        <f>+SUM('2195 IS (C)'!AH22)</f>
        <v>333728.44</v>
      </c>
      <c r="F25" s="1152">
        <f>+'Restating Adj (C)'!E11-'Master IS (C)'!E25</f>
        <v>33760.260000000068</v>
      </c>
      <c r="G25" s="1152">
        <f t="shared" si="2"/>
        <v>367488.70000000007</v>
      </c>
      <c r="H25" s="1152"/>
      <c r="I25" s="1152"/>
      <c r="J25" s="1152">
        <f>+SUM(G25:I25)</f>
        <v>367488.70000000007</v>
      </c>
      <c r="K25" s="1126"/>
      <c r="L25" s="1127">
        <f>+'Restating Adj (C)'!B11</f>
        <v>367488.70000000007</v>
      </c>
      <c r="M25" s="1127">
        <f>+'Restating Adj (C)'!C11</f>
        <v>0</v>
      </c>
      <c r="N25" s="1126"/>
      <c r="O25" s="1128">
        <f t="shared" si="3"/>
        <v>367488.70000000007</v>
      </c>
      <c r="P25" s="677">
        <f t="shared" ref="P25:P37" si="4">ROUND(IF(((O25-J25)=0),0,(O25-J25)),2)</f>
        <v>0</v>
      </c>
    </row>
    <row r="26" spans="1:16">
      <c r="B26" s="1177">
        <v>31110</v>
      </c>
      <c r="C26" s="1144" t="s">
        <v>616</v>
      </c>
      <c r="D26" s="1125" t="s">
        <v>186</v>
      </c>
      <c r="E26" s="1152">
        <f>+'2195 IS (C)'!AH23</f>
        <v>127811.7</v>
      </c>
      <c r="F26" s="1152">
        <f>+'Restating Adj (C)'!E12-'Master IS (C)'!E26</f>
        <v>193.94999999999709</v>
      </c>
      <c r="G26" s="1152">
        <f t="shared" si="2"/>
        <v>128005.65</v>
      </c>
      <c r="H26" s="1152"/>
      <c r="I26" s="1152"/>
      <c r="J26" s="1152">
        <f t="shared" ref="J26:J32" si="5">+SUM(G26:I26)</f>
        <v>128005.65</v>
      </c>
      <c r="K26" s="1126"/>
      <c r="L26" s="1127">
        <f>+'Restating Adj (C)'!B12</f>
        <v>86621.15</v>
      </c>
      <c r="M26" s="1127">
        <f>+'Restating Adj (C)'!C12</f>
        <v>41384.5</v>
      </c>
      <c r="N26" s="1126"/>
      <c r="O26" s="1128">
        <f t="shared" si="3"/>
        <v>128005.65</v>
      </c>
      <c r="P26" s="677">
        <f t="shared" si="4"/>
        <v>0</v>
      </c>
    </row>
    <row r="27" spans="1:16">
      <c r="B27" s="1177">
        <v>32000</v>
      </c>
      <c r="C27" s="1144" t="s">
        <v>467</v>
      </c>
      <c r="D27" s="1125" t="s">
        <v>186</v>
      </c>
      <c r="E27" s="1152">
        <f>+SUM('2195 IS (C)'!AH24:AH26)</f>
        <v>8810593.839999998</v>
      </c>
      <c r="F27" s="1152">
        <f>+'Restating Adj (C)'!E13-'Master IS (C)'!E27</f>
        <v>-5579.8100000005215</v>
      </c>
      <c r="G27" s="1152">
        <f t="shared" si="2"/>
        <v>8805014.0299999975</v>
      </c>
      <c r="H27" s="1152"/>
      <c r="I27" s="1152"/>
      <c r="J27" s="1152">
        <f t="shared" si="5"/>
        <v>8805014.0299999975</v>
      </c>
      <c r="K27" s="1126"/>
      <c r="L27" s="1127">
        <f>+'Restating Adj (C)'!B13</f>
        <v>6840498.089999998</v>
      </c>
      <c r="M27" s="1127">
        <f>+'Restating Adj (C)'!C13</f>
        <v>1964515.9399999997</v>
      </c>
      <c r="N27" s="1126"/>
      <c r="O27" s="1128">
        <f t="shared" si="3"/>
        <v>8805014.0299999975</v>
      </c>
      <c r="P27" s="677">
        <f t="shared" si="4"/>
        <v>0</v>
      </c>
    </row>
    <row r="28" spans="1:16">
      <c r="B28" s="1177">
        <v>33000</v>
      </c>
      <c r="C28" s="1144" t="s">
        <v>617</v>
      </c>
      <c r="D28" s="1125" t="s">
        <v>186</v>
      </c>
      <c r="E28" s="1152">
        <f>+SUM('2195 IS (C)'!AH16:AH17,'2195 IS (C)'!AH19)</f>
        <v>3633958.27</v>
      </c>
      <c r="F28" s="1152">
        <f>+'Restating Adj (C)'!E16-'Master IS (C)'!E28</f>
        <v>-135417.68000000063</v>
      </c>
      <c r="G28" s="1152">
        <f t="shared" si="2"/>
        <v>3498540.5899999994</v>
      </c>
      <c r="H28" s="1152"/>
      <c r="I28" s="1152"/>
      <c r="J28" s="1152">
        <f t="shared" si="5"/>
        <v>3498540.5899999994</v>
      </c>
      <c r="K28" s="1126"/>
      <c r="L28" s="1127">
        <f>+'Restating Adj (C)'!B16</f>
        <v>2496027.3799999994</v>
      </c>
      <c r="M28" s="1127">
        <f>+'Restating Adj (C)'!C16</f>
        <v>1002513.2099999998</v>
      </c>
      <c r="N28" s="1126"/>
      <c r="O28" s="1128">
        <f t="shared" si="3"/>
        <v>3498540.5899999994</v>
      </c>
      <c r="P28" s="677">
        <f t="shared" si="4"/>
        <v>0</v>
      </c>
    </row>
    <row r="29" spans="1:16">
      <c r="B29" s="1177">
        <v>33104</v>
      </c>
      <c r="C29" s="1144" t="s">
        <v>227</v>
      </c>
      <c r="D29" s="1125" t="s">
        <v>186</v>
      </c>
      <c r="E29" s="1152">
        <v>0</v>
      </c>
      <c r="F29" s="1152">
        <f>+'Restating Adj (C)'!E17-'Master IS (C)'!E29</f>
        <v>126038.98</v>
      </c>
      <c r="G29" s="1152">
        <f t="shared" si="2"/>
        <v>126038.98</v>
      </c>
      <c r="H29" s="1152"/>
      <c r="I29" s="1152"/>
      <c r="J29" s="1152">
        <f t="shared" si="5"/>
        <v>126038.98</v>
      </c>
      <c r="K29" s="1126"/>
      <c r="L29" s="1127">
        <f>+'Restating Adj (C)'!B17</f>
        <v>0</v>
      </c>
      <c r="M29" s="1127">
        <f>+'Restating Adj (C)'!C17</f>
        <v>126038.98</v>
      </c>
      <c r="N29" s="1126"/>
      <c r="O29" s="1128">
        <f t="shared" si="3"/>
        <v>126038.98</v>
      </c>
      <c r="P29" s="677">
        <f t="shared" si="4"/>
        <v>0</v>
      </c>
    </row>
    <row r="30" spans="1:16">
      <c r="B30" s="1177">
        <v>33100</v>
      </c>
      <c r="C30" s="1144" t="s">
        <v>234</v>
      </c>
      <c r="D30" s="1125" t="s">
        <v>186</v>
      </c>
      <c r="E30" s="1152">
        <f>+'2195 IS (C)'!AH18</f>
        <v>2136839</v>
      </c>
      <c r="F30" s="1152">
        <f>+'Restating Adj (C)'!E18-'Master IS (C)'!E30</f>
        <v>-1247.2400000002235</v>
      </c>
      <c r="G30" s="1152">
        <f t="shared" si="2"/>
        <v>2135591.7599999998</v>
      </c>
      <c r="H30" s="1152"/>
      <c r="I30" s="1152"/>
      <c r="J30" s="1152">
        <f t="shared" si="5"/>
        <v>2135591.7599999998</v>
      </c>
      <c r="K30" s="1126"/>
      <c r="L30" s="1127">
        <f>+'Restating Adj (C)'!B18+H30</f>
        <v>1589078.5899999999</v>
      </c>
      <c r="M30" s="1127">
        <f>+'Restating Adj (C)'!C18</f>
        <v>546513.17000000004</v>
      </c>
      <c r="N30" s="1126"/>
      <c r="O30" s="1128">
        <f t="shared" si="3"/>
        <v>2135591.7599999998</v>
      </c>
      <c r="P30" s="677">
        <f t="shared" si="4"/>
        <v>0</v>
      </c>
    </row>
    <row r="31" spans="1:16">
      <c r="B31" s="1177">
        <v>34000</v>
      </c>
      <c r="C31" s="1144" t="s">
        <v>225</v>
      </c>
      <c r="D31" s="1125" t="s">
        <v>186</v>
      </c>
      <c r="E31" s="1152">
        <f>+'2195 IS (C)'!AH27</f>
        <v>978871.1</v>
      </c>
      <c r="F31" s="1152">
        <f>+'Restating Adj (C)'!E15-'Master IS (C)'!E31</f>
        <v>-9056.8899999998976</v>
      </c>
      <c r="G31" s="1152">
        <f t="shared" ref="G31:G32" si="6">+E31+F31</f>
        <v>969814.21000000008</v>
      </c>
      <c r="H31" s="1152"/>
      <c r="I31" s="1152"/>
      <c r="J31" s="1152">
        <f t="shared" si="5"/>
        <v>969814.21000000008</v>
      </c>
      <c r="K31" s="1126"/>
      <c r="L31" s="1127">
        <f>+'Restating Adj (C)'!B15</f>
        <v>0</v>
      </c>
      <c r="M31" s="1127">
        <f>+'Restating Adj (C)'!C15</f>
        <v>969814.21000000008</v>
      </c>
      <c r="N31" s="1126"/>
      <c r="O31" s="1128">
        <f>SUM(L31:M31)</f>
        <v>969814.21000000008</v>
      </c>
      <c r="P31" s="677">
        <f t="shared" si="4"/>
        <v>0</v>
      </c>
    </row>
    <row r="32" spans="1:16">
      <c r="B32" s="1177"/>
      <c r="C32" s="1144" t="s">
        <v>1416</v>
      </c>
      <c r="D32" s="1125" t="s">
        <v>186</v>
      </c>
      <c r="E32" s="1152">
        <f>+'2195 IS (C)'!AH28</f>
        <v>0</v>
      </c>
      <c r="F32" s="1152">
        <f>+'Restating Adj (C)'!E19</f>
        <v>8327.9199999999983</v>
      </c>
      <c r="G32" s="1152">
        <f t="shared" si="6"/>
        <v>8327.9199999999983</v>
      </c>
      <c r="H32" s="1152"/>
      <c r="I32" s="1152"/>
      <c r="J32" s="1152">
        <f t="shared" si="5"/>
        <v>8327.9199999999983</v>
      </c>
      <c r="K32" s="1126"/>
      <c r="L32" s="1127">
        <v>0</v>
      </c>
      <c r="M32" s="1127">
        <f>+'Restating Adj (C)'!C19</f>
        <v>8327.9199999999983</v>
      </c>
      <c r="N32" s="1126"/>
      <c r="O32" s="1128">
        <f>SUM(L32:M32)</f>
        <v>8327.9199999999983</v>
      </c>
      <c r="P32" s="677">
        <f t="shared" si="4"/>
        <v>0</v>
      </c>
    </row>
    <row r="33" spans="2:18">
      <c r="B33" s="1177"/>
      <c r="C33" s="1144"/>
      <c r="D33" s="1195"/>
      <c r="E33" s="1144"/>
      <c r="F33" s="1144"/>
      <c r="G33" s="1144"/>
      <c r="H33" s="1144"/>
      <c r="I33" s="1144"/>
      <c r="J33" s="1144"/>
      <c r="K33" s="1144"/>
      <c r="L33" s="1144"/>
      <c r="M33" s="1144"/>
      <c r="N33" s="1144"/>
      <c r="O33" s="1196"/>
      <c r="P33" s="623"/>
    </row>
    <row r="34" spans="2:18" s="678" customFormat="1" ht="15">
      <c r="B34" s="1197"/>
      <c r="C34" s="1198" t="s">
        <v>531</v>
      </c>
      <c r="D34" s="1129"/>
      <c r="E34" s="1155">
        <f t="shared" ref="E34:M34" si="7">+SUM(E24:E33)</f>
        <v>20030964.050000001</v>
      </c>
      <c r="F34" s="1155">
        <f t="shared" si="7"/>
        <v>1778.5599999990809</v>
      </c>
      <c r="G34" s="1155">
        <f t="shared" si="7"/>
        <v>20032742.609999999</v>
      </c>
      <c r="H34" s="1155">
        <f t="shared" si="7"/>
        <v>0</v>
      </c>
      <c r="I34" s="1155">
        <f t="shared" si="7"/>
        <v>0</v>
      </c>
      <c r="J34" s="1155">
        <f t="shared" si="7"/>
        <v>20032742.609999999</v>
      </c>
      <c r="K34" s="1155">
        <f t="shared" si="7"/>
        <v>0</v>
      </c>
      <c r="L34" s="1155">
        <f t="shared" si="7"/>
        <v>13642266.059999999</v>
      </c>
      <c r="M34" s="1155">
        <f t="shared" si="7"/>
        <v>6390476.5499999998</v>
      </c>
      <c r="N34" s="1130"/>
      <c r="O34" s="1156">
        <f>+SUM(O24:O33)</f>
        <v>20032742.609999999</v>
      </c>
      <c r="P34" s="677">
        <f t="shared" si="4"/>
        <v>0</v>
      </c>
    </row>
    <row r="35" spans="2:18" ht="15">
      <c r="B35" s="1199"/>
      <c r="C35" s="1200"/>
      <c r="D35" s="1125"/>
      <c r="E35" s="1152"/>
      <c r="F35" s="1152"/>
      <c r="G35" s="1152">
        <f>+G34-'Restating Adj (C)'!E21+'Master IS (C)'!G45</f>
        <v>5.9662852436304092E-10</v>
      </c>
      <c r="H35" s="1152"/>
      <c r="I35" s="1152"/>
      <c r="J35" s="1152"/>
      <c r="K35" s="1126"/>
      <c r="L35" s="1131">
        <f>+L34/$J$34</f>
        <v>0.68099841971663011</v>
      </c>
      <c r="M35" s="1131">
        <f>+M34/$J$34</f>
        <v>0.31900158028336989</v>
      </c>
      <c r="N35" s="1126"/>
      <c r="O35" s="1128">
        <f>+SUM(K35:N35)</f>
        <v>1</v>
      </c>
      <c r="P35" s="677">
        <f t="shared" si="4"/>
        <v>1</v>
      </c>
    </row>
    <row r="36" spans="2:18" ht="15">
      <c r="B36" s="1199"/>
      <c r="C36" s="1200"/>
      <c r="D36" s="1125"/>
      <c r="E36" s="1152"/>
      <c r="F36" s="1152"/>
      <c r="G36" s="1152"/>
      <c r="H36" s="1152"/>
      <c r="I36" s="1152"/>
      <c r="J36" s="1152"/>
      <c r="K36" s="1126"/>
      <c r="L36" s="1131"/>
      <c r="M36" s="1131"/>
      <c r="N36" s="1126"/>
      <c r="O36" s="1128"/>
      <c r="P36" s="679"/>
    </row>
    <row r="37" spans="2:18">
      <c r="B37" s="1199">
        <v>35510</v>
      </c>
      <c r="C37" s="1201" t="s">
        <v>36</v>
      </c>
      <c r="D37" s="1125" t="s">
        <v>186</v>
      </c>
      <c r="E37" s="1152">
        <f>+IFERROR(VLOOKUP($B37,'2195 IS (C)'!$D:$AH,31,FALSE),0)</f>
        <v>0</v>
      </c>
      <c r="F37" s="1152"/>
      <c r="G37" s="1152">
        <f>+E37+F37</f>
        <v>0</v>
      </c>
      <c r="H37" s="1152"/>
      <c r="I37" s="1152"/>
      <c r="J37" s="1152">
        <f t="shared" ref="J37:J41" si="8">+SUM(G37:I37)</f>
        <v>0</v>
      </c>
      <c r="K37" s="1126"/>
      <c r="L37" s="1132">
        <f>IF(($J37=0),0,IF(($D37="ACT"),"0",(VLOOKUP($D37,$E$10:$P$19,8,FALSE)*$J37)))</f>
        <v>0</v>
      </c>
      <c r="M37" s="1127">
        <f>+J37</f>
        <v>0</v>
      </c>
      <c r="N37" s="1126"/>
      <c r="O37" s="1128">
        <f t="shared" ref="O37" si="9">SUM(L37:M37)</f>
        <v>0</v>
      </c>
      <c r="P37" s="677">
        <f t="shared" si="4"/>
        <v>0</v>
      </c>
      <c r="R37" s="680"/>
    </row>
    <row r="38" spans="2:18">
      <c r="B38" s="1199">
        <v>35517</v>
      </c>
      <c r="C38" s="1201" t="s">
        <v>602</v>
      </c>
      <c r="D38" s="1125" t="s">
        <v>186</v>
      </c>
      <c r="E38" s="1152">
        <f>+IFERROR(VLOOKUP($B38,'2195 IS (C)'!$D:$AH,31,FALSE),0)</f>
        <v>5135.55</v>
      </c>
      <c r="F38" s="1152"/>
      <c r="G38" s="1152">
        <f t="shared" ref="G38:G41" si="10">+E38+F38</f>
        <v>5135.55</v>
      </c>
      <c r="H38" s="1152"/>
      <c r="I38" s="1152"/>
      <c r="J38" s="1152">
        <f t="shared" si="8"/>
        <v>5135.55</v>
      </c>
      <c r="K38" s="1126"/>
      <c r="L38" s="1132">
        <v>0</v>
      </c>
      <c r="M38" s="1127">
        <f t="shared" ref="M38:M41" si="11">+J38</f>
        <v>5135.55</v>
      </c>
      <c r="N38" s="1126"/>
      <c r="O38" s="1128">
        <f>SUM(L38:M38)</f>
        <v>5135.55</v>
      </c>
      <c r="P38" s="677">
        <f t="shared" ref="P38:P39" si="12">ROUND(IF(((O38-J38)=0),0,(O38-J38)),2)</f>
        <v>0</v>
      </c>
      <c r="R38" s="680"/>
    </row>
    <row r="39" spans="2:18">
      <c r="B39" s="1199">
        <v>35518</v>
      </c>
      <c r="C39" s="1201" t="s">
        <v>1116</v>
      </c>
      <c r="D39" s="1125" t="s">
        <v>186</v>
      </c>
      <c r="E39" s="1152">
        <f>+IFERROR(VLOOKUP($B39,'2195 IS (C)'!$D:$AH,31,FALSE),0)</f>
        <v>752.52</v>
      </c>
      <c r="F39" s="1152"/>
      <c r="G39" s="1152">
        <f t="shared" si="10"/>
        <v>752.52</v>
      </c>
      <c r="H39" s="1152"/>
      <c r="I39" s="1152"/>
      <c r="J39" s="1152">
        <f t="shared" si="8"/>
        <v>752.52</v>
      </c>
      <c r="K39" s="1126"/>
      <c r="L39" s="1132">
        <v>0</v>
      </c>
      <c r="M39" s="1127">
        <f t="shared" si="11"/>
        <v>752.52</v>
      </c>
      <c r="N39" s="1126"/>
      <c r="O39" s="1128">
        <f>SUM(L39:M39)</f>
        <v>752.52</v>
      </c>
      <c r="P39" s="677">
        <f t="shared" si="12"/>
        <v>0</v>
      </c>
      <c r="R39" s="680"/>
    </row>
    <row r="40" spans="2:18">
      <c r="B40" s="1199">
        <v>35519</v>
      </c>
      <c r="C40" s="1201" t="s">
        <v>2016</v>
      </c>
      <c r="D40" s="1125" t="s">
        <v>208</v>
      </c>
      <c r="E40" s="1152">
        <f>+IFERROR(VLOOKUP($B40,'2195 IS (C)'!$D:$AH,31,FALSE),0)</f>
        <v>144806.12999999998</v>
      </c>
      <c r="F40" s="1152"/>
      <c r="G40" s="1152">
        <f t="shared" ref="G40" si="13">+E40+F40</f>
        <v>144806.12999999998</v>
      </c>
      <c r="H40" s="1152"/>
      <c r="I40" s="1152"/>
      <c r="J40" s="1152">
        <f t="shared" si="8"/>
        <v>144806.12999999998</v>
      </c>
      <c r="K40" s="1126"/>
      <c r="L40" s="1127">
        <f>IF(($J40=0),0,IF(($D40="ACT"),"0",(VLOOKUP($D40,$E$10:$P$19,8,FALSE)*$J40)))</f>
        <v>20256.521019940388</v>
      </c>
      <c r="M40" s="1127">
        <f>IF(($J40=0),0,IF(($D40="ACT"),"0",(VLOOKUP($D40,$E$10:$P$19,9,FALSE)*$J40)))</f>
        <v>124549.60898005959</v>
      </c>
      <c r="N40" s="1126"/>
      <c r="O40" s="1128">
        <f>SUM(L40:M40)</f>
        <v>144806.12999999998</v>
      </c>
      <c r="P40" s="677">
        <f t="shared" ref="P40" si="14">ROUND(IF(((O40-J40)=0),0,(O40-J40)),2)</f>
        <v>0</v>
      </c>
      <c r="R40" s="680"/>
    </row>
    <row r="41" spans="2:18">
      <c r="B41" s="1199">
        <v>35571</v>
      </c>
      <c r="C41" s="1201" t="s">
        <v>1117</v>
      </c>
      <c r="D41" s="1125" t="s">
        <v>186</v>
      </c>
      <c r="E41" s="1152">
        <f>+IFERROR(VLOOKUP($B41,'2195 IS (C)'!$D:$AH,31,FALSE),0)</f>
        <v>2793.5899999999997</v>
      </c>
      <c r="F41" s="1152"/>
      <c r="G41" s="1152">
        <f t="shared" si="10"/>
        <v>2793.5899999999997</v>
      </c>
      <c r="H41" s="1152"/>
      <c r="I41" s="1152"/>
      <c r="J41" s="1152">
        <f t="shared" si="8"/>
        <v>2793.5899999999997</v>
      </c>
      <c r="K41" s="1126"/>
      <c r="L41" s="1132">
        <v>0</v>
      </c>
      <c r="M41" s="1127">
        <f t="shared" si="11"/>
        <v>2793.5899999999997</v>
      </c>
      <c r="N41" s="1126"/>
      <c r="O41" s="1128">
        <f>SUM(L41:M41)</f>
        <v>2793.5899999999997</v>
      </c>
      <c r="P41" s="677">
        <f t="shared" ref="P41" si="15">ROUND(IF(((O41-J41)=0),0,(O41-J41)),2)</f>
        <v>0</v>
      </c>
      <c r="R41" s="680"/>
    </row>
    <row r="42" spans="2:18">
      <c r="B42" s="1199"/>
      <c r="C42" s="1201"/>
      <c r="D42" s="1125"/>
      <c r="E42" s="1153"/>
      <c r="F42" s="1153"/>
      <c r="G42" s="1153"/>
      <c r="H42" s="1153"/>
      <c r="I42" s="1153"/>
      <c r="J42" s="1153"/>
      <c r="K42" s="1126"/>
      <c r="L42" s="1133"/>
      <c r="M42" s="1133"/>
      <c r="N42" s="1126"/>
      <c r="O42" s="1134"/>
      <c r="P42" s="679"/>
      <c r="R42" s="680"/>
    </row>
    <row r="43" spans="2:18" s="630" customFormat="1" ht="15">
      <c r="B43" s="1202"/>
      <c r="C43" s="1200" t="s">
        <v>469</v>
      </c>
      <c r="D43" s="1135"/>
      <c r="E43" s="1157">
        <f t="shared" ref="E43:J43" si="16">SUM(E37:E42)</f>
        <v>153487.78999999998</v>
      </c>
      <c r="F43" s="1157">
        <f t="shared" si="16"/>
        <v>0</v>
      </c>
      <c r="G43" s="1157">
        <f t="shared" si="16"/>
        <v>153487.78999999998</v>
      </c>
      <c r="H43" s="1157">
        <f t="shared" si="16"/>
        <v>0</v>
      </c>
      <c r="I43" s="1157">
        <f t="shared" si="16"/>
        <v>0</v>
      </c>
      <c r="J43" s="1157">
        <f t="shared" si="16"/>
        <v>153487.78999999998</v>
      </c>
      <c r="K43" s="1130"/>
      <c r="L43" s="1157">
        <f>SUM(L37:L42)</f>
        <v>20256.521019940388</v>
      </c>
      <c r="M43" s="1203">
        <f>SUM(M37:M42)</f>
        <v>133231.2689800596</v>
      </c>
      <c r="N43" s="1130"/>
      <c r="O43" s="1158">
        <f>SUM(O37:O42)</f>
        <v>153487.78999999998</v>
      </c>
      <c r="P43" s="677">
        <f t="shared" ref="P43" si="17">ROUND(IF(((O43-J43)=0),0,(O43-J43)),2)</f>
        <v>0</v>
      </c>
      <c r="R43" s="680"/>
    </row>
    <row r="44" spans="2:18" ht="15">
      <c r="B44" s="1199"/>
      <c r="C44" s="1200"/>
      <c r="D44" s="1125"/>
      <c r="E44" s="1152"/>
      <c r="F44" s="1152"/>
      <c r="G44" s="1152"/>
      <c r="H44" s="1152"/>
      <c r="I44" s="1152"/>
      <c r="J44" s="1152"/>
      <c r="K44" s="1126"/>
      <c r="L44" s="1152"/>
      <c r="M44" s="1204"/>
      <c r="N44" s="1126"/>
      <c r="O44" s="1205"/>
      <c r="P44" s="679"/>
      <c r="R44" s="680"/>
    </row>
    <row r="45" spans="2:18">
      <c r="B45" s="1206">
        <v>38000</v>
      </c>
      <c r="C45" s="1201" t="s">
        <v>43</v>
      </c>
      <c r="D45" s="1125" t="s">
        <v>186</v>
      </c>
      <c r="E45" s="1152">
        <f>+IFERROR(VLOOKUP($B45,'2195 IS (C)'!$D:$AH,31,FALSE),0)</f>
        <v>43975.040000000001</v>
      </c>
      <c r="F45" s="1152">
        <f>'Restating Adj (C)'!G20</f>
        <v>-4819.18</v>
      </c>
      <c r="G45" s="1152">
        <f>+E45+F45</f>
        <v>39155.86</v>
      </c>
      <c r="H45" s="1152"/>
      <c r="I45" s="1152"/>
      <c r="J45" s="1152">
        <f t="shared" ref="J45:J46" si="18">+SUM(G45:I45)</f>
        <v>39155.86</v>
      </c>
      <c r="K45" s="1126"/>
      <c r="L45" s="1127">
        <f>+'Restating Adj (C)'!B20</f>
        <v>28813.649999999998</v>
      </c>
      <c r="M45" s="1127">
        <f>'Restating Adj (C)'!C20</f>
        <v>10342.210000000001</v>
      </c>
      <c r="N45" s="1126"/>
      <c r="O45" s="1128">
        <f>SUM(L45:M45)</f>
        <v>39155.86</v>
      </c>
      <c r="P45" s="677">
        <f t="shared" ref="P45:P46" si="19">ROUND(IF(((O45-J45)=0),0,(O45-J45)),2)</f>
        <v>0</v>
      </c>
      <c r="R45" s="680"/>
    </row>
    <row r="46" spans="2:18" s="654" customFormat="1">
      <c r="B46" s="1206">
        <v>38001</v>
      </c>
      <c r="C46" s="1201" t="s">
        <v>44</v>
      </c>
      <c r="D46" s="1125" t="s">
        <v>485</v>
      </c>
      <c r="E46" s="1152">
        <f>+IFERROR(VLOOKUP($B46,'2195 IS (C)'!$D:$AH,31,FALSE),0)</f>
        <v>18095.18</v>
      </c>
      <c r="F46" s="1152">
        <f>-E46</f>
        <v>-18095.18</v>
      </c>
      <c r="G46" s="1152">
        <f>+E46+F46</f>
        <v>0</v>
      </c>
      <c r="H46" s="1152"/>
      <c r="I46" s="1152"/>
      <c r="J46" s="1152">
        <f t="shared" si="18"/>
        <v>0</v>
      </c>
      <c r="K46" s="1126"/>
      <c r="L46" s="1127">
        <f>IF(($J46=0),0,IF(($D46="ACT"),"0",(VLOOKUP($D46,$E$10:$P$19,8,FALSE)*$J46)))</f>
        <v>0</v>
      </c>
      <c r="M46" s="1127">
        <f>IF(($J46=0),0,IF(($D46="ACT"),"0",(VLOOKUP($D46,$E$10:$P$19,9,FALSE)*$J46)))</f>
        <v>0</v>
      </c>
      <c r="N46" s="1126"/>
      <c r="O46" s="1128">
        <f>SUM(L46:M46)</f>
        <v>0</v>
      </c>
      <c r="P46" s="677">
        <f t="shared" si="19"/>
        <v>0</v>
      </c>
      <c r="R46" s="680"/>
    </row>
    <row r="47" spans="2:18">
      <c r="B47" s="1206"/>
      <c r="C47" s="1201"/>
      <c r="D47" s="1125"/>
      <c r="E47" s="1153"/>
      <c r="F47" s="1153"/>
      <c r="G47" s="1153"/>
      <c r="H47" s="1153"/>
      <c r="I47" s="1153"/>
      <c r="J47" s="1153"/>
      <c r="K47" s="1126"/>
      <c r="L47" s="1133"/>
      <c r="M47" s="1133"/>
      <c r="N47" s="1126"/>
      <c r="O47" s="1134"/>
      <c r="P47" s="679"/>
      <c r="R47" s="680"/>
    </row>
    <row r="48" spans="2:18" s="630" customFormat="1" ht="15">
      <c r="B48" s="1202"/>
      <c r="C48" s="1200" t="s">
        <v>203</v>
      </c>
      <c r="D48" s="1135"/>
      <c r="E48" s="1157">
        <f t="shared" ref="E48:J48" si="20">SUM(E45:E47)</f>
        <v>62070.22</v>
      </c>
      <c r="F48" s="1157">
        <f t="shared" si="20"/>
        <v>-22914.36</v>
      </c>
      <c r="G48" s="1157">
        <f t="shared" si="20"/>
        <v>39155.86</v>
      </c>
      <c r="H48" s="1157">
        <f t="shared" si="20"/>
        <v>0</v>
      </c>
      <c r="I48" s="1157">
        <f t="shared" si="20"/>
        <v>0</v>
      </c>
      <c r="J48" s="1157">
        <f t="shared" si="20"/>
        <v>39155.86</v>
      </c>
      <c r="K48" s="1130"/>
      <c r="L48" s="1157">
        <f>SUM(L45:L47)</f>
        <v>28813.649999999998</v>
      </c>
      <c r="M48" s="1157">
        <f>SUM(M45:M47)</f>
        <v>10342.210000000001</v>
      </c>
      <c r="N48" s="1130"/>
      <c r="O48" s="1158">
        <f>SUM(O45:O46)</f>
        <v>39155.86</v>
      </c>
      <c r="P48" s="677">
        <f t="shared" ref="P48" si="21">ROUND(IF(((O48-J48)=0),0,(O48-J48)),2)</f>
        <v>0</v>
      </c>
      <c r="R48" s="680"/>
    </row>
    <row r="49" spans="1:18" ht="15">
      <c r="B49" s="1199"/>
      <c r="C49" s="1200"/>
      <c r="D49" s="1125"/>
      <c r="E49" s="1152">
        <f>E48+E43+E34-'2195 IS (C)'!AH58</f>
        <v>0</v>
      </c>
      <c r="F49" s="1207"/>
      <c r="G49" s="1207"/>
      <c r="H49" s="1152"/>
      <c r="I49" s="1152"/>
      <c r="J49" s="1152"/>
      <c r="K49" s="1126"/>
      <c r="L49" s="1126"/>
      <c r="M49" s="1136"/>
      <c r="N49" s="1126"/>
      <c r="O49" s="1128">
        <f>SUM(L49:M49)</f>
        <v>0</v>
      </c>
      <c r="P49" s="679"/>
      <c r="R49" s="680"/>
    </row>
    <row r="50" spans="1:18" ht="15.75" thickBot="1">
      <c r="B50" s="1199"/>
      <c r="C50" s="1208" t="s">
        <v>446</v>
      </c>
      <c r="D50" s="1125"/>
      <c r="E50" s="1209">
        <f t="shared" ref="E50:J50" si="22">E48+E43+E34</f>
        <v>20246522.060000002</v>
      </c>
      <c r="F50" s="1209">
        <f t="shared" si="22"/>
        <v>-21135.80000000092</v>
      </c>
      <c r="G50" s="1209">
        <f t="shared" si="22"/>
        <v>20225386.259999998</v>
      </c>
      <c r="H50" s="1209">
        <f t="shared" si="22"/>
        <v>0</v>
      </c>
      <c r="I50" s="1209">
        <f t="shared" si="22"/>
        <v>0</v>
      </c>
      <c r="J50" s="1209">
        <f t="shared" si="22"/>
        <v>20225386.259999998</v>
      </c>
      <c r="K50" s="1126"/>
      <c r="L50" s="1209">
        <f>L48+L43+L34</f>
        <v>13691336.231019938</v>
      </c>
      <c r="M50" s="1209">
        <f>M48+M43+M34</f>
        <v>6534050.0289800595</v>
      </c>
      <c r="N50" s="1126"/>
      <c r="O50" s="1210">
        <f>O48+O43+O34</f>
        <v>20225386.259999998</v>
      </c>
      <c r="P50" s="679"/>
      <c r="R50" s="680"/>
    </row>
    <row r="51" spans="1:18" ht="15">
      <c r="B51" s="1199"/>
      <c r="C51" s="1200"/>
      <c r="D51" s="1125"/>
      <c r="E51" s="1152">
        <f>+E50-'2195 IS (C)'!AH58</f>
        <v>0</v>
      </c>
      <c r="F51" s="1207">
        <f>F48+F34-'Restating Adj (C)'!G21-F46</f>
        <v>0</v>
      </c>
      <c r="G51" s="1207"/>
      <c r="H51" s="1152"/>
      <c r="I51" s="1152"/>
      <c r="J51" s="1152"/>
      <c r="K51" s="1126"/>
      <c r="L51" s="1126">
        <f>L50-'Restating Adj (C)'!B21-L40-H50</f>
        <v>-1.0550138540565968E-9</v>
      </c>
      <c r="M51" s="1136"/>
      <c r="N51" s="1126"/>
      <c r="O51" s="1128"/>
      <c r="P51" s="679"/>
      <c r="R51" s="680"/>
    </row>
    <row r="52" spans="1:18" ht="15">
      <c r="B52" s="1199"/>
      <c r="C52" s="1200"/>
      <c r="D52" s="1125"/>
      <c r="E52" s="1152"/>
      <c r="F52" s="1152"/>
      <c r="G52" s="1152"/>
      <c r="H52" s="1152"/>
      <c r="I52" s="1152"/>
      <c r="J52" s="1152"/>
      <c r="K52" s="1126"/>
      <c r="L52" s="1126"/>
      <c r="M52" s="1136"/>
      <c r="N52" s="1126"/>
      <c r="O52" s="1128"/>
      <c r="P52" s="679"/>
      <c r="R52" s="680"/>
    </row>
    <row r="53" spans="1:18" ht="15">
      <c r="B53" s="1137"/>
      <c r="C53" s="1138" t="s">
        <v>470</v>
      </c>
      <c r="D53" s="1125"/>
      <c r="E53" s="1152"/>
      <c r="F53" s="1152"/>
      <c r="G53" s="1152"/>
      <c r="H53" s="1152"/>
      <c r="I53" s="1152"/>
      <c r="J53" s="1152"/>
      <c r="K53" s="1126"/>
      <c r="L53" s="1126"/>
      <c r="M53" s="1136"/>
      <c r="N53" s="1126"/>
      <c r="O53" s="1128"/>
      <c r="P53" s="679"/>
      <c r="R53" s="680"/>
    </row>
    <row r="54" spans="1:18">
      <c r="B54" s="1139"/>
      <c r="C54" s="1140"/>
      <c r="D54" s="1141"/>
      <c r="E54" s="1140"/>
      <c r="F54" s="1140"/>
      <c r="G54" s="1140"/>
      <c r="H54" s="1140"/>
      <c r="I54" s="1140"/>
      <c r="J54" s="1140"/>
      <c r="K54" s="1140"/>
      <c r="L54" s="1140"/>
      <c r="M54" s="1142"/>
      <c r="N54" s="1142"/>
      <c r="O54" s="1143"/>
      <c r="R54" s="680"/>
    </row>
    <row r="55" spans="1:18">
      <c r="A55" s="628">
        <v>4115</v>
      </c>
      <c r="B55" s="1211">
        <v>52010</v>
      </c>
      <c r="C55" s="1144" t="s">
        <v>62</v>
      </c>
      <c r="D55" s="1125" t="s">
        <v>187</v>
      </c>
      <c r="E55" s="1152">
        <f>IFERROR(VLOOKUP(B55,'2195 IS (C)'!D:AI,31,FALSE),0)</f>
        <v>104033.16</v>
      </c>
      <c r="F55" s="1152"/>
      <c r="G55" s="1152">
        <f t="shared" ref="G55:G62" si="23">+E55+F55</f>
        <v>104033.16</v>
      </c>
      <c r="H55" s="1152">
        <f>+'Pro forma Adj (C)'!B12</f>
        <v>8359.4121507536111</v>
      </c>
      <c r="I55" s="1152"/>
      <c r="J55" s="1152">
        <f t="shared" ref="J55:J69" si="24">+SUM(G55:I55)</f>
        <v>112392.57215075361</v>
      </c>
      <c r="K55" s="1126"/>
      <c r="L55" s="1127">
        <f>IF(($J55=0),0,IF(($D55="ACT"),"0",(VLOOKUP($D55,$E$10:$P$19,8,FALSE)*$J55)))</f>
        <v>79852.333847846501</v>
      </c>
      <c r="M55" s="1127">
        <f>IF(($J55=0),0,IF(($D55="ACT"),"0",(VLOOKUP($D55,$E$10:$P$19,9,FALSE)*$J55)))</f>
        <v>32540.23830290711</v>
      </c>
      <c r="N55" s="1126"/>
      <c r="O55" s="1128">
        <f t="shared" ref="O55:O62" si="25">SUM(L55:M55)</f>
        <v>112392.57215075361</v>
      </c>
      <c r="P55" s="677">
        <f t="shared" ref="P55:P116" si="26">ROUND(IF(((O55-J55)=0),0,(O55-J55)),2)</f>
        <v>0</v>
      </c>
      <c r="R55" s="680"/>
    </row>
    <row r="56" spans="1:18">
      <c r="A56" s="628">
        <v>4115</v>
      </c>
      <c r="B56" s="1211">
        <v>52020</v>
      </c>
      <c r="C56" s="1145" t="s">
        <v>235</v>
      </c>
      <c r="D56" s="1125" t="s">
        <v>187</v>
      </c>
      <c r="E56" s="1152">
        <f>IFERROR(VLOOKUP(B56,'2195 IS (C)'!D:AI,31,FALSE),0)</f>
        <v>468259.98</v>
      </c>
      <c r="F56" s="1152"/>
      <c r="G56" s="1152">
        <f t="shared" si="23"/>
        <v>468259.98</v>
      </c>
      <c r="H56" s="1152">
        <f>'Pro forma Adj (C)'!B11</f>
        <v>50012.095882022702</v>
      </c>
      <c r="I56" s="1152"/>
      <c r="J56" s="1152">
        <f t="shared" si="24"/>
        <v>518272.07588202268</v>
      </c>
      <c r="K56" s="1126"/>
      <c r="L56" s="1127">
        <f>IF(($J56=0),0,IF(($D56="ACT"),"0",(VLOOKUP($D56,$E$10:$P$19,8,FALSE)*$J56)))</f>
        <v>368220.37288938597</v>
      </c>
      <c r="M56" s="1127">
        <f>IF(($J56=0),0,IF(($D56="ACT"),"0",(VLOOKUP($D56,$E$10:$P$19,9,FALSE)*$J56)))</f>
        <v>150051.70299263674</v>
      </c>
      <c r="N56" s="1126"/>
      <c r="O56" s="1128">
        <f t="shared" si="25"/>
        <v>518272.07588202273</v>
      </c>
      <c r="P56" s="677">
        <f t="shared" si="26"/>
        <v>0</v>
      </c>
      <c r="R56" s="680"/>
    </row>
    <row r="57" spans="1:18">
      <c r="A57" s="628">
        <v>4115</v>
      </c>
      <c r="B57" s="1211"/>
      <c r="C57" s="1145" t="s">
        <v>2985</v>
      </c>
      <c r="D57" s="1125" t="s">
        <v>186</v>
      </c>
      <c r="E57" s="1152">
        <v>0</v>
      </c>
      <c r="F57" s="1152"/>
      <c r="G57" s="1152">
        <v>0</v>
      </c>
      <c r="H57" s="1152"/>
      <c r="I57" s="1152">
        <f>+'Automation Data'!B6</f>
        <v>41704</v>
      </c>
      <c r="J57" s="1152">
        <f t="shared" si="24"/>
        <v>41704</v>
      </c>
      <c r="K57" s="1126"/>
      <c r="L57" s="1127">
        <f>+J57*'Allocators (C)'!C74</f>
        <v>29551.321014243113</v>
      </c>
      <c r="M57" s="1127">
        <f>+I57*'Allocators (C)'!D74</f>
        <v>12152.678985756882</v>
      </c>
      <c r="N57" s="1126"/>
      <c r="O57" s="1128">
        <f t="shared" ref="O57" si="27">SUM(L57:M57)</f>
        <v>41703.999999999993</v>
      </c>
      <c r="P57" s="677">
        <f t="shared" si="26"/>
        <v>0</v>
      </c>
      <c r="R57" s="680"/>
    </row>
    <row r="58" spans="1:18">
      <c r="A58" s="628">
        <v>4115</v>
      </c>
      <c r="B58" s="1211">
        <v>52025</v>
      </c>
      <c r="C58" s="1144" t="s">
        <v>236</v>
      </c>
      <c r="D58" s="1125" t="s">
        <v>187</v>
      </c>
      <c r="E58" s="1152">
        <f>IFERROR(VLOOKUP(B58,'2195 IS (C)'!D:AI,31,FALSE),0)</f>
        <v>50090.879999999997</v>
      </c>
      <c r="F58" s="1152"/>
      <c r="G58" s="1152">
        <f t="shared" si="23"/>
        <v>50090.879999999997</v>
      </c>
      <c r="H58" s="1152"/>
      <c r="I58" s="1152"/>
      <c r="J58" s="1152">
        <f t="shared" si="24"/>
        <v>50090.879999999997</v>
      </c>
      <c r="K58" s="1126"/>
      <c r="L58" s="1127">
        <f t="shared" ref="L58:L69" si="28">IF(($J58=0),0,IF(($D58="ACT"),"0",(VLOOKUP($D58,$E$10:$P$19,8,FALSE)*$J58)))</f>
        <v>35588.416529228773</v>
      </c>
      <c r="M58" s="1127">
        <f t="shared" ref="M58:M69" si="29">IF(($J58=0),0,IF(($D58="ACT"),"0",(VLOOKUP($D58,$E$10:$P$19,9,FALSE)*$J58)))</f>
        <v>14502.463470771227</v>
      </c>
      <c r="N58" s="1126"/>
      <c r="O58" s="1128">
        <f t="shared" si="25"/>
        <v>50090.879999999997</v>
      </c>
      <c r="P58" s="677">
        <f t="shared" si="26"/>
        <v>0</v>
      </c>
      <c r="R58" s="680"/>
    </row>
    <row r="59" spans="1:18">
      <c r="A59" s="628">
        <v>4115</v>
      </c>
      <c r="B59" s="1211">
        <v>52035</v>
      </c>
      <c r="C59" s="1144" t="s">
        <v>237</v>
      </c>
      <c r="D59" s="1125" t="s">
        <v>187</v>
      </c>
      <c r="E59" s="1152">
        <f>IFERROR(VLOOKUP(B59,'2195 IS (C)'!D:AI,31,FALSE),0)</f>
        <v>12338.41</v>
      </c>
      <c r="F59" s="1152"/>
      <c r="G59" s="1152">
        <f t="shared" si="23"/>
        <v>12338.41</v>
      </c>
      <c r="H59" s="1152"/>
      <c r="I59" s="1152"/>
      <c r="J59" s="1152">
        <f t="shared" si="24"/>
        <v>12338.41</v>
      </c>
      <c r="K59" s="1126"/>
      <c r="L59" s="1127">
        <f t="shared" si="28"/>
        <v>8766.1561223999579</v>
      </c>
      <c r="M59" s="1127">
        <f t="shared" si="29"/>
        <v>3572.2538776000424</v>
      </c>
      <c r="N59" s="1126"/>
      <c r="O59" s="1128">
        <f t="shared" si="25"/>
        <v>12338.41</v>
      </c>
      <c r="P59" s="677">
        <f t="shared" si="26"/>
        <v>0</v>
      </c>
      <c r="R59" s="680"/>
    </row>
    <row r="60" spans="1:18">
      <c r="A60" s="628">
        <v>4115</v>
      </c>
      <c r="B60" s="1211">
        <v>52036</v>
      </c>
      <c r="C60" s="1144" t="s">
        <v>66</v>
      </c>
      <c r="D60" s="1125" t="s">
        <v>187</v>
      </c>
      <c r="E60" s="1152">
        <f>IFERROR(VLOOKUP(B60,'2195 IS (C)'!D:AI,31,FALSE),0)</f>
        <v>12228.02</v>
      </c>
      <c r="F60" s="1152"/>
      <c r="G60" s="1152">
        <f t="shared" si="23"/>
        <v>12228.02</v>
      </c>
      <c r="H60" s="1152"/>
      <c r="I60" s="1152"/>
      <c r="J60" s="1152">
        <f t="shared" si="24"/>
        <v>12228.02</v>
      </c>
      <c r="K60" s="1126"/>
      <c r="L60" s="1127">
        <f t="shared" si="28"/>
        <v>8687.7265699412746</v>
      </c>
      <c r="M60" s="1127">
        <f t="shared" si="29"/>
        <v>3540.2934300587249</v>
      </c>
      <c r="N60" s="1126"/>
      <c r="O60" s="1128">
        <f t="shared" si="25"/>
        <v>12228.02</v>
      </c>
      <c r="P60" s="677">
        <f t="shared" si="26"/>
        <v>0</v>
      </c>
      <c r="R60" s="680"/>
    </row>
    <row r="61" spans="1:18">
      <c r="A61" s="628">
        <v>4115</v>
      </c>
      <c r="B61" s="1146">
        <v>52065</v>
      </c>
      <c r="C61" s="1144" t="s">
        <v>70</v>
      </c>
      <c r="D61" s="1125" t="s">
        <v>187</v>
      </c>
      <c r="E61" s="1152">
        <f>IFERROR(VLOOKUP(B61,'2195 IS (C)'!D:AI,31,FALSE),0)</f>
        <v>19422.98</v>
      </c>
      <c r="F61" s="1152"/>
      <c r="G61" s="1152">
        <f t="shared" si="23"/>
        <v>19422.98</v>
      </c>
      <c r="H61" s="1152"/>
      <c r="I61" s="1152"/>
      <c r="J61" s="1152">
        <f t="shared" si="24"/>
        <v>19422.98</v>
      </c>
      <c r="K61" s="1126"/>
      <c r="L61" s="1127">
        <f t="shared" si="28"/>
        <v>13799.57993309121</v>
      </c>
      <c r="M61" s="1127">
        <f t="shared" si="29"/>
        <v>5623.4000669087891</v>
      </c>
      <c r="N61" s="1126"/>
      <c r="O61" s="1128">
        <f t="shared" si="25"/>
        <v>19422.98</v>
      </c>
      <c r="P61" s="677">
        <f t="shared" si="26"/>
        <v>0</v>
      </c>
      <c r="R61" s="680"/>
    </row>
    <row r="62" spans="1:18">
      <c r="A62" s="628">
        <v>4115</v>
      </c>
      <c r="B62" s="1146">
        <v>52070</v>
      </c>
      <c r="C62" s="1144" t="s">
        <v>71</v>
      </c>
      <c r="D62" s="1125" t="s">
        <v>187</v>
      </c>
      <c r="E62" s="1152">
        <f>IFERROR(VLOOKUP(B62,'2195 IS (C)'!D:AI,31,FALSE),0)</f>
        <v>23720.799999999999</v>
      </c>
      <c r="F62" s="1152"/>
      <c r="G62" s="1152">
        <f t="shared" si="23"/>
        <v>23720.799999999999</v>
      </c>
      <c r="H62" s="1152"/>
      <c r="I62" s="1152"/>
      <c r="J62" s="1152">
        <f t="shared" si="24"/>
        <v>23720.799999999999</v>
      </c>
      <c r="K62" s="1126"/>
      <c r="L62" s="1127">
        <f t="shared" si="28"/>
        <v>16853.082054188904</v>
      </c>
      <c r="M62" s="1127">
        <f t="shared" si="29"/>
        <v>6867.7179458110959</v>
      </c>
      <c r="N62" s="1126"/>
      <c r="O62" s="1128">
        <f t="shared" si="25"/>
        <v>23720.799999999999</v>
      </c>
      <c r="P62" s="677">
        <f t="shared" si="26"/>
        <v>0</v>
      </c>
      <c r="R62" s="680"/>
    </row>
    <row r="63" spans="1:18">
      <c r="A63" s="628">
        <v>4115</v>
      </c>
      <c r="B63" s="1146">
        <v>55020</v>
      </c>
      <c r="C63" s="1144" t="s">
        <v>63</v>
      </c>
      <c r="D63" s="1125" t="s">
        <v>1027</v>
      </c>
      <c r="E63" s="1152">
        <f>IFERROR(VLOOKUP(B63,'2195 IS (C)'!D:AI,31,FALSE),0)</f>
        <v>88472.909999999989</v>
      </c>
      <c r="F63" s="1152"/>
      <c r="G63" s="1152">
        <f t="shared" ref="G63:G69" si="30">+E63+F63</f>
        <v>88472.909999999989</v>
      </c>
      <c r="H63" s="1152">
        <f>+'Pro forma Adj (C)'!B16</f>
        <v>71846.823034025001</v>
      </c>
      <c r="I63" s="1152"/>
      <c r="J63" s="1152">
        <f t="shared" si="24"/>
        <v>160319.733034025</v>
      </c>
      <c r="K63" s="1126"/>
      <c r="L63" s="1127">
        <f t="shared" si="28"/>
        <v>116886.01492856501</v>
      </c>
      <c r="M63" s="1127">
        <f t="shared" si="29"/>
        <v>43433.718105460008</v>
      </c>
      <c r="N63" s="1126"/>
      <c r="O63" s="1128">
        <f t="shared" ref="O63:O69" si="31">SUM(L63:M63)</f>
        <v>160319.733034025</v>
      </c>
      <c r="P63" s="677">
        <f t="shared" ref="P63:P69" si="32">ROUND(IF(((O63-J63)=0),0,(O63-J63)),2)</f>
        <v>0</v>
      </c>
      <c r="R63" s="680"/>
    </row>
    <row r="64" spans="1:18">
      <c r="A64" s="628">
        <v>4115</v>
      </c>
      <c r="B64" s="1146">
        <v>55025</v>
      </c>
      <c r="C64" s="1144" t="s">
        <v>64</v>
      </c>
      <c r="D64" s="1125" t="s">
        <v>1027</v>
      </c>
      <c r="E64" s="1152">
        <f>IFERROR(VLOOKUP(B64,'2195 IS (C)'!D:AI,31,FALSE),0)</f>
        <v>3754.0999999999995</v>
      </c>
      <c r="F64" s="1152"/>
      <c r="G64" s="1152">
        <f t="shared" si="30"/>
        <v>3754.0999999999995</v>
      </c>
      <c r="H64" s="1152"/>
      <c r="I64" s="1152"/>
      <c r="J64" s="1152">
        <f t="shared" si="24"/>
        <v>3754.0999999999995</v>
      </c>
      <c r="K64" s="1126"/>
      <c r="L64" s="1127">
        <f t="shared" si="28"/>
        <v>2737.0416625519083</v>
      </c>
      <c r="M64" s="1127">
        <f t="shared" si="29"/>
        <v>1017.0583374480917</v>
      </c>
      <c r="N64" s="1126"/>
      <c r="O64" s="1128">
        <f t="shared" si="31"/>
        <v>3754.1</v>
      </c>
      <c r="P64" s="677">
        <f t="shared" si="32"/>
        <v>0</v>
      </c>
      <c r="R64" s="680"/>
    </row>
    <row r="65" spans="1:18">
      <c r="A65" s="628">
        <v>4115</v>
      </c>
      <c r="B65" s="1146">
        <v>55035</v>
      </c>
      <c r="C65" s="1144" t="s">
        <v>65</v>
      </c>
      <c r="D65" s="1125" t="s">
        <v>1027</v>
      </c>
      <c r="E65" s="1152">
        <f>IFERROR(VLOOKUP(B65,'2195 IS (C)'!D:AI,31,FALSE),0)</f>
        <v>2468.96</v>
      </c>
      <c r="F65" s="1152"/>
      <c r="G65" s="1152">
        <f t="shared" ref="G65" si="33">+E65+F65</f>
        <v>2468.96</v>
      </c>
      <c r="H65" s="1152"/>
      <c r="I65" s="1152"/>
      <c r="J65" s="1152">
        <f t="shared" si="24"/>
        <v>2468.96</v>
      </c>
      <c r="K65" s="1126"/>
      <c r="L65" s="1127">
        <f t="shared" si="28"/>
        <v>1800.0709579324366</v>
      </c>
      <c r="M65" s="1127">
        <f t="shared" si="29"/>
        <v>668.88904206756365</v>
      </c>
      <c r="N65" s="1126"/>
      <c r="O65" s="1128">
        <f t="shared" ref="O65" si="34">SUM(L65:M65)</f>
        <v>2468.96</v>
      </c>
      <c r="P65" s="677">
        <f t="shared" ref="P65" si="35">ROUND(IF(((O65-J65)=0),0,(O65-J65)),2)</f>
        <v>0</v>
      </c>
      <c r="R65" s="680"/>
    </row>
    <row r="66" spans="1:18">
      <c r="A66" s="628">
        <v>4115</v>
      </c>
      <c r="B66" s="1146">
        <v>55036</v>
      </c>
      <c r="C66" s="1144" t="s">
        <v>66</v>
      </c>
      <c r="D66" s="1125" t="s">
        <v>1027</v>
      </c>
      <c r="E66" s="1152">
        <f>IFERROR(VLOOKUP(B66,'2195 IS (C)'!D:AI,31,FALSE),0)</f>
        <v>534.37</v>
      </c>
      <c r="F66" s="1152"/>
      <c r="G66" s="1152">
        <f t="shared" si="30"/>
        <v>534.37</v>
      </c>
      <c r="H66" s="1152"/>
      <c r="I66" s="1152"/>
      <c r="J66" s="1152">
        <f t="shared" si="24"/>
        <v>534.37</v>
      </c>
      <c r="K66" s="1126"/>
      <c r="L66" s="1127">
        <f t="shared" si="28"/>
        <v>389.59882614151553</v>
      </c>
      <c r="M66" s="1127">
        <f t="shared" si="29"/>
        <v>144.77117385848456</v>
      </c>
      <c r="N66" s="1126"/>
      <c r="O66" s="1128">
        <f t="shared" si="31"/>
        <v>534.37000000000012</v>
      </c>
      <c r="P66" s="677">
        <f t="shared" si="32"/>
        <v>0</v>
      </c>
      <c r="R66" s="680"/>
    </row>
    <row r="67" spans="1:18">
      <c r="A67" s="628">
        <v>4115</v>
      </c>
      <c r="B67" s="1146">
        <v>55045</v>
      </c>
      <c r="C67" s="1144" t="s">
        <v>67</v>
      </c>
      <c r="D67" s="1125" t="s">
        <v>1027</v>
      </c>
      <c r="E67" s="1152">
        <f>IFERROR(VLOOKUP(B67,'2195 IS (C)'!D:AI,31,FALSE),0)</f>
        <v>7076.7</v>
      </c>
      <c r="F67" s="1152"/>
      <c r="G67" s="1152">
        <f t="shared" ref="G67" si="36">+E67+F67</f>
        <v>7076.7</v>
      </c>
      <c r="H67" s="1152"/>
      <c r="I67" s="1152"/>
      <c r="J67" s="1152">
        <f t="shared" si="24"/>
        <v>7076.7</v>
      </c>
      <c r="K67" s="1126"/>
      <c r="L67" s="1127">
        <f t="shared" si="28"/>
        <v>5159.4850252739916</v>
      </c>
      <c r="M67" s="1127">
        <f t="shared" si="29"/>
        <v>1917.2149747260094</v>
      </c>
      <c r="N67" s="1126"/>
      <c r="O67" s="1128">
        <f t="shared" ref="O67" si="37">SUM(L67:M67)</f>
        <v>7076.7000000000007</v>
      </c>
      <c r="P67" s="677">
        <f t="shared" ref="P67" si="38">ROUND(IF(((O67-J67)=0),0,(O67-J67)),2)</f>
        <v>0</v>
      </c>
      <c r="R67" s="680"/>
    </row>
    <row r="68" spans="1:18">
      <c r="A68" s="628">
        <v>4115</v>
      </c>
      <c r="B68" s="1146">
        <v>55065</v>
      </c>
      <c r="C68" s="1144" t="s">
        <v>70</v>
      </c>
      <c r="D68" s="1125" t="s">
        <v>1027</v>
      </c>
      <c r="E68" s="1152">
        <f>IFERROR(VLOOKUP(B68,'2195 IS (C)'!D:AI,31,FALSE),0)</f>
        <v>5023.1100000000006</v>
      </c>
      <c r="F68" s="1152"/>
      <c r="G68" s="1152">
        <f t="shared" si="30"/>
        <v>5023.1100000000006</v>
      </c>
      <c r="H68" s="1152"/>
      <c r="I68" s="1152"/>
      <c r="J68" s="1152">
        <f t="shared" si="24"/>
        <v>5023.1100000000006</v>
      </c>
      <c r="K68" s="1126"/>
      <c r="L68" s="1127">
        <f t="shared" si="28"/>
        <v>3662.2522963109982</v>
      </c>
      <c r="M68" s="1127">
        <f t="shared" si="29"/>
        <v>1360.8577036890028</v>
      </c>
      <c r="N68" s="1126"/>
      <c r="O68" s="1128">
        <f t="shared" si="31"/>
        <v>5023.1100000000006</v>
      </c>
      <c r="P68" s="677">
        <f t="shared" si="32"/>
        <v>0</v>
      </c>
      <c r="R68" s="680"/>
    </row>
    <row r="69" spans="1:18">
      <c r="A69" s="628">
        <v>4115</v>
      </c>
      <c r="B69" s="1146">
        <v>55070</v>
      </c>
      <c r="C69" s="1144" t="s">
        <v>71</v>
      </c>
      <c r="D69" s="1125" t="s">
        <v>1027</v>
      </c>
      <c r="E69" s="1152">
        <f>IFERROR(VLOOKUP(B69,'2195 IS (C)'!D:AI,31,FALSE),0)</f>
        <v>2262.46</v>
      </c>
      <c r="F69" s="1152"/>
      <c r="G69" s="1152">
        <f t="shared" si="30"/>
        <v>2262.46</v>
      </c>
      <c r="H69" s="1152"/>
      <c r="I69" s="1152"/>
      <c r="J69" s="1152">
        <f t="shared" si="24"/>
        <v>2262.46</v>
      </c>
      <c r="K69" s="1126"/>
      <c r="L69" s="1127">
        <f t="shared" si="28"/>
        <v>1649.5158040161932</v>
      </c>
      <c r="M69" s="1127">
        <f t="shared" si="29"/>
        <v>612.94419598380705</v>
      </c>
      <c r="N69" s="1126"/>
      <c r="O69" s="1128">
        <f t="shared" si="31"/>
        <v>2262.46</v>
      </c>
      <c r="P69" s="677">
        <f t="shared" si="32"/>
        <v>0</v>
      </c>
      <c r="R69" s="680"/>
    </row>
    <row r="70" spans="1:18">
      <c r="B70" s="1146"/>
      <c r="C70" s="1144"/>
      <c r="D70" s="1125"/>
      <c r="E70" s="1153"/>
      <c r="F70" s="1153"/>
      <c r="G70" s="1153"/>
      <c r="H70" s="1153"/>
      <c r="I70" s="1153"/>
      <c r="J70" s="1153"/>
      <c r="K70" s="1126"/>
      <c r="L70" s="1133"/>
      <c r="M70" s="1133"/>
      <c r="N70" s="1126"/>
      <c r="O70" s="1134"/>
      <c r="P70" s="677"/>
      <c r="R70" s="680"/>
    </row>
    <row r="71" spans="1:18" ht="15">
      <c r="B71" s="1147"/>
      <c r="C71" s="1138" t="s">
        <v>443</v>
      </c>
      <c r="D71" s="1125"/>
      <c r="E71" s="1157">
        <f t="shared" ref="E71:J71" si="39">SUM(E55:E70)</f>
        <v>799686.84</v>
      </c>
      <c r="F71" s="1157">
        <f t="shared" si="39"/>
        <v>0</v>
      </c>
      <c r="G71" s="1157">
        <f t="shared" si="39"/>
        <v>799686.84</v>
      </c>
      <c r="H71" s="1157">
        <f t="shared" si="39"/>
        <v>130218.33106680131</v>
      </c>
      <c r="I71" s="1157">
        <f t="shared" si="39"/>
        <v>41704</v>
      </c>
      <c r="J71" s="1157">
        <f t="shared" si="39"/>
        <v>971609.17106680118</v>
      </c>
      <c r="K71" s="1126"/>
      <c r="L71" s="1157">
        <f>SUM(L55:L70)</f>
        <v>693602.96846111771</v>
      </c>
      <c r="M71" s="1157">
        <f>SUM(M55:M70)</f>
        <v>278006.20260568371</v>
      </c>
      <c r="N71" s="1126"/>
      <c r="O71" s="1158">
        <f>SUM(O55:O70)</f>
        <v>971609.17106680118</v>
      </c>
      <c r="P71" s="677">
        <f t="shared" si="26"/>
        <v>0</v>
      </c>
      <c r="R71" s="680"/>
    </row>
    <row r="72" spans="1:18" s="623" customFormat="1">
      <c r="B72" s="1177"/>
      <c r="C72" s="1144"/>
      <c r="D72" s="1195"/>
      <c r="E72" s="1144"/>
      <c r="F72" s="1144"/>
      <c r="G72" s="1144"/>
      <c r="H72" s="1144"/>
      <c r="I72" s="1144"/>
      <c r="J72" s="1144"/>
      <c r="K72" s="1144"/>
      <c r="L72" s="1144"/>
      <c r="M72" s="1144"/>
      <c r="N72" s="1144"/>
      <c r="O72" s="1196"/>
      <c r="R72" s="680"/>
    </row>
    <row r="73" spans="1:18">
      <c r="A73" s="628">
        <v>4120</v>
      </c>
      <c r="B73" s="1148">
        <v>57147</v>
      </c>
      <c r="C73" s="1145" t="s">
        <v>923</v>
      </c>
      <c r="D73" s="1125" t="s">
        <v>187</v>
      </c>
      <c r="E73" s="1152">
        <f>IFERROR(VLOOKUP(B73,'2195 IS (C)'!D:AI,31,FALSE),0)</f>
        <v>78292.290000000008</v>
      </c>
      <c r="F73" s="1140"/>
      <c r="G73" s="1152">
        <f>+E73+F73</f>
        <v>78292.290000000008</v>
      </c>
      <c r="H73" s="1152"/>
      <c r="I73" s="1152"/>
      <c r="J73" s="1152">
        <f t="shared" ref="J73:J74" si="40">+SUM(G73:I73)</f>
        <v>78292.290000000008</v>
      </c>
      <c r="K73" s="1126"/>
      <c r="L73" s="1127">
        <f>IF(($J73=0),0,IF(($D73="ACT"),"0",(VLOOKUP($D73,$E$10:$P$19,8,FALSE)*$J73)))</f>
        <v>55624.868789431785</v>
      </c>
      <c r="M73" s="1127">
        <f>IF(($J73=0),0,IF(($D73="ACT"),"0",(VLOOKUP($D73,$E$10:$P$19,9,FALSE)*$J73)))</f>
        <v>22667.42121056822</v>
      </c>
      <c r="N73" s="1126"/>
      <c r="O73" s="1128">
        <f>SUM(L73:M73)</f>
        <v>78292.290000000008</v>
      </c>
      <c r="P73" s="677">
        <f t="shared" si="26"/>
        <v>0</v>
      </c>
      <c r="R73" s="680"/>
    </row>
    <row r="74" spans="1:18">
      <c r="A74" s="628">
        <v>4120</v>
      </c>
      <c r="B74" s="1148">
        <v>70147</v>
      </c>
      <c r="C74" s="1145" t="s">
        <v>128</v>
      </c>
      <c r="D74" s="1125" t="s">
        <v>1431</v>
      </c>
      <c r="E74" s="1152">
        <f>IFERROR(VLOOKUP(B74,'2195 IS (C)'!D:AI,31,FALSE),0)</f>
        <v>6113.9999999999991</v>
      </c>
      <c r="F74" s="1140"/>
      <c r="G74" s="1152">
        <f>+E74+F74</f>
        <v>6113.9999999999991</v>
      </c>
      <c r="H74" s="1152">
        <f>+'Pro forma Adj (C)'!B56</f>
        <v>0</v>
      </c>
      <c r="I74" s="1152"/>
      <c r="J74" s="1152">
        <f t="shared" si="40"/>
        <v>6113.9999999999991</v>
      </c>
      <c r="K74" s="1126"/>
      <c r="L74" s="1127">
        <f>IF(($J74=0),0,IF(($D74="ACT"),"0",(VLOOKUP($D74,$E$10:$P$19,8,FALSE)*$J74)))</f>
        <v>4185.9371216408645</v>
      </c>
      <c r="M74" s="1127">
        <f>IF(($J74=0),0,IF(($D74="ACT"),"0",(VLOOKUP($D74,$E$10:$P$19,9,FALSE)*$J74)))</f>
        <v>1928.0628783591339</v>
      </c>
      <c r="N74" s="1126"/>
      <c r="O74" s="1128">
        <f>SUM(L74:M74)</f>
        <v>6113.9999999999982</v>
      </c>
      <c r="P74" s="677">
        <f t="shared" ref="P74" si="41">ROUND(IF(((O74-J74)=0),0,(O74-J74)),2)</f>
        <v>0</v>
      </c>
      <c r="R74" s="680"/>
    </row>
    <row r="75" spans="1:18">
      <c r="B75" s="1148"/>
      <c r="C75" s="1145"/>
      <c r="D75" s="1125"/>
      <c r="E75" s="1153"/>
      <c r="F75" s="1153"/>
      <c r="G75" s="1153"/>
      <c r="H75" s="1153"/>
      <c r="I75" s="1153"/>
      <c r="J75" s="1153"/>
      <c r="K75" s="1126"/>
      <c r="L75" s="1133"/>
      <c r="M75" s="1133"/>
      <c r="N75" s="1126"/>
      <c r="O75" s="1134"/>
      <c r="P75" s="677">
        <f t="shared" si="26"/>
        <v>0</v>
      </c>
      <c r="R75" s="680"/>
    </row>
    <row r="76" spans="1:18" ht="15">
      <c r="B76" s="1137"/>
      <c r="C76" s="1138" t="s">
        <v>442</v>
      </c>
      <c r="D76" s="1125"/>
      <c r="E76" s="1157">
        <f t="shared" ref="E76:M76" si="42">SUM(E73:E75)</f>
        <v>84406.290000000008</v>
      </c>
      <c r="F76" s="1157">
        <f t="shared" si="42"/>
        <v>0</v>
      </c>
      <c r="G76" s="1157">
        <f t="shared" si="42"/>
        <v>84406.290000000008</v>
      </c>
      <c r="H76" s="1157">
        <f>SUM(H73:H75)</f>
        <v>0</v>
      </c>
      <c r="I76" s="1157">
        <f>SUM(I73:I75)</f>
        <v>0</v>
      </c>
      <c r="J76" s="1157">
        <f t="shared" si="42"/>
        <v>84406.290000000008</v>
      </c>
      <c r="K76" s="1157">
        <f t="shared" si="42"/>
        <v>0</v>
      </c>
      <c r="L76" s="1157">
        <f t="shared" si="42"/>
        <v>59810.805911072646</v>
      </c>
      <c r="M76" s="1157">
        <f t="shared" si="42"/>
        <v>24595.484088927355</v>
      </c>
      <c r="N76" s="1126"/>
      <c r="O76" s="1158">
        <f>SUM(O73:O75)</f>
        <v>84406.290000000008</v>
      </c>
      <c r="P76" s="677">
        <f t="shared" si="26"/>
        <v>0</v>
      </c>
      <c r="R76" s="680"/>
    </row>
    <row r="77" spans="1:18">
      <c r="B77" s="1146"/>
      <c r="C77" s="1144"/>
      <c r="D77" s="1125"/>
      <c r="E77" s="1152"/>
      <c r="F77" s="1152"/>
      <c r="G77" s="1152"/>
      <c r="H77" s="1152"/>
      <c r="I77" s="1152"/>
      <c r="J77" s="1152"/>
      <c r="K77" s="1126"/>
      <c r="L77" s="1127"/>
      <c r="M77" s="1127"/>
      <c r="N77" s="1126"/>
      <c r="O77" s="1128"/>
      <c r="P77" s="677"/>
      <c r="R77" s="680"/>
    </row>
    <row r="78" spans="1:18">
      <c r="A78" s="628">
        <v>4130</v>
      </c>
      <c r="B78" s="1211">
        <v>52120</v>
      </c>
      <c r="C78" s="1144" t="s">
        <v>238</v>
      </c>
      <c r="D78" s="1125" t="s">
        <v>187</v>
      </c>
      <c r="E78" s="1152">
        <f>IFERROR(VLOOKUP(B78,'2195 IS (C)'!D:AI,31,FALSE),0)</f>
        <v>604514.5</v>
      </c>
      <c r="F78" s="1152">
        <f>F46</f>
        <v>-18095.18</v>
      </c>
      <c r="G78" s="1152">
        <f t="shared" ref="G78:G85" si="43">+E78+F78</f>
        <v>586419.31999999995</v>
      </c>
      <c r="H78" s="1152"/>
      <c r="I78" s="1152"/>
      <c r="J78" s="1152">
        <f t="shared" ref="J78:J86" si="44">+SUM(G78:I78)</f>
        <v>586419.31999999995</v>
      </c>
      <c r="K78" s="1126"/>
      <c r="L78" s="1127">
        <f t="shared" ref="L78:L86" si="45">IF(($J78=0),0,IF(($D78="ACT"),"0",(VLOOKUP($D78,$E$10:$P$19,8,FALSE)*$J78)))</f>
        <v>416637.42024390661</v>
      </c>
      <c r="M78" s="1127">
        <f t="shared" ref="M78:M86" si="46">IF(($J78=0),0,IF(($D78="ACT"),"0",(VLOOKUP($D78,$E$10:$P$19,9,FALSE)*$J78)))</f>
        <v>169781.89975609336</v>
      </c>
      <c r="N78" s="1126"/>
      <c r="O78" s="1128">
        <f t="shared" ref="O78:O85" si="47">SUM(L78:M78)</f>
        <v>586419.31999999995</v>
      </c>
      <c r="P78" s="677">
        <f t="shared" si="26"/>
        <v>0</v>
      </c>
      <c r="R78" s="680"/>
    </row>
    <row r="79" spans="1:18">
      <c r="A79" s="628">
        <v>4130</v>
      </c>
      <c r="B79" s="1211">
        <v>52125</v>
      </c>
      <c r="C79" s="1144" t="s">
        <v>81</v>
      </c>
      <c r="D79" s="1125" t="s">
        <v>187</v>
      </c>
      <c r="E79" s="1152">
        <f>IFERROR(VLOOKUP(B79,'2195 IS (C)'!D:AI,31,FALSE),0)</f>
        <v>44338.06</v>
      </c>
      <c r="F79" s="1152"/>
      <c r="G79" s="1152">
        <f t="shared" si="43"/>
        <v>44338.06</v>
      </c>
      <c r="H79" s="1152"/>
      <c r="I79" s="1152"/>
      <c r="J79" s="1152">
        <f t="shared" si="44"/>
        <v>44338.06</v>
      </c>
      <c r="K79" s="1126"/>
      <c r="L79" s="1127">
        <f t="shared" si="45"/>
        <v>31501.17042020298</v>
      </c>
      <c r="M79" s="1127">
        <f t="shared" si="46"/>
        <v>12836.889579797018</v>
      </c>
      <c r="N79" s="1126"/>
      <c r="O79" s="1128">
        <f t="shared" si="47"/>
        <v>44338.06</v>
      </c>
      <c r="P79" s="677">
        <f t="shared" si="26"/>
        <v>0</v>
      </c>
      <c r="R79" s="680"/>
    </row>
    <row r="80" spans="1:18">
      <c r="A80" s="628">
        <v>4130</v>
      </c>
      <c r="B80" s="1211">
        <v>52135</v>
      </c>
      <c r="C80" s="1144" t="s">
        <v>239</v>
      </c>
      <c r="D80" s="1125" t="s">
        <v>187</v>
      </c>
      <c r="E80" s="1152">
        <f>IFERROR(VLOOKUP(B80,'2195 IS (C)'!D:AI,31,FALSE),0)</f>
        <v>49347.820000000007</v>
      </c>
      <c r="F80" s="1152"/>
      <c r="G80" s="1152">
        <f t="shared" si="43"/>
        <v>49347.820000000007</v>
      </c>
      <c r="H80" s="1152"/>
      <c r="I80" s="1152"/>
      <c r="J80" s="1152">
        <f t="shared" si="44"/>
        <v>49347.820000000007</v>
      </c>
      <c r="K80" s="1126"/>
      <c r="L80" s="1127">
        <f t="shared" si="45"/>
        <v>35060.489513648121</v>
      </c>
      <c r="M80" s="1127">
        <f t="shared" si="46"/>
        <v>14287.330486351884</v>
      </c>
      <c r="N80" s="1126"/>
      <c r="O80" s="1128">
        <f t="shared" si="47"/>
        <v>49347.820000000007</v>
      </c>
      <c r="P80" s="677">
        <f t="shared" si="26"/>
        <v>0</v>
      </c>
      <c r="R80" s="680"/>
    </row>
    <row r="81" spans="1:18">
      <c r="A81" s="628">
        <v>4130</v>
      </c>
      <c r="B81" s="1211">
        <v>52175</v>
      </c>
      <c r="C81" s="1144" t="s">
        <v>90</v>
      </c>
      <c r="D81" s="1125" t="s">
        <v>187</v>
      </c>
      <c r="E81" s="1152">
        <f>IFERROR(VLOOKUP(B81,'2195 IS (C)'!D:AI,31,FALSE),0)</f>
        <v>1902.96</v>
      </c>
      <c r="F81" s="1152"/>
      <c r="G81" s="1152">
        <f t="shared" ref="G81" si="48">+E81+F81</f>
        <v>1902.96</v>
      </c>
      <c r="H81" s="1152"/>
      <c r="I81" s="1152"/>
      <c r="J81" s="1152">
        <f t="shared" si="44"/>
        <v>1902.96</v>
      </c>
      <c r="K81" s="1126"/>
      <c r="L81" s="1127">
        <f t="shared" si="45"/>
        <v>1352.0092503557771</v>
      </c>
      <c r="M81" s="1127">
        <f t="shared" si="46"/>
        <v>550.95074964422292</v>
      </c>
      <c r="N81" s="1126"/>
      <c r="O81" s="1128">
        <f t="shared" ref="O81" si="49">SUM(L81:M81)</f>
        <v>1902.96</v>
      </c>
      <c r="P81" s="677">
        <f t="shared" ref="P81" si="50">ROUND(IF(((O81-J81)=0),0,(O81-J81)),2)</f>
        <v>0</v>
      </c>
      <c r="R81" s="680"/>
    </row>
    <row r="82" spans="1:18">
      <c r="A82" s="628">
        <v>4130</v>
      </c>
      <c r="B82" s="1211">
        <v>55120</v>
      </c>
      <c r="C82" s="1144" t="s">
        <v>238</v>
      </c>
      <c r="D82" s="1125" t="s">
        <v>1027</v>
      </c>
      <c r="E82" s="1152">
        <f>IFERROR(VLOOKUP(B82,'2195 IS (C)'!D:AI,31,FALSE),0)</f>
        <v>117912.34999999999</v>
      </c>
      <c r="F82" s="1152"/>
      <c r="G82" s="1152">
        <f t="shared" si="43"/>
        <v>117912.34999999999</v>
      </c>
      <c r="H82" s="1152"/>
      <c r="I82" s="1152"/>
      <c r="J82" s="1152">
        <f t="shared" si="44"/>
        <v>117912.34999999999</v>
      </c>
      <c r="K82" s="1126"/>
      <c r="L82" s="1127">
        <f t="shared" si="45"/>
        <v>85967.612604726164</v>
      </c>
      <c r="M82" s="1127">
        <f t="shared" si="46"/>
        <v>31944.737395273834</v>
      </c>
      <c r="N82" s="1126"/>
      <c r="O82" s="1128">
        <f t="shared" si="47"/>
        <v>117912.35</v>
      </c>
      <c r="P82" s="677">
        <f t="shared" si="26"/>
        <v>0</v>
      </c>
      <c r="R82" s="680"/>
    </row>
    <row r="83" spans="1:18">
      <c r="A83" s="628">
        <v>4130</v>
      </c>
      <c r="B83" s="1211">
        <v>55125</v>
      </c>
      <c r="C83" s="1144" t="s">
        <v>81</v>
      </c>
      <c r="D83" s="1125" t="s">
        <v>1027</v>
      </c>
      <c r="E83" s="1152">
        <f>IFERROR(VLOOKUP(B83,'2195 IS (C)'!D:AI,31,FALSE),0)</f>
        <v>23457.719999999998</v>
      </c>
      <c r="F83" s="1152"/>
      <c r="G83" s="1152">
        <f t="shared" si="43"/>
        <v>23457.719999999998</v>
      </c>
      <c r="H83" s="1152"/>
      <c r="I83" s="1152"/>
      <c r="J83" s="1152">
        <f t="shared" si="44"/>
        <v>23457.719999999998</v>
      </c>
      <c r="K83" s="1126"/>
      <c r="L83" s="1127">
        <f t="shared" si="45"/>
        <v>17102.569710044259</v>
      </c>
      <c r="M83" s="1127">
        <f t="shared" si="46"/>
        <v>6355.1502899557418</v>
      </c>
      <c r="N83" s="1126"/>
      <c r="O83" s="1128">
        <f t="shared" si="47"/>
        <v>23457.72</v>
      </c>
      <c r="P83" s="677">
        <f t="shared" si="26"/>
        <v>0</v>
      </c>
      <c r="R83" s="680"/>
    </row>
    <row r="84" spans="1:18">
      <c r="A84" s="628">
        <v>4130</v>
      </c>
      <c r="B84" s="1146">
        <v>52147</v>
      </c>
      <c r="C84" s="1144" t="s">
        <v>240</v>
      </c>
      <c r="D84" s="1125" t="s">
        <v>187</v>
      </c>
      <c r="E84" s="1152">
        <f>IFERROR(VLOOKUP(B84,'2195 IS (C)'!D:AI,31,FALSE),0)</f>
        <v>98347.270000000019</v>
      </c>
      <c r="F84" s="1152"/>
      <c r="G84" s="1152">
        <f t="shared" si="43"/>
        <v>98347.270000000019</v>
      </c>
      <c r="H84" s="1152"/>
      <c r="I84" s="1152"/>
      <c r="J84" s="1152">
        <f t="shared" si="44"/>
        <v>98347.270000000019</v>
      </c>
      <c r="K84" s="1126"/>
      <c r="L84" s="1127">
        <f t="shared" si="45"/>
        <v>69873.470166076659</v>
      </c>
      <c r="M84" s="1127">
        <f t="shared" si="46"/>
        <v>28473.799833923364</v>
      </c>
      <c r="N84" s="1126"/>
      <c r="O84" s="1128">
        <f t="shared" si="47"/>
        <v>98347.270000000019</v>
      </c>
      <c r="P84" s="677">
        <f t="shared" si="26"/>
        <v>0</v>
      </c>
      <c r="R84" s="680"/>
    </row>
    <row r="85" spans="1:18">
      <c r="A85" s="628">
        <v>4130</v>
      </c>
      <c r="B85" s="1146">
        <v>52181</v>
      </c>
      <c r="C85" s="1144" t="s">
        <v>606</v>
      </c>
      <c r="D85" s="1125" t="s">
        <v>187</v>
      </c>
      <c r="E85" s="1152">
        <f>IFERROR(VLOOKUP(B85,'2195 IS (C)'!D:AI,31,FALSE),0)</f>
        <v>182.79000000000002</v>
      </c>
      <c r="F85" s="1152"/>
      <c r="G85" s="1152">
        <f t="shared" si="43"/>
        <v>182.79000000000002</v>
      </c>
      <c r="H85" s="1152"/>
      <c r="I85" s="1152"/>
      <c r="J85" s="1152">
        <f t="shared" si="44"/>
        <v>182.79000000000002</v>
      </c>
      <c r="K85" s="1126"/>
      <c r="L85" s="1127">
        <f t="shared" si="45"/>
        <v>129.86808491641051</v>
      </c>
      <c r="M85" s="1127">
        <f t="shared" si="46"/>
        <v>52.921915083589525</v>
      </c>
      <c r="N85" s="1126"/>
      <c r="O85" s="1128">
        <f t="shared" si="47"/>
        <v>182.79000000000002</v>
      </c>
      <c r="P85" s="677">
        <f t="shared" si="26"/>
        <v>0</v>
      </c>
      <c r="R85" s="680"/>
    </row>
    <row r="86" spans="1:18">
      <c r="A86" s="628">
        <v>4130</v>
      </c>
      <c r="B86" s="1146">
        <v>56125</v>
      </c>
      <c r="C86" s="1144" t="s">
        <v>81</v>
      </c>
      <c r="D86" s="1125" t="s">
        <v>187</v>
      </c>
      <c r="E86" s="1152">
        <f>IFERROR(VLOOKUP(B86,'2195 IS (C)'!D:AI,31,FALSE),0)</f>
        <v>20.81</v>
      </c>
      <c r="F86" s="1152"/>
      <c r="G86" s="1152">
        <f t="shared" ref="G86" si="51">+E86+F86</f>
        <v>20.81</v>
      </c>
      <c r="H86" s="1152"/>
      <c r="I86" s="1152"/>
      <c r="J86" s="1152">
        <f t="shared" si="44"/>
        <v>20.81</v>
      </c>
      <c r="K86" s="1126"/>
      <c r="L86" s="1127">
        <f t="shared" si="45"/>
        <v>14.785025696758586</v>
      </c>
      <c r="M86" s="1127">
        <f t="shared" si="46"/>
        <v>6.0249743032414127</v>
      </c>
      <c r="N86" s="1126"/>
      <c r="O86" s="1128">
        <f t="shared" ref="O86" si="52">SUM(L86:M86)</f>
        <v>20.81</v>
      </c>
      <c r="P86" s="677">
        <f t="shared" ref="P86" si="53">ROUND(IF(((O86-J86)=0),0,(O86-J86)),2)</f>
        <v>0</v>
      </c>
      <c r="R86" s="680"/>
    </row>
    <row r="87" spans="1:18">
      <c r="B87" s="1211"/>
      <c r="C87" s="1144"/>
      <c r="D87" s="1125"/>
      <c r="E87" s="1153"/>
      <c r="F87" s="1153"/>
      <c r="G87" s="1153"/>
      <c r="H87" s="1153"/>
      <c r="I87" s="1153"/>
      <c r="J87" s="1153"/>
      <c r="K87" s="1126"/>
      <c r="L87" s="1149"/>
      <c r="M87" s="1133"/>
      <c r="N87" s="1126"/>
      <c r="O87" s="1134"/>
      <c r="P87" s="677"/>
      <c r="R87" s="680"/>
    </row>
    <row r="88" spans="1:18" ht="15">
      <c r="B88" s="1147"/>
      <c r="C88" s="1138" t="s">
        <v>489</v>
      </c>
      <c r="D88" s="1125"/>
      <c r="E88" s="1157">
        <f t="shared" ref="E88:M88" si="54">SUM(E78:E87)</f>
        <v>940024.28000000014</v>
      </c>
      <c r="F88" s="1157">
        <f t="shared" si="54"/>
        <v>-18095.18</v>
      </c>
      <c r="G88" s="1157">
        <f t="shared" si="54"/>
        <v>921929.1</v>
      </c>
      <c r="H88" s="1157">
        <f t="shared" si="54"/>
        <v>0</v>
      </c>
      <c r="I88" s="1157">
        <f t="shared" si="54"/>
        <v>0</v>
      </c>
      <c r="J88" s="1157">
        <f t="shared" si="54"/>
        <v>921929.1</v>
      </c>
      <c r="K88" s="1157">
        <f t="shared" si="54"/>
        <v>0</v>
      </c>
      <c r="L88" s="1157">
        <f t="shared" si="54"/>
        <v>657639.39501957374</v>
      </c>
      <c r="M88" s="1157">
        <f t="shared" si="54"/>
        <v>264289.70498042629</v>
      </c>
      <c r="N88" s="1126"/>
      <c r="O88" s="1158">
        <f>SUM(O78:O87)</f>
        <v>921929.1</v>
      </c>
      <c r="P88" s="677">
        <f t="shared" si="26"/>
        <v>0</v>
      </c>
      <c r="R88" s="680"/>
    </row>
    <row r="89" spans="1:18" s="623" customFormat="1" ht="16.5" customHeight="1">
      <c r="B89" s="1177"/>
      <c r="C89" s="1144"/>
      <c r="D89" s="1195"/>
      <c r="E89" s="1144"/>
      <c r="F89" s="1144"/>
      <c r="G89" s="1144"/>
      <c r="H89" s="1144"/>
      <c r="I89" s="1144"/>
      <c r="J89" s="1144"/>
      <c r="K89" s="1144"/>
      <c r="L89" s="1144"/>
      <c r="M89" s="1144"/>
      <c r="N89" s="1144"/>
      <c r="O89" s="1196"/>
      <c r="R89" s="680"/>
    </row>
    <row r="90" spans="1:18">
      <c r="A90" s="628">
        <v>4160</v>
      </c>
      <c r="B90" s="1146">
        <v>52140</v>
      </c>
      <c r="C90" s="1144" t="s">
        <v>241</v>
      </c>
      <c r="D90" s="1125" t="s">
        <v>187</v>
      </c>
      <c r="E90" s="1152">
        <f>IFERROR(VLOOKUP(B90,'2195 IS (C)'!D:AI,31,FALSE),0)</f>
        <v>345878.89999999997</v>
      </c>
      <c r="F90" s="1152"/>
      <c r="G90" s="1152">
        <f>+E90+F90</f>
        <v>345878.89999999997</v>
      </c>
      <c r="H90" s="1152"/>
      <c r="I90" s="1152"/>
      <c r="J90" s="1152">
        <f>+SUM(G90:I90)</f>
        <v>345878.89999999997</v>
      </c>
      <c r="K90" s="1126"/>
      <c r="L90" s="1127">
        <f>IF(($J90=0),0,IF(($D90="ACT"),"0",(VLOOKUP($D90,$E$10:$P$19,8,FALSE)*$J90)))</f>
        <v>245738.99204548742</v>
      </c>
      <c r="M90" s="1127">
        <f>IF(($J90=0),0,IF(($D90="ACT"),"0",(VLOOKUP($D90,$E$10:$P$19,9,FALSE)*$J90)))</f>
        <v>100139.90795451254</v>
      </c>
      <c r="N90" s="1126"/>
      <c r="O90" s="1128">
        <f>SUM(L90:M90)</f>
        <v>345878.89999999997</v>
      </c>
      <c r="P90" s="677">
        <f t="shared" si="26"/>
        <v>0</v>
      </c>
      <c r="R90" s="680"/>
    </row>
    <row r="91" spans="1:18">
      <c r="B91" s="1146"/>
      <c r="C91" s="1144"/>
      <c r="D91" s="1125"/>
      <c r="E91" s="1153"/>
      <c r="F91" s="1153"/>
      <c r="G91" s="1153"/>
      <c r="H91" s="1153"/>
      <c r="I91" s="1153"/>
      <c r="J91" s="1153"/>
      <c r="K91" s="1126"/>
      <c r="L91" s="1133"/>
      <c r="M91" s="1133"/>
      <c r="N91" s="1126"/>
      <c r="O91" s="1134"/>
      <c r="P91" s="677"/>
      <c r="R91" s="680"/>
    </row>
    <row r="92" spans="1:18" ht="15">
      <c r="B92" s="1147"/>
      <c r="C92" s="1138" t="s">
        <v>491</v>
      </c>
      <c r="D92" s="1125"/>
      <c r="E92" s="1157">
        <f t="shared" ref="E92:M92" si="55">SUM(E90:E91)</f>
        <v>345878.89999999997</v>
      </c>
      <c r="F92" s="1157">
        <f t="shared" si="55"/>
        <v>0</v>
      </c>
      <c r="G92" s="1157">
        <f t="shared" si="55"/>
        <v>345878.89999999997</v>
      </c>
      <c r="H92" s="1157">
        <f t="shared" si="55"/>
        <v>0</v>
      </c>
      <c r="I92" s="1157">
        <f t="shared" si="55"/>
        <v>0</v>
      </c>
      <c r="J92" s="1157">
        <f t="shared" si="55"/>
        <v>345878.89999999997</v>
      </c>
      <c r="K92" s="1157">
        <f t="shared" si="55"/>
        <v>0</v>
      </c>
      <c r="L92" s="1157">
        <f t="shared" si="55"/>
        <v>245738.99204548742</v>
      </c>
      <c r="M92" s="1157">
        <f t="shared" si="55"/>
        <v>100139.90795451254</v>
      </c>
      <c r="N92" s="1126"/>
      <c r="O92" s="1158">
        <f>SUM(O90:O91)</f>
        <v>345878.89999999997</v>
      </c>
      <c r="P92" s="677">
        <f t="shared" si="26"/>
        <v>0</v>
      </c>
      <c r="R92" s="680"/>
    </row>
    <row r="93" spans="1:18" s="623" customFormat="1">
      <c r="B93" s="1177"/>
      <c r="C93" s="1144"/>
      <c r="D93" s="1195"/>
      <c r="E93" s="1144"/>
      <c r="F93" s="1144"/>
      <c r="G93" s="1144"/>
      <c r="H93" s="1144"/>
      <c r="I93" s="1144"/>
      <c r="J93" s="1144"/>
      <c r="K93" s="1144"/>
      <c r="L93" s="1144"/>
      <c r="M93" s="1144"/>
      <c r="N93" s="1144"/>
      <c r="O93" s="1196"/>
      <c r="R93" s="680"/>
    </row>
    <row r="94" spans="1:18">
      <c r="A94" s="628">
        <v>4180</v>
      </c>
      <c r="B94" s="1211">
        <v>52090</v>
      </c>
      <c r="C94" s="1144" t="s">
        <v>73</v>
      </c>
      <c r="D94" s="1125" t="s">
        <v>187</v>
      </c>
      <c r="E94" s="1152">
        <f>IFERROR(VLOOKUP(B94,'2195 IS (C)'!D:AI,31,FALSE),0)</f>
        <v>6094.44</v>
      </c>
      <c r="F94" s="1152"/>
      <c r="G94" s="1152">
        <f>+E94+F94</f>
        <v>6094.44</v>
      </c>
      <c r="H94" s="1152"/>
      <c r="I94" s="1152"/>
      <c r="J94" s="1152">
        <f t="shared" ref="J94:J96" si="56">+SUM(G94:I94)</f>
        <v>6094.44</v>
      </c>
      <c r="K94" s="1126"/>
      <c r="L94" s="1127">
        <f>IF(($J94=0),0,IF(($D94="ACT"),"0",(VLOOKUP($D94,$E$10:$P$19,8,FALSE)*$J94)))</f>
        <v>4329.9592507137622</v>
      </c>
      <c r="M94" s="1127">
        <f>IF(($J94=0),0,IF(($D94="ACT"),"0",(VLOOKUP($D94,$E$10:$P$19,9,FALSE)*$J94)))</f>
        <v>1764.4807492862371</v>
      </c>
      <c r="N94" s="1126"/>
      <c r="O94" s="1128">
        <f>SUM(L94:M94)</f>
        <v>6094.44</v>
      </c>
      <c r="P94" s="677">
        <f t="shared" si="26"/>
        <v>0</v>
      </c>
      <c r="R94" s="680"/>
    </row>
    <row r="95" spans="1:18">
      <c r="A95" s="628">
        <v>4180</v>
      </c>
      <c r="B95" s="1211">
        <v>52182</v>
      </c>
      <c r="C95" s="1144" t="s">
        <v>91</v>
      </c>
      <c r="D95" s="1125" t="s">
        <v>187</v>
      </c>
      <c r="E95" s="1152">
        <f>IFERROR(VLOOKUP(B95,'2195 IS (C)'!D:AI,31,FALSE),0)</f>
        <v>14790.79</v>
      </c>
      <c r="F95" s="1152"/>
      <c r="G95" s="1152">
        <f>+E95+F95</f>
        <v>14790.79</v>
      </c>
      <c r="H95" s="1152"/>
      <c r="I95" s="1152"/>
      <c r="J95" s="1152">
        <f t="shared" si="56"/>
        <v>14790.79</v>
      </c>
      <c r="K95" s="1126"/>
      <c r="L95" s="1127">
        <f>IF(($J95=0),0,IF(($D95="ACT"),"0",(VLOOKUP($D95,$E$10:$P$19,8,FALSE)*$J95)))</f>
        <v>10508.515628320998</v>
      </c>
      <c r="M95" s="1127">
        <f>IF(($J95=0),0,IF(($D95="ACT"),"0",(VLOOKUP($D95,$E$10:$P$19,9,FALSE)*$J95)))</f>
        <v>4282.2743716790037</v>
      </c>
      <c r="N95" s="1126"/>
      <c r="O95" s="1128">
        <f>SUM(L95:M95)</f>
        <v>14790.79</v>
      </c>
      <c r="P95" s="677">
        <f t="shared" si="26"/>
        <v>0</v>
      </c>
      <c r="R95" s="680"/>
    </row>
    <row r="96" spans="1:18">
      <c r="A96" s="628">
        <v>4180</v>
      </c>
      <c r="B96" s="1211">
        <v>52200</v>
      </c>
      <c r="C96" s="1144" t="s">
        <v>935</v>
      </c>
      <c r="D96" s="1125" t="s">
        <v>187</v>
      </c>
      <c r="E96" s="1152">
        <f>IFERROR(VLOOKUP(B96,'2195 IS (C)'!D:AI,31,FALSE),0)</f>
        <v>0</v>
      </c>
      <c r="F96" s="1152"/>
      <c r="G96" s="1152">
        <f>+E96+F96</f>
        <v>0</v>
      </c>
      <c r="H96" s="1152"/>
      <c r="I96" s="1152"/>
      <c r="J96" s="1152">
        <f t="shared" si="56"/>
        <v>0</v>
      </c>
      <c r="K96" s="1126"/>
      <c r="L96" s="1127">
        <f>IF(($J96=0),0,IF(($D96="ACT"),"0",(VLOOKUP($D96,$E$10:$P$19,8,FALSE)*$J96)))</f>
        <v>0</v>
      </c>
      <c r="M96" s="1127">
        <f>IF(($J96=0),0,IF(($D96="ACT"),"0",(VLOOKUP($D96,$E$10:$P$19,9,FALSE)*$J96)))</f>
        <v>0</v>
      </c>
      <c r="N96" s="1126"/>
      <c r="O96" s="1128">
        <f>SUM(L96:M96)</f>
        <v>0</v>
      </c>
      <c r="P96" s="677">
        <f t="shared" si="26"/>
        <v>0</v>
      </c>
      <c r="R96" s="680"/>
    </row>
    <row r="97" spans="1:18">
      <c r="B97" s="1211"/>
      <c r="C97" s="1144"/>
      <c r="D97" s="1125"/>
      <c r="E97" s="1153"/>
      <c r="F97" s="1153"/>
      <c r="G97" s="1153"/>
      <c r="H97" s="1153"/>
      <c r="I97" s="1153"/>
      <c r="J97" s="1153"/>
      <c r="K97" s="1126"/>
      <c r="L97" s="1133"/>
      <c r="M97" s="1133"/>
      <c r="N97" s="1126"/>
      <c r="O97" s="1134"/>
      <c r="P97" s="677"/>
      <c r="R97" s="680"/>
    </row>
    <row r="98" spans="1:18" ht="15">
      <c r="B98" s="1147"/>
      <c r="C98" s="1138" t="s">
        <v>492</v>
      </c>
      <c r="D98" s="1125"/>
      <c r="E98" s="1157">
        <f t="shared" ref="E98:M98" si="57">SUM(E94:E97)</f>
        <v>20885.23</v>
      </c>
      <c r="F98" s="1157">
        <f t="shared" si="57"/>
        <v>0</v>
      </c>
      <c r="G98" s="1157">
        <f t="shared" si="57"/>
        <v>20885.23</v>
      </c>
      <c r="H98" s="1157">
        <f t="shared" si="57"/>
        <v>0</v>
      </c>
      <c r="I98" s="1157">
        <f t="shared" si="57"/>
        <v>0</v>
      </c>
      <c r="J98" s="1157">
        <f t="shared" si="57"/>
        <v>20885.23</v>
      </c>
      <c r="K98" s="1157">
        <f t="shared" si="57"/>
        <v>0</v>
      </c>
      <c r="L98" s="1157">
        <f t="shared" si="57"/>
        <v>14838.47487903476</v>
      </c>
      <c r="M98" s="1157">
        <f t="shared" si="57"/>
        <v>6046.7551209652411</v>
      </c>
      <c r="N98" s="1126"/>
      <c r="O98" s="1158">
        <f>SUM(O94:O97)</f>
        <v>20885.23</v>
      </c>
      <c r="P98" s="677">
        <f t="shared" si="26"/>
        <v>0</v>
      </c>
      <c r="R98" s="680"/>
    </row>
    <row r="99" spans="1:18" s="623" customFormat="1">
      <c r="B99" s="1177"/>
      <c r="C99" s="1144"/>
      <c r="D99" s="1195"/>
      <c r="E99" s="1144"/>
      <c r="F99" s="1144"/>
      <c r="G99" s="1144"/>
      <c r="H99" s="1144"/>
      <c r="I99" s="1144"/>
      <c r="J99" s="1144"/>
      <c r="K99" s="1144"/>
      <c r="L99" s="1144"/>
      <c r="M99" s="1144"/>
      <c r="N99" s="1144"/>
      <c r="O99" s="1196"/>
      <c r="R99" s="680"/>
    </row>
    <row r="100" spans="1:18" ht="15.75" thickBot="1">
      <c r="B100" s="1147"/>
      <c r="C100" s="1138" t="s">
        <v>522</v>
      </c>
      <c r="D100" s="1125"/>
      <c r="E100" s="1212">
        <f>E71+E76+E88+E92+E98</f>
        <v>2190881.54</v>
      </c>
      <c r="F100" s="1212">
        <f>F71+F76+F88+F92+F98</f>
        <v>-18095.18</v>
      </c>
      <c r="G100" s="1212">
        <f>G71+G76+G88+G92+G98</f>
        <v>2172786.36</v>
      </c>
      <c r="H100" s="1212">
        <f t="shared" ref="H100:O100" si="58">H71+H76+H88+H92+H98</f>
        <v>130218.33106680131</v>
      </c>
      <c r="I100" s="1212">
        <f t="shared" si="58"/>
        <v>41704</v>
      </c>
      <c r="J100" s="1212">
        <f t="shared" si="58"/>
        <v>2344708.6910668011</v>
      </c>
      <c r="K100" s="1212">
        <f t="shared" si="58"/>
        <v>0</v>
      </c>
      <c r="L100" s="1212">
        <f t="shared" si="58"/>
        <v>1671630.6363162864</v>
      </c>
      <c r="M100" s="1212">
        <f t="shared" si="58"/>
        <v>673078.05475051503</v>
      </c>
      <c r="N100" s="1212">
        <f t="shared" si="58"/>
        <v>0</v>
      </c>
      <c r="O100" s="1213">
        <f t="shared" si="58"/>
        <v>2344708.6910668011</v>
      </c>
      <c r="P100" s="677">
        <f t="shared" si="26"/>
        <v>0</v>
      </c>
      <c r="R100" s="680"/>
    </row>
    <row r="101" spans="1:18" ht="15" thickTop="1">
      <c r="B101" s="1146"/>
      <c r="C101" s="1144"/>
      <c r="D101" s="1125"/>
      <c r="E101" s="1152"/>
      <c r="F101" s="1152"/>
      <c r="G101" s="1152"/>
      <c r="H101" s="1152"/>
      <c r="I101" s="1152"/>
      <c r="J101" s="1152"/>
      <c r="K101" s="1126"/>
      <c r="L101" s="1127"/>
      <c r="M101" s="1127"/>
      <c r="N101" s="1126"/>
      <c r="O101" s="1128"/>
      <c r="P101" s="677"/>
      <c r="R101" s="680"/>
    </row>
    <row r="102" spans="1:18">
      <c r="A102" s="628">
        <v>4210</v>
      </c>
      <c r="B102" s="1211">
        <v>56010</v>
      </c>
      <c r="C102" s="1144" t="s">
        <v>244</v>
      </c>
      <c r="D102" s="1125" t="s">
        <v>187</v>
      </c>
      <c r="E102" s="1152">
        <f>IFERROR(VLOOKUP(B102,'2195 IS (C)'!D:AI,31,FALSE),0)</f>
        <v>235740.46999999997</v>
      </c>
      <c r="F102" s="1152"/>
      <c r="G102" s="1152">
        <f>+E102+F102</f>
        <v>235740.46999999997</v>
      </c>
      <c r="H102" s="1152">
        <f>'Pro forma Adj (C)'!B15</f>
        <v>95478.910000000047</v>
      </c>
      <c r="I102" s="1152"/>
      <c r="J102" s="1152">
        <f t="shared" ref="J102:J103" si="59">+SUM(G102:I102)</f>
        <v>331219.38</v>
      </c>
      <c r="K102" s="1126"/>
      <c r="L102" s="1127">
        <f>IF(($J102=0),0,IF(($D102="ACT"),"0",(VLOOKUP($D102,$E$10:$P$19,8,FALSE)*$J102)))</f>
        <v>235323.74072870961</v>
      </c>
      <c r="M102" s="1127">
        <f>IF(($J102=0),0,IF(($D102="ACT"),"0",(VLOOKUP($D102,$E$10:$P$19,9,FALSE)*$J102)))</f>
        <v>95895.639271290376</v>
      </c>
      <c r="N102" s="1126"/>
      <c r="O102" s="1128">
        <f>SUM(L102:M102)</f>
        <v>331219.38</v>
      </c>
      <c r="P102" s="677">
        <f t="shared" si="26"/>
        <v>0</v>
      </c>
      <c r="R102" s="680"/>
    </row>
    <row r="103" spans="1:18">
      <c r="A103" s="628">
        <v>4210</v>
      </c>
      <c r="B103" s="1211">
        <v>56036</v>
      </c>
      <c r="C103" s="1144" t="s">
        <v>66</v>
      </c>
      <c r="D103" s="1125" t="s">
        <v>187</v>
      </c>
      <c r="E103" s="1152">
        <f>IFERROR(VLOOKUP(B103,'2195 IS (C)'!D:AI,31,FALSE),0)</f>
        <v>1975</v>
      </c>
      <c r="F103" s="1152"/>
      <c r="G103" s="1152">
        <f>+E103+F103</f>
        <v>1975</v>
      </c>
      <c r="H103" s="1152"/>
      <c r="I103" s="1152"/>
      <c r="J103" s="1152">
        <f t="shared" si="59"/>
        <v>1975</v>
      </c>
      <c r="K103" s="1126"/>
      <c r="L103" s="1127">
        <f>IF(($J103=0),0,IF(($D103="ACT"),"0",(VLOOKUP($D103,$E$10:$P$19,8,FALSE)*$J103)))</f>
        <v>1403.1920111051518</v>
      </c>
      <c r="M103" s="1127">
        <f>IF(($J103=0),0,IF(($D103="ACT"),"0",(VLOOKUP($D103,$E$10:$P$19,9,FALSE)*$J103)))</f>
        <v>571.80798889484822</v>
      </c>
      <c r="N103" s="1126"/>
      <c r="O103" s="1128">
        <f>SUM(L103:M103)</f>
        <v>1975</v>
      </c>
      <c r="P103" s="677">
        <f t="shared" si="26"/>
        <v>0</v>
      </c>
      <c r="R103" s="680"/>
    </row>
    <row r="104" spans="1:18">
      <c r="B104" s="1146"/>
      <c r="C104" s="1144"/>
      <c r="D104" s="1125"/>
      <c r="E104" s="1153"/>
      <c r="F104" s="1153"/>
      <c r="G104" s="1153"/>
      <c r="H104" s="1153"/>
      <c r="I104" s="1153"/>
      <c r="J104" s="1153"/>
      <c r="K104" s="1126"/>
      <c r="L104" s="1133"/>
      <c r="M104" s="1133"/>
      <c r="N104" s="1126"/>
      <c r="O104" s="1134"/>
      <c r="P104" s="677"/>
      <c r="R104" s="680"/>
    </row>
    <row r="105" spans="1:18" ht="15">
      <c r="B105" s="1137"/>
      <c r="C105" s="1150" t="s">
        <v>245</v>
      </c>
      <c r="D105" s="1125"/>
      <c r="E105" s="1157">
        <f t="shared" ref="E105:M105" si="60">SUM(E102:E104)</f>
        <v>237715.46999999997</v>
      </c>
      <c r="F105" s="1157">
        <f t="shared" si="60"/>
        <v>0</v>
      </c>
      <c r="G105" s="1157">
        <f t="shared" si="60"/>
        <v>237715.46999999997</v>
      </c>
      <c r="H105" s="1157">
        <f t="shared" si="60"/>
        <v>95478.910000000047</v>
      </c>
      <c r="I105" s="1157">
        <f t="shared" si="60"/>
        <v>0</v>
      </c>
      <c r="J105" s="1157">
        <f t="shared" si="60"/>
        <v>333194.38</v>
      </c>
      <c r="K105" s="1157">
        <f t="shared" si="60"/>
        <v>0</v>
      </c>
      <c r="L105" s="1157">
        <f t="shared" si="60"/>
        <v>236726.93273981477</v>
      </c>
      <c r="M105" s="1157">
        <f t="shared" si="60"/>
        <v>96467.447260185218</v>
      </c>
      <c r="N105" s="1126"/>
      <c r="O105" s="1158">
        <f>SUM(O102:O104)</f>
        <v>333194.38</v>
      </c>
      <c r="P105" s="677">
        <f t="shared" si="26"/>
        <v>0</v>
      </c>
      <c r="R105" s="680"/>
    </row>
    <row r="106" spans="1:18" s="623" customFormat="1">
      <c r="B106" s="1177"/>
      <c r="C106" s="1144"/>
      <c r="D106" s="1195"/>
      <c r="E106" s="1144"/>
      <c r="F106" s="1144"/>
      <c r="G106" s="1144"/>
      <c r="H106" s="1144"/>
      <c r="I106" s="1144"/>
      <c r="J106" s="1144"/>
      <c r="K106" s="1144"/>
      <c r="L106" s="1144"/>
      <c r="M106" s="1144"/>
      <c r="N106" s="1144"/>
      <c r="O106" s="1196"/>
      <c r="R106" s="680"/>
    </row>
    <row r="107" spans="1:18">
      <c r="A107" s="628">
        <v>4213</v>
      </c>
      <c r="B107" s="1211">
        <v>50020</v>
      </c>
      <c r="C107" s="1144" t="s">
        <v>63</v>
      </c>
      <c r="D107" s="1125" t="s">
        <v>187</v>
      </c>
      <c r="E107" s="1152">
        <f>IFERROR(VLOOKUP(B107,'2195 IS (C)'!D:AI,31,FALSE),0)</f>
        <v>2555726.62</v>
      </c>
      <c r="F107" s="1144"/>
      <c r="G107" s="1152">
        <f t="shared" ref="G107:G112" si="61">+E107+F107</f>
        <v>2555726.62</v>
      </c>
      <c r="H107" s="1152">
        <f>+'Pro forma Adj (C)'!B9</f>
        <v>238822.60359906964</v>
      </c>
      <c r="I107" s="1152"/>
      <c r="J107" s="1152">
        <f t="shared" ref="J107:J112" si="62">+SUM(G107:I107)</f>
        <v>2794549.2235990698</v>
      </c>
      <c r="K107" s="1126"/>
      <c r="L107" s="1127">
        <f t="shared" ref="L107:L112" si="63">IF(($J107=0),0,IF(($D107="ACT"),"0",(VLOOKUP($D107,$E$10:$P$19,8,FALSE)*$J107)))</f>
        <v>1985462.8583262376</v>
      </c>
      <c r="M107" s="1127">
        <f t="shared" ref="M107:M112" si="64">IF(($J107=0),0,IF(($D107="ACT"),"0",(VLOOKUP($D107,$E$10:$P$19,9,FALSE)*$J107)))</f>
        <v>809086.3652728321</v>
      </c>
      <c r="N107" s="1126"/>
      <c r="O107" s="1128">
        <f t="shared" ref="O107:O112" si="65">SUM(L107:M107)</f>
        <v>2794549.2235990698</v>
      </c>
      <c r="P107" s="677">
        <f t="shared" si="26"/>
        <v>0</v>
      </c>
      <c r="R107" s="680"/>
    </row>
    <row r="108" spans="1:18" ht="15">
      <c r="A108" s="628">
        <v>4213</v>
      </c>
      <c r="B108" s="1211">
        <v>50025</v>
      </c>
      <c r="C108" s="1144" t="s">
        <v>246</v>
      </c>
      <c r="D108" s="1125" t="s">
        <v>187</v>
      </c>
      <c r="E108" s="1152">
        <f>IFERROR(VLOOKUP(B108,'2195 IS (C)'!D:AI,31,FALSE),0)</f>
        <v>676992.59</v>
      </c>
      <c r="F108" s="1152"/>
      <c r="G108" s="1152">
        <f t="shared" si="61"/>
        <v>676992.59</v>
      </c>
      <c r="H108" s="1152"/>
      <c r="I108" s="1152"/>
      <c r="J108" s="1152">
        <f t="shared" si="62"/>
        <v>676992.59</v>
      </c>
      <c r="K108" s="1126"/>
      <c r="L108" s="1127">
        <f t="shared" si="63"/>
        <v>480987.64246348629</v>
      </c>
      <c r="M108" s="1127">
        <f t="shared" si="64"/>
        <v>196004.94753651368</v>
      </c>
      <c r="N108" s="1126"/>
      <c r="O108" s="1128">
        <f t="shared" si="65"/>
        <v>676992.59</v>
      </c>
      <c r="P108" s="677">
        <f t="shared" si="26"/>
        <v>0</v>
      </c>
      <c r="R108" s="884"/>
    </row>
    <row r="109" spans="1:18">
      <c r="A109" s="628">
        <v>4213</v>
      </c>
      <c r="B109" s="1211">
        <v>50035</v>
      </c>
      <c r="C109" s="1144" t="s">
        <v>247</v>
      </c>
      <c r="D109" s="1125" t="s">
        <v>187</v>
      </c>
      <c r="E109" s="1152">
        <f>IFERROR(VLOOKUP(B109,'2195 IS (C)'!D:AI,31,FALSE),0)</f>
        <v>56129.120000000003</v>
      </c>
      <c r="F109" s="1152"/>
      <c r="G109" s="1152">
        <f t="shared" si="61"/>
        <v>56129.120000000003</v>
      </c>
      <c r="H109" s="1152"/>
      <c r="I109" s="1152"/>
      <c r="J109" s="1152">
        <f t="shared" si="62"/>
        <v>56129.120000000003</v>
      </c>
      <c r="K109" s="1126"/>
      <c r="L109" s="1127">
        <f t="shared" si="63"/>
        <v>39878.446974360711</v>
      </c>
      <c r="M109" s="1127">
        <f t="shared" si="64"/>
        <v>16250.673025639293</v>
      </c>
      <c r="N109" s="1126"/>
      <c r="O109" s="1128">
        <f t="shared" si="65"/>
        <v>56129.120000000003</v>
      </c>
      <c r="P109" s="677">
        <f t="shared" si="26"/>
        <v>0</v>
      </c>
      <c r="R109" s="680"/>
    </row>
    <row r="110" spans="1:18">
      <c r="A110" s="628">
        <v>4213</v>
      </c>
      <c r="B110" s="1211">
        <v>50036</v>
      </c>
      <c r="C110" s="1144" t="s">
        <v>66</v>
      </c>
      <c r="D110" s="1125" t="s">
        <v>187</v>
      </c>
      <c r="E110" s="1152">
        <f>IFERROR(VLOOKUP(B110,'2195 IS (C)'!D:AI,31,FALSE),0)</f>
        <v>22651.48</v>
      </c>
      <c r="F110" s="1152"/>
      <c r="G110" s="1152">
        <f t="shared" si="61"/>
        <v>22651.48</v>
      </c>
      <c r="H110" s="1152"/>
      <c r="I110" s="1152"/>
      <c r="J110" s="1152">
        <f t="shared" si="62"/>
        <v>22651.48</v>
      </c>
      <c r="K110" s="1126"/>
      <c r="L110" s="1127">
        <f t="shared" si="63"/>
        <v>16093.354823143354</v>
      </c>
      <c r="M110" s="1127">
        <f t="shared" si="64"/>
        <v>6558.1251768566453</v>
      </c>
      <c r="N110" s="1126"/>
      <c r="O110" s="1128">
        <f t="shared" si="65"/>
        <v>22651.48</v>
      </c>
      <c r="P110" s="677">
        <f t="shared" si="26"/>
        <v>0</v>
      </c>
      <c r="R110" s="680"/>
    </row>
    <row r="111" spans="1:18">
      <c r="A111" s="628">
        <v>4213</v>
      </c>
      <c r="B111" s="1211">
        <v>50065</v>
      </c>
      <c r="C111" s="1144" t="s">
        <v>70</v>
      </c>
      <c r="D111" s="1125" t="s">
        <v>187</v>
      </c>
      <c r="E111" s="1152">
        <f>IFERROR(VLOOKUP(B111,'2195 IS (C)'!D:AI,31,FALSE),0)</f>
        <v>162004.59000000003</v>
      </c>
      <c r="F111" s="1152"/>
      <c r="G111" s="1152">
        <f t="shared" si="61"/>
        <v>162004.59000000003</v>
      </c>
      <c r="H111" s="1152"/>
      <c r="I111" s="1152"/>
      <c r="J111" s="1152">
        <f t="shared" si="62"/>
        <v>162004.59000000003</v>
      </c>
      <c r="K111" s="1126"/>
      <c r="L111" s="1127">
        <f t="shared" si="63"/>
        <v>115100.52984828639</v>
      </c>
      <c r="M111" s="1127">
        <f t="shared" si="64"/>
        <v>46904.060151713646</v>
      </c>
      <c r="N111" s="1126"/>
      <c r="O111" s="1128">
        <f t="shared" si="65"/>
        <v>162004.59000000003</v>
      </c>
      <c r="P111" s="677">
        <f t="shared" si="26"/>
        <v>0</v>
      </c>
      <c r="R111" s="680"/>
    </row>
    <row r="112" spans="1:18">
      <c r="A112" s="628">
        <v>4213</v>
      </c>
      <c r="B112" s="1211">
        <v>50070</v>
      </c>
      <c r="C112" s="1144" t="s">
        <v>71</v>
      </c>
      <c r="D112" s="1125" t="s">
        <v>187</v>
      </c>
      <c r="E112" s="1152">
        <f>IFERROR(VLOOKUP(B112,'2195 IS (C)'!D:AI,31,FALSE),0)</f>
        <v>173049.71</v>
      </c>
      <c r="F112" s="1152"/>
      <c r="G112" s="1152">
        <f t="shared" si="61"/>
        <v>173049.71</v>
      </c>
      <c r="H112" s="1152"/>
      <c r="I112" s="1152"/>
      <c r="J112" s="1152">
        <f t="shared" si="62"/>
        <v>173049.71</v>
      </c>
      <c r="K112" s="1126"/>
      <c r="L112" s="1127">
        <f t="shared" si="63"/>
        <v>122947.8332131966</v>
      </c>
      <c r="M112" s="1127">
        <f t="shared" si="64"/>
        <v>50101.87678680339</v>
      </c>
      <c r="N112" s="1126"/>
      <c r="O112" s="1128">
        <f t="shared" si="65"/>
        <v>173049.71</v>
      </c>
      <c r="P112" s="677">
        <f t="shared" si="26"/>
        <v>0</v>
      </c>
      <c r="R112" s="680"/>
    </row>
    <row r="113" spans="1:18">
      <c r="B113" s="1211"/>
      <c r="C113" s="1144"/>
      <c r="D113" s="1125"/>
      <c r="E113" s="1153"/>
      <c r="F113" s="1153"/>
      <c r="G113" s="1153"/>
      <c r="H113" s="1153"/>
      <c r="I113" s="1153"/>
      <c r="J113" s="1153"/>
      <c r="K113" s="1126"/>
      <c r="L113" s="1133"/>
      <c r="M113" s="1133"/>
      <c r="N113" s="1126"/>
      <c r="O113" s="1134"/>
      <c r="P113" s="677"/>
      <c r="R113" s="680"/>
    </row>
    <row r="114" spans="1:18" ht="15">
      <c r="B114" s="1137"/>
      <c r="C114" s="1138" t="s">
        <v>248</v>
      </c>
      <c r="D114" s="1125"/>
      <c r="E114" s="1157">
        <f t="shared" ref="E114:J114" si="66">SUM(E107:E113)</f>
        <v>3646554.11</v>
      </c>
      <c r="F114" s="1157">
        <f t="shared" si="66"/>
        <v>0</v>
      </c>
      <c r="G114" s="1157">
        <f t="shared" si="66"/>
        <v>3646554.11</v>
      </c>
      <c r="H114" s="1157">
        <f t="shared" si="66"/>
        <v>238822.60359906964</v>
      </c>
      <c r="I114" s="1157">
        <f t="shared" si="66"/>
        <v>0</v>
      </c>
      <c r="J114" s="1157">
        <f t="shared" si="66"/>
        <v>3885376.7135990695</v>
      </c>
      <c r="K114" s="1126"/>
      <c r="L114" s="1157">
        <f>SUM(L107:L113)</f>
        <v>2760470.6656487109</v>
      </c>
      <c r="M114" s="1157">
        <f>SUM(M107:M113)</f>
        <v>1124906.0479503586</v>
      </c>
      <c r="N114" s="1126"/>
      <c r="O114" s="1158">
        <f>SUM(O107:O113)</f>
        <v>3885376.7135990695</v>
      </c>
      <c r="P114" s="677">
        <f t="shared" si="26"/>
        <v>0</v>
      </c>
      <c r="R114" s="680"/>
    </row>
    <row r="115" spans="1:18" s="623" customFormat="1">
      <c r="B115" s="1177"/>
      <c r="C115" s="1144"/>
      <c r="D115" s="1195"/>
      <c r="E115" s="1144"/>
      <c r="F115" s="1144"/>
      <c r="G115" s="1152"/>
      <c r="H115" s="1214"/>
      <c r="I115" s="1214"/>
      <c r="J115" s="1144"/>
      <c r="K115" s="1144"/>
      <c r="L115" s="1144"/>
      <c r="M115" s="1144"/>
      <c r="N115" s="1144"/>
      <c r="O115" s="1196"/>
      <c r="R115" s="680"/>
    </row>
    <row r="116" spans="1:18">
      <c r="A116" s="628">
        <v>4240</v>
      </c>
      <c r="B116" s="1211">
        <v>52142</v>
      </c>
      <c r="C116" s="1144" t="s">
        <v>83</v>
      </c>
      <c r="D116" s="1125" t="s">
        <v>187</v>
      </c>
      <c r="E116" s="1152">
        <f>IFERROR(VLOOKUP(B116,'2195 IS (C)'!D:AI,31,FALSE),0)</f>
        <v>1047643.4099999999</v>
      </c>
      <c r="F116" s="1152"/>
      <c r="G116" s="1152">
        <f>+E116+F116</f>
        <v>1047643.4099999999</v>
      </c>
      <c r="H116" s="1152"/>
      <c r="I116" s="1152"/>
      <c r="J116" s="1152">
        <f t="shared" ref="J116:J118" si="67">+SUM(G116:I116)</f>
        <v>1047643.4099999999</v>
      </c>
      <c r="K116" s="1126"/>
      <c r="L116" s="1127">
        <f>IF(($J116=0),0,IF(($D116="ACT"),"0",(VLOOKUP($D116,$E$10:$P$19,8,FALSE)*$J116)))</f>
        <v>744326.51311339694</v>
      </c>
      <c r="M116" s="1127">
        <f>IF(($J116=0),0,IF(($D116="ACT"),"0",(VLOOKUP($D116,$E$10:$P$19,9,FALSE)*$J116)))</f>
        <v>303316.89688660298</v>
      </c>
      <c r="N116" s="1126"/>
      <c r="O116" s="1128">
        <f>SUM(L116:M116)</f>
        <v>1047643.4099999999</v>
      </c>
      <c r="P116" s="677">
        <f t="shared" si="26"/>
        <v>0</v>
      </c>
      <c r="R116" s="680"/>
    </row>
    <row r="117" spans="1:18">
      <c r="A117" s="628">
        <v>4240</v>
      </c>
      <c r="B117" s="1211">
        <v>52144</v>
      </c>
      <c r="C117" s="1144" t="s">
        <v>84</v>
      </c>
      <c r="D117" s="1125" t="s">
        <v>187</v>
      </c>
      <c r="E117" s="1152">
        <f>IFERROR(VLOOKUP(B117,'2195 IS (C)'!D:AI,31,FALSE),0)</f>
        <v>19817.330000000002</v>
      </c>
      <c r="F117" s="1152"/>
      <c r="G117" s="1152">
        <f>+E117+F117</f>
        <v>19817.330000000002</v>
      </c>
      <c r="H117" s="1152"/>
      <c r="I117" s="1152"/>
      <c r="J117" s="1152">
        <f t="shared" si="67"/>
        <v>19817.330000000002</v>
      </c>
      <c r="K117" s="1126"/>
      <c r="L117" s="1127">
        <f>IF(($J117=0),0,IF(($D117="ACT"),"0",(VLOOKUP($D117,$E$10:$P$19,8,FALSE)*$J117)))</f>
        <v>14079.756525283272</v>
      </c>
      <c r="M117" s="1127">
        <f>IF(($J117=0),0,IF(($D117="ACT"),"0",(VLOOKUP($D117,$E$10:$P$19,9,FALSE)*$J117)))</f>
        <v>5737.5734747167307</v>
      </c>
      <c r="N117" s="1126"/>
      <c r="O117" s="1128">
        <f>SUM(L117:M117)</f>
        <v>19817.330000000002</v>
      </c>
      <c r="P117" s="677">
        <f t="shared" ref="P117:P118" si="68">ROUND(IF(((O117-J117)=0),0,(O117-J117)),2)</f>
        <v>0</v>
      </c>
      <c r="R117" s="680"/>
    </row>
    <row r="118" spans="1:18">
      <c r="A118" s="628">
        <v>4240</v>
      </c>
      <c r="B118" s="1211">
        <v>52146</v>
      </c>
      <c r="C118" s="1144" t="s">
        <v>85</v>
      </c>
      <c r="D118" s="1125" t="s">
        <v>187</v>
      </c>
      <c r="E118" s="1152">
        <f>IFERROR(VLOOKUP(B118,'2195 IS (C)'!D:AI,31,FALSE),0)</f>
        <v>86210.829999999987</v>
      </c>
      <c r="F118" s="1152"/>
      <c r="G118" s="1152">
        <f>+E118+F118</f>
        <v>86210.829999999987</v>
      </c>
      <c r="H118" s="1152"/>
      <c r="I118" s="1152"/>
      <c r="J118" s="1152">
        <f t="shared" si="67"/>
        <v>86210.829999999987</v>
      </c>
      <c r="K118" s="1126"/>
      <c r="L118" s="1127">
        <f>IF(($J118=0),0,IF(($D118="ACT"),"0",(VLOOKUP($D118,$E$10:$P$19,8,FALSE)*$J118)))</f>
        <v>61250.809076832578</v>
      </c>
      <c r="M118" s="1127">
        <f>IF(($J118=0),0,IF(($D118="ACT"),"0",(VLOOKUP($D118,$E$10:$P$19,9,FALSE)*$J118)))</f>
        <v>24960.020923167413</v>
      </c>
      <c r="N118" s="1126"/>
      <c r="O118" s="1128">
        <f>SUM(L118:M118)</f>
        <v>86210.829999999987</v>
      </c>
      <c r="P118" s="677">
        <f t="shared" si="68"/>
        <v>0</v>
      </c>
      <c r="R118" s="680"/>
    </row>
    <row r="119" spans="1:18">
      <c r="B119" s="1211"/>
      <c r="C119" s="1144"/>
      <c r="D119" s="1125"/>
      <c r="E119" s="1153"/>
      <c r="F119" s="1153"/>
      <c r="G119" s="1153"/>
      <c r="H119" s="1153"/>
      <c r="I119" s="1153"/>
      <c r="J119" s="1153"/>
      <c r="K119" s="1126"/>
      <c r="L119" s="1133"/>
      <c r="M119" s="1133"/>
      <c r="N119" s="1126"/>
      <c r="O119" s="1134"/>
      <c r="P119" s="677"/>
      <c r="R119" s="680"/>
    </row>
    <row r="120" spans="1:18" ht="15">
      <c r="B120" s="1137"/>
      <c r="C120" s="1138" t="s">
        <v>249</v>
      </c>
      <c r="D120" s="1125"/>
      <c r="E120" s="1157">
        <f t="shared" ref="E120:J120" si="69">SUM(E116:E119)</f>
        <v>1153671.57</v>
      </c>
      <c r="F120" s="1157">
        <f t="shared" si="69"/>
        <v>0</v>
      </c>
      <c r="G120" s="1157">
        <f t="shared" si="69"/>
        <v>1153671.57</v>
      </c>
      <c r="H120" s="1157">
        <f t="shared" si="69"/>
        <v>0</v>
      </c>
      <c r="I120" s="1157">
        <f t="shared" si="69"/>
        <v>0</v>
      </c>
      <c r="J120" s="1157">
        <f t="shared" si="69"/>
        <v>1153671.57</v>
      </c>
      <c r="K120" s="1126"/>
      <c r="L120" s="1157">
        <f>SUM(L116:L119)</f>
        <v>819657.07871551276</v>
      </c>
      <c r="M120" s="1157">
        <f>SUM(M116:M119)</f>
        <v>334014.49128448713</v>
      </c>
      <c r="N120" s="1126"/>
      <c r="O120" s="1158">
        <f>SUM(O116:O119)</f>
        <v>1153671.57</v>
      </c>
      <c r="P120" s="677">
        <f t="shared" ref="P120" si="70">ROUND(IF(((O120-J120)=0),0,(O120-J120)),2)</f>
        <v>0</v>
      </c>
      <c r="R120" s="680"/>
    </row>
    <row r="121" spans="1:18" s="623" customFormat="1">
      <c r="B121" s="1177"/>
      <c r="C121" s="1144"/>
      <c r="D121" s="1195"/>
      <c r="E121" s="1144"/>
      <c r="F121" s="1144"/>
      <c r="G121" s="1144"/>
      <c r="H121" s="1144"/>
      <c r="I121" s="1144"/>
      <c r="J121" s="1144"/>
      <c r="K121" s="1144"/>
      <c r="L121" s="1144"/>
      <c r="M121" s="1144"/>
      <c r="N121" s="1144"/>
      <c r="O121" s="1196"/>
      <c r="R121" s="680"/>
    </row>
    <row r="122" spans="1:18">
      <c r="A122" s="628">
        <v>4260</v>
      </c>
      <c r="B122" s="1211">
        <v>41121</v>
      </c>
      <c r="C122" s="1144" t="s">
        <v>52</v>
      </c>
      <c r="D122" s="1125" t="s">
        <v>208</v>
      </c>
      <c r="E122" s="1152">
        <f>IFERROR(VLOOKUP(B122,'2195 IS (C)'!D:AI,31,FALSE),0)</f>
        <v>236576.02000000002</v>
      </c>
      <c r="F122" s="1214"/>
      <c r="G122" s="1152">
        <f>+E122+F122</f>
        <v>236576.02000000002</v>
      </c>
      <c r="H122" s="1152"/>
      <c r="I122" s="1152"/>
      <c r="J122" s="1152">
        <f>+SUM(G122:I122)</f>
        <v>236576.02000000002</v>
      </c>
      <c r="K122" s="1126"/>
      <c r="L122" s="1127">
        <f>IF(($J122=0),0,IF(($D122="ACT"),"0",(VLOOKUP($D122,$E$10:$P$19,8,FALSE)*$J122)))</f>
        <v>33093.952044321872</v>
      </c>
      <c r="M122" s="1127">
        <f>IF(($J122=0),0,IF(($D122="ACT"),"0",(VLOOKUP($D122,$E$10:$P$19,9,FALSE)*$J122)))</f>
        <v>203482.06795567815</v>
      </c>
      <c r="N122" s="1126"/>
      <c r="O122" s="1128">
        <f>SUM(L122:M122)</f>
        <v>236576.02000000002</v>
      </c>
      <c r="P122" s="677">
        <f t="shared" ref="P122" si="71">ROUND(IF(((O122-J122)=0),0,(O122-J122)),2)</f>
        <v>0</v>
      </c>
      <c r="R122" s="680"/>
    </row>
    <row r="123" spans="1:18">
      <c r="B123" s="1211"/>
      <c r="C123" s="1144"/>
      <c r="D123" s="1125"/>
      <c r="E123" s="1153"/>
      <c r="F123" s="1153"/>
      <c r="G123" s="1153"/>
      <c r="H123" s="1153"/>
      <c r="I123" s="1153"/>
      <c r="J123" s="1153"/>
      <c r="K123" s="1151"/>
      <c r="L123" s="1133"/>
      <c r="M123" s="1133"/>
      <c r="N123" s="1126"/>
      <c r="O123" s="1128"/>
      <c r="P123" s="677"/>
      <c r="R123" s="680"/>
    </row>
    <row r="124" spans="1:18" s="623" customFormat="1" ht="15">
      <c r="B124" s="1137"/>
      <c r="C124" s="1138" t="s">
        <v>495</v>
      </c>
      <c r="D124" s="1125"/>
      <c r="E124" s="1157">
        <f t="shared" ref="E124:M124" si="72">SUM(E122:E123)</f>
        <v>236576.02000000002</v>
      </c>
      <c r="F124" s="1157">
        <f t="shared" si="72"/>
        <v>0</v>
      </c>
      <c r="G124" s="1157">
        <f t="shared" si="72"/>
        <v>236576.02000000002</v>
      </c>
      <c r="H124" s="1157">
        <f t="shared" si="72"/>
        <v>0</v>
      </c>
      <c r="I124" s="1157">
        <f t="shared" si="72"/>
        <v>0</v>
      </c>
      <c r="J124" s="1157">
        <f t="shared" si="72"/>
        <v>236576.02000000002</v>
      </c>
      <c r="K124" s="1157">
        <f t="shared" si="72"/>
        <v>0</v>
      </c>
      <c r="L124" s="1157">
        <f t="shared" si="72"/>
        <v>33093.952044321872</v>
      </c>
      <c r="M124" s="1157">
        <f t="shared" si="72"/>
        <v>203482.06795567815</v>
      </c>
      <c r="N124" s="1144"/>
      <c r="O124" s="1156">
        <f>SUM(O122:O123)</f>
        <v>236576.02000000002</v>
      </c>
      <c r="P124" s="677">
        <f t="shared" ref="P124" si="73">ROUND(IF(((O124-J124)=0),0,(O124-J124)),2)</f>
        <v>0</v>
      </c>
      <c r="R124" s="680"/>
    </row>
    <row r="125" spans="1:18" s="623" customFormat="1">
      <c r="B125" s="1177"/>
      <c r="C125" s="1144"/>
      <c r="D125" s="1195"/>
      <c r="E125" s="1144"/>
      <c r="F125" s="1144"/>
      <c r="G125" s="1144"/>
      <c r="H125" s="1144"/>
      <c r="I125" s="1144"/>
      <c r="J125" s="1144"/>
      <c r="K125" s="1144"/>
      <c r="L125" s="1144"/>
      <c r="M125" s="1144"/>
      <c r="N125" s="1144"/>
      <c r="O125" s="1196"/>
      <c r="R125" s="680"/>
    </row>
    <row r="126" spans="1:18">
      <c r="A126" s="628">
        <v>4280</v>
      </c>
      <c r="B126" s="1211">
        <v>57125</v>
      </c>
      <c r="C126" s="1144" t="s">
        <v>81</v>
      </c>
      <c r="D126" s="1125" t="s">
        <v>187</v>
      </c>
      <c r="E126" s="1152">
        <f>IFERROR(VLOOKUP(B126,'2195 IS (C)'!D:AI,31,FALSE),0)</f>
        <v>3838.6299999999997</v>
      </c>
      <c r="F126" s="1152"/>
      <c r="G126" s="1152">
        <f t="shared" ref="G126:G131" si="74">+E126+F126</f>
        <v>3838.6299999999997</v>
      </c>
      <c r="H126" s="1152"/>
      <c r="I126" s="1152"/>
      <c r="J126" s="1152">
        <f t="shared" ref="J126:J131" si="75">+SUM(G126:I126)</f>
        <v>3838.6299999999997</v>
      </c>
      <c r="K126" s="1126"/>
      <c r="L126" s="1127">
        <f t="shared" ref="L126:L131" si="76">IF(($J126=0),0,IF(($D126="ACT"),"0",(VLOOKUP($D126,$E$10:$P$19,8,FALSE)*$J126)))</f>
        <v>2727.2582023233258</v>
      </c>
      <c r="M126" s="1127">
        <f t="shared" ref="M126:M131" si="77">IF(($J126=0),0,IF(($D126="ACT"),"0",(VLOOKUP($D126,$E$10:$P$19,9,FALSE)*$J126)))</f>
        <v>1111.3717976766739</v>
      </c>
      <c r="N126" s="1126"/>
      <c r="O126" s="1128">
        <f t="shared" ref="O126:O131" si="78">SUM(L126:M126)</f>
        <v>3838.6299999999997</v>
      </c>
      <c r="P126" s="677">
        <f t="shared" ref="P126:P131" si="79">ROUND(IF(((O126-J126)=0),0,(O126-J126)),2)</f>
        <v>0</v>
      </c>
      <c r="R126" s="680"/>
    </row>
    <row r="127" spans="1:18">
      <c r="A127" s="628">
        <v>4280</v>
      </c>
      <c r="B127" s="1211">
        <v>57255</v>
      </c>
      <c r="C127" s="1144" t="s">
        <v>140</v>
      </c>
      <c r="D127" s="1125" t="s">
        <v>187</v>
      </c>
      <c r="E127" s="1152">
        <f>IFERROR(VLOOKUP(B127,'2195 IS (C)'!D:AI,31,FALSE),0)</f>
        <v>0</v>
      </c>
      <c r="F127" s="1152"/>
      <c r="G127" s="1152">
        <f t="shared" si="74"/>
        <v>0</v>
      </c>
      <c r="H127" s="1152"/>
      <c r="I127" s="1152"/>
      <c r="J127" s="1152">
        <f t="shared" si="75"/>
        <v>0</v>
      </c>
      <c r="K127" s="1126"/>
      <c r="L127" s="1127">
        <f t="shared" si="76"/>
        <v>0</v>
      </c>
      <c r="M127" s="1127">
        <f t="shared" si="77"/>
        <v>0</v>
      </c>
      <c r="N127" s="1126"/>
      <c r="O127" s="1128">
        <f t="shared" si="78"/>
        <v>0</v>
      </c>
      <c r="P127" s="677">
        <f t="shared" si="79"/>
        <v>0</v>
      </c>
      <c r="R127" s="680"/>
    </row>
    <row r="128" spans="1:18">
      <c r="A128" s="628">
        <v>4280</v>
      </c>
      <c r="B128" s="1211">
        <v>57324</v>
      </c>
      <c r="C128" s="1144" t="s">
        <v>106</v>
      </c>
      <c r="D128" s="1125" t="s">
        <v>187</v>
      </c>
      <c r="E128" s="1152">
        <f>IFERROR(VLOOKUP(B128,'2195 IS (C)'!D:AI,31,FALSE),0)</f>
        <v>352.27</v>
      </c>
      <c r="F128" s="1152">
        <f>-E128</f>
        <v>-352.27</v>
      </c>
      <c r="G128" s="1152">
        <f t="shared" si="74"/>
        <v>0</v>
      </c>
      <c r="H128" s="1152"/>
      <c r="I128" s="1152"/>
      <c r="J128" s="1152">
        <f t="shared" si="75"/>
        <v>0</v>
      </c>
      <c r="K128" s="1126"/>
      <c r="L128" s="1127">
        <f t="shared" si="76"/>
        <v>0</v>
      </c>
      <c r="M128" s="1127">
        <f t="shared" si="77"/>
        <v>0</v>
      </c>
      <c r="N128" s="1126"/>
      <c r="O128" s="1128">
        <f t="shared" si="78"/>
        <v>0</v>
      </c>
      <c r="P128" s="677">
        <f t="shared" ref="P128" si="80">ROUND(IF(((O128-J128)=0),0,(O128-J128)),2)</f>
        <v>0</v>
      </c>
      <c r="R128" s="680"/>
    </row>
    <row r="129" spans="1:18">
      <c r="A129" s="628">
        <v>4280</v>
      </c>
      <c r="B129" s="1211">
        <v>50090</v>
      </c>
      <c r="C129" s="1144" t="s">
        <v>73</v>
      </c>
      <c r="D129" s="1125" t="s">
        <v>187</v>
      </c>
      <c r="E129" s="1152">
        <f>IFERROR(VLOOKUP(B129,'2195 IS (C)'!D:AI,31,FALSE),0)</f>
        <v>63661.739999999991</v>
      </c>
      <c r="F129" s="1152"/>
      <c r="G129" s="1152">
        <f t="shared" si="74"/>
        <v>63661.739999999991</v>
      </c>
      <c r="H129" s="1152"/>
      <c r="I129" s="1152"/>
      <c r="J129" s="1152">
        <f t="shared" si="75"/>
        <v>63661.739999999991</v>
      </c>
      <c r="K129" s="1126"/>
      <c r="L129" s="1127">
        <f t="shared" si="76"/>
        <v>45230.19999040672</v>
      </c>
      <c r="M129" s="1127">
        <f t="shared" si="77"/>
        <v>18431.540009593271</v>
      </c>
      <c r="N129" s="1126"/>
      <c r="O129" s="1128">
        <f t="shared" si="78"/>
        <v>63661.739999999991</v>
      </c>
      <c r="P129" s="677">
        <f t="shared" si="79"/>
        <v>0</v>
      </c>
      <c r="R129" s="680"/>
    </row>
    <row r="130" spans="1:18">
      <c r="A130" s="628">
        <v>4280</v>
      </c>
      <c r="B130" s="1211">
        <v>56090</v>
      </c>
      <c r="C130" s="1144" t="s">
        <v>73</v>
      </c>
      <c r="D130" s="1125" t="s">
        <v>187</v>
      </c>
      <c r="E130" s="1152">
        <f>IFERROR(VLOOKUP(B130,'2195 IS (C)'!D:AI,31,FALSE),0)</f>
        <v>207.7</v>
      </c>
      <c r="F130" s="1152"/>
      <c r="G130" s="1152">
        <f t="shared" ref="G130" si="81">+E130+F130</f>
        <v>207.7</v>
      </c>
      <c r="H130" s="1152"/>
      <c r="I130" s="1152"/>
      <c r="J130" s="1152">
        <f t="shared" si="75"/>
        <v>207.7</v>
      </c>
      <c r="K130" s="1126"/>
      <c r="L130" s="1127">
        <f t="shared" si="76"/>
        <v>147.5660661805266</v>
      </c>
      <c r="M130" s="1127">
        <f t="shared" si="77"/>
        <v>60.133933819473398</v>
      </c>
      <c r="N130" s="1126"/>
      <c r="O130" s="1128">
        <f t="shared" ref="O130" si="82">SUM(L130:M130)</f>
        <v>207.7</v>
      </c>
      <c r="P130" s="677">
        <f t="shared" ref="P130" si="83">ROUND(IF(((O130-J130)=0),0,(O130-J130)),2)</f>
        <v>0</v>
      </c>
      <c r="R130" s="680"/>
    </row>
    <row r="131" spans="1:18">
      <c r="A131" s="628">
        <v>4280</v>
      </c>
      <c r="B131" s="1211">
        <v>70324</v>
      </c>
      <c r="C131" s="1144" t="s">
        <v>106</v>
      </c>
      <c r="D131" s="1125" t="s">
        <v>486</v>
      </c>
      <c r="E131" s="1152">
        <f>IFERROR(VLOOKUP(B131,'2195 IS (C)'!D:AI,31,FALSE),0)</f>
        <v>1.68</v>
      </c>
      <c r="F131" s="1152">
        <f>-E131</f>
        <v>-1.68</v>
      </c>
      <c r="G131" s="1152">
        <f t="shared" si="74"/>
        <v>0</v>
      </c>
      <c r="H131" s="1152"/>
      <c r="I131" s="1152"/>
      <c r="J131" s="1152">
        <f t="shared" si="75"/>
        <v>0</v>
      </c>
      <c r="K131" s="1126"/>
      <c r="L131" s="1127">
        <f t="shared" si="76"/>
        <v>0</v>
      </c>
      <c r="M131" s="1127">
        <f t="shared" si="77"/>
        <v>0</v>
      </c>
      <c r="N131" s="1126"/>
      <c r="O131" s="1128">
        <f t="shared" si="78"/>
        <v>0</v>
      </c>
      <c r="P131" s="677">
        <f t="shared" si="79"/>
        <v>0</v>
      </c>
      <c r="R131" s="680"/>
    </row>
    <row r="132" spans="1:18">
      <c r="B132" s="1148"/>
      <c r="C132" s="1144"/>
      <c r="D132" s="1125"/>
      <c r="E132" s="1153"/>
      <c r="F132" s="1153"/>
      <c r="G132" s="1153"/>
      <c r="H132" s="1153"/>
      <c r="I132" s="1153"/>
      <c r="J132" s="1153"/>
      <c r="K132" s="1126"/>
      <c r="L132" s="1133"/>
      <c r="M132" s="1133"/>
      <c r="N132" s="1126"/>
      <c r="O132" s="1134"/>
      <c r="P132" s="677"/>
      <c r="R132" s="680"/>
    </row>
    <row r="133" spans="1:18" ht="15">
      <c r="B133" s="1137"/>
      <c r="C133" s="1138" t="s">
        <v>496</v>
      </c>
      <c r="D133" s="1125"/>
      <c r="E133" s="1157">
        <f t="shared" ref="E133:J133" si="84">SUM(E126:E132)</f>
        <v>68062.019999999975</v>
      </c>
      <c r="F133" s="1157">
        <f t="shared" si="84"/>
        <v>-353.95</v>
      </c>
      <c r="G133" s="1157">
        <f t="shared" si="84"/>
        <v>67708.069999999992</v>
      </c>
      <c r="H133" s="1157">
        <f t="shared" si="84"/>
        <v>0</v>
      </c>
      <c r="I133" s="1157">
        <f t="shared" si="84"/>
        <v>0</v>
      </c>
      <c r="J133" s="1157">
        <f t="shared" si="84"/>
        <v>67708.069999999992</v>
      </c>
      <c r="K133" s="1126"/>
      <c r="L133" s="1157">
        <f>SUM(L126:L132)</f>
        <v>48105.024258910569</v>
      </c>
      <c r="M133" s="1157">
        <f>SUM(M126:M132)</f>
        <v>19603.04574108942</v>
      </c>
      <c r="N133" s="1126"/>
      <c r="O133" s="1158">
        <f>SUM(O126:O132)</f>
        <v>67708.069999999992</v>
      </c>
      <c r="P133" s="677">
        <f t="shared" ref="P133" si="85">ROUND(IF(((O133-J133)=0),0,(O133-J133)),2)</f>
        <v>0</v>
      </c>
      <c r="R133" s="680"/>
    </row>
    <row r="134" spans="1:18" s="623" customFormat="1">
      <c r="B134" s="1177"/>
      <c r="C134" s="1144"/>
      <c r="D134" s="1195"/>
      <c r="E134" s="1144"/>
      <c r="F134" s="1144"/>
      <c r="G134" s="1144"/>
      <c r="H134" s="1144"/>
      <c r="I134" s="1144"/>
      <c r="J134" s="1144"/>
      <c r="K134" s="1144"/>
      <c r="L134" s="1144"/>
      <c r="M134" s="1144"/>
      <c r="N134" s="1144"/>
      <c r="O134" s="1196"/>
      <c r="R134" s="680"/>
    </row>
    <row r="135" spans="1:18" ht="15.75" thickBot="1">
      <c r="B135" s="1147"/>
      <c r="C135" s="1138" t="s">
        <v>521</v>
      </c>
      <c r="D135" s="1125"/>
      <c r="E135" s="1212">
        <f t="shared" ref="E135:M135" si="86">E133+E124+E120+E114+E105</f>
        <v>5342579.1899999995</v>
      </c>
      <c r="F135" s="1212">
        <f t="shared" si="86"/>
        <v>-353.95</v>
      </c>
      <c r="G135" s="1212">
        <f t="shared" si="86"/>
        <v>5342225.2399999993</v>
      </c>
      <c r="H135" s="1212">
        <f t="shared" si="86"/>
        <v>334301.51359906967</v>
      </c>
      <c r="I135" s="1212">
        <f t="shared" si="86"/>
        <v>0</v>
      </c>
      <c r="J135" s="1212">
        <f t="shared" si="86"/>
        <v>5676526.7535990691</v>
      </c>
      <c r="K135" s="1212">
        <f t="shared" si="86"/>
        <v>0</v>
      </c>
      <c r="L135" s="1212">
        <f t="shared" si="86"/>
        <v>3898053.653407271</v>
      </c>
      <c r="M135" s="1212">
        <f t="shared" si="86"/>
        <v>1778473.1001917985</v>
      </c>
      <c r="N135" s="1144"/>
      <c r="O135" s="1213">
        <f>O133+O124+O120+O114+O105</f>
        <v>5676526.7535990691</v>
      </c>
      <c r="P135" s="677">
        <f t="shared" ref="P135" si="87">ROUND(IF(((O135-J135)=0),0,(O135-J135)),2)</f>
        <v>0</v>
      </c>
      <c r="R135" s="680"/>
    </row>
    <row r="136" spans="1:18" s="623" customFormat="1" ht="15" thickTop="1">
      <c r="B136" s="1177"/>
      <c r="C136" s="1144"/>
      <c r="D136" s="1195"/>
      <c r="E136" s="1144"/>
      <c r="F136" s="1144"/>
      <c r="G136" s="1144"/>
      <c r="H136" s="1144"/>
      <c r="I136" s="1144"/>
      <c r="J136" s="1144"/>
      <c r="K136" s="1144"/>
      <c r="L136" s="1144"/>
      <c r="M136" s="1144"/>
      <c r="N136" s="1144"/>
      <c r="O136" s="1196"/>
      <c r="R136" s="680"/>
    </row>
    <row r="137" spans="1:18">
      <c r="A137" s="628">
        <v>4360</v>
      </c>
      <c r="B137" s="1211">
        <v>40101</v>
      </c>
      <c r="C137" s="1144" t="s">
        <v>47</v>
      </c>
      <c r="D137" s="1125" t="s">
        <v>186</v>
      </c>
      <c r="E137" s="1152">
        <f>IFERROR(VLOOKUP(B137,'2195 IS (C)'!D:AI,31,FALSE),0)</f>
        <v>4888724.2600000007</v>
      </c>
      <c r="F137" s="1152">
        <f>-F138</f>
        <v>-2135591.7599999998</v>
      </c>
      <c r="G137" s="1152">
        <f t="shared" ref="G137:G140" si="88">+E137+F137</f>
        <v>2753132.5000000009</v>
      </c>
      <c r="H137" s="1152"/>
      <c r="I137" s="1152"/>
      <c r="J137" s="1152">
        <f t="shared" ref="J137:J140" si="89">+SUM(G137:I137)</f>
        <v>2753132.5000000009</v>
      </c>
      <c r="K137" s="1126"/>
      <c r="L137" s="1127">
        <f>+'Disposal 4.21-3-22'!D59+'Disposal 4.21-3-22'!D48+H137</f>
        <v>1948596.909609549</v>
      </c>
      <c r="M137" s="1127">
        <f>+J137-L137</f>
        <v>804535.59039045195</v>
      </c>
      <c r="N137" s="1126"/>
      <c r="O137" s="1128">
        <f t="shared" ref="O137:O140" si="90">SUM(L137:M137)</f>
        <v>2753132.5000000009</v>
      </c>
      <c r="P137" s="677">
        <f t="shared" ref="P137:P140" si="91">ROUND(IF(((O137-J137)=0),0,(O137-J137)),2)</f>
        <v>0</v>
      </c>
      <c r="R137" s="680"/>
    </row>
    <row r="138" spans="1:18">
      <c r="B138" s="1211"/>
      <c r="C138" s="1144" t="s">
        <v>234</v>
      </c>
      <c r="D138" s="1125" t="s">
        <v>186</v>
      </c>
      <c r="E138" s="1152">
        <f>IFERROR(VLOOKUP(B138,'2195 IS (C)'!D:AI,31,FALSE),0)</f>
        <v>0</v>
      </c>
      <c r="F138" s="1152">
        <f>+G30</f>
        <v>2135591.7599999998</v>
      </c>
      <c r="G138" s="1152">
        <f t="shared" si="88"/>
        <v>2135591.7599999998</v>
      </c>
      <c r="H138" s="1152"/>
      <c r="I138" s="1152"/>
      <c r="J138" s="1152">
        <f t="shared" si="89"/>
        <v>2135591.7599999998</v>
      </c>
      <c r="K138" s="1126"/>
      <c r="L138" s="1152">
        <f>+L30</f>
        <v>1589078.5899999999</v>
      </c>
      <c r="M138" s="1152">
        <f>+M30</f>
        <v>546513.17000000004</v>
      </c>
      <c r="N138" s="1126"/>
      <c r="O138" s="1128">
        <f t="shared" si="90"/>
        <v>2135591.7599999998</v>
      </c>
      <c r="P138" s="677">
        <f t="shared" si="91"/>
        <v>0</v>
      </c>
      <c r="R138" s="680"/>
    </row>
    <row r="139" spans="1:18">
      <c r="A139" s="628">
        <v>4360</v>
      </c>
      <c r="B139" s="1211">
        <v>40139</v>
      </c>
      <c r="C139" s="1144" t="s">
        <v>2015</v>
      </c>
      <c r="D139" s="1125" t="s">
        <v>186</v>
      </c>
      <c r="E139" s="1152">
        <f>IFERROR(VLOOKUP(B139,'2195 IS (C)'!D:AI,31,FALSE),0)</f>
        <v>0</v>
      </c>
      <c r="F139" s="1152">
        <f>-F140</f>
        <v>0</v>
      </c>
      <c r="G139" s="1152">
        <f t="shared" ref="G139" si="92">+E139+F139</f>
        <v>0</v>
      </c>
      <c r="H139" s="1152"/>
      <c r="I139" s="1152"/>
      <c r="J139" s="1152">
        <f t="shared" si="89"/>
        <v>0</v>
      </c>
      <c r="K139" s="1126"/>
      <c r="L139" s="1127">
        <v>0</v>
      </c>
      <c r="M139" s="1127">
        <v>0</v>
      </c>
      <c r="N139" s="1126"/>
      <c r="O139" s="1128">
        <f t="shared" ref="O139" si="93">SUM(L139:M139)</f>
        <v>0</v>
      </c>
      <c r="P139" s="677">
        <f t="shared" ref="P139" si="94">ROUND(IF(((O139-J139)=0),0,(O139-J139)),2)</f>
        <v>0</v>
      </c>
      <c r="R139" s="680"/>
    </row>
    <row r="140" spans="1:18">
      <c r="A140" s="628">
        <v>4360</v>
      </c>
      <c r="B140" s="1211">
        <v>40861</v>
      </c>
      <c r="C140" s="1144" t="s">
        <v>607</v>
      </c>
      <c r="D140" s="1125" t="s">
        <v>208</v>
      </c>
      <c r="E140" s="1152">
        <f>IFERROR(VLOOKUP(B140,'2195 IS (C)'!D:AI,31,FALSE),0)</f>
        <v>0</v>
      </c>
      <c r="F140" s="1152"/>
      <c r="G140" s="1152">
        <f t="shared" si="88"/>
        <v>0</v>
      </c>
      <c r="H140" s="1152"/>
      <c r="I140" s="1152"/>
      <c r="J140" s="1152">
        <f t="shared" si="89"/>
        <v>0</v>
      </c>
      <c r="K140" s="1126"/>
      <c r="L140" s="1127">
        <f>IF(($J140=0),0,IF(($D140="ACT"),"0",(VLOOKUP($D140,$E$10:$P$19,8,FALSE)*$J140)))</f>
        <v>0</v>
      </c>
      <c r="M140" s="1127">
        <f>IF(($J140=0),0,IF(($D140="ACT"),"0",(VLOOKUP($D140,$E$10:$P$19,9,FALSE)*$J140)))</f>
        <v>0</v>
      </c>
      <c r="N140" s="1126"/>
      <c r="O140" s="1128">
        <f t="shared" si="90"/>
        <v>0</v>
      </c>
      <c r="P140" s="677">
        <f t="shared" si="91"/>
        <v>0</v>
      </c>
      <c r="R140" s="680"/>
    </row>
    <row r="141" spans="1:18">
      <c r="B141" s="1211"/>
      <c r="C141" s="1144"/>
      <c r="D141" s="1125"/>
      <c r="E141" s="1153"/>
      <c r="F141" s="1153"/>
      <c r="G141" s="1153"/>
      <c r="H141" s="1153"/>
      <c r="I141" s="1153"/>
      <c r="J141" s="1153"/>
      <c r="K141" s="1126"/>
      <c r="L141" s="1133"/>
      <c r="M141" s="1133"/>
      <c r="N141" s="1126"/>
      <c r="O141" s="1134"/>
      <c r="P141" s="677"/>
      <c r="R141" s="680"/>
    </row>
    <row r="142" spans="1:18" ht="15">
      <c r="B142" s="1147"/>
      <c r="C142" s="1138" t="s">
        <v>507</v>
      </c>
      <c r="D142" s="1125"/>
      <c r="E142" s="1157">
        <f t="shared" ref="E142:M142" si="95">SUM(E137:E141)</f>
        <v>4888724.2600000007</v>
      </c>
      <c r="F142" s="1157">
        <f t="shared" si="95"/>
        <v>0</v>
      </c>
      <c r="G142" s="1157">
        <f t="shared" si="95"/>
        <v>4888724.2600000007</v>
      </c>
      <c r="H142" s="1157">
        <f t="shared" si="95"/>
        <v>0</v>
      </c>
      <c r="I142" s="1157">
        <f t="shared" si="95"/>
        <v>0</v>
      </c>
      <c r="J142" s="1157">
        <f t="shared" si="95"/>
        <v>4888724.2600000007</v>
      </c>
      <c r="K142" s="1157">
        <f t="shared" si="95"/>
        <v>0</v>
      </c>
      <c r="L142" s="1157">
        <f t="shared" si="95"/>
        <v>3537675.4996095486</v>
      </c>
      <c r="M142" s="1157">
        <f t="shared" si="95"/>
        <v>1351048.7603904521</v>
      </c>
      <c r="N142" s="1144"/>
      <c r="O142" s="1158">
        <f>SUM(O137:O141)</f>
        <v>4888724.2600000007</v>
      </c>
      <c r="P142" s="677">
        <f t="shared" ref="P142" si="96">ROUND(IF(((O142-J142)=0),0,(O142-J142)),2)</f>
        <v>0</v>
      </c>
      <c r="R142" s="680"/>
    </row>
    <row r="143" spans="1:18" s="623" customFormat="1">
      <c r="B143" s="1177"/>
      <c r="C143" s="1144"/>
      <c r="D143" s="1195"/>
      <c r="E143" s="1144"/>
      <c r="F143" s="1144"/>
      <c r="G143" s="1144"/>
      <c r="H143" s="1144"/>
      <c r="I143" s="1144"/>
      <c r="J143" s="1144"/>
      <c r="K143" s="1144"/>
      <c r="L143" s="1144"/>
      <c r="M143" s="1144"/>
      <c r="N143" s="1144"/>
      <c r="O143" s="1196"/>
      <c r="R143" s="680"/>
    </row>
    <row r="144" spans="1:18" s="623" customFormat="1">
      <c r="B144" s="1177"/>
      <c r="C144" s="1144"/>
      <c r="D144" s="1195"/>
      <c r="E144" s="1144"/>
      <c r="F144" s="1144"/>
      <c r="G144" s="1144"/>
      <c r="H144" s="1144"/>
      <c r="I144" s="1144"/>
      <c r="J144" s="1144"/>
      <c r="K144" s="1144"/>
      <c r="L144" s="1144"/>
      <c r="M144" s="1144"/>
      <c r="N144" s="1144"/>
      <c r="O144" s="1196"/>
      <c r="R144" s="680"/>
    </row>
    <row r="145" spans="1:18" s="623" customFormat="1" ht="15.75" thickBot="1">
      <c r="B145" s="1147"/>
      <c r="C145" s="1138" t="s">
        <v>519</v>
      </c>
      <c r="D145" s="1195"/>
      <c r="E145" s="1212">
        <f t="shared" ref="E145:J145" si="97">E142</f>
        <v>4888724.2600000007</v>
      </c>
      <c r="F145" s="1212">
        <f t="shared" si="97"/>
        <v>0</v>
      </c>
      <c r="G145" s="1212">
        <f t="shared" si="97"/>
        <v>4888724.2600000007</v>
      </c>
      <c r="H145" s="1212">
        <f t="shared" si="97"/>
        <v>0</v>
      </c>
      <c r="I145" s="1212">
        <f t="shared" si="97"/>
        <v>0</v>
      </c>
      <c r="J145" s="1212">
        <f t="shared" si="97"/>
        <v>4888724.2600000007</v>
      </c>
      <c r="K145" s="1212"/>
      <c r="L145" s="1212">
        <f>L142</f>
        <v>3537675.4996095486</v>
      </c>
      <c r="M145" s="1212">
        <f>M142</f>
        <v>1351048.7603904521</v>
      </c>
      <c r="N145" s="1144"/>
      <c r="O145" s="1213">
        <f>O142</f>
        <v>4888724.2600000007</v>
      </c>
      <c r="P145" s="677">
        <f t="shared" ref="P145" si="98">ROUND(IF(((O145-J145)=0),0,(O145-J145)),2)</f>
        <v>0</v>
      </c>
      <c r="R145" s="680"/>
    </row>
    <row r="146" spans="1:18" s="623" customFormat="1" ht="15" thickTop="1">
      <c r="B146" s="1177"/>
      <c r="C146" s="1144"/>
      <c r="D146" s="1195"/>
      <c r="E146" s="1144"/>
      <c r="F146" s="1144"/>
      <c r="G146" s="1144"/>
      <c r="H146" s="1144"/>
      <c r="I146" s="1144"/>
      <c r="J146" s="1144"/>
      <c r="K146" s="1144"/>
      <c r="L146" s="1144"/>
      <c r="M146" s="1144"/>
      <c r="N146" s="1144"/>
      <c r="O146" s="1196"/>
      <c r="R146" s="680"/>
    </row>
    <row r="147" spans="1:18">
      <c r="A147" s="628">
        <v>4450</v>
      </c>
      <c r="B147" s="1211">
        <v>70225</v>
      </c>
      <c r="C147" s="1144" t="s">
        <v>123</v>
      </c>
      <c r="D147" s="1125" t="s">
        <v>1431</v>
      </c>
      <c r="E147" s="1152">
        <f>IFERROR(VLOOKUP(B147,'2195 IS (C)'!D:AI,31,FALSE),0)</f>
        <v>7257.83</v>
      </c>
      <c r="F147" s="1152"/>
      <c r="G147" s="1152">
        <f>+E147+F147</f>
        <v>7257.83</v>
      </c>
      <c r="H147" s="1152"/>
      <c r="I147" s="1152"/>
      <c r="J147" s="1152">
        <f>+SUM(G147:I147)</f>
        <v>7257.83</v>
      </c>
      <c r="K147" s="1154"/>
      <c r="L147" s="1127">
        <f>IF(($J147=0),0,IF(($D147="ACT"),"0",(VLOOKUP($D147,$E$10:$P$19,8,FALSE)*$J147)))</f>
        <v>4969.0579031008701</v>
      </c>
      <c r="M147" s="1127">
        <f>IF(($J147=0),0,IF(($D147="ACT"),"0",(VLOOKUP($D147,$E$10:$P$19,9,FALSE)*$J147)))</f>
        <v>2288.7720968991289</v>
      </c>
      <c r="N147" s="1154"/>
      <c r="O147" s="1128">
        <f>SUM(L147:M147)</f>
        <v>7257.829999999999</v>
      </c>
      <c r="P147" s="677">
        <f t="shared" ref="P147" si="99">ROUND(IF(((O147-J147)=0),0,(O147-J147)),2)</f>
        <v>0</v>
      </c>
      <c r="R147" s="680"/>
    </row>
    <row r="148" spans="1:18" s="623" customFormat="1">
      <c r="B148" s="1177"/>
      <c r="C148" s="1144"/>
      <c r="D148" s="1195"/>
      <c r="E148" s="1144"/>
      <c r="F148" s="1144"/>
      <c r="G148" s="1144"/>
      <c r="H148" s="1144"/>
      <c r="I148" s="1144"/>
      <c r="J148" s="1144"/>
      <c r="K148" s="1144"/>
      <c r="L148" s="1144"/>
      <c r="M148" s="1144"/>
      <c r="N148" s="1144"/>
      <c r="O148" s="1196"/>
      <c r="R148" s="680"/>
    </row>
    <row r="149" spans="1:18" ht="15">
      <c r="B149" s="1147"/>
      <c r="C149" s="1138" t="s">
        <v>1432</v>
      </c>
      <c r="D149" s="1125"/>
      <c r="E149" s="1155">
        <f>SUM(E147:E148)</f>
        <v>7257.83</v>
      </c>
      <c r="F149" s="1155">
        <f t="shared" ref="F149:M149" si="100">SUM(F147:F148)</f>
        <v>0</v>
      </c>
      <c r="G149" s="1155">
        <f t="shared" si="100"/>
        <v>7257.83</v>
      </c>
      <c r="H149" s="1155">
        <f t="shared" si="100"/>
        <v>0</v>
      </c>
      <c r="I149" s="1155">
        <f t="shared" si="100"/>
        <v>0</v>
      </c>
      <c r="J149" s="1155">
        <f t="shared" si="100"/>
        <v>7257.83</v>
      </c>
      <c r="K149" s="1155">
        <f t="shared" si="100"/>
        <v>0</v>
      </c>
      <c r="L149" s="1155">
        <f t="shared" si="100"/>
        <v>4969.0579031008701</v>
      </c>
      <c r="M149" s="1155">
        <f t="shared" si="100"/>
        <v>2288.7720968991289</v>
      </c>
      <c r="N149" s="1130"/>
      <c r="O149" s="1156">
        <f>SUM(O147:O148)</f>
        <v>7257.829999999999</v>
      </c>
      <c r="P149" s="677">
        <f t="shared" ref="P149" si="101">ROUND(IF(((O149-J149)=0),0,(O149-J149)),2)</f>
        <v>0</v>
      </c>
      <c r="R149" s="680"/>
    </row>
    <row r="150" spans="1:18" ht="15">
      <c r="B150" s="1139"/>
      <c r="C150" s="1140"/>
      <c r="D150" s="1125"/>
      <c r="E150" s="1157"/>
      <c r="F150" s="1157"/>
      <c r="G150" s="1157"/>
      <c r="H150" s="1157"/>
      <c r="I150" s="1157"/>
      <c r="J150" s="1157"/>
      <c r="K150" s="1157"/>
      <c r="L150" s="1157"/>
      <c r="M150" s="1157"/>
      <c r="N150" s="1130"/>
      <c r="O150" s="1158"/>
      <c r="P150" s="677"/>
      <c r="R150" s="680"/>
    </row>
    <row r="151" spans="1:18" s="623" customFormat="1">
      <c r="B151" s="1177"/>
      <c r="C151" s="1144"/>
      <c r="D151" s="1195"/>
      <c r="E151" s="1144"/>
      <c r="F151" s="1144"/>
      <c r="G151" s="1144"/>
      <c r="H151" s="1144"/>
      <c r="I151" s="1144"/>
      <c r="J151" s="1144"/>
      <c r="K151" s="1144"/>
      <c r="L151" s="1144"/>
      <c r="M151" s="1144"/>
      <c r="N151" s="1144"/>
      <c r="O151" s="1196"/>
      <c r="R151" s="680"/>
    </row>
    <row r="152" spans="1:18" s="623" customFormat="1" ht="15.75" thickBot="1">
      <c r="B152" s="1147"/>
      <c r="C152" s="1138" t="s">
        <v>520</v>
      </c>
      <c r="D152" s="1195"/>
      <c r="E152" s="1212">
        <f>E149</f>
        <v>7257.83</v>
      </c>
      <c r="F152" s="1212">
        <f t="shared" ref="F152:M152" si="102">F149</f>
        <v>0</v>
      </c>
      <c r="G152" s="1212">
        <f t="shared" si="102"/>
        <v>7257.83</v>
      </c>
      <c r="H152" s="1212">
        <f t="shared" si="102"/>
        <v>0</v>
      </c>
      <c r="I152" s="1212">
        <f t="shared" si="102"/>
        <v>0</v>
      </c>
      <c r="J152" s="1212">
        <f t="shared" si="102"/>
        <v>7257.83</v>
      </c>
      <c r="K152" s="1212">
        <f t="shared" si="102"/>
        <v>0</v>
      </c>
      <c r="L152" s="1212">
        <f t="shared" si="102"/>
        <v>4969.0579031008701</v>
      </c>
      <c r="M152" s="1212">
        <f t="shared" si="102"/>
        <v>2288.7720968991289</v>
      </c>
      <c r="N152" s="1144"/>
      <c r="O152" s="1213">
        <f>O149</f>
        <v>7257.829999999999</v>
      </c>
      <c r="R152" s="680"/>
    </row>
    <row r="153" spans="1:18" s="623" customFormat="1" ht="15" thickTop="1">
      <c r="B153" s="1177"/>
      <c r="C153" s="1144"/>
      <c r="D153" s="1195"/>
      <c r="E153" s="1144"/>
      <c r="F153" s="1144"/>
      <c r="G153" s="1144"/>
      <c r="H153" s="1144"/>
      <c r="I153" s="1144"/>
      <c r="J153" s="1144"/>
      <c r="K153" s="1144"/>
      <c r="L153" s="1144"/>
      <c r="M153" s="1144"/>
      <c r="N153" s="1144"/>
      <c r="O153" s="1196"/>
      <c r="R153" s="680"/>
    </row>
    <row r="154" spans="1:18">
      <c r="A154" s="628">
        <v>4530</v>
      </c>
      <c r="B154" s="1211">
        <v>59340</v>
      </c>
      <c r="C154" s="1144" t="s">
        <v>112</v>
      </c>
      <c r="D154" s="1125" t="s">
        <v>187</v>
      </c>
      <c r="E154" s="1152">
        <f>IFERROR(VLOOKUP(B154,'2195 IS (C)'!D:AI,31,FALSE),0)</f>
        <v>111648.45999999998</v>
      </c>
      <c r="F154" s="1152"/>
      <c r="G154" s="1152">
        <f t="shared" ref="G154:G159" si="103">+E154+F154</f>
        <v>111648.45999999998</v>
      </c>
      <c r="H154" s="1152"/>
      <c r="I154" s="1152"/>
      <c r="J154" s="1152">
        <f t="shared" ref="J154:J159" si="104">+SUM(G154:I154)</f>
        <v>111648.45999999998</v>
      </c>
      <c r="K154" s="1126"/>
      <c r="L154" s="1127">
        <f t="shared" ref="L154:L159" si="105">IF(($J154=0),0,IF(($D154="ACT"),"0",(VLOOKUP($D154,$E$10:$P$19,8,FALSE)*$J154)))</f>
        <v>79323.659303388893</v>
      </c>
      <c r="M154" s="1127">
        <f t="shared" ref="M154:M159" si="106">IF(($J154=0),0,IF(($D154="ACT"),"0",(VLOOKUP($D154,$E$10:$P$19,9,FALSE)*$J154)))</f>
        <v>32324.800696611084</v>
      </c>
      <c r="N154" s="1126"/>
      <c r="O154" s="1128">
        <f t="shared" ref="O154:O159" si="107">SUM(L154:M154)</f>
        <v>111648.45999999998</v>
      </c>
      <c r="P154" s="677">
        <f t="shared" ref="P154:P159" si="108">ROUND(IF(((O154-J154)=0),0,(O154-J154)),2)</f>
        <v>0</v>
      </c>
      <c r="R154" s="680"/>
    </row>
    <row r="155" spans="1:18">
      <c r="A155" s="628">
        <v>4530</v>
      </c>
      <c r="B155" s="1211">
        <v>59341</v>
      </c>
      <c r="C155" s="1144" t="s">
        <v>601</v>
      </c>
      <c r="D155" s="1125" t="s">
        <v>187</v>
      </c>
      <c r="E155" s="1152">
        <f>IFERROR(VLOOKUP(B155,'2195 IS (C)'!D:AI,31,FALSE),0)</f>
        <v>8016.73</v>
      </c>
      <c r="F155" s="1152">
        <f>+'5 Year Insurance (C)'!J237-'Master IS (C)'!E155</f>
        <v>23571.031999999999</v>
      </c>
      <c r="G155" s="1152">
        <f t="shared" si="103"/>
        <v>31587.761999999999</v>
      </c>
      <c r="H155" s="1152"/>
      <c r="I155" s="1152"/>
      <c r="J155" s="1152">
        <f t="shared" si="104"/>
        <v>31587.761999999999</v>
      </c>
      <c r="K155" s="1126"/>
      <c r="L155" s="1127">
        <f t="shared" si="105"/>
        <v>22442.377360552349</v>
      </c>
      <c r="M155" s="1127">
        <f t="shared" si="106"/>
        <v>9145.3846394476495</v>
      </c>
      <c r="N155" s="1126"/>
      <c r="O155" s="1128">
        <f t="shared" si="107"/>
        <v>31587.761999999999</v>
      </c>
      <c r="P155" s="677">
        <f t="shared" si="108"/>
        <v>0</v>
      </c>
      <c r="R155" s="680"/>
    </row>
    <row r="156" spans="1:18">
      <c r="A156" s="628">
        <v>4530</v>
      </c>
      <c r="B156" s="1211">
        <v>59342</v>
      </c>
      <c r="C156" s="1144" t="s">
        <v>252</v>
      </c>
      <c r="D156" s="1125" t="s">
        <v>187</v>
      </c>
      <c r="E156" s="1152">
        <f>IFERROR(VLOOKUP(B156,'2195 IS (C)'!D:AI,31,FALSE),0)</f>
        <v>-38976.910000000003</v>
      </c>
      <c r="F156" s="1152">
        <f>+'5 Year Insurance (C)'!J238-'Master IS (C)'!E156</f>
        <v>43889.398000000001</v>
      </c>
      <c r="G156" s="1152">
        <f t="shared" si="103"/>
        <v>4912.4879999999976</v>
      </c>
      <c r="H156" s="1152"/>
      <c r="I156" s="1152"/>
      <c r="J156" s="1152">
        <f t="shared" si="104"/>
        <v>4912.4879999999976</v>
      </c>
      <c r="K156" s="1126"/>
      <c r="L156" s="1127">
        <f t="shared" si="105"/>
        <v>3490.2095778480616</v>
      </c>
      <c r="M156" s="1127">
        <f t="shared" si="106"/>
        <v>1422.278422151936</v>
      </c>
      <c r="N156" s="1126"/>
      <c r="O156" s="1128">
        <f t="shared" si="107"/>
        <v>4912.4879999999976</v>
      </c>
      <c r="P156" s="677">
        <f t="shared" si="108"/>
        <v>0</v>
      </c>
      <c r="R156" s="680"/>
    </row>
    <row r="157" spans="1:18">
      <c r="A157" s="628">
        <v>4530</v>
      </c>
      <c r="B157" s="1211">
        <v>59343</v>
      </c>
      <c r="C157" s="1144" t="s">
        <v>608</v>
      </c>
      <c r="D157" s="1125" t="s">
        <v>187</v>
      </c>
      <c r="E157" s="1152">
        <f>IFERROR(VLOOKUP(B157,'2195 IS (C)'!D:AI,31,FALSE),0)</f>
        <v>19521.939999999999</v>
      </c>
      <c r="F157" s="1152">
        <f>+'5 Year Insurance (C)'!J239-'Master IS (C)'!E157</f>
        <v>11984.007999999998</v>
      </c>
      <c r="G157" s="1152">
        <f t="shared" si="103"/>
        <v>31505.947999999997</v>
      </c>
      <c r="H157" s="1152"/>
      <c r="I157" s="1152"/>
      <c r="J157" s="1152">
        <f t="shared" si="104"/>
        <v>31505.947999999997</v>
      </c>
      <c r="K157" s="1126"/>
      <c r="L157" s="1127">
        <f t="shared" si="105"/>
        <v>22384.25039792118</v>
      </c>
      <c r="M157" s="1127">
        <f t="shared" si="106"/>
        <v>9121.697602078817</v>
      </c>
      <c r="N157" s="1126"/>
      <c r="O157" s="1128">
        <f t="shared" si="107"/>
        <v>31505.947999999997</v>
      </c>
      <c r="P157" s="677">
        <f t="shared" si="108"/>
        <v>0</v>
      </c>
      <c r="R157" s="680"/>
    </row>
    <row r="158" spans="1:18">
      <c r="A158" s="628">
        <v>4540</v>
      </c>
      <c r="B158" s="1211">
        <v>59344</v>
      </c>
      <c r="C158" s="1144" t="s">
        <v>254</v>
      </c>
      <c r="D158" s="1125" t="s">
        <v>187</v>
      </c>
      <c r="E158" s="1152">
        <f>IFERROR(VLOOKUP(B158,'2195 IS (C)'!D:AI,31,FALSE),0)</f>
        <v>58787.28</v>
      </c>
      <c r="F158" s="1152">
        <f>+'5 Year Insurance (C)'!J240-'Master IS (C)'!E158</f>
        <v>-42851.224000000002</v>
      </c>
      <c r="G158" s="1152">
        <f t="shared" si="103"/>
        <v>15936.055999999997</v>
      </c>
      <c r="H158" s="1152"/>
      <c r="I158" s="1152"/>
      <c r="J158" s="1152">
        <f t="shared" si="104"/>
        <v>15936.055999999997</v>
      </c>
      <c r="K158" s="1126"/>
      <c r="L158" s="1127">
        <f t="shared" si="105"/>
        <v>11322.200743151552</v>
      </c>
      <c r="M158" s="1127">
        <f t="shared" si="106"/>
        <v>4613.8552568484438</v>
      </c>
      <c r="N158" s="1126"/>
      <c r="O158" s="1128">
        <f t="shared" si="107"/>
        <v>15936.055999999997</v>
      </c>
      <c r="P158" s="677">
        <f t="shared" si="108"/>
        <v>0</v>
      </c>
      <c r="R158" s="680"/>
    </row>
    <row r="159" spans="1:18">
      <c r="A159" s="628">
        <v>4530</v>
      </c>
      <c r="B159" s="1146">
        <v>59400</v>
      </c>
      <c r="C159" s="1144" t="s">
        <v>490</v>
      </c>
      <c r="D159" s="1125" t="s">
        <v>187</v>
      </c>
      <c r="E159" s="1152">
        <f>IFERROR(VLOOKUP(B159,'2195 IS (C)'!D:AI,31,FALSE),0)</f>
        <v>15805.57</v>
      </c>
      <c r="F159" s="1152">
        <f>+'5 Year Insurance (C)'!J241-'Master IS (C)'!E159</f>
        <v>1215.6419999999998</v>
      </c>
      <c r="G159" s="1152">
        <f t="shared" si="103"/>
        <v>17021.212</v>
      </c>
      <c r="H159" s="1152"/>
      <c r="I159" s="1152"/>
      <c r="J159" s="1152">
        <f t="shared" si="104"/>
        <v>17021.212</v>
      </c>
      <c r="K159" s="1126"/>
      <c r="L159" s="1127">
        <f t="shared" si="105"/>
        <v>12093.179087456781</v>
      </c>
      <c r="M159" s="1127">
        <f t="shared" si="106"/>
        <v>4928.0329125432181</v>
      </c>
      <c r="N159" s="1126"/>
      <c r="O159" s="1128">
        <f t="shared" si="107"/>
        <v>17021.212</v>
      </c>
      <c r="P159" s="677">
        <f t="shared" si="108"/>
        <v>0</v>
      </c>
      <c r="R159" s="680"/>
    </row>
    <row r="160" spans="1:18">
      <c r="B160" s="1211"/>
      <c r="C160" s="1144"/>
      <c r="D160" s="1125"/>
      <c r="E160" s="1153"/>
      <c r="F160" s="1153"/>
      <c r="G160" s="1153"/>
      <c r="H160" s="1153"/>
      <c r="I160" s="1153"/>
      <c r="J160" s="1153"/>
      <c r="K160" s="1126"/>
      <c r="L160" s="1133"/>
      <c r="M160" s="1133"/>
      <c r="N160" s="1126"/>
      <c r="O160" s="1134"/>
      <c r="P160" s="677"/>
      <c r="R160" s="680"/>
    </row>
    <row r="161" spans="1:18" ht="15">
      <c r="B161" s="1215"/>
      <c r="C161" s="1138" t="s">
        <v>253</v>
      </c>
      <c r="D161" s="1125"/>
      <c r="E161" s="1157">
        <f t="shared" ref="E161:M161" si="109">SUM(E154:E160)</f>
        <v>174803.06999999998</v>
      </c>
      <c r="F161" s="1157">
        <f t="shared" si="109"/>
        <v>37808.855999999992</v>
      </c>
      <c r="G161" s="1157">
        <f t="shared" si="109"/>
        <v>212611.92599999998</v>
      </c>
      <c r="H161" s="1157">
        <f t="shared" si="109"/>
        <v>0</v>
      </c>
      <c r="I161" s="1157">
        <f t="shared" si="109"/>
        <v>0</v>
      </c>
      <c r="J161" s="1157">
        <f t="shared" si="109"/>
        <v>212611.92599999998</v>
      </c>
      <c r="K161" s="1157">
        <f t="shared" si="109"/>
        <v>0</v>
      </c>
      <c r="L161" s="1157">
        <f t="shared" si="109"/>
        <v>151055.87647031882</v>
      </c>
      <c r="M161" s="1157">
        <f t="shared" si="109"/>
        <v>61556.049529681142</v>
      </c>
      <c r="N161" s="1126"/>
      <c r="O161" s="1158">
        <f>SUM(O154:O160)</f>
        <v>212611.92599999998</v>
      </c>
      <c r="P161" s="677">
        <f t="shared" ref="P161" si="110">ROUND(IF(((O161-J161)=0),0,(O161-J161)),2)</f>
        <v>0</v>
      </c>
      <c r="R161" s="680"/>
    </row>
    <row r="162" spans="1:18">
      <c r="B162" s="1211"/>
      <c r="C162" s="1144"/>
      <c r="D162" s="1125"/>
      <c r="E162" s="1152"/>
      <c r="F162" s="1152"/>
      <c r="G162" s="1152"/>
      <c r="H162" s="1152"/>
      <c r="I162" s="1152"/>
      <c r="J162" s="1152"/>
      <c r="K162" s="1126"/>
      <c r="L162" s="1127"/>
      <c r="M162" s="1127"/>
      <c r="N162" s="1126"/>
      <c r="O162" s="1128"/>
      <c r="P162" s="677"/>
      <c r="R162" s="680"/>
    </row>
    <row r="163" spans="1:18">
      <c r="A163" s="628">
        <v>4540</v>
      </c>
      <c r="B163" s="1211">
        <v>59500</v>
      </c>
      <c r="C163" s="1144" t="s">
        <v>255</v>
      </c>
      <c r="D163" s="1125" t="s">
        <v>187</v>
      </c>
      <c r="E163" s="1152">
        <f>IFERROR(VLOOKUP(B163,'2195 IS (C)'!D:AI,31,FALSE),0)</f>
        <v>19953.91</v>
      </c>
      <c r="F163" s="1152"/>
      <c r="G163" s="1152">
        <f>+E163+F163</f>
        <v>19953.91</v>
      </c>
      <c r="H163" s="1152"/>
      <c r="I163" s="1152"/>
      <c r="J163" s="1152">
        <f t="shared" ref="J163:J164" si="111">+SUM(G163:I163)</f>
        <v>19953.91</v>
      </c>
      <c r="K163" s="1126"/>
      <c r="L163" s="1127">
        <f>IF(($J163=0),0,IF(($D163="ACT"),"0",(VLOOKUP($D163,$E$10:$P$19,8,FALSE)*$J163)))</f>
        <v>14176.793469524659</v>
      </c>
      <c r="M163" s="1127">
        <f>IF(($J163=0),0,IF(($D163="ACT"),"0",(VLOOKUP($D163,$E$10:$P$19,9,FALSE)*$J163)))</f>
        <v>5777.1165304753422</v>
      </c>
      <c r="N163" s="1126"/>
      <c r="O163" s="1128">
        <f>SUM(L163:M163)</f>
        <v>19953.91</v>
      </c>
      <c r="P163" s="677">
        <f t="shared" ref="P163:P164" si="112">ROUND(IF(((O163-J163)=0),0,(O163-J163)),2)</f>
        <v>0</v>
      </c>
      <c r="R163" s="680"/>
    </row>
    <row r="164" spans="1:18">
      <c r="A164" s="628">
        <v>4540</v>
      </c>
      <c r="B164" s="1146">
        <v>57370</v>
      </c>
      <c r="C164" s="1144" t="s">
        <v>256</v>
      </c>
      <c r="D164" s="1125" t="s">
        <v>187</v>
      </c>
      <c r="E164" s="1152">
        <f>IFERROR(VLOOKUP(B164,'2195 IS (C)'!D:AI,31,FALSE),0)</f>
        <v>1685.61</v>
      </c>
      <c r="F164" s="1152"/>
      <c r="G164" s="1152">
        <f>+E164+F164</f>
        <v>1685.61</v>
      </c>
      <c r="H164" s="1152"/>
      <c r="I164" s="1152"/>
      <c r="J164" s="1152">
        <f t="shared" si="111"/>
        <v>1685.61</v>
      </c>
      <c r="K164" s="1126"/>
      <c r="L164" s="1127">
        <f>IF(($J164=0),0,IF(($D164="ACT"),"0",(VLOOKUP($D164,$E$10:$P$19,8,FALSE)*$J164)))</f>
        <v>1197.5870814374455</v>
      </c>
      <c r="M164" s="1127">
        <f>IF(($J164=0),0,IF(($D164="ACT"),"0",(VLOOKUP($D164,$E$10:$P$19,9,FALSE)*$J164)))</f>
        <v>488.02291856255442</v>
      </c>
      <c r="N164" s="1126"/>
      <c r="O164" s="1128">
        <f>SUM(L164:M164)</f>
        <v>1685.61</v>
      </c>
      <c r="P164" s="677">
        <f t="shared" si="112"/>
        <v>0</v>
      </c>
      <c r="R164" s="680"/>
    </row>
    <row r="165" spans="1:18">
      <c r="B165" s="1146"/>
      <c r="C165" s="1144"/>
      <c r="D165" s="1125"/>
      <c r="E165" s="1153"/>
      <c r="F165" s="1153"/>
      <c r="G165" s="1153"/>
      <c r="H165" s="1153"/>
      <c r="I165" s="1153"/>
      <c r="J165" s="1153"/>
      <c r="K165" s="1126"/>
      <c r="L165" s="1133"/>
      <c r="M165" s="1133"/>
      <c r="N165" s="1126"/>
      <c r="O165" s="1134"/>
      <c r="P165" s="677"/>
      <c r="R165" s="680"/>
    </row>
    <row r="166" spans="1:18" ht="15">
      <c r="B166" s="1147"/>
      <c r="C166" s="1138" t="s">
        <v>257</v>
      </c>
      <c r="D166" s="1125"/>
      <c r="E166" s="1157">
        <f t="shared" ref="E166:J166" si="113">SUM(E163:E165)</f>
        <v>21639.52</v>
      </c>
      <c r="F166" s="1157">
        <f t="shared" si="113"/>
        <v>0</v>
      </c>
      <c r="G166" s="1157">
        <f t="shared" si="113"/>
        <v>21639.52</v>
      </c>
      <c r="H166" s="1157">
        <f t="shared" si="113"/>
        <v>0</v>
      </c>
      <c r="I166" s="1157">
        <f t="shared" si="113"/>
        <v>0</v>
      </c>
      <c r="J166" s="1157">
        <f t="shared" si="113"/>
        <v>21639.52</v>
      </c>
      <c r="K166" s="1157">
        <f>SUM(K158:K165)</f>
        <v>0</v>
      </c>
      <c r="L166" s="1157">
        <f>SUM(L163:L165)</f>
        <v>15374.380550962103</v>
      </c>
      <c r="M166" s="1157">
        <f>SUM(M163:M165)</f>
        <v>6265.1394490378971</v>
      </c>
      <c r="N166" s="1126"/>
      <c r="O166" s="1158">
        <f>SUM(O163:O165)</f>
        <v>21639.52</v>
      </c>
      <c r="P166" s="677">
        <f t="shared" ref="P166" si="114">ROUND(IF(((O166-J166)=0),0,(O166-J166)),2)</f>
        <v>0</v>
      </c>
      <c r="R166" s="680"/>
    </row>
    <row r="167" spans="1:18">
      <c r="B167" s="1146"/>
      <c r="C167" s="1144"/>
      <c r="D167" s="1125"/>
      <c r="E167" s="1152"/>
      <c r="F167" s="1152"/>
      <c r="G167" s="1152"/>
      <c r="H167" s="1152"/>
      <c r="I167" s="1152"/>
      <c r="J167" s="1152"/>
      <c r="K167" s="1126"/>
      <c r="L167" s="1127"/>
      <c r="M167" s="1127"/>
      <c r="N167" s="1126"/>
      <c r="O167" s="1128"/>
      <c r="P167" s="677"/>
      <c r="R167" s="680"/>
    </row>
    <row r="168" spans="1:18">
      <c r="A168" s="628">
        <v>4580</v>
      </c>
      <c r="B168" s="1211">
        <v>57254</v>
      </c>
      <c r="C168" s="1144" t="s">
        <v>243</v>
      </c>
      <c r="D168" s="1125" t="s">
        <v>187</v>
      </c>
      <c r="E168" s="1152">
        <f>IFERROR(VLOOKUP(B168,'2195 IS (C)'!D:AI,31,FALSE),0)</f>
        <v>48345.020000000011</v>
      </c>
      <c r="F168" s="1152"/>
      <c r="G168" s="1152">
        <f>+E168+F168</f>
        <v>48345.020000000011</v>
      </c>
      <c r="H168" s="1152"/>
      <c r="I168" s="1152"/>
      <c r="J168" s="1152">
        <f t="shared" ref="J168:J172" si="115">+SUM(G168:I168)</f>
        <v>48345.020000000011</v>
      </c>
      <c r="K168" s="1126"/>
      <c r="L168" s="1127">
        <f>IF(($J168=0),0,IF(($D168="ACT"),"0",(VLOOKUP($D168,$E$10:$P$19,8,FALSE)*$J168)))</f>
        <v>34348.02321049053</v>
      </c>
      <c r="M168" s="1127">
        <f>IF(($J168=0),0,IF(($D168="ACT"),"0",(VLOOKUP($D168,$E$10:$P$19,9,FALSE)*$J168)))</f>
        <v>13996.996789509478</v>
      </c>
      <c r="N168" s="1126"/>
      <c r="O168" s="1128">
        <f>SUM(L168:M168)</f>
        <v>48345.020000000004</v>
      </c>
      <c r="P168" s="677">
        <f t="shared" ref="P168:P172" si="116">ROUND(IF(((O168-J168)=0),0,(O168-J168)),2)</f>
        <v>0</v>
      </c>
      <c r="R168" s="680"/>
    </row>
    <row r="169" spans="1:18">
      <c r="A169" s="628">
        <v>4580</v>
      </c>
      <c r="B169" s="1211">
        <v>50086</v>
      </c>
      <c r="C169" s="1144" t="s">
        <v>242</v>
      </c>
      <c r="D169" s="1125" t="s">
        <v>187</v>
      </c>
      <c r="E169" s="1152">
        <f>IFERROR(VLOOKUP(B169,'2195 IS (C)'!D:AI,31,FALSE),0)</f>
        <v>29739.489999999998</v>
      </c>
      <c r="F169" s="1152"/>
      <c r="G169" s="1152">
        <f>+E169+F169</f>
        <v>29739.489999999998</v>
      </c>
      <c r="H169" s="1152"/>
      <c r="I169" s="1152"/>
      <c r="J169" s="1152">
        <f t="shared" si="115"/>
        <v>29739.489999999998</v>
      </c>
      <c r="K169" s="1126"/>
      <c r="L169" s="1127">
        <f>IF(($J169=0),0,IF(($D169="ACT"),"0",(VLOOKUP($D169,$E$10:$P$19,8,FALSE)*$J169)))</f>
        <v>21129.222674603316</v>
      </c>
      <c r="M169" s="1127">
        <f>IF(($J169=0),0,IF(($D169="ACT"),"0",(VLOOKUP($D169,$E$10:$P$19,9,FALSE)*$J169)))</f>
        <v>8610.2673253966823</v>
      </c>
      <c r="N169" s="1126"/>
      <c r="O169" s="1128">
        <f>SUM(L169:M169)</f>
        <v>29739.489999999998</v>
      </c>
      <c r="P169" s="677">
        <f t="shared" si="116"/>
        <v>0</v>
      </c>
      <c r="R169" s="680"/>
    </row>
    <row r="170" spans="1:18">
      <c r="A170" s="628">
        <v>4580</v>
      </c>
      <c r="B170" s="1211">
        <v>52086</v>
      </c>
      <c r="C170" s="1144" t="s">
        <v>242</v>
      </c>
      <c r="D170" s="1125" t="s">
        <v>187</v>
      </c>
      <c r="E170" s="1152">
        <f>IFERROR(VLOOKUP(B170,'2195 IS (C)'!D:AI,31,FALSE),0)</f>
        <v>15154.370000000003</v>
      </c>
      <c r="F170" s="1152"/>
      <c r="G170" s="1152">
        <f>+E170+F170</f>
        <v>15154.370000000003</v>
      </c>
      <c r="H170" s="1152"/>
      <c r="I170" s="1152"/>
      <c r="J170" s="1152">
        <f t="shared" si="115"/>
        <v>15154.370000000003</v>
      </c>
      <c r="K170" s="1126"/>
      <c r="L170" s="1127">
        <f>IF(($J170=0),0,IF(($D170="ACT"),"0",(VLOOKUP($D170,$E$10:$P$19,8,FALSE)*$J170)))</f>
        <v>10766.830844218523</v>
      </c>
      <c r="M170" s="1127">
        <f>IF(($J170=0),0,IF(($D170="ACT"),"0",(VLOOKUP($D170,$E$10:$P$19,9,FALSE)*$J170)))</f>
        <v>4387.5391557814792</v>
      </c>
      <c r="N170" s="1126"/>
      <c r="O170" s="1128">
        <f>SUM(L170:M170)</f>
        <v>15154.370000000003</v>
      </c>
      <c r="P170" s="677">
        <f t="shared" ref="P170" si="117">ROUND(IF(((O170-J170)=0),0,(O170-J170)),2)</f>
        <v>0</v>
      </c>
      <c r="R170" s="680"/>
    </row>
    <row r="171" spans="1:18">
      <c r="A171" s="628">
        <v>4580</v>
      </c>
      <c r="B171" s="1211">
        <v>56086</v>
      </c>
      <c r="C171" s="1144" t="s">
        <v>242</v>
      </c>
      <c r="D171" s="1125" t="s">
        <v>187</v>
      </c>
      <c r="E171" s="1152">
        <f>IFERROR(VLOOKUP(B171,'2195 IS (C)'!D:AI,31,FALSE),0)</f>
        <v>3203.95</v>
      </c>
      <c r="F171" s="1152"/>
      <c r="G171" s="1152">
        <f>+E171+F171</f>
        <v>3203.95</v>
      </c>
      <c r="H171" s="1152"/>
      <c r="I171" s="1152"/>
      <c r="J171" s="1152">
        <f t="shared" si="115"/>
        <v>3203.95</v>
      </c>
      <c r="K171" s="1126"/>
      <c r="L171" s="1127">
        <f>IF(($J171=0),0,IF(($D171="ACT"),"0",(VLOOKUP($D171,$E$10:$P$19,8,FALSE)*$J171)))</f>
        <v>2276.3326804963804</v>
      </c>
      <c r="M171" s="1127">
        <f>IF(($J171=0),0,IF(($D171="ACT"),"0",(VLOOKUP($D171,$E$10:$P$19,9,FALSE)*$J171)))</f>
        <v>927.61731950361957</v>
      </c>
      <c r="N171" s="1126"/>
      <c r="O171" s="1128">
        <f>SUM(L171:M171)</f>
        <v>3203.95</v>
      </c>
      <c r="P171" s="677">
        <f t="shared" ref="P171" si="118">ROUND(IF(((O171-J171)=0),0,(O171-J171)),2)</f>
        <v>0</v>
      </c>
      <c r="R171" s="680"/>
    </row>
    <row r="172" spans="1:18">
      <c r="A172" s="628">
        <v>4580</v>
      </c>
      <c r="B172" s="1146">
        <v>70086</v>
      </c>
      <c r="C172" s="1144" t="s">
        <v>72</v>
      </c>
      <c r="D172" s="1125" t="s">
        <v>486</v>
      </c>
      <c r="E172" s="1152">
        <f>IFERROR(VLOOKUP(B172,'2195 IS (C)'!D:AI,31,FALSE),0)</f>
        <v>100</v>
      </c>
      <c r="F172" s="1152"/>
      <c r="G172" s="1152">
        <f>+E172+F172</f>
        <v>100</v>
      </c>
      <c r="H172" s="1152"/>
      <c r="I172" s="1152"/>
      <c r="J172" s="1152">
        <f t="shared" si="115"/>
        <v>100</v>
      </c>
      <c r="K172" s="1154"/>
      <c r="L172" s="1127">
        <f>IF(($J172=0),0,IF(($D172="ACT"),"0",(VLOOKUP($D172,$E$10:$P$19,8,FALSE)*$J172)))</f>
        <v>68.46478772719766</v>
      </c>
      <c r="M172" s="1127">
        <f>IF(($J172=0),0,IF(($D172="ACT"),"0",(VLOOKUP($D172,$E$10:$P$19,9,FALSE)*$J172)))</f>
        <v>31.535212272802326</v>
      </c>
      <c r="N172" s="1154"/>
      <c r="O172" s="1128">
        <f>SUM(L172:M172)</f>
        <v>99.999999999999986</v>
      </c>
      <c r="P172" s="677">
        <f t="shared" si="116"/>
        <v>0</v>
      </c>
      <c r="R172" s="680"/>
    </row>
    <row r="173" spans="1:18">
      <c r="B173" s="1211"/>
      <c r="C173" s="1144"/>
      <c r="D173" s="1125"/>
      <c r="E173" s="1153"/>
      <c r="F173" s="1153"/>
      <c r="G173" s="1153"/>
      <c r="H173" s="1153"/>
      <c r="I173" s="1153"/>
      <c r="J173" s="1153"/>
      <c r="K173" s="1126"/>
      <c r="L173" s="1133"/>
      <c r="M173" s="1133"/>
      <c r="N173" s="1126"/>
      <c r="O173" s="1134"/>
      <c r="P173" s="677"/>
      <c r="R173" s="680"/>
    </row>
    <row r="174" spans="1:18" ht="15">
      <c r="B174" s="1147"/>
      <c r="C174" s="1138" t="s">
        <v>493</v>
      </c>
      <c r="D174" s="1125"/>
      <c r="E174" s="1157">
        <f t="shared" ref="E174:M174" si="119">SUM(E168:E173)</f>
        <v>96542.83</v>
      </c>
      <c r="F174" s="1157">
        <f t="shared" si="119"/>
        <v>0</v>
      </c>
      <c r="G174" s="1157">
        <f t="shared" si="119"/>
        <v>96542.83</v>
      </c>
      <c r="H174" s="1157">
        <f t="shared" si="119"/>
        <v>0</v>
      </c>
      <c r="I174" s="1157">
        <f t="shared" si="119"/>
        <v>0</v>
      </c>
      <c r="J174" s="1157">
        <f t="shared" si="119"/>
        <v>96542.83</v>
      </c>
      <c r="K174" s="1157">
        <f t="shared" si="119"/>
        <v>0</v>
      </c>
      <c r="L174" s="1157">
        <f t="shared" si="119"/>
        <v>68588.874197535944</v>
      </c>
      <c r="M174" s="1157">
        <f t="shared" si="119"/>
        <v>27953.955802464065</v>
      </c>
      <c r="N174" s="1126"/>
      <c r="O174" s="1158">
        <f>SUM(O168:O173)</f>
        <v>96542.83</v>
      </c>
      <c r="P174" s="677">
        <f t="shared" ref="P174" si="120">ROUND(IF(((O174-J174)=0),0,(O174-J174)),2)</f>
        <v>0</v>
      </c>
      <c r="R174" s="680"/>
    </row>
    <row r="175" spans="1:18">
      <c r="B175" s="1139"/>
      <c r="C175" s="1140"/>
      <c r="D175" s="1141"/>
      <c r="E175" s="1140"/>
      <c r="F175" s="1140"/>
      <c r="G175" s="1140"/>
      <c r="H175" s="1140"/>
      <c r="I175" s="1140"/>
      <c r="J175" s="1140"/>
      <c r="K175" s="1140"/>
      <c r="L175" s="1140"/>
      <c r="M175" s="1142"/>
      <c r="N175" s="1142"/>
      <c r="O175" s="1143"/>
      <c r="R175" s="680"/>
    </row>
    <row r="176" spans="1:18" ht="15" customHeight="1" thickBot="1">
      <c r="B176" s="1147"/>
      <c r="C176" s="1138" t="s">
        <v>494</v>
      </c>
      <c r="D176" s="1195"/>
      <c r="E176" s="1212">
        <f t="shared" ref="E176:M176" si="121">E174+E166+E161</f>
        <v>292985.42</v>
      </c>
      <c r="F176" s="1212">
        <f t="shared" si="121"/>
        <v>37808.855999999992</v>
      </c>
      <c r="G176" s="1212">
        <f t="shared" si="121"/>
        <v>330794.27599999995</v>
      </c>
      <c r="H176" s="1212">
        <f t="shared" si="121"/>
        <v>0</v>
      </c>
      <c r="I176" s="1212">
        <f t="shared" si="121"/>
        <v>0</v>
      </c>
      <c r="J176" s="1212">
        <f t="shared" si="121"/>
        <v>330794.27599999995</v>
      </c>
      <c r="K176" s="1212">
        <f t="shared" si="121"/>
        <v>0</v>
      </c>
      <c r="L176" s="1212">
        <f t="shared" si="121"/>
        <v>235019.13121881685</v>
      </c>
      <c r="M176" s="1212">
        <f t="shared" si="121"/>
        <v>95775.144781183102</v>
      </c>
      <c r="N176" s="1144"/>
      <c r="O176" s="1213">
        <f>O174+O166+O161</f>
        <v>330794.27599999995</v>
      </c>
      <c r="P176" s="677">
        <f t="shared" ref="P176" si="122">ROUND(IF(((O176-J176)=0),0,(O176-J176)),2)</f>
        <v>0</v>
      </c>
      <c r="R176" s="680"/>
    </row>
    <row r="177" spans="1:18" ht="15" thickTop="1">
      <c r="B177" s="1139"/>
      <c r="C177" s="1140"/>
      <c r="D177" s="1141"/>
      <c r="E177" s="1140"/>
      <c r="F177" s="1140"/>
      <c r="G177" s="1140"/>
      <c r="H177" s="1140"/>
      <c r="I177" s="1140"/>
      <c r="J177" s="1140"/>
      <c r="K177" s="1140"/>
      <c r="L177" s="1140"/>
      <c r="M177" s="1142"/>
      <c r="N177" s="1142"/>
      <c r="O177" s="1143"/>
      <c r="R177" s="680"/>
    </row>
    <row r="178" spans="1:18">
      <c r="A178" s="628">
        <v>4611</v>
      </c>
      <c r="B178" s="1211">
        <v>70010</v>
      </c>
      <c r="C178" s="1144" t="s">
        <v>62</v>
      </c>
      <c r="D178" s="1125" t="s">
        <v>486</v>
      </c>
      <c r="E178" s="1152">
        <f>IFERROR(VLOOKUP(B178,'2195 IS (C)'!D:AI,31,FALSE),0)</f>
        <v>489455.93999999994</v>
      </c>
      <c r="F178" s="1152">
        <f>+'DVP-DivCon Allocs  (C)'!G49+'DVP-DivCon Allocs  (C)'!Q49</f>
        <v>21482.038597869159</v>
      </c>
      <c r="G178" s="1152">
        <f>+E178+F178</f>
        <v>510937.97859786911</v>
      </c>
      <c r="H178" s="1152">
        <f>'Pro forma Adj (C)'!B13</f>
        <v>2889.07948223416</v>
      </c>
      <c r="I178" s="1152"/>
      <c r="J178" s="1152">
        <f>+SUM(G178:I178)</f>
        <v>513827.05808010325</v>
      </c>
      <c r="K178" s="1126"/>
      <c r="L178" s="1127">
        <f>IF(($J178=0),0,IF(($D178="ACT"),"0",(VLOOKUP($D178,$E$10:$P$19,8,FALSE)*$J178)))</f>
        <v>351790.60459944734</v>
      </c>
      <c r="M178" s="1127">
        <f>IF(($J178=0),0,IF(($D178="ACT"),"0",(VLOOKUP($D178,$E$10:$P$19,9,FALSE)*$J178)))</f>
        <v>162036.45348065585</v>
      </c>
      <c r="N178" s="1126"/>
      <c r="O178" s="1128">
        <f>SUM(L178:M178)</f>
        <v>513827.05808010319</v>
      </c>
      <c r="P178" s="677">
        <f t="shared" ref="P178" si="123">ROUND(IF(((O178-J178)=0),0,(O178-J178)),2)</f>
        <v>0</v>
      </c>
      <c r="R178" s="680"/>
    </row>
    <row r="179" spans="1:18">
      <c r="B179" s="1211"/>
      <c r="C179" s="1144"/>
      <c r="D179" s="1125"/>
      <c r="E179" s="1153"/>
      <c r="F179" s="1153"/>
      <c r="G179" s="1153"/>
      <c r="H179" s="1153"/>
      <c r="I179" s="1153"/>
      <c r="J179" s="1153"/>
      <c r="K179" s="1126"/>
      <c r="L179" s="1133"/>
      <c r="M179" s="1133"/>
      <c r="N179" s="1126"/>
      <c r="O179" s="1128"/>
      <c r="P179" s="677"/>
      <c r="R179" s="680"/>
    </row>
    <row r="180" spans="1:18" ht="15">
      <c r="B180" s="1147"/>
      <c r="C180" s="1138" t="s">
        <v>498</v>
      </c>
      <c r="D180" s="1125"/>
      <c r="E180" s="1157">
        <f>SUM(E178:E179)</f>
        <v>489455.93999999994</v>
      </c>
      <c r="F180" s="1157">
        <f t="shared" ref="F180:M180" si="124">SUM(F178:F179)</f>
        <v>21482.038597869159</v>
      </c>
      <c r="G180" s="1157">
        <f t="shared" si="124"/>
        <v>510937.97859786911</v>
      </c>
      <c r="H180" s="1157">
        <f t="shared" si="124"/>
        <v>2889.07948223416</v>
      </c>
      <c r="I180" s="1157">
        <f t="shared" si="124"/>
        <v>0</v>
      </c>
      <c r="J180" s="1157">
        <f t="shared" si="124"/>
        <v>513827.05808010325</v>
      </c>
      <c r="K180" s="1157">
        <f t="shared" si="124"/>
        <v>0</v>
      </c>
      <c r="L180" s="1157">
        <f t="shared" si="124"/>
        <v>351790.60459944734</v>
      </c>
      <c r="M180" s="1157">
        <f t="shared" si="124"/>
        <v>162036.45348065585</v>
      </c>
      <c r="N180" s="1144"/>
      <c r="O180" s="1158">
        <f>SUM(O178:O179)</f>
        <v>513827.05808010319</v>
      </c>
      <c r="P180" s="677">
        <f t="shared" ref="P180" si="125">ROUND(IF(((O180-J180)=0),0,(O180-J180)),2)</f>
        <v>0</v>
      </c>
      <c r="R180" s="680"/>
    </row>
    <row r="181" spans="1:18">
      <c r="B181" s="1211"/>
      <c r="C181" s="1144"/>
      <c r="D181" s="1125"/>
      <c r="E181" s="1152"/>
      <c r="F181" s="1152"/>
      <c r="G181" s="1152"/>
      <c r="H181" s="1152"/>
      <c r="I181" s="1152"/>
      <c r="J181" s="1152"/>
      <c r="K181" s="1126"/>
      <c r="L181" s="1144"/>
      <c r="M181" s="1144"/>
      <c r="N181" s="1126"/>
      <c r="O181" s="1128"/>
      <c r="P181" s="677"/>
      <c r="R181" s="680"/>
    </row>
    <row r="182" spans="1:18">
      <c r="A182" s="628">
        <v>4613</v>
      </c>
      <c r="B182" s="1211">
        <v>70020</v>
      </c>
      <c r="C182" s="1144" t="s">
        <v>63</v>
      </c>
      <c r="D182" s="1125" t="s">
        <v>1431</v>
      </c>
      <c r="E182" s="1152">
        <f>IFERROR(VLOOKUP(B182,'2195 IS (C)'!D:AI,31,FALSE),0)</f>
        <v>306611.86</v>
      </c>
      <c r="F182" s="1152"/>
      <c r="G182" s="1152">
        <f>+E182+F182</f>
        <v>306611.86</v>
      </c>
      <c r="H182" s="1152">
        <f>'Pro forma Adj (C)'!B14</f>
        <v>-2262.9416916147497</v>
      </c>
      <c r="I182" s="1152"/>
      <c r="J182" s="1152">
        <f t="shared" ref="J182:J186" si="126">+SUM(G182:I182)</f>
        <v>304348.91830838524</v>
      </c>
      <c r="K182" s="1126"/>
      <c r="L182" s="1127">
        <f>IF(($J182=0),0,IF(($D182="ACT"),"0",(VLOOKUP($D182,$E$10:$P$19,8,FALSE)*$J182)))</f>
        <v>208371.84086985819</v>
      </c>
      <c r="M182" s="1127">
        <f>IF(($J182=0),0,IF(($D182="ACT"),"0",(VLOOKUP($D182,$E$10:$P$19,9,FALSE)*$J182)))</f>
        <v>95977.077438527034</v>
      </c>
      <c r="N182" s="1126"/>
      <c r="O182" s="1128">
        <f>SUM(L182:M182)</f>
        <v>304348.91830838524</v>
      </c>
      <c r="P182" s="677">
        <f t="shared" ref="P182:P186" si="127">ROUND(IF(((O182-J182)=0),0,(O182-J182)),2)</f>
        <v>0</v>
      </c>
      <c r="R182" s="680"/>
    </row>
    <row r="183" spans="1:18">
      <c r="A183" s="628">
        <v>4613</v>
      </c>
      <c r="B183" s="1211">
        <v>70025</v>
      </c>
      <c r="C183" s="1144" t="s">
        <v>246</v>
      </c>
      <c r="D183" s="1125" t="s">
        <v>1431</v>
      </c>
      <c r="E183" s="1152">
        <f>IFERROR(VLOOKUP(B183,'2195 IS (C)'!D:AI,31,FALSE),0)</f>
        <v>6392</v>
      </c>
      <c r="F183" s="1152"/>
      <c r="G183" s="1152">
        <f>+E183+F183</f>
        <v>6392</v>
      </c>
      <c r="H183" s="1152"/>
      <c r="I183" s="1152"/>
      <c r="J183" s="1152">
        <f t="shared" si="126"/>
        <v>6392</v>
      </c>
      <c r="K183" s="1126"/>
      <c r="L183" s="1127">
        <f>IF(($J183=0),0,IF(($D183="ACT"),"0",(VLOOKUP($D183,$E$10:$P$19,8,FALSE)*$J183)))</f>
        <v>4376.2692315224749</v>
      </c>
      <c r="M183" s="1127">
        <f>IF(($J183=0),0,IF(($D183="ACT"),"0",(VLOOKUP($D183,$E$10:$P$19,9,FALSE)*$J183)))</f>
        <v>2015.7307684775246</v>
      </c>
      <c r="N183" s="1126"/>
      <c r="O183" s="1128">
        <f>SUM(L183:M183)</f>
        <v>6392</v>
      </c>
      <c r="P183" s="677">
        <f t="shared" si="127"/>
        <v>0</v>
      </c>
      <c r="R183" s="680"/>
    </row>
    <row r="184" spans="1:18">
      <c r="A184" s="628">
        <v>4613</v>
      </c>
      <c r="B184" s="1211">
        <v>70036</v>
      </c>
      <c r="C184" s="1144" t="s">
        <v>258</v>
      </c>
      <c r="D184" s="1125" t="s">
        <v>1431</v>
      </c>
      <c r="E184" s="1152">
        <f>IFERROR(VLOOKUP(B184,'2195 IS (C)'!D:AI,31,FALSE),0)</f>
        <v>22738.73</v>
      </c>
      <c r="F184" s="1152"/>
      <c r="G184" s="1152">
        <f>+E184+F184</f>
        <v>22738.73</v>
      </c>
      <c r="H184" s="1152"/>
      <c r="I184" s="1152"/>
      <c r="J184" s="1152">
        <f t="shared" si="126"/>
        <v>22738.73</v>
      </c>
      <c r="K184" s="1126"/>
      <c r="L184" s="1127">
        <f>IF(($J184=0),0,IF(($D184="ACT"),"0",(VLOOKUP($D184,$E$10:$P$19,8,FALSE)*$J184)))</f>
        <v>15568.023226360612</v>
      </c>
      <c r="M184" s="1127">
        <f>IF(($J184=0),0,IF(($D184="ACT"),"0",(VLOOKUP($D184,$E$10:$P$19,9,FALSE)*$J184)))</f>
        <v>7170.7067736393847</v>
      </c>
      <c r="N184" s="1126"/>
      <c r="O184" s="1128">
        <f>SUM(L184:M184)</f>
        <v>22738.729999999996</v>
      </c>
      <c r="P184" s="677">
        <f t="shared" si="127"/>
        <v>0</v>
      </c>
      <c r="R184" s="680"/>
    </row>
    <row r="185" spans="1:18">
      <c r="A185" s="628">
        <v>4613</v>
      </c>
      <c r="B185" s="1211">
        <v>70065</v>
      </c>
      <c r="C185" s="1144" t="s">
        <v>259</v>
      </c>
      <c r="D185" s="1125" t="s">
        <v>1431</v>
      </c>
      <c r="E185" s="1152">
        <f>IFERROR(VLOOKUP(B185,'2195 IS (C)'!D:AI,31,FALSE),0)</f>
        <v>13216.27</v>
      </c>
      <c r="F185" s="1152"/>
      <c r="G185" s="1152">
        <f>+E185+F185</f>
        <v>13216.27</v>
      </c>
      <c r="H185" s="1152"/>
      <c r="I185" s="1152"/>
      <c r="J185" s="1152">
        <f t="shared" si="126"/>
        <v>13216.27</v>
      </c>
      <c r="K185" s="1126"/>
      <c r="L185" s="1127">
        <f>IF(($J185=0),0,IF(($D185="ACT"),"0",(VLOOKUP($D185,$E$10:$P$19,8,FALSE)*$J185)))</f>
        <v>9048.4912009533073</v>
      </c>
      <c r="M185" s="1127">
        <f>IF(($J185=0),0,IF(($D185="ACT"),"0",(VLOOKUP($D185,$E$10:$P$19,9,FALSE)*$J185)))</f>
        <v>4167.7787990466923</v>
      </c>
      <c r="N185" s="1126"/>
      <c r="O185" s="1128">
        <f>SUM(L185:M185)</f>
        <v>13216.27</v>
      </c>
      <c r="P185" s="677">
        <f t="shared" si="127"/>
        <v>0</v>
      </c>
      <c r="R185" s="680"/>
    </row>
    <row r="186" spans="1:18">
      <c r="A186" s="628">
        <v>4613</v>
      </c>
      <c r="B186" s="1146">
        <v>70070</v>
      </c>
      <c r="C186" s="1144" t="s">
        <v>260</v>
      </c>
      <c r="D186" s="1125" t="s">
        <v>1431</v>
      </c>
      <c r="E186" s="1152">
        <f>IFERROR(VLOOKUP(B186,'2195 IS (C)'!D:AI,31,FALSE),0)</f>
        <v>5983.4600000000009</v>
      </c>
      <c r="F186" s="1152"/>
      <c r="G186" s="1152">
        <f>+E186+F186</f>
        <v>5983.4600000000009</v>
      </c>
      <c r="H186" s="1152"/>
      <c r="I186" s="1152"/>
      <c r="J186" s="1152">
        <f t="shared" si="126"/>
        <v>5983.4600000000009</v>
      </c>
      <c r="K186" s="1126"/>
      <c r="L186" s="1127">
        <f>IF(($J186=0),0,IF(($D186="ACT"),"0",(VLOOKUP($D186,$E$10:$P$19,8,FALSE)*$J186)))</f>
        <v>4096.5631877417818</v>
      </c>
      <c r="M186" s="1127">
        <f>IF(($J186=0),0,IF(($D186="ACT"),"0",(VLOOKUP($D186,$E$10:$P$19,9,FALSE)*$J186)))</f>
        <v>1886.8968122582185</v>
      </c>
      <c r="N186" s="1126"/>
      <c r="O186" s="1128">
        <f>SUM(L186:M186)</f>
        <v>5983.46</v>
      </c>
      <c r="P186" s="677">
        <f t="shared" si="127"/>
        <v>0</v>
      </c>
      <c r="R186" s="680"/>
    </row>
    <row r="187" spans="1:18">
      <c r="B187" s="1146"/>
      <c r="C187" s="1144"/>
      <c r="D187" s="1125"/>
      <c r="E187" s="1153"/>
      <c r="F187" s="1153"/>
      <c r="G187" s="1153"/>
      <c r="H187" s="1153"/>
      <c r="I187" s="1153"/>
      <c r="J187" s="1153"/>
      <c r="K187" s="1126"/>
      <c r="L187" s="1133"/>
      <c r="M187" s="1133"/>
      <c r="N187" s="1126"/>
      <c r="O187" s="1134"/>
      <c r="P187" s="677"/>
      <c r="R187" s="680"/>
    </row>
    <row r="188" spans="1:18" ht="15">
      <c r="B188" s="1147"/>
      <c r="C188" s="1138" t="s">
        <v>508</v>
      </c>
      <c r="D188" s="1125"/>
      <c r="E188" s="1157">
        <f t="shared" ref="E188:M188" si="128">SUM(E182:E187)</f>
        <v>354942.32</v>
      </c>
      <c r="F188" s="1157">
        <f t="shared" si="128"/>
        <v>0</v>
      </c>
      <c r="G188" s="1157">
        <f t="shared" si="128"/>
        <v>354942.32</v>
      </c>
      <c r="H188" s="1157">
        <f t="shared" si="128"/>
        <v>-2262.9416916147497</v>
      </c>
      <c r="I188" s="1157">
        <f t="shared" si="128"/>
        <v>0</v>
      </c>
      <c r="J188" s="1157">
        <f t="shared" si="128"/>
        <v>352679.37830838526</v>
      </c>
      <c r="K188" s="1157">
        <f t="shared" si="128"/>
        <v>0</v>
      </c>
      <c r="L188" s="1157">
        <f t="shared" si="128"/>
        <v>241461.1877164364</v>
      </c>
      <c r="M188" s="1157">
        <f t="shared" si="128"/>
        <v>111218.19059194885</v>
      </c>
      <c r="N188" s="1126"/>
      <c r="O188" s="1158">
        <f>SUM(O182:O187)</f>
        <v>352679.37830838526</v>
      </c>
      <c r="P188" s="677">
        <f t="shared" ref="P188" si="129">ROUND(IF(((O188-J188)=0),0,(O188-J188)),2)</f>
        <v>0</v>
      </c>
      <c r="R188" s="680"/>
    </row>
    <row r="189" spans="1:18">
      <c r="B189" s="1146"/>
      <c r="C189" s="1144"/>
      <c r="D189" s="1125"/>
      <c r="E189" s="1152"/>
      <c r="F189" s="1152"/>
      <c r="G189" s="1152"/>
      <c r="H189" s="1152"/>
      <c r="I189" s="1152"/>
      <c r="J189" s="1152"/>
      <c r="K189" s="1126"/>
      <c r="L189" s="1127"/>
      <c r="M189" s="1127"/>
      <c r="N189" s="1126"/>
      <c r="O189" s="1128"/>
      <c r="P189" s="677"/>
      <c r="R189" s="680"/>
    </row>
    <row r="190" spans="1:18">
      <c r="A190" s="628">
        <v>4620</v>
      </c>
      <c r="B190" s="1146">
        <v>57345</v>
      </c>
      <c r="C190" s="1144" t="s">
        <v>145</v>
      </c>
      <c r="D190" s="1125" t="s">
        <v>187</v>
      </c>
      <c r="E190" s="1152">
        <f>IFERROR(VLOOKUP(B190,'2195 IS (C)'!D:AI,31,FALSE),0)</f>
        <v>0</v>
      </c>
      <c r="F190" s="1152"/>
      <c r="G190" s="1152">
        <f t="shared" ref="G190" si="130">+E190+F190</f>
        <v>0</v>
      </c>
      <c r="H190" s="1152"/>
      <c r="I190" s="1152"/>
      <c r="J190" s="1152">
        <f t="shared" ref="J190:J196" si="131">+SUM(G190:I190)</f>
        <v>0</v>
      </c>
      <c r="K190" s="1126"/>
      <c r="L190" s="1127">
        <f>IF(($J190=0),0,IF(($D190="ACT"),"0",(VLOOKUP($D190,$E$10:$P$19,8,FALSE)*$J190)))</f>
        <v>0</v>
      </c>
      <c r="M190" s="1127">
        <f>IF(($J190=0),0,IF(($D190="ACT"),"0",(VLOOKUP($D190,$E$10:$P$19,9,FALSE)*$J190)))</f>
        <v>0</v>
      </c>
      <c r="N190" s="1126"/>
      <c r="O190" s="1128">
        <f t="shared" ref="O190" si="132">SUM(L190:M190)</f>
        <v>0</v>
      </c>
      <c r="P190" s="677">
        <f t="shared" ref="P190" si="133">ROUND(IF(((O190-J190)=0),0,(O190-J190)),2)</f>
        <v>0</v>
      </c>
      <c r="R190" s="680"/>
    </row>
    <row r="191" spans="1:18">
      <c r="A191" s="628">
        <v>4620</v>
      </c>
      <c r="B191" s="1146">
        <v>57353</v>
      </c>
      <c r="C191" s="1144" t="s">
        <v>605</v>
      </c>
      <c r="D191" s="1125" t="s">
        <v>187</v>
      </c>
      <c r="E191" s="1152">
        <f>IFERROR(VLOOKUP(B191,'2195 IS (C)'!D:AI,31,FALSE),0)</f>
        <v>1171.54</v>
      </c>
      <c r="F191" s="1152"/>
      <c r="G191" s="1152">
        <f t="shared" ref="G191:G196" si="134">+E191+F191</f>
        <v>1171.54</v>
      </c>
      <c r="H191" s="1152"/>
      <c r="I191" s="1152"/>
      <c r="J191" s="1152">
        <f t="shared" si="131"/>
        <v>1171.54</v>
      </c>
      <c r="K191" s="1126"/>
      <c r="L191" s="1127">
        <f>IF(($J191=0),0,IF(($D191="ACT"),"0",(VLOOKUP($D191,$E$10:$P$19,8,FALSE)*$J191)))</f>
        <v>832.35218667854656</v>
      </c>
      <c r="M191" s="1127">
        <f>IF(($J191=0),0,IF(($D191="ACT"),"0",(VLOOKUP($D191,$E$10:$P$19,9,FALSE)*$J191)))</f>
        <v>339.18781332145335</v>
      </c>
      <c r="N191" s="1126"/>
      <c r="O191" s="1128">
        <f t="shared" ref="O191:O196" si="135">SUM(L191:M191)</f>
        <v>1171.54</v>
      </c>
      <c r="P191" s="677">
        <f t="shared" ref="P191:P196" si="136">ROUND(IF(((O191-J191)=0),0,(O191-J191)),2)</f>
        <v>0</v>
      </c>
      <c r="R191" s="680"/>
    </row>
    <row r="192" spans="1:18">
      <c r="A192" s="628">
        <v>4620</v>
      </c>
      <c r="B192" s="1146">
        <v>70185</v>
      </c>
      <c r="C192" s="1144" t="s">
        <v>104</v>
      </c>
      <c r="D192" s="1125" t="s">
        <v>1431</v>
      </c>
      <c r="E192" s="1152">
        <f>IFERROR(VLOOKUP(B192,'2195 IS (C)'!D:AI,31,FALSE),0)</f>
        <v>14753.570000000002</v>
      </c>
      <c r="F192" s="1152"/>
      <c r="G192" s="1152">
        <f t="shared" si="134"/>
        <v>14753.570000000002</v>
      </c>
      <c r="H192" s="1152"/>
      <c r="I192" s="1152"/>
      <c r="J192" s="1152">
        <f t="shared" si="131"/>
        <v>14753.570000000002</v>
      </c>
      <c r="K192" s="1126"/>
      <c r="L192" s="1127">
        <f>IF(($J192=0),0,IF(($D192="ACT"),"0",(VLOOKUP($D192,$E$10:$P$19,8,FALSE)*$J192)))</f>
        <v>10101.000382683516</v>
      </c>
      <c r="M192" s="1127">
        <f>IF(($J192=0),0,IF(($D192="ACT"),"0",(VLOOKUP($D192,$E$10:$P$19,9,FALSE)*$J192)))</f>
        <v>4652.5696173164824</v>
      </c>
      <c r="N192" s="1126"/>
      <c r="O192" s="1128">
        <f t="shared" si="135"/>
        <v>14753.57</v>
      </c>
      <c r="P192" s="677">
        <f t="shared" si="136"/>
        <v>0</v>
      </c>
      <c r="R192" s="680"/>
    </row>
    <row r="193" spans="1:18">
      <c r="A193" s="628">
        <v>4620</v>
      </c>
      <c r="B193" s="1211">
        <v>70210</v>
      </c>
      <c r="C193" s="1144" t="s">
        <v>444</v>
      </c>
      <c r="D193" s="1125" t="s">
        <v>1431</v>
      </c>
      <c r="E193" s="1152">
        <f>IFERROR(VLOOKUP(B193,'2195 IS (C)'!D:AI,31,FALSE),0)</f>
        <v>17318.349999999999</v>
      </c>
      <c r="F193" s="1152"/>
      <c r="G193" s="1152">
        <f t="shared" si="134"/>
        <v>17318.349999999999</v>
      </c>
      <c r="H193" s="1152"/>
      <c r="I193" s="1152"/>
      <c r="J193" s="1152">
        <f t="shared" si="131"/>
        <v>17318.349999999999</v>
      </c>
      <c r="K193" s="1126"/>
      <c r="L193" s="1127">
        <f>IF(($J193=0),0,IF(($D193="ACT"),"0",(VLOOKUP($D193,$E$10:$P$19,8,FALSE)*$J193)))</f>
        <v>11856.971565353135</v>
      </c>
      <c r="M193" s="1127">
        <f>IF(($J193=0),0,IF(($D193="ACT"),"0",(VLOOKUP($D193,$E$10:$P$19,9,FALSE)*$J193)))</f>
        <v>5461.378434646861</v>
      </c>
      <c r="N193" s="1126"/>
      <c r="O193" s="1128">
        <f t="shared" si="135"/>
        <v>17318.349999999995</v>
      </c>
      <c r="P193" s="677">
        <f t="shared" si="136"/>
        <v>0</v>
      </c>
      <c r="R193" s="680"/>
    </row>
    <row r="194" spans="1:18">
      <c r="B194" s="1211"/>
      <c r="C194" s="1144" t="s">
        <v>440</v>
      </c>
      <c r="D194" s="1125" t="s">
        <v>186</v>
      </c>
      <c r="E194" s="1152">
        <f>IFERROR(VLOOKUP(B194,'2195 IS (C)'!D:AI,31,FALSE),0)</f>
        <v>0</v>
      </c>
      <c r="F194" s="1152"/>
      <c r="G194" s="1152">
        <f t="shared" si="134"/>
        <v>0</v>
      </c>
      <c r="H194" s="1152">
        <f>'Pro forma Adj (C)'!D37</f>
        <v>6699.623733942919</v>
      </c>
      <c r="I194" s="1152">
        <f>+'Automation Data'!B10</f>
        <v>695.69999999999993</v>
      </c>
      <c r="J194" s="1152">
        <f t="shared" si="131"/>
        <v>7395.3237339429188</v>
      </c>
      <c r="K194" s="1126"/>
      <c r="L194" s="1127">
        <f>+$J$194*'Allocators (C)'!C37</f>
        <v>7395.3237339429188</v>
      </c>
      <c r="M194" s="1132">
        <v>0</v>
      </c>
      <c r="N194" s="1126"/>
      <c r="O194" s="1128">
        <f t="shared" si="135"/>
        <v>7395.3237339429188</v>
      </c>
      <c r="P194" s="677">
        <f t="shared" si="136"/>
        <v>0</v>
      </c>
      <c r="R194" s="680"/>
    </row>
    <row r="195" spans="1:18">
      <c r="A195" s="628">
        <v>4620</v>
      </c>
      <c r="B195" s="1146">
        <v>70302</v>
      </c>
      <c r="C195" s="1144" t="s">
        <v>142</v>
      </c>
      <c r="D195" s="1125" t="s">
        <v>1431</v>
      </c>
      <c r="E195" s="1152">
        <f>IFERROR(VLOOKUP(B195,'2195 IS (C)'!D:AI,31,FALSE),0)</f>
        <v>2084.6900000000005</v>
      </c>
      <c r="F195" s="1152"/>
      <c r="G195" s="1152">
        <f t="shared" si="134"/>
        <v>2084.6900000000005</v>
      </c>
      <c r="H195" s="1152"/>
      <c r="I195" s="1152"/>
      <c r="J195" s="1152">
        <f t="shared" si="131"/>
        <v>2084.6900000000005</v>
      </c>
      <c r="K195" s="1126"/>
      <c r="L195" s="1127">
        <f>IF(($J195=0),0,IF(($D195="ACT"),"0",(VLOOKUP($D195,$E$10:$P$19,8,FALSE)*$J195)))</f>
        <v>1427.2785832701172</v>
      </c>
      <c r="M195" s="1127">
        <f>IF(($J195=0),0,IF(($D195="ACT"),"0",(VLOOKUP($D195,$E$10:$P$19,9,FALSE)*$J195)))</f>
        <v>657.41141672988294</v>
      </c>
      <c r="N195" s="1126"/>
      <c r="O195" s="1128">
        <f t="shared" si="135"/>
        <v>2084.69</v>
      </c>
      <c r="P195" s="677">
        <f t="shared" si="136"/>
        <v>0</v>
      </c>
      <c r="R195" s="680"/>
    </row>
    <row r="196" spans="1:18">
      <c r="A196" s="628">
        <v>4620</v>
      </c>
      <c r="B196" s="1211">
        <v>70214</v>
      </c>
      <c r="C196" s="1144" t="s">
        <v>137</v>
      </c>
      <c r="D196" s="1125" t="s">
        <v>1431</v>
      </c>
      <c r="E196" s="1152">
        <f>IFERROR(VLOOKUP(B196,'2195 IS (C)'!D:AI,31,FALSE),0)</f>
        <v>68135.569999999992</v>
      </c>
      <c r="F196" s="1152"/>
      <c r="G196" s="1152">
        <f t="shared" si="134"/>
        <v>68135.569999999992</v>
      </c>
      <c r="H196" s="1152"/>
      <c r="I196" s="1152"/>
      <c r="J196" s="1152">
        <f t="shared" si="131"/>
        <v>68135.569999999992</v>
      </c>
      <c r="K196" s="1154"/>
      <c r="L196" s="1127">
        <f>IF(($J196=0),0,IF(($D196="ACT"),"0",(VLOOKUP($D196,$E$10:$P$19,8,FALSE)*$J196)))</f>
        <v>46648.873367216169</v>
      </c>
      <c r="M196" s="1127">
        <f>IF(($J196=0),0,IF(($D196="ACT"),"0",(VLOOKUP($D196,$E$10:$P$19,9,FALSE)*$J196)))</f>
        <v>21486.696632783816</v>
      </c>
      <c r="N196" s="1154"/>
      <c r="O196" s="1128">
        <f t="shared" si="135"/>
        <v>68135.569999999978</v>
      </c>
      <c r="P196" s="677">
        <f t="shared" si="136"/>
        <v>0</v>
      </c>
      <c r="R196" s="680"/>
    </row>
    <row r="197" spans="1:18">
      <c r="B197" s="1146"/>
      <c r="C197" s="1144"/>
      <c r="D197" s="1125"/>
      <c r="E197" s="1152"/>
      <c r="F197" s="1152"/>
      <c r="G197" s="1152"/>
      <c r="H197" s="1152"/>
      <c r="I197" s="1152"/>
      <c r="J197" s="1152"/>
      <c r="K197" s="1126"/>
      <c r="L197" s="1127"/>
      <c r="M197" s="1127"/>
      <c r="N197" s="1126"/>
      <c r="O197" s="1128"/>
      <c r="P197" s="677"/>
      <c r="R197" s="680"/>
    </row>
    <row r="198" spans="1:18" ht="15">
      <c r="B198" s="1147"/>
      <c r="C198" s="1138" t="s">
        <v>499</v>
      </c>
      <c r="D198" s="1125"/>
      <c r="E198" s="1155">
        <f t="shared" ref="E198:M198" si="137">SUM(E190:E197)</f>
        <v>103463.72</v>
      </c>
      <c r="F198" s="1155">
        <f t="shared" si="137"/>
        <v>0</v>
      </c>
      <c r="G198" s="1155">
        <f t="shared" si="137"/>
        <v>103463.72</v>
      </c>
      <c r="H198" s="1155">
        <f t="shared" si="137"/>
        <v>6699.623733942919</v>
      </c>
      <c r="I198" s="1155">
        <f t="shared" si="137"/>
        <v>695.69999999999993</v>
      </c>
      <c r="J198" s="1155">
        <f t="shared" si="137"/>
        <v>110859.0437339429</v>
      </c>
      <c r="K198" s="1155">
        <f t="shared" si="137"/>
        <v>0</v>
      </c>
      <c r="L198" s="1155">
        <f t="shared" si="137"/>
        <v>78261.799819144406</v>
      </c>
      <c r="M198" s="1155">
        <f t="shared" si="137"/>
        <v>32597.243914798495</v>
      </c>
      <c r="N198" s="1126"/>
      <c r="O198" s="1156">
        <f>SUM(O190:O197)</f>
        <v>110859.04373394289</v>
      </c>
      <c r="P198" s="677">
        <f t="shared" ref="P198" si="138">ROUND(IF(((O198-J198)=0),0,(O198-J198)),2)</f>
        <v>0</v>
      </c>
      <c r="R198" s="680"/>
    </row>
    <row r="199" spans="1:18">
      <c r="B199" s="1146"/>
      <c r="C199" s="1144"/>
      <c r="D199" s="1125"/>
      <c r="E199" s="1152"/>
      <c r="F199" s="1152"/>
      <c r="G199" s="1152"/>
      <c r="H199" s="1152"/>
      <c r="I199" s="1152"/>
      <c r="J199" s="1152"/>
      <c r="K199" s="1126"/>
      <c r="L199" s="1127"/>
      <c r="M199" s="1127"/>
      <c r="N199" s="1126"/>
      <c r="O199" s="1128"/>
      <c r="P199" s="677"/>
      <c r="R199" s="680"/>
    </row>
    <row r="200" spans="1:18">
      <c r="A200" s="628">
        <v>4630</v>
      </c>
      <c r="B200" s="1146">
        <v>70235</v>
      </c>
      <c r="C200" s="1144" t="s">
        <v>139</v>
      </c>
      <c r="D200" s="1125" t="s">
        <v>186</v>
      </c>
      <c r="E200" s="1152">
        <f>IFERROR(VLOOKUP(B200,'2195 IS (C)'!D:AI,31,FALSE),0)</f>
        <v>46392.959999999999</v>
      </c>
      <c r="F200" s="1152">
        <f>-'70235 JE Query (C)'!E84</f>
        <v>-16311.069999999998</v>
      </c>
      <c r="G200" s="1152">
        <f>+E200+F200</f>
        <v>30081.89</v>
      </c>
      <c r="H200" s="1152"/>
      <c r="I200" s="1152"/>
      <c r="J200" s="1152">
        <f>+SUM(G200:I200)</f>
        <v>30081.89</v>
      </c>
      <c r="K200" s="1126"/>
      <c r="L200" s="1127">
        <f>+'70235 JE Query (C)'!F85</f>
        <v>22711.088147483402</v>
      </c>
      <c r="M200" s="1127">
        <f>+J200-L200</f>
        <v>7370.8018525165971</v>
      </c>
      <c r="N200" s="1126"/>
      <c r="O200" s="1128">
        <f>SUM(L200:M200)</f>
        <v>30081.89</v>
      </c>
      <c r="P200" s="677">
        <f t="shared" ref="P200:P202" si="139">ROUND(IF(((O200-J200)=0),0,(O200-J200)),2)</f>
        <v>0</v>
      </c>
      <c r="R200" s="680"/>
    </row>
    <row r="201" spans="1:18">
      <c r="B201" s="1146"/>
      <c r="C201" s="1144"/>
      <c r="D201" s="1125"/>
      <c r="E201" s="1153"/>
      <c r="F201" s="1153"/>
      <c r="G201" s="1153"/>
      <c r="H201" s="1153"/>
      <c r="I201" s="1153"/>
      <c r="J201" s="1153"/>
      <c r="K201" s="1126"/>
      <c r="L201" s="1133"/>
      <c r="M201" s="1133"/>
      <c r="N201" s="1126"/>
      <c r="O201" s="1134"/>
      <c r="P201" s="677"/>
      <c r="R201" s="680"/>
    </row>
    <row r="202" spans="1:18" ht="15">
      <c r="B202" s="1147"/>
      <c r="C202" s="1138" t="s">
        <v>500</v>
      </c>
      <c r="D202" s="1125"/>
      <c r="E202" s="1157">
        <f t="shared" ref="E202:M202" si="140">SUM(E200:E201)</f>
        <v>46392.959999999999</v>
      </c>
      <c r="F202" s="1157">
        <f t="shared" si="140"/>
        <v>-16311.069999999998</v>
      </c>
      <c r="G202" s="1157">
        <f t="shared" si="140"/>
        <v>30081.89</v>
      </c>
      <c r="H202" s="1157">
        <f t="shared" si="140"/>
        <v>0</v>
      </c>
      <c r="I202" s="1157">
        <f t="shared" si="140"/>
        <v>0</v>
      </c>
      <c r="J202" s="1157">
        <f t="shared" si="140"/>
        <v>30081.89</v>
      </c>
      <c r="K202" s="1157">
        <f t="shared" si="140"/>
        <v>0</v>
      </c>
      <c r="L202" s="1157">
        <f t="shared" si="140"/>
        <v>22711.088147483402</v>
      </c>
      <c r="M202" s="1157">
        <f t="shared" si="140"/>
        <v>7370.8018525165971</v>
      </c>
      <c r="N202" s="1126"/>
      <c r="O202" s="1158">
        <f>SUM(O200:O201)</f>
        <v>30081.89</v>
      </c>
      <c r="P202" s="677">
        <f t="shared" si="139"/>
        <v>0</v>
      </c>
      <c r="R202" s="680"/>
    </row>
    <row r="203" spans="1:18">
      <c r="B203" s="1146"/>
      <c r="C203" s="1144"/>
      <c r="D203" s="1125"/>
      <c r="E203" s="1152"/>
      <c r="F203" s="1152"/>
      <c r="G203" s="1152"/>
      <c r="H203" s="1152"/>
      <c r="I203" s="1152"/>
      <c r="J203" s="1152"/>
      <c r="K203" s="1126"/>
      <c r="L203" s="1127"/>
      <c r="M203" s="1127"/>
      <c r="N203" s="1126"/>
      <c r="O203" s="1128"/>
      <c r="P203" s="677"/>
      <c r="R203" s="680"/>
    </row>
    <row r="204" spans="1:18">
      <c r="A204" s="628">
        <v>4640</v>
      </c>
      <c r="B204" s="1146">
        <v>52165</v>
      </c>
      <c r="C204" s="1144" t="s">
        <v>262</v>
      </c>
      <c r="D204" s="1125" t="s">
        <v>187</v>
      </c>
      <c r="E204" s="1152">
        <f>IFERROR(VLOOKUP(B204,'2195 IS (C)'!D:AI,31,FALSE),0)</f>
        <v>3768.2599999999993</v>
      </c>
      <c r="F204" s="1152"/>
      <c r="G204" s="1152">
        <f t="shared" ref="G204:G209" si="141">+E204+F204</f>
        <v>3768.2599999999993</v>
      </c>
      <c r="H204" s="1152"/>
      <c r="I204" s="1152"/>
      <c r="J204" s="1152">
        <f t="shared" ref="J204:J209" si="142">+SUM(G204:I204)</f>
        <v>3768.2599999999993</v>
      </c>
      <c r="K204" s="1126"/>
      <c r="L204" s="1127">
        <f t="shared" ref="L204:L209" si="143">IF(($J204=0),0,IF(($D204="ACT"),"0",(VLOOKUP($D204,$E$10:$P$19,8,FALSE)*$J204)))</f>
        <v>2677.2619381099234</v>
      </c>
      <c r="M204" s="1127">
        <f t="shared" ref="M204:M209" si="144">IF(($J204=0),0,IF(($D204="ACT"),"0",(VLOOKUP($D204,$E$10:$P$19,9,FALSE)*$J204)))</f>
        <v>1090.9980618900761</v>
      </c>
      <c r="N204" s="1126"/>
      <c r="O204" s="1128">
        <f t="shared" ref="O204:O209" si="145">SUM(L204:M204)</f>
        <v>3768.2599999999993</v>
      </c>
      <c r="P204" s="677">
        <f t="shared" ref="P204:P209" si="146">ROUND(IF(((O204-J204)=0),0,(O204-J204)),2)</f>
        <v>0</v>
      </c>
      <c r="R204" s="680"/>
    </row>
    <row r="205" spans="1:18">
      <c r="A205" s="628">
        <v>4640</v>
      </c>
      <c r="B205" s="1146">
        <v>56165</v>
      </c>
      <c r="C205" s="1144" t="s">
        <v>262</v>
      </c>
      <c r="D205" s="1125" t="s">
        <v>187</v>
      </c>
      <c r="E205" s="1152">
        <f>IFERROR(VLOOKUP(B205,'2195 IS (C)'!D:AI,31,FALSE),0)</f>
        <v>60</v>
      </c>
      <c r="F205" s="1152"/>
      <c r="G205" s="1152">
        <f t="shared" ref="G205" si="147">+E205+F205</f>
        <v>60</v>
      </c>
      <c r="H205" s="1152"/>
      <c r="I205" s="1152"/>
      <c r="J205" s="1152">
        <f t="shared" si="142"/>
        <v>60</v>
      </c>
      <c r="K205" s="1126"/>
      <c r="L205" s="1127">
        <f t="shared" si="143"/>
        <v>42.628618058890687</v>
      </c>
      <c r="M205" s="1127">
        <f t="shared" si="144"/>
        <v>17.371381941109313</v>
      </c>
      <c r="N205" s="1126"/>
      <c r="O205" s="1128">
        <f t="shared" ref="O205" si="148">SUM(L205:M205)</f>
        <v>60</v>
      </c>
      <c r="P205" s="677">
        <f t="shared" ref="P205" si="149">ROUND(IF(((O205-J205)=0),0,(O205-J205)),2)</f>
        <v>0</v>
      </c>
      <c r="R205" s="680"/>
    </row>
    <row r="206" spans="1:18">
      <c r="A206" s="628">
        <v>4640</v>
      </c>
      <c r="B206" s="1146">
        <v>57150</v>
      </c>
      <c r="C206" s="1144" t="s">
        <v>88</v>
      </c>
      <c r="D206" s="1125" t="s">
        <v>187</v>
      </c>
      <c r="E206" s="1152">
        <f>IFERROR(VLOOKUP(B206,'2195 IS (C)'!D:AI,31,FALSE),0)</f>
        <v>45475.229999999996</v>
      </c>
      <c r="F206" s="1152"/>
      <c r="G206" s="1152">
        <f t="shared" ref="G206" si="150">+E206+F206</f>
        <v>45475.229999999996</v>
      </c>
      <c r="H206" s="1152"/>
      <c r="I206" s="1152"/>
      <c r="J206" s="1152">
        <f t="shared" si="142"/>
        <v>45475.229999999996</v>
      </c>
      <c r="K206" s="1126"/>
      <c r="L206" s="1127">
        <f t="shared" si="143"/>
        <v>32309.103513503458</v>
      </c>
      <c r="M206" s="1127">
        <f t="shared" si="144"/>
        <v>13166.12648649654</v>
      </c>
      <c r="N206" s="1126"/>
      <c r="O206" s="1128">
        <f t="shared" ref="O206" si="151">SUM(L206:M206)</f>
        <v>45475.229999999996</v>
      </c>
      <c r="P206" s="677">
        <f t="shared" ref="P206" si="152">ROUND(IF(((O206-J206)=0),0,(O206-J206)),2)</f>
        <v>0</v>
      </c>
      <c r="R206" s="680"/>
    </row>
    <row r="207" spans="1:18">
      <c r="A207" s="628">
        <v>4640</v>
      </c>
      <c r="B207" s="1146">
        <v>70165</v>
      </c>
      <c r="C207" s="1144" t="s">
        <v>262</v>
      </c>
      <c r="D207" s="1125" t="s">
        <v>1431</v>
      </c>
      <c r="E207" s="1152">
        <f>IFERROR(VLOOKUP(B207,'2195 IS (C)'!D:AI,31,FALSE),0)</f>
        <v>22606.870000000003</v>
      </c>
      <c r="F207" s="1152"/>
      <c r="G207" s="1152">
        <f t="shared" si="141"/>
        <v>22606.870000000003</v>
      </c>
      <c r="H207" s="1152"/>
      <c r="I207" s="1152"/>
      <c r="J207" s="1152">
        <f t="shared" si="142"/>
        <v>22606.870000000003</v>
      </c>
      <c r="K207" s="1126"/>
      <c r="L207" s="1127">
        <f t="shared" si="143"/>
        <v>15477.745557263532</v>
      </c>
      <c r="M207" s="1127">
        <f t="shared" si="144"/>
        <v>7129.1244427364682</v>
      </c>
      <c r="N207" s="1126"/>
      <c r="O207" s="1128">
        <f t="shared" si="145"/>
        <v>22606.87</v>
      </c>
      <c r="P207" s="677">
        <f t="shared" si="146"/>
        <v>0</v>
      </c>
      <c r="R207" s="680"/>
    </row>
    <row r="208" spans="1:18">
      <c r="A208" s="628">
        <v>4640</v>
      </c>
      <c r="B208" s="1146">
        <v>70167</v>
      </c>
      <c r="C208" s="1144" t="s">
        <v>263</v>
      </c>
      <c r="D208" s="1125" t="s">
        <v>486</v>
      </c>
      <c r="E208" s="1152">
        <f>IFERROR(VLOOKUP(B208,'2195 IS (C)'!D:AI,31,FALSE),0)</f>
        <v>6255.01</v>
      </c>
      <c r="F208" s="1152"/>
      <c r="G208" s="1152">
        <f t="shared" si="141"/>
        <v>6255.01</v>
      </c>
      <c r="H208" s="1152"/>
      <c r="I208" s="1152"/>
      <c r="J208" s="1152">
        <f t="shared" si="142"/>
        <v>6255.01</v>
      </c>
      <c r="K208" s="1126"/>
      <c r="L208" s="1127">
        <f t="shared" si="143"/>
        <v>4282.479318814987</v>
      </c>
      <c r="M208" s="1127">
        <f t="shared" si="144"/>
        <v>1972.5306811850128</v>
      </c>
      <c r="N208" s="1126"/>
      <c r="O208" s="1128">
        <f t="shared" si="145"/>
        <v>6255.01</v>
      </c>
      <c r="P208" s="677">
        <f t="shared" si="146"/>
        <v>0</v>
      </c>
      <c r="R208" s="680"/>
    </row>
    <row r="209" spans="1:18" s="681" customFormat="1">
      <c r="A209" s="628">
        <v>4640</v>
      </c>
      <c r="B209" s="1146">
        <v>57165</v>
      </c>
      <c r="C209" s="1144" t="s">
        <v>89</v>
      </c>
      <c r="D209" s="1125" t="s">
        <v>187</v>
      </c>
      <c r="E209" s="1152">
        <f>IFERROR(VLOOKUP(B209,'2195 IS (C)'!D:AI,31,FALSE),0)</f>
        <v>12504.7</v>
      </c>
      <c r="F209" s="1152"/>
      <c r="G209" s="1152">
        <f t="shared" si="141"/>
        <v>12504.7</v>
      </c>
      <c r="H209" s="1152"/>
      <c r="I209" s="1152"/>
      <c r="J209" s="1152">
        <f t="shared" si="142"/>
        <v>12504.7</v>
      </c>
      <c r="K209" s="1126"/>
      <c r="L209" s="1127">
        <f t="shared" si="143"/>
        <v>8884.3013373501744</v>
      </c>
      <c r="M209" s="1127">
        <f t="shared" si="144"/>
        <v>3620.3986626498272</v>
      </c>
      <c r="N209" s="1126"/>
      <c r="O209" s="1128">
        <f t="shared" si="145"/>
        <v>12504.7</v>
      </c>
      <c r="P209" s="677">
        <f t="shared" si="146"/>
        <v>0</v>
      </c>
      <c r="R209" s="680"/>
    </row>
    <row r="210" spans="1:18" s="681" customFormat="1">
      <c r="A210" s="628"/>
      <c r="B210" s="1146"/>
      <c r="C210" s="1144"/>
      <c r="D210" s="1125"/>
      <c r="E210" s="1152"/>
      <c r="F210" s="1152"/>
      <c r="G210" s="1152"/>
      <c r="H210" s="1152"/>
      <c r="I210" s="1152"/>
      <c r="J210" s="1152"/>
      <c r="K210" s="1126"/>
      <c r="L210" s="1127"/>
      <c r="M210" s="1127"/>
      <c r="N210" s="1126"/>
      <c r="O210" s="1128"/>
      <c r="P210" s="677"/>
      <c r="R210" s="680"/>
    </row>
    <row r="211" spans="1:18" ht="15">
      <c r="B211" s="1147"/>
      <c r="C211" s="1138" t="s">
        <v>501</v>
      </c>
      <c r="D211" s="1125"/>
      <c r="E211" s="1216">
        <f>SUM(E204:E210)</f>
        <v>90670.069999999992</v>
      </c>
      <c r="F211" s="1216">
        <f>SUM(F204:F210)</f>
        <v>0</v>
      </c>
      <c r="G211" s="1216">
        <f>SUM(G204:G210)</f>
        <v>90670.069999999992</v>
      </c>
      <c r="H211" s="1216">
        <f>SUM(H204:H210)</f>
        <v>0</v>
      </c>
      <c r="I211" s="1216"/>
      <c r="J211" s="1216">
        <f>SUM(J204:J210)</f>
        <v>90670.069999999992</v>
      </c>
      <c r="K211" s="1216"/>
      <c r="L211" s="1216">
        <f>SUM(L204:L210)</f>
        <v>63673.520283100959</v>
      </c>
      <c r="M211" s="1216">
        <f>SUM(M204:M210)</f>
        <v>26996.549716899033</v>
      </c>
      <c r="N211" s="1140"/>
      <c r="O211" s="1217">
        <f>SUM(O204:O210)</f>
        <v>90670.069999999992</v>
      </c>
      <c r="P211" s="677">
        <f t="shared" ref="P211" si="153">ROUND(IF(((O211-J211)=0),0,(O211-J211)),2)</f>
        <v>0</v>
      </c>
      <c r="R211" s="680"/>
    </row>
    <row r="212" spans="1:18">
      <c r="B212" s="1146"/>
      <c r="C212" s="1144"/>
      <c r="D212" s="1125"/>
      <c r="E212" s="1152"/>
      <c r="F212" s="1152"/>
      <c r="G212" s="1152"/>
      <c r="H212" s="1152"/>
      <c r="I212" s="1152"/>
      <c r="J212" s="1152"/>
      <c r="K212" s="1126"/>
      <c r="L212" s="1127"/>
      <c r="M212" s="1127"/>
      <c r="N212" s="1126"/>
      <c r="O212" s="1128"/>
      <c r="P212" s="677"/>
      <c r="R212" s="680"/>
    </row>
    <row r="213" spans="1:18">
      <c r="A213" s="628">
        <v>4645</v>
      </c>
      <c r="B213" s="1146">
        <v>70149</v>
      </c>
      <c r="C213" s="1144" t="s">
        <v>261</v>
      </c>
      <c r="D213" s="1125" t="s">
        <v>485</v>
      </c>
      <c r="E213" s="1152">
        <f>IFERROR(VLOOKUP(B213,'2195 IS (C)'!D:AI,31,FALSE),0)</f>
        <v>432478.71</v>
      </c>
      <c r="F213" s="1152">
        <f>'Restating Adj (C)'!B50</f>
        <v>-51583.739678848477</v>
      </c>
      <c r="G213" s="1152">
        <f>+E213+F213</f>
        <v>380894.97032115154</v>
      </c>
      <c r="H213" s="1152"/>
      <c r="I213" s="1152"/>
      <c r="J213" s="1152">
        <f t="shared" ref="J213:J214" si="154">+SUM(G213:I213)</f>
        <v>380894.97032115154</v>
      </c>
      <c r="K213" s="1126"/>
      <c r="L213" s="1127">
        <f>IF(($J213=0),0,IF(($D213="ACT"),"0",(VLOOKUP($D213,$E$10:$P$19,8,FALSE)*$J213)))</f>
        <v>259388.87286671693</v>
      </c>
      <c r="M213" s="1127">
        <f>IF(($J213=0),0,IF(($D213="ACT"),"0",(VLOOKUP($D213,$E$10:$P$19,9,FALSE)*$J213)))</f>
        <v>121506.09745443461</v>
      </c>
      <c r="N213" s="1126"/>
      <c r="O213" s="1128">
        <f>SUM(L213:M213)</f>
        <v>380894.97032115154</v>
      </c>
      <c r="P213" s="677">
        <f t="shared" ref="P213:P214" si="155">ROUND(IF(((O213-J213)=0),0,(O213-J213)),2)</f>
        <v>0</v>
      </c>
      <c r="R213" s="680"/>
    </row>
    <row r="214" spans="1:18">
      <c r="A214" s="628">
        <v>4645</v>
      </c>
      <c r="B214" s="1146">
        <v>70148</v>
      </c>
      <c r="C214" s="1144" t="s">
        <v>267</v>
      </c>
      <c r="D214" s="1125" t="s">
        <v>486</v>
      </c>
      <c r="E214" s="1152">
        <f>IFERROR(VLOOKUP(B214,'2195 IS (C)'!D:AI,31,FALSE),0)</f>
        <v>57259.820000000007</v>
      </c>
      <c r="F214" s="1152">
        <f>+'Restating Adj (C)'!B56</f>
        <v>-13704.575675770553</v>
      </c>
      <c r="G214" s="1152">
        <f>+E214+F214</f>
        <v>43555.244324229454</v>
      </c>
      <c r="H214" s="1152"/>
      <c r="I214" s="1152"/>
      <c r="J214" s="1152">
        <f t="shared" si="154"/>
        <v>43555.244324229454</v>
      </c>
      <c r="K214" s="1154"/>
      <c r="L214" s="1127">
        <f>IF(($J214=0),0,IF(($D214="ACT"),"0",(VLOOKUP($D214,$E$10:$P$19,8,FALSE)*$J214)))</f>
        <v>29820.005570646004</v>
      </c>
      <c r="M214" s="1127">
        <f>IF(($J214=0),0,IF(($D214="ACT"),"0",(VLOOKUP($D214,$E$10:$P$19,9,FALSE)*$J214)))</f>
        <v>13735.238753583446</v>
      </c>
      <c r="N214" s="1154"/>
      <c r="O214" s="1128">
        <f>SUM(L214:M214)</f>
        <v>43555.244324229454</v>
      </c>
      <c r="P214" s="677">
        <f t="shared" si="155"/>
        <v>0</v>
      </c>
      <c r="R214" s="680"/>
    </row>
    <row r="215" spans="1:18">
      <c r="B215" s="1146"/>
      <c r="C215" s="1144"/>
      <c r="D215" s="1125"/>
      <c r="E215" s="1153"/>
      <c r="F215" s="1153"/>
      <c r="G215" s="1153"/>
      <c r="H215" s="1153"/>
      <c r="I215" s="1153"/>
      <c r="J215" s="1153"/>
      <c r="K215" s="1126"/>
      <c r="L215" s="1133"/>
      <c r="M215" s="1133"/>
      <c r="N215" s="1126"/>
      <c r="O215" s="1134"/>
      <c r="P215" s="677"/>
      <c r="R215" s="680"/>
    </row>
    <row r="216" spans="1:18" ht="15">
      <c r="B216" s="1147"/>
      <c r="C216" s="1138" t="s">
        <v>502</v>
      </c>
      <c r="D216" s="1125"/>
      <c r="E216" s="1157">
        <f>SUM(E213:E215)</f>
        <v>489738.53</v>
      </c>
      <c r="F216" s="1157">
        <f t="shared" ref="F216:M216" si="156">SUM(F213:F215)</f>
        <v>-65288.31535461903</v>
      </c>
      <c r="G216" s="1157">
        <f t="shared" si="156"/>
        <v>424450.21464538097</v>
      </c>
      <c r="H216" s="1157">
        <f t="shared" si="156"/>
        <v>0</v>
      </c>
      <c r="I216" s="1157">
        <f t="shared" si="156"/>
        <v>0</v>
      </c>
      <c r="J216" s="1157">
        <f t="shared" si="156"/>
        <v>424450.21464538097</v>
      </c>
      <c r="K216" s="1157">
        <f t="shared" si="156"/>
        <v>0</v>
      </c>
      <c r="L216" s="1157">
        <f>SUM(L213:L215)</f>
        <v>289208.87843736296</v>
      </c>
      <c r="M216" s="1157">
        <f t="shared" si="156"/>
        <v>135241.33620801807</v>
      </c>
      <c r="N216" s="1126"/>
      <c r="O216" s="1158">
        <f>SUM(O213:O215)</f>
        <v>424450.21464538097</v>
      </c>
      <c r="P216" s="677">
        <f t="shared" ref="P216" si="157">ROUND(IF(((O216-J216)=0),0,(O216-J216)),2)</f>
        <v>0</v>
      </c>
      <c r="R216" s="680"/>
    </row>
    <row r="217" spans="1:18">
      <c r="B217" s="1146"/>
      <c r="C217" s="1144"/>
      <c r="D217" s="1125"/>
      <c r="E217" s="1152"/>
      <c r="F217" s="1152"/>
      <c r="G217" s="1152"/>
      <c r="H217" s="1152"/>
      <c r="I217" s="1152"/>
      <c r="J217" s="1152"/>
      <c r="K217" s="1126"/>
      <c r="L217" s="1127"/>
      <c r="M217" s="1127"/>
      <c r="N217" s="1126"/>
      <c r="O217" s="1128"/>
      <c r="P217" s="677"/>
      <c r="R217" s="680"/>
    </row>
    <row r="218" spans="1:18">
      <c r="A218" s="628">
        <v>4650</v>
      </c>
      <c r="B218" s="1146">
        <v>50060</v>
      </c>
      <c r="C218" s="1144" t="s">
        <v>69</v>
      </c>
      <c r="D218" s="1125" t="s">
        <v>186</v>
      </c>
      <c r="E218" s="1152">
        <f>IFERROR(VLOOKUP(B218,'2195 IS (C)'!D:AI,31,FALSE),0)</f>
        <v>687251.33</v>
      </c>
      <c r="F218" s="1152"/>
      <c r="G218" s="1152">
        <f t="shared" ref="G218:G227" si="158">+E218+F218</f>
        <v>687251.33</v>
      </c>
      <c r="H218" s="1152">
        <f>+'Pro forma Adj (C)'!E48</f>
        <v>18666.047037037035</v>
      </c>
      <c r="I218" s="1152">
        <f>+'Automation Data'!B8</f>
        <v>15240</v>
      </c>
      <c r="J218" s="1152">
        <f t="shared" ref="J218:J227" si="159">+SUM(G218:I218)</f>
        <v>721157.37703703705</v>
      </c>
      <c r="K218" s="1140"/>
      <c r="L218" s="1127">
        <f>+(($J218-$I218)*$L$10)+($I218*'Allocators (C)'!C$74)</f>
        <v>512337.05270392948</v>
      </c>
      <c r="M218" s="1127">
        <f>+(($J218-$I218)*$M$10)+($I218*'Allocators (C)'!D$74)</f>
        <v>208820.32433310759</v>
      </c>
      <c r="N218" s="1140"/>
      <c r="O218" s="1128">
        <f t="shared" ref="O218:O227" si="160">SUM(L218:M218)</f>
        <v>721157.37703703705</v>
      </c>
      <c r="P218" s="677">
        <f t="shared" ref="P218:P229" si="161">ROUND(IF(((O218-J218)=0),0,(O218-J218)),2)</f>
        <v>0</v>
      </c>
      <c r="R218" s="680"/>
    </row>
    <row r="219" spans="1:18" ht="15">
      <c r="A219" s="628">
        <v>4650</v>
      </c>
      <c r="B219" s="1146">
        <v>52060</v>
      </c>
      <c r="C219" s="1144" t="s">
        <v>69</v>
      </c>
      <c r="D219" s="1125" t="s">
        <v>187</v>
      </c>
      <c r="E219" s="1152">
        <f>IFERROR(VLOOKUP(B219,'2195 IS (C)'!D:AI,31,FALSE),0)</f>
        <v>148554.56</v>
      </c>
      <c r="F219" s="1152"/>
      <c r="G219" s="1152">
        <f t="shared" si="158"/>
        <v>148554.56</v>
      </c>
      <c r="H219" s="1152">
        <f>+'Pro forma Adj (C)'!E49</f>
        <v>4076.8425925925922</v>
      </c>
      <c r="I219" s="1152"/>
      <c r="J219" s="1152">
        <f t="shared" si="159"/>
        <v>152631.40259259258</v>
      </c>
      <c r="K219" s="1140"/>
      <c r="L219" s="1127">
        <f t="shared" ref="L219:L227" si="162">IF(($J219=0),0,IF(($D219="ACT"),"0",(VLOOKUP($D219,$E$10:$P$19,8,FALSE)*$J219)))</f>
        <v>108441.09608187345</v>
      </c>
      <c r="M219" s="1127">
        <f t="shared" ref="M219:M227" si="163">IF(($J219=0),0,IF(($D219="ACT"),"0",(VLOOKUP($D219,$E$10:$P$19,9,FALSE)*$J219)))</f>
        <v>44190.306510719129</v>
      </c>
      <c r="N219" s="1218"/>
      <c r="O219" s="1128">
        <f t="shared" si="160"/>
        <v>152631.40259259258</v>
      </c>
      <c r="P219" s="677">
        <f t="shared" si="161"/>
        <v>0</v>
      </c>
      <c r="R219" s="680"/>
    </row>
    <row r="220" spans="1:18">
      <c r="A220" s="628">
        <v>4115</v>
      </c>
      <c r="B220" s="1146">
        <v>55060</v>
      </c>
      <c r="C220" s="1144" t="s">
        <v>69</v>
      </c>
      <c r="D220" s="1125" t="s">
        <v>1027</v>
      </c>
      <c r="E220" s="1152">
        <f>IFERROR(VLOOKUP(B220,'2195 IS (C)'!D:AI,31,FALSE),0)</f>
        <v>26491.589999999997</v>
      </c>
      <c r="F220" s="1152"/>
      <c r="G220" s="1152">
        <f>+E220+F220</f>
        <v>26491.589999999997</v>
      </c>
      <c r="H220" s="1152">
        <f>+'Pro forma Adj (C)'!E50</f>
        <v>762.32111111111101</v>
      </c>
      <c r="I220" s="1152"/>
      <c r="J220" s="1152">
        <f t="shared" si="159"/>
        <v>27253.911111111109</v>
      </c>
      <c r="K220" s="1126"/>
      <c r="L220" s="1127">
        <f t="shared" si="162"/>
        <v>19870.299187181343</v>
      </c>
      <c r="M220" s="1127">
        <f t="shared" si="163"/>
        <v>7383.6119239297677</v>
      </c>
      <c r="N220" s="1126"/>
      <c r="O220" s="1128">
        <f>SUM(L220:M220)</f>
        <v>27253.911111111112</v>
      </c>
      <c r="P220" s="677">
        <f>ROUND(IF(((O220-J220)=0),0,(O220-J220)),2)</f>
        <v>0</v>
      </c>
      <c r="R220" s="680"/>
    </row>
    <row r="221" spans="1:18" ht="15">
      <c r="A221" s="628">
        <v>4650</v>
      </c>
      <c r="B221" s="1146">
        <v>56060</v>
      </c>
      <c r="C221" s="1144" t="s">
        <v>69</v>
      </c>
      <c r="D221" s="1125" t="s">
        <v>187</v>
      </c>
      <c r="E221" s="1152">
        <f>IFERROR(VLOOKUP(B221,'2195 IS (C)'!D:AI,31,FALSE),0)</f>
        <v>34063.600000000006</v>
      </c>
      <c r="F221" s="1152"/>
      <c r="G221" s="1152">
        <f t="shared" si="158"/>
        <v>34063.600000000006</v>
      </c>
      <c r="H221" s="1152">
        <f>+'Pro forma Adj (C)'!E51</f>
        <v>903.05888888888899</v>
      </c>
      <c r="I221" s="1152"/>
      <c r="J221" s="1152">
        <f t="shared" si="159"/>
        <v>34966.658888888895</v>
      </c>
      <c r="K221" s="1140"/>
      <c r="L221" s="1127">
        <f t="shared" si="162"/>
        <v>24843.005776165995</v>
      </c>
      <c r="M221" s="1127">
        <f t="shared" si="163"/>
        <v>10123.653112722899</v>
      </c>
      <c r="N221" s="1218"/>
      <c r="O221" s="1128">
        <f t="shared" si="160"/>
        <v>34966.658888888895</v>
      </c>
      <c r="P221" s="677">
        <f t="shared" si="161"/>
        <v>0</v>
      </c>
      <c r="R221" s="680"/>
    </row>
    <row r="222" spans="1:18" ht="15">
      <c r="A222" s="628">
        <v>4650</v>
      </c>
      <c r="B222" s="1146">
        <v>70060</v>
      </c>
      <c r="C222" s="1144" t="s">
        <v>69</v>
      </c>
      <c r="D222" s="1125" t="s">
        <v>1431</v>
      </c>
      <c r="E222" s="1152">
        <f>IFERROR(VLOOKUP(B222,'2195 IS (C)'!D:AI,31,FALSE),0)</f>
        <v>171175.31000000003</v>
      </c>
      <c r="F222" s="1152"/>
      <c r="G222" s="1152">
        <f t="shared" si="158"/>
        <v>171175.31000000003</v>
      </c>
      <c r="H222" s="1152">
        <f>+'Pro forma Adj (C)'!E52</f>
        <v>4550.1762962962966</v>
      </c>
      <c r="I222" s="1152"/>
      <c r="J222" s="1152">
        <f t="shared" si="159"/>
        <v>175725.48629629632</v>
      </c>
      <c r="K222" s="1140"/>
      <c r="L222" s="1127">
        <f t="shared" si="162"/>
        <v>120310.0811753451</v>
      </c>
      <c r="M222" s="1127">
        <f t="shared" si="163"/>
        <v>55415.405120951211</v>
      </c>
      <c r="N222" s="1218"/>
      <c r="O222" s="1128">
        <f t="shared" si="160"/>
        <v>175725.48629629629</v>
      </c>
      <c r="P222" s="677">
        <f t="shared" si="161"/>
        <v>0</v>
      </c>
      <c r="R222" s="680"/>
    </row>
    <row r="223" spans="1:18">
      <c r="A223" s="628">
        <v>4650</v>
      </c>
      <c r="B223" s="1146">
        <v>50115</v>
      </c>
      <c r="C223" s="1144" t="s">
        <v>1120</v>
      </c>
      <c r="D223" s="1125" t="s">
        <v>187</v>
      </c>
      <c r="E223" s="1152">
        <f>IFERROR(VLOOKUP(B223,'2195 IS (C)'!D:AI,31,FALSE),0)</f>
        <v>113174.24000000002</v>
      </c>
      <c r="F223" s="1152"/>
      <c r="G223" s="1152">
        <f t="shared" si="158"/>
        <v>113174.24000000002</v>
      </c>
      <c r="H223" s="1152"/>
      <c r="I223" s="1152"/>
      <c r="J223" s="1152">
        <f t="shared" si="159"/>
        <v>113174.24000000002</v>
      </c>
      <c r="K223" s="1154"/>
      <c r="L223" s="1127">
        <f t="shared" si="162"/>
        <v>80407.690851087158</v>
      </c>
      <c r="M223" s="1127">
        <f t="shared" si="163"/>
        <v>32766.549148912858</v>
      </c>
      <c r="N223" s="1154"/>
      <c r="O223" s="1128">
        <f t="shared" si="160"/>
        <v>113174.24000000002</v>
      </c>
      <c r="P223" s="677">
        <f t="shared" si="161"/>
        <v>0</v>
      </c>
      <c r="R223" s="680"/>
    </row>
    <row r="224" spans="1:18">
      <c r="A224" s="628">
        <v>4650</v>
      </c>
      <c r="B224" s="1146">
        <v>52115</v>
      </c>
      <c r="C224" s="1144" t="s">
        <v>1120</v>
      </c>
      <c r="D224" s="1125" t="s">
        <v>187</v>
      </c>
      <c r="E224" s="1152">
        <f>IFERROR(VLOOKUP(B224,'2195 IS (C)'!D:AI,31,FALSE),0)</f>
        <v>16286.44</v>
      </c>
      <c r="F224" s="1152"/>
      <c r="G224" s="1152">
        <f t="shared" si="158"/>
        <v>16286.44</v>
      </c>
      <c r="H224" s="1152"/>
      <c r="I224" s="1152"/>
      <c r="J224" s="1152">
        <f t="shared" si="159"/>
        <v>16286.44</v>
      </c>
      <c r="K224" s="1154"/>
      <c r="L224" s="1127">
        <f t="shared" si="162"/>
        <v>11571.140504983994</v>
      </c>
      <c r="M224" s="1127">
        <f t="shared" si="163"/>
        <v>4715.2994950160055</v>
      </c>
      <c r="N224" s="1154"/>
      <c r="O224" s="1128">
        <f t="shared" si="160"/>
        <v>16286.439999999999</v>
      </c>
      <c r="P224" s="677">
        <f t="shared" si="161"/>
        <v>0</v>
      </c>
      <c r="R224" s="680"/>
    </row>
    <row r="225" spans="1:18">
      <c r="A225" s="628">
        <v>4650</v>
      </c>
      <c r="B225" s="1146">
        <v>55115</v>
      </c>
      <c r="C225" s="1144" t="s">
        <v>74</v>
      </c>
      <c r="D225" s="1125" t="s">
        <v>1027</v>
      </c>
      <c r="E225" s="1152">
        <f>IFERROR(VLOOKUP(B225,'2195 IS (C)'!D:AI,31,FALSE),0)</f>
        <v>2584.3700000000003</v>
      </c>
      <c r="F225" s="1152"/>
      <c r="G225" s="1152">
        <f>+E225+F225</f>
        <v>2584.3700000000003</v>
      </c>
      <c r="H225" s="1152"/>
      <c r="I225" s="1152"/>
      <c r="J225" s="1152">
        <f t="shared" si="159"/>
        <v>2584.3700000000003</v>
      </c>
      <c r="K225" s="1126"/>
      <c r="L225" s="1127">
        <f t="shared" si="162"/>
        <v>1884.2141555763769</v>
      </c>
      <c r="M225" s="1127">
        <f t="shared" si="163"/>
        <v>700.15584442362365</v>
      </c>
      <c r="N225" s="1126"/>
      <c r="O225" s="1128">
        <f>SUM(L225:M225)</f>
        <v>2584.3700000000008</v>
      </c>
      <c r="P225" s="677">
        <f>ROUND(IF(((O225-J225)=0),0,(O225-J225)),2)</f>
        <v>0</v>
      </c>
      <c r="R225" s="680"/>
    </row>
    <row r="226" spans="1:18">
      <c r="A226" s="628">
        <v>4650</v>
      </c>
      <c r="B226" s="1146">
        <v>56115</v>
      </c>
      <c r="C226" s="1144" t="s">
        <v>1120</v>
      </c>
      <c r="D226" s="1125" t="s">
        <v>187</v>
      </c>
      <c r="E226" s="1152">
        <f>IFERROR(VLOOKUP(B226,'2195 IS (C)'!D:AI,31,FALSE),0)</f>
        <v>9065.41</v>
      </c>
      <c r="F226" s="1152"/>
      <c r="G226" s="1152">
        <f t="shared" ref="G226" si="164">+E226+F226</f>
        <v>9065.41</v>
      </c>
      <c r="H226" s="1152"/>
      <c r="I226" s="1152"/>
      <c r="J226" s="1152">
        <f t="shared" si="159"/>
        <v>9065.41</v>
      </c>
      <c r="K226" s="1154"/>
      <c r="L226" s="1127">
        <f t="shared" si="162"/>
        <v>6440.7650072874703</v>
      </c>
      <c r="M226" s="1127">
        <f t="shared" si="163"/>
        <v>2624.6449927125295</v>
      </c>
      <c r="N226" s="1154"/>
      <c r="O226" s="1128">
        <f t="shared" ref="O226" si="165">SUM(L226:M226)</f>
        <v>9065.41</v>
      </c>
      <c r="P226" s="677">
        <f t="shared" ref="P226" si="166">ROUND(IF(((O226-J226)=0),0,(O226-J226)),2)</f>
        <v>0</v>
      </c>
      <c r="R226" s="680"/>
    </row>
    <row r="227" spans="1:18">
      <c r="A227" s="628">
        <v>4650</v>
      </c>
      <c r="B227" s="1146">
        <v>70116</v>
      </c>
      <c r="C227" s="1144" t="s">
        <v>264</v>
      </c>
      <c r="D227" s="1125" t="s">
        <v>1431</v>
      </c>
      <c r="E227" s="1152">
        <f>IFERROR(VLOOKUP(B227,'2195 IS (C)'!D:AI,31,FALSE),0)</f>
        <v>23487.159999999996</v>
      </c>
      <c r="F227" s="1152"/>
      <c r="G227" s="1152">
        <f t="shared" si="158"/>
        <v>23487.159999999996</v>
      </c>
      <c r="H227" s="1152"/>
      <c r="I227" s="1152"/>
      <c r="J227" s="1152">
        <f t="shared" si="159"/>
        <v>23487.159999999996</v>
      </c>
      <c r="K227" s="1154"/>
      <c r="L227" s="1127">
        <f t="shared" si="162"/>
        <v>16080.434237147276</v>
      </c>
      <c r="M227" s="1127">
        <f t="shared" si="163"/>
        <v>7406.7257628527177</v>
      </c>
      <c r="N227" s="1154"/>
      <c r="O227" s="1128">
        <f t="shared" si="160"/>
        <v>23487.159999999993</v>
      </c>
      <c r="P227" s="677">
        <f t="shared" si="161"/>
        <v>0</v>
      </c>
      <c r="R227" s="680"/>
    </row>
    <row r="228" spans="1:18" ht="15">
      <c r="B228" s="1146"/>
      <c r="C228" s="1144"/>
      <c r="D228" s="1141"/>
      <c r="E228" s="1159"/>
      <c r="F228" s="1159"/>
      <c r="G228" s="1159"/>
      <c r="H228" s="1159"/>
      <c r="I228" s="1159"/>
      <c r="J228" s="1159"/>
      <c r="K228" s="1140"/>
      <c r="L228" s="1219"/>
      <c r="M228" s="1219"/>
      <c r="N228" s="1218"/>
      <c r="O228" s="1220"/>
      <c r="P228" s="677">
        <f t="shared" si="161"/>
        <v>0</v>
      </c>
      <c r="R228" s="680"/>
    </row>
    <row r="229" spans="1:18" ht="15">
      <c r="B229" s="1147"/>
      <c r="C229" s="1138" t="s">
        <v>503</v>
      </c>
      <c r="D229" s="1141"/>
      <c r="E229" s="1160">
        <f t="shared" ref="E229:M229" si="167">SUM(E218:E228)</f>
        <v>1232134.0099999998</v>
      </c>
      <c r="F229" s="1160">
        <f t="shared" si="167"/>
        <v>0</v>
      </c>
      <c r="G229" s="1160">
        <f t="shared" si="167"/>
        <v>1232134.0099999998</v>
      </c>
      <c r="H229" s="1160">
        <f t="shared" si="167"/>
        <v>28958.445925925924</v>
      </c>
      <c r="I229" s="1160">
        <f t="shared" si="167"/>
        <v>15240</v>
      </c>
      <c r="J229" s="1160">
        <f t="shared" si="167"/>
        <v>1276332.4559259256</v>
      </c>
      <c r="K229" s="1160">
        <f t="shared" si="167"/>
        <v>0</v>
      </c>
      <c r="L229" s="1160">
        <f t="shared" si="167"/>
        <v>902185.77968057769</v>
      </c>
      <c r="M229" s="1160">
        <f t="shared" si="167"/>
        <v>374146.6762453483</v>
      </c>
      <c r="N229" s="1140"/>
      <c r="O229" s="1161">
        <f>SUM(O218:O228)</f>
        <v>1276332.4559259256</v>
      </c>
      <c r="P229" s="677">
        <f t="shared" si="161"/>
        <v>0</v>
      </c>
      <c r="R229" s="680"/>
    </row>
    <row r="230" spans="1:18">
      <c r="B230" s="1146"/>
      <c r="C230" s="1144"/>
      <c r="D230" s="1125"/>
      <c r="E230" s="1152"/>
      <c r="F230" s="1152"/>
      <c r="G230" s="1152"/>
      <c r="H230" s="1152"/>
      <c r="I230" s="1152"/>
      <c r="J230" s="1152"/>
      <c r="K230" s="1126"/>
      <c r="L230" s="1127"/>
      <c r="M230" s="1127"/>
      <c r="N230" s="1126"/>
      <c r="O230" s="1128"/>
      <c r="P230" s="677"/>
      <c r="R230" s="680"/>
    </row>
    <row r="231" spans="1:18">
      <c r="A231" s="628">
        <v>4660</v>
      </c>
      <c r="B231" s="1146">
        <v>70320</v>
      </c>
      <c r="C231" s="1144" t="s">
        <v>144</v>
      </c>
      <c r="D231" s="1125" t="s">
        <v>1431</v>
      </c>
      <c r="E231" s="1152">
        <f>IFERROR(VLOOKUP(B231,'2195 IS (C)'!D:AI,31,FALSE),0)</f>
        <v>7213.15</v>
      </c>
      <c r="F231" s="1152"/>
      <c r="G231" s="1152">
        <f>+E231+F231</f>
        <v>7213.15</v>
      </c>
      <c r="H231" s="1152"/>
      <c r="I231" s="1152"/>
      <c r="J231" s="1152">
        <f>+SUM(G231:I231)</f>
        <v>7213.15</v>
      </c>
      <c r="K231" s="1126"/>
      <c r="L231" s="1127">
        <f>IF(($J231=0),0,IF(($D231="ACT"),"0",(VLOOKUP($D231,$E$10:$P$19,8,FALSE)*$J231)))</f>
        <v>4938.4678359443578</v>
      </c>
      <c r="M231" s="1127">
        <f>IF(($J231=0),0,IF(($D231="ACT"),"0",(VLOOKUP($D231,$E$10:$P$19,9,FALSE)*$J231)))</f>
        <v>2274.6821640556409</v>
      </c>
      <c r="N231" s="1126"/>
      <c r="O231" s="1128">
        <f>SUM(L231:M231)</f>
        <v>7213.1499999999987</v>
      </c>
      <c r="P231" s="677">
        <f t="shared" ref="P231" si="168">ROUND(IF(((O231-J231)=0),0,(O231-J231)),2)</f>
        <v>0</v>
      </c>
      <c r="R231" s="680"/>
    </row>
    <row r="232" spans="1:18">
      <c r="B232" s="1146"/>
      <c r="C232" s="1144"/>
      <c r="D232" s="1125"/>
      <c r="E232" s="1153"/>
      <c r="F232" s="1153"/>
      <c r="G232" s="1153"/>
      <c r="H232" s="1153"/>
      <c r="I232" s="1153"/>
      <c r="J232" s="1153"/>
      <c r="K232" s="1126"/>
      <c r="L232" s="1133"/>
      <c r="M232" s="1133"/>
      <c r="N232" s="1126"/>
      <c r="O232" s="1134"/>
      <c r="P232" s="677"/>
      <c r="R232" s="680"/>
    </row>
    <row r="233" spans="1:18" ht="15">
      <c r="B233" s="1147"/>
      <c r="C233" s="1138" t="s">
        <v>504</v>
      </c>
      <c r="D233" s="1125"/>
      <c r="E233" s="1157">
        <f>SUM(E231:E232)</f>
        <v>7213.15</v>
      </c>
      <c r="F233" s="1157">
        <f t="shared" ref="F233:M233" si="169">SUM(F231:F232)</f>
        <v>0</v>
      </c>
      <c r="G233" s="1157">
        <f>SUM(G231:G232)</f>
        <v>7213.15</v>
      </c>
      <c r="H233" s="1157">
        <f t="shared" si="169"/>
        <v>0</v>
      </c>
      <c r="I233" s="1157">
        <f t="shared" si="169"/>
        <v>0</v>
      </c>
      <c r="J233" s="1157">
        <f t="shared" si="169"/>
        <v>7213.15</v>
      </c>
      <c r="K233" s="1157">
        <f t="shared" si="169"/>
        <v>0</v>
      </c>
      <c r="L233" s="1157">
        <f t="shared" si="169"/>
        <v>4938.4678359443578</v>
      </c>
      <c r="M233" s="1157">
        <f t="shared" si="169"/>
        <v>2274.6821640556409</v>
      </c>
      <c r="N233" s="1126"/>
      <c r="O233" s="1158">
        <f>SUM(O231:O232)</f>
        <v>7213.1499999999987</v>
      </c>
      <c r="P233" s="677">
        <f t="shared" ref="P233" si="170">ROUND(IF(((O233-J233)=0),0,(O233-J233)),2)</f>
        <v>0</v>
      </c>
      <c r="R233" s="680"/>
    </row>
    <row r="234" spans="1:18">
      <c r="B234" s="1146"/>
      <c r="C234" s="1144"/>
      <c r="D234" s="1125"/>
      <c r="E234" s="1152"/>
      <c r="F234" s="1152"/>
      <c r="G234" s="1152"/>
      <c r="H234" s="1152"/>
      <c r="I234" s="1152"/>
      <c r="J234" s="1152"/>
      <c r="K234" s="1126"/>
      <c r="L234" s="1127"/>
      <c r="M234" s="1127"/>
      <c r="N234" s="1126"/>
      <c r="O234" s="1128"/>
      <c r="P234" s="677"/>
      <c r="R234" s="680"/>
    </row>
    <row r="235" spans="1:18">
      <c r="A235" s="628">
        <v>4670</v>
      </c>
      <c r="B235" s="1146">
        <v>70310</v>
      </c>
      <c r="C235" s="1144" t="s">
        <v>143</v>
      </c>
      <c r="D235" s="1125" t="s">
        <v>485</v>
      </c>
      <c r="E235" s="1152">
        <f>IFERROR(VLOOKUP(B235,'2195 IS (C)'!D:AI,31,FALSE),0)</f>
        <v>66063.23</v>
      </c>
      <c r="F235" s="1152">
        <f>'Restating Adj (C)'!B40</f>
        <v>-9210.699999999968</v>
      </c>
      <c r="G235" s="1152">
        <f>+E235+F235</f>
        <v>56852.530000000028</v>
      </c>
      <c r="H235" s="1152"/>
      <c r="I235" s="1152"/>
      <c r="J235" s="1152">
        <f t="shared" ref="J235:J236" si="171">+SUM(G235:I235)</f>
        <v>56852.530000000028</v>
      </c>
      <c r="K235" s="1154"/>
      <c r="L235" s="1127">
        <f>IF(($J235=0),0,IF(($D235="ACT"),"0",(VLOOKUP($D235,$E$10:$P$19,8,FALSE)*$J235)))</f>
        <v>38716.483086892324</v>
      </c>
      <c r="M235" s="1127">
        <f>IF(($J235=0),0,IF(($D235="ACT"),"0",(VLOOKUP($D235,$E$10:$P$19,9,FALSE)*$J235)))</f>
        <v>18136.046913107704</v>
      </c>
      <c r="N235" s="1154"/>
      <c r="O235" s="1128">
        <f>SUM(L235:M235)</f>
        <v>56852.530000000028</v>
      </c>
      <c r="P235" s="677">
        <f t="shared" ref="P235:P238" si="172">ROUND(IF(((O235-J235)=0),0,(O235-J235)),2)</f>
        <v>0</v>
      </c>
      <c r="R235" s="680"/>
    </row>
    <row r="236" spans="1:18">
      <c r="A236" s="628">
        <v>4670</v>
      </c>
      <c r="B236" s="1146">
        <v>70315</v>
      </c>
      <c r="C236" s="1144" t="s">
        <v>2010</v>
      </c>
      <c r="D236" s="1125" t="s">
        <v>485</v>
      </c>
      <c r="E236" s="1152">
        <f>IFERROR(VLOOKUP(B236,'2195 IS (C)'!D:AI,31,FALSE),0)</f>
        <v>5250</v>
      </c>
      <c r="F236" s="1152">
        <f>-E236</f>
        <v>-5250</v>
      </c>
      <c r="G236" s="1152">
        <f>+E236+F236</f>
        <v>0</v>
      </c>
      <c r="H236" s="1152"/>
      <c r="I236" s="1152"/>
      <c r="J236" s="1152">
        <f t="shared" si="171"/>
        <v>0</v>
      </c>
      <c r="K236" s="1154"/>
      <c r="L236" s="1127">
        <f>IF(($J236=0),0,IF(($D236="ACT"),"0",(VLOOKUP($D236,$E$10:$P$19,8,FALSE)*$J236)))</f>
        <v>0</v>
      </c>
      <c r="M236" s="1127">
        <f>IF(($J236=0),0,IF(($D236="ACT"),"0",(VLOOKUP($D236,$E$10:$P$19,9,FALSE)*$J236)))</f>
        <v>0</v>
      </c>
      <c r="N236" s="1154"/>
      <c r="O236" s="1128">
        <f>SUM(L236:M236)</f>
        <v>0</v>
      </c>
      <c r="P236" s="677">
        <f t="shared" ref="P236" si="173">ROUND(IF(((O236-J236)=0),0,(O236-J236)),2)</f>
        <v>0</v>
      </c>
      <c r="R236" s="680"/>
    </row>
    <row r="237" spans="1:18">
      <c r="B237" s="1146"/>
      <c r="C237" s="1144"/>
      <c r="D237" s="1141"/>
      <c r="E237" s="1159"/>
      <c r="F237" s="1159"/>
      <c r="G237" s="1159"/>
      <c r="H237" s="1159"/>
      <c r="I237" s="1159"/>
      <c r="J237" s="1159"/>
      <c r="K237" s="1154"/>
      <c r="L237" s="1162"/>
      <c r="M237" s="1162"/>
      <c r="N237" s="1154"/>
      <c r="O237" s="1163"/>
      <c r="P237" s="677">
        <f t="shared" si="172"/>
        <v>0</v>
      </c>
      <c r="R237" s="680"/>
    </row>
    <row r="238" spans="1:18" ht="15">
      <c r="B238" s="1147"/>
      <c r="C238" s="1138" t="s">
        <v>505</v>
      </c>
      <c r="D238" s="1141"/>
      <c r="E238" s="1160">
        <f>SUM(E235:E237)</f>
        <v>71313.23</v>
      </c>
      <c r="F238" s="1160">
        <f t="shared" ref="F238:M238" si="174">SUM(F235:F237)</f>
        <v>-14460.699999999968</v>
      </c>
      <c r="G238" s="1160">
        <f t="shared" si="174"/>
        <v>56852.530000000028</v>
      </c>
      <c r="H238" s="1160">
        <f t="shared" si="174"/>
        <v>0</v>
      </c>
      <c r="I238" s="1160">
        <f t="shared" si="174"/>
        <v>0</v>
      </c>
      <c r="J238" s="1160">
        <f t="shared" si="174"/>
        <v>56852.530000000028</v>
      </c>
      <c r="K238" s="1160">
        <f t="shared" si="174"/>
        <v>0</v>
      </c>
      <c r="L238" s="1160">
        <f t="shared" si="174"/>
        <v>38716.483086892324</v>
      </c>
      <c r="M238" s="1160">
        <f t="shared" si="174"/>
        <v>18136.046913107704</v>
      </c>
      <c r="N238" s="1154"/>
      <c r="O238" s="1161">
        <f>SUM(O235:O237)</f>
        <v>56852.530000000028</v>
      </c>
      <c r="P238" s="677">
        <f t="shared" si="172"/>
        <v>0</v>
      </c>
      <c r="R238" s="680"/>
    </row>
    <row r="239" spans="1:18" s="623" customFormat="1">
      <c r="B239" s="1177"/>
      <c r="C239" s="1144"/>
      <c r="D239" s="1195"/>
      <c r="E239" s="1144"/>
      <c r="F239" s="1144"/>
      <c r="G239" s="1144"/>
      <c r="H239" s="1144"/>
      <c r="I239" s="1144"/>
      <c r="J239" s="1144"/>
      <c r="K239" s="1144"/>
      <c r="L239" s="1144"/>
      <c r="M239" s="1144"/>
      <c r="N239" s="1144"/>
      <c r="O239" s="1196"/>
      <c r="R239" s="680"/>
    </row>
    <row r="240" spans="1:18">
      <c r="A240" s="628">
        <v>4680</v>
      </c>
      <c r="B240" s="1211">
        <v>43002</v>
      </c>
      <c r="C240" s="1144" t="s">
        <v>250</v>
      </c>
      <c r="D240" s="1125" t="s">
        <v>186</v>
      </c>
      <c r="E240" s="1152">
        <f>IFERROR(VLOOKUP(B240,'2195 IS (C)'!D:AI,31,FALSE),0)</f>
        <v>68947.010000000009</v>
      </c>
      <c r="F240" s="1152">
        <f>+'Restating Adj (C)'!B75</f>
        <v>775.49652099999366</v>
      </c>
      <c r="G240" s="1152">
        <f>+E240+F240</f>
        <v>69722.506521000003</v>
      </c>
      <c r="H240" s="1152"/>
      <c r="I240" s="1152"/>
      <c r="J240" s="1152">
        <f>+SUM(G240:I240)</f>
        <v>69722.506521000003</v>
      </c>
      <c r="K240" s="1126"/>
      <c r="L240" s="1127">
        <f>+G240</f>
        <v>69722.506521000003</v>
      </c>
      <c r="M240" s="1127">
        <v>0</v>
      </c>
      <c r="N240" s="1126"/>
      <c r="O240" s="1128">
        <f>SUM(L240:M240)</f>
        <v>69722.506521000003</v>
      </c>
      <c r="P240" s="677">
        <f t="shared" ref="P240" si="175">ROUND(IF(((O240-J240)=0),0,(O240-J240)),2)</f>
        <v>0</v>
      </c>
      <c r="R240" s="680"/>
    </row>
    <row r="241" spans="1:18">
      <c r="B241" s="1211"/>
      <c r="C241" s="1144"/>
      <c r="D241" s="1125"/>
      <c r="E241" s="1153"/>
      <c r="F241" s="1153"/>
      <c r="G241" s="1153"/>
      <c r="H241" s="1153"/>
      <c r="I241" s="1153"/>
      <c r="J241" s="1153"/>
      <c r="K241" s="1126"/>
      <c r="L241" s="1133"/>
      <c r="M241" s="1133"/>
      <c r="N241" s="1126"/>
      <c r="O241" s="1134"/>
      <c r="P241" s="677"/>
      <c r="R241" s="680"/>
    </row>
    <row r="242" spans="1:18" ht="15">
      <c r="B242" s="1215"/>
      <c r="C242" s="1150" t="s">
        <v>506</v>
      </c>
      <c r="D242" s="1125"/>
      <c r="E242" s="1157">
        <f>SUM(E240:E241)</f>
        <v>68947.010000000009</v>
      </c>
      <c r="F242" s="1157">
        <f t="shared" ref="F242:M242" si="176">SUM(F240:F241)</f>
        <v>775.49652099999366</v>
      </c>
      <c r="G242" s="1157">
        <f t="shared" si="176"/>
        <v>69722.506521000003</v>
      </c>
      <c r="H242" s="1157">
        <f t="shared" si="176"/>
        <v>0</v>
      </c>
      <c r="I242" s="1157">
        <f t="shared" si="176"/>
        <v>0</v>
      </c>
      <c r="J242" s="1157">
        <f t="shared" si="176"/>
        <v>69722.506521000003</v>
      </c>
      <c r="K242" s="1157">
        <f t="shared" si="176"/>
        <v>0</v>
      </c>
      <c r="L242" s="1157">
        <f t="shared" si="176"/>
        <v>69722.506521000003</v>
      </c>
      <c r="M242" s="1157">
        <f t="shared" si="176"/>
        <v>0</v>
      </c>
      <c r="N242" s="1126"/>
      <c r="O242" s="1158">
        <f t="shared" ref="O242" si="177">SUM(O240:O241)</f>
        <v>69722.506521000003</v>
      </c>
      <c r="P242" s="677">
        <f t="shared" ref="P242" si="178">ROUND(IF(((O242-J242)=0),0,(O242-J242)),2)</f>
        <v>0</v>
      </c>
      <c r="R242" s="680"/>
    </row>
    <row r="243" spans="1:18">
      <c r="B243" s="1139"/>
      <c r="C243" s="1140"/>
      <c r="D243" s="1141"/>
      <c r="E243" s="1140"/>
      <c r="F243" s="1140"/>
      <c r="G243" s="1140"/>
      <c r="H243" s="1140"/>
      <c r="I243" s="1140"/>
      <c r="J243" s="1140"/>
      <c r="K243" s="1140"/>
      <c r="L243" s="1140"/>
      <c r="M243" s="1142"/>
      <c r="N243" s="1142"/>
      <c r="O243" s="1143"/>
      <c r="R243" s="680"/>
    </row>
    <row r="244" spans="1:18">
      <c r="A244" s="628">
        <v>4690</v>
      </c>
      <c r="B244" s="1139">
        <v>52185</v>
      </c>
      <c r="C244" s="1140" t="s">
        <v>92</v>
      </c>
      <c r="D244" s="1141" t="s">
        <v>187</v>
      </c>
      <c r="E244" s="1152">
        <f>IFERROR(VLOOKUP(B244,'2195 IS (C)'!D:AI,31,FALSE),0)</f>
        <v>486.28</v>
      </c>
      <c r="F244" s="1152"/>
      <c r="G244" s="1152">
        <f t="shared" ref="G244" si="179">+E244+F244</f>
        <v>486.28</v>
      </c>
      <c r="H244" s="1152"/>
      <c r="I244" s="1152"/>
      <c r="J244" s="1152">
        <f t="shared" ref="J244:J264" si="180">+SUM(G244:I244)</f>
        <v>486.28</v>
      </c>
      <c r="K244" s="1126"/>
      <c r="L244" s="1127">
        <f t="shared" ref="L244:L264" si="181">IF(($J244=0),0,IF(($D244="ACT"),"0",(VLOOKUP($D244,$E$10:$P$19,8,FALSE)*$J244)))</f>
        <v>345.49073982795602</v>
      </c>
      <c r="M244" s="1127">
        <f t="shared" ref="M244:M264" si="182">IF(($J244=0),0,IF(($D244="ACT"),"0",(VLOOKUP($D244,$E$10:$P$19,9,FALSE)*$J244)))</f>
        <v>140.78926017204392</v>
      </c>
      <c r="N244" s="1126"/>
      <c r="O244" s="1128">
        <f t="shared" ref="O244" si="183">SUM(L244:M244)</f>
        <v>486.28</v>
      </c>
      <c r="P244" s="677">
        <f t="shared" ref="P244" si="184">ROUND(IF(((O244-J244)=0),0,(O244-J244)),2)</f>
        <v>0</v>
      </c>
      <c r="R244" s="680"/>
    </row>
    <row r="245" spans="1:18">
      <c r="A245" s="628">
        <v>4690</v>
      </c>
      <c r="B245" s="1139">
        <v>56201</v>
      </c>
      <c r="C245" s="1140" t="s">
        <v>2012</v>
      </c>
      <c r="D245" s="1141" t="s">
        <v>187</v>
      </c>
      <c r="E245" s="1152">
        <f>IFERROR(VLOOKUP(B245,'2195 IS (C)'!D:AI,31,FALSE),0)</f>
        <v>210.47000000000003</v>
      </c>
      <c r="F245" s="1152"/>
      <c r="G245" s="1152">
        <f t="shared" ref="G245" si="185">+E245+F245</f>
        <v>210.47000000000003</v>
      </c>
      <c r="H245" s="1152"/>
      <c r="I245" s="1152"/>
      <c r="J245" s="1152">
        <f t="shared" si="180"/>
        <v>210.47000000000003</v>
      </c>
      <c r="K245" s="1126"/>
      <c r="L245" s="1127">
        <f t="shared" si="181"/>
        <v>149.53408738091207</v>
      </c>
      <c r="M245" s="1127">
        <f t="shared" si="182"/>
        <v>60.935912619087958</v>
      </c>
      <c r="N245" s="1126"/>
      <c r="O245" s="1128">
        <f t="shared" ref="O245" si="186">SUM(L245:M245)</f>
        <v>210.47000000000003</v>
      </c>
      <c r="P245" s="677">
        <f t="shared" ref="P245" si="187">ROUND(IF(((O245-J245)=0),0,(O245-J245)),2)</f>
        <v>0</v>
      </c>
      <c r="R245" s="680"/>
    </row>
    <row r="246" spans="1:18">
      <c r="A246" s="628">
        <v>4690</v>
      </c>
      <c r="B246" s="1146">
        <v>70300</v>
      </c>
      <c r="C246" s="1144" t="s">
        <v>141</v>
      </c>
      <c r="D246" s="1125" t="s">
        <v>1431</v>
      </c>
      <c r="E246" s="1152">
        <f>IFERROR(VLOOKUP(B246,'2195 IS (C)'!D:AI,31,FALSE),0)</f>
        <v>88815.090000000011</v>
      </c>
      <c r="F246" s="1152"/>
      <c r="G246" s="1152">
        <f t="shared" ref="G246:G260" si="188">+E246+F246</f>
        <v>88815.090000000011</v>
      </c>
      <c r="H246" s="1152"/>
      <c r="I246" s="1152"/>
      <c r="J246" s="1152">
        <f t="shared" si="180"/>
        <v>88815.090000000011</v>
      </c>
      <c r="K246" s="1126"/>
      <c r="L246" s="1127">
        <f t="shared" si="181"/>
        <v>60807.062838219565</v>
      </c>
      <c r="M246" s="1127">
        <f t="shared" si="182"/>
        <v>28008.027161780436</v>
      </c>
      <c r="N246" s="1126"/>
      <c r="O246" s="1128">
        <f t="shared" ref="O246:O260" si="189">SUM(L246:M246)</f>
        <v>88815.09</v>
      </c>
      <c r="P246" s="677">
        <f t="shared" ref="P246:P264" si="190">ROUND(IF(((O246-J246)=0),0,(O246-J246)),2)</f>
        <v>0</v>
      </c>
      <c r="R246" s="680"/>
    </row>
    <row r="247" spans="1:18">
      <c r="A247" s="628">
        <v>4690</v>
      </c>
      <c r="B247" s="1211">
        <v>70095</v>
      </c>
      <c r="C247" s="1144" t="s">
        <v>266</v>
      </c>
      <c r="D247" s="1125" t="s">
        <v>486</v>
      </c>
      <c r="E247" s="1152">
        <f>IFERROR(VLOOKUP(B247,'2195 IS (C)'!D:AI,31,FALSE),0)</f>
        <v>24603.910000000003</v>
      </c>
      <c r="F247" s="1152">
        <f>-E247</f>
        <v>-24603.910000000003</v>
      </c>
      <c r="G247" s="1152">
        <f t="shared" si="188"/>
        <v>0</v>
      </c>
      <c r="H247" s="1152"/>
      <c r="I247" s="1152"/>
      <c r="J247" s="1152">
        <f t="shared" si="180"/>
        <v>0</v>
      </c>
      <c r="K247" s="1154"/>
      <c r="L247" s="1127">
        <f t="shared" si="181"/>
        <v>0</v>
      </c>
      <c r="M247" s="1127">
        <f t="shared" si="182"/>
        <v>0</v>
      </c>
      <c r="N247" s="1154"/>
      <c r="O247" s="1128">
        <f t="shared" si="189"/>
        <v>0</v>
      </c>
      <c r="P247" s="677">
        <f t="shared" si="190"/>
        <v>0</v>
      </c>
      <c r="R247" s="680"/>
    </row>
    <row r="248" spans="1:18">
      <c r="A248" s="628">
        <v>4690</v>
      </c>
      <c r="B248" s="1211">
        <v>70105</v>
      </c>
      <c r="C248" s="1144" t="s">
        <v>100</v>
      </c>
      <c r="D248" s="1125" t="s">
        <v>486</v>
      </c>
      <c r="E248" s="1152">
        <f>IFERROR(VLOOKUP(B248,'2195 IS (C)'!D:AI,31,FALSE),0)</f>
        <v>20188.71</v>
      </c>
      <c r="F248" s="1152"/>
      <c r="G248" s="1152">
        <f t="shared" ref="G248" si="191">+E248+F248</f>
        <v>20188.71</v>
      </c>
      <c r="H248" s="1152"/>
      <c r="I248" s="1152"/>
      <c r="J248" s="1152">
        <f t="shared" si="180"/>
        <v>20188.71</v>
      </c>
      <c r="K248" s="1154"/>
      <c r="L248" s="1127">
        <f t="shared" si="181"/>
        <v>13822.157446359526</v>
      </c>
      <c r="M248" s="1127">
        <f t="shared" si="182"/>
        <v>6366.5525536404703</v>
      </c>
      <c r="N248" s="1154"/>
      <c r="O248" s="1128">
        <f t="shared" ref="O248" si="192">SUM(L248:M248)</f>
        <v>20188.709999999995</v>
      </c>
      <c r="P248" s="677">
        <f t="shared" si="190"/>
        <v>0</v>
      </c>
      <c r="R248" s="680"/>
    </row>
    <row r="249" spans="1:18">
      <c r="A249" s="628">
        <v>4690</v>
      </c>
      <c r="B249" s="1211">
        <v>70110</v>
      </c>
      <c r="C249" s="1144" t="s">
        <v>126</v>
      </c>
      <c r="D249" s="1125" t="s">
        <v>486</v>
      </c>
      <c r="E249" s="1152">
        <f>IFERROR(VLOOKUP(B249,'2195 IS (C)'!D:AI,31,FALSE),0)</f>
        <v>2910.5299999999997</v>
      </c>
      <c r="F249" s="1152">
        <f>-E249</f>
        <v>-2910.5299999999997</v>
      </c>
      <c r="G249" s="1152">
        <f t="shared" si="188"/>
        <v>0</v>
      </c>
      <c r="H249" s="1152"/>
      <c r="I249" s="1152"/>
      <c r="J249" s="1152">
        <f t="shared" si="180"/>
        <v>0</v>
      </c>
      <c r="K249" s="1154"/>
      <c r="L249" s="1127">
        <f t="shared" si="181"/>
        <v>0</v>
      </c>
      <c r="M249" s="1127">
        <f t="shared" si="182"/>
        <v>0</v>
      </c>
      <c r="N249" s="1154"/>
      <c r="O249" s="1128">
        <f t="shared" si="189"/>
        <v>0</v>
      </c>
      <c r="P249" s="677">
        <f t="shared" si="190"/>
        <v>0</v>
      </c>
      <c r="R249" s="680"/>
    </row>
    <row r="250" spans="1:18">
      <c r="A250" s="628">
        <v>4690</v>
      </c>
      <c r="B250" s="1211">
        <v>70112</v>
      </c>
      <c r="C250" s="1144" t="s">
        <v>127</v>
      </c>
      <c r="D250" s="1125" t="s">
        <v>486</v>
      </c>
      <c r="E250" s="1152">
        <f>IFERROR(VLOOKUP(B250,'2195 IS (C)'!D:AI,31,FALSE),0)</f>
        <v>900</v>
      </c>
      <c r="F250" s="1152">
        <f>-E250</f>
        <v>-900</v>
      </c>
      <c r="G250" s="1152">
        <f t="shared" ref="G250" si="193">+E250+F250</f>
        <v>0</v>
      </c>
      <c r="H250" s="1152"/>
      <c r="I250" s="1152"/>
      <c r="J250" s="1152">
        <f t="shared" si="180"/>
        <v>0</v>
      </c>
      <c r="K250" s="1154"/>
      <c r="L250" s="1127">
        <f t="shared" si="181"/>
        <v>0</v>
      </c>
      <c r="M250" s="1127">
        <f t="shared" si="182"/>
        <v>0</v>
      </c>
      <c r="N250" s="1154"/>
      <c r="O250" s="1128">
        <f t="shared" ref="O250" si="194">SUM(L250:M250)</f>
        <v>0</v>
      </c>
      <c r="P250" s="677">
        <f t="shared" ref="P250" si="195">ROUND(IF(((O250-J250)=0),0,(O250-J250)),2)</f>
        <v>0</v>
      </c>
      <c r="R250" s="680"/>
    </row>
    <row r="251" spans="1:18">
      <c r="A251" s="628">
        <v>4690</v>
      </c>
      <c r="B251" s="1146">
        <v>70195</v>
      </c>
      <c r="C251" s="1144" t="s">
        <v>269</v>
      </c>
      <c r="D251" s="1125" t="s">
        <v>486</v>
      </c>
      <c r="E251" s="1152">
        <f>IFERROR(VLOOKUP(B251,'2195 IS (C)'!D:AI,31,FALSE),0)</f>
        <v>7759.6100000000006</v>
      </c>
      <c r="F251" s="1152">
        <f>-'70195 JE Query (C)'!D81</f>
        <v>-2432.3768129999999</v>
      </c>
      <c r="G251" s="1152">
        <f t="shared" si="188"/>
        <v>5327.2331870000007</v>
      </c>
      <c r="H251" s="1152"/>
      <c r="I251" s="1152"/>
      <c r="J251" s="1152">
        <f t="shared" si="180"/>
        <v>5327.2331870000007</v>
      </c>
      <c r="K251" s="1154"/>
      <c r="L251" s="1127">
        <f t="shared" si="181"/>
        <v>3647.2788932123772</v>
      </c>
      <c r="M251" s="1127">
        <f t="shared" si="182"/>
        <v>1679.9542937876226</v>
      </c>
      <c r="N251" s="1154"/>
      <c r="O251" s="1128">
        <f t="shared" si="189"/>
        <v>5327.2331869999998</v>
      </c>
      <c r="P251" s="677">
        <f t="shared" si="190"/>
        <v>0</v>
      </c>
      <c r="R251" s="680"/>
    </row>
    <row r="252" spans="1:18">
      <c r="A252" s="628">
        <v>4690</v>
      </c>
      <c r="B252" s="1146">
        <v>70200</v>
      </c>
      <c r="C252" s="1144" t="s">
        <v>92</v>
      </c>
      <c r="D252" s="1125" t="s">
        <v>486</v>
      </c>
      <c r="E252" s="1152">
        <f>IFERROR(VLOOKUP(B252,'2195 IS (C)'!D:AI,31,FALSE),0)</f>
        <v>5850.6699999999992</v>
      </c>
      <c r="F252" s="1152"/>
      <c r="G252" s="1152">
        <f t="shared" ref="G252" si="196">+E252+F252</f>
        <v>5850.6699999999992</v>
      </c>
      <c r="H252" s="1152"/>
      <c r="I252" s="1152"/>
      <c r="J252" s="1152">
        <f t="shared" si="180"/>
        <v>5850.6699999999992</v>
      </c>
      <c r="K252" s="1154"/>
      <c r="L252" s="1127">
        <f t="shared" si="181"/>
        <v>4005.648796118835</v>
      </c>
      <c r="M252" s="1127">
        <f t="shared" si="182"/>
        <v>1845.0212038811635</v>
      </c>
      <c r="N252" s="1154"/>
      <c r="O252" s="1128">
        <f t="shared" ref="O252" si="197">SUM(L252:M252)</f>
        <v>5850.6699999999983</v>
      </c>
      <c r="P252" s="677">
        <f t="shared" si="190"/>
        <v>0</v>
      </c>
      <c r="R252" s="680"/>
    </row>
    <row r="253" spans="1:18">
      <c r="A253" s="628">
        <v>4690</v>
      </c>
      <c r="B253" s="1146">
        <v>70202</v>
      </c>
      <c r="C253" s="1144" t="s">
        <v>132</v>
      </c>
      <c r="D253" s="1125" t="s">
        <v>486</v>
      </c>
      <c r="E253" s="1152">
        <f>IFERROR(VLOOKUP(B253,'2195 IS (C)'!D:AI,31,FALSE),0)</f>
        <v>270.48</v>
      </c>
      <c r="F253" s="1152"/>
      <c r="G253" s="1152">
        <f t="shared" ref="G253:G254" si="198">+E253+F253</f>
        <v>270.48</v>
      </c>
      <c r="H253" s="1152"/>
      <c r="I253" s="1152"/>
      <c r="J253" s="1152">
        <f t="shared" si="180"/>
        <v>270.48</v>
      </c>
      <c r="K253" s="1154"/>
      <c r="L253" s="1127">
        <f t="shared" si="181"/>
        <v>185.18355784452424</v>
      </c>
      <c r="M253" s="1127">
        <f t="shared" si="182"/>
        <v>85.296442155475745</v>
      </c>
      <c r="N253" s="1154"/>
      <c r="O253" s="1128">
        <f t="shared" ref="O253:O254" si="199">SUM(L253:M253)</f>
        <v>270.48</v>
      </c>
      <c r="P253" s="677">
        <f t="shared" ref="P253:P254" si="200">ROUND(IF(((O253-J253)=0),0,(O253-J253)),2)</f>
        <v>0</v>
      </c>
      <c r="R253" s="680"/>
    </row>
    <row r="254" spans="1:18">
      <c r="A254" s="628">
        <v>4690</v>
      </c>
      <c r="B254" s="1146">
        <v>70203</v>
      </c>
      <c r="C254" s="1144" t="s">
        <v>133</v>
      </c>
      <c r="D254" s="1125" t="s">
        <v>486</v>
      </c>
      <c r="E254" s="1152">
        <f>IFERROR(VLOOKUP(B254,'2195 IS (C)'!D:AI,31,FALSE),0)</f>
        <v>3911.1</v>
      </c>
      <c r="F254" s="1152"/>
      <c r="G254" s="1152">
        <f t="shared" si="198"/>
        <v>3911.1</v>
      </c>
      <c r="H254" s="1152"/>
      <c r="I254" s="1152"/>
      <c r="J254" s="1152">
        <f t="shared" si="180"/>
        <v>3911.1</v>
      </c>
      <c r="K254" s="1154"/>
      <c r="L254" s="1127">
        <f t="shared" si="181"/>
        <v>2677.7263127984279</v>
      </c>
      <c r="M254" s="1127">
        <f t="shared" si="182"/>
        <v>1233.3736872015718</v>
      </c>
      <c r="N254" s="1154"/>
      <c r="O254" s="1128">
        <f t="shared" si="199"/>
        <v>3911.0999999999995</v>
      </c>
      <c r="P254" s="677">
        <f t="shared" si="200"/>
        <v>0</v>
      </c>
      <c r="R254" s="680"/>
    </row>
    <row r="255" spans="1:18">
      <c r="A255" s="628">
        <v>4690</v>
      </c>
      <c r="B255" s="1211">
        <v>70205</v>
      </c>
      <c r="C255" s="1144" t="s">
        <v>270</v>
      </c>
      <c r="D255" s="1125" t="s">
        <v>486</v>
      </c>
      <c r="E255" s="1152">
        <f>IFERROR(VLOOKUP(B255,'2195 IS (C)'!D:AI,31,FALSE),0)</f>
        <v>2211.25</v>
      </c>
      <c r="F255" s="1152"/>
      <c r="G255" s="1152">
        <f t="shared" si="188"/>
        <v>2211.25</v>
      </c>
      <c r="H255" s="1152"/>
      <c r="I255" s="1152"/>
      <c r="J255" s="1152">
        <f t="shared" si="180"/>
        <v>2211.25</v>
      </c>
      <c r="K255" s="1154"/>
      <c r="L255" s="1127">
        <f t="shared" si="181"/>
        <v>1513.9276186176583</v>
      </c>
      <c r="M255" s="1127">
        <f t="shared" si="182"/>
        <v>697.3223813823414</v>
      </c>
      <c r="N255" s="1154"/>
      <c r="O255" s="1128">
        <f t="shared" si="189"/>
        <v>2211.2499999999995</v>
      </c>
      <c r="P255" s="677">
        <f t="shared" si="190"/>
        <v>0</v>
      </c>
      <c r="R255" s="680"/>
    </row>
    <row r="256" spans="1:18">
      <c r="A256" s="628">
        <v>4690</v>
      </c>
      <c r="B256" s="1211">
        <v>70206</v>
      </c>
      <c r="C256" s="1144" t="s">
        <v>271</v>
      </c>
      <c r="D256" s="1125" t="s">
        <v>486</v>
      </c>
      <c r="E256" s="1152">
        <f>IFERROR(VLOOKUP(B256,'2195 IS (C)'!D:AI,31,FALSE),0)</f>
        <v>4991.92</v>
      </c>
      <c r="F256" s="1152"/>
      <c r="G256" s="1152">
        <f t="shared" si="188"/>
        <v>4991.92</v>
      </c>
      <c r="H256" s="1152"/>
      <c r="I256" s="1152"/>
      <c r="J256" s="1152">
        <f t="shared" si="180"/>
        <v>4991.92</v>
      </c>
      <c r="K256" s="1140"/>
      <c r="L256" s="1127">
        <f t="shared" si="181"/>
        <v>3417.7074315115256</v>
      </c>
      <c r="M256" s="1127">
        <f t="shared" si="182"/>
        <v>1574.2125684884738</v>
      </c>
      <c r="N256" s="1140"/>
      <c r="O256" s="1128">
        <f t="shared" si="189"/>
        <v>4991.9199999999992</v>
      </c>
      <c r="P256" s="677">
        <f t="shared" si="190"/>
        <v>0</v>
      </c>
      <c r="R256" s="680"/>
    </row>
    <row r="257" spans="1:18">
      <c r="A257" s="628">
        <v>4690</v>
      </c>
      <c r="B257" s="1211">
        <v>70220</v>
      </c>
      <c r="C257" s="1144" t="s">
        <v>1113</v>
      </c>
      <c r="D257" s="1125" t="s">
        <v>486</v>
      </c>
      <c r="E257" s="1152">
        <f>IFERROR(VLOOKUP(B257,'2195 IS (C)'!D:AI,31,FALSE),0)</f>
        <v>1891.47</v>
      </c>
      <c r="F257" s="1152">
        <f>-E257</f>
        <v>-1891.47</v>
      </c>
      <c r="G257" s="1152">
        <f t="shared" ref="G257" si="201">+E257+F257</f>
        <v>0</v>
      </c>
      <c r="H257" s="1152"/>
      <c r="I257" s="1152"/>
      <c r="J257" s="1152">
        <f t="shared" si="180"/>
        <v>0</v>
      </c>
      <c r="K257" s="1140"/>
      <c r="L257" s="1127">
        <f t="shared" si="181"/>
        <v>0</v>
      </c>
      <c r="M257" s="1127">
        <f t="shared" si="182"/>
        <v>0</v>
      </c>
      <c r="N257" s="1140"/>
      <c r="O257" s="1128">
        <f t="shared" ref="O257" si="202">SUM(L257:M257)</f>
        <v>0</v>
      </c>
      <c r="P257" s="677">
        <f t="shared" ref="P257" si="203">ROUND(IF(((O257-J257)=0),0,(O257-J257)),2)</f>
        <v>0</v>
      </c>
      <c r="R257" s="680"/>
    </row>
    <row r="258" spans="1:18">
      <c r="A258" s="628">
        <v>4690</v>
      </c>
      <c r="B258" s="1211">
        <v>70255</v>
      </c>
      <c r="C258" s="1144" t="s">
        <v>140</v>
      </c>
      <c r="D258" s="1125" t="s">
        <v>486</v>
      </c>
      <c r="E258" s="1152">
        <f>IFERROR(VLOOKUP(B258,'2195 IS (C)'!D:AI,31,FALSE),0)</f>
        <v>39767.94</v>
      </c>
      <c r="F258" s="1152">
        <f>-'70255 JE Query (C)'!D127</f>
        <v>-28064.6</v>
      </c>
      <c r="G258" s="1152">
        <f t="shared" si="188"/>
        <v>11703.340000000004</v>
      </c>
      <c r="H258" s="1152"/>
      <c r="I258" s="1152"/>
      <c r="J258" s="1152">
        <f t="shared" si="180"/>
        <v>11703.340000000004</v>
      </c>
      <c r="K258" s="1154"/>
      <c r="L258" s="1127">
        <f t="shared" si="181"/>
        <v>8012.6668879922172</v>
      </c>
      <c r="M258" s="1127">
        <f t="shared" si="182"/>
        <v>3690.6731120077852</v>
      </c>
      <c r="N258" s="1154"/>
      <c r="O258" s="1128">
        <f t="shared" si="189"/>
        <v>11703.340000000002</v>
      </c>
      <c r="P258" s="677">
        <f t="shared" si="190"/>
        <v>0</v>
      </c>
      <c r="R258" s="680"/>
    </row>
    <row r="259" spans="1:18">
      <c r="A259" s="628">
        <v>4690</v>
      </c>
      <c r="B259" s="1211">
        <v>70301</v>
      </c>
      <c r="C259" s="1144" t="s">
        <v>272</v>
      </c>
      <c r="D259" s="1125" t="s">
        <v>486</v>
      </c>
      <c r="E259" s="1152">
        <f>IFERROR(VLOOKUP(B259,'2195 IS (C)'!D:AI,31,FALSE),0)</f>
        <v>172.92</v>
      </c>
      <c r="F259" s="1152"/>
      <c r="G259" s="1152">
        <f t="shared" ref="G259" si="204">+E259+F259</f>
        <v>172.92</v>
      </c>
      <c r="H259" s="1152"/>
      <c r="I259" s="1152"/>
      <c r="J259" s="1152">
        <f t="shared" si="180"/>
        <v>172.92</v>
      </c>
      <c r="K259" s="1154"/>
      <c r="L259" s="1127">
        <f t="shared" si="181"/>
        <v>118.38931093787019</v>
      </c>
      <c r="M259" s="1127">
        <f t="shared" si="182"/>
        <v>54.530689062129781</v>
      </c>
      <c r="N259" s="1154"/>
      <c r="O259" s="1128">
        <f t="shared" ref="O259" si="205">SUM(L259:M259)</f>
        <v>172.91999999999996</v>
      </c>
      <c r="P259" s="677">
        <f t="shared" ref="P259" si="206">ROUND(IF(((O259-J259)=0),0,(O259-J259)),2)</f>
        <v>0</v>
      </c>
      <c r="R259" s="680"/>
    </row>
    <row r="260" spans="1:18">
      <c r="A260" s="628">
        <v>4690</v>
      </c>
      <c r="B260" s="1211">
        <v>70303</v>
      </c>
      <c r="C260" s="1144" t="s">
        <v>438</v>
      </c>
      <c r="D260" s="1125" t="s">
        <v>486</v>
      </c>
      <c r="E260" s="1152">
        <f>IFERROR(VLOOKUP(B260,'2195 IS (C)'!D:AI,31,FALSE),0)</f>
        <v>227.44</v>
      </c>
      <c r="F260" s="1152"/>
      <c r="G260" s="1152">
        <f t="shared" si="188"/>
        <v>227.44</v>
      </c>
      <c r="H260" s="1152"/>
      <c r="I260" s="1152"/>
      <c r="J260" s="1152">
        <f t="shared" si="180"/>
        <v>227.44</v>
      </c>
      <c r="K260" s="1154"/>
      <c r="L260" s="1127">
        <f t="shared" si="181"/>
        <v>155.71631320673836</v>
      </c>
      <c r="M260" s="1127">
        <f t="shared" si="182"/>
        <v>71.723686793261606</v>
      </c>
      <c r="N260" s="1154"/>
      <c r="O260" s="1128">
        <f t="shared" si="189"/>
        <v>227.43999999999997</v>
      </c>
      <c r="P260" s="677">
        <f t="shared" si="190"/>
        <v>0</v>
      </c>
      <c r="R260" s="680"/>
    </row>
    <row r="261" spans="1:18">
      <c r="A261" s="628">
        <v>4690</v>
      </c>
      <c r="B261" s="1211">
        <v>70231</v>
      </c>
      <c r="C261" s="1144" t="s">
        <v>552</v>
      </c>
      <c r="D261" s="1125" t="s">
        <v>486</v>
      </c>
      <c r="E261" s="1152">
        <f>IFERROR(VLOOKUP(B261,'2195 IS (C)'!D:AI,31,FALSE),0)</f>
        <v>0</v>
      </c>
      <c r="F261" s="1152"/>
      <c r="G261" s="1152">
        <f t="shared" ref="G261" si="207">+E261+F261</f>
        <v>0</v>
      </c>
      <c r="H261" s="1152"/>
      <c r="I261" s="1152"/>
      <c r="J261" s="1152">
        <f t="shared" si="180"/>
        <v>0</v>
      </c>
      <c r="K261" s="1154"/>
      <c r="L261" s="1127">
        <f t="shared" si="181"/>
        <v>0</v>
      </c>
      <c r="M261" s="1127">
        <f t="shared" si="182"/>
        <v>0</v>
      </c>
      <c r="N261" s="1154"/>
      <c r="O261" s="1128">
        <f t="shared" ref="O261" si="208">SUM(L261:M261)</f>
        <v>0</v>
      </c>
      <c r="P261" s="677">
        <f t="shared" si="190"/>
        <v>0</v>
      </c>
      <c r="R261" s="680"/>
    </row>
    <row r="262" spans="1:18">
      <c r="A262" s="628">
        <v>4690</v>
      </c>
      <c r="B262" s="1211">
        <v>70232</v>
      </c>
      <c r="C262" s="1144" t="s">
        <v>428</v>
      </c>
      <c r="D262" s="1125" t="s">
        <v>486</v>
      </c>
      <c r="E262" s="1152">
        <f>IFERROR(VLOOKUP(B262,'2195 IS (C)'!D:AI,31,FALSE),0)</f>
        <v>459.24</v>
      </c>
      <c r="F262" s="1152"/>
      <c r="G262" s="1152">
        <f t="shared" ref="G262" si="209">+E262+F262</f>
        <v>459.24</v>
      </c>
      <c r="H262" s="1152"/>
      <c r="I262" s="1152"/>
      <c r="J262" s="1152">
        <f t="shared" si="180"/>
        <v>459.24</v>
      </c>
      <c r="K262" s="1154"/>
      <c r="L262" s="1127">
        <f t="shared" si="181"/>
        <v>314.41769115838252</v>
      </c>
      <c r="M262" s="1127">
        <f t="shared" si="182"/>
        <v>144.8223088416174</v>
      </c>
      <c r="N262" s="1154"/>
      <c r="O262" s="1128">
        <f t="shared" ref="O262" si="210">SUM(L262:M262)</f>
        <v>459.2399999999999</v>
      </c>
      <c r="P262" s="677">
        <f t="shared" ref="P262" si="211">ROUND(IF(((O262-J262)=0),0,(O262-J262)),2)</f>
        <v>0</v>
      </c>
      <c r="R262" s="680"/>
    </row>
    <row r="263" spans="1:18">
      <c r="A263" s="628">
        <v>4690</v>
      </c>
      <c r="B263" s="1211">
        <v>70335</v>
      </c>
      <c r="C263" s="1144" t="s">
        <v>2011</v>
      </c>
      <c r="D263" s="1125" t="s">
        <v>486</v>
      </c>
      <c r="E263" s="1152">
        <f>IFERROR(VLOOKUP(B263,'2195 IS (C)'!D:AI,31,FALSE),0)</f>
        <v>-0.04</v>
      </c>
      <c r="F263" s="1152"/>
      <c r="G263" s="1152">
        <f t="shared" ref="G263" si="212">+E263+F263</f>
        <v>-0.04</v>
      </c>
      <c r="H263" s="1152"/>
      <c r="I263" s="1152"/>
      <c r="J263" s="1152">
        <f t="shared" si="180"/>
        <v>-0.04</v>
      </c>
      <c r="K263" s="1154"/>
      <c r="L263" s="1127">
        <f t="shared" si="181"/>
        <v>-2.7385915090879065E-2</v>
      </c>
      <c r="M263" s="1127">
        <f t="shared" si="182"/>
        <v>-1.2614084909120931E-2</v>
      </c>
      <c r="N263" s="1154"/>
      <c r="O263" s="1128">
        <f t="shared" ref="O263" si="213">SUM(L263:M263)</f>
        <v>-3.9999999999999994E-2</v>
      </c>
      <c r="P263" s="677">
        <f t="shared" ref="P263" si="214">ROUND(IF(((O263-J263)=0),0,(O263-J263)),2)</f>
        <v>0</v>
      </c>
      <c r="R263" s="680"/>
    </row>
    <row r="264" spans="1:18">
      <c r="A264" s="628">
        <v>4690</v>
      </c>
      <c r="B264" s="1211">
        <v>70336</v>
      </c>
      <c r="C264" s="1144" t="s">
        <v>424</v>
      </c>
      <c r="D264" s="1125" t="s">
        <v>486</v>
      </c>
      <c r="E264" s="1152">
        <f>IFERROR(VLOOKUP(B264,'2195 IS (C)'!D:AI,31,FALSE),0)</f>
        <v>233.99</v>
      </c>
      <c r="F264" s="1152"/>
      <c r="G264" s="1152">
        <f t="shared" ref="G264" si="215">+E264+F264</f>
        <v>233.99</v>
      </c>
      <c r="H264" s="1152"/>
      <c r="I264" s="1152"/>
      <c r="J264" s="1152">
        <f t="shared" si="180"/>
        <v>233.99</v>
      </c>
      <c r="K264" s="1154"/>
      <c r="L264" s="1127">
        <f t="shared" si="181"/>
        <v>160.20075680286982</v>
      </c>
      <c r="M264" s="1127">
        <f t="shared" si="182"/>
        <v>73.789243197130162</v>
      </c>
      <c r="N264" s="1154"/>
      <c r="O264" s="1128">
        <f t="shared" ref="O264" si="216">SUM(L264:M264)</f>
        <v>233.98999999999998</v>
      </c>
      <c r="P264" s="677">
        <f t="shared" si="190"/>
        <v>0</v>
      </c>
      <c r="R264" s="680"/>
    </row>
    <row r="265" spans="1:18">
      <c r="B265" s="1211"/>
      <c r="C265" s="1144"/>
      <c r="D265" s="1141"/>
      <c r="E265" s="1153"/>
      <c r="F265" s="1153"/>
      <c r="G265" s="1153"/>
      <c r="H265" s="1153"/>
      <c r="I265" s="1153"/>
      <c r="J265" s="1153"/>
      <c r="K265" s="1154"/>
      <c r="L265" s="1164"/>
      <c r="M265" s="1165"/>
      <c r="N265" s="1166"/>
      <c r="O265" s="1167"/>
      <c r="P265" s="677"/>
      <c r="R265" s="680"/>
    </row>
    <row r="266" spans="1:18" ht="15">
      <c r="B266" s="1147"/>
      <c r="C266" s="1138" t="s">
        <v>509</v>
      </c>
      <c r="D266" s="1141"/>
      <c r="E266" s="1160">
        <f t="shared" ref="E266:M266" si="217">SUM(E244:E265)</f>
        <v>205862.98000000007</v>
      </c>
      <c r="F266" s="1160">
        <f t="shared" si="217"/>
        <v>-60802.886813000005</v>
      </c>
      <c r="G266" s="1160">
        <f t="shared" si="217"/>
        <v>145060.09318700002</v>
      </c>
      <c r="H266" s="1160">
        <f t="shared" si="217"/>
        <v>0</v>
      </c>
      <c r="I266" s="1160">
        <f t="shared" si="217"/>
        <v>0</v>
      </c>
      <c r="J266" s="1160">
        <f t="shared" si="217"/>
        <v>145060.09318700002</v>
      </c>
      <c r="K266" s="1160">
        <f t="shared" si="217"/>
        <v>0</v>
      </c>
      <c r="L266" s="1160">
        <f t="shared" si="217"/>
        <v>99333.081296074291</v>
      </c>
      <c r="M266" s="1160">
        <f t="shared" si="217"/>
        <v>45727.0118909257</v>
      </c>
      <c r="N266" s="1154"/>
      <c r="O266" s="1161">
        <f>SUM(O244:O265)</f>
        <v>145060.09318699999</v>
      </c>
      <c r="P266" s="677">
        <f t="shared" ref="P266:P275" si="218">ROUND(IF(((O266-J266)=0),0,(O266-J266)),2)</f>
        <v>0</v>
      </c>
      <c r="R266" s="680"/>
    </row>
    <row r="267" spans="1:18" ht="15">
      <c r="B267" s="1147"/>
      <c r="C267" s="1138"/>
      <c r="D267" s="1141"/>
      <c r="E267" s="1140"/>
      <c r="F267" s="1140"/>
      <c r="G267" s="1140"/>
      <c r="H267" s="1140"/>
      <c r="I267" s="1140"/>
      <c r="J267" s="1140"/>
      <c r="K267" s="1154"/>
      <c r="L267" s="1154"/>
      <c r="M267" s="1168"/>
      <c r="N267" s="1154"/>
      <c r="O267" s="1169"/>
      <c r="P267" s="677">
        <f t="shared" si="218"/>
        <v>0</v>
      </c>
      <c r="R267" s="680"/>
    </row>
    <row r="268" spans="1:18" ht="15" customHeight="1" thickBot="1">
      <c r="B268" s="1147"/>
      <c r="C268" s="1138" t="s">
        <v>523</v>
      </c>
      <c r="D268" s="1195"/>
      <c r="E268" s="1212">
        <f t="shared" ref="E268:M268" si="219">E266+E242+E238+E233+E229+E216+E211+E202+E198+E188+E180</f>
        <v>3160133.92</v>
      </c>
      <c r="F268" s="1212">
        <f t="shared" si="219"/>
        <v>-134605.43704874985</v>
      </c>
      <c r="G268" s="1212">
        <f t="shared" si="219"/>
        <v>3025528.4829512499</v>
      </c>
      <c r="H268" s="1212">
        <f t="shared" si="219"/>
        <v>36284.207450488255</v>
      </c>
      <c r="I268" s="1212">
        <f t="shared" si="219"/>
        <v>15935.7</v>
      </c>
      <c r="J268" s="1212">
        <f t="shared" si="219"/>
        <v>3077748.3904017378</v>
      </c>
      <c r="K268" s="1212">
        <f t="shared" si="219"/>
        <v>0</v>
      </c>
      <c r="L268" s="1212">
        <f t="shared" si="219"/>
        <v>2162003.3974234639</v>
      </c>
      <c r="M268" s="1212">
        <f t="shared" si="219"/>
        <v>915744.99297827412</v>
      </c>
      <c r="N268" s="1144"/>
      <c r="O268" s="1213">
        <f>O266+O242+O238+O233+O229+O216+O211+O202+O198+O188+O180</f>
        <v>3077748.3904017378</v>
      </c>
      <c r="P268" s="677">
        <f t="shared" si="218"/>
        <v>0</v>
      </c>
      <c r="R268" s="680"/>
    </row>
    <row r="269" spans="1:18" ht="15" thickTop="1">
      <c r="B269" s="1146"/>
      <c r="C269" s="1144"/>
      <c r="D269" s="1141"/>
      <c r="E269" s="1140"/>
      <c r="F269" s="1140"/>
      <c r="G269" s="1140"/>
      <c r="H269" s="1140"/>
      <c r="I269" s="1140"/>
      <c r="J269" s="1140"/>
      <c r="K269" s="1154"/>
      <c r="L269" s="1170"/>
      <c r="M269" s="1170"/>
      <c r="N269" s="1154"/>
      <c r="O269" s="1171"/>
      <c r="P269" s="677">
        <f t="shared" si="218"/>
        <v>0</v>
      </c>
      <c r="R269" s="680"/>
    </row>
    <row r="270" spans="1:18">
      <c r="A270" s="628">
        <v>5000</v>
      </c>
      <c r="B270" s="1146">
        <v>51260</v>
      </c>
      <c r="C270" s="1144" t="s">
        <v>273</v>
      </c>
      <c r="D270" s="1125" t="s">
        <v>186</v>
      </c>
      <c r="E270" s="1152">
        <f>IFERROR(VLOOKUP(B270,'2195 IS (C)'!D:AI,31,FALSE),0)</f>
        <v>964234.05</v>
      </c>
      <c r="F270" s="1152">
        <f>+'Depr Summary (C)'!E19-E270</f>
        <v>91333.523761904798</v>
      </c>
      <c r="G270" s="1152">
        <f t="shared" ref="G270:G275" si="220">+E270+F270</f>
        <v>1055567.5737619048</v>
      </c>
      <c r="H270" s="1152">
        <f>-I270</f>
        <v>-78724.2</v>
      </c>
      <c r="I270" s="1152">
        <f>+'Automation Data'!B13</f>
        <v>78724.2</v>
      </c>
      <c r="J270" s="1152">
        <f t="shared" ref="J270:J277" si="221">+SUM(G270:I270)</f>
        <v>1055567.5737619048</v>
      </c>
      <c r="K270" s="1154"/>
      <c r="L270" s="1127">
        <f>+'Depr Summary (C)'!J19</f>
        <v>781108.65154993662</v>
      </c>
      <c r="M270" s="1127">
        <f>+'Depr Summary (C)'!K19</f>
        <v>274458.92221196822</v>
      </c>
      <c r="N270" s="1154"/>
      <c r="O270" s="1128">
        <f t="shared" ref="O270:O275" si="222">SUM(L270:M270)</f>
        <v>1055567.5737619048</v>
      </c>
      <c r="P270" s="677">
        <f t="shared" si="218"/>
        <v>0</v>
      </c>
      <c r="R270" s="680"/>
    </row>
    <row r="271" spans="1:18">
      <c r="A271" s="628">
        <v>5000</v>
      </c>
      <c r="B271" s="1146">
        <v>54260</v>
      </c>
      <c r="C271" s="1144" t="s">
        <v>274</v>
      </c>
      <c r="D271" s="1125" t="s">
        <v>186</v>
      </c>
      <c r="E271" s="1152">
        <f>IFERROR(VLOOKUP(B271,'2195 IS (C)'!D:AI,31,FALSE),0)</f>
        <v>264257.21000000002</v>
      </c>
      <c r="F271" s="1152">
        <f>+'Depr Summary (C)'!E36-'Master IS (C)'!E271</f>
        <v>158241.14761904761</v>
      </c>
      <c r="G271" s="1152">
        <f t="shared" si="220"/>
        <v>422498.35761904763</v>
      </c>
      <c r="H271" s="1152"/>
      <c r="I271" s="1152"/>
      <c r="J271" s="1152">
        <f t="shared" si="221"/>
        <v>422498.35761904763</v>
      </c>
      <c r="K271" s="1154"/>
      <c r="L271" s="1127">
        <f>+'Depr Summary (C)'!J36</f>
        <v>287347.12551243231</v>
      </c>
      <c r="M271" s="1127">
        <f>+'Depr Summary (C)'!K36</f>
        <v>135151.23210661532</v>
      </c>
      <c r="N271" s="1154"/>
      <c r="O271" s="1128">
        <f t="shared" si="222"/>
        <v>422498.35761904763</v>
      </c>
      <c r="P271" s="677">
        <f t="shared" si="218"/>
        <v>0</v>
      </c>
      <c r="R271" s="680"/>
    </row>
    <row r="272" spans="1:18">
      <c r="A272" s="628">
        <v>5000</v>
      </c>
      <c r="B272" s="1146">
        <v>57260</v>
      </c>
      <c r="C272" s="1144" t="s">
        <v>276</v>
      </c>
      <c r="D272" s="1125" t="s">
        <v>186</v>
      </c>
      <c r="E272" s="1152">
        <f>IFERROR(VLOOKUP(B272,'2195 IS (C)'!D:AI,31,FALSE),0)</f>
        <v>94157.780000000013</v>
      </c>
      <c r="F272" s="1152">
        <f>+'Depr Summary (C)'!E40-'Master IS (C)'!E272</f>
        <v>-57465.985000000015</v>
      </c>
      <c r="G272" s="1152">
        <f t="shared" si="220"/>
        <v>36691.794999999998</v>
      </c>
      <c r="H272" s="1152"/>
      <c r="I272" s="1152"/>
      <c r="J272" s="1152">
        <f t="shared" si="221"/>
        <v>36691.794999999998</v>
      </c>
      <c r="K272" s="1154"/>
      <c r="L272" s="1127">
        <f>+'Depr Summary (C)'!J40</f>
        <v>26068.675249168584</v>
      </c>
      <c r="M272" s="1127">
        <f>+'Depr Summary (C)'!K40</f>
        <v>10623.119750831414</v>
      </c>
      <c r="N272" s="1154"/>
      <c r="O272" s="1128">
        <f t="shared" si="222"/>
        <v>36691.794999999998</v>
      </c>
      <c r="P272" s="677">
        <f t="shared" si="218"/>
        <v>0</v>
      </c>
      <c r="R272" s="680"/>
    </row>
    <row r="273" spans="1:18">
      <c r="A273" s="628">
        <v>5000</v>
      </c>
      <c r="B273" s="1146">
        <v>57260.1</v>
      </c>
      <c r="C273" s="1144" t="s">
        <v>275</v>
      </c>
      <c r="D273" s="1125" t="s">
        <v>186</v>
      </c>
      <c r="E273" s="1152">
        <f>IFERROR(VLOOKUP(B273,'2195 IS (C)'!D:AI,31,FALSE),0)</f>
        <v>0</v>
      </c>
      <c r="F273" s="1152">
        <f>+'Depr Summary (C)'!E38</f>
        <v>21304.004999999997</v>
      </c>
      <c r="G273" s="1152">
        <f t="shared" si="220"/>
        <v>21304.004999999997</v>
      </c>
      <c r="H273" s="1152"/>
      <c r="I273" s="1152"/>
      <c r="J273" s="1152">
        <f t="shared" si="221"/>
        <v>21304.004999999997</v>
      </c>
      <c r="K273" s="1140"/>
      <c r="L273" s="1127">
        <f>+'Depr Summary (C)'!J38</f>
        <v>15136.004871161624</v>
      </c>
      <c r="M273" s="1127">
        <f>+'Depr Summary (C)'!K38</f>
        <v>6168.0001288383737</v>
      </c>
      <c r="N273" s="1140"/>
      <c r="O273" s="1128">
        <f t="shared" si="222"/>
        <v>21304.004999999997</v>
      </c>
      <c r="P273" s="677">
        <f t="shared" si="218"/>
        <v>0</v>
      </c>
      <c r="R273" s="680"/>
    </row>
    <row r="274" spans="1:18">
      <c r="A274" s="628">
        <v>5000</v>
      </c>
      <c r="B274" s="1146">
        <v>70260</v>
      </c>
      <c r="C274" s="1144" t="s">
        <v>277</v>
      </c>
      <c r="D274" s="1125" t="s">
        <v>186</v>
      </c>
      <c r="E274" s="1152">
        <f>IFERROR(VLOOKUP(B274,'2195 IS (C)'!D:AI,31,FALSE),0)</f>
        <v>2900.6800000000003</v>
      </c>
      <c r="F274" s="1152">
        <f>+'Depr Summary (C)'!E42-E274</f>
        <v>-1069.2266666666669</v>
      </c>
      <c r="G274" s="1152">
        <f t="shared" si="220"/>
        <v>1831.4533333333334</v>
      </c>
      <c r="H274" s="1152"/>
      <c r="I274" s="1152"/>
      <c r="J274" s="1152">
        <f t="shared" si="221"/>
        <v>1831.4533333333334</v>
      </c>
      <c r="K274" s="1140"/>
      <c r="L274" s="1127">
        <f>+'Depr Summary (C)'!J42</f>
        <v>1253.9006369893525</v>
      </c>
      <c r="M274" s="1127">
        <f>+'Depr Summary (C)'!K42</f>
        <v>577.55269634398064</v>
      </c>
      <c r="N274" s="1140"/>
      <c r="O274" s="1128">
        <f t="shared" si="222"/>
        <v>1831.4533333333331</v>
      </c>
      <c r="P274" s="677">
        <f t="shared" si="218"/>
        <v>0</v>
      </c>
      <c r="R274" s="680"/>
    </row>
    <row r="275" spans="1:18">
      <c r="A275" s="628">
        <v>5000</v>
      </c>
      <c r="B275" s="1146">
        <v>70260.100000000006</v>
      </c>
      <c r="C275" s="1144" t="s">
        <v>545</v>
      </c>
      <c r="D275" s="1125" t="s">
        <v>186</v>
      </c>
      <c r="E275" s="1152">
        <f>IFERROR(VLOOKUP(B275,'2195 IS (C)'!D:AI,31,FALSE),0)</f>
        <v>0</v>
      </c>
      <c r="F275" s="1152">
        <f>+'Depr Summary (C)'!E48</f>
        <v>39521.499333333333</v>
      </c>
      <c r="G275" s="1152">
        <f t="shared" si="220"/>
        <v>39521.499333333333</v>
      </c>
      <c r="H275" s="1152"/>
      <c r="I275" s="1152"/>
      <c r="J275" s="1152">
        <f t="shared" si="221"/>
        <v>39521.499333333333</v>
      </c>
      <c r="K275" s="1140"/>
      <c r="L275" s="1127">
        <f>+'Depr Summary (C)'!J48</f>
        <v>28079.11500325616</v>
      </c>
      <c r="M275" s="1127">
        <f>+'Depr Summary (C)'!K48</f>
        <v>11442.384330077173</v>
      </c>
      <c r="N275" s="1140"/>
      <c r="O275" s="1128">
        <f t="shared" si="222"/>
        <v>39521.499333333333</v>
      </c>
      <c r="P275" s="677">
        <f t="shared" si="218"/>
        <v>0</v>
      </c>
      <c r="R275" s="680"/>
    </row>
    <row r="276" spans="1:18">
      <c r="B276" s="1146">
        <v>70260.2</v>
      </c>
      <c r="C276" s="1144" t="s">
        <v>1289</v>
      </c>
      <c r="D276" s="1125" t="s">
        <v>186</v>
      </c>
      <c r="E276" s="1152">
        <f>IFERROR(VLOOKUP(B276,'2195 IS (C)'!D:AI,31,FALSE),0)</f>
        <v>0</v>
      </c>
      <c r="F276" s="1152">
        <f>+'Depr Summary (C)'!E44</f>
        <v>20996.550000000003</v>
      </c>
      <c r="G276" s="1152">
        <f t="shared" ref="G276" si="223">+E276+F276</f>
        <v>20996.550000000003</v>
      </c>
      <c r="H276" s="1152"/>
      <c r="I276" s="1152"/>
      <c r="J276" s="1152">
        <f t="shared" si="221"/>
        <v>20996.550000000003</v>
      </c>
      <c r="K276" s="1140"/>
      <c r="L276" s="1127">
        <f>+'Depr Summary (C)'!J44</f>
        <v>14375.243387534923</v>
      </c>
      <c r="M276" s="1127">
        <f>+'Depr Summary (C)'!K44</f>
        <v>6621.3066124650777</v>
      </c>
      <c r="N276" s="1140"/>
      <c r="O276" s="1128">
        <f t="shared" ref="O276" si="224">SUM(L276:M276)</f>
        <v>20996.550000000003</v>
      </c>
      <c r="P276" s="677">
        <f t="shared" ref="P276" si="225">ROUND(IF(((O276-J276)=0),0,(O276-J276)),2)</f>
        <v>0</v>
      </c>
      <c r="R276" s="680"/>
    </row>
    <row r="277" spans="1:18">
      <c r="B277" s="1146">
        <v>70260.3</v>
      </c>
      <c r="C277" s="1144" t="s">
        <v>1236</v>
      </c>
      <c r="D277" s="1125" t="s">
        <v>186</v>
      </c>
      <c r="E277" s="1152">
        <f>IFERROR(VLOOKUP(B277,'2195 IS (C)'!D:AI,31,FALSE),0)</f>
        <v>0</v>
      </c>
      <c r="F277" s="1152">
        <f>+'Depr Summary (C)'!E46</f>
        <v>20723.45</v>
      </c>
      <c r="G277" s="1152">
        <f t="shared" ref="G277" si="226">+E277+F277</f>
        <v>20723.45</v>
      </c>
      <c r="H277" s="1152"/>
      <c r="I277" s="1152"/>
      <c r="J277" s="1152">
        <f t="shared" si="221"/>
        <v>20723.45</v>
      </c>
      <c r="K277" s="1140"/>
      <c r="L277" s="1127">
        <f>+'Depr Summary (C)'!J46</f>
        <v>2898.9449585503303</v>
      </c>
      <c r="M277" s="1127">
        <f>+'Depr Summary (C)'!K46</f>
        <v>17824.505041449673</v>
      </c>
      <c r="N277" s="1140"/>
      <c r="O277" s="1128">
        <f t="shared" ref="O277" si="227">SUM(L277:M277)</f>
        <v>20723.450000000004</v>
      </c>
      <c r="P277" s="677">
        <f t="shared" ref="P277" si="228">ROUND(IF(((O277-J277)=0),0,(O277-J277)),2)</f>
        <v>0</v>
      </c>
      <c r="R277" s="680"/>
    </row>
    <row r="278" spans="1:18">
      <c r="B278" s="1146"/>
      <c r="C278" s="1144"/>
      <c r="D278" s="1141"/>
      <c r="E278" s="1159"/>
      <c r="F278" s="1159"/>
      <c r="G278" s="1159"/>
      <c r="H278" s="1159"/>
      <c r="I278" s="1159"/>
      <c r="J278" s="1159"/>
      <c r="K278" s="1140"/>
      <c r="L278" s="1159"/>
      <c r="M278" s="1172"/>
      <c r="N278" s="1140"/>
      <c r="O278" s="1173"/>
      <c r="P278" s="677"/>
      <c r="R278" s="680"/>
    </row>
    <row r="279" spans="1:18" ht="15">
      <c r="B279" s="1147"/>
      <c r="C279" s="1138" t="s">
        <v>510</v>
      </c>
      <c r="D279" s="1141"/>
      <c r="E279" s="1160">
        <f t="shared" ref="E279:M279" si="229">SUM(E270:E278)</f>
        <v>1325549.72</v>
      </c>
      <c r="F279" s="1160">
        <f t="shared" si="229"/>
        <v>293584.96404761908</v>
      </c>
      <c r="G279" s="1160">
        <f t="shared" si="229"/>
        <v>1619134.6840476189</v>
      </c>
      <c r="H279" s="1160">
        <f t="shared" si="229"/>
        <v>-78724.2</v>
      </c>
      <c r="I279" s="1160">
        <f t="shared" si="229"/>
        <v>78724.2</v>
      </c>
      <c r="J279" s="1160">
        <f t="shared" si="229"/>
        <v>1619134.6840476189</v>
      </c>
      <c r="K279" s="1160">
        <f t="shared" si="229"/>
        <v>0</v>
      </c>
      <c r="L279" s="1160">
        <f t="shared" si="229"/>
        <v>1156267.6611690302</v>
      </c>
      <c r="M279" s="1160">
        <f t="shared" si="229"/>
        <v>462867.02287858917</v>
      </c>
      <c r="N279" s="1160"/>
      <c r="O279" s="1161">
        <f>SUM(O270:O278)</f>
        <v>1619134.6840476189</v>
      </c>
      <c r="P279" s="677">
        <f t="shared" ref="P279:P281" si="230">ROUND(IF(((O279-J279)=0),0,(O279-J279)),2)</f>
        <v>0</v>
      </c>
      <c r="R279" s="680"/>
    </row>
    <row r="280" spans="1:18">
      <c r="B280" s="1146"/>
      <c r="C280" s="1144"/>
      <c r="D280" s="1141"/>
      <c r="E280" s="1140"/>
      <c r="F280" s="1140"/>
      <c r="G280" s="1174">
        <f>+G279-'Depr Summary (C)'!E59</f>
        <v>0</v>
      </c>
      <c r="H280" s="1140"/>
      <c r="I280" s="1140"/>
      <c r="J280" s="1140"/>
      <c r="K280" s="1140"/>
      <c r="L280" s="1140"/>
      <c r="M280" s="1140"/>
      <c r="N280" s="1140"/>
      <c r="O280" s="1143"/>
      <c r="P280" s="677">
        <f t="shared" si="230"/>
        <v>0</v>
      </c>
      <c r="R280" s="680"/>
    </row>
    <row r="281" spans="1:18" ht="15" customHeight="1" thickBot="1">
      <c r="B281" s="1147"/>
      <c r="C281" s="1138" t="s">
        <v>524</v>
      </c>
      <c r="D281" s="1195"/>
      <c r="E281" s="1212">
        <f>E279</f>
        <v>1325549.72</v>
      </c>
      <c r="F281" s="1212">
        <f t="shared" ref="F281:M281" si="231">F279</f>
        <v>293584.96404761908</v>
      </c>
      <c r="G281" s="1212">
        <f t="shared" si="231"/>
        <v>1619134.6840476189</v>
      </c>
      <c r="H281" s="1212">
        <f t="shared" si="231"/>
        <v>-78724.2</v>
      </c>
      <c r="I281" s="1212">
        <f t="shared" si="231"/>
        <v>78724.2</v>
      </c>
      <c r="J281" s="1212">
        <f t="shared" si="231"/>
        <v>1619134.6840476189</v>
      </c>
      <c r="K281" s="1212">
        <f t="shared" si="231"/>
        <v>0</v>
      </c>
      <c r="L281" s="1212">
        <f t="shared" si="231"/>
        <v>1156267.6611690302</v>
      </c>
      <c r="M281" s="1212">
        <f t="shared" si="231"/>
        <v>462867.02287858917</v>
      </c>
      <c r="N281" s="1144"/>
      <c r="O281" s="1213">
        <f>O279</f>
        <v>1619134.6840476189</v>
      </c>
      <c r="P281" s="677">
        <f t="shared" si="230"/>
        <v>0</v>
      </c>
      <c r="R281" s="680"/>
    </row>
    <row r="282" spans="1:18" ht="15" thickTop="1">
      <c r="B282" s="1146"/>
      <c r="C282" s="1144"/>
      <c r="D282" s="1141"/>
      <c r="E282" s="1140"/>
      <c r="F282" s="1140"/>
      <c r="G282" s="1140"/>
      <c r="H282" s="1140"/>
      <c r="I282" s="1140"/>
      <c r="J282" s="1140"/>
      <c r="K282" s="1140"/>
      <c r="L282" s="1140"/>
      <c r="M282" s="1140"/>
      <c r="N282" s="1140"/>
      <c r="O282" s="1143"/>
      <c r="P282" s="677"/>
      <c r="R282" s="680"/>
    </row>
    <row r="283" spans="1:18">
      <c r="A283" s="628">
        <v>5100</v>
      </c>
      <c r="B283" s="1146">
        <v>91010</v>
      </c>
      <c r="C283" s="1144" t="s">
        <v>278</v>
      </c>
      <c r="D283" s="1125" t="s">
        <v>186</v>
      </c>
      <c r="E283" s="1152">
        <f>IFERROR(VLOOKUP(B283,'2195 IS (C)'!D:AI,31,FALSE),0)</f>
        <v>-7235.5499999999993</v>
      </c>
      <c r="F283" s="1152"/>
      <c r="G283" s="1152">
        <f>+E283+F283</f>
        <v>-7235.5499999999993</v>
      </c>
      <c r="H283" s="1152"/>
      <c r="I283" s="1152"/>
      <c r="J283" s="1152">
        <f>+SUM(G283:I283)</f>
        <v>-7235.5499999999993</v>
      </c>
      <c r="K283" s="1140"/>
      <c r="L283" s="1127">
        <f>+'91010 JE Query'!F52</f>
        <v>-4487.74651213573</v>
      </c>
      <c r="M283" s="1127">
        <f>+'91010 JE Query'!G52</f>
        <v>-2747.8034878642688</v>
      </c>
      <c r="N283" s="1140"/>
      <c r="O283" s="1128">
        <f>SUM(L283:M283)</f>
        <v>-7235.5499999999993</v>
      </c>
      <c r="P283" s="677">
        <f t="shared" ref="P283" si="232">ROUND(IF(((O283-J283)=0),0,(O283-J283)),2)</f>
        <v>0</v>
      </c>
      <c r="R283" s="680"/>
    </row>
    <row r="284" spans="1:18">
      <c r="B284" s="1146"/>
      <c r="C284" s="1144"/>
      <c r="D284" s="1141"/>
      <c r="E284" s="1140"/>
      <c r="F284" s="1140"/>
      <c r="G284" s="1140"/>
      <c r="H284" s="1140"/>
      <c r="I284" s="1140"/>
      <c r="J284" s="1140"/>
      <c r="K284" s="1140"/>
      <c r="L284" s="1140"/>
      <c r="M284" s="1140"/>
      <c r="N284" s="1140"/>
      <c r="O284" s="1143"/>
      <c r="P284" s="677"/>
      <c r="R284" s="680"/>
    </row>
    <row r="285" spans="1:18" ht="15">
      <c r="B285" s="1147"/>
      <c r="C285" s="1138" t="s">
        <v>511</v>
      </c>
      <c r="D285" s="1141"/>
      <c r="E285" s="1175">
        <f>SUM(E283:E284)</f>
        <v>-7235.5499999999993</v>
      </c>
      <c r="F285" s="1175">
        <f t="shared" ref="F285:M285" si="233">SUM(F283:F284)</f>
        <v>0</v>
      </c>
      <c r="G285" s="1175">
        <f t="shared" si="233"/>
        <v>-7235.5499999999993</v>
      </c>
      <c r="H285" s="1175">
        <f t="shared" si="233"/>
        <v>0</v>
      </c>
      <c r="I285" s="1175">
        <f t="shared" si="233"/>
        <v>0</v>
      </c>
      <c r="J285" s="1175">
        <f t="shared" si="233"/>
        <v>-7235.5499999999993</v>
      </c>
      <c r="K285" s="1175">
        <f t="shared" si="233"/>
        <v>0</v>
      </c>
      <c r="L285" s="1175">
        <f t="shared" si="233"/>
        <v>-4487.74651213573</v>
      </c>
      <c r="M285" s="1175">
        <f t="shared" si="233"/>
        <v>-2747.8034878642688</v>
      </c>
      <c r="N285" s="1160"/>
      <c r="O285" s="1176">
        <f>SUM(O283:O284)</f>
        <v>-7235.5499999999993</v>
      </c>
      <c r="P285" s="677">
        <f t="shared" ref="P285" si="234">ROUND(IF(((O285-J285)=0),0,(O285-J285)),2)</f>
        <v>0</v>
      </c>
      <c r="R285" s="680"/>
    </row>
    <row r="286" spans="1:18" ht="15">
      <c r="B286" s="1177"/>
      <c r="C286" s="1144"/>
      <c r="D286" s="1141"/>
      <c r="E286" s="1160"/>
      <c r="F286" s="1160"/>
      <c r="G286" s="1160"/>
      <c r="H286" s="1160"/>
      <c r="I286" s="1160"/>
      <c r="J286" s="1160"/>
      <c r="K286" s="1160"/>
      <c r="L286" s="1160"/>
      <c r="M286" s="1160"/>
      <c r="N286" s="1160"/>
      <c r="O286" s="1161"/>
      <c r="P286" s="677"/>
      <c r="R286" s="680"/>
    </row>
    <row r="287" spans="1:18">
      <c r="A287" s="628">
        <v>5150</v>
      </c>
      <c r="B287" s="1177">
        <v>70269</v>
      </c>
      <c r="C287" s="1144" t="s">
        <v>603</v>
      </c>
      <c r="D287" s="1141" t="s">
        <v>186</v>
      </c>
      <c r="E287" s="1152">
        <f>IFERROR(VLOOKUP(B287,'2195 IS (C)'!D:AI,31,FALSE),0)</f>
        <v>82232.37999999999</v>
      </c>
      <c r="F287" s="1152"/>
      <c r="G287" s="1152">
        <f>+E287+F287</f>
        <v>82232.37999999999</v>
      </c>
      <c r="H287" s="1152"/>
      <c r="I287" s="1152"/>
      <c r="J287" s="1152">
        <f>+SUM(G287:I287)</f>
        <v>82232.37999999999</v>
      </c>
      <c r="K287" s="1140"/>
      <c r="L287" s="1127">
        <v>0</v>
      </c>
      <c r="M287" s="1127">
        <f>+J287</f>
        <v>82232.37999999999</v>
      </c>
      <c r="N287" s="1140"/>
      <c r="O287" s="1128">
        <f>SUM(L287:M287)</f>
        <v>82232.37999999999</v>
      </c>
      <c r="P287" s="677">
        <f t="shared" ref="P287" si="235">ROUND(IF(((O287-J287)=0),0,(O287-J287)),2)</f>
        <v>0</v>
      </c>
      <c r="R287" s="680"/>
    </row>
    <row r="288" spans="1:18" ht="15">
      <c r="B288" s="1177"/>
      <c r="C288" s="1144"/>
      <c r="D288" s="1141"/>
      <c r="E288" s="1178"/>
      <c r="F288" s="1178"/>
      <c r="G288" s="1178"/>
      <c r="H288" s="1178"/>
      <c r="I288" s="1178"/>
      <c r="J288" s="1178"/>
      <c r="K288" s="1178"/>
      <c r="L288" s="1178"/>
      <c r="M288" s="1178"/>
      <c r="N288" s="1160"/>
      <c r="O288" s="1179"/>
      <c r="P288" s="677"/>
      <c r="R288" s="680"/>
    </row>
    <row r="289" spans="1:18" ht="15">
      <c r="B289" s="1147"/>
      <c r="C289" s="1138"/>
      <c r="D289" s="1141"/>
      <c r="E289" s="1160">
        <f>+SUM(E287:E288)</f>
        <v>82232.37999999999</v>
      </c>
      <c r="F289" s="1160">
        <f t="shared" ref="F289:O289" si="236">+SUM(F287:F288)</f>
        <v>0</v>
      </c>
      <c r="G289" s="1160">
        <f t="shared" si="236"/>
        <v>82232.37999999999</v>
      </c>
      <c r="H289" s="1160">
        <f t="shared" si="236"/>
        <v>0</v>
      </c>
      <c r="I289" s="1160">
        <f t="shared" si="236"/>
        <v>0</v>
      </c>
      <c r="J289" s="1160">
        <f t="shared" si="236"/>
        <v>82232.37999999999</v>
      </c>
      <c r="K289" s="1160">
        <f t="shared" si="236"/>
        <v>0</v>
      </c>
      <c r="L289" s="1160">
        <f t="shared" si="236"/>
        <v>0</v>
      </c>
      <c r="M289" s="1160">
        <f t="shared" si="236"/>
        <v>82232.37999999999</v>
      </c>
      <c r="N289" s="1160"/>
      <c r="O289" s="1161">
        <f t="shared" si="236"/>
        <v>82232.37999999999</v>
      </c>
      <c r="P289" s="677"/>
      <c r="R289" s="680"/>
    </row>
    <row r="290" spans="1:18">
      <c r="B290" s="1146"/>
      <c r="C290" s="1144"/>
      <c r="D290" s="1141"/>
      <c r="E290" s="1140"/>
      <c r="F290" s="1140"/>
      <c r="G290" s="1140"/>
      <c r="H290" s="1140"/>
      <c r="I290" s="1140"/>
      <c r="J290" s="1140"/>
      <c r="K290" s="1140"/>
      <c r="L290" s="1140"/>
      <c r="M290" s="1140"/>
      <c r="N290" s="1140"/>
      <c r="O290" s="1143"/>
      <c r="P290" s="677"/>
      <c r="R290" s="680"/>
    </row>
    <row r="291" spans="1:18" ht="15" customHeight="1" thickBot="1">
      <c r="B291" s="1147"/>
      <c r="C291" s="1138" t="s">
        <v>525</v>
      </c>
      <c r="D291" s="1195"/>
      <c r="E291" s="1212">
        <f t="shared" ref="E291:M291" si="237">E285+E289</f>
        <v>74996.829999999987</v>
      </c>
      <c r="F291" s="1212">
        <f t="shared" si="237"/>
        <v>0</v>
      </c>
      <c r="G291" s="1212">
        <f t="shared" si="237"/>
        <v>74996.829999999987</v>
      </c>
      <c r="H291" s="1212">
        <f t="shared" si="237"/>
        <v>0</v>
      </c>
      <c r="I291" s="1212">
        <f t="shared" si="237"/>
        <v>0</v>
      </c>
      <c r="J291" s="1212">
        <f t="shared" si="237"/>
        <v>74996.829999999987</v>
      </c>
      <c r="K291" s="1212">
        <f t="shared" si="237"/>
        <v>0</v>
      </c>
      <c r="L291" s="1212">
        <f t="shared" si="237"/>
        <v>-4487.74651213573</v>
      </c>
      <c r="M291" s="1212">
        <f t="shared" si="237"/>
        <v>79484.576512135725</v>
      </c>
      <c r="N291" s="1144"/>
      <c r="O291" s="1213">
        <f>O285+O289</f>
        <v>74996.829999999987</v>
      </c>
      <c r="P291" s="677">
        <f t="shared" ref="P291" si="238">ROUND(IF(((O291-J291)=0),0,(O291-J291)),2)</f>
        <v>0</v>
      </c>
      <c r="R291" s="680"/>
    </row>
    <row r="292" spans="1:18" ht="15" thickTop="1">
      <c r="B292" s="1146"/>
      <c r="C292" s="1144"/>
      <c r="D292" s="1141"/>
      <c r="E292" s="1140"/>
      <c r="F292" s="1140"/>
      <c r="G292" s="1140"/>
      <c r="H292" s="1140"/>
      <c r="I292" s="1140"/>
      <c r="J292" s="1140"/>
      <c r="K292" s="1140"/>
      <c r="L292" s="1140"/>
      <c r="M292" s="1140"/>
      <c r="N292" s="1140"/>
      <c r="O292" s="1143"/>
      <c r="P292" s="677"/>
      <c r="R292" s="680"/>
    </row>
    <row r="293" spans="1:18">
      <c r="A293" s="628">
        <v>5220</v>
      </c>
      <c r="B293" s="1146">
        <v>51295</v>
      </c>
      <c r="C293" s="1144" t="s">
        <v>77</v>
      </c>
      <c r="D293" s="1125" t="s">
        <v>187</v>
      </c>
      <c r="E293" s="1152">
        <f>IFERROR(VLOOKUP(B293,'2195 IS (C)'!D:AI,31,FALSE),0)</f>
        <v>50073.740000000013</v>
      </c>
      <c r="F293" s="1140"/>
      <c r="G293" s="1152">
        <f>+E293+F293</f>
        <v>50073.740000000013</v>
      </c>
      <c r="H293" s="1140"/>
      <c r="I293" s="1140"/>
      <c r="J293" s="1152">
        <f t="shared" ref="J293:J295" si="239">+SUM(G293:I293)</f>
        <v>50073.740000000013</v>
      </c>
      <c r="K293" s="1140"/>
      <c r="L293" s="1127">
        <f>IF(($J293=0),0,IF(($D293="ACT"),"0",(VLOOKUP($D293,$E$10:$P$19,8,FALSE)*$J293)))</f>
        <v>35576.238954003289</v>
      </c>
      <c r="M293" s="1127">
        <f>IF(($J293=0),0,IF(($D293="ACT"),"0",(VLOOKUP($D293,$E$10:$P$19,9,FALSE)*$J293)))</f>
        <v>14497.50104599672</v>
      </c>
      <c r="N293" s="1140"/>
      <c r="O293" s="1128">
        <f>SUM(L293:M293)</f>
        <v>50073.740000000005</v>
      </c>
      <c r="P293" s="677">
        <f t="shared" ref="P293:P295" si="240">ROUND(IF(((O293-J293)=0),0,(O293-J293)),2)</f>
        <v>0</v>
      </c>
      <c r="R293" s="680"/>
    </row>
    <row r="294" spans="1:18">
      <c r="A294" s="628">
        <v>5220</v>
      </c>
      <c r="B294" s="1146">
        <v>57357</v>
      </c>
      <c r="C294" s="1144" t="s">
        <v>107</v>
      </c>
      <c r="D294" s="1125" t="s">
        <v>187</v>
      </c>
      <c r="E294" s="1152">
        <f>IFERROR(VLOOKUP(B294,'2195 IS (C)'!D:AI,31,FALSE),0)</f>
        <v>538</v>
      </c>
      <c r="F294" s="1140"/>
      <c r="G294" s="1152">
        <f>+E294+F294</f>
        <v>538</v>
      </c>
      <c r="H294" s="1140"/>
      <c r="I294" s="1140"/>
      <c r="J294" s="1152">
        <f t="shared" si="239"/>
        <v>538</v>
      </c>
      <c r="K294" s="1140"/>
      <c r="L294" s="1127">
        <f>IF(($J294=0),0,IF(($D294="ACT"),"0",(VLOOKUP($D294,$E$10:$P$19,8,FALSE)*$J294)))</f>
        <v>382.23660859471983</v>
      </c>
      <c r="M294" s="1127">
        <f>IF(($J294=0),0,IF(($D294="ACT"),"0",(VLOOKUP($D294,$E$10:$P$19,9,FALSE)*$J294)))</f>
        <v>155.76339140528017</v>
      </c>
      <c r="N294" s="1140"/>
      <c r="O294" s="1128">
        <f>SUM(L294:M294)</f>
        <v>538</v>
      </c>
      <c r="P294" s="677">
        <f t="shared" si="240"/>
        <v>0</v>
      </c>
      <c r="R294" s="680"/>
    </row>
    <row r="295" spans="1:18">
      <c r="A295" s="628">
        <v>5220</v>
      </c>
      <c r="B295" s="1211">
        <v>70357</v>
      </c>
      <c r="C295" s="1144" t="s">
        <v>107</v>
      </c>
      <c r="D295" s="1125" t="s">
        <v>486</v>
      </c>
      <c r="E295" s="1152">
        <f>IFERROR(VLOOKUP(B295,'2195 IS (C)'!D:AI,31,FALSE),0)</f>
        <v>141</v>
      </c>
      <c r="F295" s="1152"/>
      <c r="G295" s="1152">
        <f>+E295+F295</f>
        <v>141</v>
      </c>
      <c r="H295" s="1152"/>
      <c r="I295" s="1152"/>
      <c r="J295" s="1152">
        <f t="shared" si="239"/>
        <v>141</v>
      </c>
      <c r="K295" s="1154"/>
      <c r="L295" s="1127">
        <f>IF(($J295=0),0,IF(($D295="ACT"),"0",(VLOOKUP($D295,$E$10:$P$19,8,FALSE)*$J295)))</f>
        <v>96.535350695348697</v>
      </c>
      <c r="M295" s="1127">
        <f>IF(($J295=0),0,IF(($D295="ACT"),"0",(VLOOKUP($D295,$E$10:$P$19,9,FALSE)*$J295)))</f>
        <v>44.464649304651282</v>
      </c>
      <c r="N295" s="1154"/>
      <c r="O295" s="1128">
        <f>SUM(L295:M295)</f>
        <v>140.99999999999997</v>
      </c>
      <c r="P295" s="677">
        <f t="shared" si="240"/>
        <v>0</v>
      </c>
      <c r="R295" s="680"/>
    </row>
    <row r="296" spans="1:18">
      <c r="B296" s="1146"/>
      <c r="C296" s="1144"/>
      <c r="D296" s="1141"/>
      <c r="E296" s="1140"/>
      <c r="F296" s="1140"/>
      <c r="G296" s="1140"/>
      <c r="H296" s="1140"/>
      <c r="I296" s="1140"/>
      <c r="J296" s="1140"/>
      <c r="K296" s="1140"/>
      <c r="L296" s="1140"/>
      <c r="M296" s="1140"/>
      <c r="N296" s="1140"/>
      <c r="O296" s="1143"/>
      <c r="P296" s="677"/>
      <c r="R296" s="680"/>
    </row>
    <row r="297" spans="1:18" ht="15">
      <c r="B297" s="1147"/>
      <c r="C297" s="1138" t="s">
        <v>512</v>
      </c>
      <c r="D297" s="1141"/>
      <c r="E297" s="1175">
        <f>SUM(E293:E296)</f>
        <v>50752.740000000013</v>
      </c>
      <c r="F297" s="1175">
        <f t="shared" ref="F297:M297" si="241">SUM(F293:F296)</f>
        <v>0</v>
      </c>
      <c r="G297" s="1175">
        <f t="shared" si="241"/>
        <v>50752.740000000013</v>
      </c>
      <c r="H297" s="1175">
        <f t="shared" si="241"/>
        <v>0</v>
      </c>
      <c r="I297" s="1175">
        <f t="shared" si="241"/>
        <v>0</v>
      </c>
      <c r="J297" s="1175">
        <f t="shared" si="241"/>
        <v>50752.740000000013</v>
      </c>
      <c r="K297" s="1175">
        <f t="shared" si="241"/>
        <v>0</v>
      </c>
      <c r="L297" s="1175">
        <f t="shared" si="241"/>
        <v>36055.010913293358</v>
      </c>
      <c r="M297" s="1175">
        <f t="shared" si="241"/>
        <v>14697.729086706651</v>
      </c>
      <c r="N297" s="1160"/>
      <c r="O297" s="1176">
        <f>SUM(O293:O296)</f>
        <v>50752.740000000005</v>
      </c>
      <c r="P297" s="677">
        <f t="shared" ref="P297" si="242">ROUND(IF(((O297-J297)=0),0,(O297-J297)),2)</f>
        <v>0</v>
      </c>
      <c r="R297" s="680"/>
    </row>
    <row r="298" spans="1:18">
      <c r="B298" s="1146"/>
      <c r="C298" s="1144"/>
      <c r="D298" s="1141"/>
      <c r="E298" s="1140"/>
      <c r="F298" s="1140"/>
      <c r="G298" s="1140"/>
      <c r="H298" s="1140"/>
      <c r="I298" s="1140"/>
      <c r="J298" s="1140"/>
      <c r="K298" s="1140"/>
      <c r="L298" s="1140"/>
      <c r="M298" s="1140"/>
      <c r="N298" s="1140"/>
      <c r="O298" s="1143"/>
      <c r="P298" s="677"/>
      <c r="R298" s="680"/>
    </row>
    <row r="299" spans="1:18">
      <c r="A299" s="628">
        <v>5230</v>
      </c>
      <c r="B299" s="1146">
        <v>57275</v>
      </c>
      <c r="C299" s="1144" t="s">
        <v>281</v>
      </c>
      <c r="D299" s="1125" t="s">
        <v>187</v>
      </c>
      <c r="E299" s="1152">
        <f>IFERROR(VLOOKUP(B299,'2195 IS (C)'!D:AI,31,FALSE),0)</f>
        <v>43916.080000000009</v>
      </c>
      <c r="F299" s="1140"/>
      <c r="G299" s="1152">
        <f>+E299+F299</f>
        <v>43916.080000000009</v>
      </c>
      <c r="H299" s="1140"/>
      <c r="I299" s="1140"/>
      <c r="J299" s="1152">
        <f t="shared" ref="J299:J300" si="243">+SUM(G299:I299)</f>
        <v>43916.080000000009</v>
      </c>
      <c r="K299" s="1140"/>
      <c r="L299" s="1127">
        <f>IF(($J299=0),0,IF(($D299="ACT"),"0",(VLOOKUP($D299,$E$10:$P$19,8,FALSE)*$J299)))</f>
        <v>31201.363349394811</v>
      </c>
      <c r="M299" s="1127">
        <f>IF(($J299=0),0,IF(($D299="ACT"),"0",(VLOOKUP($D299,$E$10:$P$19,9,FALSE)*$J299)))</f>
        <v>12714.7166506052</v>
      </c>
      <c r="N299" s="1140"/>
      <c r="O299" s="1128">
        <f>SUM(L299:M299)</f>
        <v>43916.080000000009</v>
      </c>
      <c r="P299" s="677">
        <f t="shared" ref="P299:P300" si="244">ROUND(IF(((O299-J299)=0),0,(O299-J299)),2)</f>
        <v>0</v>
      </c>
      <c r="R299" s="680"/>
    </row>
    <row r="300" spans="1:18">
      <c r="A300" s="628">
        <v>5230</v>
      </c>
      <c r="B300" s="1146">
        <v>54275</v>
      </c>
      <c r="C300" s="1144" t="s">
        <v>281</v>
      </c>
      <c r="D300" s="1125" t="s">
        <v>486</v>
      </c>
      <c r="E300" s="1152">
        <f>IFERROR(VLOOKUP(B300,'2195 IS (C)'!D:AI,31,FALSE),0)</f>
        <v>0</v>
      </c>
      <c r="F300" s="1140"/>
      <c r="G300" s="1152">
        <f>+E300+F300</f>
        <v>0</v>
      </c>
      <c r="H300" s="1140"/>
      <c r="I300" s="1140"/>
      <c r="J300" s="1152">
        <f t="shared" si="243"/>
        <v>0</v>
      </c>
      <c r="K300" s="1140"/>
      <c r="L300" s="1127">
        <f>IF(($J300=0),0,IF(($D300="ACT"),"0",(VLOOKUP($D300,$E$10:$P$19,8,FALSE)*$J300)))</f>
        <v>0</v>
      </c>
      <c r="M300" s="1127">
        <f>IF(($J300=0),0,IF(($D300="ACT"),"0",(VLOOKUP($D300,$E$10:$P$19,9,FALSE)*$J300)))</f>
        <v>0</v>
      </c>
      <c r="N300" s="1140"/>
      <c r="O300" s="1128">
        <f>SUM(L300:M300)</f>
        <v>0</v>
      </c>
      <c r="P300" s="677">
        <f t="shared" si="244"/>
        <v>0</v>
      </c>
      <c r="R300" s="680"/>
    </row>
    <row r="301" spans="1:18">
      <c r="B301" s="1146"/>
      <c r="C301" s="1144"/>
      <c r="D301" s="1141"/>
      <c r="E301" s="1140"/>
      <c r="F301" s="1140"/>
      <c r="G301" s="1140"/>
      <c r="H301" s="1140"/>
      <c r="I301" s="1140"/>
      <c r="J301" s="1140"/>
      <c r="K301" s="1140"/>
      <c r="L301" s="1140"/>
      <c r="M301" s="1140"/>
      <c r="N301" s="1140"/>
      <c r="O301" s="1143"/>
      <c r="P301" s="677"/>
      <c r="R301" s="680"/>
    </row>
    <row r="302" spans="1:18" ht="15">
      <c r="B302" s="1147"/>
      <c r="C302" s="1138" t="s">
        <v>515</v>
      </c>
      <c r="D302" s="1141"/>
      <c r="E302" s="1175">
        <f t="shared" ref="E302:M302" si="245">SUM(E299:E301)</f>
        <v>43916.080000000009</v>
      </c>
      <c r="F302" s="1175">
        <f t="shared" si="245"/>
        <v>0</v>
      </c>
      <c r="G302" s="1175">
        <f t="shared" si="245"/>
        <v>43916.080000000009</v>
      </c>
      <c r="H302" s="1175">
        <f t="shared" si="245"/>
        <v>0</v>
      </c>
      <c r="I302" s="1175">
        <f t="shared" si="245"/>
        <v>0</v>
      </c>
      <c r="J302" s="1175">
        <f t="shared" si="245"/>
        <v>43916.080000000009</v>
      </c>
      <c r="K302" s="1175">
        <f t="shared" si="245"/>
        <v>0</v>
      </c>
      <c r="L302" s="1175">
        <f t="shared" si="245"/>
        <v>31201.363349394811</v>
      </c>
      <c r="M302" s="1175">
        <f t="shared" si="245"/>
        <v>12714.7166506052</v>
      </c>
      <c r="N302" s="1160"/>
      <c r="O302" s="1176">
        <f>SUM(O299:O301)</f>
        <v>43916.080000000009</v>
      </c>
      <c r="P302" s="677">
        <f t="shared" ref="P302:P308" si="246">ROUND(IF(((O302-J302)=0),0,(O302-J302)),2)</f>
        <v>0</v>
      </c>
      <c r="R302" s="680"/>
    </row>
    <row r="303" spans="1:18">
      <c r="B303" s="1146"/>
      <c r="C303" s="1144"/>
      <c r="D303" s="1141"/>
      <c r="E303" s="1140"/>
      <c r="F303" s="1140"/>
      <c r="G303" s="1140"/>
      <c r="H303" s="1140"/>
      <c r="I303" s="1140"/>
      <c r="J303" s="1140"/>
      <c r="K303" s="1140"/>
      <c r="L303" s="1140"/>
      <c r="M303" s="1140"/>
      <c r="N303" s="1140"/>
      <c r="O303" s="1143"/>
      <c r="P303" s="677">
        <f t="shared" si="246"/>
        <v>0</v>
      </c>
      <c r="R303" s="680"/>
    </row>
    <row r="304" spans="1:18">
      <c r="A304" s="628">
        <v>5242</v>
      </c>
      <c r="B304" s="1146">
        <v>50050</v>
      </c>
      <c r="C304" s="1144" t="s">
        <v>68</v>
      </c>
      <c r="D304" s="1125" t="s">
        <v>187</v>
      </c>
      <c r="E304" s="1152">
        <f>IFERROR(VLOOKUP(B304,'2195 IS (C)'!D:AI,31,FALSE),0)</f>
        <v>296125.38999999996</v>
      </c>
      <c r="F304" s="1140"/>
      <c r="G304" s="1152">
        <f t="shared" ref="G304:G308" si="247">+E304+F304</f>
        <v>296125.38999999996</v>
      </c>
      <c r="H304" s="1126">
        <f>'Pro forma Adj (C)'!B22</f>
        <v>18269.929175328827</v>
      </c>
      <c r="I304" s="1126">
        <f>+'Automation Data'!B7</f>
        <v>3190.3559999999998</v>
      </c>
      <c r="J304" s="1152">
        <f t="shared" ref="J304:J308" si="248">+SUM(G304:I304)</f>
        <v>317585.67517532874</v>
      </c>
      <c r="K304" s="1140"/>
      <c r="L304" s="1127">
        <f>+(($J304-$I304)*$L$10)+($I304*'Allocators (C)'!C$74)</f>
        <v>225631.30906805824</v>
      </c>
      <c r="M304" s="1127">
        <f>+(($J304-$I304)*$M$10)+($I304*'Allocators (C)'!D$74)</f>
        <v>91954.366107270456</v>
      </c>
      <c r="N304" s="1140"/>
      <c r="O304" s="1128">
        <f t="shared" ref="O304:O308" si="249">SUM(L304:M304)</f>
        <v>317585.67517532868</v>
      </c>
      <c r="P304" s="677">
        <f t="shared" si="246"/>
        <v>0</v>
      </c>
      <c r="R304" s="680"/>
    </row>
    <row r="305" spans="1:18">
      <c r="A305" s="628">
        <v>5242</v>
      </c>
      <c r="B305" s="1146">
        <v>52050</v>
      </c>
      <c r="C305" s="1144" t="s">
        <v>68</v>
      </c>
      <c r="D305" s="1125" t="s">
        <v>187</v>
      </c>
      <c r="E305" s="1152">
        <f>IFERROR(VLOOKUP(B305,'2195 IS (C)'!D:AI,31,FALSE),0)</f>
        <v>53699.219999999994</v>
      </c>
      <c r="F305" s="1140"/>
      <c r="G305" s="1152">
        <f t="shared" si="247"/>
        <v>53699.219999999994</v>
      </c>
      <c r="H305" s="1126">
        <f>'Pro forma Adj (C)'!B23</f>
        <v>4465.4203645073876</v>
      </c>
      <c r="I305" s="1140"/>
      <c r="J305" s="1152">
        <f t="shared" si="248"/>
        <v>58164.640364507381</v>
      </c>
      <c r="K305" s="1140"/>
      <c r="L305" s="1127">
        <f>IF(($J305=0),0,IF(($D305="ACT"),"0",(VLOOKUP($D305,$E$10:$P$19,8,FALSE)*$J305)))</f>
        <v>41324.637310522026</v>
      </c>
      <c r="M305" s="1127">
        <f>IF(($J305=0),0,IF(($D305="ACT"),"0",(VLOOKUP($D305,$E$10:$P$19,9,FALSE)*$J305)))</f>
        <v>16840.003053985354</v>
      </c>
      <c r="N305" s="1140"/>
      <c r="O305" s="1128">
        <f t="shared" si="249"/>
        <v>58164.640364507381</v>
      </c>
      <c r="P305" s="677">
        <f t="shared" si="246"/>
        <v>0</v>
      </c>
      <c r="R305" s="680"/>
    </row>
    <row r="306" spans="1:18">
      <c r="A306" s="628">
        <v>4115</v>
      </c>
      <c r="B306" s="1146">
        <v>55050</v>
      </c>
      <c r="C306" s="1144" t="s">
        <v>68</v>
      </c>
      <c r="D306" s="1125" t="s">
        <v>1027</v>
      </c>
      <c r="E306" s="1152">
        <f>IFERROR(VLOOKUP(B306,'2195 IS (C)'!D:AI,31,FALSE),0)</f>
        <v>8390.5499999999993</v>
      </c>
      <c r="F306" s="1152"/>
      <c r="G306" s="1152">
        <f>+E306+F306</f>
        <v>8390.5499999999993</v>
      </c>
      <c r="H306" s="1152">
        <f>+'Pro forma Adj (C)'!B26</f>
        <v>5496.2819621029121</v>
      </c>
      <c r="I306" s="1140"/>
      <c r="J306" s="1152">
        <f t="shared" si="248"/>
        <v>13886.831962102911</v>
      </c>
      <c r="K306" s="1126"/>
      <c r="L306" s="1127">
        <f>IF(($J306=0),0,IF(($D306="ACT"),"0",(VLOOKUP($D306,$E$10:$P$19,8,FALSE)*$J306)))</f>
        <v>10124.620452607318</v>
      </c>
      <c r="M306" s="1127">
        <f>IF(($J306=0),0,IF(($D306="ACT"),"0",(VLOOKUP($D306,$E$10:$P$19,9,FALSE)*$J306)))</f>
        <v>3762.2115094955943</v>
      </c>
      <c r="N306" s="1126"/>
      <c r="O306" s="1128">
        <f>SUM(L306:M306)</f>
        <v>13886.831962102911</v>
      </c>
      <c r="P306" s="677">
        <f>ROUND(IF(((O306-J306)=0),0,(O306-J306)),2)</f>
        <v>0</v>
      </c>
      <c r="R306" s="680"/>
    </row>
    <row r="307" spans="1:18">
      <c r="A307" s="628">
        <v>5242</v>
      </c>
      <c r="B307" s="1146">
        <v>56050</v>
      </c>
      <c r="C307" s="1144" t="s">
        <v>68</v>
      </c>
      <c r="D307" s="1125" t="s">
        <v>187</v>
      </c>
      <c r="E307" s="1152">
        <f>IFERROR(VLOOKUP(B307,'2195 IS (C)'!D:AI,31,FALSE),0)</f>
        <v>16606.170000000002</v>
      </c>
      <c r="F307" s="1140"/>
      <c r="G307" s="1152">
        <f t="shared" si="247"/>
        <v>16606.170000000002</v>
      </c>
      <c r="H307" s="1126">
        <f>+'Pro forma Adj (C)'!B25</f>
        <v>7304.1366150000031</v>
      </c>
      <c r="I307" s="1140"/>
      <c r="J307" s="1152">
        <f t="shared" si="248"/>
        <v>23910.306615000005</v>
      </c>
      <c r="K307" s="1140"/>
      <c r="L307" s="1127">
        <f>IF(($J307=0),0,IF(($D307="ACT"),"0",(VLOOKUP($D307,$E$10:$P$19,8,FALSE)*$J307)))</f>
        <v>16987.722139363377</v>
      </c>
      <c r="M307" s="1127">
        <f>IF(($J307=0),0,IF(($D307="ACT"),"0",(VLOOKUP($D307,$E$10:$P$19,9,FALSE)*$J307)))</f>
        <v>6922.5844756366268</v>
      </c>
      <c r="N307" s="1140"/>
      <c r="O307" s="1128">
        <f t="shared" si="249"/>
        <v>23910.306615000005</v>
      </c>
      <c r="P307" s="677">
        <f t="shared" si="246"/>
        <v>0</v>
      </c>
      <c r="R307" s="680"/>
    </row>
    <row r="308" spans="1:18">
      <c r="A308" s="628">
        <v>5242</v>
      </c>
      <c r="B308" s="1146">
        <v>70050</v>
      </c>
      <c r="C308" s="1144" t="s">
        <v>68</v>
      </c>
      <c r="D308" s="1125" t="s">
        <v>1431</v>
      </c>
      <c r="E308" s="1152">
        <f>IFERROR(VLOOKUP(B308,'2195 IS (C)'!D:AI,31,FALSE),0)</f>
        <v>53957.57</v>
      </c>
      <c r="F308" s="1140"/>
      <c r="G308" s="1152">
        <f t="shared" si="247"/>
        <v>53957.57</v>
      </c>
      <c r="H308" s="1126">
        <f>+'Pro forma Adj (C)'!B24</f>
        <v>47.899540982384885</v>
      </c>
      <c r="I308" s="1140"/>
      <c r="J308" s="1152">
        <f t="shared" si="248"/>
        <v>54005.469540982383</v>
      </c>
      <c r="K308" s="1140"/>
      <c r="L308" s="1127">
        <f>IF(($J308=0),0,IF(($D308="ACT"),"0",(VLOOKUP($D308,$E$10:$P$19,8,FALSE)*$J308)))</f>
        <v>36974.730082309979</v>
      </c>
      <c r="M308" s="1127">
        <f>IF(($J308=0),0,IF(($D308="ACT"),"0",(VLOOKUP($D308,$E$10:$P$19,9,FALSE)*$J308)))</f>
        <v>17030.7394586724</v>
      </c>
      <c r="N308" s="1140"/>
      <c r="O308" s="1128">
        <f t="shared" si="249"/>
        <v>54005.469540982376</v>
      </c>
      <c r="P308" s="677">
        <f t="shared" si="246"/>
        <v>0</v>
      </c>
      <c r="R308" s="680"/>
    </row>
    <row r="309" spans="1:18">
      <c r="B309" s="1146"/>
      <c r="C309" s="1144"/>
      <c r="D309" s="1141"/>
      <c r="E309" s="1140"/>
      <c r="F309" s="1140"/>
      <c r="G309" s="1140"/>
      <c r="H309" s="1140"/>
      <c r="I309" s="1140"/>
      <c r="J309" s="1140"/>
      <c r="K309" s="1140"/>
      <c r="L309" s="1140"/>
      <c r="M309" s="1140"/>
      <c r="N309" s="1140"/>
      <c r="O309" s="1143"/>
      <c r="P309" s="677"/>
      <c r="R309" s="680"/>
    </row>
    <row r="310" spans="1:18" ht="15">
      <c r="B310" s="1147"/>
      <c r="C310" s="1138" t="s">
        <v>516</v>
      </c>
      <c r="D310" s="1141"/>
      <c r="E310" s="1175">
        <f t="shared" ref="E310:M310" si="250">SUM(E304:E309)</f>
        <v>428778.89999999991</v>
      </c>
      <c r="F310" s="1175">
        <f t="shared" si="250"/>
        <v>0</v>
      </c>
      <c r="G310" s="1175">
        <f t="shared" si="250"/>
        <v>428778.89999999991</v>
      </c>
      <c r="H310" s="1175">
        <f t="shared" si="250"/>
        <v>35583.667657921513</v>
      </c>
      <c r="I310" s="1175">
        <f t="shared" si="250"/>
        <v>3190.3559999999998</v>
      </c>
      <c r="J310" s="1175">
        <f t="shared" si="250"/>
        <v>467552.92365792143</v>
      </c>
      <c r="K310" s="1175">
        <f t="shared" si="250"/>
        <v>0</v>
      </c>
      <c r="L310" s="1175">
        <f t="shared" si="250"/>
        <v>331043.01905286097</v>
      </c>
      <c r="M310" s="1175">
        <f t="shared" si="250"/>
        <v>136509.90460506044</v>
      </c>
      <c r="N310" s="1160"/>
      <c r="O310" s="1176">
        <f>SUM(O304:O309)</f>
        <v>467552.92365792138</v>
      </c>
      <c r="P310" s="677">
        <f t="shared" ref="P310" si="251">ROUND(IF(((O310-J310)=0),0,(O310-J310)),2)</f>
        <v>0</v>
      </c>
      <c r="R310" s="680"/>
    </row>
    <row r="311" spans="1:18">
      <c r="B311" s="1146"/>
      <c r="C311" s="1144"/>
      <c r="D311" s="1141"/>
      <c r="E311" s="1140"/>
      <c r="F311" s="1140"/>
      <c r="G311" s="1140"/>
      <c r="H311" s="1174">
        <f>+H310-'Pro forma Adj (C)'!B27</f>
        <v>0</v>
      </c>
      <c r="I311" s="1174"/>
      <c r="J311" s="1140"/>
      <c r="K311" s="1140"/>
      <c r="L311" s="1140"/>
      <c r="M311" s="1140"/>
      <c r="N311" s="1140"/>
      <c r="O311" s="1143"/>
      <c r="P311" s="677"/>
      <c r="R311" s="680"/>
    </row>
    <row r="312" spans="1:18">
      <c r="A312" s="628">
        <v>5260</v>
      </c>
      <c r="B312" s="1146">
        <v>43001</v>
      </c>
      <c r="C312" s="1144" t="s">
        <v>280</v>
      </c>
      <c r="D312" s="1125" t="s">
        <v>485</v>
      </c>
      <c r="E312" s="1152">
        <f>IFERROR(VLOOKUP(B312,'2195 IS (C)'!D:AI,31,FALSE),0)</f>
        <v>253321.64999999997</v>
      </c>
      <c r="F312" s="1174">
        <f>+'41201 JE Query'!D92+'41201 JE Query'!D94-SUM('43001 JE Query'!D129,'43001 JE Query'!D131:D134)</f>
        <v>77770.87</v>
      </c>
      <c r="G312" s="1152">
        <f>+E312+F312</f>
        <v>331092.51999999996</v>
      </c>
      <c r="H312" s="1140"/>
      <c r="I312" s="1140"/>
      <c r="J312" s="1152">
        <f t="shared" ref="J312:J316" si="252">+SUM(G312:I312)</f>
        <v>331092.51999999996</v>
      </c>
      <c r="K312" s="1140"/>
      <c r="L312" s="1127">
        <f>IF(($J312=0),0,IF(($D312="ACT"),"0",(VLOOKUP($D312,$E$10:$P$19,8,FALSE)*$J312)))</f>
        <v>225473.48289999671</v>
      </c>
      <c r="M312" s="1127">
        <f>IF(($J312=0),0,IF(($D312="ACT"),"0",(VLOOKUP($D312,$E$10:$P$19,9,FALSE)*$J312)))</f>
        <v>105619.03710000323</v>
      </c>
      <c r="N312" s="1140"/>
      <c r="O312" s="1128">
        <f>SUM(L312:M312)</f>
        <v>331092.51999999996</v>
      </c>
      <c r="P312" s="677">
        <f t="shared" ref="P312:P315" si="253">ROUND(IF(((O312-J312)=0),0,(O312-J312)),2)</f>
        <v>0</v>
      </c>
      <c r="R312" s="680"/>
    </row>
    <row r="313" spans="1:18">
      <c r="A313" s="628">
        <v>5260</v>
      </c>
      <c r="B313" s="1146">
        <v>43001.1</v>
      </c>
      <c r="C313" s="1126" t="s">
        <v>1023</v>
      </c>
      <c r="D313" s="1125" t="s">
        <v>1022</v>
      </c>
      <c r="E313" s="1152">
        <f>IFERROR(VLOOKUP(B313,'2195 IS (C)'!D:AI,31,FALSE),0)</f>
        <v>0</v>
      </c>
      <c r="F313" s="1126">
        <f>+'41201 JE Query'!D93+'43001 JE Query'!D129</f>
        <v>210.85999999999996</v>
      </c>
      <c r="G313" s="1152">
        <f>+E313+F313</f>
        <v>210.85999999999996</v>
      </c>
      <c r="H313" s="1140"/>
      <c r="I313" s="1140"/>
      <c r="J313" s="1152">
        <f t="shared" si="252"/>
        <v>210.85999999999996</v>
      </c>
      <c r="K313" s="1140"/>
      <c r="L313" s="1127">
        <f>IF(($J313=0),0,IF(($D313="ACT"),"0",(VLOOKUP($D313,$E$10:$P$19,8,FALSE)*$J313)))</f>
        <v>152.57171599296757</v>
      </c>
      <c r="M313" s="1127">
        <f>IF(($J313=0),0,IF(($D313="ACT"),"0",(VLOOKUP($D313,$E$10:$P$19,9,FALSE)*$J313)))</f>
        <v>58.288284007032416</v>
      </c>
      <c r="N313" s="1140"/>
      <c r="O313" s="1128">
        <f>SUM(L313:M313)</f>
        <v>210.85999999999999</v>
      </c>
      <c r="P313" s="677">
        <f t="shared" si="253"/>
        <v>0</v>
      </c>
      <c r="R313" s="680"/>
    </row>
    <row r="314" spans="1:18">
      <c r="A314" s="628">
        <v>5260</v>
      </c>
      <c r="B314" s="1146">
        <v>43001.2</v>
      </c>
      <c r="C314" s="1126" t="s">
        <v>2211</v>
      </c>
      <c r="D314" s="1125" t="s">
        <v>485</v>
      </c>
      <c r="E314" s="1152">
        <f>IFERROR(VLOOKUP(B314,'2195 IS (C)'!D:AI,31,FALSE),0)</f>
        <v>0</v>
      </c>
      <c r="F314" s="1126">
        <f>+'41201 JE Query'!D97+'43001 JE Query'!D133</f>
        <v>3550.1800000000003</v>
      </c>
      <c r="G314" s="1152">
        <f>+E314+F314</f>
        <v>3550.1800000000003</v>
      </c>
      <c r="H314" s="1140"/>
      <c r="I314" s="1140"/>
      <c r="J314" s="1152">
        <f t="shared" si="252"/>
        <v>3550.1800000000003</v>
      </c>
      <c r="K314" s="1140"/>
      <c r="L314" s="1127">
        <f>IF(($J314=0),0,IF(($D314="ACT"),"0",(VLOOKUP($D314,$E$10:$P$19,8,FALSE)*$J314)))</f>
        <v>2417.6669697095863</v>
      </c>
      <c r="M314" s="1127">
        <f>IF(($J314=0),0,IF(($D314="ACT"),"0",(VLOOKUP($D314,$E$10:$P$19,9,FALSE)*$J314)))</f>
        <v>1132.5130302904142</v>
      </c>
      <c r="N314" s="1140"/>
      <c r="O314" s="1128">
        <f>SUM(L314:M314)</f>
        <v>3550.1800000000003</v>
      </c>
      <c r="P314" s="677"/>
      <c r="R314" s="680"/>
    </row>
    <row r="315" spans="1:18">
      <c r="A315" s="628">
        <v>5260</v>
      </c>
      <c r="B315" s="1146">
        <v>43001.3</v>
      </c>
      <c r="C315" s="1126" t="s">
        <v>1024</v>
      </c>
      <c r="D315" s="1125" t="s">
        <v>186</v>
      </c>
      <c r="E315" s="1152">
        <f>IFERROR(VLOOKUP(B315,'2195 IS (C)'!D:AI,31,FALSE),0)</f>
        <v>0</v>
      </c>
      <c r="F315" s="1126">
        <f>+'43001 JE Query'!D132</f>
        <v>853.69</v>
      </c>
      <c r="G315" s="1152">
        <f>+E315+F315</f>
        <v>853.69</v>
      </c>
      <c r="H315" s="1140"/>
      <c r="I315" s="1140"/>
      <c r="J315" s="1152">
        <f t="shared" si="252"/>
        <v>853.69</v>
      </c>
      <c r="K315" s="1140"/>
      <c r="L315" s="1127">
        <v>0</v>
      </c>
      <c r="M315" s="1127">
        <f>F315</f>
        <v>853.69</v>
      </c>
      <c r="N315" s="1140"/>
      <c r="O315" s="1128">
        <f>SUM(L315:M315)</f>
        <v>853.69</v>
      </c>
      <c r="P315" s="677">
        <f t="shared" si="253"/>
        <v>0</v>
      </c>
      <c r="R315" s="680"/>
    </row>
    <row r="316" spans="1:18">
      <c r="A316" s="628">
        <v>5260</v>
      </c>
      <c r="B316" s="1146">
        <v>57280</v>
      </c>
      <c r="C316" s="1126" t="s">
        <v>1058</v>
      </c>
      <c r="D316" s="1125" t="s">
        <v>186</v>
      </c>
      <c r="E316" s="1152">
        <f>IFERROR(VLOOKUP(B316,'2195 IS (C)'!D:AI,31,FALSE),0)</f>
        <v>1237.6500000000001</v>
      </c>
      <c r="F316" s="1140"/>
      <c r="G316" s="1152">
        <f>+E316+F316</f>
        <v>1237.6500000000001</v>
      </c>
      <c r="H316" s="1140"/>
      <c r="I316" s="1140"/>
      <c r="J316" s="1152">
        <f t="shared" si="252"/>
        <v>1237.6500000000001</v>
      </c>
      <c r="K316" s="1140"/>
      <c r="L316" s="1127" t="str">
        <f>IF(($J316=0),0,IF(($D316="ACT"),"0",(VLOOKUP($D316,$E$10:$P$19,8,FALSE)*$J316)))</f>
        <v>0</v>
      </c>
      <c r="M316" s="1127">
        <f>+J316</f>
        <v>1237.6500000000001</v>
      </c>
      <c r="N316" s="1140"/>
      <c r="O316" s="1128">
        <f t="shared" ref="O316" si="254">SUM(L316:M316)</f>
        <v>1237.6500000000001</v>
      </c>
      <c r="P316" s="677">
        <f t="shared" ref="P316" si="255">ROUND(IF(((O316-J316)=0),0,(O316-J316)),2)</f>
        <v>0</v>
      </c>
      <c r="R316" s="680"/>
    </row>
    <row r="317" spans="1:18">
      <c r="B317" s="1146"/>
      <c r="C317" s="1126"/>
      <c r="D317" s="1141"/>
      <c r="E317" s="1140"/>
      <c r="F317" s="1140"/>
      <c r="G317" s="1140"/>
      <c r="H317" s="1140"/>
      <c r="I317" s="1140"/>
      <c r="J317" s="1140"/>
      <c r="K317" s="1140"/>
      <c r="L317" s="1127"/>
      <c r="M317" s="1127"/>
      <c r="N317" s="1140"/>
      <c r="O317" s="1128">
        <f>SUM(L317:M317)</f>
        <v>0</v>
      </c>
      <c r="P317" s="677"/>
      <c r="R317" s="680"/>
    </row>
    <row r="318" spans="1:18" ht="15">
      <c r="B318" s="1147"/>
      <c r="C318" s="1138" t="s">
        <v>513</v>
      </c>
      <c r="D318" s="1141"/>
      <c r="E318" s="1175">
        <f t="shared" ref="E318:M318" si="256">SUM(E312:E317)</f>
        <v>254559.29999999996</v>
      </c>
      <c r="F318" s="1175">
        <f t="shared" si="256"/>
        <v>82385.600000000006</v>
      </c>
      <c r="G318" s="1175">
        <f t="shared" si="256"/>
        <v>336944.89999999997</v>
      </c>
      <c r="H318" s="1175">
        <f t="shared" si="256"/>
        <v>0</v>
      </c>
      <c r="I318" s="1175">
        <f t="shared" si="256"/>
        <v>0</v>
      </c>
      <c r="J318" s="1175">
        <f t="shared" si="256"/>
        <v>336944.89999999997</v>
      </c>
      <c r="K318" s="1175">
        <f t="shared" si="256"/>
        <v>0</v>
      </c>
      <c r="L318" s="1175">
        <f t="shared" si="256"/>
        <v>228043.72158569927</v>
      </c>
      <c r="M318" s="1175">
        <f t="shared" si="256"/>
        <v>108901.17841430068</v>
      </c>
      <c r="N318" s="1160"/>
      <c r="O318" s="1176">
        <f>SUM(O312:O317)</f>
        <v>336944.89999999997</v>
      </c>
      <c r="P318" s="677">
        <f t="shared" ref="P318" si="257">ROUND(IF(((O318-J318)=0),0,(O318-J318)),2)</f>
        <v>0</v>
      </c>
      <c r="R318" s="680"/>
    </row>
    <row r="319" spans="1:18">
      <c r="B319" s="1146"/>
      <c r="C319" s="1144"/>
      <c r="D319" s="1141"/>
      <c r="E319" s="1140"/>
      <c r="F319" s="1140"/>
      <c r="G319" s="1140"/>
      <c r="H319" s="1140"/>
      <c r="I319" s="1140"/>
      <c r="J319" s="1140"/>
      <c r="K319" s="1140"/>
      <c r="L319" s="1180"/>
      <c r="M319" s="1180"/>
      <c r="N319" s="1140"/>
      <c r="O319" s="1143"/>
      <c r="P319" s="677"/>
      <c r="R319" s="680"/>
    </row>
    <row r="320" spans="1:18">
      <c r="A320" s="628">
        <v>5270</v>
      </c>
      <c r="B320" s="1146">
        <v>41201</v>
      </c>
      <c r="C320" s="1144" t="s">
        <v>279</v>
      </c>
      <c r="D320" s="1125" t="s">
        <v>186</v>
      </c>
      <c r="E320" s="1152">
        <f>IFERROR(VLOOKUP(B320,'2195 IS (C)'!D:AI,31,FALSE),0)</f>
        <v>417871.77000000008</v>
      </c>
      <c r="F320" s="1126">
        <f>-'41201 JE Query'!D92-'41201 JE Query'!D93-'41201 JE Query'!D94-'41201 JE Query'!D97</f>
        <v>-82385.599999999977</v>
      </c>
      <c r="G320" s="1152">
        <f>+E320+F320</f>
        <v>335486.1700000001</v>
      </c>
      <c r="H320" s="1140"/>
      <c r="I320" s="1140"/>
      <c r="J320" s="1152">
        <f>+SUM(G320:I320)</f>
        <v>335486.1700000001</v>
      </c>
      <c r="K320" s="1140"/>
      <c r="L320" s="1132">
        <v>0</v>
      </c>
      <c r="M320" s="1127">
        <f>+J320</f>
        <v>335486.1700000001</v>
      </c>
      <c r="N320" s="1140"/>
      <c r="O320" s="1128">
        <f>SUM(L320:M320)</f>
        <v>335486.1700000001</v>
      </c>
      <c r="P320" s="677">
        <f t="shared" ref="P320" si="258">ROUND(IF(((O320-J320)=0),0,(O320-J320)),2)</f>
        <v>0</v>
      </c>
      <c r="R320" s="680"/>
    </row>
    <row r="321" spans="1:18">
      <c r="B321" s="1146"/>
      <c r="C321" s="1144"/>
      <c r="D321" s="1141"/>
      <c r="E321" s="1140"/>
      <c r="F321" s="1140"/>
      <c r="G321" s="1140"/>
      <c r="H321" s="1140"/>
      <c r="I321" s="1140"/>
      <c r="J321" s="1140"/>
      <c r="K321" s="1140"/>
      <c r="L321" s="1140"/>
      <c r="M321" s="1140"/>
      <c r="N321" s="1140"/>
      <c r="O321" s="1143"/>
      <c r="P321" s="677"/>
      <c r="R321" s="680"/>
    </row>
    <row r="322" spans="1:18" ht="15">
      <c r="B322" s="1147"/>
      <c r="C322" s="1138" t="s">
        <v>514</v>
      </c>
      <c r="D322" s="1141"/>
      <c r="E322" s="1175">
        <f>SUM(E320:E321)</f>
        <v>417871.77000000008</v>
      </c>
      <c r="F322" s="1175">
        <f t="shared" ref="F322:M322" si="259">SUM(F320:F321)</f>
        <v>-82385.599999999977</v>
      </c>
      <c r="G322" s="1175">
        <f t="shared" si="259"/>
        <v>335486.1700000001</v>
      </c>
      <c r="H322" s="1175">
        <f t="shared" si="259"/>
        <v>0</v>
      </c>
      <c r="I322" s="1175">
        <f t="shared" si="259"/>
        <v>0</v>
      </c>
      <c r="J322" s="1175">
        <f t="shared" si="259"/>
        <v>335486.1700000001</v>
      </c>
      <c r="K322" s="1175">
        <f t="shared" si="259"/>
        <v>0</v>
      </c>
      <c r="L322" s="1175">
        <f t="shared" si="259"/>
        <v>0</v>
      </c>
      <c r="M322" s="1175">
        <f t="shared" si="259"/>
        <v>335486.1700000001</v>
      </c>
      <c r="N322" s="1160"/>
      <c r="O322" s="1176">
        <f>SUM(O320:O321)</f>
        <v>335486.1700000001</v>
      </c>
      <c r="P322" s="677">
        <f t="shared" ref="P322" si="260">ROUND(IF(((O322-J322)=0),0,(O322-J322)),2)</f>
        <v>0</v>
      </c>
      <c r="R322" s="680"/>
    </row>
    <row r="323" spans="1:18">
      <c r="B323" s="1139"/>
      <c r="C323" s="1140"/>
      <c r="D323" s="1141"/>
      <c r="E323" s="1140"/>
      <c r="F323" s="1140"/>
      <c r="G323" s="1140"/>
      <c r="H323" s="1140"/>
      <c r="I323" s="1140"/>
      <c r="J323" s="1140"/>
      <c r="K323" s="1140"/>
      <c r="L323" s="1140"/>
      <c r="M323" s="1142"/>
      <c r="N323" s="1142"/>
      <c r="O323" s="1143"/>
      <c r="R323" s="680"/>
    </row>
    <row r="324" spans="1:18" ht="15" customHeight="1" thickBot="1">
      <c r="B324" s="1147"/>
      <c r="C324" s="1138" t="s">
        <v>526</v>
      </c>
      <c r="D324" s="1195"/>
      <c r="E324" s="1212">
        <f t="shared" ref="E324:M324" si="261">E322+E318+E310+E302+E297</f>
        <v>1195878.79</v>
      </c>
      <c r="F324" s="1212">
        <f t="shared" si="261"/>
        <v>2.9103830456733704E-11</v>
      </c>
      <c r="G324" s="1212">
        <f t="shared" si="261"/>
        <v>1195878.79</v>
      </c>
      <c r="H324" s="1212">
        <f t="shared" si="261"/>
        <v>35583.667657921513</v>
      </c>
      <c r="I324" s="1212">
        <f t="shared" si="261"/>
        <v>3190.3559999999998</v>
      </c>
      <c r="J324" s="1212">
        <f t="shared" si="261"/>
        <v>1234652.8136579215</v>
      </c>
      <c r="K324" s="1212">
        <f t="shared" si="261"/>
        <v>0</v>
      </c>
      <c r="L324" s="1212">
        <f t="shared" si="261"/>
        <v>626343.11490124837</v>
      </c>
      <c r="M324" s="1212">
        <f t="shared" si="261"/>
        <v>608309.69875667302</v>
      </c>
      <c r="N324" s="1212"/>
      <c r="O324" s="1213">
        <f>O322+O318+O310+O302+O297</f>
        <v>1234652.8136579215</v>
      </c>
      <c r="P324" s="677">
        <f t="shared" ref="P324:P326" si="262">ROUND(IF(((O324-J324)=0),0,(O324-J324)),2)</f>
        <v>0</v>
      </c>
      <c r="R324" s="680"/>
    </row>
    <row r="325" spans="1:18" ht="15" thickTop="1">
      <c r="B325" s="1146"/>
      <c r="C325" s="1144"/>
      <c r="D325" s="1141"/>
      <c r="E325" s="1140"/>
      <c r="F325" s="1140"/>
      <c r="G325" s="1140"/>
      <c r="H325" s="1140"/>
      <c r="I325" s="1140"/>
      <c r="J325" s="1140"/>
      <c r="K325" s="1140"/>
      <c r="L325" s="1140"/>
      <c r="M325" s="1140"/>
      <c r="N325" s="1140"/>
      <c r="O325" s="1143"/>
      <c r="P325" s="677">
        <f t="shared" si="262"/>
        <v>0</v>
      </c>
      <c r="R325" s="680"/>
    </row>
    <row r="326" spans="1:18">
      <c r="A326" s="628">
        <v>5320</v>
      </c>
      <c r="B326" s="1146">
        <v>57175</v>
      </c>
      <c r="C326" s="1144" t="s">
        <v>423</v>
      </c>
      <c r="D326" s="1125" t="s">
        <v>486</v>
      </c>
      <c r="E326" s="1152">
        <f>IFERROR(VLOOKUP(B326,'2195 IS (C)'!D:AI,31,FALSE),0)</f>
        <v>1557.36</v>
      </c>
      <c r="F326" s="1174"/>
      <c r="G326" s="1152">
        <f>+E326+F326</f>
        <v>1557.36</v>
      </c>
      <c r="H326" s="1140"/>
      <c r="I326" s="1140"/>
      <c r="J326" s="1152">
        <f>+SUM(G326:I326)</f>
        <v>1557.36</v>
      </c>
      <c r="K326" s="1140"/>
      <c r="L326" s="1127">
        <f>IF(($J326=0),0,IF(($D326="ACT"),"0",(VLOOKUP($D326,$E$10:$P$19,8,FALSE)*$J326)))</f>
        <v>1066.2432181482855</v>
      </c>
      <c r="M326" s="1127">
        <f>IF(($J326=0),0,IF(($D326="ACT"),"0",(VLOOKUP($D326,$E$10:$P$19,9,FALSE)*$J326)))</f>
        <v>491.11678185171428</v>
      </c>
      <c r="N326" s="1140"/>
      <c r="O326" s="1128">
        <f>SUM(L326:M326)</f>
        <v>1557.3599999999997</v>
      </c>
      <c r="P326" s="677">
        <f t="shared" si="262"/>
        <v>0</v>
      </c>
      <c r="R326" s="680"/>
    </row>
    <row r="327" spans="1:18">
      <c r="B327" s="1146"/>
      <c r="C327" s="1144"/>
      <c r="D327" s="1141"/>
      <c r="E327" s="1140"/>
      <c r="F327" s="1140"/>
      <c r="G327" s="1140"/>
      <c r="H327" s="1140"/>
      <c r="I327" s="1140"/>
      <c r="J327" s="1140"/>
      <c r="K327" s="1140"/>
      <c r="L327" s="1140"/>
      <c r="M327" s="1140"/>
      <c r="N327" s="1140"/>
      <c r="O327" s="1143"/>
      <c r="P327" s="677"/>
      <c r="R327" s="680"/>
    </row>
    <row r="328" spans="1:18" ht="15">
      <c r="B328" s="1147"/>
      <c r="C328" s="1138" t="s">
        <v>517</v>
      </c>
      <c r="D328" s="1141"/>
      <c r="E328" s="1175">
        <f t="shared" ref="E328:M328" si="263">SUM(E326:E327)</f>
        <v>1557.36</v>
      </c>
      <c r="F328" s="1175">
        <f t="shared" si="263"/>
        <v>0</v>
      </c>
      <c r="G328" s="1175">
        <f t="shared" si="263"/>
        <v>1557.36</v>
      </c>
      <c r="H328" s="1175">
        <f t="shared" si="263"/>
        <v>0</v>
      </c>
      <c r="I328" s="1175">
        <f t="shared" si="263"/>
        <v>0</v>
      </c>
      <c r="J328" s="1175">
        <f t="shared" si="263"/>
        <v>1557.36</v>
      </c>
      <c r="K328" s="1175">
        <f t="shared" si="263"/>
        <v>0</v>
      </c>
      <c r="L328" s="1175">
        <f t="shared" si="263"/>
        <v>1066.2432181482855</v>
      </c>
      <c r="M328" s="1175">
        <f t="shared" si="263"/>
        <v>491.11678185171428</v>
      </c>
      <c r="N328" s="1160"/>
      <c r="O328" s="1176">
        <f>SUM(O326:O327)</f>
        <v>1557.3599999999997</v>
      </c>
      <c r="P328" s="677">
        <f t="shared" ref="P328:P330" si="264">ROUND(IF(((O328-J328)=0),0,(O328-J328)),2)</f>
        <v>0</v>
      </c>
      <c r="R328" s="680"/>
    </row>
    <row r="329" spans="1:18" ht="15">
      <c r="B329" s="1147"/>
      <c r="C329" s="1138"/>
      <c r="D329" s="1141"/>
      <c r="E329" s="1140"/>
      <c r="F329" s="1140"/>
      <c r="G329" s="1140"/>
      <c r="H329" s="1140"/>
      <c r="I329" s="1140"/>
      <c r="J329" s="1140"/>
      <c r="K329" s="1140"/>
      <c r="L329" s="1140"/>
      <c r="M329" s="1142"/>
      <c r="N329" s="1140"/>
      <c r="O329" s="1143"/>
      <c r="P329" s="677">
        <f t="shared" si="264"/>
        <v>0</v>
      </c>
      <c r="R329" s="680"/>
    </row>
    <row r="330" spans="1:18">
      <c r="A330" s="628">
        <v>5340</v>
      </c>
      <c r="B330" s="1146">
        <v>70175</v>
      </c>
      <c r="C330" s="1144" t="s">
        <v>1029</v>
      </c>
      <c r="D330" s="1125" t="s">
        <v>486</v>
      </c>
      <c r="E330" s="1152">
        <f>IFERROR(VLOOKUP(B330,'2195 IS (C)'!D:AI,31,FALSE),0)</f>
        <v>16370.899999999998</v>
      </c>
      <c r="F330" s="1152"/>
      <c r="G330" s="1152">
        <f>+E330+F330</f>
        <v>16370.899999999998</v>
      </c>
      <c r="H330" s="1152"/>
      <c r="I330" s="1152"/>
      <c r="J330" s="1152">
        <f>+SUM(G330:I330)</f>
        <v>16370.899999999998</v>
      </c>
      <c r="K330" s="1154"/>
      <c r="L330" s="1127">
        <f>IF(($J330=0),0,IF(($D330="ACT"),"0",(VLOOKUP($D330,$E$10:$P$19,8,FALSE)*$J330)))</f>
        <v>11208.301934031801</v>
      </c>
      <c r="M330" s="1127">
        <f>IF(($J330=0),0,IF(($D330="ACT"),"0",(VLOOKUP($D330,$E$10:$P$19,9,FALSE)*$J330)))</f>
        <v>5162.5980659681954</v>
      </c>
      <c r="N330" s="1154"/>
      <c r="O330" s="1128">
        <f>SUM(L330:M330)</f>
        <v>16370.899999999996</v>
      </c>
      <c r="P330" s="677">
        <f t="shared" si="264"/>
        <v>0</v>
      </c>
      <c r="R330" s="680"/>
    </row>
    <row r="331" spans="1:18" ht="15">
      <c r="B331" s="1147"/>
      <c r="C331" s="1138"/>
      <c r="D331" s="1141"/>
      <c r="E331" s="1140"/>
      <c r="F331" s="1140"/>
      <c r="G331" s="1140"/>
      <c r="H331" s="1140"/>
      <c r="I331" s="1140"/>
      <c r="J331" s="1140"/>
      <c r="K331" s="1140"/>
      <c r="L331" s="1140"/>
      <c r="M331" s="1142"/>
      <c r="N331" s="1140"/>
      <c r="O331" s="1143"/>
      <c r="P331" s="677"/>
      <c r="R331" s="680"/>
    </row>
    <row r="332" spans="1:18" ht="15">
      <c r="B332" s="1147"/>
      <c r="C332" s="1138" t="s">
        <v>518</v>
      </c>
      <c r="D332" s="1141"/>
      <c r="E332" s="1175">
        <f t="shared" ref="E332:M332" si="265">SUM(E330:E331)</f>
        <v>16370.899999999998</v>
      </c>
      <c r="F332" s="1175">
        <f t="shared" si="265"/>
        <v>0</v>
      </c>
      <c r="G332" s="1175">
        <f t="shared" si="265"/>
        <v>16370.899999999998</v>
      </c>
      <c r="H332" s="1175">
        <f t="shared" si="265"/>
        <v>0</v>
      </c>
      <c r="I332" s="1175">
        <f t="shared" si="265"/>
        <v>0</v>
      </c>
      <c r="J332" s="1175">
        <f t="shared" si="265"/>
        <v>16370.899999999998</v>
      </c>
      <c r="K332" s="1175">
        <f t="shared" si="265"/>
        <v>0</v>
      </c>
      <c r="L332" s="1175">
        <f t="shared" si="265"/>
        <v>11208.301934031801</v>
      </c>
      <c r="M332" s="1175">
        <f t="shared" si="265"/>
        <v>5162.5980659681954</v>
      </c>
      <c r="N332" s="1160"/>
      <c r="O332" s="1176">
        <f>SUM(O330:O331)</f>
        <v>16370.899999999996</v>
      </c>
      <c r="P332" s="677">
        <f t="shared" ref="P332:P334" si="266">ROUND(IF(((O332-J332)=0),0,(O332-J332)),2)</f>
        <v>0</v>
      </c>
      <c r="R332" s="680"/>
    </row>
    <row r="333" spans="1:18">
      <c r="B333" s="1146"/>
      <c r="C333" s="1144"/>
      <c r="D333" s="1141"/>
      <c r="E333" s="1140"/>
      <c r="F333" s="1140"/>
      <c r="G333" s="1140"/>
      <c r="H333" s="1140"/>
      <c r="I333" s="1140"/>
      <c r="J333" s="1140"/>
      <c r="K333" s="1140"/>
      <c r="L333" s="1140"/>
      <c r="M333" s="1142"/>
      <c r="N333" s="1140"/>
      <c r="O333" s="1143"/>
      <c r="P333" s="677">
        <f t="shared" si="266"/>
        <v>0</v>
      </c>
      <c r="R333" s="680"/>
    </row>
    <row r="334" spans="1:18" ht="15" customHeight="1" thickBot="1">
      <c r="B334" s="1147"/>
      <c r="C334" s="1138" t="s">
        <v>527</v>
      </c>
      <c r="D334" s="1195"/>
      <c r="E334" s="1212">
        <f t="shared" ref="E334:M334" si="267">E332+E328</f>
        <v>17928.259999999998</v>
      </c>
      <c r="F334" s="1212">
        <f t="shared" si="267"/>
        <v>0</v>
      </c>
      <c r="G334" s="1212">
        <f t="shared" si="267"/>
        <v>17928.259999999998</v>
      </c>
      <c r="H334" s="1212">
        <f t="shared" si="267"/>
        <v>0</v>
      </c>
      <c r="I334" s="1212">
        <f t="shared" si="267"/>
        <v>0</v>
      </c>
      <c r="J334" s="1212">
        <f t="shared" si="267"/>
        <v>17928.259999999998</v>
      </c>
      <c r="K334" s="1212">
        <f t="shared" si="267"/>
        <v>0</v>
      </c>
      <c r="L334" s="1212">
        <f t="shared" si="267"/>
        <v>12274.545152180086</v>
      </c>
      <c r="M334" s="1212">
        <f t="shared" si="267"/>
        <v>5653.7148478199097</v>
      </c>
      <c r="N334" s="1144"/>
      <c r="O334" s="1213">
        <f>O332+O328</f>
        <v>17928.259999999995</v>
      </c>
      <c r="P334" s="677">
        <f t="shared" si="266"/>
        <v>0</v>
      </c>
      <c r="R334" s="680"/>
    </row>
    <row r="335" spans="1:18" ht="15" thickTop="1">
      <c r="B335" s="1146"/>
      <c r="C335" s="1144"/>
      <c r="D335" s="1141"/>
      <c r="E335" s="1140"/>
      <c r="F335" s="1140"/>
      <c r="G335" s="1140"/>
      <c r="H335" s="1140"/>
      <c r="I335" s="1140"/>
      <c r="J335" s="1140"/>
      <c r="K335" s="1140"/>
      <c r="L335" s="1140"/>
      <c r="M335" s="1142"/>
      <c r="N335" s="1140"/>
      <c r="O335" s="1143"/>
      <c r="P335" s="677"/>
    </row>
    <row r="336" spans="1:18" ht="15">
      <c r="B336" s="1146"/>
      <c r="C336" s="1138" t="s">
        <v>488</v>
      </c>
      <c r="D336" s="1141"/>
      <c r="E336" s="1160">
        <f t="shared" ref="E336:M336" si="268">E334+E324+E291+E281+E268+E176+E152+E145+E135+E100</f>
        <v>18496915.760000002</v>
      </c>
      <c r="F336" s="1160">
        <f>F334+F324+F291+F281+F268+F176+F152+F145+F135+F100</f>
        <v>178339.25299886928</v>
      </c>
      <c r="G336" s="1160">
        <f t="shared" si="268"/>
        <v>18675255.012998868</v>
      </c>
      <c r="H336" s="1160">
        <f t="shared" si="268"/>
        <v>457663.51977428078</v>
      </c>
      <c r="I336" s="1160">
        <f t="shared" si="268"/>
        <v>139554.25599999999</v>
      </c>
      <c r="J336" s="1160">
        <f t="shared" si="268"/>
        <v>19272472.788773149</v>
      </c>
      <c r="K336" s="1160">
        <f t="shared" si="268"/>
        <v>0</v>
      </c>
      <c r="L336" s="1160">
        <f t="shared" si="268"/>
        <v>13299748.950588809</v>
      </c>
      <c r="M336" s="1160">
        <f t="shared" si="268"/>
        <v>5972723.8381843399</v>
      </c>
      <c r="N336" s="1144"/>
      <c r="O336" s="1161">
        <f>O334+O324+O291+O281+O268+O176+O152+O145+O135+O100</f>
        <v>19272472.788773149</v>
      </c>
      <c r="P336" s="677">
        <f t="shared" ref="P336:P340" si="269">ROUND(IF(((O336-J336)=0),0,(O336-J336)),2)</f>
        <v>0</v>
      </c>
    </row>
    <row r="337" spans="2:16" ht="15">
      <c r="B337" s="1146"/>
      <c r="C337" s="1138"/>
      <c r="D337" s="1141"/>
      <c r="E337" s="1140"/>
      <c r="F337" s="1140"/>
      <c r="G337" s="1140"/>
      <c r="H337" s="1140"/>
      <c r="I337" s="1166">
        <f>+'Automation Data'!B22+'Master IS (C)'!I336</f>
        <v>0</v>
      </c>
      <c r="J337" s="1140"/>
      <c r="K337" s="1140"/>
      <c r="L337" s="1140"/>
      <c r="M337" s="1140"/>
      <c r="N337" s="1144"/>
      <c r="O337" s="1143"/>
      <c r="P337" s="677">
        <f t="shared" si="269"/>
        <v>0</v>
      </c>
    </row>
    <row r="338" spans="2:16" ht="15">
      <c r="B338" s="1146"/>
      <c r="C338" s="1138" t="s">
        <v>173</v>
      </c>
      <c r="D338" s="1141"/>
      <c r="E338" s="1160">
        <f>E50-E336</f>
        <v>1749606.3000000007</v>
      </c>
      <c r="F338" s="1160"/>
      <c r="G338" s="1160"/>
      <c r="H338" s="1160"/>
      <c r="I338" s="1160"/>
      <c r="J338" s="1160">
        <f>J50-J336</f>
        <v>952913.47122684866</v>
      </c>
      <c r="K338" s="1160">
        <f>K50-K336</f>
        <v>0</v>
      </c>
      <c r="L338" s="1160">
        <f>L50-L336</f>
        <v>391587.28043112904</v>
      </c>
      <c r="M338" s="1160">
        <f>M50-M336</f>
        <v>561326.19079571962</v>
      </c>
      <c r="N338" s="1138"/>
      <c r="O338" s="1161">
        <f>O50-O336</f>
        <v>952913.47122684866</v>
      </c>
      <c r="P338" s="677">
        <f t="shared" si="269"/>
        <v>0</v>
      </c>
    </row>
    <row r="339" spans="2:16" ht="15">
      <c r="B339" s="1146"/>
      <c r="C339" s="1138"/>
      <c r="D339" s="1141"/>
      <c r="E339" s="1140"/>
      <c r="F339" s="1140"/>
      <c r="G339" s="1140"/>
      <c r="H339" s="1140"/>
      <c r="I339" s="1140"/>
      <c r="J339" s="1140"/>
      <c r="K339" s="1140"/>
      <c r="L339" s="1140"/>
      <c r="M339" s="1142"/>
      <c r="N339" s="1144"/>
      <c r="O339" s="1143"/>
      <c r="P339" s="677">
        <f t="shared" si="269"/>
        <v>0</v>
      </c>
    </row>
    <row r="340" spans="2:16" ht="15">
      <c r="B340" s="1181"/>
      <c r="C340" s="1182" t="s">
        <v>282</v>
      </c>
      <c r="D340" s="1141"/>
      <c r="E340" s="1183">
        <f>E336/E50</f>
        <v>0.91358484707570553</v>
      </c>
      <c r="F340" s="1183"/>
      <c r="G340" s="1183"/>
      <c r="H340" s="1183"/>
      <c r="I340" s="1183"/>
      <c r="J340" s="1183"/>
      <c r="K340" s="1183" t="e">
        <f>K336/K50</f>
        <v>#DIV/0!</v>
      </c>
      <c r="L340" s="1183">
        <f>L336/L50</f>
        <v>0.9713988997258044</v>
      </c>
      <c r="M340" s="1183">
        <f>M336/M50</f>
        <v>0.91409214984487341</v>
      </c>
      <c r="N340" s="1183"/>
      <c r="O340" s="1184">
        <f>O336/O50</f>
        <v>0.95288527699906345</v>
      </c>
      <c r="P340" s="677">
        <f t="shared" si="269"/>
        <v>0.95</v>
      </c>
    </row>
    <row r="341" spans="2:16">
      <c r="B341" s="1139"/>
      <c r="C341" s="1140"/>
      <c r="D341" s="1141"/>
      <c r="E341" s="1140"/>
      <c r="F341" s="1140"/>
      <c r="G341" s="1140"/>
      <c r="H341" s="1140"/>
      <c r="I341" s="1140"/>
      <c r="J341" s="1140"/>
      <c r="K341" s="1140"/>
      <c r="L341" s="1140"/>
      <c r="M341" s="1142"/>
      <c r="N341" s="1140"/>
      <c r="O341" s="1143"/>
    </row>
    <row r="342" spans="2:16">
      <c r="B342" s="1139"/>
      <c r="C342" s="1185" t="s">
        <v>532</v>
      </c>
      <c r="D342" s="1141"/>
      <c r="E342" s="1174">
        <f>+E338-'2195 IS (C)'!AH316</f>
        <v>0</v>
      </c>
      <c r="F342" s="1140"/>
      <c r="G342" s="1140"/>
      <c r="H342" s="1174"/>
      <c r="I342" s="1174"/>
      <c r="J342" s="1174"/>
      <c r="K342" s="1140"/>
      <c r="L342" s="1186">
        <f>+L336/$O$336</f>
        <v>0.69009042567367651</v>
      </c>
      <c r="M342" s="1142"/>
      <c r="N342" s="1140"/>
      <c r="O342" s="1143"/>
    </row>
    <row r="343" spans="2:16" ht="15" thickBot="1">
      <c r="B343" s="1187"/>
      <c r="C343" s="1188"/>
      <c r="D343" s="1189"/>
      <c r="E343" s="1188"/>
      <c r="F343" s="1188"/>
      <c r="G343" s="1188"/>
      <c r="H343" s="1188"/>
      <c r="I343" s="1188"/>
      <c r="J343" s="1188"/>
      <c r="K343" s="1188"/>
      <c r="L343" s="1188"/>
      <c r="M343" s="1190"/>
      <c r="N343" s="1188"/>
      <c r="O343" s="1191"/>
    </row>
    <row r="344" spans="2:16" ht="15" thickTop="1"/>
  </sheetData>
  <autoFilter ref="A22:P343" xr:uid="{00000000-0009-0000-0000-000001000000}"/>
  <customSheetViews>
    <customSheetView guid="{156AD3D1-5094-4CD1-83C8-30E58A5AFCB6}" scale="70" showPageBreaks="1" showGridLines="0" fitToPage="1" printArea="1" topLeftCell="A4">
      <pane xSplit="3" ySplit="18" topLeftCell="D322" activePane="bottomRight" state="frozen"/>
      <selection pane="bottomRight" activeCell="C333" sqref="C333:C334"/>
      <colBreaks count="1" manualBreakCount="1">
        <brk id="15" max="384" man="1"/>
      </colBreaks>
      <pageMargins left="0.75" right="0.75" top="1" bottom="1" header="0.5" footer="0.5"/>
      <printOptions gridLines="1"/>
      <pageSetup paperSize="17" scale="38" fitToHeight="0" orientation="landscape" r:id="rId1"/>
      <headerFooter alignWithMargins="0">
        <oddHeader>&amp;R&amp;F
&amp;A</oddHeader>
        <oddFooter>&amp;L&amp;D&amp;C&amp;P&amp;R&amp;T</oddFooter>
      </headerFooter>
    </customSheetView>
    <customSheetView guid="{591FF4D1-4D4D-4220-B124-BC7A16E8B120}" scale="90" showGridLines="0" fitToPage="1" topLeftCell="A4">
      <pane xSplit="3" ySplit="18" topLeftCell="D196" activePane="bottomRight" state="frozen"/>
      <selection pane="bottomRight" activeCell="J89" sqref="J89"/>
      <colBreaks count="1" manualBreakCount="1">
        <brk id="15" max="384" man="1"/>
      </colBreaks>
      <pageMargins left="0.75" right="0.75" top="1" bottom="1" header="0.5" footer="0.5"/>
      <printOptions gridLines="1"/>
      <pageSetup paperSize="17" scale="38" fitToHeight="0" orientation="landscape" r:id="rId2"/>
      <headerFooter alignWithMargins="0">
        <oddHeader>&amp;R&amp;F
&amp;A</oddHeader>
        <oddFooter>&amp;L&amp;D&amp;C&amp;P&amp;R&amp;T</oddFooter>
      </headerFooter>
    </customSheetView>
  </customSheetViews>
  <conditionalFormatting sqref="P212 P230 P241 P215 P197 P101 P199 P141 P87 P97 P70 P91 P123 P160 P113 P132 P179 P77 P104 P119 P162 P165 P167 P181 P187 P189 P201 P217 P232 P234 P203">
    <cfRule type="cellIs" dxfId="254" priority="349" operator="lessThan">
      <formula>-0.004999</formula>
    </cfRule>
    <cfRule type="cellIs" dxfId="253" priority="350" operator="greaterThan">
      <formula>0.004999</formula>
    </cfRule>
  </conditionalFormatting>
  <conditionalFormatting sqref="P36 P42 P44">
    <cfRule type="cellIs" dxfId="252" priority="292" operator="lessThan">
      <formula>-1</formula>
    </cfRule>
    <cfRule type="cellIs" dxfId="251" priority="293" operator="greaterThan">
      <formula>1</formula>
    </cfRule>
  </conditionalFormatting>
  <conditionalFormatting sqref="P290 P319 P331 P282 P292 P335 P327 P210 P309 P311 P278 P298 P301 P265 P296 P284 P317 P321">
    <cfRule type="cellIs" dxfId="250" priority="288" operator="lessThan">
      <formula>0</formula>
    </cfRule>
    <cfRule type="cellIs" dxfId="249" priority="289" operator="greaterThan">
      <formula>0</formula>
    </cfRule>
  </conditionalFormatting>
  <conditionalFormatting sqref="P47 P49:P53">
    <cfRule type="cellIs" dxfId="248" priority="176" operator="lessThan">
      <formula>-1</formula>
    </cfRule>
    <cfRule type="cellIs" dxfId="247" priority="177" operator="greaterThan">
      <formula>1</formula>
    </cfRule>
  </conditionalFormatting>
  <conditionalFormatting sqref="P173">
    <cfRule type="cellIs" dxfId="246" priority="174" operator="lessThan">
      <formula>-0.004999</formula>
    </cfRule>
    <cfRule type="cellIs" dxfId="245" priority="175" operator="greaterThan">
      <formula>0.004999</formula>
    </cfRule>
  </conditionalFormatting>
  <conditionalFormatting sqref="P150">
    <cfRule type="cellIs" dxfId="244" priority="164" operator="lessThan">
      <formula>-0.004999</formula>
    </cfRule>
    <cfRule type="cellIs" dxfId="243" priority="165" operator="greaterThan">
      <formula>0.004999</formula>
    </cfRule>
  </conditionalFormatting>
  <conditionalFormatting sqref="P286 P288:P289">
    <cfRule type="cellIs" dxfId="242" priority="160" operator="lessThan">
      <formula>0</formula>
    </cfRule>
    <cfRule type="cellIs" dxfId="241" priority="161" operator="greaterThan">
      <formula>0</formula>
    </cfRule>
  </conditionalFormatting>
  <conditionalFormatting sqref="B206">
    <cfRule type="duplicateValues" dxfId="240" priority="27"/>
  </conditionalFormatting>
  <conditionalFormatting sqref="B74">
    <cfRule type="duplicateValues" dxfId="239" priority="26"/>
  </conditionalFormatting>
  <conditionalFormatting sqref="B257">
    <cfRule type="duplicateValues" dxfId="238" priority="23"/>
  </conditionalFormatting>
  <conditionalFormatting sqref="B259">
    <cfRule type="duplicateValues" dxfId="237" priority="22"/>
  </conditionalFormatting>
  <conditionalFormatting sqref="B131">
    <cfRule type="duplicateValues" dxfId="236" priority="21"/>
  </conditionalFormatting>
  <conditionalFormatting sqref="B40">
    <cfRule type="duplicateValues" dxfId="235" priority="18"/>
  </conditionalFormatting>
  <conditionalFormatting sqref="B139">
    <cfRule type="duplicateValues" dxfId="234" priority="17"/>
  </conditionalFormatting>
  <conditionalFormatting sqref="B81">
    <cfRule type="duplicateValues" dxfId="233" priority="16"/>
  </conditionalFormatting>
  <conditionalFormatting sqref="B65">
    <cfRule type="duplicateValues" dxfId="232" priority="15"/>
  </conditionalFormatting>
  <conditionalFormatting sqref="B67">
    <cfRule type="duplicateValues" dxfId="231" priority="14"/>
  </conditionalFormatting>
  <conditionalFormatting sqref="B171">
    <cfRule type="duplicateValues" dxfId="230" priority="13"/>
  </conditionalFormatting>
  <conditionalFormatting sqref="B130">
    <cfRule type="duplicateValues" dxfId="229" priority="12"/>
  </conditionalFormatting>
  <conditionalFormatting sqref="B205">
    <cfRule type="duplicateValues" dxfId="228" priority="11"/>
  </conditionalFormatting>
  <conditionalFormatting sqref="B86">
    <cfRule type="duplicateValues" dxfId="227" priority="10"/>
  </conditionalFormatting>
  <conditionalFormatting sqref="B245">
    <cfRule type="duplicateValues" dxfId="226" priority="9"/>
  </conditionalFormatting>
  <conditionalFormatting sqref="B250">
    <cfRule type="duplicateValues" dxfId="225" priority="8"/>
  </conditionalFormatting>
  <conditionalFormatting sqref="B253:B254">
    <cfRule type="duplicateValues" dxfId="224" priority="7"/>
  </conditionalFormatting>
  <conditionalFormatting sqref="B262">
    <cfRule type="duplicateValues" dxfId="223" priority="6"/>
  </conditionalFormatting>
  <conditionalFormatting sqref="B236">
    <cfRule type="duplicateValues" dxfId="222" priority="5"/>
  </conditionalFormatting>
  <conditionalFormatting sqref="B263">
    <cfRule type="duplicateValues" dxfId="221" priority="4"/>
  </conditionalFormatting>
  <conditionalFormatting sqref="B264:B1048576 B258 B75:B80 B132:B138 B207:B235 B260:B261 B41:B64 B140:B170 B82:B85 B66 B68:B73 B172:B204 B87:B129 B246:B249 B251:B252 B255:B256 B237:B244 D4 F4 H4 J4 L4 N4 P4 B1:B39">
    <cfRule type="duplicateValues" dxfId="220" priority="351"/>
  </conditionalFormatting>
  <dataValidations count="1">
    <dataValidation type="list" allowBlank="1" showInputMessage="1" showErrorMessage="1" sqref="D24:D32 D34:D330" xr:uid="{00000000-0002-0000-0100-000000000000}">
      <formula1>$E$10:$E$18</formula1>
    </dataValidation>
  </dataValidations>
  <pageMargins left="0.75" right="0.75" top="1" bottom="1" header="0.5" footer="0.5"/>
  <pageSetup paperSize="17" scale="70" fitToHeight="0" orientation="landscape" r:id="rId3"/>
  <headerFooter alignWithMargins="0">
    <oddHeader>&amp;C&amp;"-,Bold"&amp;KFF0000TEXT IN RED BOX CONFIDENTIAL PER WAC 480-07-160&amp;"-,Regular"&amp;K01+000
&amp;R&amp;F
&amp;A</oddHeader>
    <oddFooter>&amp;L&amp;D&amp;C&amp;P&amp;R&amp;T</oddFooter>
  </headerFooter>
  <colBreaks count="1" manualBreakCount="1">
    <brk id="15" max="384" man="1"/>
  </colBreaks>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8" tint="0.59999389629810485"/>
  </sheetPr>
  <dimension ref="A1:AV112"/>
  <sheetViews>
    <sheetView showGridLines="0" showOutlineSymbols="0" view="pageBreakPreview" zoomScale="70" zoomScaleNormal="70" zoomScaleSheetLayoutView="70" workbookViewId="0">
      <selection activeCell="AL35" sqref="AL35"/>
    </sheetView>
  </sheetViews>
  <sheetFormatPr defaultColWidth="16.7109375" defaultRowHeight="15"/>
  <cols>
    <col min="1" max="1" width="4.85546875" style="104" customWidth="1"/>
    <col min="2" max="2" width="33.5703125" style="139" bestFit="1" customWidth="1"/>
    <col min="3" max="3" width="21.28515625" style="139" customWidth="1"/>
    <col min="4" max="4" width="21.28515625" style="139" hidden="1" customWidth="1"/>
    <col min="5" max="5" width="7.28515625" style="139" customWidth="1"/>
    <col min="6" max="6" width="5.7109375" style="104" customWidth="1"/>
    <col min="7" max="7" width="8.5703125" style="104" customWidth="1"/>
    <col min="8" max="8" width="15" style="104" customWidth="1"/>
    <col min="9" max="9" width="17.7109375" style="104" customWidth="1"/>
    <col min="10" max="10" width="17.28515625" style="104" bestFit="1" customWidth="1"/>
    <col min="11" max="11" width="15.140625" style="104" bestFit="1" customWidth="1"/>
    <col min="12" max="13" width="20.28515625" style="104" customWidth="1"/>
    <col min="14" max="14" width="2.42578125" style="104" customWidth="1"/>
    <col min="15" max="15" width="6.28515625" style="139" customWidth="1"/>
    <col min="16" max="16" width="40.42578125" style="139" customWidth="1"/>
    <col min="17" max="17" width="16.7109375" style="105"/>
    <col min="18" max="18" width="13.85546875" style="111" customWidth="1"/>
    <col min="19" max="19" width="16.7109375" style="104"/>
    <col min="20" max="20" width="13.42578125" style="104" customWidth="1"/>
    <col min="21" max="21" width="15.7109375" style="104" customWidth="1"/>
    <col min="22" max="22" width="16.7109375" style="104"/>
    <col min="23" max="26" width="17.7109375" style="104" customWidth="1"/>
    <col min="27" max="27" width="16" style="104" customWidth="1"/>
    <col min="28" max="28" width="16.7109375" style="104"/>
    <col min="29" max="29" width="15.85546875" style="104" customWidth="1"/>
    <col min="30" max="31" width="16.7109375" style="104"/>
    <col min="32" max="32" width="16.42578125" style="104" customWidth="1"/>
    <col min="33" max="33" width="17.28515625" style="104" customWidth="1"/>
    <col min="34" max="34" width="20.7109375" style="104" customWidth="1"/>
    <col min="35" max="35" width="18.140625" style="104" customWidth="1"/>
    <col min="36" max="36" width="16.42578125" style="104" customWidth="1"/>
    <col min="37" max="37" width="16.7109375" style="104"/>
    <col min="38" max="38" width="13.85546875" style="104" customWidth="1"/>
    <col min="39" max="39" width="16.42578125" style="104" customWidth="1"/>
    <col min="40" max="51" width="15.140625" style="104" customWidth="1"/>
    <col min="52" max="16384" width="16.7109375" style="104"/>
  </cols>
  <sheetData>
    <row r="1" spans="1:37" s="99" customFormat="1" ht="15.75" thickBot="1">
      <c r="A1" s="94"/>
      <c r="B1" s="95"/>
      <c r="C1" s="95"/>
      <c r="D1" s="95"/>
      <c r="E1" s="95"/>
      <c r="F1" s="95"/>
      <c r="G1" s="95"/>
      <c r="H1" s="95"/>
      <c r="I1" s="96"/>
      <c r="J1" s="96"/>
      <c r="K1" s="96"/>
      <c r="L1" s="96"/>
      <c r="M1" s="96"/>
      <c r="N1" s="96"/>
      <c r="O1" s="95"/>
      <c r="P1" s="95"/>
      <c r="Q1" s="97"/>
      <c r="R1" s="98"/>
    </row>
    <row r="2" spans="1:37" ht="19.5" thickBot="1">
      <c r="A2" s="94"/>
      <c r="B2" s="1068" t="s">
        <v>297</v>
      </c>
      <c r="C2" s="1068"/>
      <c r="D2" s="94"/>
      <c r="E2" s="94"/>
      <c r="F2" s="100" t="s">
        <v>298</v>
      </c>
      <c r="G2" s="101"/>
      <c r="H2" s="101"/>
      <c r="I2" s="102" t="s">
        <v>405</v>
      </c>
      <c r="J2" s="101"/>
      <c r="K2" s="101"/>
      <c r="L2" s="101"/>
      <c r="M2" s="103" t="s">
        <v>298</v>
      </c>
      <c r="O2" s="94"/>
      <c r="P2" s="95"/>
      <c r="R2" s="416" t="s">
        <v>299</v>
      </c>
      <c r="S2" s="450"/>
      <c r="T2" s="451"/>
      <c r="AH2" s="1069" t="s">
        <v>406</v>
      </c>
      <c r="AI2" s="1070"/>
      <c r="AJ2" s="1070"/>
      <c r="AK2" s="1071"/>
    </row>
    <row r="3" spans="1:37" ht="16.5" thickBot="1">
      <c r="A3" s="94"/>
      <c r="B3" s="94"/>
      <c r="C3" s="94"/>
      <c r="D3" s="94"/>
      <c r="E3" s="94"/>
      <c r="F3" s="107"/>
      <c r="G3" s="108"/>
      <c r="H3" s="109"/>
      <c r="I3" s="109"/>
      <c r="J3" s="109"/>
      <c r="K3" s="110" t="s">
        <v>407</v>
      </c>
      <c r="L3" s="109"/>
      <c r="M3" s="110" t="s">
        <v>300</v>
      </c>
      <c r="O3" s="94"/>
      <c r="P3" s="95"/>
      <c r="R3" s="104"/>
      <c r="T3" s="104" t="s">
        <v>301</v>
      </c>
      <c r="V3" s="111" t="s">
        <v>301</v>
      </c>
      <c r="W3" s="111" t="s">
        <v>301</v>
      </c>
      <c r="X3" s="111" t="s">
        <v>301</v>
      </c>
      <c r="Y3" s="111"/>
      <c r="Z3" s="111" t="s">
        <v>232</v>
      </c>
      <c r="AA3" s="111" t="s">
        <v>302</v>
      </c>
      <c r="AB3" s="111" t="s">
        <v>302</v>
      </c>
      <c r="AC3" s="111" t="s">
        <v>302</v>
      </c>
      <c r="AD3" s="111" t="s">
        <v>302</v>
      </c>
      <c r="AE3" s="111" t="s">
        <v>302</v>
      </c>
      <c r="AF3" s="111" t="s">
        <v>302</v>
      </c>
      <c r="AG3" s="111" t="s">
        <v>303</v>
      </c>
      <c r="AH3" s="111" t="s">
        <v>45</v>
      </c>
      <c r="AI3" s="111" t="s">
        <v>408</v>
      </c>
      <c r="AJ3" s="111"/>
    </row>
    <row r="4" spans="1:37" ht="19.5" thickBot="1">
      <c r="A4" s="94"/>
      <c r="B4" s="237" t="s">
        <v>304</v>
      </c>
      <c r="C4" s="102"/>
      <c r="D4" s="112"/>
      <c r="E4" s="94"/>
      <c r="F4" s="113"/>
      <c r="G4" s="108"/>
      <c r="H4" s="109" t="s">
        <v>305</v>
      </c>
      <c r="I4" s="109" t="s">
        <v>306</v>
      </c>
      <c r="J4" s="109" t="s">
        <v>307</v>
      </c>
      <c r="K4" s="109" t="s">
        <v>308</v>
      </c>
      <c r="L4" s="109" t="s">
        <v>309</v>
      </c>
      <c r="M4" s="109" t="s">
        <v>310</v>
      </c>
      <c r="O4" s="114"/>
      <c r="P4" s="95"/>
      <c r="R4" s="104"/>
      <c r="T4" s="111" t="s">
        <v>311</v>
      </c>
      <c r="V4" s="111" t="s">
        <v>312</v>
      </c>
      <c r="W4" s="111" t="s">
        <v>232</v>
      </c>
      <c r="X4" s="111" t="s">
        <v>313</v>
      </c>
      <c r="Y4" s="111" t="s">
        <v>314</v>
      </c>
      <c r="Z4" s="111" t="s">
        <v>313</v>
      </c>
      <c r="AA4" s="111" t="s">
        <v>315</v>
      </c>
      <c r="AB4" s="111" t="s">
        <v>315</v>
      </c>
      <c r="AC4" s="111" t="s">
        <v>315</v>
      </c>
      <c r="AD4" s="111" t="s">
        <v>232</v>
      </c>
      <c r="AE4" s="111" t="s">
        <v>311</v>
      </c>
      <c r="AF4" s="111" t="s">
        <v>311</v>
      </c>
      <c r="AG4" s="111" t="s">
        <v>316</v>
      </c>
      <c r="AH4" s="111" t="s">
        <v>409</v>
      </c>
      <c r="AI4" s="111" t="s">
        <v>410</v>
      </c>
      <c r="AJ4" s="111" t="s">
        <v>317</v>
      </c>
      <c r="AK4" s="111" t="s">
        <v>411</v>
      </c>
    </row>
    <row r="5" spans="1:37" ht="15.75">
      <c r="A5" s="94"/>
      <c r="B5" s="115" t="s">
        <v>318</v>
      </c>
      <c r="C5" s="238">
        <f>+'Yakima LOB (C)'!G41</f>
        <v>86804.101387087765</v>
      </c>
      <c r="D5" s="112"/>
      <c r="E5" s="94"/>
      <c r="F5" s="116" t="s">
        <v>319</v>
      </c>
      <c r="G5" s="117"/>
      <c r="H5" s="117"/>
      <c r="I5" s="109" t="s">
        <v>320</v>
      </c>
      <c r="J5" s="109" t="s">
        <v>45</v>
      </c>
      <c r="K5" s="118" t="s">
        <v>412</v>
      </c>
      <c r="L5" s="452" t="s">
        <v>321</v>
      </c>
      <c r="M5" s="118" t="s">
        <v>45</v>
      </c>
      <c r="O5" s="106"/>
      <c r="P5" s="95"/>
      <c r="R5" s="119"/>
      <c r="T5" s="111" t="s">
        <v>322</v>
      </c>
      <c r="U5" s="111" t="s">
        <v>323</v>
      </c>
      <c r="V5" s="111" t="s">
        <v>324</v>
      </c>
      <c r="W5" s="111" t="s">
        <v>325</v>
      </c>
      <c r="X5" s="111" t="s">
        <v>210</v>
      </c>
      <c r="Y5" s="111" t="s">
        <v>326</v>
      </c>
      <c r="Z5" s="111" t="s">
        <v>210</v>
      </c>
      <c r="AA5" s="111" t="s">
        <v>327</v>
      </c>
      <c r="AB5" s="111" t="s">
        <v>328</v>
      </c>
      <c r="AC5" s="111" t="s">
        <v>329</v>
      </c>
      <c r="AD5" s="111" t="s">
        <v>330</v>
      </c>
      <c r="AE5" s="111" t="s">
        <v>322</v>
      </c>
      <c r="AF5" s="111" t="s">
        <v>282</v>
      </c>
      <c r="AG5" s="111" t="s">
        <v>172</v>
      </c>
      <c r="AH5" s="111" t="s">
        <v>374</v>
      </c>
      <c r="AI5" s="111" t="s">
        <v>374</v>
      </c>
      <c r="AJ5" s="111" t="s">
        <v>172</v>
      </c>
      <c r="AK5" s="111" t="s">
        <v>303</v>
      </c>
    </row>
    <row r="6" spans="1:37" ht="15.75">
      <c r="A6" s="94"/>
      <c r="B6" s="115" t="s">
        <v>331</v>
      </c>
      <c r="C6" s="238">
        <f>+'Yakima LOB (C)'!G327</f>
        <v>72459.352574521152</v>
      </c>
      <c r="D6" s="112"/>
      <c r="E6" s="94"/>
      <c r="F6" s="120" t="s">
        <v>332</v>
      </c>
      <c r="G6" s="117"/>
      <c r="H6" s="117"/>
      <c r="I6" s="121"/>
      <c r="J6" s="122" t="s">
        <v>333</v>
      </c>
      <c r="K6" s="123"/>
      <c r="L6" s="122" t="s">
        <v>334</v>
      </c>
      <c r="M6" s="122" t="s">
        <v>335</v>
      </c>
      <c r="O6" s="106"/>
      <c r="P6" s="95"/>
      <c r="R6" s="413">
        <v>1</v>
      </c>
      <c r="S6" s="404">
        <f>Revenue/Investment*100</f>
        <v>335.85671959685845</v>
      </c>
      <c r="T6" s="412">
        <f>EXP(y_inter1-(slope*LN(+S6)))</f>
        <v>7.1618604691998575</v>
      </c>
      <c r="U6" s="411">
        <f>(+S6*T6/100)/100</f>
        <v>0.24053589633958819</v>
      </c>
      <c r="V6" s="411">
        <f>regDebt_weighted</f>
        <v>3.5860000000000003E-2</v>
      </c>
      <c r="W6" s="411">
        <f>+U6-V6</f>
        <v>0.20467589633958819</v>
      </c>
      <c r="X6" s="411">
        <f>+((W6*(1-0.34))-Pfd_weighted)/Equity_percent</f>
        <v>0.37469794065153544</v>
      </c>
      <c r="Y6" s="411">
        <f>+C15</f>
        <v>2.5000000000000001E-3</v>
      </c>
      <c r="Z6" s="411">
        <f>+X6+Y6</f>
        <v>0.37719794065153545</v>
      </c>
      <c r="AA6" s="411">
        <f>Z6*equityP</f>
        <v>0.21909771848024429</v>
      </c>
      <c r="AB6" s="411">
        <f>+AA6/(1-taxrate)</f>
        <v>0.27733888415220792</v>
      </c>
      <c r="AC6" s="411">
        <f>debtP*Debt_Rate</f>
        <v>1.3521189462017025E-2</v>
      </c>
      <c r="AD6" s="411">
        <f>AC6+AB6</f>
        <v>0.29086007361422495</v>
      </c>
      <c r="AE6" s="411">
        <f>AD6/(S6/100)</f>
        <v>8.6602427953013816E-2</v>
      </c>
      <c r="AF6" s="411">
        <f>1-AE6</f>
        <v>0.91339757204698624</v>
      </c>
      <c r="AG6" s="408">
        <f>expenses/(AF6)</f>
        <v>79329.477975439324</v>
      </c>
      <c r="AH6" s="410">
        <f>+AG6-Revenue</f>
        <v>-7474.6234116484411</v>
      </c>
      <c r="AI6" s="409">
        <f ca="1">+AH6/$J$49</f>
        <v>-8433.3717268160544</v>
      </c>
      <c r="AJ6" s="409">
        <f ca="1">+AI6*$J$47</f>
        <v>-214.29997914748191</v>
      </c>
      <c r="AK6" s="408">
        <f ca="1">ROUND(+AJ6+AG6,5)</f>
        <v>79115.178</v>
      </c>
    </row>
    <row r="7" spans="1:37" ht="15.75">
      <c r="A7" s="94"/>
      <c r="B7" s="115" t="s">
        <v>292</v>
      </c>
      <c r="C7" s="238">
        <f>+'Yakima LOB (C)'!G334</f>
        <v>25845.575307018429</v>
      </c>
      <c r="D7" s="112"/>
      <c r="E7" s="94"/>
      <c r="F7" s="415">
        <v>1</v>
      </c>
      <c r="G7" s="117"/>
      <c r="H7" s="124" t="s">
        <v>318</v>
      </c>
      <c r="I7" s="125">
        <f>IF(A64=TRUE,C5,0)</f>
        <v>86804.101387087765</v>
      </c>
      <c r="J7" s="125">
        <f ca="1">(+$I8/($R50))-I7</f>
        <v>-7349.5720497032889</v>
      </c>
      <c r="K7" s="125">
        <f ca="1">+I7+J7</f>
        <v>79454.529337384476</v>
      </c>
      <c r="L7" s="125">
        <f ca="1">((+J7/J49*K35)-J7)</f>
        <v>-210.71471434130581</v>
      </c>
      <c r="M7" s="125">
        <f ca="1">IFERROR(+K7+L7,0.00001)</f>
        <v>79243.814623043174</v>
      </c>
      <c r="O7" s="106"/>
      <c r="P7" s="95"/>
      <c r="R7" s="126">
        <v>2</v>
      </c>
      <c r="S7" s="127">
        <f>Revenue/Investment*100</f>
        <v>335.85671959685845</v>
      </c>
      <c r="T7" s="128">
        <f>EXP(y_inter1-(slope*LN(+S7)))</f>
        <v>7.1618604691998575</v>
      </c>
      <c r="U7" s="129">
        <f t="shared" ref="U7:U9" si="0">(+S7*T7/100)/100</f>
        <v>0.24053589633958819</v>
      </c>
      <c r="V7" s="129">
        <f>regDebt_weighted</f>
        <v>3.5860000000000003E-2</v>
      </c>
      <c r="W7" s="129">
        <f t="shared" ref="W7:W9" si="1">+U7-V7</f>
        <v>0.20467589633958819</v>
      </c>
      <c r="X7" s="129">
        <f>+((W7*(1-0.34))-Pfd_weighted)/Equity_percent</f>
        <v>0.37469794065153544</v>
      </c>
      <c r="Y7" s="129">
        <f>+Y6</f>
        <v>2.5000000000000001E-3</v>
      </c>
      <c r="Z7" s="129">
        <f>+X7+Y7</f>
        <v>0.37719794065153545</v>
      </c>
      <c r="AA7" s="129">
        <f>Z7*equityP</f>
        <v>0.21909771848024429</v>
      </c>
      <c r="AB7" s="129">
        <f>+AA7/(1-taxrate)</f>
        <v>0.27733888415220792</v>
      </c>
      <c r="AC7" s="129">
        <f>debtP*Debt_Rate</f>
        <v>1.3521189462017025E-2</v>
      </c>
      <c r="AD7" s="129">
        <f t="shared" ref="AD7:AD9" si="2">AC7+AB7</f>
        <v>0.29086007361422495</v>
      </c>
      <c r="AE7" s="129">
        <f t="shared" ref="AE7:AE9" si="3">AD7/(S7/100)</f>
        <v>8.6602427953013816E-2</v>
      </c>
      <c r="AF7" s="129">
        <f t="shared" ref="AF7:AF9" si="4">1-AE7</f>
        <v>0.91339757204698624</v>
      </c>
      <c r="AG7" s="130">
        <f>expenses/(AF7)</f>
        <v>79329.477975439324</v>
      </c>
      <c r="AH7" s="239">
        <f>+AG7-Revenue</f>
        <v>-7474.6234116484411</v>
      </c>
      <c r="AI7" s="131">
        <f ca="1">+AH7/$J$49</f>
        <v>-8433.3717268160544</v>
      </c>
      <c r="AJ7" s="131">
        <f ca="1">+AI7*$J$47</f>
        <v>-214.29997914748191</v>
      </c>
      <c r="AK7" s="130">
        <f t="shared" ref="AK7:AK9" ca="1" si="5">ROUND(+AJ7+AG7,5)</f>
        <v>79115.178</v>
      </c>
    </row>
    <row r="8" spans="1:37" ht="15.75">
      <c r="A8" s="94"/>
      <c r="B8" s="115" t="s">
        <v>336</v>
      </c>
      <c r="C8" s="453">
        <f>+'Corp BS &amp; IS'!$K$5</f>
        <v>0.41914391658184569</v>
      </c>
      <c r="D8" s="112"/>
      <c r="E8" s="94"/>
      <c r="F8" s="132">
        <f>+F7+1</f>
        <v>2</v>
      </c>
      <c r="G8" s="117"/>
      <c r="H8" s="124" t="s">
        <v>331</v>
      </c>
      <c r="I8" s="125">
        <f>IF(A64=TRUE,C6,0)</f>
        <v>72459.352574521152</v>
      </c>
      <c r="J8" s="108"/>
      <c r="K8" s="125">
        <f>+I8</f>
        <v>72459.352574521152</v>
      </c>
      <c r="L8" s="125">
        <f ca="1">+L7</f>
        <v>-210.71471434130581</v>
      </c>
      <c r="M8" s="125">
        <f ca="1">IFERROR(+K8+L8,0.00001)</f>
        <v>72248.63786017985</v>
      </c>
      <c r="O8" s="106"/>
      <c r="P8" s="95"/>
      <c r="R8" s="133">
        <v>3</v>
      </c>
      <c r="S8" s="127">
        <f>Revenue/Investment*100</f>
        <v>335.85671959685845</v>
      </c>
      <c r="T8" s="128">
        <f>EXP(y_inter1-(slope*LN(+S8)))</f>
        <v>7.1618604691998575</v>
      </c>
      <c r="U8" s="129">
        <f t="shared" si="0"/>
        <v>0.24053589633958819</v>
      </c>
      <c r="V8" s="129">
        <f>regDebt_weighted</f>
        <v>3.5860000000000003E-2</v>
      </c>
      <c r="W8" s="129">
        <f t="shared" si="1"/>
        <v>0.20467589633958819</v>
      </c>
      <c r="X8" s="129">
        <f>+((W8*(1-0.34))-Pfd_weighted)/Equity_percent</f>
        <v>0.37469794065153544</v>
      </c>
      <c r="Y8" s="129">
        <f>+Y7</f>
        <v>2.5000000000000001E-3</v>
      </c>
      <c r="Z8" s="129">
        <f t="shared" ref="Z8:Z9" si="6">+X8+Y8</f>
        <v>0.37719794065153545</v>
      </c>
      <c r="AA8" s="129">
        <f>Z8*equityP</f>
        <v>0.21909771848024429</v>
      </c>
      <c r="AB8" s="129">
        <f>+AA8/(1-taxrate)</f>
        <v>0.27733888415220792</v>
      </c>
      <c r="AC8" s="129">
        <f>debtP*Debt_Rate</f>
        <v>1.3521189462017025E-2</v>
      </c>
      <c r="AD8" s="129">
        <f t="shared" si="2"/>
        <v>0.29086007361422495</v>
      </c>
      <c r="AE8" s="129">
        <f t="shared" si="3"/>
        <v>8.6602427953013816E-2</v>
      </c>
      <c r="AF8" s="129">
        <f t="shared" si="4"/>
        <v>0.91339757204698624</v>
      </c>
      <c r="AG8" s="130">
        <f>expenses/(AF8)</f>
        <v>79329.477975439324</v>
      </c>
      <c r="AH8" s="239">
        <f>+AG8-Revenue</f>
        <v>-7474.6234116484411</v>
      </c>
      <c r="AI8" s="131">
        <f ca="1">+AH8/$J$49</f>
        <v>-8433.3717268160544</v>
      </c>
      <c r="AJ8" s="131">
        <f ca="1">+AI8*$J$47</f>
        <v>-214.29997914748191</v>
      </c>
      <c r="AK8" s="130">
        <f t="shared" ca="1" si="5"/>
        <v>79115.178</v>
      </c>
    </row>
    <row r="9" spans="1:37" ht="15.75">
      <c r="A9" s="94"/>
      <c r="B9" s="115" t="s">
        <v>337</v>
      </c>
      <c r="C9" s="453">
        <f>+'Corp BS &amp; IS'!$J$14</f>
        <v>3.2259061690035909E-2</v>
      </c>
      <c r="D9" s="112"/>
      <c r="E9" s="94"/>
      <c r="F9" s="132">
        <f t="shared" ref="F9:F49" si="7">+F8+1</f>
        <v>3</v>
      </c>
      <c r="G9" s="117"/>
      <c r="H9" s="124" t="s">
        <v>338</v>
      </c>
      <c r="I9" s="454">
        <f>+I7-I8</f>
        <v>14344.748812566613</v>
      </c>
      <c r="J9" s="108"/>
      <c r="K9" s="454">
        <f ca="1">+K7-K8</f>
        <v>6995.1767628633243</v>
      </c>
      <c r="L9" s="117"/>
      <c r="M9" s="455">
        <f ca="1">+M7-M8</f>
        <v>6995.1767628633243</v>
      </c>
      <c r="O9" s="106"/>
      <c r="P9" s="95"/>
      <c r="R9" s="134">
        <v>4</v>
      </c>
      <c r="S9" s="127">
        <f>Revenue/Investment*100</f>
        <v>335.85671959685845</v>
      </c>
      <c r="T9" s="128">
        <f>EXP(y_inter1-(slope*LN(+S9)))</f>
        <v>7.1618604691998575</v>
      </c>
      <c r="U9" s="129">
        <f t="shared" si="0"/>
        <v>0.24053589633958819</v>
      </c>
      <c r="V9" s="129">
        <f>regDebt_weighted</f>
        <v>3.5860000000000003E-2</v>
      </c>
      <c r="W9" s="129">
        <f t="shared" si="1"/>
        <v>0.20467589633958819</v>
      </c>
      <c r="X9" s="129">
        <f>+((W9*(1-0.34))-Pfd_weighted)/Equity_percent</f>
        <v>0.37469794065153544</v>
      </c>
      <c r="Y9" s="129">
        <f>+Y8</f>
        <v>2.5000000000000001E-3</v>
      </c>
      <c r="Z9" s="129">
        <f t="shared" si="6"/>
        <v>0.37719794065153545</v>
      </c>
      <c r="AA9" s="129">
        <f>Z9*equityP</f>
        <v>0.21909771848024429</v>
      </c>
      <c r="AB9" s="129">
        <f>+AA9/(1-taxrate)</f>
        <v>0.27733888415220792</v>
      </c>
      <c r="AC9" s="129">
        <f>debtP*Debt_Rate</f>
        <v>1.3521189462017025E-2</v>
      </c>
      <c r="AD9" s="129">
        <f t="shared" si="2"/>
        <v>0.29086007361422495</v>
      </c>
      <c r="AE9" s="129">
        <f t="shared" si="3"/>
        <v>8.6602427953013816E-2</v>
      </c>
      <c r="AF9" s="129">
        <f t="shared" si="4"/>
        <v>0.91339757204698624</v>
      </c>
      <c r="AG9" s="130">
        <f>expenses/(AF9)</f>
        <v>79329.477975439324</v>
      </c>
      <c r="AH9" s="239">
        <f>+AG9-Revenue</f>
        <v>-7474.6234116484411</v>
      </c>
      <c r="AI9" s="131">
        <f ca="1">+AH9/$J$49</f>
        <v>-8433.3717268160544</v>
      </c>
      <c r="AJ9" s="131">
        <f ca="1">+AI9*$J$47</f>
        <v>-214.29997914748191</v>
      </c>
      <c r="AK9" s="130">
        <f t="shared" ca="1" si="5"/>
        <v>79115.178</v>
      </c>
    </row>
    <row r="10" spans="1:37" ht="15.75">
      <c r="A10" s="94"/>
      <c r="B10" s="135" t="s">
        <v>413</v>
      </c>
      <c r="C10" s="453">
        <v>0.21</v>
      </c>
      <c r="D10" s="112"/>
      <c r="E10" s="94"/>
      <c r="F10" s="132">
        <f t="shared" si="7"/>
        <v>4</v>
      </c>
      <c r="G10" s="117"/>
      <c r="H10" s="117"/>
      <c r="I10" s="108"/>
      <c r="J10" s="108"/>
      <c r="K10" s="125"/>
      <c r="L10" s="117"/>
      <c r="M10" s="117"/>
      <c r="O10" s="106"/>
      <c r="P10" s="94"/>
      <c r="R10" s="111" t="s">
        <v>339</v>
      </c>
    </row>
    <row r="11" spans="1:37" ht="15.75">
      <c r="A11" s="94"/>
      <c r="B11" s="115" t="s">
        <v>340</v>
      </c>
      <c r="C11" s="453">
        <v>1.7500000000000002E-2</v>
      </c>
      <c r="D11" s="112"/>
      <c r="E11" s="94"/>
      <c r="F11" s="132">
        <f t="shared" si="7"/>
        <v>5</v>
      </c>
      <c r="G11" s="117"/>
      <c r="H11" s="124" t="s">
        <v>204</v>
      </c>
      <c r="I11" s="125">
        <f>+K11</f>
        <v>349.46292048102498</v>
      </c>
      <c r="J11" s="108"/>
      <c r="K11" s="125">
        <f>+M27</f>
        <v>349.46292048102498</v>
      </c>
      <c r="L11" s="117"/>
      <c r="M11" s="125">
        <f>+K11</f>
        <v>349.46292048102498</v>
      </c>
      <c r="O11" s="106"/>
      <c r="P11" s="94"/>
      <c r="R11" s="413">
        <v>1</v>
      </c>
      <c r="S11" s="404">
        <f ca="1">IF((AK6/Investment*100)&gt;0,(AK6/Investment*100),0)</f>
        <v>306.10724296207127</v>
      </c>
      <c r="T11" s="412">
        <f ca="1">EXP(y_inter1-(slope*LN(S11)))</f>
        <v>7.3649722017995432</v>
      </c>
      <c r="U11" s="411">
        <f ca="1">(+S11*T11/100)/100</f>
        <v>0.22544713351851539</v>
      </c>
      <c r="V11" s="411">
        <f>regDebt_weighted</f>
        <v>3.5860000000000003E-2</v>
      </c>
      <c r="W11" s="411">
        <f ca="1">+U11-V11</f>
        <v>0.18958713351851539</v>
      </c>
      <c r="X11" s="411">
        <f ca="1">+((W11*(1-0.34))-Pfd_weighted)/Equity_percent</f>
        <v>0.34574857012273302</v>
      </c>
      <c r="Y11" s="411">
        <f>+Y9</f>
        <v>2.5000000000000001E-3</v>
      </c>
      <c r="Z11" s="411">
        <f ca="1">+X11+Y11</f>
        <v>0.34824857012273303</v>
      </c>
      <c r="AA11" s="411">
        <f ca="1">Z11*equityP</f>
        <v>0.20228230049746318</v>
      </c>
      <c r="AB11" s="411">
        <f ca="1">+AA11/(1-taxrate)</f>
        <v>0.25605354493349769</v>
      </c>
      <c r="AC11" s="411">
        <f>debtP*Debt_Rate</f>
        <v>1.3521189462017025E-2</v>
      </c>
      <c r="AD11" s="411">
        <f ca="1">+AC11+AB11</f>
        <v>0.26957473439551471</v>
      </c>
      <c r="AE11" s="411">
        <f ca="1">+AD11/(S11/100)</f>
        <v>8.8065454377019375E-2</v>
      </c>
      <c r="AF11" s="411">
        <f ca="1">1-AE11</f>
        <v>0.9119345456229806</v>
      </c>
      <c r="AG11" s="408">
        <f ca="1">expenses/(AF11)</f>
        <v>79456.7471122844</v>
      </c>
      <c r="AH11" s="410">
        <f ca="1">+AG11-Revenue</f>
        <v>-7347.3542748033651</v>
      </c>
      <c r="AI11" s="409">
        <f ca="1">+AH11/$J$49</f>
        <v>-8289.7781460755305</v>
      </c>
      <c r="AJ11" s="409">
        <f ca="1">+AI11*$J$47</f>
        <v>-210.65112998546064</v>
      </c>
      <c r="AK11" s="408">
        <f ca="1">ROUND(+AJ11+AG11,5)</f>
        <v>79246.095979999998</v>
      </c>
    </row>
    <row r="12" spans="1:37" ht="15.75">
      <c r="A12" s="94"/>
      <c r="B12" s="115" t="s">
        <v>251</v>
      </c>
      <c r="C12" s="453">
        <v>5.1000000000000004E-3</v>
      </c>
      <c r="D12" s="112"/>
      <c r="E12" s="94"/>
      <c r="F12" s="132">
        <f t="shared" si="7"/>
        <v>6</v>
      </c>
      <c r="G12" s="117"/>
      <c r="H12" s="124" t="s">
        <v>341</v>
      </c>
      <c r="I12" s="125" t="e">
        <f ca="1">IF(I14&lt;0,0,+J38*I14)</f>
        <v>#VALUE!</v>
      </c>
      <c r="J12" s="125" t="e">
        <f ca="1">+K12-I12</f>
        <v>#VALUE!</v>
      </c>
      <c r="K12" s="125">
        <f ca="1">+(K9-K11)*taxrate</f>
        <v>1395.5999069002828</v>
      </c>
      <c r="L12" s="117"/>
      <c r="M12" s="125">
        <f ca="1">+K12</f>
        <v>1395.5999069002828</v>
      </c>
      <c r="O12" s="106"/>
      <c r="P12" s="94"/>
      <c r="R12" s="126">
        <v>2</v>
      </c>
      <c r="S12" s="127">
        <f ca="1">IF((AK7/Investment*100)&gt;0,(AK7/Investment*100),0)</f>
        <v>306.10724296207127</v>
      </c>
      <c r="T12" s="136">
        <f ca="1">EXP(y_inter2-(slope*LN(+S12)))</f>
        <v>7.3649722017995432</v>
      </c>
      <c r="U12" s="129">
        <f ca="1">(+S12*T12/100)/100</f>
        <v>0.22544713351851539</v>
      </c>
      <c r="V12" s="129">
        <f>regDebt_weighted</f>
        <v>3.5860000000000003E-2</v>
      </c>
      <c r="W12" s="129">
        <f ca="1">+U12-V12</f>
        <v>0.18958713351851539</v>
      </c>
      <c r="X12" s="129">
        <f ca="1">+((W12*(1-0.34))-Pfd_weighted)/Equity_percent</f>
        <v>0.34574857012273302</v>
      </c>
      <c r="Y12" s="129">
        <f>+Y11</f>
        <v>2.5000000000000001E-3</v>
      </c>
      <c r="Z12" s="129">
        <f ca="1">+X12+Y12</f>
        <v>0.34824857012273303</v>
      </c>
      <c r="AA12" s="129">
        <f ca="1">Z12*equityP</f>
        <v>0.20228230049746318</v>
      </c>
      <c r="AB12" s="129">
        <f ca="1">+AA12/(1-taxrate)</f>
        <v>0.25605354493349769</v>
      </c>
      <c r="AC12" s="129">
        <f>debtP*Debt_Rate</f>
        <v>1.3521189462017025E-2</v>
      </c>
      <c r="AD12" s="129">
        <f ca="1">+AC12+AB12</f>
        <v>0.26957473439551471</v>
      </c>
      <c r="AE12" s="129">
        <f ca="1">+AD12/(S12/100)</f>
        <v>8.8065454377019375E-2</v>
      </c>
      <c r="AF12" s="129">
        <f ca="1">1-AE12</f>
        <v>0.9119345456229806</v>
      </c>
      <c r="AG12" s="130">
        <f ca="1">expenses/(AF12)</f>
        <v>79456.7471122844</v>
      </c>
      <c r="AH12" s="239">
        <f ca="1">+AG12-Revenue</f>
        <v>-7347.3542748033651</v>
      </c>
      <c r="AI12" s="131">
        <f ca="1">+AH12/$J$49</f>
        <v>-8289.7781460755305</v>
      </c>
      <c r="AJ12" s="131">
        <f ca="1">+AI12*$J$47</f>
        <v>-210.65112998546064</v>
      </c>
      <c r="AK12" s="130">
        <f t="shared" ref="AK12:AK14" ca="1" si="8">ROUND(+AJ12+AG12,5)</f>
        <v>79246.095979999998</v>
      </c>
    </row>
    <row r="13" spans="1:37" ht="15.75">
      <c r="A13" s="94"/>
      <c r="B13" s="115" t="s">
        <v>342</v>
      </c>
      <c r="C13" s="453">
        <v>0</v>
      </c>
      <c r="D13" s="112"/>
      <c r="E13" s="94"/>
      <c r="F13" s="132">
        <f t="shared" si="7"/>
        <v>7</v>
      </c>
      <c r="G13" s="117"/>
      <c r="H13" s="117"/>
      <c r="I13" s="108"/>
      <c r="J13" s="108"/>
      <c r="K13" s="125"/>
      <c r="L13" s="117"/>
      <c r="M13" s="117"/>
      <c r="O13" s="106"/>
      <c r="P13" s="94"/>
      <c r="R13" s="133">
        <v>3</v>
      </c>
      <c r="S13" s="127">
        <f ca="1">IF((AK8/Investment*100)&gt;0,(AK8/Investment*100),0)</f>
        <v>306.10724296207127</v>
      </c>
      <c r="T13" s="128">
        <f ca="1">EXP(y_inter3-(slope*LN(S13)))</f>
        <v>7.3649722017995432</v>
      </c>
      <c r="U13" s="129">
        <f ca="1">(+S13*T13/100)/100</f>
        <v>0.22544713351851539</v>
      </c>
      <c r="V13" s="129">
        <f>regDebt_weighted</f>
        <v>3.5860000000000003E-2</v>
      </c>
      <c r="W13" s="129">
        <f ca="1">+U13-V13</f>
        <v>0.18958713351851539</v>
      </c>
      <c r="X13" s="129">
        <f ca="1">+((W13*(1-0.34))-Pfd_weighted)/Equity_percent</f>
        <v>0.34574857012273302</v>
      </c>
      <c r="Y13" s="129">
        <f>+Y12</f>
        <v>2.5000000000000001E-3</v>
      </c>
      <c r="Z13" s="129">
        <f t="shared" ref="Z13:Z14" ca="1" si="9">+X13+Y13</f>
        <v>0.34824857012273303</v>
      </c>
      <c r="AA13" s="129">
        <f ca="1">Z13*equityP</f>
        <v>0.20228230049746318</v>
      </c>
      <c r="AB13" s="129">
        <f ca="1">+AA13/(1-taxrate)</f>
        <v>0.25605354493349769</v>
      </c>
      <c r="AC13" s="129">
        <f>debtP*Debt_Rate</f>
        <v>1.3521189462017025E-2</v>
      </c>
      <c r="AD13" s="129">
        <f ca="1">+AC13+AB13</f>
        <v>0.26957473439551471</v>
      </c>
      <c r="AE13" s="129">
        <f ca="1">+AD13/(S13/100)</f>
        <v>8.8065454377019375E-2</v>
      </c>
      <c r="AF13" s="129">
        <f ca="1">1-AE13</f>
        <v>0.9119345456229806</v>
      </c>
      <c r="AG13" s="130">
        <f ca="1">expenses/(AF13)</f>
        <v>79456.7471122844</v>
      </c>
      <c r="AH13" s="239">
        <f ca="1">+AG13-Revenue</f>
        <v>-7347.3542748033651</v>
      </c>
      <c r="AI13" s="131">
        <f ca="1">+AH13/$J$49</f>
        <v>-8289.7781460755305</v>
      </c>
      <c r="AJ13" s="131">
        <f ca="1">+AI13*$J$47</f>
        <v>-210.65112998546064</v>
      </c>
      <c r="AK13" s="130">
        <f t="shared" ca="1" si="8"/>
        <v>79246.095979999998</v>
      </c>
    </row>
    <row r="14" spans="1:37" ht="16.5" thickBot="1">
      <c r="A14" s="94"/>
      <c r="B14" s="144" t="s">
        <v>265</v>
      </c>
      <c r="C14" s="453">
        <f>+'Restating Adj (C)'!B65</f>
        <v>2.8109490354919944E-3</v>
      </c>
      <c r="D14" s="112"/>
      <c r="E14" s="94"/>
      <c r="F14" s="132">
        <f t="shared" si="7"/>
        <v>8</v>
      </c>
      <c r="G14" s="117"/>
      <c r="H14" s="117" t="s">
        <v>173</v>
      </c>
      <c r="I14" s="284" t="e">
        <f ca="1">+I9-SUM(I11:I13)</f>
        <v>#VALUE!</v>
      </c>
      <c r="J14" s="108"/>
      <c r="K14" s="284">
        <f ca="1">+K9-SUM(K11:K13)</f>
        <v>5250.113935482017</v>
      </c>
      <c r="L14" s="117"/>
      <c r="M14" s="284">
        <f ca="1">+M9-SUM(M11:M13)</f>
        <v>5250.113935482017</v>
      </c>
      <c r="O14" s="106"/>
      <c r="P14" s="94"/>
      <c r="R14" s="134">
        <v>4</v>
      </c>
      <c r="S14" s="127">
        <f ca="1">IF((AK9/Investment*100)&gt;0,(AK9/Investment*100),0)</f>
        <v>306.10724296207127</v>
      </c>
      <c r="T14" s="138">
        <f ca="1">EXP(y_inter4-(slope*LN(S14)))</f>
        <v>7.3649722017995432</v>
      </c>
      <c r="U14" s="129">
        <f ca="1">(+S14*T14/100)/100</f>
        <v>0.22544713351851539</v>
      </c>
      <c r="V14" s="129">
        <f>regDebt_weighted</f>
        <v>3.5860000000000003E-2</v>
      </c>
      <c r="W14" s="129">
        <f ca="1">+U14-V14</f>
        <v>0.18958713351851539</v>
      </c>
      <c r="X14" s="129">
        <f ca="1">+((W14*(1-0.34))-Pfd_weighted)/Equity_percent</f>
        <v>0.34574857012273302</v>
      </c>
      <c r="Y14" s="129">
        <f>+Y13</f>
        <v>2.5000000000000001E-3</v>
      </c>
      <c r="Z14" s="129">
        <f t="shared" ca="1" si="9"/>
        <v>0.34824857012273303</v>
      </c>
      <c r="AA14" s="129">
        <f ca="1">Z14*equityP</f>
        <v>0.20228230049746318</v>
      </c>
      <c r="AB14" s="129">
        <f ca="1">+AA14/(1-taxrate)</f>
        <v>0.25605354493349769</v>
      </c>
      <c r="AC14" s="129">
        <f>debtP*Debt_Rate</f>
        <v>1.3521189462017025E-2</v>
      </c>
      <c r="AD14" s="129">
        <f ca="1">+AC14+AB14</f>
        <v>0.26957473439551471</v>
      </c>
      <c r="AE14" s="129">
        <f ca="1">+AD14/(S14/100)</f>
        <v>8.8065454377019375E-2</v>
      </c>
      <c r="AF14" s="129">
        <f ca="1">1-AE14</f>
        <v>0.9119345456229806</v>
      </c>
      <c r="AG14" s="130">
        <f ca="1">expenses/(AF14)</f>
        <v>79456.7471122844</v>
      </c>
      <c r="AH14" s="239">
        <f ca="1">+AG14-Revenue</f>
        <v>-7347.3542748033651</v>
      </c>
      <c r="AI14" s="131">
        <f ca="1">+AH14/$J$49</f>
        <v>-8289.7781460755305</v>
      </c>
      <c r="AJ14" s="131">
        <f ca="1">+AI14*$J$47</f>
        <v>-210.65112998546064</v>
      </c>
      <c r="AK14" s="130">
        <f t="shared" ca="1" si="8"/>
        <v>79246.095979999998</v>
      </c>
    </row>
    <row r="15" spans="1:37" ht="16.5" thickTop="1">
      <c r="A15" s="94"/>
      <c r="B15" s="144" t="s">
        <v>345</v>
      </c>
      <c r="C15" s="453">
        <v>2.5000000000000001E-3</v>
      </c>
      <c r="D15" s="94"/>
      <c r="E15" s="94"/>
      <c r="F15" s="132">
        <f t="shared" si="7"/>
        <v>9</v>
      </c>
      <c r="G15" s="108"/>
      <c r="H15" s="108"/>
      <c r="I15" s="108"/>
      <c r="J15" s="108"/>
      <c r="K15" s="140"/>
      <c r="L15" s="108"/>
      <c r="M15" s="108"/>
      <c r="O15" s="106"/>
      <c r="P15" s="94"/>
      <c r="R15" s="111" t="s">
        <v>343</v>
      </c>
    </row>
    <row r="16" spans="1:37" ht="15.75">
      <c r="A16" s="94"/>
      <c r="B16" s="94"/>
      <c r="C16" s="94"/>
      <c r="D16" s="112" t="s">
        <v>414</v>
      </c>
      <c r="E16" s="94"/>
      <c r="F16" s="132">
        <f t="shared" si="7"/>
        <v>10</v>
      </c>
      <c r="G16" s="108"/>
      <c r="H16" s="124" t="s">
        <v>344</v>
      </c>
      <c r="I16" s="141">
        <f>+I8/I7</f>
        <v>0.83474572533619462</v>
      </c>
      <c r="J16" s="142"/>
      <c r="K16" s="141">
        <f ca="1">+K8/K7</f>
        <v>0.9119600000000001</v>
      </c>
      <c r="L16" s="143"/>
      <c r="M16" s="141">
        <f ca="1">+M8/M7</f>
        <v>0.91172589562808337</v>
      </c>
      <c r="O16" s="106"/>
      <c r="P16" s="94"/>
      <c r="R16" s="413">
        <v>1</v>
      </c>
      <c r="S16" s="404">
        <f ca="1">AK11/Investment*100</f>
        <v>306.61378219923211</v>
      </c>
      <c r="T16" s="412">
        <f ca="1">EXP(y_inter1-(slope*LN(+S16)))</f>
        <v>7.3613014435062167</v>
      </c>
      <c r="U16" s="411">
        <f ca="1">(+S16*T16/100)/100</f>
        <v>0.22570764775021079</v>
      </c>
      <c r="V16" s="411">
        <f>regDebt_weighted</f>
        <v>3.5860000000000003E-2</v>
      </c>
      <c r="W16" s="411">
        <f ca="1">+U16-V16</f>
        <v>0.18984764775021079</v>
      </c>
      <c r="X16" s="411">
        <f ca="1">+((W16*(1-0.34))-Pfd_weighted)/Equity_percent</f>
        <v>0.34624839393935791</v>
      </c>
      <c r="Y16" s="411">
        <f>+Y14</f>
        <v>2.5000000000000001E-3</v>
      </c>
      <c r="Z16" s="411">
        <f ca="1">+X16+Y16</f>
        <v>0.34874839393935791</v>
      </c>
      <c r="AA16" s="411">
        <f ca="1">Z16*equityP</f>
        <v>0.20257262620198702</v>
      </c>
      <c r="AB16" s="411">
        <f ca="1">+AA16/(1-taxrate)</f>
        <v>0.25642104582530001</v>
      </c>
      <c r="AC16" s="411">
        <f>debtP*Debt_Rate</f>
        <v>1.3521189462017025E-2</v>
      </c>
      <c r="AD16" s="411">
        <f ca="1">+AC16+AB16</f>
        <v>0.26994223528731703</v>
      </c>
      <c r="AE16" s="411">
        <f ca="1">+AD16/(S16/100)</f>
        <v>8.8039824352029103E-2</v>
      </c>
      <c r="AF16" s="411">
        <f ca="1">1-AE16</f>
        <v>0.91196017564797094</v>
      </c>
      <c r="AG16" s="408">
        <f ca="1">expenses/(AF16)</f>
        <v>79454.514034055203</v>
      </c>
      <c r="AH16" s="410">
        <f ca="1">+AG16-Revenue</f>
        <v>-7349.5873530325625</v>
      </c>
      <c r="AI16" s="409">
        <f ca="1">+AH16/$J$49</f>
        <v>-8292.2976547871713</v>
      </c>
      <c r="AJ16" s="409">
        <f ca="1">+AI16*$J$47</f>
        <v>-210.71515309292661</v>
      </c>
      <c r="AK16" s="408">
        <f ca="1">ROUND(+AJ16+AG16,5)</f>
        <v>79243.798880000002</v>
      </c>
    </row>
    <row r="17" spans="1:37" ht="15.75">
      <c r="A17" s="94"/>
      <c r="B17" s="285" t="s">
        <v>415</v>
      </c>
      <c r="C17" s="148"/>
      <c r="D17" s="94" t="s">
        <v>416</v>
      </c>
      <c r="E17" s="94"/>
      <c r="F17" s="132">
        <f t="shared" si="7"/>
        <v>11</v>
      </c>
      <c r="G17" s="108"/>
      <c r="H17" s="108"/>
      <c r="I17" s="108"/>
      <c r="K17" s="108"/>
      <c r="L17" s="124"/>
      <c r="M17" s="124"/>
      <c r="N17" s="141"/>
      <c r="O17" s="94"/>
      <c r="P17" s="94"/>
      <c r="R17" s="126">
        <v>2</v>
      </c>
      <c r="S17" s="127">
        <f ca="1">AK12/Investment*100</f>
        <v>306.61378219923211</v>
      </c>
      <c r="T17" s="136">
        <f ca="1">EXP(y_inter2-(slope*LN(+S17)))</f>
        <v>7.3613014435062167</v>
      </c>
      <c r="U17" s="129">
        <f ca="1">(+S17*T17/100)/100</f>
        <v>0.22570764775021079</v>
      </c>
      <c r="V17" s="129">
        <f>regDebt_weighted</f>
        <v>3.5860000000000003E-2</v>
      </c>
      <c r="W17" s="129">
        <f ca="1">+U17-V17</f>
        <v>0.18984764775021079</v>
      </c>
      <c r="X17" s="129">
        <f ca="1">+((W17*(1-0.34))-Pfd_weighted)/Equity_percent</f>
        <v>0.34624839393935791</v>
      </c>
      <c r="Y17" s="129">
        <f>+Y16</f>
        <v>2.5000000000000001E-3</v>
      </c>
      <c r="Z17" s="129">
        <f ca="1">+X17+Y17</f>
        <v>0.34874839393935791</v>
      </c>
      <c r="AA17" s="129">
        <f ca="1">Z17*equityP</f>
        <v>0.20257262620198702</v>
      </c>
      <c r="AB17" s="129">
        <f ca="1">+AA17/(1-taxrate)</f>
        <v>0.25642104582530001</v>
      </c>
      <c r="AC17" s="129">
        <f>debtP*Debt_Rate</f>
        <v>1.3521189462017025E-2</v>
      </c>
      <c r="AD17" s="129">
        <f ca="1">+AC17+AB17</f>
        <v>0.26994223528731703</v>
      </c>
      <c r="AE17" s="129">
        <f ca="1">+AD17/(S17/100)</f>
        <v>8.8039824352029103E-2</v>
      </c>
      <c r="AF17" s="129">
        <f ca="1">1-AE17</f>
        <v>0.91196017564797094</v>
      </c>
      <c r="AG17" s="130">
        <f ca="1">expenses/(AF17)</f>
        <v>79454.514034055203</v>
      </c>
      <c r="AH17" s="239">
        <f ca="1">+AG17-Revenue</f>
        <v>-7349.5873530325625</v>
      </c>
      <c r="AI17" s="131">
        <f ca="1">+AH17/$J$49</f>
        <v>-8292.2976547871713</v>
      </c>
      <c r="AJ17" s="131">
        <f ca="1">+AI17*$J$47</f>
        <v>-210.71515309292661</v>
      </c>
      <c r="AK17" s="130">
        <f t="shared" ref="AK17:AK19" ca="1" si="10">ROUND(+AJ17+AG17,5)</f>
        <v>79243.798880000002</v>
      </c>
    </row>
    <row r="18" spans="1:37" ht="15.75">
      <c r="A18" s="94"/>
      <c r="B18" s="1072"/>
      <c r="C18" s="1072"/>
      <c r="D18" s="94"/>
      <c r="E18" s="94"/>
      <c r="F18" s="132">
        <f t="shared" si="7"/>
        <v>12</v>
      </c>
      <c r="G18" s="108"/>
      <c r="H18" s="414" t="s">
        <v>211</v>
      </c>
      <c r="I18" s="405"/>
      <c r="J18" s="405"/>
      <c r="K18" s="405"/>
      <c r="L18" s="405"/>
      <c r="M18" s="402"/>
      <c r="O18" s="94"/>
      <c r="P18" s="94"/>
      <c r="R18" s="133">
        <v>3</v>
      </c>
      <c r="S18" s="127">
        <f ca="1">AK13/Investment*100</f>
        <v>306.61378219923211</v>
      </c>
      <c r="T18" s="128">
        <f ca="1">EXP(y_inter3-(slope*LN(S18)))</f>
        <v>7.3613014435062167</v>
      </c>
      <c r="U18" s="129">
        <f ca="1">(+S18*T18/100)/100</f>
        <v>0.22570764775021079</v>
      </c>
      <c r="V18" s="129">
        <f>regDebt_weighted</f>
        <v>3.5860000000000003E-2</v>
      </c>
      <c r="W18" s="129">
        <f ca="1">+U18-V18</f>
        <v>0.18984764775021079</v>
      </c>
      <c r="X18" s="129">
        <f ca="1">+((W18*(1-0.34))-Pfd_weighted)/Equity_percent</f>
        <v>0.34624839393935791</v>
      </c>
      <c r="Y18" s="129">
        <f>+Y17</f>
        <v>2.5000000000000001E-3</v>
      </c>
      <c r="Z18" s="129">
        <f t="shared" ref="Z18:Z19" ca="1" si="11">+X18+Y18</f>
        <v>0.34874839393935791</v>
      </c>
      <c r="AA18" s="129">
        <f ca="1">Z18*equityP</f>
        <v>0.20257262620198702</v>
      </c>
      <c r="AB18" s="129">
        <f ca="1">+AA18/(1-taxrate)</f>
        <v>0.25642104582530001</v>
      </c>
      <c r="AC18" s="129">
        <f>debtP*Debt_Rate</f>
        <v>1.3521189462017025E-2</v>
      </c>
      <c r="AD18" s="129">
        <f ca="1">+AC18+AB18</f>
        <v>0.26994223528731703</v>
      </c>
      <c r="AE18" s="129">
        <f ca="1">+AD18/(S18/100)</f>
        <v>8.8039824352029103E-2</v>
      </c>
      <c r="AF18" s="129">
        <f ca="1">1-AE18</f>
        <v>0.91196017564797094</v>
      </c>
      <c r="AG18" s="130">
        <f ca="1">expenses/(AF18)</f>
        <v>79454.514034055203</v>
      </c>
      <c r="AH18" s="239">
        <f ca="1">+AG18-Revenue</f>
        <v>-7349.5873530325625</v>
      </c>
      <c r="AI18" s="131">
        <f ca="1">+AH18/$J$49</f>
        <v>-8292.2976547871713</v>
      </c>
      <c r="AJ18" s="131">
        <f ca="1">+AI18*$J$47</f>
        <v>-210.71515309292661</v>
      </c>
      <c r="AK18" s="130">
        <f t="shared" ca="1" si="10"/>
        <v>79243.798880000002</v>
      </c>
    </row>
    <row r="19" spans="1:37" ht="15.75">
      <c r="A19" s="94"/>
      <c r="B19" s="1073" t="s">
        <v>417</v>
      </c>
      <c r="C19" s="1073"/>
      <c r="D19" s="94"/>
      <c r="E19" s="94"/>
      <c r="F19" s="132">
        <f t="shared" si="7"/>
        <v>13</v>
      </c>
      <c r="G19" s="108"/>
      <c r="H19" s="113"/>
      <c r="I19" s="145" t="s">
        <v>346</v>
      </c>
      <c r="J19" s="137">
        <f>+Revenue</f>
        <v>86804.101387087765</v>
      </c>
      <c r="K19" s="146"/>
      <c r="L19" s="145" t="s">
        <v>418</v>
      </c>
      <c r="M19" s="147">
        <f ca="1">+J7</f>
        <v>-7349.5720497032889</v>
      </c>
      <c r="O19" s="94"/>
      <c r="P19" s="94"/>
      <c r="R19" s="134">
        <v>4</v>
      </c>
      <c r="S19" s="127">
        <f ca="1">AK14/Investment*100</f>
        <v>306.61378219923211</v>
      </c>
      <c r="T19" s="138">
        <f ca="1">EXP(y_inter4-(slope*LN(S19)))</f>
        <v>7.3613014435062167</v>
      </c>
      <c r="U19" s="129">
        <f ca="1">(+S19*T19/100)/100</f>
        <v>0.22570764775021079</v>
      </c>
      <c r="V19" s="129">
        <f>regDebt_weighted</f>
        <v>3.5860000000000003E-2</v>
      </c>
      <c r="W19" s="129">
        <f ca="1">+U19-V19</f>
        <v>0.18984764775021079</v>
      </c>
      <c r="X19" s="129">
        <f ca="1">+((W19*(1-0.34))-Pfd_weighted)/Equity_percent</f>
        <v>0.34624839393935791</v>
      </c>
      <c r="Y19" s="129">
        <f>+Y18</f>
        <v>2.5000000000000001E-3</v>
      </c>
      <c r="Z19" s="129">
        <f t="shared" ca="1" si="11"/>
        <v>0.34874839393935791</v>
      </c>
      <c r="AA19" s="129">
        <f ca="1">Z19*equityP</f>
        <v>0.20257262620198702</v>
      </c>
      <c r="AB19" s="129">
        <f ca="1">+AA19/(1-taxrate)</f>
        <v>0.25642104582530001</v>
      </c>
      <c r="AC19" s="129">
        <f>debtP*Debt_Rate</f>
        <v>1.3521189462017025E-2</v>
      </c>
      <c r="AD19" s="129">
        <f ca="1">+AC19+AB19</f>
        <v>0.26994223528731703</v>
      </c>
      <c r="AE19" s="129">
        <f ca="1">+AD19/(S19/100)</f>
        <v>8.8039824352029103E-2</v>
      </c>
      <c r="AF19" s="129">
        <f ca="1">1-AE19</f>
        <v>0.91196017564797094</v>
      </c>
      <c r="AG19" s="130">
        <f ca="1">expenses/(AF19)</f>
        <v>79454.514034055203</v>
      </c>
      <c r="AH19" s="239">
        <f ca="1">+AG19-Revenue</f>
        <v>-7349.5873530325625</v>
      </c>
      <c r="AI19" s="131">
        <f ca="1">+AH19/$J$49</f>
        <v>-8292.2976547871713</v>
      </c>
      <c r="AJ19" s="131">
        <f ca="1">+AI19*$J$47</f>
        <v>-210.71515309292661</v>
      </c>
      <c r="AK19" s="130">
        <f t="shared" ca="1" si="10"/>
        <v>79243.798880000002</v>
      </c>
    </row>
    <row r="20" spans="1:37" ht="15.75">
      <c r="A20" s="94"/>
      <c r="B20" s="177"/>
      <c r="C20" s="94"/>
      <c r="D20" s="94"/>
      <c r="E20" s="94"/>
      <c r="F20" s="132">
        <f t="shared" si="7"/>
        <v>14</v>
      </c>
      <c r="G20" s="108"/>
      <c r="H20" s="113"/>
      <c r="I20" s="145" t="s">
        <v>347</v>
      </c>
      <c r="J20" s="137">
        <f ca="1">+J21-J19</f>
        <v>-7560.2867640445911</v>
      </c>
      <c r="K20" s="456"/>
      <c r="L20" s="145" t="s">
        <v>419</v>
      </c>
      <c r="M20" s="147">
        <f ca="1">+L8</f>
        <v>-210.71471434130581</v>
      </c>
      <c r="O20" s="94"/>
      <c r="P20" s="94"/>
      <c r="R20" s="111" t="s">
        <v>348</v>
      </c>
    </row>
    <row r="21" spans="1:37" ht="16.5" thickBot="1">
      <c r="A21" s="94"/>
      <c r="B21" s="177"/>
      <c r="C21" s="177"/>
      <c r="D21" s="94"/>
      <c r="E21" s="94"/>
      <c r="F21" s="132">
        <f t="shared" si="7"/>
        <v>15</v>
      </c>
      <c r="G21" s="108"/>
      <c r="H21" s="113"/>
      <c r="I21" s="149" t="s">
        <v>211</v>
      </c>
      <c r="J21" s="150">
        <f ca="1">+M7</f>
        <v>79243.814623043174</v>
      </c>
      <c r="K21" s="151"/>
      <c r="L21" s="149" t="s">
        <v>347</v>
      </c>
      <c r="M21" s="240">
        <f ca="1">+M19+M20</f>
        <v>-7560.2867640445947</v>
      </c>
      <c r="O21" s="94"/>
      <c r="P21" s="94"/>
      <c r="R21" s="413">
        <v>1</v>
      </c>
      <c r="S21" s="404">
        <f ca="1">AK16/Investment*100</f>
        <v>306.60489441100253</v>
      </c>
      <c r="T21" s="412">
        <f ca="1">EXP(y_inter1-(slope*LN(+S21)))</f>
        <v>7.3613657829562111</v>
      </c>
      <c r="U21" s="411">
        <f ca="1">(+S21*T21/100)/100</f>
        <v>0.22570307786040561</v>
      </c>
      <c r="V21" s="411">
        <f>regDebt_weighted</f>
        <v>3.5860000000000003E-2</v>
      </c>
      <c r="W21" s="411">
        <f ca="1">+U21-V21</f>
        <v>0.18984307786040561</v>
      </c>
      <c r="X21" s="411">
        <f ca="1">+((W21*(1-0.34))-Pfd_weighted)/Equity_percent</f>
        <v>0.3462396261275224</v>
      </c>
      <c r="Y21" s="411">
        <f>+Y19</f>
        <v>2.5000000000000001E-3</v>
      </c>
      <c r="Z21" s="411">
        <f ca="1">+X21+Y21</f>
        <v>0.34873962612752241</v>
      </c>
      <c r="AA21" s="411">
        <f ca="1">Z21*equityP</f>
        <v>0.2025675333651441</v>
      </c>
      <c r="AB21" s="411">
        <f ca="1">+AA21/(1-taxrate)</f>
        <v>0.25641459919638493</v>
      </c>
      <c r="AC21" s="411">
        <f>debtP*Debt_Rate</f>
        <v>1.3521189462017025E-2</v>
      </c>
      <c r="AD21" s="411">
        <f ca="1">+AC21+AB21</f>
        <v>0.26993578865840195</v>
      </c>
      <c r="AE21" s="411">
        <f ca="1">+AD21/(S21/100)</f>
        <v>8.8040273843950523E-2</v>
      </c>
      <c r="AF21" s="411">
        <f ca="1">1-AE21</f>
        <v>0.91195972615604948</v>
      </c>
      <c r="AG21" s="408">
        <f ca="1">expenses/(AF21)</f>
        <v>79454.553196050139</v>
      </c>
      <c r="AH21" s="410">
        <f ca="1">+AG21-Revenue</f>
        <v>-7349.5481910376257</v>
      </c>
      <c r="AI21" s="409">
        <f ca="1">+AH21/$J$49</f>
        <v>-8292.2534695964696</v>
      </c>
      <c r="AJ21" s="409">
        <f ca="1">+AI21*$J$47</f>
        <v>-210.71403030529757</v>
      </c>
      <c r="AK21" s="408">
        <f ca="1">ROUND(+AJ21+AG21,5)</f>
        <v>79243.839170000007</v>
      </c>
    </row>
    <row r="22" spans="1:37" ht="21" customHeight="1" thickTop="1">
      <c r="A22" s="94"/>
      <c r="B22" s="177"/>
      <c r="C22" s="94"/>
      <c r="D22" s="94"/>
      <c r="E22" s="94"/>
      <c r="F22" s="132">
        <f t="shared" si="7"/>
        <v>16</v>
      </c>
      <c r="G22" s="108"/>
      <c r="H22" s="152"/>
      <c r="I22" s="153"/>
      <c r="J22" s="241" t="s">
        <v>420</v>
      </c>
      <c r="K22" s="242">
        <f ca="1">+(J21/J19)-1</f>
        <v>-8.7095962555165607E-2</v>
      </c>
      <c r="L22" s="153"/>
      <c r="M22" s="154"/>
      <c r="O22" s="94"/>
      <c r="P22" s="94"/>
      <c r="R22" s="126">
        <v>2</v>
      </c>
      <c r="S22" s="127">
        <f ca="1">AK17/Investment*100</f>
        <v>306.60489441100253</v>
      </c>
      <c r="T22" s="136">
        <f ca="1">EXP(y_inter2-(slope*LN(+S22)))</f>
        <v>7.3613657829562111</v>
      </c>
      <c r="U22" s="129">
        <f ca="1">(+S22*T22/100)/100</f>
        <v>0.22570307786040561</v>
      </c>
      <c r="V22" s="129">
        <f>regDebt_weighted</f>
        <v>3.5860000000000003E-2</v>
      </c>
      <c r="W22" s="129">
        <f ca="1">+U22-V22</f>
        <v>0.18984307786040561</v>
      </c>
      <c r="X22" s="129">
        <f ca="1">+((W22*(1-0.34))-Pfd_weighted)/Equity_percent</f>
        <v>0.3462396261275224</v>
      </c>
      <c r="Y22" s="129">
        <f>+Y21</f>
        <v>2.5000000000000001E-3</v>
      </c>
      <c r="Z22" s="129">
        <f ca="1">+X22+Y22</f>
        <v>0.34873962612752241</v>
      </c>
      <c r="AA22" s="129">
        <f ca="1">Z22*equityP</f>
        <v>0.2025675333651441</v>
      </c>
      <c r="AB22" s="129">
        <f ca="1">+AA22/(1-taxrate)</f>
        <v>0.25641459919638493</v>
      </c>
      <c r="AC22" s="129">
        <f>debtP*Debt_Rate</f>
        <v>1.3521189462017025E-2</v>
      </c>
      <c r="AD22" s="129">
        <f ca="1">+AC22+AB22</f>
        <v>0.26993578865840195</v>
      </c>
      <c r="AE22" s="129">
        <f ca="1">+AD22/(S22/100)</f>
        <v>8.8040273843950523E-2</v>
      </c>
      <c r="AF22" s="129">
        <f ca="1">1-AE22</f>
        <v>0.91195972615604948</v>
      </c>
      <c r="AG22" s="130">
        <f ca="1">expenses/(AF22)</f>
        <v>79454.553196050139</v>
      </c>
      <c r="AH22" s="239">
        <f ca="1">+AG22-Revenue</f>
        <v>-7349.5481910376257</v>
      </c>
      <c r="AI22" s="131">
        <f ca="1">+AH22/$J$49</f>
        <v>-8292.2534695964696</v>
      </c>
      <c r="AJ22" s="131">
        <f ca="1">+AI22*$J$47</f>
        <v>-210.71403030529757</v>
      </c>
      <c r="AK22" s="130">
        <f t="shared" ref="AK22:AK24" ca="1" si="12">ROUND(+AJ22+AG22,5)</f>
        <v>79243.839170000007</v>
      </c>
    </row>
    <row r="23" spans="1:37" ht="15.75">
      <c r="A23" s="94"/>
      <c r="B23" s="457" t="s">
        <v>421</v>
      </c>
      <c r="C23" s="458"/>
      <c r="D23" s="458"/>
      <c r="E23" s="458"/>
      <c r="F23" s="132">
        <f t="shared" si="7"/>
        <v>17</v>
      </c>
      <c r="H23" s="108"/>
      <c r="I23" s="108"/>
      <c r="J23" s="108"/>
      <c r="K23" s="108"/>
      <c r="L23" s="108"/>
      <c r="M23" s="108"/>
      <c r="N23" s="108"/>
      <c r="O23" s="94"/>
      <c r="P23" s="94"/>
      <c r="R23" s="133">
        <v>3</v>
      </c>
      <c r="S23" s="127">
        <f ca="1">AK18/Investment*100</f>
        <v>306.60489441100253</v>
      </c>
      <c r="T23" s="128">
        <f ca="1">EXP(y_inter3-(slope*LN(S23)))</f>
        <v>7.3613657829562111</v>
      </c>
      <c r="U23" s="129">
        <f ca="1">(+S23*T23/100)/100</f>
        <v>0.22570307786040561</v>
      </c>
      <c r="V23" s="129">
        <f>regDebt_weighted</f>
        <v>3.5860000000000003E-2</v>
      </c>
      <c r="W23" s="129">
        <f ca="1">+U23-V23</f>
        <v>0.18984307786040561</v>
      </c>
      <c r="X23" s="129">
        <f ca="1">+((W23*(1-0.34))-Pfd_weighted)/Equity_percent</f>
        <v>0.3462396261275224</v>
      </c>
      <c r="Y23" s="129">
        <f>+Y22</f>
        <v>2.5000000000000001E-3</v>
      </c>
      <c r="Z23" s="129">
        <f t="shared" ref="Z23:Z24" ca="1" si="13">+X23+Y23</f>
        <v>0.34873962612752241</v>
      </c>
      <c r="AA23" s="129">
        <f ca="1">Z23*equityP</f>
        <v>0.2025675333651441</v>
      </c>
      <c r="AB23" s="129">
        <f ca="1">+AA23/(1-taxrate)</f>
        <v>0.25641459919638493</v>
      </c>
      <c r="AC23" s="129">
        <f>debtP*Debt_Rate</f>
        <v>1.3521189462017025E-2</v>
      </c>
      <c r="AD23" s="129">
        <f ca="1">+AC23+AB23</f>
        <v>0.26993578865840195</v>
      </c>
      <c r="AE23" s="129">
        <f ca="1">+AD23/(S23/100)</f>
        <v>8.8040273843950523E-2</v>
      </c>
      <c r="AF23" s="129">
        <f ca="1">1-AE23</f>
        <v>0.91195972615604948</v>
      </c>
      <c r="AG23" s="130">
        <f ca="1">expenses/(AF23)</f>
        <v>79454.553196050139</v>
      </c>
      <c r="AH23" s="239">
        <f ca="1">+AG23-Revenue</f>
        <v>-7349.5481910376257</v>
      </c>
      <c r="AI23" s="131">
        <f ca="1">+AH23/$J$49</f>
        <v>-8292.2534695964696</v>
      </c>
      <c r="AJ23" s="131">
        <f ca="1">+AI23*$J$47</f>
        <v>-210.71403030529757</v>
      </c>
      <c r="AK23" s="130">
        <f t="shared" ca="1" si="12"/>
        <v>79243.839170000007</v>
      </c>
    </row>
    <row r="24" spans="1:37" ht="15.75">
      <c r="A24" s="94"/>
      <c r="B24" s="459" t="s">
        <v>349</v>
      </c>
      <c r="C24" s="458"/>
      <c r="D24" s="458"/>
      <c r="E24" s="458"/>
      <c r="F24" s="132">
        <f t="shared" si="7"/>
        <v>18</v>
      </c>
      <c r="H24" s="155" t="s">
        <v>350</v>
      </c>
      <c r="K24" s="156" t="s">
        <v>351</v>
      </c>
      <c r="L24" s="156"/>
      <c r="M24" s="156"/>
      <c r="N24" s="156"/>
      <c r="O24" s="94"/>
      <c r="P24" s="94"/>
      <c r="R24" s="134">
        <v>4</v>
      </c>
      <c r="S24" s="127">
        <f ca="1">AK19/Investment*100</f>
        <v>306.60489441100253</v>
      </c>
      <c r="T24" s="138">
        <f ca="1">EXP(y_inter4-(slope*LN(S24)))</f>
        <v>7.3613657829562111</v>
      </c>
      <c r="U24" s="129">
        <f ca="1">(+S24*T24/100)/100</f>
        <v>0.22570307786040561</v>
      </c>
      <c r="V24" s="129">
        <f>regDebt_weighted</f>
        <v>3.5860000000000003E-2</v>
      </c>
      <c r="W24" s="129">
        <f ca="1">+U24-V24</f>
        <v>0.18984307786040561</v>
      </c>
      <c r="X24" s="129">
        <f ca="1">+((W24*(1-0.34))-Pfd_weighted)/Equity_percent</f>
        <v>0.3462396261275224</v>
      </c>
      <c r="Y24" s="129">
        <f>+Y23</f>
        <v>2.5000000000000001E-3</v>
      </c>
      <c r="Z24" s="129">
        <f t="shared" ca="1" si="13"/>
        <v>0.34873962612752241</v>
      </c>
      <c r="AA24" s="129">
        <f ca="1">Z24*equityP</f>
        <v>0.2025675333651441</v>
      </c>
      <c r="AB24" s="129">
        <f ca="1">+AA24/(1-taxrate)</f>
        <v>0.25641459919638493</v>
      </c>
      <c r="AC24" s="129">
        <f>debtP*Debt_Rate</f>
        <v>1.3521189462017025E-2</v>
      </c>
      <c r="AD24" s="129">
        <f ca="1">+AC24+AB24</f>
        <v>0.26993578865840195</v>
      </c>
      <c r="AE24" s="129">
        <f ca="1">+AD24/(S24/100)</f>
        <v>8.8040273843950523E-2</v>
      </c>
      <c r="AF24" s="129">
        <f ca="1">1-AE24</f>
        <v>0.91195972615604948</v>
      </c>
      <c r="AG24" s="130">
        <f ca="1">expenses/(AF24)</f>
        <v>79454.553196050139</v>
      </c>
      <c r="AH24" s="239">
        <f ca="1">+AG24-Revenue</f>
        <v>-7349.5481910376257</v>
      </c>
      <c r="AI24" s="131">
        <f ca="1">+AH24/$J$49</f>
        <v>-8292.2534695964696</v>
      </c>
      <c r="AJ24" s="131">
        <f ca="1">+AI24*$J$47</f>
        <v>-210.71403030529757</v>
      </c>
      <c r="AK24" s="130">
        <f t="shared" ca="1" si="12"/>
        <v>79243.839170000007</v>
      </c>
    </row>
    <row r="25" spans="1:37" ht="15.75">
      <c r="A25" s="94"/>
      <c r="B25" s="459" t="s">
        <v>352</v>
      </c>
      <c r="C25" s="458"/>
      <c r="D25" s="458"/>
      <c r="E25" s="458"/>
      <c r="F25" s="132">
        <f t="shared" si="7"/>
        <v>19</v>
      </c>
      <c r="H25" s="157" t="s">
        <v>353</v>
      </c>
      <c r="I25" s="158" t="s">
        <v>354</v>
      </c>
      <c r="J25" s="159" t="s">
        <v>355</v>
      </c>
      <c r="K25" s="157" t="s">
        <v>356</v>
      </c>
      <c r="L25" s="159" t="s">
        <v>357</v>
      </c>
      <c r="M25" s="159" t="s">
        <v>355</v>
      </c>
      <c r="O25" s="94"/>
      <c r="P25" s="94"/>
      <c r="R25" s="111" t="s">
        <v>358</v>
      </c>
      <c r="W25" s="160"/>
      <c r="X25" s="161"/>
      <c r="Y25" s="161"/>
      <c r="Z25" s="161"/>
      <c r="AA25" s="162"/>
      <c r="AB25" s="162"/>
      <c r="AC25" s="161"/>
      <c r="AE25" s="161"/>
      <c r="AF25" s="161"/>
      <c r="AG25" s="162"/>
      <c r="AH25" s="160"/>
    </row>
    <row r="26" spans="1:37" ht="15.75">
      <c r="A26" s="94"/>
      <c r="B26" s="459" t="s">
        <v>422</v>
      </c>
      <c r="C26" s="458"/>
      <c r="D26" s="458"/>
      <c r="E26" s="458"/>
      <c r="F26" s="132">
        <f t="shared" si="7"/>
        <v>20</v>
      </c>
      <c r="H26" s="124" t="s">
        <v>327</v>
      </c>
      <c r="I26" s="163">
        <f>1-I27</f>
        <v>0.58085608341815431</v>
      </c>
      <c r="J26" s="164">
        <f>+I26*J28</f>
        <v>15012.559646523687</v>
      </c>
      <c r="K26" s="141">
        <f ca="1">+K34</f>
        <v>0.34971477610067214</v>
      </c>
      <c r="L26" s="163">
        <f ca="1">+K26*I26</f>
        <v>0.20313395515929317</v>
      </c>
      <c r="M26" s="125">
        <f ca="1">+J26*K26</f>
        <v>5250.113935482017</v>
      </c>
      <c r="O26" s="94"/>
      <c r="P26" s="94"/>
      <c r="R26" s="413">
        <v>1</v>
      </c>
      <c r="S26" s="404">
        <f ca="1">AK21/Investment*100</f>
        <v>306.60505029842051</v>
      </c>
      <c r="T26" s="412">
        <f ca="1">EXP(y_inter1-(slope*LN(+S26)))</f>
        <v>7.3613646544531059</v>
      </c>
      <c r="U26" s="411">
        <f ca="1">(+S26*T26/100)/100</f>
        <v>0.22570315801436094</v>
      </c>
      <c r="V26" s="411">
        <f>regDebt_weighted</f>
        <v>3.5860000000000003E-2</v>
      </c>
      <c r="W26" s="411">
        <f ca="1">+U26-V26</f>
        <v>0.18984315801436094</v>
      </c>
      <c r="X26" s="411">
        <f ca="1">+((W26*(1-0.34))-Pfd_weighted)/Equity_percent</f>
        <v>0.34623977991127386</v>
      </c>
      <c r="Y26" s="411">
        <f>+Y24</f>
        <v>2.5000000000000001E-3</v>
      </c>
      <c r="Z26" s="411">
        <f ca="1">+X26+Y26</f>
        <v>0.34873977991127386</v>
      </c>
      <c r="AA26" s="411">
        <f ca="1">Z26*equityP</f>
        <v>0.20256762269137166</v>
      </c>
      <c r="AB26" s="411">
        <f ca="1">+AA26/(1-taxrate)</f>
        <v>0.25641471226755908</v>
      </c>
      <c r="AC26" s="411">
        <f>debtP*Debt_Rate</f>
        <v>1.3521189462017025E-2</v>
      </c>
      <c r="AD26" s="411">
        <f ca="1">+AC26+AB26</f>
        <v>0.2699359017295761</v>
      </c>
      <c r="AE26" s="411">
        <f ca="1">+AD26/(S26/100)</f>
        <v>8.8040265960017905E-2</v>
      </c>
      <c r="AF26" s="411">
        <f ca="1">1-AE26</f>
        <v>0.9119597340399821</v>
      </c>
      <c r="AG26" s="408">
        <f ca="1">expenses/(AF26)</f>
        <v>79454.552509161978</v>
      </c>
      <c r="AH26" s="410">
        <f ca="1">+AG26-Revenue</f>
        <v>-7349.5488779257867</v>
      </c>
      <c r="AI26" s="409">
        <f ca="1">+AH26/$J$49</f>
        <v>-8292.254244589787</v>
      </c>
      <c r="AJ26" s="409">
        <f ca="1">+AI26*$J$47</f>
        <v>-210.71404999861326</v>
      </c>
      <c r="AK26" s="408">
        <f ca="1">ROUND(+AJ26+AG26,5)</f>
        <v>79243.838459999999</v>
      </c>
    </row>
    <row r="27" spans="1:37" ht="15.75">
      <c r="A27" s="94"/>
      <c r="B27" s="459" t="s">
        <v>359</v>
      </c>
      <c r="C27" s="458"/>
      <c r="D27" s="458"/>
      <c r="E27" s="458"/>
      <c r="F27" s="132">
        <f t="shared" si="7"/>
        <v>21</v>
      </c>
      <c r="H27" s="124" t="s">
        <v>329</v>
      </c>
      <c r="I27" s="163">
        <f>IF(A64=TRUE,C8,0)</f>
        <v>0.41914391658184569</v>
      </c>
      <c r="J27" s="165">
        <f>+I27*J28</f>
        <v>10833.015660494742</v>
      </c>
      <c r="K27" s="141">
        <f>IF(A64=TRUE,C9,0)</f>
        <v>3.2259061690035909E-2</v>
      </c>
      <c r="L27" s="163">
        <f>+K27*I27</f>
        <v>1.3521189462017025E-2</v>
      </c>
      <c r="M27" s="137">
        <f>+K27*J27</f>
        <v>349.46292048102498</v>
      </c>
      <c r="O27" s="94"/>
      <c r="P27" s="94"/>
      <c r="R27" s="126">
        <v>2</v>
      </c>
      <c r="S27" s="127">
        <f ca="1">AK22/Investment*100</f>
        <v>306.60505029842051</v>
      </c>
      <c r="T27" s="136">
        <f ca="1">EXP(y_inter2-(slope*LN(+S27)))</f>
        <v>7.3613646544531059</v>
      </c>
      <c r="U27" s="129">
        <f ca="1">(+S27*T27/100)/100</f>
        <v>0.22570315801436094</v>
      </c>
      <c r="V27" s="129">
        <f>regDebt_weighted</f>
        <v>3.5860000000000003E-2</v>
      </c>
      <c r="W27" s="129">
        <f ca="1">+U27-V27</f>
        <v>0.18984315801436094</v>
      </c>
      <c r="X27" s="129">
        <f ca="1">+((W27*(1-0.34))-Pfd_weighted)/Equity_percent</f>
        <v>0.34623977991127386</v>
      </c>
      <c r="Y27" s="129">
        <f>+Y26</f>
        <v>2.5000000000000001E-3</v>
      </c>
      <c r="Z27" s="129">
        <f ca="1">+X27+Y27</f>
        <v>0.34873977991127386</v>
      </c>
      <c r="AA27" s="129">
        <f ca="1">Z27*equityP</f>
        <v>0.20256762269137166</v>
      </c>
      <c r="AB27" s="129">
        <f ca="1">+AA27/(1-taxrate)</f>
        <v>0.25641471226755908</v>
      </c>
      <c r="AC27" s="129">
        <f>debtP*Debt_Rate</f>
        <v>1.3521189462017025E-2</v>
      </c>
      <c r="AD27" s="129">
        <f ca="1">+AC27+AB27</f>
        <v>0.2699359017295761</v>
      </c>
      <c r="AE27" s="129">
        <f ca="1">+AD27/(S27/100)</f>
        <v>8.8040265960017905E-2</v>
      </c>
      <c r="AF27" s="129">
        <f ca="1">1-AE27</f>
        <v>0.9119597340399821</v>
      </c>
      <c r="AG27" s="130">
        <f ca="1">expenses/(AF27)</f>
        <v>79454.552509161978</v>
      </c>
      <c r="AH27" s="239">
        <f ca="1">+AG27-Revenue</f>
        <v>-7349.5488779257867</v>
      </c>
      <c r="AI27" s="131">
        <f ca="1">+AH27/$J$49</f>
        <v>-8292.254244589787</v>
      </c>
      <c r="AJ27" s="131">
        <f ca="1">+AI27*$J$47</f>
        <v>-210.71404999861326</v>
      </c>
      <c r="AK27" s="130">
        <f t="shared" ref="AK27:AK29" ca="1" si="14">ROUND(+AJ27+AG27,5)</f>
        <v>79243.838459999999</v>
      </c>
    </row>
    <row r="28" spans="1:37" ht="16.5" thickBot="1">
      <c r="A28" s="94"/>
      <c r="B28" s="94"/>
      <c r="C28" s="94"/>
      <c r="D28" s="94"/>
      <c r="E28" s="94"/>
      <c r="F28" s="132">
        <f t="shared" si="7"/>
        <v>22</v>
      </c>
      <c r="H28" s="124" t="s">
        <v>20</v>
      </c>
      <c r="I28" s="163">
        <f>SUM(I26:I27)</f>
        <v>1</v>
      </c>
      <c r="J28" s="166">
        <f>IF(A64=TRUE,C7,0)</f>
        <v>25845.575307018429</v>
      </c>
      <c r="K28" s="167"/>
      <c r="L28" s="168">
        <f ca="1">SUM(L26:L27)</f>
        <v>0.21665514462131019</v>
      </c>
      <c r="M28" s="166">
        <f ca="1">SUM(M26:M27)</f>
        <v>5599.5768559630424</v>
      </c>
      <c r="O28" s="94"/>
      <c r="P28" s="94"/>
      <c r="R28" s="133">
        <v>3</v>
      </c>
      <c r="S28" s="127">
        <f ca="1">AK23/Investment*100</f>
        <v>306.60505029842051</v>
      </c>
      <c r="T28" s="128">
        <f ca="1">EXP(y_inter3-(slope*LN(S28)))</f>
        <v>7.3613646544531059</v>
      </c>
      <c r="U28" s="129">
        <f ca="1">(+S28*T28/100)/100</f>
        <v>0.22570315801436094</v>
      </c>
      <c r="V28" s="129">
        <f>regDebt_weighted</f>
        <v>3.5860000000000003E-2</v>
      </c>
      <c r="W28" s="129">
        <f ca="1">+U28-V28</f>
        <v>0.18984315801436094</v>
      </c>
      <c r="X28" s="129">
        <f ca="1">+((W28*(1-0.34))-Pfd_weighted)/Equity_percent</f>
        <v>0.34623977991127386</v>
      </c>
      <c r="Y28" s="129">
        <f>+Y27</f>
        <v>2.5000000000000001E-3</v>
      </c>
      <c r="Z28" s="129">
        <f t="shared" ref="Z28:Z29" ca="1" si="15">+X28+Y28</f>
        <v>0.34873977991127386</v>
      </c>
      <c r="AA28" s="129">
        <f ca="1">Z28*equityP</f>
        <v>0.20256762269137166</v>
      </c>
      <c r="AB28" s="129">
        <f ca="1">+AA28/(1-taxrate)</f>
        <v>0.25641471226755908</v>
      </c>
      <c r="AC28" s="129">
        <f>debtP*Debt_Rate</f>
        <v>1.3521189462017025E-2</v>
      </c>
      <c r="AD28" s="129">
        <f ca="1">+AC28+AB28</f>
        <v>0.2699359017295761</v>
      </c>
      <c r="AE28" s="129">
        <f ca="1">+AD28/(S28/100)</f>
        <v>8.8040265960017905E-2</v>
      </c>
      <c r="AF28" s="129">
        <f ca="1">1-AE28</f>
        <v>0.9119597340399821</v>
      </c>
      <c r="AG28" s="130">
        <f ca="1">expenses/(AF28)</f>
        <v>79454.552509161978</v>
      </c>
      <c r="AH28" s="239">
        <f ca="1">+AG28-Revenue</f>
        <v>-7349.5488779257867</v>
      </c>
      <c r="AI28" s="131">
        <f ca="1">+AH28/$J$49</f>
        <v>-8292.254244589787</v>
      </c>
      <c r="AJ28" s="131">
        <f ca="1">+AI28*$J$47</f>
        <v>-210.71404999861326</v>
      </c>
      <c r="AK28" s="130">
        <f t="shared" ca="1" si="14"/>
        <v>79243.838459999999</v>
      </c>
    </row>
    <row r="29" spans="1:37" ht="16.5" thickTop="1">
      <c r="A29" s="94"/>
      <c r="B29" s="94"/>
      <c r="C29" s="94"/>
      <c r="D29" s="94"/>
      <c r="E29" s="94"/>
      <c r="F29" s="132">
        <f t="shared" si="7"/>
        <v>23</v>
      </c>
      <c r="G29" s="108"/>
      <c r="H29" s="108"/>
      <c r="I29" s="108"/>
      <c r="J29" s="108"/>
      <c r="K29" s="108"/>
      <c r="L29" s="108"/>
      <c r="M29" s="108"/>
      <c r="N29" s="108"/>
      <c r="O29" s="94"/>
      <c r="P29" s="94"/>
      <c r="R29" s="134">
        <v>4</v>
      </c>
      <c r="S29" s="127">
        <f ca="1">AK24/Investment*100</f>
        <v>306.60505029842051</v>
      </c>
      <c r="T29" s="138">
        <f ca="1">EXP(y_inter4-(slope*LN(S29)))</f>
        <v>7.3613646544531059</v>
      </c>
      <c r="U29" s="129">
        <f ca="1">(+S29*T29/100)/100</f>
        <v>0.22570315801436094</v>
      </c>
      <c r="V29" s="129">
        <f>regDebt_weighted</f>
        <v>3.5860000000000003E-2</v>
      </c>
      <c r="W29" s="129">
        <f ca="1">+U29-V29</f>
        <v>0.18984315801436094</v>
      </c>
      <c r="X29" s="129">
        <f ca="1">+((W29*(1-0.34))-Pfd_weighted)/Equity_percent</f>
        <v>0.34623977991127386</v>
      </c>
      <c r="Y29" s="129">
        <f>+Y28</f>
        <v>2.5000000000000001E-3</v>
      </c>
      <c r="Z29" s="129">
        <f t="shared" ca="1" si="15"/>
        <v>0.34873977991127386</v>
      </c>
      <c r="AA29" s="129">
        <f ca="1">Z29*equityP</f>
        <v>0.20256762269137166</v>
      </c>
      <c r="AB29" s="129">
        <f ca="1">+AA29/(1-taxrate)</f>
        <v>0.25641471226755908</v>
      </c>
      <c r="AC29" s="129">
        <f>debtP*Debt_Rate</f>
        <v>1.3521189462017025E-2</v>
      </c>
      <c r="AD29" s="129">
        <f ca="1">+AC29+AB29</f>
        <v>0.2699359017295761</v>
      </c>
      <c r="AE29" s="129">
        <f ca="1">+AD29/(S29/100)</f>
        <v>8.8040265960017905E-2</v>
      </c>
      <c r="AF29" s="129">
        <f ca="1">1-AE29</f>
        <v>0.9119597340399821</v>
      </c>
      <c r="AG29" s="130">
        <f ca="1">expenses/(AF29)</f>
        <v>79454.552509161978</v>
      </c>
      <c r="AH29" s="239">
        <f ca="1">+AG29-Revenue</f>
        <v>-7349.5488779257867</v>
      </c>
      <c r="AI29" s="131">
        <f ca="1">+AH29/$J$49</f>
        <v>-8292.254244589787</v>
      </c>
      <c r="AJ29" s="131">
        <f ca="1">+AI29*$J$47</f>
        <v>-210.71404999861326</v>
      </c>
      <c r="AK29" s="130">
        <f t="shared" ca="1" si="14"/>
        <v>79243.838459999999</v>
      </c>
    </row>
    <row r="30" spans="1:37" ht="15.75">
      <c r="A30" s="94"/>
      <c r="B30" s="94"/>
      <c r="C30" s="94"/>
      <c r="D30" s="169"/>
      <c r="E30" s="94"/>
      <c r="F30" s="132">
        <f t="shared" si="7"/>
        <v>24</v>
      </c>
      <c r="G30" s="108"/>
      <c r="H30" s="108"/>
      <c r="I30" s="108"/>
      <c r="J30" s="170" t="s">
        <v>360</v>
      </c>
      <c r="K30" s="170" t="s">
        <v>361</v>
      </c>
      <c r="L30" s="108"/>
      <c r="M30" s="108"/>
      <c r="N30" s="108"/>
      <c r="O30" s="94"/>
      <c r="P30" s="94"/>
      <c r="R30" s="111" t="s">
        <v>362</v>
      </c>
      <c r="W30" s="160"/>
      <c r="X30" s="161"/>
      <c r="Z30" s="161"/>
      <c r="AA30" s="162"/>
      <c r="AB30" s="162"/>
      <c r="AC30" s="161"/>
      <c r="AE30" s="161"/>
      <c r="AF30" s="161"/>
      <c r="AG30" s="162"/>
      <c r="AH30" s="160"/>
      <c r="AJ30" s="162"/>
    </row>
    <row r="31" spans="1:37" ht="15.75">
      <c r="A31" s="94"/>
      <c r="B31" s="94"/>
      <c r="C31" s="94"/>
      <c r="D31" s="169"/>
      <c r="E31" s="94"/>
      <c r="F31" s="132">
        <f t="shared" si="7"/>
        <v>25</v>
      </c>
      <c r="G31" s="108"/>
      <c r="H31" s="171" t="s">
        <v>363</v>
      </c>
      <c r="I31" s="172"/>
      <c r="J31" s="173" t="s">
        <v>364</v>
      </c>
      <c r="K31" s="173" t="s">
        <v>364</v>
      </c>
      <c r="L31" s="1074"/>
      <c r="M31" s="1074"/>
      <c r="N31" s="1074"/>
      <c r="O31" s="94"/>
      <c r="P31" s="94"/>
      <c r="R31" s="413">
        <v>1</v>
      </c>
      <c r="S31" s="404">
        <f ca="1">AK26/Investment*100</f>
        <v>306.60504755133519</v>
      </c>
      <c r="T31" s="412">
        <f ca="1">EXP(y_inter1-(slope*LN(+S31)))</f>
        <v>7.3613646743398498</v>
      </c>
      <c r="U31" s="411">
        <f ca="1">(+S31*T31/100)/100</f>
        <v>0.2257031566018689</v>
      </c>
      <c r="V31" s="411">
        <f>regDebt_weighted</f>
        <v>3.5860000000000003E-2</v>
      </c>
      <c r="W31" s="411">
        <f ca="1">+U31-V31</f>
        <v>0.1898431566018689</v>
      </c>
      <c r="X31" s="411">
        <f ca="1">+((W31*(1-0.34))-Pfd_weighted)/Equity_percent</f>
        <v>0.34623977720126003</v>
      </c>
      <c r="Y31" s="411">
        <f>+Y29</f>
        <v>2.5000000000000001E-3</v>
      </c>
      <c r="Z31" s="411">
        <f ca="1">+X31+Y31</f>
        <v>0.34873977720126004</v>
      </c>
      <c r="AA31" s="411">
        <f ca="1">Z31*equityP</f>
        <v>0.20256762111724366</v>
      </c>
      <c r="AB31" s="411">
        <f ca="1">+AA31/(1-taxrate)</f>
        <v>0.25641471027499196</v>
      </c>
      <c r="AC31" s="411">
        <f>debtP*Debt_Rate</f>
        <v>1.3521189462017025E-2</v>
      </c>
      <c r="AD31" s="411">
        <f ca="1">+AC31+AB31</f>
        <v>0.26993589973700899</v>
      </c>
      <c r="AE31" s="411">
        <f ca="1">+AD31/(S31/100)</f>
        <v>8.8040266098950423E-2</v>
      </c>
      <c r="AF31" s="411">
        <f ca="1">1-AE31</f>
        <v>0.91195973390104956</v>
      </c>
      <c r="AG31" s="408">
        <f ca="1">expenses/(AF31)</f>
        <v>79454.55252126648</v>
      </c>
      <c r="AH31" s="410">
        <f ca="1">+AG31-Revenue</f>
        <v>-7349.5488658212853</v>
      </c>
      <c r="AI31" s="409">
        <f ca="1">+AH31/$J$49</f>
        <v>-8292.2542309326764</v>
      </c>
      <c r="AJ31" s="409">
        <f ca="1">+AI31*$J$47</f>
        <v>-210.71404965157313</v>
      </c>
      <c r="AK31" s="408">
        <f ca="1">ROUND(+AJ31+AG31,5)</f>
        <v>79243.838470000002</v>
      </c>
    </row>
    <row r="32" spans="1:37" ht="15.75">
      <c r="A32" s="94"/>
      <c r="B32" s="94"/>
      <c r="C32" s="94"/>
      <c r="D32" s="174"/>
      <c r="E32" s="94"/>
      <c r="F32" s="132">
        <f t="shared" si="7"/>
        <v>26</v>
      </c>
      <c r="G32" s="108"/>
      <c r="H32" s="117"/>
      <c r="I32" s="117"/>
      <c r="J32" s="117"/>
      <c r="K32" s="117"/>
      <c r="L32" s="108"/>
      <c r="M32" s="108"/>
      <c r="N32" s="108"/>
      <c r="O32" s="94"/>
      <c r="P32" s="94"/>
      <c r="R32" s="126">
        <v>2</v>
      </c>
      <c r="S32" s="127">
        <f ca="1">AK27/Investment*100</f>
        <v>306.60504755133519</v>
      </c>
      <c r="T32" s="136">
        <f ca="1">EXP(y_inter2-(slope*LN(+S32)))</f>
        <v>7.3613646743398498</v>
      </c>
      <c r="U32" s="129">
        <f ca="1">(+S32*T32/100)/100</f>
        <v>0.2257031566018689</v>
      </c>
      <c r="V32" s="129">
        <f>regDebt_weighted</f>
        <v>3.5860000000000003E-2</v>
      </c>
      <c r="W32" s="129">
        <f ca="1">+U32-V32</f>
        <v>0.1898431566018689</v>
      </c>
      <c r="X32" s="129">
        <f ca="1">+((W32*(1-0.34))-Pfd_weighted)/Equity_percent</f>
        <v>0.34623977720126003</v>
      </c>
      <c r="Y32" s="129">
        <f>+Y31</f>
        <v>2.5000000000000001E-3</v>
      </c>
      <c r="Z32" s="129">
        <f ca="1">+X32+Y32</f>
        <v>0.34873977720126004</v>
      </c>
      <c r="AA32" s="129">
        <f ca="1">Z32*equityP</f>
        <v>0.20256762111724366</v>
      </c>
      <c r="AB32" s="129">
        <f ca="1">+AA32/(1-taxrate)</f>
        <v>0.25641471027499196</v>
      </c>
      <c r="AC32" s="129">
        <f>debtP*Debt_Rate</f>
        <v>1.3521189462017025E-2</v>
      </c>
      <c r="AD32" s="129">
        <f ca="1">+AC32+AB32</f>
        <v>0.26993589973700899</v>
      </c>
      <c r="AE32" s="129">
        <f ca="1">+AD32/(S32/100)</f>
        <v>8.8040266098950423E-2</v>
      </c>
      <c r="AF32" s="129">
        <f ca="1">1-AE32</f>
        <v>0.91195973390104956</v>
      </c>
      <c r="AG32" s="130">
        <f ca="1">expenses/(AF32)</f>
        <v>79454.55252126648</v>
      </c>
      <c r="AH32" s="239">
        <f ca="1">+AG32-Revenue</f>
        <v>-7349.5488658212853</v>
      </c>
      <c r="AI32" s="131">
        <f ca="1">+AH32/$J$49</f>
        <v>-8292.2542309326764</v>
      </c>
      <c r="AJ32" s="131">
        <f ca="1">+AI32*$J$47</f>
        <v>-210.71404965157313</v>
      </c>
      <c r="AK32" s="130">
        <f t="shared" ref="AK32:AK34" ca="1" si="16">ROUND(+AJ32+AG32,5)</f>
        <v>79243.838470000002</v>
      </c>
    </row>
    <row r="33" spans="1:48" ht="15.75">
      <c r="A33" s="94"/>
      <c r="B33" s="94"/>
      <c r="C33" s="94"/>
      <c r="D33" s="94"/>
      <c r="E33" s="94"/>
      <c r="F33" s="132">
        <f t="shared" si="7"/>
        <v>27</v>
      </c>
      <c r="G33" s="108"/>
      <c r="H33" s="117" t="s">
        <v>365</v>
      </c>
      <c r="I33" s="117"/>
      <c r="J33" s="175">
        <f ca="1">+K9/J28</f>
        <v>0.27065277827124889</v>
      </c>
      <c r="K33" s="175">
        <f ca="1">+(M14+M11)/J28</f>
        <v>0.21665514462131022</v>
      </c>
      <c r="L33" s="124"/>
      <c r="M33" s="124"/>
      <c r="N33" s="125"/>
      <c r="O33" s="94"/>
      <c r="P33" s="94"/>
      <c r="R33" s="133">
        <v>3</v>
      </c>
      <c r="S33" s="127">
        <f ca="1">AK28/Investment*100</f>
        <v>306.60504755133519</v>
      </c>
      <c r="T33" s="128">
        <f ca="1">EXP(y_inter3-(slope*LN(S33)))</f>
        <v>7.3613646743398498</v>
      </c>
      <c r="U33" s="129">
        <f ca="1">(+S33*T33/100)/100</f>
        <v>0.2257031566018689</v>
      </c>
      <c r="V33" s="129">
        <f>regDebt_weighted</f>
        <v>3.5860000000000003E-2</v>
      </c>
      <c r="W33" s="129">
        <f ca="1">+U33-V33</f>
        <v>0.1898431566018689</v>
      </c>
      <c r="X33" s="129">
        <f ca="1">+((W33*(1-0.34))-Pfd_weighted)/Equity_percent</f>
        <v>0.34623977720126003</v>
      </c>
      <c r="Y33" s="129">
        <f>+Y32</f>
        <v>2.5000000000000001E-3</v>
      </c>
      <c r="Z33" s="129">
        <f t="shared" ref="Z33:Z34" ca="1" si="17">+X33+Y33</f>
        <v>0.34873977720126004</v>
      </c>
      <c r="AA33" s="129">
        <f ca="1">Z33*equityP</f>
        <v>0.20256762111724366</v>
      </c>
      <c r="AB33" s="129">
        <f ca="1">+AA33/(1-taxrate)</f>
        <v>0.25641471027499196</v>
      </c>
      <c r="AC33" s="129">
        <f>debtP*Debt_Rate</f>
        <v>1.3521189462017025E-2</v>
      </c>
      <c r="AD33" s="129">
        <f ca="1">+AC33+AB33</f>
        <v>0.26993589973700899</v>
      </c>
      <c r="AE33" s="129">
        <f ca="1">+AD33/(S33/100)</f>
        <v>8.8040266098950423E-2</v>
      </c>
      <c r="AF33" s="129">
        <f ca="1">1-AE33</f>
        <v>0.91195973390104956</v>
      </c>
      <c r="AG33" s="130">
        <f ca="1">expenses/(AF33)</f>
        <v>79454.55252126648</v>
      </c>
      <c r="AH33" s="239">
        <f ca="1">+AG33-Revenue</f>
        <v>-7349.5488658212853</v>
      </c>
      <c r="AI33" s="131">
        <f ca="1">+AH33/$J$49</f>
        <v>-8292.2542309326764</v>
      </c>
      <c r="AJ33" s="131">
        <f ca="1">+AI33*$J$47</f>
        <v>-210.71404965157313</v>
      </c>
      <c r="AK33" s="130">
        <f t="shared" ca="1" si="16"/>
        <v>79243.838470000002</v>
      </c>
    </row>
    <row r="34" spans="1:48" ht="15.75">
      <c r="A34" s="94"/>
      <c r="B34" s="94"/>
      <c r="C34" s="94"/>
      <c r="D34" s="94"/>
      <c r="E34" s="94"/>
      <c r="F34" s="132">
        <f t="shared" si="7"/>
        <v>28</v>
      </c>
      <c r="G34" s="108"/>
      <c r="H34" s="117" t="s">
        <v>366</v>
      </c>
      <c r="I34" s="117"/>
      <c r="J34" s="175">
        <f ca="1">+(M9-M11)/J26</f>
        <v>0.44267693177300266</v>
      </c>
      <c r="K34" s="175">
        <f ca="1">+M14/J26</f>
        <v>0.34971477610067214</v>
      </c>
      <c r="L34" s="124"/>
      <c r="M34" s="124"/>
      <c r="N34" s="125"/>
      <c r="O34" s="176"/>
      <c r="P34" s="94"/>
      <c r="R34" s="134">
        <v>4</v>
      </c>
      <c r="S34" s="127">
        <f ca="1">AK29/Investment*100</f>
        <v>306.60504755133519</v>
      </c>
      <c r="T34" s="138">
        <f ca="1">EXP(y_inter4-(slope*LN(S34)))</f>
        <v>7.3613646743398498</v>
      </c>
      <c r="U34" s="129">
        <f ca="1">(+S34*T34/100)/100</f>
        <v>0.2257031566018689</v>
      </c>
      <c r="V34" s="129">
        <f>regDebt_weighted</f>
        <v>3.5860000000000003E-2</v>
      </c>
      <c r="W34" s="129">
        <f ca="1">+U34-V34</f>
        <v>0.1898431566018689</v>
      </c>
      <c r="X34" s="129">
        <f ca="1">+((W34*(1-0.34))-Pfd_weighted)/Equity_percent</f>
        <v>0.34623977720126003</v>
      </c>
      <c r="Y34" s="129">
        <f>+Y33</f>
        <v>2.5000000000000001E-3</v>
      </c>
      <c r="Z34" s="129">
        <f t="shared" ca="1" si="17"/>
        <v>0.34873977720126004</v>
      </c>
      <c r="AA34" s="129">
        <f ca="1">Z34*equityP</f>
        <v>0.20256762111724366</v>
      </c>
      <c r="AB34" s="129">
        <f ca="1">+AA34/(1-taxrate)</f>
        <v>0.25641471027499196</v>
      </c>
      <c r="AC34" s="129">
        <f>debtP*Debt_Rate</f>
        <v>1.3521189462017025E-2</v>
      </c>
      <c r="AD34" s="129">
        <f ca="1">+AC34+AB34</f>
        <v>0.26993589973700899</v>
      </c>
      <c r="AE34" s="129">
        <f ca="1">+AD34/(S34/100)</f>
        <v>8.8040266098950423E-2</v>
      </c>
      <c r="AF34" s="129">
        <f ca="1">1-AE34</f>
        <v>0.91195973390104956</v>
      </c>
      <c r="AG34" s="130">
        <f ca="1">expenses/(AF34)</f>
        <v>79454.55252126648</v>
      </c>
      <c r="AH34" s="239">
        <f ca="1">+AG34-Revenue</f>
        <v>-7349.5488658212853</v>
      </c>
      <c r="AI34" s="131">
        <f ca="1">+AH34/$J$49</f>
        <v>-8292.2542309326764</v>
      </c>
      <c r="AJ34" s="131">
        <f ca="1">+AI34*$J$47</f>
        <v>-210.71404965157313</v>
      </c>
      <c r="AK34" s="130">
        <f t="shared" ca="1" si="16"/>
        <v>79243.838470000002</v>
      </c>
    </row>
    <row r="35" spans="1:48" ht="15.75">
      <c r="A35" s="94"/>
      <c r="B35" s="94"/>
      <c r="C35" s="94"/>
      <c r="D35" s="94"/>
      <c r="E35" s="94"/>
      <c r="F35" s="132">
        <f t="shared" si="7"/>
        <v>29</v>
      </c>
      <c r="G35" s="108"/>
      <c r="H35" s="178" t="s">
        <v>282</v>
      </c>
      <c r="I35" s="117"/>
      <c r="J35" s="175">
        <f ca="1">+K8/K7</f>
        <v>0.9119600000000001</v>
      </c>
      <c r="K35" s="175">
        <f ca="1">+M8/M7</f>
        <v>0.91172589562808337</v>
      </c>
      <c r="L35" s="124"/>
      <c r="M35" s="124"/>
      <c r="N35" s="125"/>
      <c r="O35" s="94"/>
      <c r="P35" s="94"/>
      <c r="R35" s="111" t="s">
        <v>367</v>
      </c>
      <c r="X35" s="161"/>
      <c r="Y35" s="161"/>
      <c r="Z35" s="161"/>
      <c r="AA35" s="179"/>
      <c r="AB35" s="162"/>
      <c r="AC35" s="161"/>
      <c r="AE35" s="161"/>
      <c r="AF35" s="161"/>
      <c r="AG35" s="162"/>
      <c r="AH35" s="160"/>
      <c r="AJ35" s="162"/>
    </row>
    <row r="36" spans="1:48" ht="15.75">
      <c r="A36" s="94"/>
      <c r="B36" s="94"/>
      <c r="C36" s="94"/>
      <c r="D36" s="94"/>
      <c r="E36" s="94"/>
      <c r="F36" s="132">
        <f t="shared" si="7"/>
        <v>30</v>
      </c>
      <c r="G36" s="108"/>
      <c r="H36" s="117" t="s">
        <v>368</v>
      </c>
      <c r="I36" s="117"/>
      <c r="J36" s="175">
        <f ca="1">+K9/K7</f>
        <v>8.8039999999999938E-2</v>
      </c>
      <c r="K36" s="175">
        <f ca="1">+J36</f>
        <v>8.8039999999999938E-2</v>
      </c>
      <c r="L36" s="108"/>
      <c r="M36" s="108"/>
      <c r="N36" s="125"/>
      <c r="O36" s="94"/>
      <c r="P36" s="94"/>
      <c r="R36" s="413">
        <v>1</v>
      </c>
      <c r="S36" s="404">
        <f ca="1">AK31/Investment*100</f>
        <v>306.60504759002657</v>
      </c>
      <c r="T36" s="412">
        <f ca="1">EXP(y_inter1-(slope*LN(+S36)))</f>
        <v>7.3613646740597565</v>
      </c>
      <c r="U36" s="411">
        <f ca="1">(+S36*T36/100)/100</f>
        <v>0.22570315662176324</v>
      </c>
      <c r="V36" s="411">
        <f>regDebt_weighted</f>
        <v>3.5860000000000003E-2</v>
      </c>
      <c r="W36" s="411">
        <f ca="1">+U36-V36</f>
        <v>0.18984315662176324</v>
      </c>
      <c r="X36" s="411">
        <f ca="1">+((W36*(1-0.34))-Pfd_weighted)/Equity_percent</f>
        <v>0.34623977723942945</v>
      </c>
      <c r="Y36" s="411">
        <f>+Y34</f>
        <v>2.5000000000000001E-3</v>
      </c>
      <c r="Z36" s="411">
        <f ca="1">+X36+Y36</f>
        <v>0.34873977723942945</v>
      </c>
      <c r="AA36" s="411">
        <f ca="1">Z36*equityP</f>
        <v>0.20256762113941459</v>
      </c>
      <c r="AB36" s="411">
        <f ca="1">+AA36/(1-taxrate)</f>
        <v>0.25641471030305646</v>
      </c>
      <c r="AC36" s="411">
        <f>debtP*Debt_Rate</f>
        <v>1.3521189462017025E-2</v>
      </c>
      <c r="AD36" s="411">
        <f ca="1">+AC36+AB36</f>
        <v>0.26993589976507348</v>
      </c>
      <c r="AE36" s="411">
        <f ca="1">+AD36/(S36/100)</f>
        <v>8.8040266096993683E-2</v>
      </c>
      <c r="AF36" s="411">
        <f ca="1">1-AE36</f>
        <v>0.91195973390300633</v>
      </c>
      <c r="AG36" s="408">
        <f ca="1">expenses/(AF36)</f>
        <v>79454.552521096004</v>
      </c>
      <c r="AH36" s="410">
        <f ca="1">+AG36-Revenue</f>
        <v>-7349.548865991761</v>
      </c>
      <c r="AI36" s="409">
        <f ca="1">+AH36/$J$49</f>
        <v>-8292.2542311250199</v>
      </c>
      <c r="AJ36" s="409">
        <f ca="1">+AI36*$J$47</f>
        <v>-210.71404965646076</v>
      </c>
      <c r="AK36" s="408">
        <f ca="1">ROUND(+AJ36+AG36,5)</f>
        <v>79243.838470000002</v>
      </c>
    </row>
    <row r="37" spans="1:48" ht="15.75">
      <c r="A37" s="94"/>
      <c r="B37" s="94"/>
      <c r="C37" s="94"/>
      <c r="D37" s="106"/>
      <c r="E37" s="94"/>
      <c r="F37" s="132">
        <f t="shared" si="7"/>
        <v>31</v>
      </c>
      <c r="G37" s="108"/>
      <c r="H37" s="117" t="s">
        <v>369</v>
      </c>
      <c r="I37" s="180"/>
      <c r="J37" s="181">
        <f ca="1">+S39/100</f>
        <v>3.0660504759002656</v>
      </c>
      <c r="K37" s="181">
        <f ca="1">+J37</f>
        <v>3.0660504759002656</v>
      </c>
      <c r="L37" s="108"/>
      <c r="M37" s="108"/>
      <c r="N37" s="108"/>
      <c r="O37" s="94"/>
      <c r="P37" s="94"/>
      <c r="R37" s="126">
        <v>2</v>
      </c>
      <c r="S37" s="127">
        <f ca="1">AK32/Investment*100</f>
        <v>306.60504759002657</v>
      </c>
      <c r="T37" s="136">
        <f ca="1">EXP(y_inter2-(slope*LN(+S37)))</f>
        <v>7.3613646740597565</v>
      </c>
      <c r="U37" s="129">
        <f ca="1">(+S37*T37/100)/100</f>
        <v>0.22570315662176324</v>
      </c>
      <c r="V37" s="129">
        <f>regDebt_weighted</f>
        <v>3.5860000000000003E-2</v>
      </c>
      <c r="W37" s="129">
        <f ca="1">+U37-V37</f>
        <v>0.18984315662176324</v>
      </c>
      <c r="X37" s="129">
        <f ca="1">+((W37*(1-0.34))-Pfd_weighted)/Equity_percent</f>
        <v>0.34623977723942945</v>
      </c>
      <c r="Y37" s="129">
        <f>+Y36</f>
        <v>2.5000000000000001E-3</v>
      </c>
      <c r="Z37" s="129">
        <f ca="1">+X37+Y37</f>
        <v>0.34873977723942945</v>
      </c>
      <c r="AA37" s="129">
        <f ca="1">Z37*equityP</f>
        <v>0.20256762113941459</v>
      </c>
      <c r="AB37" s="129">
        <f ca="1">+AA37/(1-taxrate)</f>
        <v>0.25641471030305646</v>
      </c>
      <c r="AC37" s="129">
        <f>debtP*Debt_Rate</f>
        <v>1.3521189462017025E-2</v>
      </c>
      <c r="AD37" s="129">
        <f ca="1">+AC37+AB37</f>
        <v>0.26993589976507348</v>
      </c>
      <c r="AE37" s="129">
        <f ca="1">+AD37/(S37/100)</f>
        <v>8.8040266096993683E-2</v>
      </c>
      <c r="AF37" s="129">
        <f ca="1">1-AE37</f>
        <v>0.91195973390300633</v>
      </c>
      <c r="AG37" s="130">
        <f ca="1">expenses/(AF37)</f>
        <v>79454.552521096004</v>
      </c>
      <c r="AH37" s="239">
        <f ca="1">+AG37-Revenue</f>
        <v>-7349.548865991761</v>
      </c>
      <c r="AI37" s="131">
        <f ca="1">+AH37/$J$49</f>
        <v>-8292.2542311250199</v>
      </c>
      <c r="AJ37" s="131">
        <f ca="1">+AI37*$J$47</f>
        <v>-210.71404965646076</v>
      </c>
      <c r="AK37" s="130">
        <f t="shared" ref="AK37:AK39" ca="1" si="18">ROUND(+AJ37+AG37,5)</f>
        <v>79243.838470000002</v>
      </c>
    </row>
    <row r="38" spans="1:48" ht="15.75">
      <c r="A38" s="94"/>
      <c r="B38" s="94"/>
      <c r="C38" s="94"/>
      <c r="D38" s="106"/>
      <c r="E38" s="94"/>
      <c r="F38" s="132">
        <f t="shared" si="7"/>
        <v>32</v>
      </c>
      <c r="G38" s="108"/>
      <c r="H38" s="117" t="s">
        <v>218</v>
      </c>
      <c r="I38" s="108"/>
      <c r="J38" s="175">
        <f>+C10</f>
        <v>0.21</v>
      </c>
      <c r="K38" s="175">
        <f>+J38</f>
        <v>0.21</v>
      </c>
      <c r="L38" s="108"/>
      <c r="M38" s="108"/>
      <c r="N38" s="108"/>
      <c r="O38" s="94"/>
      <c r="P38" s="94"/>
      <c r="Q38" s="182"/>
      <c r="R38" s="133">
        <v>3</v>
      </c>
      <c r="S38" s="127">
        <f ca="1">AK33/Investment*100</f>
        <v>306.60504759002657</v>
      </c>
      <c r="T38" s="128">
        <f ca="1">EXP(y_inter3-(slope*LN(S38)))</f>
        <v>7.3613646740597565</v>
      </c>
      <c r="U38" s="129">
        <f ca="1">(+S38*T38/100)/100</f>
        <v>0.22570315662176324</v>
      </c>
      <c r="V38" s="129">
        <f>regDebt_weighted</f>
        <v>3.5860000000000003E-2</v>
      </c>
      <c r="W38" s="129">
        <f ca="1">+U38-V38</f>
        <v>0.18984315662176324</v>
      </c>
      <c r="X38" s="129">
        <f ca="1">+((W38*(1-0.34))-Pfd_weighted)/Equity_percent</f>
        <v>0.34623977723942945</v>
      </c>
      <c r="Y38" s="129">
        <f>+Y37</f>
        <v>2.5000000000000001E-3</v>
      </c>
      <c r="Z38" s="129">
        <f t="shared" ref="Z38:Z39" ca="1" si="19">+X38+Y38</f>
        <v>0.34873977723942945</v>
      </c>
      <c r="AA38" s="129">
        <f ca="1">Z38*equityP</f>
        <v>0.20256762113941459</v>
      </c>
      <c r="AB38" s="129">
        <f ca="1">+AA38/(1-taxrate)</f>
        <v>0.25641471030305646</v>
      </c>
      <c r="AC38" s="129">
        <f>debtP*Debt_Rate</f>
        <v>1.3521189462017025E-2</v>
      </c>
      <c r="AD38" s="129">
        <f ca="1">+AC38+AB38</f>
        <v>0.26993589976507348</v>
      </c>
      <c r="AE38" s="129">
        <f ca="1">+AD38/(S38/100)</f>
        <v>8.8040266096993683E-2</v>
      </c>
      <c r="AF38" s="129">
        <f ca="1">1-AE38</f>
        <v>0.91195973390300633</v>
      </c>
      <c r="AG38" s="130">
        <f ca="1">expenses/(AF38)</f>
        <v>79454.552521096004</v>
      </c>
      <c r="AH38" s="239">
        <f ca="1">+AG38-Revenue</f>
        <v>-7349.548865991761</v>
      </c>
      <c r="AI38" s="131">
        <f ca="1">+AH38/$J$49</f>
        <v>-8292.2542311250199</v>
      </c>
      <c r="AJ38" s="131">
        <f ca="1">+AI38*$J$47</f>
        <v>-210.71404965646076</v>
      </c>
      <c r="AK38" s="130">
        <f t="shared" ca="1" si="18"/>
        <v>79243.838470000002</v>
      </c>
    </row>
    <row r="39" spans="1:48" ht="15.75">
      <c r="A39" s="94"/>
      <c r="B39" s="94"/>
      <c r="C39" s="94"/>
      <c r="D39" s="174"/>
      <c r="E39" s="94"/>
      <c r="F39" s="132">
        <f t="shared" si="7"/>
        <v>33</v>
      </c>
      <c r="G39" s="108"/>
      <c r="H39" s="108"/>
      <c r="I39" s="108"/>
      <c r="J39" s="108"/>
      <c r="K39" s="108"/>
      <c r="L39" s="108"/>
      <c r="M39" s="108"/>
      <c r="N39" s="108"/>
      <c r="O39" s="94"/>
      <c r="P39" s="94"/>
      <c r="R39" s="134">
        <v>4</v>
      </c>
      <c r="S39" s="127">
        <f ca="1">AK34/Investment*100</f>
        <v>306.60504759002657</v>
      </c>
      <c r="T39" s="138">
        <f ca="1">EXP(y_inter4-(slope*LN(S39)))</f>
        <v>7.3613646740597565</v>
      </c>
      <c r="U39" s="129">
        <f ca="1">(+S39*T39/100)/100</f>
        <v>0.22570315662176324</v>
      </c>
      <c r="V39" s="129">
        <f>regDebt_weighted</f>
        <v>3.5860000000000003E-2</v>
      </c>
      <c r="W39" s="129">
        <f ca="1">+U39-V39</f>
        <v>0.18984315662176324</v>
      </c>
      <c r="X39" s="129">
        <f ca="1">+((W39*(1-0.34))-Pfd_weighted)/Equity_percent</f>
        <v>0.34623977723942945</v>
      </c>
      <c r="Y39" s="129">
        <f>+Y38</f>
        <v>2.5000000000000001E-3</v>
      </c>
      <c r="Z39" s="129">
        <f t="shared" ca="1" si="19"/>
        <v>0.34873977723942945</v>
      </c>
      <c r="AA39" s="129">
        <f ca="1">Z39*equityP</f>
        <v>0.20256762113941459</v>
      </c>
      <c r="AB39" s="129">
        <f ca="1">+AA39/(1-taxrate)</f>
        <v>0.25641471030305646</v>
      </c>
      <c r="AC39" s="129">
        <f>debtP*Debt_Rate</f>
        <v>1.3521189462017025E-2</v>
      </c>
      <c r="AD39" s="129">
        <f ca="1">+AC39+AB39</f>
        <v>0.26993589976507348</v>
      </c>
      <c r="AE39" s="129">
        <f ca="1">+AD39/(S39/100)</f>
        <v>8.8040266096993683E-2</v>
      </c>
      <c r="AF39" s="129">
        <f ca="1">1-AE39</f>
        <v>0.91195973390300633</v>
      </c>
      <c r="AG39" s="130">
        <f ca="1">expenses/(AF39)</f>
        <v>79454.552521096004</v>
      </c>
      <c r="AH39" s="239">
        <f ca="1">+AG39-Revenue</f>
        <v>-7349.548865991761</v>
      </c>
      <c r="AI39" s="131">
        <f ca="1">+AH39/$J$49</f>
        <v>-8292.2542311250199</v>
      </c>
      <c r="AJ39" s="131">
        <f ca="1">+AI39*$J$47</f>
        <v>-210.71404965646076</v>
      </c>
      <c r="AK39" s="130">
        <f t="shared" ca="1" si="18"/>
        <v>79243.838470000002</v>
      </c>
    </row>
    <row r="40" spans="1:48" ht="15.75">
      <c r="A40" s="94"/>
      <c r="B40" s="94"/>
      <c r="C40" s="94"/>
      <c r="D40" s="94"/>
      <c r="E40" s="94"/>
      <c r="F40" s="132">
        <f t="shared" si="7"/>
        <v>34</v>
      </c>
      <c r="G40" s="180"/>
      <c r="H40" s="108"/>
      <c r="I40" s="108"/>
      <c r="J40" s="108"/>
      <c r="K40" s="108"/>
      <c r="L40" s="108"/>
      <c r="M40" s="108"/>
      <c r="N40" s="108"/>
      <c r="O40" s="94"/>
      <c r="P40" s="94"/>
      <c r="X40" s="161"/>
      <c r="Y40" s="161"/>
      <c r="Z40" s="161"/>
      <c r="AA40" s="179"/>
      <c r="AB40" s="162"/>
      <c r="AC40" s="161"/>
      <c r="AE40" s="161"/>
      <c r="AF40" s="161"/>
      <c r="AG40" s="162"/>
      <c r="AH40" s="160"/>
      <c r="AJ40" s="162"/>
    </row>
    <row r="41" spans="1:48" ht="15.75">
      <c r="A41" s="94"/>
      <c r="B41" s="94"/>
      <c r="C41" s="94"/>
      <c r="D41" s="94"/>
      <c r="E41" s="94"/>
      <c r="F41" s="132">
        <f t="shared" si="7"/>
        <v>35</v>
      </c>
      <c r="G41" s="108"/>
      <c r="H41" s="171" t="s">
        <v>370</v>
      </c>
      <c r="I41" s="183"/>
      <c r="J41" s="108"/>
      <c r="K41" s="108"/>
      <c r="L41" s="108"/>
      <c r="M41" s="108"/>
      <c r="N41" s="108"/>
      <c r="O41" s="94"/>
      <c r="P41" s="94"/>
      <c r="R41" s="407" t="s">
        <v>371</v>
      </c>
      <c r="S41" s="406"/>
      <c r="T41" s="405"/>
      <c r="U41" s="405"/>
      <c r="V41" s="402"/>
      <c r="X41" s="460"/>
      <c r="Y41" s="460"/>
      <c r="Z41" s="460"/>
      <c r="AA41" s="179"/>
      <c r="AB41" s="162"/>
      <c r="AC41" s="161"/>
      <c r="AE41" s="161"/>
      <c r="AF41" s="161"/>
      <c r="AG41" s="162"/>
      <c r="AH41" s="160"/>
      <c r="AJ41" s="162"/>
    </row>
    <row r="42" spans="1:48" ht="15.75">
      <c r="A42" s="94"/>
      <c r="B42" s="94"/>
      <c r="C42" s="94"/>
      <c r="D42" s="94"/>
      <c r="E42" s="94"/>
      <c r="F42" s="132">
        <f t="shared" si="7"/>
        <v>36</v>
      </c>
      <c r="G42" s="108"/>
      <c r="H42" s="108"/>
      <c r="I42" s="108"/>
      <c r="J42" s="184" t="s">
        <v>372</v>
      </c>
      <c r="K42" s="185" t="s">
        <v>172</v>
      </c>
      <c r="L42" s="108"/>
      <c r="M42" s="108"/>
      <c r="N42" s="108"/>
      <c r="O42" s="94"/>
      <c r="P42" s="94"/>
      <c r="R42" s="186" t="s">
        <v>373</v>
      </c>
      <c r="S42" s="187"/>
      <c r="T42" s="151"/>
      <c r="U42" s="151"/>
      <c r="V42" s="200"/>
      <c r="X42" s="161"/>
      <c r="Y42" s="161"/>
      <c r="Z42" s="161"/>
      <c r="AA42" s="179"/>
      <c r="AB42" s="162"/>
      <c r="AC42" s="161"/>
      <c r="AE42" s="161"/>
      <c r="AF42" s="161"/>
      <c r="AG42" s="162"/>
      <c r="AJ42" s="162"/>
    </row>
    <row r="43" spans="1:48" ht="15.75">
      <c r="A43" s="94"/>
      <c r="B43" s="94"/>
      <c r="C43" s="94"/>
      <c r="D43" s="94"/>
      <c r="E43" s="94"/>
      <c r="F43" s="132">
        <f t="shared" si="7"/>
        <v>37</v>
      </c>
      <c r="G43" s="108"/>
      <c r="H43" s="117" t="s">
        <v>216</v>
      </c>
      <c r="I43" s="188"/>
      <c r="J43" s="189">
        <f>IF(A64=TRUE,C11,0)</f>
        <v>1.7500000000000002E-2</v>
      </c>
      <c r="K43" s="190">
        <f ca="1">+J43*($J$7/$J$49)</f>
        <v>-145.1149067995224</v>
      </c>
      <c r="L43" s="108"/>
      <c r="M43" s="108"/>
      <c r="N43" s="108"/>
      <c r="O43" s="94"/>
      <c r="P43" s="94"/>
      <c r="R43" s="133">
        <v>0</v>
      </c>
      <c r="S43" s="191">
        <v>1</v>
      </c>
      <c r="T43" s="151"/>
      <c r="U43" s="192" t="s">
        <v>368</v>
      </c>
      <c r="V43" s="193">
        <f ca="1">VLOOKUP(R48,R36:AG39,14)</f>
        <v>8.8040266096993683E-2</v>
      </c>
      <c r="AC43" s="161"/>
      <c r="AE43" s="161"/>
      <c r="AJ43" s="162"/>
      <c r="AN43" s="161"/>
      <c r="AO43" s="161"/>
      <c r="AP43" s="161"/>
      <c r="AQ43" s="161"/>
      <c r="AR43" s="161"/>
      <c r="AS43" s="161"/>
      <c r="AT43" s="161"/>
      <c r="AU43" s="161"/>
      <c r="AV43" s="161"/>
    </row>
    <row r="44" spans="1:48" ht="15.75">
      <c r="A44" s="94"/>
      <c r="B44" s="94"/>
      <c r="C44" s="94"/>
      <c r="D44" s="94"/>
      <c r="E44" s="94"/>
      <c r="F44" s="132">
        <f t="shared" si="7"/>
        <v>38</v>
      </c>
      <c r="G44" s="108"/>
      <c r="H44" s="117" t="s">
        <v>217</v>
      </c>
      <c r="I44" s="188"/>
      <c r="J44" s="189">
        <f>IF(A64=TRUE,C12,0)</f>
        <v>5.1000000000000004E-3</v>
      </c>
      <c r="K44" s="190">
        <f ca="1">+J44*($J$7/$J$49)</f>
        <v>-42.290629981575101</v>
      </c>
      <c r="L44" s="108"/>
      <c r="M44" s="108"/>
      <c r="N44" s="108"/>
      <c r="O44" s="94"/>
      <c r="P44" s="94"/>
      <c r="R44" s="133">
        <v>50</v>
      </c>
      <c r="S44" s="191">
        <v>2</v>
      </c>
      <c r="T44" s="151"/>
      <c r="U44" s="192" t="s">
        <v>282</v>
      </c>
      <c r="V44" s="193">
        <f ca="1">ROUND(1-V43,6)</f>
        <v>0.91195999999999999</v>
      </c>
      <c r="AA44" s="194"/>
      <c r="AB44" s="111"/>
      <c r="AC44" s="111"/>
      <c r="AE44" s="161"/>
      <c r="AH44" s="160"/>
      <c r="AJ44" s="162"/>
      <c r="AN44" s="161"/>
      <c r="AO44" s="161"/>
      <c r="AP44" s="161"/>
      <c r="AQ44" s="161"/>
      <c r="AR44" s="161"/>
      <c r="AS44" s="161"/>
      <c r="AT44" s="161"/>
      <c r="AU44" s="161"/>
      <c r="AV44" s="161"/>
    </row>
    <row r="45" spans="1:48" ht="15.75">
      <c r="A45" s="94"/>
      <c r="B45" s="94"/>
      <c r="C45" s="94"/>
      <c r="D45" s="94"/>
      <c r="E45" s="94"/>
      <c r="F45" s="132">
        <f t="shared" si="7"/>
        <v>39</v>
      </c>
      <c r="G45" s="108"/>
      <c r="H45" s="117" t="s">
        <v>375</v>
      </c>
      <c r="I45" s="188"/>
      <c r="J45" s="189">
        <f>IF(A64=TRUE,C13,0)</f>
        <v>0</v>
      </c>
      <c r="K45" s="190">
        <f ca="1">+J45*($J$7/$J$49)</f>
        <v>0</v>
      </c>
      <c r="L45" s="108"/>
      <c r="M45" s="108"/>
      <c r="N45" s="108"/>
      <c r="O45" s="94"/>
      <c r="P45" s="94"/>
      <c r="R45" s="133">
        <v>125</v>
      </c>
      <c r="S45" s="191">
        <v>3</v>
      </c>
      <c r="T45" s="151"/>
      <c r="U45" s="151" t="s">
        <v>376</v>
      </c>
      <c r="V45" s="461">
        <f ca="1">+M7/Revenue-1</f>
        <v>-8.7095962555165607E-2</v>
      </c>
      <c r="W45" s="195"/>
      <c r="X45" s="161"/>
      <c r="Y45" s="161"/>
      <c r="Z45" s="161"/>
      <c r="AA45" s="194"/>
      <c r="AB45" s="162"/>
      <c r="AC45" s="161"/>
      <c r="AE45" s="161"/>
      <c r="AF45" s="161"/>
      <c r="AG45" s="162"/>
      <c r="AH45" s="160"/>
      <c r="AJ45" s="162"/>
      <c r="AN45" s="161"/>
      <c r="AO45" s="161"/>
      <c r="AP45" s="161"/>
      <c r="AQ45" s="161"/>
      <c r="AR45" s="161"/>
      <c r="AS45" s="161"/>
      <c r="AT45" s="161"/>
      <c r="AU45" s="161"/>
      <c r="AV45" s="161"/>
    </row>
    <row r="46" spans="1:48" ht="15.75">
      <c r="A46" s="94"/>
      <c r="B46" s="94"/>
      <c r="C46" s="94"/>
      <c r="D46" s="94"/>
      <c r="E46" s="94"/>
      <c r="F46" s="132">
        <f t="shared" si="7"/>
        <v>40</v>
      </c>
      <c r="G46" s="108"/>
      <c r="H46" s="117" t="s">
        <v>219</v>
      </c>
      <c r="I46" s="188"/>
      <c r="J46" s="189">
        <f>IF(A64=TRUE,C14,0)</f>
        <v>2.8109490354919944E-3</v>
      </c>
      <c r="K46" s="190">
        <f ca="1">+J46*($J$7/$J$49)</f>
        <v>-23.309177560207324</v>
      </c>
      <c r="L46" s="108"/>
      <c r="M46" s="108"/>
      <c r="N46" s="108"/>
      <c r="O46" s="94"/>
      <c r="P46" s="94"/>
      <c r="R46" s="134">
        <v>401</v>
      </c>
      <c r="S46" s="196">
        <v>4</v>
      </c>
      <c r="T46" s="153"/>
      <c r="U46" s="153"/>
      <c r="V46" s="154"/>
      <c r="X46" s="161"/>
      <c r="Y46" s="161"/>
      <c r="Z46" s="161"/>
      <c r="AA46" s="179"/>
      <c r="AB46" s="162"/>
      <c r="AC46" s="161"/>
      <c r="AE46" s="161"/>
      <c r="AF46" s="161"/>
      <c r="AG46" s="162"/>
      <c r="AH46" s="160"/>
      <c r="AJ46" s="162"/>
      <c r="AN46" s="161"/>
      <c r="AO46" s="161"/>
      <c r="AP46" s="161"/>
      <c r="AQ46" s="161"/>
      <c r="AR46" s="161"/>
      <c r="AS46" s="161"/>
      <c r="AT46" s="161"/>
      <c r="AU46" s="161"/>
      <c r="AV46" s="161"/>
    </row>
    <row r="47" spans="1:48" ht="16.5" thickBot="1">
      <c r="A47" s="94"/>
      <c r="B47" s="94"/>
      <c r="C47" s="94"/>
      <c r="D47" s="94"/>
      <c r="E47" s="94"/>
      <c r="F47" s="132">
        <f t="shared" si="7"/>
        <v>41</v>
      </c>
      <c r="G47" s="108"/>
      <c r="H47" s="117" t="s">
        <v>220</v>
      </c>
      <c r="I47" s="180"/>
      <c r="J47" s="197">
        <f>SUM(J43:J46)</f>
        <v>2.5410949035491997E-2</v>
      </c>
      <c r="K47" s="166">
        <f ca="1">+K43+K44+K45+K46</f>
        <v>-210.71471434130484</v>
      </c>
      <c r="L47" s="108"/>
      <c r="M47" s="108"/>
      <c r="N47" s="108"/>
      <c r="O47" s="94"/>
      <c r="P47" s="94"/>
      <c r="R47" s="404">
        <f ca="1">VLOOKUP(R48,R36:S39,2)</f>
        <v>306.60504759002657</v>
      </c>
      <c r="S47" s="403" t="s">
        <v>377</v>
      </c>
      <c r="T47" s="402"/>
      <c r="X47" s="104" t="s">
        <v>212</v>
      </c>
      <c r="AE47" s="161"/>
      <c r="AH47" s="160"/>
      <c r="AJ47" s="162"/>
    </row>
    <row r="48" spans="1:48" ht="16.5" thickTop="1">
      <c r="A48" s="94"/>
      <c r="B48" s="94"/>
      <c r="C48" s="94"/>
      <c r="D48" s="94"/>
      <c r="E48" s="94"/>
      <c r="F48" s="132">
        <f t="shared" si="7"/>
        <v>42</v>
      </c>
      <c r="G48" s="108"/>
      <c r="H48" s="108"/>
      <c r="I48" s="108"/>
      <c r="J48" s="198"/>
      <c r="K48" s="108"/>
      <c r="L48" s="108"/>
      <c r="M48" s="108"/>
      <c r="N48" s="108"/>
      <c r="O48" s="94"/>
      <c r="P48" s="94"/>
      <c r="R48" s="133">
        <f ca="1">VLOOKUP(S36,R43:S46,2)</f>
        <v>3</v>
      </c>
      <c r="S48" s="199" t="s">
        <v>378</v>
      </c>
      <c r="T48" s="200"/>
      <c r="X48" s="104" t="s">
        <v>213</v>
      </c>
      <c r="AC48" s="111"/>
      <c r="AE48" s="161"/>
      <c r="AJ48" s="162"/>
    </row>
    <row r="49" spans="1:48" ht="15.75">
      <c r="A49" s="94"/>
      <c r="B49" s="94"/>
      <c r="C49" s="94"/>
      <c r="D49" s="94"/>
      <c r="E49" s="94"/>
      <c r="F49" s="132">
        <f t="shared" si="7"/>
        <v>43</v>
      </c>
      <c r="G49" s="113"/>
      <c r="H49" s="201" t="s">
        <v>221</v>
      </c>
      <c r="I49" s="202"/>
      <c r="J49" s="203">
        <f ca="1">((K35)-J47)</f>
        <v>0.88631494659259136</v>
      </c>
      <c r="K49" s="202"/>
      <c r="L49" s="202"/>
      <c r="M49" s="202"/>
      <c r="N49" s="202"/>
      <c r="O49" s="94"/>
      <c r="P49" s="94"/>
      <c r="R49" s="133"/>
      <c r="S49" s="199"/>
      <c r="T49" s="200"/>
      <c r="X49" s="104" t="s">
        <v>214</v>
      </c>
      <c r="AC49" s="161"/>
      <c r="AE49" s="161"/>
      <c r="AF49" s="161"/>
      <c r="AG49" s="162"/>
      <c r="AJ49" s="162"/>
    </row>
    <row r="50" spans="1:48">
      <c r="A50" s="94"/>
      <c r="B50" s="94"/>
      <c r="C50" s="94"/>
      <c r="D50" s="94"/>
      <c r="E50" s="94"/>
      <c r="F50" s="94"/>
      <c r="G50" s="94"/>
      <c r="H50" s="94"/>
      <c r="I50" s="94"/>
      <c r="J50" s="94"/>
      <c r="K50" s="204"/>
      <c r="L50" s="94"/>
      <c r="M50" s="94"/>
      <c r="N50" s="205"/>
      <c r="O50" s="94"/>
      <c r="P50" s="94"/>
      <c r="R50" s="206">
        <f ca="1">+V44</f>
        <v>0.91195999999999999</v>
      </c>
      <c r="S50" s="207" t="s">
        <v>282</v>
      </c>
      <c r="T50" s="208"/>
      <c r="X50" s="104" t="s">
        <v>215</v>
      </c>
      <c r="AC50" s="161"/>
      <c r="AE50" s="161"/>
      <c r="AF50" s="161"/>
      <c r="AG50" s="162"/>
      <c r="AH50" s="161"/>
      <c r="AJ50" s="162"/>
      <c r="AN50" s="161"/>
      <c r="AO50" s="161"/>
      <c r="AP50" s="161"/>
      <c r="AQ50" s="161"/>
      <c r="AR50" s="161"/>
      <c r="AS50" s="161"/>
      <c r="AT50" s="161"/>
      <c r="AU50" s="161"/>
      <c r="AV50" s="161"/>
    </row>
    <row r="51" spans="1:48">
      <c r="A51" s="94"/>
      <c r="B51" s="94"/>
      <c r="C51" s="94"/>
      <c r="D51" s="94"/>
      <c r="E51" s="94"/>
      <c r="F51" s="94"/>
      <c r="G51" s="94"/>
      <c r="H51" s="94"/>
      <c r="I51" s="94"/>
      <c r="J51" s="94"/>
      <c r="K51" s="94"/>
      <c r="L51" s="94"/>
      <c r="M51" s="94"/>
      <c r="N51" s="94"/>
      <c r="O51" s="94"/>
      <c r="P51" s="94"/>
      <c r="R51" s="104"/>
      <c r="AB51" s="162"/>
      <c r="AC51" s="161"/>
      <c r="AE51" s="161"/>
      <c r="AF51" s="161"/>
      <c r="AG51" s="162"/>
      <c r="AH51" s="160"/>
      <c r="AJ51" s="162"/>
      <c r="AN51" s="161"/>
      <c r="AO51" s="161"/>
      <c r="AP51" s="161"/>
      <c r="AQ51" s="161"/>
      <c r="AR51" s="161"/>
      <c r="AS51" s="161"/>
      <c r="AT51" s="161"/>
      <c r="AU51" s="161"/>
      <c r="AV51" s="161"/>
    </row>
    <row r="52" spans="1:48">
      <c r="A52" s="94"/>
      <c r="B52" s="94"/>
      <c r="C52" s="94"/>
      <c r="D52" s="94"/>
      <c r="E52" s="94"/>
      <c r="F52" s="94"/>
      <c r="G52" s="94"/>
      <c r="H52" s="94"/>
      <c r="I52" s="94"/>
      <c r="J52" s="209"/>
      <c r="K52" s="209"/>
      <c r="L52" s="209"/>
      <c r="M52" s="209"/>
      <c r="N52" s="94"/>
      <c r="O52" s="94"/>
      <c r="P52" s="94"/>
      <c r="R52" s="104"/>
      <c r="AB52" s="162"/>
      <c r="AC52" s="161"/>
      <c r="AE52" s="161"/>
      <c r="AF52" s="161"/>
      <c r="AG52" s="162"/>
      <c r="AH52" s="160"/>
      <c r="AJ52" s="162"/>
      <c r="AN52" s="161"/>
      <c r="AO52" s="161"/>
      <c r="AP52" s="161"/>
      <c r="AQ52" s="161"/>
      <c r="AR52" s="161"/>
      <c r="AS52" s="161"/>
      <c r="AT52" s="161"/>
      <c r="AU52" s="161"/>
      <c r="AV52" s="161"/>
    </row>
    <row r="53" spans="1:48" ht="15.75">
      <c r="A53" s="94"/>
      <c r="B53" s="94"/>
      <c r="C53" s="94"/>
      <c r="D53" s="94"/>
      <c r="E53" s="94"/>
      <c r="F53" s="94"/>
      <c r="G53" s="94"/>
      <c r="H53" s="94"/>
      <c r="I53" s="94"/>
      <c r="J53" s="94"/>
      <c r="K53" s="209"/>
      <c r="L53" s="209"/>
      <c r="M53" s="209"/>
      <c r="N53" s="94"/>
      <c r="O53" s="94"/>
      <c r="P53" s="94"/>
      <c r="R53" s="104"/>
      <c r="S53" s="104" t="s">
        <v>379</v>
      </c>
      <c r="T53" s="161"/>
      <c r="U53" s="210"/>
      <c r="W53" s="211" t="s">
        <v>380</v>
      </c>
      <c r="X53" s="212"/>
      <c r="Y53" s="212"/>
      <c r="Z53" s="212"/>
      <c r="AA53" s="212"/>
      <c r="AB53" s="212"/>
      <c r="AE53" s="161"/>
      <c r="AH53" s="160"/>
      <c r="AJ53" s="162"/>
      <c r="AN53" s="161"/>
      <c r="AO53" s="161"/>
      <c r="AP53" s="161"/>
      <c r="AQ53" s="161"/>
      <c r="AR53" s="161"/>
      <c r="AS53" s="161"/>
      <c r="AT53" s="161"/>
      <c r="AU53" s="161"/>
      <c r="AV53" s="161"/>
    </row>
    <row r="54" spans="1:48">
      <c r="A54" s="94"/>
      <c r="B54" s="94"/>
      <c r="C54" s="94"/>
      <c r="D54" s="94"/>
      <c r="E54" s="94"/>
      <c r="F54" s="94"/>
      <c r="G54" s="94"/>
      <c r="H54" s="94"/>
      <c r="I54" s="94"/>
      <c r="J54" s="94"/>
      <c r="K54" s="94"/>
      <c r="L54" s="213"/>
      <c r="M54" s="213"/>
      <c r="N54" s="94"/>
      <c r="O54" s="94"/>
      <c r="P54" s="94"/>
      <c r="R54" s="395"/>
      <c r="S54" s="401" t="s">
        <v>354</v>
      </c>
      <c r="T54" s="401" t="s">
        <v>287</v>
      </c>
      <c r="U54" s="400" t="s">
        <v>357</v>
      </c>
      <c r="W54" s="399" t="s">
        <v>381</v>
      </c>
      <c r="X54" s="398">
        <v>3.7226020000000002</v>
      </c>
      <c r="Y54" s="397" t="s">
        <v>382</v>
      </c>
      <c r="Z54" s="396">
        <v>3.7226020000000002</v>
      </c>
      <c r="AC54" s="111"/>
      <c r="AE54" s="161"/>
      <c r="AJ54" s="162"/>
    </row>
    <row r="55" spans="1:48">
      <c r="A55" s="94"/>
      <c r="B55" s="94"/>
      <c r="C55" s="94"/>
      <c r="D55" s="94"/>
      <c r="E55" s="94"/>
      <c r="F55" s="94"/>
      <c r="G55" s="94"/>
      <c r="H55" s="94"/>
      <c r="I55" s="94"/>
      <c r="J55" s="213"/>
      <c r="K55" s="94"/>
      <c r="L55" s="213"/>
      <c r="M55" s="213"/>
      <c r="N55" s="94"/>
      <c r="O55" s="94"/>
      <c r="P55" s="94"/>
      <c r="R55" s="105" t="s">
        <v>329</v>
      </c>
      <c r="S55" s="214">
        <v>0.56200000000000006</v>
      </c>
      <c r="T55" s="214">
        <v>6.3799999999999996E-2</v>
      </c>
      <c r="U55" s="215">
        <f>ROUND(+S55*T55,5)</f>
        <v>3.5860000000000003E-2</v>
      </c>
      <c r="W55" s="216" t="s">
        <v>383</v>
      </c>
      <c r="X55" s="217">
        <v>3.7226020000000002</v>
      </c>
      <c r="Y55" s="218" t="s">
        <v>384</v>
      </c>
      <c r="Z55" s="219">
        <v>3.7226020000000002</v>
      </c>
      <c r="AC55" s="161"/>
      <c r="AE55" s="161"/>
      <c r="AF55" s="161"/>
      <c r="AG55" s="162"/>
      <c r="AJ55" s="162"/>
    </row>
    <row r="56" spans="1:48">
      <c r="A56" s="94"/>
      <c r="B56" s="94"/>
      <c r="C56" s="94"/>
      <c r="D56" s="94"/>
      <c r="E56" s="209"/>
      <c r="F56" s="94"/>
      <c r="G56" s="94"/>
      <c r="H56" s="94"/>
      <c r="I56" s="94"/>
      <c r="J56" s="213"/>
      <c r="K56" s="94"/>
      <c r="L56" s="213"/>
      <c r="M56" s="213"/>
      <c r="N56" s="94"/>
      <c r="O56" s="94"/>
      <c r="P56" s="94"/>
      <c r="R56" s="105" t="s">
        <v>385</v>
      </c>
      <c r="S56" s="214">
        <v>9.4E-2</v>
      </c>
      <c r="T56" s="214">
        <v>6.59E-2</v>
      </c>
      <c r="U56" s="215">
        <f>ROUND(+S56*T56,5)</f>
        <v>6.1900000000000002E-3</v>
      </c>
      <c r="W56" s="105"/>
      <c r="X56" s="151"/>
      <c r="Y56" s="220"/>
      <c r="Z56" s="221"/>
      <c r="AC56" s="161"/>
      <c r="AE56" s="161"/>
      <c r="AF56" s="161"/>
      <c r="AG56" s="162"/>
      <c r="AH56" s="160"/>
      <c r="AJ56" s="162"/>
      <c r="AN56" s="161"/>
    </row>
    <row r="57" spans="1:48" ht="15.75">
      <c r="A57" s="94"/>
      <c r="B57" s="94"/>
      <c r="C57" s="94"/>
      <c r="D57" s="94"/>
      <c r="E57" s="209"/>
      <c r="F57" s="209"/>
      <c r="G57" s="209"/>
      <c r="H57" s="222"/>
      <c r="I57" s="209"/>
      <c r="J57" s="213"/>
      <c r="K57" s="94"/>
      <c r="L57" s="94"/>
      <c r="M57" s="94"/>
      <c r="N57" s="94"/>
      <c r="O57" s="94"/>
      <c r="P57" s="94"/>
      <c r="R57" s="105" t="s">
        <v>327</v>
      </c>
      <c r="S57" s="223">
        <v>0.34399999999999997</v>
      </c>
      <c r="T57" s="462"/>
      <c r="U57" s="463"/>
      <c r="W57" s="152"/>
      <c r="X57" s="224" t="s">
        <v>386</v>
      </c>
      <c r="Y57" s="225">
        <v>0.30151749999999999</v>
      </c>
      <c r="Z57" s="226"/>
      <c r="AC57" s="161"/>
      <c r="AE57" s="161"/>
      <c r="AF57" s="161"/>
      <c r="AG57" s="162"/>
      <c r="AH57" s="160"/>
      <c r="AJ57" s="162"/>
    </row>
    <row r="58" spans="1:48" ht="15.75">
      <c r="A58" s="94"/>
      <c r="B58" s="94"/>
      <c r="C58" s="94"/>
      <c r="D58" s="94"/>
      <c r="E58" s="94"/>
      <c r="F58" s="94"/>
      <c r="G58" s="94"/>
      <c r="H58" s="94"/>
      <c r="I58" s="94"/>
      <c r="J58" s="94"/>
      <c r="K58" s="94"/>
      <c r="L58" s="94"/>
      <c r="M58" s="94"/>
      <c r="N58" s="94"/>
      <c r="O58" s="94"/>
      <c r="P58" s="94"/>
      <c r="R58" s="152"/>
      <c r="S58" s="223">
        <f>SUM(S55:S57)</f>
        <v>1</v>
      </c>
      <c r="T58" s="464"/>
      <c r="U58" s="465"/>
      <c r="X58" s="161"/>
      <c r="Y58" s="161"/>
      <c r="Z58" s="161"/>
      <c r="AA58" s="179"/>
      <c r="AB58" s="162"/>
      <c r="AC58" s="161"/>
      <c r="AE58" s="161"/>
      <c r="AF58" s="161"/>
      <c r="AG58" s="162"/>
      <c r="AH58" s="160"/>
      <c r="AJ58" s="162"/>
    </row>
    <row r="59" spans="1:48">
      <c r="A59" s="94"/>
      <c r="B59" s="94"/>
      <c r="C59" s="94"/>
      <c r="D59" s="94"/>
      <c r="E59" s="94"/>
      <c r="F59" s="94"/>
      <c r="G59" s="94"/>
      <c r="H59" s="94"/>
      <c r="I59" s="94"/>
      <c r="J59" s="94"/>
      <c r="K59" s="94"/>
      <c r="L59" s="94"/>
      <c r="M59" s="94"/>
      <c r="N59" s="94"/>
      <c r="O59" s="94"/>
      <c r="P59" s="94"/>
      <c r="X59" s="227"/>
      <c r="Y59" s="227"/>
      <c r="Z59" s="227"/>
      <c r="AE59" s="161"/>
      <c r="AH59" s="160"/>
      <c r="AJ59" s="162"/>
      <c r="AN59" s="160"/>
      <c r="AO59" s="160"/>
      <c r="AP59" s="160"/>
      <c r="AQ59" s="160"/>
      <c r="AR59" s="160"/>
      <c r="AS59" s="160"/>
      <c r="AT59" s="160"/>
      <c r="AU59" s="160"/>
      <c r="AV59" s="160"/>
    </row>
    <row r="60" spans="1:48">
      <c r="A60" s="94"/>
      <c r="B60" s="94"/>
      <c r="C60" s="94"/>
      <c r="D60" s="94"/>
      <c r="E60" s="209"/>
      <c r="F60" s="94"/>
      <c r="G60" s="94"/>
      <c r="H60" s="94"/>
      <c r="I60" s="94"/>
      <c r="J60" s="94"/>
      <c r="K60" s="94"/>
      <c r="L60" s="94"/>
      <c r="M60" s="94"/>
      <c r="N60" s="94"/>
      <c r="O60" s="94"/>
      <c r="P60" s="94"/>
      <c r="R60" s="104"/>
      <c r="S60" s="228"/>
      <c r="W60" s="395"/>
      <c r="X60" s="394" t="s">
        <v>363</v>
      </c>
      <c r="Y60" s="394" t="s">
        <v>387</v>
      </c>
      <c r="Z60" s="393" t="s">
        <v>313</v>
      </c>
      <c r="AE60" s="161"/>
      <c r="AJ60" s="162"/>
      <c r="AN60" s="160"/>
      <c r="AO60" s="160"/>
      <c r="AP60" s="160"/>
      <c r="AQ60" s="160"/>
      <c r="AR60" s="160"/>
      <c r="AS60" s="160"/>
      <c r="AT60" s="160"/>
      <c r="AU60" s="160"/>
      <c r="AV60" s="160"/>
    </row>
    <row r="61" spans="1:48">
      <c r="A61" s="94"/>
      <c r="B61" s="94"/>
      <c r="C61" s="94"/>
      <c r="D61" s="94"/>
      <c r="E61" s="94"/>
      <c r="F61" s="209"/>
      <c r="G61" s="209"/>
      <c r="H61" s="209"/>
      <c r="I61" s="209"/>
      <c r="J61" s="209"/>
      <c r="K61" s="209"/>
      <c r="L61" s="209"/>
      <c r="M61" s="209"/>
      <c r="N61" s="209"/>
      <c r="O61" s="94"/>
      <c r="P61" s="94"/>
      <c r="R61" s="104"/>
      <c r="W61" s="105"/>
      <c r="X61" s="229"/>
      <c r="Y61" s="229"/>
      <c r="Z61" s="230"/>
      <c r="AE61" s="161"/>
      <c r="AF61" s="161"/>
      <c r="AG61" s="162"/>
      <c r="AJ61" s="162"/>
      <c r="AN61" s="160"/>
      <c r="AO61" s="160"/>
      <c r="AP61" s="160"/>
      <c r="AQ61" s="160"/>
      <c r="AR61" s="160"/>
      <c r="AS61" s="160"/>
      <c r="AT61" s="160"/>
      <c r="AU61" s="160"/>
      <c r="AV61" s="160"/>
    </row>
    <row r="62" spans="1:48">
      <c r="A62" s="94"/>
      <c r="B62" s="94"/>
      <c r="C62" s="94"/>
      <c r="D62" s="94"/>
      <c r="E62" s="94"/>
      <c r="F62" s="94"/>
      <c r="G62" s="94"/>
      <c r="H62" s="94"/>
      <c r="I62" s="94"/>
      <c r="J62" s="94"/>
      <c r="K62" s="94"/>
      <c r="L62" s="94"/>
      <c r="M62" s="94"/>
      <c r="N62" s="94"/>
      <c r="O62" s="94"/>
      <c r="P62" s="94"/>
      <c r="R62" s="104"/>
      <c r="S62" s="228"/>
      <c r="W62" s="105"/>
      <c r="X62" s="192" t="s">
        <v>365</v>
      </c>
      <c r="Y62" s="193">
        <f t="shared" ref="Y62:Z67" ca="1" si="20">+J33</f>
        <v>0.27065277827124889</v>
      </c>
      <c r="Z62" s="193">
        <f t="shared" ca="1" si="20"/>
        <v>0.21665514462131022</v>
      </c>
      <c r="AE62" s="161"/>
      <c r="AF62" s="161"/>
      <c r="AG62" s="162"/>
      <c r="AH62" s="160"/>
      <c r="AJ62" s="162"/>
      <c r="AN62" s="160"/>
      <c r="AO62" s="160"/>
      <c r="AP62" s="160"/>
      <c r="AQ62" s="160"/>
      <c r="AR62" s="160"/>
      <c r="AS62" s="160"/>
      <c r="AT62" s="160"/>
      <c r="AU62" s="160"/>
      <c r="AV62" s="160"/>
    </row>
    <row r="63" spans="1:48">
      <c r="A63" s="94"/>
      <c r="B63" s="94"/>
      <c r="C63" s="94"/>
      <c r="D63" s="94"/>
      <c r="E63" s="94"/>
      <c r="F63" s="94"/>
      <c r="G63" s="94"/>
      <c r="H63" s="94"/>
      <c r="I63" s="94"/>
      <c r="J63" s="94"/>
      <c r="K63" s="94"/>
      <c r="L63" s="94"/>
      <c r="M63" s="94"/>
      <c r="N63" s="94"/>
      <c r="O63" s="94"/>
      <c r="P63" s="94"/>
      <c r="R63" s="104"/>
      <c r="W63" s="105"/>
      <c r="X63" s="192" t="s">
        <v>366</v>
      </c>
      <c r="Y63" s="193">
        <f t="shared" ca="1" si="20"/>
        <v>0.44267693177300266</v>
      </c>
      <c r="Z63" s="193">
        <f t="shared" ca="1" si="20"/>
        <v>0.34971477610067214</v>
      </c>
      <c r="AE63" s="161"/>
      <c r="AF63" s="161"/>
      <c r="AG63" s="162"/>
      <c r="AH63" s="160"/>
      <c r="AJ63" s="162"/>
    </row>
    <row r="64" spans="1:48">
      <c r="A64" s="104" t="b">
        <v>1</v>
      </c>
      <c r="B64" s="94"/>
      <c r="C64" s="94"/>
      <c r="F64" s="94"/>
      <c r="G64" s="94"/>
      <c r="H64" s="94"/>
      <c r="I64" s="94"/>
      <c r="J64" s="94"/>
      <c r="K64" s="94"/>
      <c r="L64" s="94"/>
      <c r="M64" s="94"/>
      <c r="N64" s="94"/>
      <c r="R64" s="104"/>
      <c r="S64" s="228"/>
      <c r="W64" s="105"/>
      <c r="X64" s="192" t="s">
        <v>282</v>
      </c>
      <c r="Y64" s="193">
        <f t="shared" ca="1" si="20"/>
        <v>0.9119600000000001</v>
      </c>
      <c r="Z64" s="193">
        <f t="shared" ca="1" si="20"/>
        <v>0.91172589562808337</v>
      </c>
      <c r="AE64" s="161"/>
      <c r="AF64" s="161"/>
      <c r="AG64" s="162"/>
      <c r="AH64" s="160"/>
      <c r="AJ64" s="162"/>
    </row>
    <row r="65" spans="8:40">
      <c r="H65" s="160"/>
      <c r="I65" s="160"/>
      <c r="J65" s="160"/>
      <c r="K65" s="160"/>
      <c r="L65" s="160"/>
      <c r="M65" s="160"/>
      <c r="N65" s="160"/>
      <c r="O65" s="160"/>
      <c r="R65" s="104"/>
      <c r="W65" s="105"/>
      <c r="X65" s="192" t="s">
        <v>368</v>
      </c>
      <c r="Y65" s="193">
        <f t="shared" ca="1" si="20"/>
        <v>8.8039999999999938E-2</v>
      </c>
      <c r="Z65" s="193">
        <f t="shared" ca="1" si="20"/>
        <v>8.8039999999999938E-2</v>
      </c>
      <c r="AE65" s="161"/>
      <c r="AH65" s="160"/>
      <c r="AJ65" s="162"/>
      <c r="AN65" s="160"/>
    </row>
    <row r="66" spans="8:40">
      <c r="H66" s="160"/>
      <c r="I66" s="160"/>
      <c r="J66" s="160"/>
      <c r="K66" s="160"/>
      <c r="L66" s="160"/>
      <c r="M66" s="160"/>
      <c r="N66" s="160"/>
      <c r="O66" s="160"/>
      <c r="R66" s="104"/>
      <c r="S66" s="228"/>
      <c r="W66" s="105"/>
      <c r="X66" s="192" t="s">
        <v>369</v>
      </c>
      <c r="Y66" s="193">
        <f t="shared" ca="1" si="20"/>
        <v>3.0660504759002656</v>
      </c>
      <c r="Z66" s="193">
        <f t="shared" ca="1" si="20"/>
        <v>3.0660504759002656</v>
      </c>
      <c r="AE66" s="161"/>
      <c r="AJ66" s="162"/>
    </row>
    <row r="67" spans="8:40">
      <c r="O67" s="160"/>
      <c r="W67" s="152"/>
      <c r="X67" s="231" t="s">
        <v>218</v>
      </c>
      <c r="Y67" s="232">
        <f t="shared" si="20"/>
        <v>0.21</v>
      </c>
      <c r="Z67" s="232">
        <f t="shared" si="20"/>
        <v>0.21</v>
      </c>
      <c r="AE67" s="161"/>
      <c r="AF67" s="161"/>
      <c r="AG67" s="162"/>
      <c r="AJ67" s="162"/>
    </row>
    <row r="68" spans="8:40">
      <c r="O68" s="160"/>
      <c r="W68" s="192"/>
      <c r="AE68" s="161"/>
      <c r="AF68" s="161"/>
      <c r="AG68" s="162"/>
      <c r="AH68" s="160"/>
      <c r="AJ68" s="162"/>
    </row>
    <row r="69" spans="8:40">
      <c r="O69" s="160"/>
      <c r="X69" s="161"/>
      <c r="Y69" s="161"/>
      <c r="Z69" s="161"/>
      <c r="AA69" s="179"/>
      <c r="AB69" s="162"/>
      <c r="AC69" s="161"/>
      <c r="AE69" s="161"/>
      <c r="AF69" s="161"/>
      <c r="AG69" s="162"/>
      <c r="AH69" s="160"/>
      <c r="AJ69" s="162"/>
    </row>
    <row r="70" spans="8:40">
      <c r="X70" s="161"/>
      <c r="Y70" s="161"/>
      <c r="Z70" s="161"/>
      <c r="AA70" s="179"/>
      <c r="AB70" s="162"/>
      <c r="AC70" s="161"/>
      <c r="AE70" s="161"/>
      <c r="AF70" s="161"/>
      <c r="AG70" s="162"/>
      <c r="AH70" s="160"/>
      <c r="AJ70" s="162"/>
    </row>
    <row r="71" spans="8:40">
      <c r="AE71" s="161"/>
      <c r="AH71" s="160"/>
      <c r="AJ71" s="162"/>
    </row>
    <row r="72" spans="8:40">
      <c r="AA72" s="111"/>
      <c r="AB72" s="111"/>
      <c r="AC72" s="111"/>
      <c r="AE72" s="161"/>
      <c r="AJ72" s="162"/>
    </row>
    <row r="73" spans="8:40">
      <c r="X73" s="161"/>
      <c r="Y73" s="161"/>
      <c r="Z73" s="161"/>
      <c r="AA73" s="179"/>
      <c r="AB73" s="162"/>
      <c r="AC73" s="161"/>
      <c r="AE73" s="161"/>
      <c r="AF73" s="161"/>
      <c r="AG73" s="162"/>
      <c r="AJ73" s="162"/>
    </row>
    <row r="74" spans="8:40">
      <c r="X74" s="161"/>
      <c r="Y74" s="161"/>
      <c r="Z74" s="161"/>
      <c r="AA74" s="179"/>
      <c r="AB74" s="162"/>
      <c r="AC74" s="161"/>
      <c r="AE74" s="161"/>
      <c r="AF74" s="161"/>
      <c r="AG74" s="162"/>
      <c r="AH74" s="160"/>
      <c r="AJ74" s="162"/>
    </row>
    <row r="75" spans="8:40">
      <c r="X75" s="161"/>
      <c r="Y75" s="161"/>
      <c r="Z75" s="161"/>
      <c r="AA75" s="179"/>
      <c r="AB75" s="162"/>
      <c r="AC75" s="161"/>
      <c r="AE75" s="161"/>
      <c r="AF75" s="161"/>
      <c r="AG75" s="162"/>
      <c r="AH75" s="160"/>
      <c r="AJ75" s="162"/>
    </row>
    <row r="76" spans="8:40">
      <c r="X76" s="161"/>
      <c r="Y76" s="161"/>
      <c r="Z76" s="161"/>
      <c r="AA76" s="179"/>
      <c r="AB76" s="162"/>
      <c r="AC76" s="161"/>
      <c r="AE76" s="161"/>
      <c r="AF76" s="161"/>
      <c r="AG76" s="162"/>
      <c r="AH76" s="160"/>
      <c r="AJ76" s="162"/>
    </row>
    <row r="77" spans="8:40">
      <c r="AE77" s="161"/>
      <c r="AH77" s="160"/>
      <c r="AJ77" s="162"/>
    </row>
    <row r="79" spans="8:40">
      <c r="X79" s="161"/>
      <c r="Y79" s="161"/>
      <c r="Z79" s="161"/>
      <c r="AA79" s="179"/>
      <c r="AB79" s="162"/>
      <c r="AC79" s="161"/>
      <c r="AF79" s="161"/>
      <c r="AG79" s="162"/>
    </row>
    <row r="80" spans="8:40">
      <c r="X80" s="161"/>
      <c r="Y80" s="161"/>
      <c r="Z80" s="161"/>
      <c r="AA80" s="179"/>
      <c r="AB80" s="162"/>
      <c r="AC80" s="161"/>
      <c r="AF80" s="161"/>
      <c r="AG80" s="162"/>
      <c r="AH80" s="160"/>
    </row>
    <row r="81" spans="24:34">
      <c r="X81" s="161"/>
      <c r="Y81" s="161"/>
      <c r="Z81" s="161"/>
      <c r="AA81" s="179"/>
      <c r="AB81" s="162"/>
      <c r="AC81" s="161"/>
      <c r="AF81" s="161"/>
      <c r="AG81" s="162"/>
      <c r="AH81" s="160"/>
    </row>
    <row r="82" spans="24:34">
      <c r="X82" s="161"/>
      <c r="Y82" s="161"/>
      <c r="Z82" s="161"/>
      <c r="AA82" s="179"/>
      <c r="AB82" s="162"/>
      <c r="AC82" s="161"/>
      <c r="AF82" s="161"/>
      <c r="AG82" s="162"/>
      <c r="AH82" s="160"/>
    </row>
    <row r="83" spans="24:34">
      <c r="AH83" s="160"/>
    </row>
    <row r="85" spans="24:34">
      <c r="X85" s="161"/>
      <c r="Y85" s="161"/>
      <c r="Z85" s="161"/>
      <c r="AA85" s="179"/>
      <c r="AB85" s="162"/>
      <c r="AC85" s="161"/>
      <c r="AF85" s="161"/>
      <c r="AG85" s="162"/>
    </row>
    <row r="86" spans="24:34">
      <c r="X86" s="161"/>
      <c r="Y86" s="161"/>
      <c r="Z86" s="161"/>
      <c r="AA86" s="179"/>
      <c r="AB86" s="162"/>
      <c r="AC86" s="161"/>
      <c r="AF86" s="161"/>
      <c r="AG86" s="162"/>
      <c r="AH86" s="160"/>
    </row>
    <row r="87" spans="24:34">
      <c r="X87" s="161"/>
      <c r="Y87" s="161"/>
      <c r="Z87" s="161"/>
      <c r="AA87" s="179"/>
      <c r="AB87" s="162"/>
      <c r="AC87" s="161"/>
      <c r="AF87" s="161"/>
      <c r="AG87" s="162"/>
      <c r="AH87" s="160"/>
    </row>
    <row r="88" spans="24:34">
      <c r="X88" s="161"/>
      <c r="Y88" s="161"/>
      <c r="Z88" s="161"/>
      <c r="AA88" s="179"/>
      <c r="AB88" s="162"/>
      <c r="AC88" s="161"/>
      <c r="AF88" s="161"/>
      <c r="AG88" s="162"/>
      <c r="AH88" s="160"/>
    </row>
    <row r="89" spans="24:34">
      <c r="AH89" s="160"/>
    </row>
    <row r="91" spans="24:34">
      <c r="X91" s="161"/>
      <c r="Y91" s="161"/>
      <c r="Z91" s="161"/>
      <c r="AA91" s="179"/>
      <c r="AB91" s="162"/>
      <c r="AC91" s="161"/>
      <c r="AF91" s="161"/>
      <c r="AG91" s="162"/>
    </row>
    <row r="92" spans="24:34">
      <c r="X92" s="161"/>
      <c r="Y92" s="161"/>
      <c r="Z92" s="161"/>
      <c r="AA92" s="179"/>
      <c r="AB92" s="162"/>
      <c r="AC92" s="161"/>
      <c r="AF92" s="161"/>
      <c r="AG92" s="162"/>
      <c r="AH92" s="160"/>
    </row>
    <row r="93" spans="24:34">
      <c r="X93" s="161"/>
      <c r="Y93" s="161"/>
      <c r="Z93" s="161"/>
      <c r="AA93" s="179"/>
      <c r="AB93" s="162"/>
      <c r="AC93" s="161"/>
      <c r="AF93" s="161"/>
      <c r="AG93" s="162"/>
      <c r="AH93" s="160"/>
    </row>
    <row r="94" spans="24:34">
      <c r="X94" s="161"/>
      <c r="Y94" s="161"/>
      <c r="Z94" s="161"/>
      <c r="AA94" s="179"/>
      <c r="AB94" s="162"/>
      <c r="AC94" s="161"/>
      <c r="AF94" s="161"/>
      <c r="AG94" s="162"/>
      <c r="AH94" s="160"/>
    </row>
    <row r="95" spans="24:34">
      <c r="AH95" s="160"/>
    </row>
    <row r="97" spans="24:34">
      <c r="X97" s="161"/>
      <c r="Y97" s="161"/>
      <c r="Z97" s="161"/>
      <c r="AA97" s="179"/>
      <c r="AB97" s="162"/>
      <c r="AC97" s="161"/>
      <c r="AF97" s="161"/>
      <c r="AG97" s="162"/>
    </row>
    <row r="98" spans="24:34">
      <c r="X98" s="161"/>
      <c r="Y98" s="161"/>
      <c r="Z98" s="161"/>
      <c r="AA98" s="179"/>
      <c r="AB98" s="162"/>
      <c r="AC98" s="161"/>
      <c r="AF98" s="161"/>
      <c r="AG98" s="162"/>
      <c r="AH98" s="160"/>
    </row>
    <row r="99" spans="24:34">
      <c r="X99" s="161"/>
      <c r="Y99" s="161"/>
      <c r="Z99" s="161"/>
      <c r="AA99" s="179"/>
      <c r="AB99" s="162"/>
      <c r="AC99" s="161"/>
      <c r="AF99" s="161"/>
      <c r="AG99" s="162"/>
      <c r="AH99" s="160"/>
    </row>
    <row r="100" spans="24:34">
      <c r="X100" s="161"/>
      <c r="Y100" s="161"/>
      <c r="Z100" s="161"/>
      <c r="AA100" s="179"/>
      <c r="AB100" s="162"/>
      <c r="AC100" s="161"/>
      <c r="AF100" s="161"/>
      <c r="AG100" s="162"/>
      <c r="AH100" s="160"/>
    </row>
    <row r="101" spans="24:34">
      <c r="AH101" s="160"/>
    </row>
    <row r="103" spans="24:34">
      <c r="X103" s="161"/>
      <c r="Y103" s="161"/>
      <c r="Z103" s="161"/>
      <c r="AA103" s="179"/>
      <c r="AB103" s="162"/>
      <c r="AC103" s="161"/>
      <c r="AF103" s="161"/>
      <c r="AG103" s="162"/>
    </row>
    <row r="104" spans="24:34">
      <c r="X104" s="161"/>
      <c r="Y104" s="161"/>
      <c r="Z104" s="161"/>
      <c r="AA104" s="179"/>
      <c r="AB104" s="162"/>
      <c r="AC104" s="161"/>
      <c r="AF104" s="161"/>
      <c r="AG104" s="162"/>
      <c r="AH104" s="160"/>
    </row>
    <row r="105" spans="24:34">
      <c r="X105" s="161"/>
      <c r="Y105" s="161"/>
      <c r="Z105" s="161"/>
      <c r="AA105" s="179"/>
      <c r="AB105" s="162"/>
      <c r="AC105" s="161"/>
      <c r="AF105" s="161"/>
      <c r="AG105" s="162"/>
      <c r="AH105" s="160"/>
    </row>
    <row r="106" spans="24:34">
      <c r="X106" s="161"/>
      <c r="Y106" s="161"/>
      <c r="Z106" s="161"/>
      <c r="AA106" s="179"/>
      <c r="AB106" s="162"/>
      <c r="AC106" s="161"/>
      <c r="AF106" s="161"/>
      <c r="AG106" s="162"/>
      <c r="AH106" s="160"/>
    </row>
    <row r="107" spans="24:34">
      <c r="AH107" s="160"/>
    </row>
    <row r="109" spans="24:34">
      <c r="X109" s="161"/>
      <c r="Y109" s="161"/>
      <c r="Z109" s="161"/>
      <c r="AA109" s="179"/>
      <c r="AB109" s="162"/>
      <c r="AC109" s="161"/>
      <c r="AF109" s="161"/>
      <c r="AG109" s="162"/>
    </row>
    <row r="110" spans="24:34">
      <c r="X110" s="161"/>
      <c r="Y110" s="161"/>
      <c r="Z110" s="161"/>
      <c r="AA110" s="179"/>
      <c r="AB110" s="162"/>
      <c r="AC110" s="161"/>
      <c r="AF110" s="161"/>
      <c r="AG110" s="162"/>
    </row>
    <row r="111" spans="24:34">
      <c r="X111" s="161"/>
      <c r="Y111" s="161"/>
      <c r="Z111" s="161"/>
      <c r="AA111" s="179"/>
      <c r="AB111" s="162"/>
      <c r="AC111" s="161"/>
      <c r="AF111" s="161"/>
      <c r="AG111" s="162"/>
    </row>
    <row r="112" spans="24:34">
      <c r="X112" s="161"/>
      <c r="Y112" s="161"/>
      <c r="Z112" s="161"/>
      <c r="AA112" s="179"/>
      <c r="AB112" s="162"/>
      <c r="AC112" s="161"/>
      <c r="AF112" s="161"/>
      <c r="AG112" s="162"/>
    </row>
  </sheetData>
  <mergeCells count="5">
    <mergeCell ref="B2:C2"/>
    <mergeCell ref="AH2:AK2"/>
    <mergeCell ref="B18:C18"/>
    <mergeCell ref="B19:C19"/>
    <mergeCell ref="L31:N31"/>
  </mergeCells>
  <pageMargins left="0.25" right="0.25" top="0.3" bottom="0.44" header="0.23" footer="0.21"/>
  <pageSetup scale="82" orientation="portrait" r:id="rId1"/>
  <headerFooter alignWithMargins="0"/>
  <drawing r:id="rId2"/>
  <legacyDrawing r:id="rId3"/>
  <controls>
    <mc:AlternateContent xmlns:mc="http://schemas.openxmlformats.org/markup-compatibility/2006">
      <mc:Choice Requires="x14">
        <control shapeId="1145857" r:id="rId4" name="DataCompleted">
          <controlPr defaultSize="0" autoFill="0" autoLine="0" linkedCell="A64" r:id="rId5">
            <anchor moveWithCells="1">
              <from>
                <xdr:col>2</xdr:col>
                <xdr:colOff>114300</xdr:colOff>
                <xdr:row>15</xdr:row>
                <xdr:rowOff>180975</xdr:rowOff>
              </from>
              <to>
                <xdr:col>2</xdr:col>
                <xdr:colOff>342900</xdr:colOff>
                <xdr:row>17</xdr:row>
                <xdr:rowOff>9525</xdr:rowOff>
              </to>
            </anchor>
          </controlPr>
        </control>
      </mc:Choice>
      <mc:Fallback>
        <control shapeId="1145857" r:id="rId4" name="DataCompleted"/>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AS243"/>
  <sheetViews>
    <sheetView showGridLines="0" view="pageBreakPreview" topLeftCell="A195" zoomScale="60" zoomScaleNormal="80" workbookViewId="0">
      <selection activeCell="J222" sqref="B222:J242"/>
    </sheetView>
  </sheetViews>
  <sheetFormatPr defaultColWidth="9.140625" defaultRowHeight="12.75" outlineLevelRow="1"/>
  <cols>
    <col min="1" max="1" width="2.7109375" style="304" customWidth="1"/>
    <col min="2" max="2" width="21.28515625" style="304" bestFit="1" customWidth="1"/>
    <col min="3" max="3" width="19.42578125" style="304" bestFit="1" customWidth="1"/>
    <col min="4" max="4" width="16.7109375" style="304" bestFit="1" customWidth="1"/>
    <col min="5" max="5" width="24" style="304" bestFit="1" customWidth="1"/>
    <col min="6" max="6" width="15.85546875" style="304" bestFit="1" customWidth="1"/>
    <col min="7" max="7" width="33" style="304" bestFit="1" customWidth="1"/>
    <col min="8" max="8" width="14.7109375" style="304" bestFit="1" customWidth="1"/>
    <col min="9" max="9" width="15.85546875" style="304" bestFit="1" customWidth="1"/>
    <col min="10" max="10" width="16.28515625" style="304" bestFit="1" customWidth="1"/>
    <col min="11" max="11" width="7.140625" style="304" bestFit="1" customWidth="1"/>
    <col min="12" max="12" width="10.7109375" style="304" bestFit="1" customWidth="1"/>
    <col min="13" max="13" width="30.85546875" style="304" bestFit="1" customWidth="1"/>
    <col min="14" max="14" width="7.42578125" style="304" bestFit="1" customWidth="1"/>
    <col min="15" max="15" width="8.7109375" style="304" bestFit="1" customWidth="1"/>
    <col min="16" max="16" width="7.42578125" style="304" bestFit="1" customWidth="1"/>
    <col min="17" max="17" width="28.5703125" style="304" customWidth="1"/>
    <col min="18" max="20" width="7.140625" style="304" bestFit="1" customWidth="1"/>
    <col min="21" max="21" width="10.7109375" style="304" bestFit="1" customWidth="1"/>
    <col min="22" max="22" width="7.140625" style="304" bestFit="1" customWidth="1"/>
    <col min="23" max="23" width="7.28515625" style="304" bestFit="1" customWidth="1"/>
    <col min="24" max="24" width="10.85546875" style="304" bestFit="1" customWidth="1"/>
    <col min="25" max="25" width="11" style="304" bestFit="1" customWidth="1"/>
    <col min="26" max="26" width="7.28515625" style="304" bestFit="1" customWidth="1"/>
    <col min="27" max="27" width="10.85546875" style="304" bestFit="1" customWidth="1"/>
    <col min="28" max="28" width="7.140625" style="304" bestFit="1" customWidth="1"/>
    <col min="29" max="29" width="10.85546875" style="304" bestFit="1" customWidth="1"/>
    <col min="30" max="30" width="11" style="304" bestFit="1" customWidth="1"/>
    <col min="31" max="33" width="7.5703125" style="304" bestFit="1" customWidth="1"/>
    <col min="34" max="34" width="10.85546875" style="304" bestFit="1" customWidth="1"/>
    <col min="35" max="37" width="7.28515625" style="304" bestFit="1" customWidth="1"/>
    <col min="38" max="38" width="10.7109375" style="304" bestFit="1" customWidth="1"/>
    <col min="39" max="40" width="7.140625" style="304" bestFit="1" customWidth="1"/>
    <col min="41" max="41" width="10.7109375" style="304" bestFit="1" customWidth="1"/>
    <col min="42" max="43" width="7.140625" style="304" bestFit="1" customWidth="1"/>
    <col min="44" max="44" width="10.7109375" style="304" bestFit="1" customWidth="1"/>
    <col min="45" max="45" width="9.140625" style="304" hidden="1" customWidth="1"/>
    <col min="46" max="48" width="7.42578125" style="304" bestFit="1" customWidth="1"/>
    <col min="49" max="49" width="10.7109375" style="304" bestFit="1" customWidth="1"/>
    <col min="50" max="51" width="7.140625" style="304" bestFit="1" customWidth="1"/>
    <col min="52" max="52" width="10.7109375" style="304" bestFit="1" customWidth="1"/>
    <col min="53" max="55" width="7.140625" style="304" bestFit="1" customWidth="1"/>
    <col min="56" max="56" width="10.7109375" style="304" bestFit="1" customWidth="1"/>
    <col min="57" max="59" width="7.140625" style="304" bestFit="1" customWidth="1"/>
    <col min="60" max="60" width="10.7109375" style="304" bestFit="1" customWidth="1"/>
    <col min="61" max="61" width="10.85546875" style="304" bestFit="1" customWidth="1"/>
    <col min="62" max="64" width="7.42578125" style="304" bestFit="1" customWidth="1"/>
    <col min="65" max="65" width="10.7109375" style="304" bestFit="1" customWidth="1"/>
    <col min="66" max="68" width="7.140625" style="304" bestFit="1" customWidth="1"/>
    <col min="69" max="69" width="10.7109375" style="304" bestFit="1" customWidth="1"/>
    <col min="70" max="72" width="7.140625" style="304" bestFit="1" customWidth="1"/>
    <col min="73" max="73" width="10.7109375" style="304" bestFit="1" customWidth="1"/>
    <col min="74" max="76" width="7.140625" style="304" bestFit="1" customWidth="1"/>
    <col min="77" max="77" width="10.7109375" style="304" bestFit="1" customWidth="1"/>
    <col min="78" max="78" width="10.85546875" style="304" bestFit="1" customWidth="1"/>
    <col min="79" max="81" width="7.42578125" style="304" bestFit="1" customWidth="1"/>
    <col min="82" max="82" width="10.7109375" style="304" bestFit="1" customWidth="1"/>
    <col min="83" max="83" width="10.85546875" style="304" bestFit="1" customWidth="1"/>
    <col min="84" max="84" width="12.42578125" style="304" bestFit="1" customWidth="1"/>
    <col min="85"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_xll.ReportDrill('[70]JE Lookup'!B1,,_xll.PairGroup(_xll.Pair(G20:G217,'[70]JE Lookup'!N8),_xll.Pair(AB20:AB217,'[70]JE Lookup'!N7)),"JE Lookup")</f>
        <v>OK!: ReportDrill 'JE Lookup' Formula OK [jAction{}]</v>
      </c>
      <c r="U4" s="304" t="str">
        <f ca="1">_xll.ReportDrill(,"APDrill",_xll.PairGroup(_xll.PairExt(AQ20:AQ217,"H8")),"AP Detail")</f>
        <v>OK!: ReportDrill 'AP Detail' Formula OK [jAction{}]</v>
      </c>
      <c r="Y4" s="304" t="str">
        <f ca="1">_xll.ReportDrill(,"JEStaged_DrillToDetail",_xll.PairGroup(_xll.PairExt(Q19:Q217,"dControlNum",TRUE),_xll.PairExt(AP19:AP217,"dDistrict",TRUE),_xll.PairExt(AO19:AO217,"dApplyMonth",TRUE)),"JE Staged Details")</f>
        <v>OK!: ReportDrill 'JE Staged Details' Formula OK [jAction{}]</v>
      </c>
    </row>
    <row r="5" spans="1:43" hidden="1" outlineLevel="1">
      <c r="B5" s="304" t="str">
        <f ca="1">_xll.ReportRange("JEQuery_WithStaged",B20:AS216,B2:AS2,,_xll.Param(DateFrom,DateTo,IF(M12="","all",M12),M13,M14,M15,P12,P13,P14,P15,EntrieShownLimit,IF(DateFrom="",DateFrom,),IF(DateTo="",DateTo,)),TRUE)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_xll.ReportDrill('[70]JE Lookup'!B1,,_xll.PairGroup(_xll.Pair(V20:V217,'[70]JE Lookup'!N8),_xll.Pair(AS20:AS217,'[70]JE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2513</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1290</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SUM(D19:D217)</f>
        <v>504817.33000000019</v>
      </c>
      <c r="E16" s="321">
        <f>SUM(E19:E217)</f>
        <v>0</v>
      </c>
      <c r="F16" s="304" t="s">
        <v>685</v>
      </c>
      <c r="N16" s="322"/>
      <c r="O16" s="322"/>
      <c r="P16" s="322"/>
      <c r="Q16" s="322"/>
    </row>
    <row r="17" spans="2:45">
      <c r="B17" s="319" t="s">
        <v>686</v>
      </c>
      <c r="C17" s="320"/>
      <c r="D17" s="323">
        <f>COUNT(D20:D218)</f>
        <v>196</v>
      </c>
      <c r="E17" s="323">
        <f>COUNT(E20:E218)</f>
        <v>196</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860" t="s">
        <v>703</v>
      </c>
      <c r="R19" s="860" t="s">
        <v>704</v>
      </c>
      <c r="S19" s="860" t="s">
        <v>705</v>
      </c>
      <c r="T19" s="860" t="s">
        <v>706</v>
      </c>
      <c r="U19" s="860" t="s">
        <v>707</v>
      </c>
      <c r="V19" s="860" t="s">
        <v>708</v>
      </c>
      <c r="W19" s="860" t="s">
        <v>709</v>
      </c>
      <c r="X19" s="860" t="s">
        <v>710</v>
      </c>
      <c r="Y19" s="860" t="s">
        <v>711</v>
      </c>
      <c r="Z19" s="860" t="s">
        <v>712</v>
      </c>
      <c r="AA19" s="860" t="s">
        <v>713</v>
      </c>
      <c r="AB19" s="860" t="s">
        <v>714</v>
      </c>
      <c r="AC19" s="865" t="s">
        <v>715</v>
      </c>
      <c r="AD19" s="865" t="s">
        <v>716</v>
      </c>
      <c r="AE19" s="865" t="s">
        <v>717</v>
      </c>
      <c r="AF19" s="865" t="s">
        <v>718</v>
      </c>
      <c r="AG19" s="865" t="s">
        <v>719</v>
      </c>
      <c r="AH19" s="865" t="s">
        <v>720</v>
      </c>
      <c r="AI19" s="861" t="s">
        <v>721</v>
      </c>
      <c r="AJ19" s="861" t="s">
        <v>722</v>
      </c>
      <c r="AK19" s="861" t="s">
        <v>723</v>
      </c>
      <c r="AL19" s="861" t="s">
        <v>724</v>
      </c>
      <c r="AM19" s="861" t="s">
        <v>725</v>
      </c>
      <c r="AN19" s="861" t="s">
        <v>663</v>
      </c>
      <c r="AO19" s="866" t="s">
        <v>726</v>
      </c>
      <c r="AP19" s="713" t="s">
        <v>727</v>
      </c>
      <c r="AQ19" s="713" t="s">
        <v>728</v>
      </c>
    </row>
    <row r="20" spans="2:45" ht="13.5" thickTop="1">
      <c r="B20" s="1662" t="s">
        <v>1324</v>
      </c>
      <c r="C20" s="1663">
        <v>42846</v>
      </c>
      <c r="D20" s="1664">
        <v>6000</v>
      </c>
      <c r="E20" s="1664">
        <v>0</v>
      </c>
      <c r="F20" s="1665" t="s">
        <v>729</v>
      </c>
      <c r="G20" s="1663" t="s">
        <v>1787</v>
      </c>
      <c r="H20" s="1666" t="s">
        <v>730</v>
      </c>
      <c r="I20" s="1663" t="s">
        <v>1788</v>
      </c>
      <c r="J20" s="1663" t="s">
        <v>734</v>
      </c>
      <c r="K20" s="1663" t="s">
        <v>732</v>
      </c>
      <c r="L20" s="1667"/>
      <c r="M20" s="1667"/>
      <c r="N20" s="1667" t="s">
        <v>1780</v>
      </c>
      <c r="O20" s="1663"/>
      <c r="P20" s="1667"/>
      <c r="Q20" s="1668"/>
      <c r="R20" s="1663"/>
      <c r="S20" s="1663"/>
      <c r="T20" s="1663"/>
      <c r="U20" s="1663" t="s">
        <v>1789</v>
      </c>
      <c r="V20" s="1663" t="s">
        <v>1789</v>
      </c>
      <c r="W20" s="1663"/>
      <c r="X20" s="1663">
        <v>42846</v>
      </c>
      <c r="Y20" s="1663">
        <v>42850</v>
      </c>
      <c r="Z20" s="1663"/>
      <c r="AA20" s="1663"/>
      <c r="AB20" s="1663" t="s">
        <v>733</v>
      </c>
      <c r="AC20" s="1663">
        <v>0</v>
      </c>
      <c r="AD20" s="1663">
        <v>0</v>
      </c>
      <c r="AE20" s="1663">
        <v>0</v>
      </c>
      <c r="AF20" s="1663">
        <v>0</v>
      </c>
      <c r="AG20" s="1663">
        <v>0</v>
      </c>
      <c r="AH20" s="1663">
        <v>1</v>
      </c>
      <c r="AI20" s="1663">
        <v>59341</v>
      </c>
      <c r="AJ20" s="1663">
        <v>2195</v>
      </c>
      <c r="AK20" s="1663">
        <v>0</v>
      </c>
      <c r="AL20" s="1663">
        <v>0</v>
      </c>
      <c r="AM20" s="1663"/>
      <c r="AN20" s="1663"/>
      <c r="AO20" s="1669"/>
      <c r="AP20" s="332"/>
      <c r="AQ20" s="304" t="str">
        <f>IF(LEFT(U20,2)="VO",U20,"")</f>
        <v/>
      </c>
      <c r="AS20" s="304" t="str">
        <f>IF(RIGHT(K20,2)="IC",IF(OR(AB20="wci_canada",AB20="wci_can_corp"),"wci_can_Corp","wci_corp"),AB20)</f>
        <v>wci_corp</v>
      </c>
    </row>
    <row r="21" spans="2:45">
      <c r="B21" s="1670" t="s">
        <v>1324</v>
      </c>
      <c r="C21" s="1671">
        <v>42846</v>
      </c>
      <c r="D21" s="1672">
        <v>1250</v>
      </c>
      <c r="E21" s="1672">
        <v>0</v>
      </c>
      <c r="F21" s="1673" t="s">
        <v>729</v>
      </c>
      <c r="G21" s="1671" t="s">
        <v>1787</v>
      </c>
      <c r="H21" s="1674" t="s">
        <v>730</v>
      </c>
      <c r="I21" s="1671" t="s">
        <v>1788</v>
      </c>
      <c r="J21" s="1671" t="s">
        <v>734</v>
      </c>
      <c r="K21" s="1671" t="s">
        <v>732</v>
      </c>
      <c r="L21" s="1675"/>
      <c r="M21" s="1675"/>
      <c r="N21" s="1675" t="s">
        <v>1350</v>
      </c>
      <c r="O21" s="1671"/>
      <c r="P21" s="1675"/>
      <c r="Q21" s="1676"/>
      <c r="R21" s="1671"/>
      <c r="S21" s="1671"/>
      <c r="T21" s="1671"/>
      <c r="U21" s="1671" t="s">
        <v>1789</v>
      </c>
      <c r="V21" s="1671" t="s">
        <v>1789</v>
      </c>
      <c r="W21" s="1671"/>
      <c r="X21" s="1671">
        <v>42846</v>
      </c>
      <c r="Y21" s="1671">
        <v>42850</v>
      </c>
      <c r="Z21" s="1671"/>
      <c r="AA21" s="1671"/>
      <c r="AB21" s="1671" t="s">
        <v>733</v>
      </c>
      <c r="AC21" s="1671">
        <v>0</v>
      </c>
      <c r="AD21" s="1671">
        <v>0</v>
      </c>
      <c r="AE21" s="1671">
        <v>0</v>
      </c>
      <c r="AF21" s="1671">
        <v>0</v>
      </c>
      <c r="AG21" s="1671">
        <v>0</v>
      </c>
      <c r="AH21" s="1671">
        <v>1</v>
      </c>
      <c r="AI21" s="1671">
        <v>59341</v>
      </c>
      <c r="AJ21" s="1671">
        <v>2195</v>
      </c>
      <c r="AK21" s="1671">
        <v>0</v>
      </c>
      <c r="AL21" s="1671">
        <v>0</v>
      </c>
      <c r="AM21" s="1671"/>
      <c r="AN21" s="1671"/>
      <c r="AO21" s="1677"/>
      <c r="AP21" s="332"/>
      <c r="AQ21" s="304" t="str">
        <f t="shared" ref="AQ21:AQ84" si="0">IF(LEFT(U21,2)="VO",U21,"")</f>
        <v/>
      </c>
      <c r="AS21" s="304" t="str">
        <f t="shared" ref="AS21:AS84" si="1">IF(RIGHT(K21,2)="IC",IF(OR(AB21="wci_canada",AB21="wci_can_corp"),"wci_can_Corp","wci_corp"),AB21)</f>
        <v>wci_corp</v>
      </c>
    </row>
    <row r="22" spans="2:45">
      <c r="B22" s="1670" t="s">
        <v>1312</v>
      </c>
      <c r="C22" s="1671">
        <v>42855</v>
      </c>
      <c r="D22" s="1672">
        <v>786.18</v>
      </c>
      <c r="E22" s="1672">
        <v>0</v>
      </c>
      <c r="F22" s="1673" t="s">
        <v>729</v>
      </c>
      <c r="G22" s="1671" t="s">
        <v>1790</v>
      </c>
      <c r="H22" s="1674" t="s">
        <v>730</v>
      </c>
      <c r="I22" s="1671" t="s">
        <v>1791</v>
      </c>
      <c r="J22" s="1671" t="s">
        <v>734</v>
      </c>
      <c r="K22" s="1671" t="s">
        <v>732</v>
      </c>
      <c r="L22" s="1675"/>
      <c r="M22" s="1675"/>
      <c r="N22" s="1675" t="s">
        <v>1792</v>
      </c>
      <c r="O22" s="1671"/>
      <c r="P22" s="1675"/>
      <c r="Q22" s="1676"/>
      <c r="R22" s="1671"/>
      <c r="S22" s="1671"/>
      <c r="T22" s="1671"/>
      <c r="U22" s="1671" t="s">
        <v>1793</v>
      </c>
      <c r="V22" s="1671" t="s">
        <v>1793</v>
      </c>
      <c r="W22" s="1671"/>
      <c r="X22" s="1671">
        <v>42857</v>
      </c>
      <c r="Y22" s="1671">
        <v>42858</v>
      </c>
      <c r="Z22" s="1671"/>
      <c r="AA22" s="1671"/>
      <c r="AB22" s="1671" t="s">
        <v>733</v>
      </c>
      <c r="AC22" s="1671">
        <v>0</v>
      </c>
      <c r="AD22" s="1671">
        <v>0</v>
      </c>
      <c r="AE22" s="1671">
        <v>0</v>
      </c>
      <c r="AF22" s="1671">
        <v>0</v>
      </c>
      <c r="AG22" s="1671">
        <v>0</v>
      </c>
      <c r="AH22" s="1671">
        <v>1</v>
      </c>
      <c r="AI22" s="1671">
        <v>59400</v>
      </c>
      <c r="AJ22" s="1671">
        <v>2195</v>
      </c>
      <c r="AK22" s="1671">
        <v>0</v>
      </c>
      <c r="AL22" s="1671">
        <v>0</v>
      </c>
      <c r="AM22" s="1671"/>
      <c r="AN22" s="1671"/>
      <c r="AO22" s="1677"/>
      <c r="AP22" s="332"/>
      <c r="AQ22" s="304" t="str">
        <f t="shared" si="0"/>
        <v/>
      </c>
      <c r="AS22" s="304" t="str">
        <f t="shared" si="1"/>
        <v>wci_corp</v>
      </c>
    </row>
    <row r="23" spans="2:45">
      <c r="B23" s="1670" t="s">
        <v>1300</v>
      </c>
      <c r="C23" s="1671">
        <v>42886</v>
      </c>
      <c r="D23" s="1672">
        <v>4800</v>
      </c>
      <c r="E23" s="1672">
        <v>0</v>
      </c>
      <c r="F23" s="1673" t="s">
        <v>729</v>
      </c>
      <c r="G23" s="1671" t="s">
        <v>1794</v>
      </c>
      <c r="H23" s="1674" t="s">
        <v>730</v>
      </c>
      <c r="I23" s="1671" t="s">
        <v>1795</v>
      </c>
      <c r="J23" s="1671" t="s">
        <v>734</v>
      </c>
      <c r="K23" s="1671" t="s">
        <v>732</v>
      </c>
      <c r="L23" s="1675"/>
      <c r="M23" s="1675"/>
      <c r="N23" s="1675" t="s">
        <v>1796</v>
      </c>
      <c r="O23" s="1671"/>
      <c r="P23" s="1675"/>
      <c r="Q23" s="1676"/>
      <c r="R23" s="1671"/>
      <c r="S23" s="1671"/>
      <c r="T23" s="1671"/>
      <c r="U23" s="1671" t="s">
        <v>1797</v>
      </c>
      <c r="V23" s="1671" t="s">
        <v>1797</v>
      </c>
      <c r="W23" s="1671"/>
      <c r="X23" s="1671">
        <v>42887</v>
      </c>
      <c r="Y23" s="1671">
        <v>42888</v>
      </c>
      <c r="Z23" s="1671"/>
      <c r="AA23" s="1671"/>
      <c r="AB23" s="1671" t="s">
        <v>733</v>
      </c>
      <c r="AC23" s="1671">
        <v>0</v>
      </c>
      <c r="AD23" s="1671">
        <v>0</v>
      </c>
      <c r="AE23" s="1671">
        <v>0</v>
      </c>
      <c r="AF23" s="1671">
        <v>0</v>
      </c>
      <c r="AG23" s="1671">
        <v>0</v>
      </c>
      <c r="AH23" s="1671">
        <v>1</v>
      </c>
      <c r="AI23" s="1671">
        <v>59343</v>
      </c>
      <c r="AJ23" s="1671">
        <v>2195</v>
      </c>
      <c r="AK23" s="1671">
        <v>0</v>
      </c>
      <c r="AL23" s="1671">
        <v>0</v>
      </c>
      <c r="AM23" s="1671"/>
      <c r="AN23" s="1671"/>
      <c r="AO23" s="1677"/>
      <c r="AP23" s="332"/>
      <c r="AQ23" s="304" t="str">
        <f t="shared" si="0"/>
        <v/>
      </c>
      <c r="AS23" s="304" t="str">
        <f t="shared" si="1"/>
        <v>wci_corp</v>
      </c>
    </row>
    <row r="24" spans="2:45">
      <c r="B24" s="1670" t="s">
        <v>1312</v>
      </c>
      <c r="C24" s="1671">
        <v>42905</v>
      </c>
      <c r="D24" s="1672">
        <v>2000</v>
      </c>
      <c r="E24" s="1672">
        <v>0</v>
      </c>
      <c r="F24" s="1673" t="s">
        <v>729</v>
      </c>
      <c r="G24" s="1671" t="s">
        <v>1798</v>
      </c>
      <c r="H24" s="1674" t="s">
        <v>730</v>
      </c>
      <c r="I24" s="1671" t="s">
        <v>1039</v>
      </c>
      <c r="J24" s="1671" t="s">
        <v>1784</v>
      </c>
      <c r="K24" s="1671" t="s">
        <v>732</v>
      </c>
      <c r="L24" s="1675" t="s">
        <v>1785</v>
      </c>
      <c r="M24" s="1675" t="s">
        <v>1799</v>
      </c>
      <c r="N24" s="1675" t="s">
        <v>1786</v>
      </c>
      <c r="O24" s="1671">
        <v>42887</v>
      </c>
      <c r="P24" s="1675" t="s">
        <v>1800</v>
      </c>
      <c r="Q24" s="1676" t="s">
        <v>1801</v>
      </c>
      <c r="R24" s="1671" t="s">
        <v>1802</v>
      </c>
      <c r="S24" s="1671"/>
      <c r="T24" s="1671"/>
      <c r="U24" s="1671" t="s">
        <v>1803</v>
      </c>
      <c r="V24" s="1671" t="s">
        <v>1804</v>
      </c>
      <c r="W24" s="1671">
        <v>2195</v>
      </c>
      <c r="X24" s="1671">
        <v>42905</v>
      </c>
      <c r="Y24" s="1671">
        <v>42906</v>
      </c>
      <c r="Z24" s="1671">
        <v>2000</v>
      </c>
      <c r="AA24" s="1671">
        <v>42888</v>
      </c>
      <c r="AB24" s="1671" t="s">
        <v>733</v>
      </c>
      <c r="AC24" s="1671">
        <v>0</v>
      </c>
      <c r="AD24" s="1671">
        <v>0</v>
      </c>
      <c r="AE24" s="1671">
        <v>0</v>
      </c>
      <c r="AF24" s="1671">
        <v>0</v>
      </c>
      <c r="AG24" s="1671">
        <v>0</v>
      </c>
      <c r="AH24" s="1671">
        <v>1</v>
      </c>
      <c r="AI24" s="1671">
        <v>59400</v>
      </c>
      <c r="AJ24" s="1671">
        <v>2195</v>
      </c>
      <c r="AK24" s="1671">
        <v>0</v>
      </c>
      <c r="AL24" s="1671">
        <v>0</v>
      </c>
      <c r="AM24" s="1671"/>
      <c r="AN24" s="1671"/>
      <c r="AO24" s="1677"/>
      <c r="AP24" s="332"/>
      <c r="AQ24" s="304" t="str">
        <f t="shared" si="0"/>
        <v>VO04323173</v>
      </c>
      <c r="AS24" s="304" t="str">
        <f t="shared" si="1"/>
        <v>wci_corp</v>
      </c>
    </row>
    <row r="25" spans="2:45">
      <c r="B25" s="1670" t="s">
        <v>1324</v>
      </c>
      <c r="C25" s="1671">
        <v>42916</v>
      </c>
      <c r="D25" s="1672">
        <v>1000</v>
      </c>
      <c r="E25" s="1672">
        <v>0</v>
      </c>
      <c r="F25" s="1673" t="s">
        <v>729</v>
      </c>
      <c r="G25" s="1671" t="s">
        <v>1805</v>
      </c>
      <c r="H25" s="1674" t="s">
        <v>730</v>
      </c>
      <c r="I25" s="1671" t="s">
        <v>1806</v>
      </c>
      <c r="J25" s="1671" t="s">
        <v>734</v>
      </c>
      <c r="K25" s="1671" t="s">
        <v>732</v>
      </c>
      <c r="L25" s="1675"/>
      <c r="M25" s="1675"/>
      <c r="N25" s="1675" t="s">
        <v>1350</v>
      </c>
      <c r="O25" s="1671"/>
      <c r="P25" s="1675"/>
      <c r="Q25" s="1676"/>
      <c r="R25" s="1671"/>
      <c r="S25" s="1671"/>
      <c r="T25" s="1671"/>
      <c r="U25" s="1671" t="s">
        <v>1807</v>
      </c>
      <c r="V25" s="1671" t="s">
        <v>1807</v>
      </c>
      <c r="W25" s="1671"/>
      <c r="X25" s="1671">
        <v>42921</v>
      </c>
      <c r="Y25" s="1671">
        <v>42921</v>
      </c>
      <c r="Z25" s="1671"/>
      <c r="AA25" s="1671"/>
      <c r="AB25" s="1671" t="s">
        <v>733</v>
      </c>
      <c r="AC25" s="1671">
        <v>0</v>
      </c>
      <c r="AD25" s="1671">
        <v>0</v>
      </c>
      <c r="AE25" s="1671">
        <v>0</v>
      </c>
      <c r="AF25" s="1671">
        <v>0</v>
      </c>
      <c r="AG25" s="1671">
        <v>0</v>
      </c>
      <c r="AH25" s="1671">
        <v>1</v>
      </c>
      <c r="AI25" s="1671">
        <v>59341</v>
      </c>
      <c r="AJ25" s="1671">
        <v>2195</v>
      </c>
      <c r="AK25" s="1671">
        <v>0</v>
      </c>
      <c r="AL25" s="1671">
        <v>0</v>
      </c>
      <c r="AM25" s="1671"/>
      <c r="AN25" s="1671"/>
      <c r="AO25" s="1677"/>
      <c r="AP25" s="332"/>
      <c r="AQ25" s="304" t="str">
        <f t="shared" si="0"/>
        <v/>
      </c>
      <c r="AS25" s="304" t="str">
        <f t="shared" si="1"/>
        <v>wci_corp</v>
      </c>
    </row>
    <row r="26" spans="2:45">
      <c r="B26" s="1670" t="s">
        <v>1300</v>
      </c>
      <c r="C26" s="1671">
        <v>42916</v>
      </c>
      <c r="D26" s="1672">
        <v>2800</v>
      </c>
      <c r="E26" s="1672">
        <v>0</v>
      </c>
      <c r="F26" s="1673" t="s">
        <v>729</v>
      </c>
      <c r="G26" s="1671" t="s">
        <v>1805</v>
      </c>
      <c r="H26" s="1674" t="s">
        <v>730</v>
      </c>
      <c r="I26" s="1671" t="s">
        <v>1806</v>
      </c>
      <c r="J26" s="1671" t="s">
        <v>734</v>
      </c>
      <c r="K26" s="1671" t="s">
        <v>732</v>
      </c>
      <c r="L26" s="1675"/>
      <c r="M26" s="1675"/>
      <c r="N26" s="1675" t="s">
        <v>1808</v>
      </c>
      <c r="O26" s="1671"/>
      <c r="P26" s="1675"/>
      <c r="Q26" s="1676"/>
      <c r="R26" s="1671"/>
      <c r="S26" s="1671"/>
      <c r="T26" s="1671"/>
      <c r="U26" s="1671" t="s">
        <v>1807</v>
      </c>
      <c r="V26" s="1671" t="s">
        <v>1807</v>
      </c>
      <c r="W26" s="1671"/>
      <c r="X26" s="1671">
        <v>42921</v>
      </c>
      <c r="Y26" s="1671">
        <v>42921</v>
      </c>
      <c r="Z26" s="1671"/>
      <c r="AA26" s="1671"/>
      <c r="AB26" s="1671" t="s">
        <v>733</v>
      </c>
      <c r="AC26" s="1671">
        <v>0</v>
      </c>
      <c r="AD26" s="1671">
        <v>0</v>
      </c>
      <c r="AE26" s="1671">
        <v>0</v>
      </c>
      <c r="AF26" s="1671">
        <v>0</v>
      </c>
      <c r="AG26" s="1671">
        <v>0</v>
      </c>
      <c r="AH26" s="1671">
        <v>1</v>
      </c>
      <c r="AI26" s="1671">
        <v>59343</v>
      </c>
      <c r="AJ26" s="1671">
        <v>2195</v>
      </c>
      <c r="AK26" s="1671">
        <v>0</v>
      </c>
      <c r="AL26" s="1671">
        <v>0</v>
      </c>
      <c r="AM26" s="1671"/>
      <c r="AN26" s="1671"/>
      <c r="AO26" s="1677"/>
      <c r="AP26" s="332"/>
      <c r="AQ26" s="304" t="str">
        <f t="shared" si="0"/>
        <v/>
      </c>
      <c r="AS26" s="304" t="str">
        <f t="shared" si="1"/>
        <v>wci_corp</v>
      </c>
    </row>
    <row r="27" spans="2:45">
      <c r="B27" s="1670" t="s">
        <v>1300</v>
      </c>
      <c r="C27" s="1671">
        <v>42916</v>
      </c>
      <c r="D27" s="1672">
        <v>1150</v>
      </c>
      <c r="E27" s="1672">
        <v>0</v>
      </c>
      <c r="F27" s="1673" t="s">
        <v>729</v>
      </c>
      <c r="G27" s="1671" t="s">
        <v>1805</v>
      </c>
      <c r="H27" s="1674" t="s">
        <v>730</v>
      </c>
      <c r="I27" s="1671" t="s">
        <v>1806</v>
      </c>
      <c r="J27" s="1671" t="s">
        <v>734</v>
      </c>
      <c r="K27" s="1671" t="s">
        <v>732</v>
      </c>
      <c r="L27" s="1675"/>
      <c r="M27" s="1675"/>
      <c r="N27" s="1675" t="s">
        <v>1796</v>
      </c>
      <c r="O27" s="1671"/>
      <c r="P27" s="1675"/>
      <c r="Q27" s="1676"/>
      <c r="R27" s="1671"/>
      <c r="S27" s="1671"/>
      <c r="T27" s="1671"/>
      <c r="U27" s="1671" t="s">
        <v>1807</v>
      </c>
      <c r="V27" s="1671" t="s">
        <v>1807</v>
      </c>
      <c r="W27" s="1671"/>
      <c r="X27" s="1671">
        <v>42921</v>
      </c>
      <c r="Y27" s="1671">
        <v>42921</v>
      </c>
      <c r="Z27" s="1671"/>
      <c r="AA27" s="1671"/>
      <c r="AB27" s="1671" t="s">
        <v>733</v>
      </c>
      <c r="AC27" s="1671">
        <v>0</v>
      </c>
      <c r="AD27" s="1671">
        <v>0</v>
      </c>
      <c r="AE27" s="1671">
        <v>0</v>
      </c>
      <c r="AF27" s="1671">
        <v>0</v>
      </c>
      <c r="AG27" s="1671">
        <v>0</v>
      </c>
      <c r="AH27" s="1671">
        <v>1</v>
      </c>
      <c r="AI27" s="1671">
        <v>59343</v>
      </c>
      <c r="AJ27" s="1671">
        <v>2195</v>
      </c>
      <c r="AK27" s="1671">
        <v>0</v>
      </c>
      <c r="AL27" s="1671">
        <v>0</v>
      </c>
      <c r="AM27" s="1671"/>
      <c r="AN27" s="1671"/>
      <c r="AO27" s="1677"/>
      <c r="AP27" s="332"/>
      <c r="AQ27" s="304" t="str">
        <f t="shared" si="0"/>
        <v/>
      </c>
      <c r="AS27" s="304" t="str">
        <f t="shared" si="1"/>
        <v>wci_corp</v>
      </c>
    </row>
    <row r="28" spans="2:45">
      <c r="B28" s="1670" t="s">
        <v>1333</v>
      </c>
      <c r="C28" s="1671">
        <v>42916</v>
      </c>
      <c r="D28" s="1672">
        <v>-170.95</v>
      </c>
      <c r="E28" s="1672">
        <v>0</v>
      </c>
      <c r="F28" s="1673" t="s">
        <v>729</v>
      </c>
      <c r="G28" s="1671" t="s">
        <v>1805</v>
      </c>
      <c r="H28" s="1674" t="s">
        <v>730</v>
      </c>
      <c r="I28" s="1671" t="s">
        <v>1806</v>
      </c>
      <c r="J28" s="1671" t="s">
        <v>734</v>
      </c>
      <c r="K28" s="1671" t="s">
        <v>732</v>
      </c>
      <c r="L28" s="1675"/>
      <c r="M28" s="1675"/>
      <c r="N28" s="1675" t="s">
        <v>1778</v>
      </c>
      <c r="O28" s="1671"/>
      <c r="P28" s="1675"/>
      <c r="Q28" s="1676"/>
      <c r="R28" s="1671"/>
      <c r="S28" s="1671"/>
      <c r="T28" s="1671"/>
      <c r="U28" s="1671" t="s">
        <v>1807</v>
      </c>
      <c r="V28" s="1671" t="s">
        <v>1807</v>
      </c>
      <c r="W28" s="1671"/>
      <c r="X28" s="1671">
        <v>42921</v>
      </c>
      <c r="Y28" s="1671">
        <v>42921</v>
      </c>
      <c r="Z28" s="1671"/>
      <c r="AA28" s="1671"/>
      <c r="AB28" s="1671" t="s">
        <v>733</v>
      </c>
      <c r="AC28" s="1671">
        <v>0</v>
      </c>
      <c r="AD28" s="1671">
        <v>0</v>
      </c>
      <c r="AE28" s="1671">
        <v>0</v>
      </c>
      <c r="AF28" s="1671">
        <v>0</v>
      </c>
      <c r="AG28" s="1671">
        <v>0</v>
      </c>
      <c r="AH28" s="1671">
        <v>1</v>
      </c>
      <c r="AI28" s="1671">
        <v>59344</v>
      </c>
      <c r="AJ28" s="1671">
        <v>2195</v>
      </c>
      <c r="AK28" s="1671">
        <v>0</v>
      </c>
      <c r="AL28" s="1671">
        <v>0</v>
      </c>
      <c r="AM28" s="1671"/>
      <c r="AN28" s="1671"/>
      <c r="AO28" s="1677"/>
      <c r="AP28" s="332"/>
      <c r="AQ28" s="304" t="str">
        <f t="shared" si="0"/>
        <v/>
      </c>
      <c r="AS28" s="304" t="str">
        <f t="shared" si="1"/>
        <v>wci_corp</v>
      </c>
    </row>
    <row r="29" spans="2:45">
      <c r="B29" s="1670" t="s">
        <v>1300</v>
      </c>
      <c r="C29" s="1671">
        <v>42947</v>
      </c>
      <c r="D29" s="1672">
        <v>-4680</v>
      </c>
      <c r="E29" s="1672">
        <v>0</v>
      </c>
      <c r="F29" s="1673" t="s">
        <v>729</v>
      </c>
      <c r="G29" s="1671" t="s">
        <v>1809</v>
      </c>
      <c r="H29" s="1674" t="s">
        <v>730</v>
      </c>
      <c r="I29" s="1671" t="s">
        <v>1330</v>
      </c>
      <c r="J29" s="1671" t="s">
        <v>734</v>
      </c>
      <c r="K29" s="1671" t="s">
        <v>732</v>
      </c>
      <c r="L29" s="1675"/>
      <c r="M29" s="1675"/>
      <c r="N29" s="1675" t="s">
        <v>1781</v>
      </c>
      <c r="O29" s="1671"/>
      <c r="P29" s="1675"/>
      <c r="Q29" s="1676"/>
      <c r="R29" s="1671"/>
      <c r="S29" s="1671"/>
      <c r="T29" s="1671"/>
      <c r="U29" s="1671" t="s">
        <v>1810</v>
      </c>
      <c r="V29" s="1671" t="s">
        <v>1810</v>
      </c>
      <c r="W29" s="1671"/>
      <c r="X29" s="1671">
        <v>42949</v>
      </c>
      <c r="Y29" s="1671">
        <v>42949</v>
      </c>
      <c r="Z29" s="1671"/>
      <c r="AA29" s="1671"/>
      <c r="AB29" s="1671" t="s">
        <v>733</v>
      </c>
      <c r="AC29" s="1671">
        <v>0</v>
      </c>
      <c r="AD29" s="1671">
        <v>0</v>
      </c>
      <c r="AE29" s="1671">
        <v>0</v>
      </c>
      <c r="AF29" s="1671">
        <v>0</v>
      </c>
      <c r="AG29" s="1671">
        <v>0</v>
      </c>
      <c r="AH29" s="1671">
        <v>1</v>
      </c>
      <c r="AI29" s="1671">
        <v>59343</v>
      </c>
      <c r="AJ29" s="1671">
        <v>2195</v>
      </c>
      <c r="AK29" s="1671">
        <v>0</v>
      </c>
      <c r="AL29" s="1671">
        <v>0</v>
      </c>
      <c r="AM29" s="1671"/>
      <c r="AN29" s="1671"/>
      <c r="AO29" s="1677"/>
      <c r="AP29" s="332"/>
      <c r="AQ29" s="304" t="str">
        <f t="shared" si="0"/>
        <v/>
      </c>
      <c r="AS29" s="304" t="str">
        <f t="shared" si="1"/>
        <v>wci_corp</v>
      </c>
    </row>
    <row r="30" spans="2:45">
      <c r="B30" s="1670" t="s">
        <v>1300</v>
      </c>
      <c r="C30" s="1671">
        <v>42947</v>
      </c>
      <c r="D30" s="1672">
        <v>1201</v>
      </c>
      <c r="E30" s="1672">
        <v>0</v>
      </c>
      <c r="F30" s="1673" t="s">
        <v>729</v>
      </c>
      <c r="G30" s="1671" t="s">
        <v>1809</v>
      </c>
      <c r="H30" s="1674" t="s">
        <v>730</v>
      </c>
      <c r="I30" s="1671" t="s">
        <v>1330</v>
      </c>
      <c r="J30" s="1671" t="s">
        <v>734</v>
      </c>
      <c r="K30" s="1671" t="s">
        <v>732</v>
      </c>
      <c r="L30" s="1675"/>
      <c r="M30" s="1675"/>
      <c r="N30" s="1675" t="s">
        <v>1808</v>
      </c>
      <c r="O30" s="1671"/>
      <c r="P30" s="1675"/>
      <c r="Q30" s="1676"/>
      <c r="R30" s="1671"/>
      <c r="S30" s="1671"/>
      <c r="T30" s="1671"/>
      <c r="U30" s="1671" t="s">
        <v>1810</v>
      </c>
      <c r="V30" s="1671" t="s">
        <v>1810</v>
      </c>
      <c r="W30" s="1671"/>
      <c r="X30" s="1671">
        <v>42949</v>
      </c>
      <c r="Y30" s="1671">
        <v>42949</v>
      </c>
      <c r="Z30" s="1671"/>
      <c r="AA30" s="1671"/>
      <c r="AB30" s="1671" t="s">
        <v>733</v>
      </c>
      <c r="AC30" s="1671">
        <v>0</v>
      </c>
      <c r="AD30" s="1671">
        <v>0</v>
      </c>
      <c r="AE30" s="1671">
        <v>0</v>
      </c>
      <c r="AF30" s="1671">
        <v>0</v>
      </c>
      <c r="AG30" s="1671">
        <v>0</v>
      </c>
      <c r="AH30" s="1671">
        <v>1</v>
      </c>
      <c r="AI30" s="1671">
        <v>59343</v>
      </c>
      <c r="AJ30" s="1671">
        <v>2195</v>
      </c>
      <c r="AK30" s="1671">
        <v>0</v>
      </c>
      <c r="AL30" s="1671">
        <v>0</v>
      </c>
      <c r="AM30" s="1671"/>
      <c r="AN30" s="1671"/>
      <c r="AO30" s="1677"/>
      <c r="AP30" s="332"/>
      <c r="AQ30" s="304" t="str">
        <f t="shared" si="0"/>
        <v/>
      </c>
      <c r="AS30" s="304" t="str">
        <f t="shared" si="1"/>
        <v>wci_corp</v>
      </c>
    </row>
    <row r="31" spans="2:45">
      <c r="B31" s="1670" t="s">
        <v>1300</v>
      </c>
      <c r="C31" s="1671">
        <v>43008</v>
      </c>
      <c r="D31" s="1672">
        <v>-1266.6500000000001</v>
      </c>
      <c r="E31" s="1672">
        <v>0</v>
      </c>
      <c r="F31" s="1673" t="s">
        <v>729</v>
      </c>
      <c r="G31" s="1671" t="s">
        <v>1811</v>
      </c>
      <c r="H31" s="1674" t="s">
        <v>730</v>
      </c>
      <c r="I31" s="1671" t="s">
        <v>1812</v>
      </c>
      <c r="J31" s="1671" t="s">
        <v>734</v>
      </c>
      <c r="K31" s="1671" t="s">
        <v>732</v>
      </c>
      <c r="L31" s="1675"/>
      <c r="M31" s="1675"/>
      <c r="N31" s="1675" t="s">
        <v>1781</v>
      </c>
      <c r="O31" s="1671"/>
      <c r="P31" s="1675"/>
      <c r="Q31" s="1676"/>
      <c r="R31" s="1671"/>
      <c r="S31" s="1671"/>
      <c r="T31" s="1671"/>
      <c r="U31" s="1671" t="s">
        <v>1813</v>
      </c>
      <c r="V31" s="1671" t="s">
        <v>1813</v>
      </c>
      <c r="W31" s="1671"/>
      <c r="X31" s="1671">
        <v>43011</v>
      </c>
      <c r="Y31" s="1671">
        <v>43011</v>
      </c>
      <c r="Z31" s="1671"/>
      <c r="AA31" s="1671"/>
      <c r="AB31" s="1671" t="s">
        <v>733</v>
      </c>
      <c r="AC31" s="1671">
        <v>0</v>
      </c>
      <c r="AD31" s="1671">
        <v>0</v>
      </c>
      <c r="AE31" s="1671">
        <v>0</v>
      </c>
      <c r="AF31" s="1671">
        <v>0</v>
      </c>
      <c r="AG31" s="1671">
        <v>0</v>
      </c>
      <c r="AH31" s="1671">
        <v>1</v>
      </c>
      <c r="AI31" s="1671">
        <v>59343</v>
      </c>
      <c r="AJ31" s="1671">
        <v>2195</v>
      </c>
      <c r="AK31" s="1671">
        <v>0</v>
      </c>
      <c r="AL31" s="1671">
        <v>0</v>
      </c>
      <c r="AM31" s="1671"/>
      <c r="AN31" s="1671"/>
      <c r="AO31" s="1677"/>
      <c r="AP31" s="332"/>
      <c r="AQ31" s="304" t="str">
        <f t="shared" si="0"/>
        <v/>
      </c>
      <c r="AS31" s="304" t="str">
        <f t="shared" si="1"/>
        <v>wci_corp</v>
      </c>
    </row>
    <row r="32" spans="2:45">
      <c r="B32" s="1670" t="s">
        <v>1300</v>
      </c>
      <c r="C32" s="1671">
        <v>43008</v>
      </c>
      <c r="D32" s="1672">
        <v>12.25</v>
      </c>
      <c r="E32" s="1672">
        <v>0</v>
      </c>
      <c r="F32" s="1673" t="s">
        <v>729</v>
      </c>
      <c r="G32" s="1671" t="s">
        <v>1811</v>
      </c>
      <c r="H32" s="1674" t="s">
        <v>730</v>
      </c>
      <c r="I32" s="1671" t="s">
        <v>1812</v>
      </c>
      <c r="J32" s="1671" t="s">
        <v>734</v>
      </c>
      <c r="K32" s="1671" t="s">
        <v>732</v>
      </c>
      <c r="L32" s="1675"/>
      <c r="M32" s="1675"/>
      <c r="N32" s="1675" t="s">
        <v>1814</v>
      </c>
      <c r="O32" s="1671"/>
      <c r="P32" s="1675"/>
      <c r="Q32" s="1676"/>
      <c r="R32" s="1671"/>
      <c r="S32" s="1671"/>
      <c r="T32" s="1671"/>
      <c r="U32" s="1671" t="s">
        <v>1813</v>
      </c>
      <c r="V32" s="1671" t="s">
        <v>1813</v>
      </c>
      <c r="W32" s="1671"/>
      <c r="X32" s="1671">
        <v>43011</v>
      </c>
      <c r="Y32" s="1671">
        <v>43011</v>
      </c>
      <c r="Z32" s="1671"/>
      <c r="AA32" s="1671"/>
      <c r="AB32" s="1671" t="s">
        <v>733</v>
      </c>
      <c r="AC32" s="1671">
        <v>0</v>
      </c>
      <c r="AD32" s="1671">
        <v>0</v>
      </c>
      <c r="AE32" s="1671">
        <v>0</v>
      </c>
      <c r="AF32" s="1671">
        <v>0</v>
      </c>
      <c r="AG32" s="1671">
        <v>0</v>
      </c>
      <c r="AH32" s="1671">
        <v>1</v>
      </c>
      <c r="AI32" s="1671">
        <v>59343</v>
      </c>
      <c r="AJ32" s="1671">
        <v>2195</v>
      </c>
      <c r="AK32" s="1671">
        <v>0</v>
      </c>
      <c r="AL32" s="1671">
        <v>0</v>
      </c>
      <c r="AM32" s="1671"/>
      <c r="AN32" s="1671"/>
      <c r="AO32" s="1677"/>
      <c r="AP32" s="332"/>
      <c r="AQ32" s="304" t="str">
        <f t="shared" si="0"/>
        <v/>
      </c>
      <c r="AS32" s="304" t="str">
        <f t="shared" si="1"/>
        <v>wci_corp</v>
      </c>
    </row>
    <row r="33" spans="2:45">
      <c r="B33" s="1670" t="s">
        <v>1300</v>
      </c>
      <c r="C33" s="1671">
        <v>43008</v>
      </c>
      <c r="D33" s="1672">
        <v>4800</v>
      </c>
      <c r="E33" s="1672">
        <v>0</v>
      </c>
      <c r="F33" s="1673" t="s">
        <v>729</v>
      </c>
      <c r="G33" s="1671" t="s">
        <v>1811</v>
      </c>
      <c r="H33" s="1674" t="s">
        <v>730</v>
      </c>
      <c r="I33" s="1671" t="s">
        <v>1812</v>
      </c>
      <c r="J33" s="1671" t="s">
        <v>734</v>
      </c>
      <c r="K33" s="1671" t="s">
        <v>732</v>
      </c>
      <c r="L33" s="1675"/>
      <c r="M33" s="1675"/>
      <c r="N33" s="1675" t="s">
        <v>1815</v>
      </c>
      <c r="O33" s="1671"/>
      <c r="P33" s="1675"/>
      <c r="Q33" s="1676"/>
      <c r="R33" s="1671"/>
      <c r="S33" s="1671"/>
      <c r="T33" s="1671"/>
      <c r="U33" s="1671" t="s">
        <v>1813</v>
      </c>
      <c r="V33" s="1671" t="s">
        <v>1813</v>
      </c>
      <c r="W33" s="1671"/>
      <c r="X33" s="1671">
        <v>43011</v>
      </c>
      <c r="Y33" s="1671">
        <v>43011</v>
      </c>
      <c r="Z33" s="1671"/>
      <c r="AA33" s="1671"/>
      <c r="AB33" s="1671" t="s">
        <v>733</v>
      </c>
      <c r="AC33" s="1671">
        <v>0</v>
      </c>
      <c r="AD33" s="1671">
        <v>0</v>
      </c>
      <c r="AE33" s="1671">
        <v>0</v>
      </c>
      <c r="AF33" s="1671">
        <v>0</v>
      </c>
      <c r="AG33" s="1671">
        <v>0</v>
      </c>
      <c r="AH33" s="1671">
        <v>1</v>
      </c>
      <c r="AI33" s="1671">
        <v>59343</v>
      </c>
      <c r="AJ33" s="1671">
        <v>2195</v>
      </c>
      <c r="AK33" s="1671">
        <v>0</v>
      </c>
      <c r="AL33" s="1671">
        <v>0</v>
      </c>
      <c r="AM33" s="1671"/>
      <c r="AN33" s="1671"/>
      <c r="AO33" s="1677"/>
      <c r="AP33" s="332"/>
      <c r="AQ33" s="304" t="str">
        <f t="shared" si="0"/>
        <v/>
      </c>
      <c r="AS33" s="304" t="str">
        <f t="shared" si="1"/>
        <v>wci_corp</v>
      </c>
    </row>
    <row r="34" spans="2:45">
      <c r="B34" s="1670" t="s">
        <v>1312</v>
      </c>
      <c r="C34" s="1671">
        <v>43008</v>
      </c>
      <c r="D34" s="1672">
        <v>2668.95</v>
      </c>
      <c r="E34" s="1672">
        <v>0</v>
      </c>
      <c r="F34" s="1673" t="s">
        <v>729</v>
      </c>
      <c r="G34" s="1671" t="s">
        <v>1816</v>
      </c>
      <c r="H34" s="1674" t="s">
        <v>730</v>
      </c>
      <c r="I34" s="1671" t="s">
        <v>1817</v>
      </c>
      <c r="J34" s="1671" t="s">
        <v>734</v>
      </c>
      <c r="K34" s="1671" t="s">
        <v>732</v>
      </c>
      <c r="L34" s="1675"/>
      <c r="M34" s="1675"/>
      <c r="N34" s="1675" t="s">
        <v>1818</v>
      </c>
      <c r="O34" s="1671"/>
      <c r="P34" s="1675"/>
      <c r="Q34" s="1676"/>
      <c r="R34" s="1671"/>
      <c r="S34" s="1671"/>
      <c r="T34" s="1671"/>
      <c r="U34" s="1671" t="s">
        <v>1819</v>
      </c>
      <c r="V34" s="1671" t="s">
        <v>1819</v>
      </c>
      <c r="W34" s="1671"/>
      <c r="X34" s="1671">
        <v>43011</v>
      </c>
      <c r="Y34" s="1671">
        <v>43011</v>
      </c>
      <c r="Z34" s="1671"/>
      <c r="AA34" s="1671"/>
      <c r="AB34" s="1671" t="s">
        <v>733</v>
      </c>
      <c r="AC34" s="1671">
        <v>0</v>
      </c>
      <c r="AD34" s="1671">
        <v>0</v>
      </c>
      <c r="AE34" s="1671">
        <v>0</v>
      </c>
      <c r="AF34" s="1671">
        <v>0</v>
      </c>
      <c r="AG34" s="1671">
        <v>0</v>
      </c>
      <c r="AH34" s="1671">
        <v>1</v>
      </c>
      <c r="AI34" s="1671">
        <v>59400</v>
      </c>
      <c r="AJ34" s="1671">
        <v>2195</v>
      </c>
      <c r="AK34" s="1671">
        <v>0</v>
      </c>
      <c r="AL34" s="1671">
        <v>0</v>
      </c>
      <c r="AM34" s="1671"/>
      <c r="AN34" s="1671"/>
      <c r="AO34" s="1677"/>
      <c r="AP34" s="332"/>
      <c r="AQ34" s="304" t="str">
        <f t="shared" si="0"/>
        <v/>
      </c>
      <c r="AS34" s="304" t="str">
        <f t="shared" si="1"/>
        <v>wci_corp</v>
      </c>
    </row>
    <row r="35" spans="2:45">
      <c r="B35" s="1670" t="s">
        <v>1312</v>
      </c>
      <c r="C35" s="1671">
        <v>43008</v>
      </c>
      <c r="D35" s="1672">
        <v>791.83</v>
      </c>
      <c r="E35" s="1672">
        <v>0</v>
      </c>
      <c r="F35" s="1673" t="s">
        <v>729</v>
      </c>
      <c r="G35" s="1671" t="s">
        <v>1816</v>
      </c>
      <c r="H35" s="1674" t="s">
        <v>730</v>
      </c>
      <c r="I35" s="1671" t="s">
        <v>1817</v>
      </c>
      <c r="J35" s="1671" t="s">
        <v>734</v>
      </c>
      <c r="K35" s="1671" t="s">
        <v>732</v>
      </c>
      <c r="L35" s="1675"/>
      <c r="M35" s="1675"/>
      <c r="N35" s="1675" t="s">
        <v>1820</v>
      </c>
      <c r="O35" s="1671"/>
      <c r="P35" s="1675"/>
      <c r="Q35" s="1676"/>
      <c r="R35" s="1671"/>
      <c r="S35" s="1671"/>
      <c r="T35" s="1671"/>
      <c r="U35" s="1671" t="s">
        <v>1819</v>
      </c>
      <c r="V35" s="1671" t="s">
        <v>1819</v>
      </c>
      <c r="W35" s="1671"/>
      <c r="X35" s="1671">
        <v>43011</v>
      </c>
      <c r="Y35" s="1671">
        <v>43011</v>
      </c>
      <c r="Z35" s="1671"/>
      <c r="AA35" s="1671"/>
      <c r="AB35" s="1671" t="s">
        <v>733</v>
      </c>
      <c r="AC35" s="1671">
        <v>0</v>
      </c>
      <c r="AD35" s="1671">
        <v>0</v>
      </c>
      <c r="AE35" s="1671">
        <v>0</v>
      </c>
      <c r="AF35" s="1671">
        <v>0</v>
      </c>
      <c r="AG35" s="1671">
        <v>0</v>
      </c>
      <c r="AH35" s="1671">
        <v>1</v>
      </c>
      <c r="AI35" s="1671">
        <v>59400</v>
      </c>
      <c r="AJ35" s="1671">
        <v>2195</v>
      </c>
      <c r="AK35" s="1671">
        <v>0</v>
      </c>
      <c r="AL35" s="1671">
        <v>0</v>
      </c>
      <c r="AM35" s="1671"/>
      <c r="AN35" s="1671"/>
      <c r="AO35" s="1677"/>
      <c r="AP35" s="332"/>
      <c r="AQ35" s="304" t="str">
        <f t="shared" si="0"/>
        <v/>
      </c>
      <c r="AS35" s="304" t="str">
        <f t="shared" si="1"/>
        <v>wci_corp</v>
      </c>
    </row>
    <row r="36" spans="2:45">
      <c r="B36" s="1670" t="s">
        <v>1300</v>
      </c>
      <c r="C36" s="1671">
        <v>43039</v>
      </c>
      <c r="D36" s="1672">
        <v>469.82</v>
      </c>
      <c r="E36" s="1672">
        <v>0</v>
      </c>
      <c r="F36" s="1673" t="s">
        <v>729</v>
      </c>
      <c r="G36" s="1671" t="s">
        <v>1821</v>
      </c>
      <c r="H36" s="1674" t="s">
        <v>730</v>
      </c>
      <c r="I36" s="1671" t="s">
        <v>1822</v>
      </c>
      <c r="J36" s="1671" t="s">
        <v>734</v>
      </c>
      <c r="K36" s="1671" t="s">
        <v>732</v>
      </c>
      <c r="L36" s="1675"/>
      <c r="M36" s="1675"/>
      <c r="N36" s="1675" t="s">
        <v>1814</v>
      </c>
      <c r="O36" s="1671"/>
      <c r="P36" s="1675"/>
      <c r="Q36" s="1676"/>
      <c r="R36" s="1671"/>
      <c r="S36" s="1671"/>
      <c r="T36" s="1671"/>
      <c r="U36" s="1671" t="s">
        <v>1823</v>
      </c>
      <c r="V36" s="1671" t="s">
        <v>1823</v>
      </c>
      <c r="W36" s="1671"/>
      <c r="X36" s="1671">
        <v>43040</v>
      </c>
      <c r="Y36" s="1671">
        <v>43040</v>
      </c>
      <c r="Z36" s="1671"/>
      <c r="AA36" s="1671"/>
      <c r="AB36" s="1671" t="s">
        <v>733</v>
      </c>
      <c r="AC36" s="1671">
        <v>0</v>
      </c>
      <c r="AD36" s="1671">
        <v>0</v>
      </c>
      <c r="AE36" s="1671">
        <v>0</v>
      </c>
      <c r="AF36" s="1671">
        <v>0</v>
      </c>
      <c r="AG36" s="1671">
        <v>0</v>
      </c>
      <c r="AH36" s="1671">
        <v>1</v>
      </c>
      <c r="AI36" s="1671">
        <v>59343</v>
      </c>
      <c r="AJ36" s="1671">
        <v>2195</v>
      </c>
      <c r="AK36" s="1671">
        <v>0</v>
      </c>
      <c r="AL36" s="1671">
        <v>0</v>
      </c>
      <c r="AM36" s="1671"/>
      <c r="AN36" s="1671"/>
      <c r="AO36" s="1677"/>
      <c r="AP36" s="332"/>
      <c r="AQ36" s="304" t="str">
        <f t="shared" si="0"/>
        <v/>
      </c>
      <c r="AS36" s="304" t="str">
        <f t="shared" si="1"/>
        <v>wci_corp</v>
      </c>
    </row>
    <row r="37" spans="2:45">
      <c r="B37" s="1670" t="s">
        <v>1300</v>
      </c>
      <c r="C37" s="1671">
        <v>43039</v>
      </c>
      <c r="D37" s="1672">
        <v>4800</v>
      </c>
      <c r="E37" s="1672">
        <v>0</v>
      </c>
      <c r="F37" s="1673" t="s">
        <v>729</v>
      </c>
      <c r="G37" s="1671" t="s">
        <v>1821</v>
      </c>
      <c r="H37" s="1674" t="s">
        <v>730</v>
      </c>
      <c r="I37" s="1671" t="s">
        <v>1822</v>
      </c>
      <c r="J37" s="1671" t="s">
        <v>734</v>
      </c>
      <c r="K37" s="1671" t="s">
        <v>732</v>
      </c>
      <c r="L37" s="1675"/>
      <c r="M37" s="1675"/>
      <c r="N37" s="1675" t="s">
        <v>1351</v>
      </c>
      <c r="O37" s="1671"/>
      <c r="P37" s="1675"/>
      <c r="Q37" s="1676"/>
      <c r="R37" s="1671"/>
      <c r="S37" s="1671"/>
      <c r="T37" s="1671"/>
      <c r="U37" s="1671" t="s">
        <v>1823</v>
      </c>
      <c r="V37" s="1671" t="s">
        <v>1823</v>
      </c>
      <c r="W37" s="1671"/>
      <c r="X37" s="1671">
        <v>43040</v>
      </c>
      <c r="Y37" s="1671">
        <v>43040</v>
      </c>
      <c r="Z37" s="1671"/>
      <c r="AA37" s="1671"/>
      <c r="AB37" s="1671" t="s">
        <v>733</v>
      </c>
      <c r="AC37" s="1671">
        <v>0</v>
      </c>
      <c r="AD37" s="1671">
        <v>0</v>
      </c>
      <c r="AE37" s="1671">
        <v>0</v>
      </c>
      <c r="AF37" s="1671">
        <v>0</v>
      </c>
      <c r="AG37" s="1671">
        <v>0</v>
      </c>
      <c r="AH37" s="1671">
        <v>1</v>
      </c>
      <c r="AI37" s="1671">
        <v>59343</v>
      </c>
      <c r="AJ37" s="1671">
        <v>2195</v>
      </c>
      <c r="AK37" s="1671">
        <v>0</v>
      </c>
      <c r="AL37" s="1671">
        <v>0</v>
      </c>
      <c r="AM37" s="1671"/>
      <c r="AN37" s="1671"/>
      <c r="AO37" s="1677"/>
      <c r="AP37" s="332"/>
      <c r="AQ37" s="304" t="str">
        <f t="shared" si="0"/>
        <v/>
      </c>
      <c r="AS37" s="304" t="str">
        <f t="shared" si="1"/>
        <v>wci_corp</v>
      </c>
    </row>
    <row r="38" spans="2:45">
      <c r="B38" s="1670" t="s">
        <v>1300</v>
      </c>
      <c r="C38" s="1671">
        <v>43039</v>
      </c>
      <c r="D38" s="1672">
        <v>-3914.21</v>
      </c>
      <c r="E38" s="1672">
        <v>0</v>
      </c>
      <c r="F38" s="1673" t="s">
        <v>729</v>
      </c>
      <c r="G38" s="1671" t="s">
        <v>1824</v>
      </c>
      <c r="H38" s="1674" t="s">
        <v>730</v>
      </c>
      <c r="I38" s="1671" t="s">
        <v>1825</v>
      </c>
      <c r="J38" s="1671" t="s">
        <v>734</v>
      </c>
      <c r="K38" s="1671" t="s">
        <v>732</v>
      </c>
      <c r="L38" s="1675"/>
      <c r="M38" s="1675"/>
      <c r="N38" s="1675" t="s">
        <v>1808</v>
      </c>
      <c r="O38" s="1671"/>
      <c r="P38" s="1675"/>
      <c r="Q38" s="1676"/>
      <c r="R38" s="1671"/>
      <c r="S38" s="1671"/>
      <c r="T38" s="1671"/>
      <c r="U38" s="1671" t="s">
        <v>1826</v>
      </c>
      <c r="V38" s="1671" t="s">
        <v>1826</v>
      </c>
      <c r="W38" s="1671"/>
      <c r="X38" s="1671">
        <v>43041</v>
      </c>
      <c r="Y38" s="1671">
        <v>43041</v>
      </c>
      <c r="Z38" s="1671"/>
      <c r="AA38" s="1671"/>
      <c r="AB38" s="1671" t="s">
        <v>733</v>
      </c>
      <c r="AC38" s="1671">
        <v>0</v>
      </c>
      <c r="AD38" s="1671">
        <v>0</v>
      </c>
      <c r="AE38" s="1671">
        <v>0</v>
      </c>
      <c r="AF38" s="1671">
        <v>0</v>
      </c>
      <c r="AG38" s="1671">
        <v>0</v>
      </c>
      <c r="AH38" s="1671">
        <v>1</v>
      </c>
      <c r="AI38" s="1671">
        <v>59343</v>
      </c>
      <c r="AJ38" s="1671">
        <v>2195</v>
      </c>
      <c r="AK38" s="1671">
        <v>0</v>
      </c>
      <c r="AL38" s="1671">
        <v>0</v>
      </c>
      <c r="AM38" s="1671"/>
      <c r="AN38" s="1671"/>
      <c r="AO38" s="1677"/>
      <c r="AP38" s="332"/>
      <c r="AQ38" s="304" t="str">
        <f t="shared" si="0"/>
        <v/>
      </c>
      <c r="AS38" s="304" t="str">
        <f t="shared" si="1"/>
        <v>wci_corp</v>
      </c>
    </row>
    <row r="39" spans="2:45">
      <c r="B39" s="1670" t="s">
        <v>1300</v>
      </c>
      <c r="C39" s="1671">
        <v>43039</v>
      </c>
      <c r="D39" s="1672">
        <v>14500</v>
      </c>
      <c r="E39" s="1672">
        <v>0</v>
      </c>
      <c r="F39" s="1673" t="s">
        <v>729</v>
      </c>
      <c r="G39" s="1671" t="s">
        <v>1824</v>
      </c>
      <c r="H39" s="1674" t="s">
        <v>730</v>
      </c>
      <c r="I39" s="1671" t="s">
        <v>1825</v>
      </c>
      <c r="J39" s="1671" t="s">
        <v>734</v>
      </c>
      <c r="K39" s="1671" t="s">
        <v>732</v>
      </c>
      <c r="L39" s="1675"/>
      <c r="M39" s="1675"/>
      <c r="N39" s="1675" t="s">
        <v>1815</v>
      </c>
      <c r="O39" s="1671"/>
      <c r="P39" s="1675"/>
      <c r="Q39" s="1676"/>
      <c r="R39" s="1671"/>
      <c r="S39" s="1671"/>
      <c r="T39" s="1671"/>
      <c r="U39" s="1671" t="s">
        <v>1826</v>
      </c>
      <c r="V39" s="1671" t="s">
        <v>1826</v>
      </c>
      <c r="W39" s="1671"/>
      <c r="X39" s="1671">
        <v>43041</v>
      </c>
      <c r="Y39" s="1671">
        <v>43041</v>
      </c>
      <c r="Z39" s="1671"/>
      <c r="AA39" s="1671"/>
      <c r="AB39" s="1671" t="s">
        <v>733</v>
      </c>
      <c r="AC39" s="1671">
        <v>0</v>
      </c>
      <c r="AD39" s="1671">
        <v>0</v>
      </c>
      <c r="AE39" s="1671">
        <v>0</v>
      </c>
      <c r="AF39" s="1671">
        <v>0</v>
      </c>
      <c r="AG39" s="1671">
        <v>0</v>
      </c>
      <c r="AH39" s="1671">
        <v>1</v>
      </c>
      <c r="AI39" s="1671">
        <v>59343</v>
      </c>
      <c r="AJ39" s="1671">
        <v>2195</v>
      </c>
      <c r="AK39" s="1671">
        <v>0</v>
      </c>
      <c r="AL39" s="1671">
        <v>0</v>
      </c>
      <c r="AM39" s="1671"/>
      <c r="AN39" s="1671"/>
      <c r="AO39" s="1677"/>
      <c r="AP39" s="332"/>
      <c r="AQ39" s="304" t="str">
        <f t="shared" si="0"/>
        <v/>
      </c>
      <c r="AS39" s="304" t="str">
        <f t="shared" si="1"/>
        <v>wci_corp</v>
      </c>
    </row>
    <row r="40" spans="2:45">
      <c r="B40" s="1670" t="s">
        <v>1300</v>
      </c>
      <c r="C40" s="1671">
        <v>43039</v>
      </c>
      <c r="D40" s="1672">
        <v>12.25</v>
      </c>
      <c r="E40" s="1672">
        <v>0</v>
      </c>
      <c r="F40" s="1673" t="s">
        <v>729</v>
      </c>
      <c r="G40" s="1671" t="s">
        <v>1824</v>
      </c>
      <c r="H40" s="1674" t="s">
        <v>730</v>
      </c>
      <c r="I40" s="1671" t="s">
        <v>1825</v>
      </c>
      <c r="J40" s="1671" t="s">
        <v>734</v>
      </c>
      <c r="K40" s="1671" t="s">
        <v>732</v>
      </c>
      <c r="L40" s="1675"/>
      <c r="M40" s="1675"/>
      <c r="N40" s="1675" t="s">
        <v>1334</v>
      </c>
      <c r="O40" s="1671"/>
      <c r="P40" s="1675"/>
      <c r="Q40" s="1676"/>
      <c r="R40" s="1671"/>
      <c r="S40" s="1671"/>
      <c r="T40" s="1671"/>
      <c r="U40" s="1671" t="s">
        <v>1826</v>
      </c>
      <c r="V40" s="1671" t="s">
        <v>1826</v>
      </c>
      <c r="W40" s="1671"/>
      <c r="X40" s="1671">
        <v>43041</v>
      </c>
      <c r="Y40" s="1671">
        <v>43041</v>
      </c>
      <c r="Z40" s="1671"/>
      <c r="AA40" s="1671"/>
      <c r="AB40" s="1671" t="s">
        <v>733</v>
      </c>
      <c r="AC40" s="1671">
        <v>0</v>
      </c>
      <c r="AD40" s="1671">
        <v>0</v>
      </c>
      <c r="AE40" s="1671">
        <v>0</v>
      </c>
      <c r="AF40" s="1671">
        <v>0</v>
      </c>
      <c r="AG40" s="1671">
        <v>0</v>
      </c>
      <c r="AH40" s="1671">
        <v>1</v>
      </c>
      <c r="AI40" s="1671">
        <v>59343</v>
      </c>
      <c r="AJ40" s="1671">
        <v>2195</v>
      </c>
      <c r="AK40" s="1671">
        <v>0</v>
      </c>
      <c r="AL40" s="1671">
        <v>0</v>
      </c>
      <c r="AM40" s="1671"/>
      <c r="AN40" s="1671"/>
      <c r="AO40" s="1677"/>
      <c r="AP40" s="332"/>
      <c r="AQ40" s="304" t="str">
        <f t="shared" si="0"/>
        <v/>
      </c>
      <c r="AS40" s="304" t="str">
        <f t="shared" si="1"/>
        <v>wci_corp</v>
      </c>
    </row>
    <row r="41" spans="2:45">
      <c r="B41" s="1670" t="s">
        <v>1300</v>
      </c>
      <c r="C41" s="1671">
        <v>43039</v>
      </c>
      <c r="D41" s="1672">
        <v>20100</v>
      </c>
      <c r="E41" s="1672">
        <v>0</v>
      </c>
      <c r="F41" s="1673" t="s">
        <v>729</v>
      </c>
      <c r="G41" s="1671" t="s">
        <v>1824</v>
      </c>
      <c r="H41" s="1674" t="s">
        <v>730</v>
      </c>
      <c r="I41" s="1671" t="s">
        <v>1825</v>
      </c>
      <c r="J41" s="1671" t="s">
        <v>734</v>
      </c>
      <c r="K41" s="1671" t="s">
        <v>732</v>
      </c>
      <c r="L41" s="1675"/>
      <c r="M41" s="1675"/>
      <c r="N41" s="1675" t="s">
        <v>1351</v>
      </c>
      <c r="O41" s="1671"/>
      <c r="P41" s="1675"/>
      <c r="Q41" s="1676"/>
      <c r="R41" s="1671"/>
      <c r="S41" s="1671"/>
      <c r="T41" s="1671"/>
      <c r="U41" s="1671" t="s">
        <v>1826</v>
      </c>
      <c r="V41" s="1671" t="s">
        <v>1826</v>
      </c>
      <c r="W41" s="1671"/>
      <c r="X41" s="1671">
        <v>43041</v>
      </c>
      <c r="Y41" s="1671">
        <v>43041</v>
      </c>
      <c r="Z41" s="1671"/>
      <c r="AA41" s="1671"/>
      <c r="AB41" s="1671" t="s">
        <v>733</v>
      </c>
      <c r="AC41" s="1671">
        <v>0</v>
      </c>
      <c r="AD41" s="1671">
        <v>0</v>
      </c>
      <c r="AE41" s="1671">
        <v>0</v>
      </c>
      <c r="AF41" s="1671">
        <v>0</v>
      </c>
      <c r="AG41" s="1671">
        <v>0</v>
      </c>
      <c r="AH41" s="1671">
        <v>1</v>
      </c>
      <c r="AI41" s="1671">
        <v>59343</v>
      </c>
      <c r="AJ41" s="1671">
        <v>2195</v>
      </c>
      <c r="AK41" s="1671">
        <v>0</v>
      </c>
      <c r="AL41" s="1671">
        <v>0</v>
      </c>
      <c r="AM41" s="1671"/>
      <c r="AN41" s="1671"/>
      <c r="AO41" s="1677"/>
      <c r="AP41" s="332"/>
      <c r="AQ41" s="304" t="str">
        <f t="shared" si="0"/>
        <v/>
      </c>
      <c r="AS41" s="304" t="str">
        <f t="shared" si="1"/>
        <v>wci_corp</v>
      </c>
    </row>
    <row r="42" spans="2:45">
      <c r="B42" s="1670" t="s">
        <v>1300</v>
      </c>
      <c r="C42" s="1671">
        <v>43069</v>
      </c>
      <c r="D42" s="1672">
        <v>-5610.91</v>
      </c>
      <c r="E42" s="1672">
        <v>0</v>
      </c>
      <c r="F42" s="1673" t="s">
        <v>729</v>
      </c>
      <c r="G42" s="1671" t="s">
        <v>1827</v>
      </c>
      <c r="H42" s="1674" t="s">
        <v>730</v>
      </c>
      <c r="I42" s="1671" t="s">
        <v>1828</v>
      </c>
      <c r="J42" s="1671" t="s">
        <v>1829</v>
      </c>
      <c r="K42" s="1671" t="s">
        <v>732</v>
      </c>
      <c r="L42" s="1675"/>
      <c r="M42" s="1675"/>
      <c r="N42" s="1675" t="s">
        <v>1796</v>
      </c>
      <c r="O42" s="1671"/>
      <c r="P42" s="1675"/>
      <c r="Q42" s="1676"/>
      <c r="R42" s="1671"/>
      <c r="S42" s="1671"/>
      <c r="T42" s="1671"/>
      <c r="U42" s="1671" t="s">
        <v>1830</v>
      </c>
      <c r="V42" s="1671" t="s">
        <v>1830</v>
      </c>
      <c r="W42" s="1671"/>
      <c r="X42" s="1671">
        <v>43073</v>
      </c>
      <c r="Y42" s="1671">
        <v>43073</v>
      </c>
      <c r="Z42" s="1671"/>
      <c r="AA42" s="1671"/>
      <c r="AB42" s="1671" t="s">
        <v>733</v>
      </c>
      <c r="AC42" s="1671">
        <v>0</v>
      </c>
      <c r="AD42" s="1671">
        <v>0</v>
      </c>
      <c r="AE42" s="1671">
        <v>0</v>
      </c>
      <c r="AF42" s="1671">
        <v>0</v>
      </c>
      <c r="AG42" s="1671">
        <v>0</v>
      </c>
      <c r="AH42" s="1671">
        <v>1</v>
      </c>
      <c r="AI42" s="1671">
        <v>59343</v>
      </c>
      <c r="AJ42" s="1671">
        <v>2195</v>
      </c>
      <c r="AK42" s="1671">
        <v>0</v>
      </c>
      <c r="AL42" s="1671">
        <v>0</v>
      </c>
      <c r="AM42" s="1671"/>
      <c r="AN42" s="1671"/>
      <c r="AO42" s="1677"/>
      <c r="AP42" s="332"/>
      <c r="AQ42" s="304" t="str">
        <f t="shared" si="0"/>
        <v/>
      </c>
      <c r="AS42" s="304" t="str">
        <f t="shared" si="1"/>
        <v>wci_corp</v>
      </c>
    </row>
    <row r="43" spans="2:45">
      <c r="B43" s="1670" t="s">
        <v>1300</v>
      </c>
      <c r="C43" s="1671">
        <v>43100</v>
      </c>
      <c r="D43" s="1672">
        <v>430.99</v>
      </c>
      <c r="E43" s="1672">
        <v>0</v>
      </c>
      <c r="F43" s="1673" t="s">
        <v>729</v>
      </c>
      <c r="G43" s="1671" t="s">
        <v>1831</v>
      </c>
      <c r="H43" s="1674" t="s">
        <v>730</v>
      </c>
      <c r="I43" s="1671" t="s">
        <v>1832</v>
      </c>
      <c r="J43" s="1671" t="s">
        <v>1833</v>
      </c>
      <c r="K43" s="1671" t="s">
        <v>732</v>
      </c>
      <c r="L43" s="1675"/>
      <c r="M43" s="1675"/>
      <c r="N43" s="1675" t="s">
        <v>1334</v>
      </c>
      <c r="O43" s="1671"/>
      <c r="P43" s="1675"/>
      <c r="Q43" s="1676"/>
      <c r="R43" s="1671"/>
      <c r="S43" s="1671"/>
      <c r="T43" s="1671"/>
      <c r="U43" s="1671" t="s">
        <v>1834</v>
      </c>
      <c r="V43" s="1671" t="s">
        <v>1834</v>
      </c>
      <c r="W43" s="1671"/>
      <c r="X43" s="1671">
        <v>43102</v>
      </c>
      <c r="Y43" s="1671">
        <v>43102</v>
      </c>
      <c r="Z43" s="1671"/>
      <c r="AA43" s="1671"/>
      <c r="AB43" s="1671" t="s">
        <v>733</v>
      </c>
      <c r="AC43" s="1671">
        <v>0</v>
      </c>
      <c r="AD43" s="1671">
        <v>0</v>
      </c>
      <c r="AE43" s="1671">
        <v>0</v>
      </c>
      <c r="AF43" s="1671">
        <v>0</v>
      </c>
      <c r="AG43" s="1671">
        <v>0</v>
      </c>
      <c r="AH43" s="1671">
        <v>1</v>
      </c>
      <c r="AI43" s="1671">
        <v>59343</v>
      </c>
      <c r="AJ43" s="1671">
        <v>2195</v>
      </c>
      <c r="AK43" s="1671">
        <v>0</v>
      </c>
      <c r="AL43" s="1671">
        <v>0</v>
      </c>
      <c r="AM43" s="1671"/>
      <c r="AN43" s="1671"/>
      <c r="AO43" s="1677"/>
      <c r="AP43" s="332"/>
      <c r="AQ43" s="304" t="str">
        <f t="shared" si="0"/>
        <v/>
      </c>
      <c r="AS43" s="304" t="str">
        <f t="shared" si="1"/>
        <v>wci_corp</v>
      </c>
    </row>
    <row r="44" spans="2:45">
      <c r="B44" s="1670" t="s">
        <v>1300</v>
      </c>
      <c r="C44" s="1671">
        <v>43100</v>
      </c>
      <c r="D44" s="1672">
        <v>5920</v>
      </c>
      <c r="E44" s="1672">
        <v>0</v>
      </c>
      <c r="F44" s="1673" t="s">
        <v>729</v>
      </c>
      <c r="G44" s="1671" t="s">
        <v>1831</v>
      </c>
      <c r="H44" s="1674" t="s">
        <v>730</v>
      </c>
      <c r="I44" s="1671" t="s">
        <v>1832</v>
      </c>
      <c r="J44" s="1671" t="s">
        <v>1833</v>
      </c>
      <c r="K44" s="1671" t="s">
        <v>732</v>
      </c>
      <c r="L44" s="1675"/>
      <c r="M44" s="1675"/>
      <c r="N44" s="1675" t="s">
        <v>1351</v>
      </c>
      <c r="O44" s="1671"/>
      <c r="P44" s="1675"/>
      <c r="Q44" s="1676"/>
      <c r="R44" s="1671"/>
      <c r="S44" s="1671"/>
      <c r="T44" s="1671"/>
      <c r="U44" s="1671" t="s">
        <v>1834</v>
      </c>
      <c r="V44" s="1671" t="s">
        <v>1834</v>
      </c>
      <c r="W44" s="1671"/>
      <c r="X44" s="1671">
        <v>43102</v>
      </c>
      <c r="Y44" s="1671">
        <v>43102</v>
      </c>
      <c r="Z44" s="1671"/>
      <c r="AA44" s="1671"/>
      <c r="AB44" s="1671" t="s">
        <v>733</v>
      </c>
      <c r="AC44" s="1671">
        <v>0</v>
      </c>
      <c r="AD44" s="1671">
        <v>0</v>
      </c>
      <c r="AE44" s="1671">
        <v>0</v>
      </c>
      <c r="AF44" s="1671">
        <v>0</v>
      </c>
      <c r="AG44" s="1671">
        <v>0</v>
      </c>
      <c r="AH44" s="1671">
        <v>1</v>
      </c>
      <c r="AI44" s="1671">
        <v>59343</v>
      </c>
      <c r="AJ44" s="1671">
        <v>2195</v>
      </c>
      <c r="AK44" s="1671">
        <v>0</v>
      </c>
      <c r="AL44" s="1671">
        <v>0</v>
      </c>
      <c r="AM44" s="1671"/>
      <c r="AN44" s="1671"/>
      <c r="AO44" s="1677"/>
      <c r="AP44" s="332"/>
      <c r="AQ44" s="304" t="str">
        <f t="shared" si="0"/>
        <v/>
      </c>
      <c r="AS44" s="304" t="str">
        <f t="shared" si="1"/>
        <v>wci_corp</v>
      </c>
    </row>
    <row r="45" spans="2:45">
      <c r="B45" s="1670" t="s">
        <v>1300</v>
      </c>
      <c r="C45" s="1671">
        <v>43100</v>
      </c>
      <c r="D45" s="1672">
        <v>12.25</v>
      </c>
      <c r="E45" s="1672">
        <v>0</v>
      </c>
      <c r="F45" s="1673" t="s">
        <v>729</v>
      </c>
      <c r="G45" s="1671" t="s">
        <v>1831</v>
      </c>
      <c r="H45" s="1674" t="s">
        <v>730</v>
      </c>
      <c r="I45" s="1671" t="s">
        <v>1832</v>
      </c>
      <c r="J45" s="1671" t="s">
        <v>1833</v>
      </c>
      <c r="K45" s="1671" t="s">
        <v>732</v>
      </c>
      <c r="L45" s="1675"/>
      <c r="M45" s="1675"/>
      <c r="N45" s="1675" t="s">
        <v>1835</v>
      </c>
      <c r="O45" s="1671"/>
      <c r="P45" s="1675"/>
      <c r="Q45" s="1676"/>
      <c r="R45" s="1671"/>
      <c r="S45" s="1671"/>
      <c r="T45" s="1671"/>
      <c r="U45" s="1671" t="s">
        <v>1834</v>
      </c>
      <c r="V45" s="1671" t="s">
        <v>1834</v>
      </c>
      <c r="W45" s="1671"/>
      <c r="X45" s="1671">
        <v>43102</v>
      </c>
      <c r="Y45" s="1671">
        <v>43102</v>
      </c>
      <c r="Z45" s="1671"/>
      <c r="AA45" s="1671"/>
      <c r="AB45" s="1671" t="s">
        <v>733</v>
      </c>
      <c r="AC45" s="1671">
        <v>0</v>
      </c>
      <c r="AD45" s="1671">
        <v>0</v>
      </c>
      <c r="AE45" s="1671">
        <v>0</v>
      </c>
      <c r="AF45" s="1671">
        <v>0</v>
      </c>
      <c r="AG45" s="1671">
        <v>0</v>
      </c>
      <c r="AH45" s="1671">
        <v>1</v>
      </c>
      <c r="AI45" s="1671">
        <v>59343</v>
      </c>
      <c r="AJ45" s="1671">
        <v>2195</v>
      </c>
      <c r="AK45" s="1671">
        <v>0</v>
      </c>
      <c r="AL45" s="1671">
        <v>0</v>
      </c>
      <c r="AM45" s="1671"/>
      <c r="AN45" s="1671"/>
      <c r="AO45" s="1677"/>
      <c r="AP45" s="332"/>
      <c r="AQ45" s="304" t="str">
        <f t="shared" si="0"/>
        <v/>
      </c>
      <c r="AS45" s="304" t="str">
        <f t="shared" si="1"/>
        <v>wci_corp</v>
      </c>
    </row>
    <row r="46" spans="2:45">
      <c r="B46" s="1670" t="s">
        <v>1312</v>
      </c>
      <c r="C46" s="1671">
        <v>43100</v>
      </c>
      <c r="D46" s="1672">
        <v>927.94</v>
      </c>
      <c r="E46" s="1672">
        <v>0</v>
      </c>
      <c r="F46" s="1673" t="s">
        <v>729</v>
      </c>
      <c r="G46" s="1671" t="s">
        <v>1836</v>
      </c>
      <c r="H46" s="1674" t="s">
        <v>730</v>
      </c>
      <c r="I46" s="1671" t="s">
        <v>1039</v>
      </c>
      <c r="J46" s="1671" t="s">
        <v>1784</v>
      </c>
      <c r="K46" s="1671" t="s">
        <v>732</v>
      </c>
      <c r="L46" s="1675" t="s">
        <v>1785</v>
      </c>
      <c r="M46" s="1675" t="s">
        <v>1837</v>
      </c>
      <c r="N46" s="1675" t="s">
        <v>1786</v>
      </c>
      <c r="O46" s="1671">
        <v>43033</v>
      </c>
      <c r="P46" s="1675" t="s">
        <v>1838</v>
      </c>
      <c r="Q46" s="1676">
        <v>51162</v>
      </c>
      <c r="R46" s="1671" t="s">
        <v>1839</v>
      </c>
      <c r="S46" s="1671"/>
      <c r="T46" s="1671"/>
      <c r="U46" s="1671" t="s">
        <v>1840</v>
      </c>
      <c r="V46" s="1671" t="s">
        <v>1841</v>
      </c>
      <c r="W46" s="1671">
        <v>2195</v>
      </c>
      <c r="X46" s="1671">
        <v>43103</v>
      </c>
      <c r="Y46" s="1671">
        <v>43103</v>
      </c>
      <c r="Z46" s="1671">
        <v>927.94</v>
      </c>
      <c r="AA46" s="1671">
        <v>43034</v>
      </c>
      <c r="AB46" s="1671" t="s">
        <v>733</v>
      </c>
      <c r="AC46" s="1671">
        <v>0</v>
      </c>
      <c r="AD46" s="1671">
        <v>0</v>
      </c>
      <c r="AE46" s="1671">
        <v>0</v>
      </c>
      <c r="AF46" s="1671">
        <v>0</v>
      </c>
      <c r="AG46" s="1671">
        <v>0</v>
      </c>
      <c r="AH46" s="1671">
        <v>1</v>
      </c>
      <c r="AI46" s="1671">
        <v>59400</v>
      </c>
      <c r="AJ46" s="1671">
        <v>2195</v>
      </c>
      <c r="AK46" s="1671">
        <v>0</v>
      </c>
      <c r="AL46" s="1671">
        <v>0</v>
      </c>
      <c r="AM46" s="1671"/>
      <c r="AN46" s="1671"/>
      <c r="AO46" s="1677"/>
      <c r="AP46" s="332"/>
      <c r="AQ46" s="304" t="str">
        <f t="shared" si="0"/>
        <v>VO04523129</v>
      </c>
      <c r="AS46" s="304" t="str">
        <f t="shared" si="1"/>
        <v>wci_corp</v>
      </c>
    </row>
    <row r="47" spans="2:45">
      <c r="B47" s="1670" t="s">
        <v>1312</v>
      </c>
      <c r="C47" s="1671">
        <v>43100</v>
      </c>
      <c r="D47" s="1672">
        <v>189.89</v>
      </c>
      <c r="E47" s="1672">
        <v>0</v>
      </c>
      <c r="F47" s="1673" t="s">
        <v>729</v>
      </c>
      <c r="G47" s="1671" t="s">
        <v>1842</v>
      </c>
      <c r="H47" s="1674" t="s">
        <v>730</v>
      </c>
      <c r="I47" s="1671" t="s">
        <v>1843</v>
      </c>
      <c r="J47" s="1671" t="s">
        <v>1833</v>
      </c>
      <c r="K47" s="1671" t="s">
        <v>732</v>
      </c>
      <c r="L47" s="1675"/>
      <c r="M47" s="1675"/>
      <c r="N47" s="1675" t="s">
        <v>1792</v>
      </c>
      <c r="O47" s="1671"/>
      <c r="P47" s="1675"/>
      <c r="Q47" s="1676"/>
      <c r="R47" s="1671"/>
      <c r="S47" s="1671"/>
      <c r="T47" s="1671"/>
      <c r="U47" s="1671" t="s">
        <v>1844</v>
      </c>
      <c r="V47" s="1671" t="s">
        <v>1844</v>
      </c>
      <c r="W47" s="1671"/>
      <c r="X47" s="1671">
        <v>43103</v>
      </c>
      <c r="Y47" s="1671">
        <v>43103</v>
      </c>
      <c r="Z47" s="1671"/>
      <c r="AA47" s="1671"/>
      <c r="AB47" s="1671" t="s">
        <v>733</v>
      </c>
      <c r="AC47" s="1671">
        <v>0</v>
      </c>
      <c r="AD47" s="1671">
        <v>0</v>
      </c>
      <c r="AE47" s="1671">
        <v>0</v>
      </c>
      <c r="AF47" s="1671">
        <v>0</v>
      </c>
      <c r="AG47" s="1671">
        <v>0</v>
      </c>
      <c r="AH47" s="1671">
        <v>1</v>
      </c>
      <c r="AI47" s="1671">
        <v>59400</v>
      </c>
      <c r="AJ47" s="1671">
        <v>2195</v>
      </c>
      <c r="AK47" s="1671">
        <v>0</v>
      </c>
      <c r="AL47" s="1671">
        <v>0</v>
      </c>
      <c r="AM47" s="1671"/>
      <c r="AN47" s="1671"/>
      <c r="AO47" s="1677"/>
      <c r="AP47" s="332"/>
      <c r="AQ47" s="304" t="str">
        <f t="shared" si="0"/>
        <v/>
      </c>
      <c r="AS47" s="304" t="str">
        <f t="shared" si="1"/>
        <v>wci_corp</v>
      </c>
    </row>
    <row r="48" spans="2:45">
      <c r="B48" s="1670" t="s">
        <v>1312</v>
      </c>
      <c r="C48" s="1671">
        <v>43100</v>
      </c>
      <c r="D48" s="1672">
        <v>1100</v>
      </c>
      <c r="E48" s="1672">
        <v>0</v>
      </c>
      <c r="F48" s="1673" t="s">
        <v>729</v>
      </c>
      <c r="G48" s="1671" t="s">
        <v>1845</v>
      </c>
      <c r="H48" s="1674" t="s">
        <v>730</v>
      </c>
      <c r="I48" s="1671" t="s">
        <v>1783</v>
      </c>
      <c r="J48" s="1671" t="s">
        <v>1829</v>
      </c>
      <c r="K48" s="1671" t="s">
        <v>732</v>
      </c>
      <c r="L48" s="1675"/>
      <c r="M48" s="1675"/>
      <c r="N48" s="1675" t="s">
        <v>1846</v>
      </c>
      <c r="O48" s="1671"/>
      <c r="P48" s="1675"/>
      <c r="Q48" s="1676"/>
      <c r="R48" s="1671"/>
      <c r="S48" s="1671"/>
      <c r="T48" s="1671"/>
      <c r="U48" s="1671" t="s">
        <v>1847</v>
      </c>
      <c r="V48" s="1671" t="s">
        <v>1847</v>
      </c>
      <c r="W48" s="1671"/>
      <c r="X48" s="1671">
        <v>43105</v>
      </c>
      <c r="Y48" s="1671">
        <v>43105</v>
      </c>
      <c r="Z48" s="1671"/>
      <c r="AA48" s="1671"/>
      <c r="AB48" s="1671" t="s">
        <v>733</v>
      </c>
      <c r="AC48" s="1671">
        <v>0</v>
      </c>
      <c r="AD48" s="1671">
        <v>0</v>
      </c>
      <c r="AE48" s="1671">
        <v>0</v>
      </c>
      <c r="AF48" s="1671">
        <v>0</v>
      </c>
      <c r="AG48" s="1671">
        <v>0</v>
      </c>
      <c r="AH48" s="1671">
        <v>1</v>
      </c>
      <c r="AI48" s="1671">
        <v>59400</v>
      </c>
      <c r="AJ48" s="1671">
        <v>2195</v>
      </c>
      <c r="AK48" s="1671">
        <v>0</v>
      </c>
      <c r="AL48" s="1671">
        <v>0</v>
      </c>
      <c r="AM48" s="1671"/>
      <c r="AN48" s="1671"/>
      <c r="AO48" s="1677"/>
      <c r="AP48" s="332"/>
      <c r="AQ48" s="304" t="str">
        <f t="shared" si="0"/>
        <v/>
      </c>
      <c r="AS48" s="304" t="str">
        <f t="shared" si="1"/>
        <v>wci_corp</v>
      </c>
    </row>
    <row r="49" spans="2:45">
      <c r="B49" s="1670" t="s">
        <v>1312</v>
      </c>
      <c r="C49" s="1671">
        <v>43112</v>
      </c>
      <c r="D49" s="1672">
        <v>1100</v>
      </c>
      <c r="E49" s="1672">
        <v>0</v>
      </c>
      <c r="F49" s="1673" t="s">
        <v>729</v>
      </c>
      <c r="G49" s="1671" t="s">
        <v>1848</v>
      </c>
      <c r="H49" s="1674" t="s">
        <v>730</v>
      </c>
      <c r="I49" s="1671" t="s">
        <v>1039</v>
      </c>
      <c r="J49" s="1671" t="s">
        <v>1784</v>
      </c>
      <c r="K49" s="1671" t="s">
        <v>732</v>
      </c>
      <c r="L49" s="1675" t="s">
        <v>1785</v>
      </c>
      <c r="M49" s="1675" t="s">
        <v>1849</v>
      </c>
      <c r="N49" s="1675" t="s">
        <v>1786</v>
      </c>
      <c r="O49" s="1671">
        <v>43098</v>
      </c>
      <c r="P49" s="1675" t="s">
        <v>1850</v>
      </c>
      <c r="Q49" s="1676" t="s">
        <v>1851</v>
      </c>
      <c r="R49" s="1671" t="s">
        <v>1852</v>
      </c>
      <c r="S49" s="1671"/>
      <c r="T49" s="1671"/>
      <c r="U49" s="1671" t="s">
        <v>1853</v>
      </c>
      <c r="V49" s="1671" t="s">
        <v>1854</v>
      </c>
      <c r="W49" s="1671">
        <v>2195</v>
      </c>
      <c r="X49" s="1671">
        <v>43112</v>
      </c>
      <c r="Y49" s="1671">
        <v>43115</v>
      </c>
      <c r="Z49" s="1671">
        <v>1100</v>
      </c>
      <c r="AA49" s="1671">
        <v>43099</v>
      </c>
      <c r="AB49" s="1671" t="s">
        <v>733</v>
      </c>
      <c r="AC49" s="1671">
        <v>0</v>
      </c>
      <c r="AD49" s="1671">
        <v>0</v>
      </c>
      <c r="AE49" s="1671">
        <v>0</v>
      </c>
      <c r="AF49" s="1671">
        <v>0</v>
      </c>
      <c r="AG49" s="1671">
        <v>0</v>
      </c>
      <c r="AH49" s="1671">
        <v>1</v>
      </c>
      <c r="AI49" s="1671">
        <v>59400</v>
      </c>
      <c r="AJ49" s="1671">
        <v>2195</v>
      </c>
      <c r="AK49" s="1671">
        <v>0</v>
      </c>
      <c r="AL49" s="1671">
        <v>0</v>
      </c>
      <c r="AM49" s="1671"/>
      <c r="AN49" s="1671"/>
      <c r="AO49" s="1677"/>
      <c r="AP49" s="332"/>
      <c r="AQ49" s="304" t="str">
        <f t="shared" si="0"/>
        <v>VO04534512</v>
      </c>
      <c r="AS49" s="304" t="str">
        <f t="shared" si="1"/>
        <v>wci_corp</v>
      </c>
    </row>
    <row r="50" spans="2:45">
      <c r="B50" s="1670" t="s">
        <v>1312</v>
      </c>
      <c r="C50" s="1671">
        <v>43131</v>
      </c>
      <c r="D50" s="1672">
        <v>-1100</v>
      </c>
      <c r="E50" s="1672">
        <v>0</v>
      </c>
      <c r="F50" s="1673" t="s">
        <v>729</v>
      </c>
      <c r="G50" s="1671" t="s">
        <v>1855</v>
      </c>
      <c r="H50" s="1674" t="s">
        <v>730</v>
      </c>
      <c r="I50" s="1671" t="s">
        <v>1783</v>
      </c>
      <c r="J50" s="1671" t="s">
        <v>1829</v>
      </c>
      <c r="K50" s="1671" t="s">
        <v>732</v>
      </c>
      <c r="L50" s="1675"/>
      <c r="M50" s="1675"/>
      <c r="N50" s="1675" t="s">
        <v>1846</v>
      </c>
      <c r="O50" s="1671"/>
      <c r="P50" s="1675"/>
      <c r="Q50" s="1676"/>
      <c r="R50" s="1671"/>
      <c r="S50" s="1671"/>
      <c r="T50" s="1671"/>
      <c r="U50" s="1671" t="s">
        <v>1847</v>
      </c>
      <c r="V50" s="1671" t="s">
        <v>1856</v>
      </c>
      <c r="W50" s="1671"/>
      <c r="X50" s="1671">
        <v>43105</v>
      </c>
      <c r="Y50" s="1671">
        <v>43105</v>
      </c>
      <c r="Z50" s="1671"/>
      <c r="AA50" s="1671"/>
      <c r="AB50" s="1671" t="s">
        <v>733</v>
      </c>
      <c r="AC50" s="1671">
        <v>0</v>
      </c>
      <c r="AD50" s="1671">
        <v>0</v>
      </c>
      <c r="AE50" s="1671">
        <v>0</v>
      </c>
      <c r="AF50" s="1671">
        <v>0</v>
      </c>
      <c r="AG50" s="1671">
        <v>5</v>
      </c>
      <c r="AH50" s="1671">
        <v>1</v>
      </c>
      <c r="AI50" s="1671">
        <v>59400</v>
      </c>
      <c r="AJ50" s="1671">
        <v>2195</v>
      </c>
      <c r="AK50" s="1671">
        <v>0</v>
      </c>
      <c r="AL50" s="1671">
        <v>0</v>
      </c>
      <c r="AM50" s="1671"/>
      <c r="AN50" s="1671"/>
      <c r="AO50" s="1677"/>
      <c r="AP50" s="332"/>
      <c r="AQ50" s="304" t="str">
        <f t="shared" si="0"/>
        <v/>
      </c>
      <c r="AS50" s="304" t="str">
        <f t="shared" si="1"/>
        <v>wci_corp</v>
      </c>
    </row>
    <row r="51" spans="2:45">
      <c r="B51" s="1670" t="s">
        <v>1291</v>
      </c>
      <c r="C51" s="1671">
        <v>43131</v>
      </c>
      <c r="D51" s="1672">
        <v>20500</v>
      </c>
      <c r="E51" s="1672">
        <v>0</v>
      </c>
      <c r="F51" s="1673" t="s">
        <v>729</v>
      </c>
      <c r="G51" s="1671" t="s">
        <v>1857</v>
      </c>
      <c r="H51" s="1674" t="s">
        <v>730</v>
      </c>
      <c r="I51" s="1671" t="s">
        <v>1779</v>
      </c>
      <c r="J51" s="1671" t="s">
        <v>734</v>
      </c>
      <c r="K51" s="1671" t="s">
        <v>732</v>
      </c>
      <c r="L51" s="1675"/>
      <c r="M51" s="1675"/>
      <c r="N51" s="1675" t="s">
        <v>1350</v>
      </c>
      <c r="O51" s="1671"/>
      <c r="P51" s="1675"/>
      <c r="Q51" s="1676"/>
      <c r="R51" s="1671"/>
      <c r="S51" s="1671"/>
      <c r="T51" s="1671"/>
      <c r="U51" s="1671" t="s">
        <v>1858</v>
      </c>
      <c r="V51" s="1671" t="s">
        <v>1858</v>
      </c>
      <c r="W51" s="1671"/>
      <c r="X51" s="1671">
        <v>43133</v>
      </c>
      <c r="Y51" s="1671">
        <v>43133</v>
      </c>
      <c r="Z51" s="1671"/>
      <c r="AA51" s="1671"/>
      <c r="AB51" s="1671" t="s">
        <v>733</v>
      </c>
      <c r="AC51" s="1671">
        <v>0</v>
      </c>
      <c r="AD51" s="1671">
        <v>0</v>
      </c>
      <c r="AE51" s="1671">
        <v>0</v>
      </c>
      <c r="AF51" s="1671">
        <v>0</v>
      </c>
      <c r="AG51" s="1671">
        <v>0</v>
      </c>
      <c r="AH51" s="1671">
        <v>1</v>
      </c>
      <c r="AI51" s="1671">
        <v>59342</v>
      </c>
      <c r="AJ51" s="1671">
        <v>2195</v>
      </c>
      <c r="AK51" s="1671">
        <v>0</v>
      </c>
      <c r="AL51" s="1671">
        <v>0</v>
      </c>
      <c r="AM51" s="1671"/>
      <c r="AN51" s="1671"/>
      <c r="AO51" s="1677"/>
      <c r="AP51" s="332"/>
      <c r="AQ51" s="304" t="str">
        <f t="shared" si="0"/>
        <v/>
      </c>
      <c r="AS51" s="304" t="str">
        <f t="shared" si="1"/>
        <v>wci_corp</v>
      </c>
    </row>
    <row r="52" spans="2:45">
      <c r="B52" s="1670" t="s">
        <v>1333</v>
      </c>
      <c r="C52" s="1671">
        <v>43131</v>
      </c>
      <c r="D52" s="1672">
        <v>25.7</v>
      </c>
      <c r="E52" s="1672">
        <v>0</v>
      </c>
      <c r="F52" s="1673" t="s">
        <v>729</v>
      </c>
      <c r="G52" s="1671" t="s">
        <v>1857</v>
      </c>
      <c r="H52" s="1674" t="s">
        <v>730</v>
      </c>
      <c r="I52" s="1671" t="s">
        <v>1779</v>
      </c>
      <c r="J52" s="1671" t="s">
        <v>734</v>
      </c>
      <c r="K52" s="1671" t="s">
        <v>732</v>
      </c>
      <c r="L52" s="1675"/>
      <c r="M52" s="1675"/>
      <c r="N52" s="1675" t="s">
        <v>1781</v>
      </c>
      <c r="O52" s="1671"/>
      <c r="P52" s="1675"/>
      <c r="Q52" s="1676"/>
      <c r="R52" s="1671"/>
      <c r="S52" s="1671"/>
      <c r="T52" s="1671"/>
      <c r="U52" s="1671" t="s">
        <v>1858</v>
      </c>
      <c r="V52" s="1671" t="s">
        <v>1858</v>
      </c>
      <c r="W52" s="1671"/>
      <c r="X52" s="1671">
        <v>43133</v>
      </c>
      <c r="Y52" s="1671">
        <v>43133</v>
      </c>
      <c r="Z52" s="1671"/>
      <c r="AA52" s="1671"/>
      <c r="AB52" s="1671" t="s">
        <v>733</v>
      </c>
      <c r="AC52" s="1671">
        <v>0</v>
      </c>
      <c r="AD52" s="1671">
        <v>0</v>
      </c>
      <c r="AE52" s="1671">
        <v>0</v>
      </c>
      <c r="AF52" s="1671">
        <v>0</v>
      </c>
      <c r="AG52" s="1671">
        <v>0</v>
      </c>
      <c r="AH52" s="1671">
        <v>1</v>
      </c>
      <c r="AI52" s="1671">
        <v>59344</v>
      </c>
      <c r="AJ52" s="1671">
        <v>2195</v>
      </c>
      <c r="AK52" s="1671">
        <v>0</v>
      </c>
      <c r="AL52" s="1671">
        <v>0</v>
      </c>
      <c r="AM52" s="1671"/>
      <c r="AN52" s="1671"/>
      <c r="AO52" s="1677"/>
      <c r="AP52" s="332"/>
      <c r="AQ52" s="304" t="str">
        <f t="shared" si="0"/>
        <v/>
      </c>
      <c r="AS52" s="304" t="str">
        <f t="shared" si="1"/>
        <v>wci_corp</v>
      </c>
    </row>
    <row r="53" spans="2:45">
      <c r="B53" s="1670" t="s">
        <v>1333</v>
      </c>
      <c r="C53" s="1671">
        <v>43131</v>
      </c>
      <c r="D53" s="1672">
        <v>156.86000000000001</v>
      </c>
      <c r="E53" s="1672">
        <v>0</v>
      </c>
      <c r="F53" s="1673" t="s">
        <v>729</v>
      </c>
      <c r="G53" s="1671" t="s">
        <v>1857</v>
      </c>
      <c r="H53" s="1674" t="s">
        <v>730</v>
      </c>
      <c r="I53" s="1671" t="s">
        <v>1779</v>
      </c>
      <c r="J53" s="1671" t="s">
        <v>734</v>
      </c>
      <c r="K53" s="1671" t="s">
        <v>732</v>
      </c>
      <c r="L53" s="1675"/>
      <c r="M53" s="1675"/>
      <c r="N53" s="1675" t="s">
        <v>1835</v>
      </c>
      <c r="O53" s="1671"/>
      <c r="P53" s="1675"/>
      <c r="Q53" s="1676"/>
      <c r="R53" s="1671"/>
      <c r="S53" s="1671"/>
      <c r="T53" s="1671"/>
      <c r="U53" s="1671" t="s">
        <v>1858</v>
      </c>
      <c r="V53" s="1671" t="s">
        <v>1858</v>
      </c>
      <c r="W53" s="1671"/>
      <c r="X53" s="1671">
        <v>43133</v>
      </c>
      <c r="Y53" s="1671">
        <v>43133</v>
      </c>
      <c r="Z53" s="1671"/>
      <c r="AA53" s="1671"/>
      <c r="AB53" s="1671" t="s">
        <v>733</v>
      </c>
      <c r="AC53" s="1671">
        <v>0</v>
      </c>
      <c r="AD53" s="1671">
        <v>0</v>
      </c>
      <c r="AE53" s="1671">
        <v>0</v>
      </c>
      <c r="AF53" s="1671">
        <v>0</v>
      </c>
      <c r="AG53" s="1671">
        <v>0</v>
      </c>
      <c r="AH53" s="1671">
        <v>1</v>
      </c>
      <c r="AI53" s="1671">
        <v>59344</v>
      </c>
      <c r="AJ53" s="1671">
        <v>2195</v>
      </c>
      <c r="AK53" s="1671">
        <v>0</v>
      </c>
      <c r="AL53" s="1671">
        <v>0</v>
      </c>
      <c r="AM53" s="1671"/>
      <c r="AN53" s="1671"/>
      <c r="AO53" s="1677"/>
      <c r="AP53" s="332"/>
      <c r="AQ53" s="304" t="str">
        <f t="shared" si="0"/>
        <v/>
      </c>
      <c r="AS53" s="304" t="str">
        <f t="shared" si="1"/>
        <v>wci_corp</v>
      </c>
    </row>
    <row r="54" spans="2:45">
      <c r="B54" s="1670" t="s">
        <v>1312</v>
      </c>
      <c r="C54" s="1671">
        <v>43159</v>
      </c>
      <c r="D54" s="1672">
        <v>677.85</v>
      </c>
      <c r="E54" s="1672">
        <v>0</v>
      </c>
      <c r="F54" s="1673" t="s">
        <v>729</v>
      </c>
      <c r="G54" s="1671" t="s">
        <v>1859</v>
      </c>
      <c r="H54" s="1674" t="s">
        <v>730</v>
      </c>
      <c r="I54" s="1671" t="s">
        <v>1039</v>
      </c>
      <c r="J54" s="1671" t="s">
        <v>1784</v>
      </c>
      <c r="K54" s="1671" t="s">
        <v>732</v>
      </c>
      <c r="L54" s="1675" t="s">
        <v>1860</v>
      </c>
      <c r="M54" s="1675"/>
      <c r="N54" s="1675" t="s">
        <v>1861</v>
      </c>
      <c r="O54" s="1671">
        <v>43132</v>
      </c>
      <c r="P54" s="1675" t="s">
        <v>1862</v>
      </c>
      <c r="Q54" s="1676" t="s">
        <v>1863</v>
      </c>
      <c r="R54" s="1671" t="s">
        <v>1864</v>
      </c>
      <c r="S54" s="1671"/>
      <c r="T54" s="1671"/>
      <c r="U54" s="1671" t="s">
        <v>1865</v>
      </c>
      <c r="V54" s="1671" t="s">
        <v>1866</v>
      </c>
      <c r="W54" s="1671">
        <v>2195</v>
      </c>
      <c r="X54" s="1671">
        <v>43159</v>
      </c>
      <c r="Y54" s="1671">
        <v>43159</v>
      </c>
      <c r="Z54" s="1671">
        <v>677.85</v>
      </c>
      <c r="AA54" s="1671">
        <v>43133</v>
      </c>
      <c r="AB54" s="1671" t="s">
        <v>733</v>
      </c>
      <c r="AC54" s="1671">
        <v>0</v>
      </c>
      <c r="AD54" s="1671">
        <v>0</v>
      </c>
      <c r="AE54" s="1671">
        <v>0</v>
      </c>
      <c r="AF54" s="1671">
        <v>0</v>
      </c>
      <c r="AG54" s="1671">
        <v>0</v>
      </c>
      <c r="AH54" s="1671">
        <v>1</v>
      </c>
      <c r="AI54" s="1671">
        <v>59400</v>
      </c>
      <c r="AJ54" s="1671">
        <v>2195</v>
      </c>
      <c r="AK54" s="1671">
        <v>0</v>
      </c>
      <c r="AL54" s="1671">
        <v>0</v>
      </c>
      <c r="AM54" s="1671"/>
      <c r="AN54" s="1671"/>
      <c r="AO54" s="1677"/>
      <c r="AP54" s="332"/>
      <c r="AQ54" s="304" t="str">
        <f t="shared" si="0"/>
        <v>VO04578266</v>
      </c>
      <c r="AS54" s="304" t="str">
        <f t="shared" si="1"/>
        <v>wci_corp</v>
      </c>
    </row>
    <row r="55" spans="2:45">
      <c r="B55" s="1670" t="s">
        <v>1333</v>
      </c>
      <c r="C55" s="1671">
        <v>43159</v>
      </c>
      <c r="D55" s="1672">
        <v>-2720</v>
      </c>
      <c r="E55" s="1672">
        <v>0</v>
      </c>
      <c r="F55" s="1673" t="s">
        <v>729</v>
      </c>
      <c r="G55" s="1671" t="s">
        <v>1867</v>
      </c>
      <c r="H55" s="1674" t="s">
        <v>730</v>
      </c>
      <c r="I55" s="1671" t="s">
        <v>1782</v>
      </c>
      <c r="J55" s="1671" t="s">
        <v>1829</v>
      </c>
      <c r="K55" s="1671" t="s">
        <v>732</v>
      </c>
      <c r="L55" s="1675"/>
      <c r="M55" s="1675"/>
      <c r="N55" s="1675" t="s">
        <v>1351</v>
      </c>
      <c r="O55" s="1671"/>
      <c r="P55" s="1675"/>
      <c r="Q55" s="1676"/>
      <c r="R55" s="1671"/>
      <c r="S55" s="1671"/>
      <c r="T55" s="1671"/>
      <c r="U55" s="1671" t="s">
        <v>1868</v>
      </c>
      <c r="V55" s="1671" t="s">
        <v>1868</v>
      </c>
      <c r="W55" s="1671"/>
      <c r="X55" s="1671">
        <v>43164</v>
      </c>
      <c r="Y55" s="1671">
        <v>43164</v>
      </c>
      <c r="Z55" s="1671"/>
      <c r="AA55" s="1671"/>
      <c r="AB55" s="1671" t="s">
        <v>733</v>
      </c>
      <c r="AC55" s="1671">
        <v>0</v>
      </c>
      <c r="AD55" s="1671">
        <v>0</v>
      </c>
      <c r="AE55" s="1671">
        <v>0</v>
      </c>
      <c r="AF55" s="1671">
        <v>0</v>
      </c>
      <c r="AG55" s="1671">
        <v>0</v>
      </c>
      <c r="AH55" s="1671">
        <v>1</v>
      </c>
      <c r="AI55" s="1671">
        <v>59344</v>
      </c>
      <c r="AJ55" s="1671">
        <v>2195</v>
      </c>
      <c r="AK55" s="1671">
        <v>0</v>
      </c>
      <c r="AL55" s="1671">
        <v>0</v>
      </c>
      <c r="AM55" s="1671"/>
      <c r="AN55" s="1671"/>
      <c r="AO55" s="1677"/>
      <c r="AP55" s="332"/>
      <c r="AQ55" s="304" t="str">
        <f t="shared" si="0"/>
        <v/>
      </c>
      <c r="AS55" s="304" t="str">
        <f t="shared" si="1"/>
        <v>wci_corp</v>
      </c>
    </row>
    <row r="56" spans="2:45">
      <c r="B56" s="1670" t="s">
        <v>1333</v>
      </c>
      <c r="C56" s="1671">
        <v>43159</v>
      </c>
      <c r="D56" s="1672">
        <v>22.77</v>
      </c>
      <c r="E56" s="1672">
        <v>0</v>
      </c>
      <c r="F56" s="1673" t="s">
        <v>729</v>
      </c>
      <c r="G56" s="1671" t="s">
        <v>1867</v>
      </c>
      <c r="H56" s="1674" t="s">
        <v>730</v>
      </c>
      <c r="I56" s="1671" t="s">
        <v>1782</v>
      </c>
      <c r="J56" s="1671" t="s">
        <v>1829</v>
      </c>
      <c r="K56" s="1671" t="s">
        <v>732</v>
      </c>
      <c r="L56" s="1675"/>
      <c r="M56" s="1675"/>
      <c r="N56" s="1675" t="s">
        <v>1835</v>
      </c>
      <c r="O56" s="1671"/>
      <c r="P56" s="1675"/>
      <c r="Q56" s="1676"/>
      <c r="R56" s="1671"/>
      <c r="S56" s="1671"/>
      <c r="T56" s="1671"/>
      <c r="U56" s="1671" t="s">
        <v>1868</v>
      </c>
      <c r="V56" s="1671" t="s">
        <v>1868</v>
      </c>
      <c r="W56" s="1671"/>
      <c r="X56" s="1671">
        <v>43164</v>
      </c>
      <c r="Y56" s="1671">
        <v>43164</v>
      </c>
      <c r="Z56" s="1671"/>
      <c r="AA56" s="1671"/>
      <c r="AB56" s="1671" t="s">
        <v>733</v>
      </c>
      <c r="AC56" s="1671">
        <v>0</v>
      </c>
      <c r="AD56" s="1671">
        <v>0</v>
      </c>
      <c r="AE56" s="1671">
        <v>0</v>
      </c>
      <c r="AF56" s="1671">
        <v>0</v>
      </c>
      <c r="AG56" s="1671">
        <v>0</v>
      </c>
      <c r="AH56" s="1671">
        <v>1</v>
      </c>
      <c r="AI56" s="1671">
        <v>59344</v>
      </c>
      <c r="AJ56" s="1671">
        <v>2195</v>
      </c>
      <c r="AK56" s="1671">
        <v>0</v>
      </c>
      <c r="AL56" s="1671">
        <v>0</v>
      </c>
      <c r="AM56" s="1671"/>
      <c r="AN56" s="1671"/>
      <c r="AO56" s="1677"/>
      <c r="AP56" s="332"/>
      <c r="AQ56" s="304" t="str">
        <f t="shared" si="0"/>
        <v/>
      </c>
      <c r="AS56" s="304" t="str">
        <f t="shared" si="1"/>
        <v>wci_corp</v>
      </c>
    </row>
    <row r="57" spans="2:45">
      <c r="B57" s="1670" t="s">
        <v>1291</v>
      </c>
      <c r="C57" s="1671">
        <v>43190</v>
      </c>
      <c r="D57" s="1672">
        <v>1254.8</v>
      </c>
      <c r="E57" s="1672">
        <v>0</v>
      </c>
      <c r="F57" s="1673" t="s">
        <v>729</v>
      </c>
      <c r="G57" s="1671" t="s">
        <v>1869</v>
      </c>
      <c r="H57" s="1674" t="s">
        <v>730</v>
      </c>
      <c r="I57" s="1671" t="s">
        <v>1870</v>
      </c>
      <c r="J57" s="1671" t="s">
        <v>1833</v>
      </c>
      <c r="K57" s="1671" t="s">
        <v>732</v>
      </c>
      <c r="L57" s="1675"/>
      <c r="M57" s="1675"/>
      <c r="N57" s="1675" t="s">
        <v>1780</v>
      </c>
      <c r="O57" s="1671"/>
      <c r="P57" s="1675"/>
      <c r="Q57" s="1676"/>
      <c r="R57" s="1671"/>
      <c r="S57" s="1671"/>
      <c r="T57" s="1671"/>
      <c r="U57" s="1671" t="s">
        <v>1871</v>
      </c>
      <c r="V57" s="1671" t="s">
        <v>1871</v>
      </c>
      <c r="W57" s="1671"/>
      <c r="X57" s="1671">
        <v>43193</v>
      </c>
      <c r="Y57" s="1671">
        <v>43193</v>
      </c>
      <c r="Z57" s="1671"/>
      <c r="AA57" s="1671"/>
      <c r="AB57" s="1671" t="s">
        <v>733</v>
      </c>
      <c r="AC57" s="1671">
        <v>0</v>
      </c>
      <c r="AD57" s="1671">
        <v>0</v>
      </c>
      <c r="AE57" s="1671">
        <v>0</v>
      </c>
      <c r="AF57" s="1671">
        <v>0</v>
      </c>
      <c r="AG57" s="1671">
        <v>0</v>
      </c>
      <c r="AH57" s="1671">
        <v>1</v>
      </c>
      <c r="AI57" s="1671">
        <v>59342</v>
      </c>
      <c r="AJ57" s="1671">
        <v>2195</v>
      </c>
      <c r="AK57" s="1671">
        <v>0</v>
      </c>
      <c r="AL57" s="1671">
        <v>0</v>
      </c>
      <c r="AM57" s="1671"/>
      <c r="AN57" s="1671"/>
      <c r="AO57" s="1677"/>
      <c r="AP57" s="332"/>
      <c r="AQ57" s="304" t="str">
        <f t="shared" si="0"/>
        <v/>
      </c>
      <c r="AS57" s="304" t="str">
        <f t="shared" si="1"/>
        <v>wci_corp</v>
      </c>
    </row>
    <row r="58" spans="2:45">
      <c r="B58" s="1670" t="s">
        <v>1300</v>
      </c>
      <c r="C58" s="1671">
        <v>43190</v>
      </c>
      <c r="D58" s="1672">
        <v>2800</v>
      </c>
      <c r="E58" s="1672">
        <v>0</v>
      </c>
      <c r="F58" s="1673" t="s">
        <v>729</v>
      </c>
      <c r="G58" s="1671" t="s">
        <v>1869</v>
      </c>
      <c r="H58" s="1674" t="s">
        <v>730</v>
      </c>
      <c r="I58" s="1671" t="s">
        <v>1870</v>
      </c>
      <c r="J58" s="1671" t="s">
        <v>1833</v>
      </c>
      <c r="K58" s="1671" t="s">
        <v>732</v>
      </c>
      <c r="L58" s="1675"/>
      <c r="M58" s="1675"/>
      <c r="N58" s="1675" t="s">
        <v>1872</v>
      </c>
      <c r="O58" s="1671"/>
      <c r="P58" s="1675"/>
      <c r="Q58" s="1676"/>
      <c r="R58" s="1671"/>
      <c r="S58" s="1671"/>
      <c r="T58" s="1671"/>
      <c r="U58" s="1671" t="s">
        <v>1871</v>
      </c>
      <c r="V58" s="1671" t="s">
        <v>1871</v>
      </c>
      <c r="W58" s="1671"/>
      <c r="X58" s="1671">
        <v>43193</v>
      </c>
      <c r="Y58" s="1671">
        <v>43193</v>
      </c>
      <c r="Z58" s="1671"/>
      <c r="AA58" s="1671"/>
      <c r="AB58" s="1671" t="s">
        <v>733</v>
      </c>
      <c r="AC58" s="1671">
        <v>0</v>
      </c>
      <c r="AD58" s="1671">
        <v>0</v>
      </c>
      <c r="AE58" s="1671">
        <v>0</v>
      </c>
      <c r="AF58" s="1671">
        <v>0</v>
      </c>
      <c r="AG58" s="1671">
        <v>0</v>
      </c>
      <c r="AH58" s="1671">
        <v>1</v>
      </c>
      <c r="AI58" s="1671">
        <v>59343</v>
      </c>
      <c r="AJ58" s="1671">
        <v>2195</v>
      </c>
      <c r="AK58" s="1671">
        <v>0</v>
      </c>
      <c r="AL58" s="1671">
        <v>0</v>
      </c>
      <c r="AM58" s="1671"/>
      <c r="AN58" s="1671"/>
      <c r="AO58" s="1677"/>
      <c r="AP58" s="332"/>
      <c r="AQ58" s="304" t="str">
        <f t="shared" si="0"/>
        <v/>
      </c>
      <c r="AS58" s="304" t="str">
        <f t="shared" si="1"/>
        <v>wci_corp</v>
      </c>
    </row>
    <row r="59" spans="2:45">
      <c r="B59" s="1670" t="s">
        <v>1333</v>
      </c>
      <c r="C59" s="1671">
        <v>43190</v>
      </c>
      <c r="D59" s="1672">
        <v>65350</v>
      </c>
      <c r="E59" s="1672">
        <v>0</v>
      </c>
      <c r="F59" s="1673" t="s">
        <v>729</v>
      </c>
      <c r="G59" s="1671" t="s">
        <v>1869</v>
      </c>
      <c r="H59" s="1674" t="s">
        <v>730</v>
      </c>
      <c r="I59" s="1671" t="s">
        <v>1870</v>
      </c>
      <c r="J59" s="1671" t="s">
        <v>1833</v>
      </c>
      <c r="K59" s="1671" t="s">
        <v>732</v>
      </c>
      <c r="L59" s="1675"/>
      <c r="M59" s="1675"/>
      <c r="N59" s="1675" t="s">
        <v>1351</v>
      </c>
      <c r="O59" s="1671"/>
      <c r="P59" s="1675"/>
      <c r="Q59" s="1676"/>
      <c r="R59" s="1671"/>
      <c r="S59" s="1671"/>
      <c r="T59" s="1671"/>
      <c r="U59" s="1671" t="s">
        <v>1871</v>
      </c>
      <c r="V59" s="1671" t="s">
        <v>1871</v>
      </c>
      <c r="W59" s="1671"/>
      <c r="X59" s="1671">
        <v>43193</v>
      </c>
      <c r="Y59" s="1671">
        <v>43193</v>
      </c>
      <c r="Z59" s="1671"/>
      <c r="AA59" s="1671"/>
      <c r="AB59" s="1671" t="s">
        <v>733</v>
      </c>
      <c r="AC59" s="1671">
        <v>0</v>
      </c>
      <c r="AD59" s="1671">
        <v>0</v>
      </c>
      <c r="AE59" s="1671">
        <v>0</v>
      </c>
      <c r="AF59" s="1671">
        <v>0</v>
      </c>
      <c r="AG59" s="1671">
        <v>0</v>
      </c>
      <c r="AH59" s="1671">
        <v>1</v>
      </c>
      <c r="AI59" s="1671">
        <v>59344</v>
      </c>
      <c r="AJ59" s="1671">
        <v>2195</v>
      </c>
      <c r="AK59" s="1671">
        <v>0</v>
      </c>
      <c r="AL59" s="1671">
        <v>0</v>
      </c>
      <c r="AM59" s="1671"/>
      <c r="AN59" s="1671"/>
      <c r="AO59" s="1677"/>
      <c r="AP59" s="332"/>
      <c r="AQ59" s="304" t="str">
        <f t="shared" si="0"/>
        <v/>
      </c>
      <c r="AS59" s="304" t="str">
        <f t="shared" si="1"/>
        <v>wci_corp</v>
      </c>
    </row>
    <row r="60" spans="2:45">
      <c r="B60" s="1670" t="s">
        <v>1312</v>
      </c>
      <c r="C60" s="1671">
        <v>43217</v>
      </c>
      <c r="D60" s="1672">
        <v>2322.62</v>
      </c>
      <c r="E60" s="1672">
        <v>0</v>
      </c>
      <c r="F60" s="1673" t="s">
        <v>729</v>
      </c>
      <c r="G60" s="1671" t="s">
        <v>1873</v>
      </c>
      <c r="H60" s="1674" t="s">
        <v>730</v>
      </c>
      <c r="I60" s="1671" t="s">
        <v>1039</v>
      </c>
      <c r="J60" s="1671" t="s">
        <v>1784</v>
      </c>
      <c r="K60" s="1671" t="s">
        <v>732</v>
      </c>
      <c r="L60" s="1675" t="s">
        <v>1874</v>
      </c>
      <c r="M60" s="1675"/>
      <c r="N60" s="1675" t="s">
        <v>1875</v>
      </c>
      <c r="O60" s="1671">
        <v>43201</v>
      </c>
      <c r="P60" s="1675" t="s">
        <v>1876</v>
      </c>
      <c r="Q60" s="1676" t="s">
        <v>1877</v>
      </c>
      <c r="R60" s="1671" t="s">
        <v>1878</v>
      </c>
      <c r="S60" s="1671"/>
      <c r="T60" s="1671"/>
      <c r="U60" s="1671" t="s">
        <v>1879</v>
      </c>
      <c r="V60" s="1671" t="s">
        <v>1880</v>
      </c>
      <c r="W60" s="1671">
        <v>2195</v>
      </c>
      <c r="X60" s="1671">
        <v>43217</v>
      </c>
      <c r="Y60" s="1671">
        <v>43220</v>
      </c>
      <c r="Z60" s="1671">
        <v>2322.62</v>
      </c>
      <c r="AA60" s="1671">
        <v>43202</v>
      </c>
      <c r="AB60" s="1671" t="s">
        <v>733</v>
      </c>
      <c r="AC60" s="1671">
        <v>0</v>
      </c>
      <c r="AD60" s="1671">
        <v>0</v>
      </c>
      <c r="AE60" s="1671">
        <v>0</v>
      </c>
      <c r="AF60" s="1671">
        <v>0</v>
      </c>
      <c r="AG60" s="1671">
        <v>0</v>
      </c>
      <c r="AH60" s="1671">
        <v>1</v>
      </c>
      <c r="AI60" s="1671">
        <v>59400</v>
      </c>
      <c r="AJ60" s="1671">
        <v>2195</v>
      </c>
      <c r="AK60" s="1671">
        <v>0</v>
      </c>
      <c r="AL60" s="1671">
        <v>0</v>
      </c>
      <c r="AM60" s="1671"/>
      <c r="AN60" s="1671"/>
      <c r="AO60" s="1677"/>
      <c r="AP60" s="332"/>
      <c r="AQ60" s="304" t="str">
        <f t="shared" si="0"/>
        <v>VO04634833</v>
      </c>
      <c r="AS60" s="304" t="str">
        <f t="shared" si="1"/>
        <v>wci_corp</v>
      </c>
    </row>
    <row r="61" spans="2:45">
      <c r="B61" s="1670" t="s">
        <v>1300</v>
      </c>
      <c r="C61" s="1671">
        <v>43220</v>
      </c>
      <c r="D61" s="1672">
        <v>1785</v>
      </c>
      <c r="E61" s="1672">
        <v>0</v>
      </c>
      <c r="F61" s="1673" t="s">
        <v>729</v>
      </c>
      <c r="G61" s="1671" t="s">
        <v>1881</v>
      </c>
      <c r="H61" s="1674" t="s">
        <v>730</v>
      </c>
      <c r="I61" s="1671" t="s">
        <v>1310</v>
      </c>
      <c r="J61" s="1671" t="s">
        <v>1833</v>
      </c>
      <c r="K61" s="1671" t="s">
        <v>732</v>
      </c>
      <c r="L61" s="1675"/>
      <c r="M61" s="1675"/>
      <c r="N61" s="1675" t="s">
        <v>1872</v>
      </c>
      <c r="O61" s="1671"/>
      <c r="P61" s="1675"/>
      <c r="Q61" s="1676"/>
      <c r="R61" s="1671"/>
      <c r="S61" s="1671"/>
      <c r="T61" s="1671"/>
      <c r="U61" s="1671" t="s">
        <v>1882</v>
      </c>
      <c r="V61" s="1671" t="s">
        <v>1882</v>
      </c>
      <c r="W61" s="1671"/>
      <c r="X61" s="1671">
        <v>43223</v>
      </c>
      <c r="Y61" s="1671">
        <v>43223</v>
      </c>
      <c r="Z61" s="1671"/>
      <c r="AA61" s="1671"/>
      <c r="AB61" s="1671" t="s">
        <v>733</v>
      </c>
      <c r="AC61" s="1671">
        <v>0</v>
      </c>
      <c r="AD61" s="1671">
        <v>0</v>
      </c>
      <c r="AE61" s="1671">
        <v>0</v>
      </c>
      <c r="AF61" s="1671">
        <v>0</v>
      </c>
      <c r="AG61" s="1671">
        <v>0</v>
      </c>
      <c r="AH61" s="1671">
        <v>1</v>
      </c>
      <c r="AI61" s="1671">
        <v>59343</v>
      </c>
      <c r="AJ61" s="1671">
        <v>2195</v>
      </c>
      <c r="AK61" s="1671">
        <v>0</v>
      </c>
      <c r="AL61" s="1671">
        <v>0</v>
      </c>
      <c r="AM61" s="1671"/>
      <c r="AN61" s="1671"/>
      <c r="AO61" s="1677"/>
      <c r="AP61" s="332"/>
      <c r="AQ61" s="304" t="str">
        <f t="shared" si="0"/>
        <v/>
      </c>
      <c r="AS61" s="304" t="str">
        <f t="shared" si="1"/>
        <v>wci_corp</v>
      </c>
    </row>
    <row r="62" spans="2:45">
      <c r="B62" s="1670" t="s">
        <v>1312</v>
      </c>
      <c r="C62" s="1671">
        <v>43251</v>
      </c>
      <c r="D62" s="1672">
        <v>3006.29</v>
      </c>
      <c r="E62" s="1672">
        <v>0</v>
      </c>
      <c r="F62" s="1673" t="s">
        <v>729</v>
      </c>
      <c r="G62" s="1671" t="s">
        <v>1883</v>
      </c>
      <c r="H62" s="1674" t="s">
        <v>730</v>
      </c>
      <c r="I62" s="1671" t="s">
        <v>1783</v>
      </c>
      <c r="J62" s="1671" t="s">
        <v>1833</v>
      </c>
      <c r="K62" s="1671" t="s">
        <v>732</v>
      </c>
      <c r="L62" s="1675"/>
      <c r="M62" s="1675"/>
      <c r="N62" s="1675" t="s">
        <v>1884</v>
      </c>
      <c r="O62" s="1671"/>
      <c r="P62" s="1675"/>
      <c r="Q62" s="1676"/>
      <c r="R62" s="1671"/>
      <c r="S62" s="1671"/>
      <c r="T62" s="1671"/>
      <c r="U62" s="1671" t="s">
        <v>1885</v>
      </c>
      <c r="V62" s="1671" t="s">
        <v>1885</v>
      </c>
      <c r="W62" s="1671"/>
      <c r="X62" s="1671">
        <v>43257</v>
      </c>
      <c r="Y62" s="1671">
        <v>43257</v>
      </c>
      <c r="Z62" s="1671"/>
      <c r="AA62" s="1671"/>
      <c r="AB62" s="1671" t="s">
        <v>733</v>
      </c>
      <c r="AC62" s="1671">
        <v>0</v>
      </c>
      <c r="AD62" s="1671">
        <v>0</v>
      </c>
      <c r="AE62" s="1671">
        <v>0</v>
      </c>
      <c r="AF62" s="1671">
        <v>0</v>
      </c>
      <c r="AG62" s="1671">
        <v>0</v>
      </c>
      <c r="AH62" s="1671">
        <v>1</v>
      </c>
      <c r="AI62" s="1671">
        <v>59400</v>
      </c>
      <c r="AJ62" s="1671">
        <v>2195</v>
      </c>
      <c r="AK62" s="1671">
        <v>0</v>
      </c>
      <c r="AL62" s="1671">
        <v>0</v>
      </c>
      <c r="AM62" s="1671"/>
      <c r="AN62" s="1671"/>
      <c r="AO62" s="1677"/>
      <c r="AP62" s="332"/>
      <c r="AQ62" s="304" t="str">
        <f t="shared" si="0"/>
        <v/>
      </c>
      <c r="AS62" s="304" t="str">
        <f t="shared" si="1"/>
        <v>wci_corp</v>
      </c>
    </row>
    <row r="63" spans="2:45">
      <c r="B63" s="1670" t="s">
        <v>1312</v>
      </c>
      <c r="C63" s="1671">
        <v>43277</v>
      </c>
      <c r="D63" s="1672">
        <v>3006.29</v>
      </c>
      <c r="E63" s="1672">
        <v>0</v>
      </c>
      <c r="F63" s="1673" t="s">
        <v>729</v>
      </c>
      <c r="G63" s="1671" t="s">
        <v>1886</v>
      </c>
      <c r="H63" s="1674" t="s">
        <v>730</v>
      </c>
      <c r="I63" s="1671" t="s">
        <v>1039</v>
      </c>
      <c r="J63" s="1671" t="s">
        <v>1040</v>
      </c>
      <c r="K63" s="1671" t="s">
        <v>732</v>
      </c>
      <c r="L63" s="1675" t="s">
        <v>1887</v>
      </c>
      <c r="M63" s="1675"/>
      <c r="N63" s="1675" t="s">
        <v>1888</v>
      </c>
      <c r="O63" s="1671">
        <v>43229</v>
      </c>
      <c r="P63" s="1675" t="s">
        <v>1889</v>
      </c>
      <c r="Q63" s="1676" t="s">
        <v>1890</v>
      </c>
      <c r="R63" s="1671" t="s">
        <v>1891</v>
      </c>
      <c r="S63" s="1671"/>
      <c r="T63" s="1671"/>
      <c r="U63" s="1671" t="s">
        <v>1892</v>
      </c>
      <c r="V63" s="1671" t="s">
        <v>1893</v>
      </c>
      <c r="W63" s="1671">
        <v>2195</v>
      </c>
      <c r="X63" s="1671">
        <v>43277</v>
      </c>
      <c r="Y63" s="1671">
        <v>43277</v>
      </c>
      <c r="Z63" s="1671">
        <v>3006.29</v>
      </c>
      <c r="AA63" s="1671">
        <v>43230</v>
      </c>
      <c r="AB63" s="1671" t="s">
        <v>733</v>
      </c>
      <c r="AC63" s="1671">
        <v>0</v>
      </c>
      <c r="AD63" s="1671">
        <v>0</v>
      </c>
      <c r="AE63" s="1671">
        <v>0</v>
      </c>
      <c r="AF63" s="1671">
        <v>0</v>
      </c>
      <c r="AG63" s="1671">
        <v>0</v>
      </c>
      <c r="AH63" s="1671">
        <v>1</v>
      </c>
      <c r="AI63" s="1671">
        <v>59400</v>
      </c>
      <c r="AJ63" s="1671">
        <v>2195</v>
      </c>
      <c r="AK63" s="1671">
        <v>0</v>
      </c>
      <c r="AL63" s="1671">
        <v>0</v>
      </c>
      <c r="AM63" s="1671"/>
      <c r="AN63" s="1671"/>
      <c r="AO63" s="1677"/>
      <c r="AP63" s="332"/>
      <c r="AQ63" s="304" t="str">
        <f t="shared" si="0"/>
        <v>VO04691530</v>
      </c>
      <c r="AS63" s="304" t="str">
        <f t="shared" si="1"/>
        <v>wci_corp</v>
      </c>
    </row>
    <row r="64" spans="2:45">
      <c r="B64" s="1670" t="s">
        <v>1312</v>
      </c>
      <c r="C64" s="1671">
        <v>43281</v>
      </c>
      <c r="D64" s="1672">
        <v>-3006.29</v>
      </c>
      <c r="E64" s="1672">
        <v>0</v>
      </c>
      <c r="F64" s="1673" t="s">
        <v>729</v>
      </c>
      <c r="G64" s="1671" t="s">
        <v>1894</v>
      </c>
      <c r="H64" s="1674" t="s">
        <v>730</v>
      </c>
      <c r="I64" s="1671" t="s">
        <v>1783</v>
      </c>
      <c r="J64" s="1671" t="s">
        <v>1833</v>
      </c>
      <c r="K64" s="1671" t="s">
        <v>732</v>
      </c>
      <c r="L64" s="1675"/>
      <c r="M64" s="1675"/>
      <c r="N64" s="1675" t="s">
        <v>1884</v>
      </c>
      <c r="O64" s="1671"/>
      <c r="P64" s="1675"/>
      <c r="Q64" s="1676"/>
      <c r="R64" s="1671"/>
      <c r="S64" s="1671"/>
      <c r="T64" s="1671"/>
      <c r="U64" s="1671" t="s">
        <v>1885</v>
      </c>
      <c r="V64" s="1671" t="s">
        <v>1895</v>
      </c>
      <c r="W64" s="1671"/>
      <c r="X64" s="1671">
        <v>43257</v>
      </c>
      <c r="Y64" s="1671">
        <v>43257</v>
      </c>
      <c r="Z64" s="1671"/>
      <c r="AA64" s="1671"/>
      <c r="AB64" s="1671" t="s">
        <v>733</v>
      </c>
      <c r="AC64" s="1671">
        <v>0</v>
      </c>
      <c r="AD64" s="1671">
        <v>0</v>
      </c>
      <c r="AE64" s="1671">
        <v>0</v>
      </c>
      <c r="AF64" s="1671">
        <v>0</v>
      </c>
      <c r="AG64" s="1671">
        <v>5</v>
      </c>
      <c r="AH64" s="1671">
        <v>1</v>
      </c>
      <c r="AI64" s="1671">
        <v>59400</v>
      </c>
      <c r="AJ64" s="1671">
        <v>2195</v>
      </c>
      <c r="AK64" s="1671">
        <v>0</v>
      </c>
      <c r="AL64" s="1671">
        <v>0</v>
      </c>
      <c r="AM64" s="1671"/>
      <c r="AN64" s="1671"/>
      <c r="AO64" s="1677"/>
      <c r="AP64" s="332"/>
      <c r="AQ64" s="304" t="str">
        <f t="shared" si="0"/>
        <v/>
      </c>
      <c r="AS64" s="304" t="str">
        <f t="shared" si="1"/>
        <v>wci_corp</v>
      </c>
    </row>
    <row r="65" spans="2:45">
      <c r="B65" s="1670" t="s">
        <v>1312</v>
      </c>
      <c r="C65" s="1671">
        <v>43281</v>
      </c>
      <c r="D65" s="1672">
        <v>236.96</v>
      </c>
      <c r="E65" s="1672">
        <v>0</v>
      </c>
      <c r="F65" s="1673" t="s">
        <v>729</v>
      </c>
      <c r="G65" s="1671" t="s">
        <v>1896</v>
      </c>
      <c r="H65" s="1674" t="s">
        <v>730</v>
      </c>
      <c r="I65" s="1671" t="s">
        <v>1897</v>
      </c>
      <c r="J65" s="1671" t="s">
        <v>734</v>
      </c>
      <c r="K65" s="1671" t="s">
        <v>732</v>
      </c>
      <c r="L65" s="1675"/>
      <c r="M65" s="1675"/>
      <c r="N65" s="1675" t="s">
        <v>1898</v>
      </c>
      <c r="O65" s="1671"/>
      <c r="P65" s="1675"/>
      <c r="Q65" s="1676"/>
      <c r="R65" s="1671"/>
      <c r="S65" s="1671"/>
      <c r="T65" s="1671"/>
      <c r="U65" s="1671" t="s">
        <v>1899</v>
      </c>
      <c r="V65" s="1671" t="s">
        <v>1899</v>
      </c>
      <c r="W65" s="1671"/>
      <c r="X65" s="1671">
        <v>43284</v>
      </c>
      <c r="Y65" s="1671">
        <v>43284</v>
      </c>
      <c r="Z65" s="1671"/>
      <c r="AA65" s="1671"/>
      <c r="AB65" s="1671" t="s">
        <v>733</v>
      </c>
      <c r="AC65" s="1671">
        <v>0</v>
      </c>
      <c r="AD65" s="1671">
        <v>0</v>
      </c>
      <c r="AE65" s="1671">
        <v>0</v>
      </c>
      <c r="AF65" s="1671">
        <v>0</v>
      </c>
      <c r="AG65" s="1671">
        <v>0</v>
      </c>
      <c r="AH65" s="1671">
        <v>1</v>
      </c>
      <c r="AI65" s="1671">
        <v>59400</v>
      </c>
      <c r="AJ65" s="1671">
        <v>2195</v>
      </c>
      <c r="AK65" s="1671">
        <v>0</v>
      </c>
      <c r="AL65" s="1671">
        <v>0</v>
      </c>
      <c r="AM65" s="1671"/>
      <c r="AN65" s="1671"/>
      <c r="AO65" s="1677"/>
      <c r="AP65" s="332"/>
      <c r="AQ65" s="304" t="str">
        <f t="shared" si="0"/>
        <v/>
      </c>
      <c r="AS65" s="304" t="str">
        <f t="shared" si="1"/>
        <v>wci_corp</v>
      </c>
    </row>
    <row r="66" spans="2:45">
      <c r="B66" s="1670" t="s">
        <v>1300</v>
      </c>
      <c r="C66" s="1671">
        <v>43312</v>
      </c>
      <c r="D66" s="1672">
        <v>5180</v>
      </c>
      <c r="E66" s="1672">
        <v>0</v>
      </c>
      <c r="F66" s="1673" t="s">
        <v>729</v>
      </c>
      <c r="G66" s="1671" t="s">
        <v>1900</v>
      </c>
      <c r="H66" s="1674" t="s">
        <v>730</v>
      </c>
      <c r="I66" s="1671" t="s">
        <v>1901</v>
      </c>
      <c r="J66" s="1671" t="s">
        <v>734</v>
      </c>
      <c r="K66" s="1671" t="s">
        <v>732</v>
      </c>
      <c r="L66" s="1675"/>
      <c r="M66" s="1675"/>
      <c r="N66" s="1675" t="s">
        <v>1902</v>
      </c>
      <c r="O66" s="1671"/>
      <c r="P66" s="1675"/>
      <c r="Q66" s="1676"/>
      <c r="R66" s="1671"/>
      <c r="S66" s="1671"/>
      <c r="T66" s="1671"/>
      <c r="U66" s="1671" t="s">
        <v>1903</v>
      </c>
      <c r="V66" s="1671" t="s">
        <v>1903</v>
      </c>
      <c r="W66" s="1671"/>
      <c r="X66" s="1671">
        <v>43313</v>
      </c>
      <c r="Y66" s="1671">
        <v>43313</v>
      </c>
      <c r="Z66" s="1671"/>
      <c r="AA66" s="1671"/>
      <c r="AB66" s="1671" t="s">
        <v>733</v>
      </c>
      <c r="AC66" s="1671">
        <v>0</v>
      </c>
      <c r="AD66" s="1671">
        <v>0</v>
      </c>
      <c r="AE66" s="1671">
        <v>0</v>
      </c>
      <c r="AF66" s="1671">
        <v>0</v>
      </c>
      <c r="AG66" s="1671">
        <v>0</v>
      </c>
      <c r="AH66" s="1671">
        <v>1</v>
      </c>
      <c r="AI66" s="1671">
        <v>59343</v>
      </c>
      <c r="AJ66" s="1671">
        <v>2195</v>
      </c>
      <c r="AK66" s="1671">
        <v>0</v>
      </c>
      <c r="AL66" s="1671">
        <v>0</v>
      </c>
      <c r="AM66" s="1671"/>
      <c r="AN66" s="1671"/>
      <c r="AO66" s="1677"/>
      <c r="AP66" s="332"/>
      <c r="AQ66" s="304" t="str">
        <f t="shared" si="0"/>
        <v/>
      </c>
      <c r="AS66" s="304" t="str">
        <f t="shared" si="1"/>
        <v>wci_corp</v>
      </c>
    </row>
    <row r="67" spans="2:45">
      <c r="B67" s="1670" t="s">
        <v>1324</v>
      </c>
      <c r="C67" s="1671">
        <v>43343</v>
      </c>
      <c r="D67" s="1672">
        <v>1250</v>
      </c>
      <c r="E67" s="1672">
        <v>0</v>
      </c>
      <c r="F67" s="1673" t="s">
        <v>729</v>
      </c>
      <c r="G67" s="1671" t="s">
        <v>1904</v>
      </c>
      <c r="H67" s="1674" t="s">
        <v>730</v>
      </c>
      <c r="I67" s="1671" t="s">
        <v>1905</v>
      </c>
      <c r="J67" s="1671" t="s">
        <v>734</v>
      </c>
      <c r="K67" s="1671" t="s">
        <v>732</v>
      </c>
      <c r="L67" s="1675"/>
      <c r="M67" s="1675"/>
      <c r="N67" s="1675" t="s">
        <v>1906</v>
      </c>
      <c r="O67" s="1671"/>
      <c r="P67" s="1675"/>
      <c r="Q67" s="1676"/>
      <c r="R67" s="1671"/>
      <c r="S67" s="1671"/>
      <c r="T67" s="1671"/>
      <c r="U67" s="1671" t="s">
        <v>1907</v>
      </c>
      <c r="V67" s="1671" t="s">
        <v>1907</v>
      </c>
      <c r="W67" s="1671"/>
      <c r="X67" s="1671">
        <v>43347</v>
      </c>
      <c r="Y67" s="1671">
        <v>43347</v>
      </c>
      <c r="Z67" s="1671"/>
      <c r="AA67" s="1671"/>
      <c r="AB67" s="1671" t="s">
        <v>733</v>
      </c>
      <c r="AC67" s="1671">
        <v>0</v>
      </c>
      <c r="AD67" s="1671">
        <v>0</v>
      </c>
      <c r="AE67" s="1671">
        <v>0</v>
      </c>
      <c r="AF67" s="1671">
        <v>0</v>
      </c>
      <c r="AG67" s="1671">
        <v>0</v>
      </c>
      <c r="AH67" s="1671">
        <v>1</v>
      </c>
      <c r="AI67" s="1671">
        <v>59341</v>
      </c>
      <c r="AJ67" s="1671">
        <v>2195</v>
      </c>
      <c r="AK67" s="1671">
        <v>0</v>
      </c>
      <c r="AL67" s="1671">
        <v>0</v>
      </c>
      <c r="AM67" s="1671"/>
      <c r="AN67" s="1671"/>
      <c r="AO67" s="1677"/>
      <c r="AP67" s="332"/>
      <c r="AQ67" s="304" t="str">
        <f t="shared" si="0"/>
        <v/>
      </c>
      <c r="AS67" s="304" t="str">
        <f t="shared" si="1"/>
        <v>wci_corp</v>
      </c>
    </row>
    <row r="68" spans="2:45">
      <c r="B68" s="1670" t="s">
        <v>1312</v>
      </c>
      <c r="C68" s="1671">
        <v>43343</v>
      </c>
      <c r="D68" s="1672">
        <v>1588.92</v>
      </c>
      <c r="E68" s="1672">
        <v>0</v>
      </c>
      <c r="F68" s="1673" t="s">
        <v>729</v>
      </c>
      <c r="G68" s="1671" t="s">
        <v>1908</v>
      </c>
      <c r="H68" s="1674" t="s">
        <v>730</v>
      </c>
      <c r="I68" s="1671" t="s">
        <v>1909</v>
      </c>
      <c r="J68" s="1671" t="s">
        <v>731</v>
      </c>
      <c r="K68" s="1671" t="s">
        <v>732</v>
      </c>
      <c r="L68" s="1675"/>
      <c r="M68" s="1675"/>
      <c r="N68" s="1675" t="s">
        <v>1910</v>
      </c>
      <c r="O68" s="1671"/>
      <c r="P68" s="1675"/>
      <c r="Q68" s="1676"/>
      <c r="R68" s="1671"/>
      <c r="S68" s="1671"/>
      <c r="T68" s="1671"/>
      <c r="U68" s="1671" t="s">
        <v>1911</v>
      </c>
      <c r="V68" s="1671" t="s">
        <v>1911</v>
      </c>
      <c r="W68" s="1671"/>
      <c r="X68" s="1671">
        <v>43348</v>
      </c>
      <c r="Y68" s="1671">
        <v>43348</v>
      </c>
      <c r="Z68" s="1671"/>
      <c r="AA68" s="1671"/>
      <c r="AB68" s="1671" t="s">
        <v>733</v>
      </c>
      <c r="AC68" s="1671">
        <v>0</v>
      </c>
      <c r="AD68" s="1671">
        <v>0</v>
      </c>
      <c r="AE68" s="1671">
        <v>0</v>
      </c>
      <c r="AF68" s="1671">
        <v>0</v>
      </c>
      <c r="AG68" s="1671">
        <v>0</v>
      </c>
      <c r="AH68" s="1671">
        <v>1</v>
      </c>
      <c r="AI68" s="1671">
        <v>59400</v>
      </c>
      <c r="AJ68" s="1671">
        <v>2195</v>
      </c>
      <c r="AK68" s="1671">
        <v>0</v>
      </c>
      <c r="AL68" s="1671">
        <v>0</v>
      </c>
      <c r="AM68" s="1671"/>
      <c r="AN68" s="1671"/>
      <c r="AO68" s="1677"/>
      <c r="AP68" s="332"/>
      <c r="AQ68" s="304" t="str">
        <f t="shared" si="0"/>
        <v/>
      </c>
      <c r="AS68" s="304" t="str">
        <f t="shared" si="1"/>
        <v>wci_corp</v>
      </c>
    </row>
    <row r="69" spans="2:45">
      <c r="B69" s="1670" t="s">
        <v>1312</v>
      </c>
      <c r="C69" s="1671">
        <v>43343</v>
      </c>
      <c r="D69" s="1672">
        <v>606.32000000000005</v>
      </c>
      <c r="E69" s="1672">
        <v>0</v>
      </c>
      <c r="F69" s="1673" t="s">
        <v>729</v>
      </c>
      <c r="G69" s="1671" t="s">
        <v>1908</v>
      </c>
      <c r="H69" s="1674" t="s">
        <v>730</v>
      </c>
      <c r="I69" s="1671" t="s">
        <v>1909</v>
      </c>
      <c r="J69" s="1671" t="s">
        <v>731</v>
      </c>
      <c r="K69" s="1671" t="s">
        <v>732</v>
      </c>
      <c r="L69" s="1675"/>
      <c r="M69" s="1675"/>
      <c r="N69" s="1675" t="s">
        <v>1912</v>
      </c>
      <c r="O69" s="1671"/>
      <c r="P69" s="1675"/>
      <c r="Q69" s="1676"/>
      <c r="R69" s="1671"/>
      <c r="S69" s="1671"/>
      <c r="T69" s="1671"/>
      <c r="U69" s="1671" t="s">
        <v>1911</v>
      </c>
      <c r="V69" s="1671" t="s">
        <v>1911</v>
      </c>
      <c r="W69" s="1671"/>
      <c r="X69" s="1671">
        <v>43348</v>
      </c>
      <c r="Y69" s="1671">
        <v>43348</v>
      </c>
      <c r="Z69" s="1671"/>
      <c r="AA69" s="1671"/>
      <c r="AB69" s="1671" t="s">
        <v>733</v>
      </c>
      <c r="AC69" s="1671">
        <v>0</v>
      </c>
      <c r="AD69" s="1671">
        <v>0</v>
      </c>
      <c r="AE69" s="1671">
        <v>0</v>
      </c>
      <c r="AF69" s="1671">
        <v>0</v>
      </c>
      <c r="AG69" s="1671">
        <v>0</v>
      </c>
      <c r="AH69" s="1671">
        <v>1</v>
      </c>
      <c r="AI69" s="1671">
        <v>59400</v>
      </c>
      <c r="AJ69" s="1671">
        <v>2195</v>
      </c>
      <c r="AK69" s="1671">
        <v>0</v>
      </c>
      <c r="AL69" s="1671">
        <v>0</v>
      </c>
      <c r="AM69" s="1671"/>
      <c r="AN69" s="1671"/>
      <c r="AO69" s="1677"/>
      <c r="AP69" s="332"/>
      <c r="AQ69" s="304" t="str">
        <f t="shared" si="0"/>
        <v/>
      </c>
      <c r="AS69" s="304" t="str">
        <f t="shared" si="1"/>
        <v>wci_corp</v>
      </c>
    </row>
    <row r="70" spans="2:45">
      <c r="B70" s="1670" t="s">
        <v>1324</v>
      </c>
      <c r="C70" s="1671">
        <v>43373</v>
      </c>
      <c r="D70" s="1672">
        <v>2000</v>
      </c>
      <c r="E70" s="1672">
        <v>0</v>
      </c>
      <c r="F70" s="1673" t="s">
        <v>729</v>
      </c>
      <c r="G70" s="1671" t="s">
        <v>1913</v>
      </c>
      <c r="H70" s="1674" t="s">
        <v>730</v>
      </c>
      <c r="I70" s="1671" t="s">
        <v>1914</v>
      </c>
      <c r="J70" s="1671" t="s">
        <v>1833</v>
      </c>
      <c r="K70" s="1671" t="s">
        <v>732</v>
      </c>
      <c r="L70" s="1675"/>
      <c r="M70" s="1675"/>
      <c r="N70" s="1675" t="s">
        <v>1906</v>
      </c>
      <c r="O70" s="1671"/>
      <c r="P70" s="1675"/>
      <c r="Q70" s="1676"/>
      <c r="R70" s="1671"/>
      <c r="S70" s="1671"/>
      <c r="T70" s="1671"/>
      <c r="U70" s="1671" t="s">
        <v>1915</v>
      </c>
      <c r="V70" s="1671" t="s">
        <v>1915</v>
      </c>
      <c r="W70" s="1671"/>
      <c r="X70" s="1671">
        <v>43374</v>
      </c>
      <c r="Y70" s="1671">
        <v>43374</v>
      </c>
      <c r="Z70" s="1671"/>
      <c r="AA70" s="1671"/>
      <c r="AB70" s="1671" t="s">
        <v>733</v>
      </c>
      <c r="AC70" s="1671">
        <v>0</v>
      </c>
      <c r="AD70" s="1671">
        <v>0</v>
      </c>
      <c r="AE70" s="1671">
        <v>0</v>
      </c>
      <c r="AF70" s="1671">
        <v>0</v>
      </c>
      <c r="AG70" s="1671">
        <v>0</v>
      </c>
      <c r="AH70" s="1671">
        <v>1</v>
      </c>
      <c r="AI70" s="1671">
        <v>59341</v>
      </c>
      <c r="AJ70" s="1671">
        <v>2195</v>
      </c>
      <c r="AK70" s="1671">
        <v>0</v>
      </c>
      <c r="AL70" s="1671">
        <v>0</v>
      </c>
      <c r="AM70" s="1671"/>
      <c r="AN70" s="1671"/>
      <c r="AO70" s="1677"/>
      <c r="AP70" s="332"/>
      <c r="AQ70" s="304" t="str">
        <f t="shared" si="0"/>
        <v/>
      </c>
      <c r="AS70" s="304" t="str">
        <f t="shared" si="1"/>
        <v>wci_corp</v>
      </c>
    </row>
    <row r="71" spans="2:45">
      <c r="B71" s="1670" t="s">
        <v>1300</v>
      </c>
      <c r="C71" s="1671">
        <v>43373</v>
      </c>
      <c r="D71" s="1672">
        <v>4800</v>
      </c>
      <c r="E71" s="1672">
        <v>0</v>
      </c>
      <c r="F71" s="1673" t="s">
        <v>729</v>
      </c>
      <c r="G71" s="1671" t="s">
        <v>1913</v>
      </c>
      <c r="H71" s="1674" t="s">
        <v>730</v>
      </c>
      <c r="I71" s="1671" t="s">
        <v>1914</v>
      </c>
      <c r="J71" s="1671" t="s">
        <v>1833</v>
      </c>
      <c r="K71" s="1671" t="s">
        <v>732</v>
      </c>
      <c r="L71" s="1675"/>
      <c r="M71" s="1675"/>
      <c r="N71" s="1675" t="s">
        <v>1916</v>
      </c>
      <c r="O71" s="1671"/>
      <c r="P71" s="1675"/>
      <c r="Q71" s="1676"/>
      <c r="R71" s="1671"/>
      <c r="S71" s="1671"/>
      <c r="T71" s="1671"/>
      <c r="U71" s="1671" t="s">
        <v>1915</v>
      </c>
      <c r="V71" s="1671" t="s">
        <v>1915</v>
      </c>
      <c r="W71" s="1671"/>
      <c r="X71" s="1671">
        <v>43374</v>
      </c>
      <c r="Y71" s="1671">
        <v>43374</v>
      </c>
      <c r="Z71" s="1671"/>
      <c r="AA71" s="1671"/>
      <c r="AB71" s="1671" t="s">
        <v>733</v>
      </c>
      <c r="AC71" s="1671">
        <v>0</v>
      </c>
      <c r="AD71" s="1671">
        <v>0</v>
      </c>
      <c r="AE71" s="1671">
        <v>0</v>
      </c>
      <c r="AF71" s="1671">
        <v>0</v>
      </c>
      <c r="AG71" s="1671">
        <v>0</v>
      </c>
      <c r="AH71" s="1671">
        <v>1</v>
      </c>
      <c r="AI71" s="1671">
        <v>59343</v>
      </c>
      <c r="AJ71" s="1671">
        <v>2195</v>
      </c>
      <c r="AK71" s="1671">
        <v>0</v>
      </c>
      <c r="AL71" s="1671">
        <v>0</v>
      </c>
      <c r="AM71" s="1671"/>
      <c r="AN71" s="1671"/>
      <c r="AO71" s="1677"/>
      <c r="AP71" s="332"/>
      <c r="AQ71" s="304" t="str">
        <f t="shared" si="0"/>
        <v/>
      </c>
      <c r="AS71" s="304" t="str">
        <f t="shared" si="1"/>
        <v>wci_corp</v>
      </c>
    </row>
    <row r="72" spans="2:45">
      <c r="B72" s="1670" t="s">
        <v>1300</v>
      </c>
      <c r="C72" s="1671">
        <v>43373</v>
      </c>
      <c r="D72" s="1672">
        <v>2800</v>
      </c>
      <c r="E72" s="1672">
        <v>0</v>
      </c>
      <c r="F72" s="1673" t="s">
        <v>729</v>
      </c>
      <c r="G72" s="1671" t="s">
        <v>1913</v>
      </c>
      <c r="H72" s="1674" t="s">
        <v>730</v>
      </c>
      <c r="I72" s="1671" t="s">
        <v>1914</v>
      </c>
      <c r="J72" s="1671" t="s">
        <v>1833</v>
      </c>
      <c r="K72" s="1671" t="s">
        <v>732</v>
      </c>
      <c r="L72" s="1675"/>
      <c r="M72" s="1675"/>
      <c r="N72" s="1675" t="s">
        <v>1917</v>
      </c>
      <c r="O72" s="1671"/>
      <c r="P72" s="1675"/>
      <c r="Q72" s="1676"/>
      <c r="R72" s="1671"/>
      <c r="S72" s="1671"/>
      <c r="T72" s="1671"/>
      <c r="U72" s="1671" t="s">
        <v>1915</v>
      </c>
      <c r="V72" s="1671" t="s">
        <v>1915</v>
      </c>
      <c r="W72" s="1671"/>
      <c r="X72" s="1671">
        <v>43374</v>
      </c>
      <c r="Y72" s="1671">
        <v>43374</v>
      </c>
      <c r="Z72" s="1671"/>
      <c r="AA72" s="1671"/>
      <c r="AB72" s="1671" t="s">
        <v>733</v>
      </c>
      <c r="AC72" s="1671">
        <v>0</v>
      </c>
      <c r="AD72" s="1671">
        <v>0</v>
      </c>
      <c r="AE72" s="1671">
        <v>0</v>
      </c>
      <c r="AF72" s="1671">
        <v>0</v>
      </c>
      <c r="AG72" s="1671">
        <v>0</v>
      </c>
      <c r="AH72" s="1671">
        <v>1</v>
      </c>
      <c r="AI72" s="1671">
        <v>59343</v>
      </c>
      <c r="AJ72" s="1671">
        <v>2195</v>
      </c>
      <c r="AK72" s="1671">
        <v>0</v>
      </c>
      <c r="AL72" s="1671">
        <v>0</v>
      </c>
      <c r="AM72" s="1671"/>
      <c r="AN72" s="1671"/>
      <c r="AO72" s="1677"/>
      <c r="AP72" s="332"/>
      <c r="AQ72" s="304" t="str">
        <f t="shared" si="0"/>
        <v/>
      </c>
      <c r="AS72" s="304" t="str">
        <f t="shared" si="1"/>
        <v>wci_corp</v>
      </c>
    </row>
    <row r="73" spans="2:45">
      <c r="B73" s="1670" t="s">
        <v>1333</v>
      </c>
      <c r="C73" s="1671">
        <v>43373</v>
      </c>
      <c r="D73" s="1672">
        <v>7.81</v>
      </c>
      <c r="E73" s="1672">
        <v>0</v>
      </c>
      <c r="F73" s="1673" t="s">
        <v>729</v>
      </c>
      <c r="G73" s="1671" t="s">
        <v>1913</v>
      </c>
      <c r="H73" s="1674" t="s">
        <v>730</v>
      </c>
      <c r="I73" s="1671" t="s">
        <v>1914</v>
      </c>
      <c r="J73" s="1671" t="s">
        <v>1833</v>
      </c>
      <c r="K73" s="1671" t="s">
        <v>732</v>
      </c>
      <c r="L73" s="1675"/>
      <c r="M73" s="1675"/>
      <c r="N73" s="1675" t="s">
        <v>1918</v>
      </c>
      <c r="O73" s="1671"/>
      <c r="P73" s="1675"/>
      <c r="Q73" s="1676"/>
      <c r="R73" s="1671"/>
      <c r="S73" s="1671"/>
      <c r="T73" s="1671"/>
      <c r="U73" s="1671" t="s">
        <v>1915</v>
      </c>
      <c r="V73" s="1671" t="s">
        <v>1915</v>
      </c>
      <c r="W73" s="1671"/>
      <c r="X73" s="1671">
        <v>43374</v>
      </c>
      <c r="Y73" s="1671">
        <v>43374</v>
      </c>
      <c r="Z73" s="1671"/>
      <c r="AA73" s="1671"/>
      <c r="AB73" s="1671" t="s">
        <v>733</v>
      </c>
      <c r="AC73" s="1671">
        <v>0</v>
      </c>
      <c r="AD73" s="1671">
        <v>0</v>
      </c>
      <c r="AE73" s="1671">
        <v>0</v>
      </c>
      <c r="AF73" s="1671">
        <v>0</v>
      </c>
      <c r="AG73" s="1671">
        <v>0</v>
      </c>
      <c r="AH73" s="1671">
        <v>1</v>
      </c>
      <c r="AI73" s="1671">
        <v>59344</v>
      </c>
      <c r="AJ73" s="1671">
        <v>2195</v>
      </c>
      <c r="AK73" s="1671">
        <v>0</v>
      </c>
      <c r="AL73" s="1671">
        <v>0</v>
      </c>
      <c r="AM73" s="1671"/>
      <c r="AN73" s="1671"/>
      <c r="AO73" s="1677"/>
      <c r="AP73" s="332"/>
      <c r="AQ73" s="304" t="str">
        <f t="shared" si="0"/>
        <v/>
      </c>
      <c r="AS73" s="304" t="str">
        <f t="shared" si="1"/>
        <v>wci_corp</v>
      </c>
    </row>
    <row r="74" spans="2:45">
      <c r="B74" s="1670" t="s">
        <v>1324</v>
      </c>
      <c r="C74" s="1671">
        <v>43404</v>
      </c>
      <c r="D74" s="1672">
        <v>1000</v>
      </c>
      <c r="E74" s="1672">
        <v>0</v>
      </c>
      <c r="F74" s="1673" t="s">
        <v>729</v>
      </c>
      <c r="G74" s="1671" t="s">
        <v>1919</v>
      </c>
      <c r="H74" s="1674" t="s">
        <v>730</v>
      </c>
      <c r="I74" s="1671" t="s">
        <v>1920</v>
      </c>
      <c r="J74" s="1671" t="s">
        <v>731</v>
      </c>
      <c r="K74" s="1671" t="s">
        <v>732</v>
      </c>
      <c r="L74" s="1675"/>
      <c r="M74" s="1675"/>
      <c r="N74" s="1675" t="s">
        <v>1906</v>
      </c>
      <c r="O74" s="1671"/>
      <c r="P74" s="1675"/>
      <c r="Q74" s="1676"/>
      <c r="R74" s="1671"/>
      <c r="S74" s="1671"/>
      <c r="T74" s="1671"/>
      <c r="U74" s="1671" t="s">
        <v>1921</v>
      </c>
      <c r="V74" s="1671" t="s">
        <v>1921</v>
      </c>
      <c r="W74" s="1671"/>
      <c r="X74" s="1671">
        <v>43404</v>
      </c>
      <c r="Y74" s="1671">
        <v>43404</v>
      </c>
      <c r="Z74" s="1671"/>
      <c r="AA74" s="1671"/>
      <c r="AB74" s="1671" t="s">
        <v>733</v>
      </c>
      <c r="AC74" s="1671">
        <v>0</v>
      </c>
      <c r="AD74" s="1671">
        <v>0</v>
      </c>
      <c r="AE74" s="1671">
        <v>0</v>
      </c>
      <c r="AF74" s="1671">
        <v>0</v>
      </c>
      <c r="AG74" s="1671">
        <v>0</v>
      </c>
      <c r="AH74" s="1671">
        <v>1</v>
      </c>
      <c r="AI74" s="1671">
        <v>59341</v>
      </c>
      <c r="AJ74" s="1671">
        <v>2195</v>
      </c>
      <c r="AK74" s="1671">
        <v>0</v>
      </c>
      <c r="AL74" s="1671">
        <v>0</v>
      </c>
      <c r="AM74" s="1671"/>
      <c r="AN74" s="1671"/>
      <c r="AO74" s="1677"/>
      <c r="AP74" s="332"/>
      <c r="AQ74" s="304" t="str">
        <f t="shared" si="0"/>
        <v/>
      </c>
      <c r="AS74" s="304" t="str">
        <f t="shared" si="1"/>
        <v>wci_corp</v>
      </c>
    </row>
    <row r="75" spans="2:45">
      <c r="B75" s="1670" t="s">
        <v>1300</v>
      </c>
      <c r="C75" s="1671">
        <v>43404</v>
      </c>
      <c r="D75" s="1672">
        <v>18350</v>
      </c>
      <c r="E75" s="1672">
        <v>0</v>
      </c>
      <c r="F75" s="1673" t="s">
        <v>729</v>
      </c>
      <c r="G75" s="1671" t="s">
        <v>1919</v>
      </c>
      <c r="H75" s="1674" t="s">
        <v>730</v>
      </c>
      <c r="I75" s="1671" t="s">
        <v>1920</v>
      </c>
      <c r="J75" s="1671" t="s">
        <v>731</v>
      </c>
      <c r="K75" s="1671" t="s">
        <v>732</v>
      </c>
      <c r="L75" s="1675"/>
      <c r="M75" s="1675"/>
      <c r="N75" s="1675" t="s">
        <v>1916</v>
      </c>
      <c r="O75" s="1671"/>
      <c r="P75" s="1675"/>
      <c r="Q75" s="1676"/>
      <c r="R75" s="1671"/>
      <c r="S75" s="1671"/>
      <c r="T75" s="1671"/>
      <c r="U75" s="1671" t="s">
        <v>1921</v>
      </c>
      <c r="V75" s="1671" t="s">
        <v>1921</v>
      </c>
      <c r="W75" s="1671"/>
      <c r="X75" s="1671">
        <v>43404</v>
      </c>
      <c r="Y75" s="1671">
        <v>43404</v>
      </c>
      <c r="Z75" s="1671"/>
      <c r="AA75" s="1671"/>
      <c r="AB75" s="1671" t="s">
        <v>733</v>
      </c>
      <c r="AC75" s="1671">
        <v>0</v>
      </c>
      <c r="AD75" s="1671">
        <v>0</v>
      </c>
      <c r="AE75" s="1671">
        <v>0</v>
      </c>
      <c r="AF75" s="1671">
        <v>0</v>
      </c>
      <c r="AG75" s="1671">
        <v>0</v>
      </c>
      <c r="AH75" s="1671">
        <v>1</v>
      </c>
      <c r="AI75" s="1671">
        <v>59343</v>
      </c>
      <c r="AJ75" s="1671">
        <v>2195</v>
      </c>
      <c r="AK75" s="1671">
        <v>0</v>
      </c>
      <c r="AL75" s="1671">
        <v>0</v>
      </c>
      <c r="AM75" s="1671"/>
      <c r="AN75" s="1671"/>
      <c r="AO75" s="1677"/>
      <c r="AP75" s="332"/>
      <c r="AQ75" s="304" t="str">
        <f t="shared" si="0"/>
        <v/>
      </c>
      <c r="AS75" s="304" t="str">
        <f t="shared" si="1"/>
        <v>wci_corp</v>
      </c>
    </row>
    <row r="76" spans="2:45">
      <c r="B76" s="1670" t="s">
        <v>1300</v>
      </c>
      <c r="C76" s="1671">
        <v>43404</v>
      </c>
      <c r="D76" s="1672">
        <v>-500</v>
      </c>
      <c r="E76" s="1672">
        <v>0</v>
      </c>
      <c r="F76" s="1673" t="s">
        <v>729</v>
      </c>
      <c r="G76" s="1671" t="s">
        <v>1919</v>
      </c>
      <c r="H76" s="1674" t="s">
        <v>730</v>
      </c>
      <c r="I76" s="1671" t="s">
        <v>1920</v>
      </c>
      <c r="J76" s="1671" t="s">
        <v>731</v>
      </c>
      <c r="K76" s="1671" t="s">
        <v>732</v>
      </c>
      <c r="L76" s="1675"/>
      <c r="M76" s="1675"/>
      <c r="N76" s="1675" t="s">
        <v>1917</v>
      </c>
      <c r="O76" s="1671"/>
      <c r="P76" s="1675"/>
      <c r="Q76" s="1676"/>
      <c r="R76" s="1671"/>
      <c r="S76" s="1671"/>
      <c r="T76" s="1671"/>
      <c r="U76" s="1671" t="s">
        <v>1921</v>
      </c>
      <c r="V76" s="1671" t="s">
        <v>1921</v>
      </c>
      <c r="W76" s="1671"/>
      <c r="X76" s="1671">
        <v>43404</v>
      </c>
      <c r="Y76" s="1671">
        <v>43404</v>
      </c>
      <c r="Z76" s="1671"/>
      <c r="AA76" s="1671"/>
      <c r="AB76" s="1671" t="s">
        <v>733</v>
      </c>
      <c r="AC76" s="1671">
        <v>0</v>
      </c>
      <c r="AD76" s="1671">
        <v>0</v>
      </c>
      <c r="AE76" s="1671">
        <v>0</v>
      </c>
      <c r="AF76" s="1671">
        <v>0</v>
      </c>
      <c r="AG76" s="1671">
        <v>0</v>
      </c>
      <c r="AH76" s="1671">
        <v>1</v>
      </c>
      <c r="AI76" s="1671">
        <v>59343</v>
      </c>
      <c r="AJ76" s="1671">
        <v>2195</v>
      </c>
      <c r="AK76" s="1671">
        <v>0</v>
      </c>
      <c r="AL76" s="1671">
        <v>0</v>
      </c>
      <c r="AM76" s="1671"/>
      <c r="AN76" s="1671"/>
      <c r="AO76" s="1677"/>
      <c r="AP76" s="332"/>
      <c r="AQ76" s="304" t="str">
        <f t="shared" si="0"/>
        <v/>
      </c>
      <c r="AS76" s="304" t="str">
        <f t="shared" si="1"/>
        <v>wci_corp</v>
      </c>
    </row>
    <row r="77" spans="2:45">
      <c r="B77" s="1670" t="s">
        <v>1333</v>
      </c>
      <c r="C77" s="1671">
        <v>43404</v>
      </c>
      <c r="D77" s="1672">
        <v>-19300</v>
      </c>
      <c r="E77" s="1672">
        <v>0</v>
      </c>
      <c r="F77" s="1673" t="s">
        <v>729</v>
      </c>
      <c r="G77" s="1671" t="s">
        <v>1919</v>
      </c>
      <c r="H77" s="1674" t="s">
        <v>730</v>
      </c>
      <c r="I77" s="1671" t="s">
        <v>1920</v>
      </c>
      <c r="J77" s="1671" t="s">
        <v>731</v>
      </c>
      <c r="K77" s="1671" t="s">
        <v>732</v>
      </c>
      <c r="L77" s="1675"/>
      <c r="M77" s="1675"/>
      <c r="N77" s="1675" t="s">
        <v>1815</v>
      </c>
      <c r="O77" s="1671"/>
      <c r="P77" s="1675"/>
      <c r="Q77" s="1676"/>
      <c r="R77" s="1671"/>
      <c r="S77" s="1671"/>
      <c r="T77" s="1671"/>
      <c r="U77" s="1671" t="s">
        <v>1921</v>
      </c>
      <c r="V77" s="1671" t="s">
        <v>1921</v>
      </c>
      <c r="W77" s="1671"/>
      <c r="X77" s="1671">
        <v>43404</v>
      </c>
      <c r="Y77" s="1671">
        <v>43404</v>
      </c>
      <c r="Z77" s="1671"/>
      <c r="AA77" s="1671"/>
      <c r="AB77" s="1671" t="s">
        <v>733</v>
      </c>
      <c r="AC77" s="1671">
        <v>0</v>
      </c>
      <c r="AD77" s="1671">
        <v>0</v>
      </c>
      <c r="AE77" s="1671">
        <v>0</v>
      </c>
      <c r="AF77" s="1671">
        <v>0</v>
      </c>
      <c r="AG77" s="1671">
        <v>0</v>
      </c>
      <c r="AH77" s="1671">
        <v>1</v>
      </c>
      <c r="AI77" s="1671">
        <v>59344</v>
      </c>
      <c r="AJ77" s="1671">
        <v>2195</v>
      </c>
      <c r="AK77" s="1671">
        <v>0</v>
      </c>
      <c r="AL77" s="1671">
        <v>0</v>
      </c>
      <c r="AM77" s="1671"/>
      <c r="AN77" s="1671"/>
      <c r="AO77" s="1677"/>
      <c r="AP77" s="332"/>
      <c r="AQ77" s="304" t="str">
        <f t="shared" si="0"/>
        <v/>
      </c>
      <c r="AS77" s="304" t="str">
        <f t="shared" si="1"/>
        <v>wci_corp</v>
      </c>
    </row>
    <row r="78" spans="2:45">
      <c r="B78" s="1670" t="s">
        <v>1312</v>
      </c>
      <c r="C78" s="1671">
        <v>43404</v>
      </c>
      <c r="D78" s="1672">
        <v>2537.42</v>
      </c>
      <c r="E78" s="1672">
        <v>0</v>
      </c>
      <c r="F78" s="1673" t="s">
        <v>729</v>
      </c>
      <c r="G78" s="1671" t="s">
        <v>1922</v>
      </c>
      <c r="H78" s="1674" t="s">
        <v>730</v>
      </c>
      <c r="I78" s="1671" t="s">
        <v>1923</v>
      </c>
      <c r="J78" s="1671" t="s">
        <v>1833</v>
      </c>
      <c r="K78" s="1671" t="s">
        <v>732</v>
      </c>
      <c r="L78" s="1675"/>
      <c r="M78" s="1675"/>
      <c r="N78" s="1675" t="s">
        <v>1924</v>
      </c>
      <c r="O78" s="1671"/>
      <c r="P78" s="1675"/>
      <c r="Q78" s="1676"/>
      <c r="R78" s="1671"/>
      <c r="S78" s="1671"/>
      <c r="T78" s="1671"/>
      <c r="U78" s="1671" t="s">
        <v>1925</v>
      </c>
      <c r="V78" s="1671" t="s">
        <v>1925</v>
      </c>
      <c r="W78" s="1671"/>
      <c r="X78" s="1671">
        <v>43406</v>
      </c>
      <c r="Y78" s="1671">
        <v>43406</v>
      </c>
      <c r="Z78" s="1671"/>
      <c r="AA78" s="1671"/>
      <c r="AB78" s="1671" t="s">
        <v>733</v>
      </c>
      <c r="AC78" s="1671">
        <v>0</v>
      </c>
      <c r="AD78" s="1671">
        <v>0</v>
      </c>
      <c r="AE78" s="1671">
        <v>0</v>
      </c>
      <c r="AF78" s="1671">
        <v>0</v>
      </c>
      <c r="AG78" s="1671">
        <v>0</v>
      </c>
      <c r="AH78" s="1671">
        <v>1</v>
      </c>
      <c r="AI78" s="1671">
        <v>59400</v>
      </c>
      <c r="AJ78" s="1671">
        <v>2195</v>
      </c>
      <c r="AK78" s="1671">
        <v>0</v>
      </c>
      <c r="AL78" s="1671">
        <v>0</v>
      </c>
      <c r="AM78" s="1671"/>
      <c r="AN78" s="1671"/>
      <c r="AO78" s="1677"/>
      <c r="AP78" s="332"/>
      <c r="AQ78" s="304" t="str">
        <f t="shared" si="0"/>
        <v/>
      </c>
      <c r="AS78" s="304" t="str">
        <f t="shared" si="1"/>
        <v>wci_corp</v>
      </c>
    </row>
    <row r="79" spans="2:45">
      <c r="B79" s="1670" t="s">
        <v>1324</v>
      </c>
      <c r="C79" s="1671">
        <v>43434</v>
      </c>
      <c r="D79" s="1672">
        <v>76080</v>
      </c>
      <c r="E79" s="1672">
        <v>0</v>
      </c>
      <c r="F79" s="1673" t="s">
        <v>729</v>
      </c>
      <c r="G79" s="1671" t="s">
        <v>1926</v>
      </c>
      <c r="H79" s="1674" t="s">
        <v>730</v>
      </c>
      <c r="I79" s="1671" t="s">
        <v>1927</v>
      </c>
      <c r="J79" s="1671" t="s">
        <v>1833</v>
      </c>
      <c r="K79" s="1671" t="s">
        <v>732</v>
      </c>
      <c r="L79" s="1675"/>
      <c r="M79" s="1675"/>
      <c r="N79" s="1675" t="s">
        <v>1906</v>
      </c>
      <c r="O79" s="1671"/>
      <c r="P79" s="1675"/>
      <c r="Q79" s="1676"/>
      <c r="R79" s="1671"/>
      <c r="S79" s="1671"/>
      <c r="T79" s="1671"/>
      <c r="U79" s="1671" t="s">
        <v>1928</v>
      </c>
      <c r="V79" s="1671" t="s">
        <v>1928</v>
      </c>
      <c r="W79" s="1671"/>
      <c r="X79" s="1671">
        <v>43437</v>
      </c>
      <c r="Y79" s="1671">
        <v>43437</v>
      </c>
      <c r="Z79" s="1671"/>
      <c r="AA79" s="1671"/>
      <c r="AB79" s="1671" t="s">
        <v>733</v>
      </c>
      <c r="AC79" s="1671">
        <v>0</v>
      </c>
      <c r="AD79" s="1671">
        <v>0</v>
      </c>
      <c r="AE79" s="1671">
        <v>0</v>
      </c>
      <c r="AF79" s="1671">
        <v>0</v>
      </c>
      <c r="AG79" s="1671">
        <v>0</v>
      </c>
      <c r="AH79" s="1671">
        <v>1</v>
      </c>
      <c r="AI79" s="1671">
        <v>59341</v>
      </c>
      <c r="AJ79" s="1671">
        <v>2195</v>
      </c>
      <c r="AK79" s="1671">
        <v>0</v>
      </c>
      <c r="AL79" s="1671">
        <v>0</v>
      </c>
      <c r="AM79" s="1671"/>
      <c r="AN79" s="1671"/>
      <c r="AO79" s="1677"/>
      <c r="AP79" s="332"/>
      <c r="AQ79" s="304" t="str">
        <f t="shared" si="0"/>
        <v/>
      </c>
      <c r="AS79" s="304" t="str">
        <f t="shared" si="1"/>
        <v>wci_corp</v>
      </c>
    </row>
    <row r="80" spans="2:45">
      <c r="B80" s="1670" t="s">
        <v>1300</v>
      </c>
      <c r="C80" s="1671">
        <v>43434</v>
      </c>
      <c r="D80" s="1672">
        <v>-2287.35</v>
      </c>
      <c r="E80" s="1672">
        <v>0</v>
      </c>
      <c r="F80" s="1673" t="s">
        <v>729</v>
      </c>
      <c r="G80" s="1671" t="s">
        <v>1926</v>
      </c>
      <c r="H80" s="1674" t="s">
        <v>730</v>
      </c>
      <c r="I80" s="1671" t="s">
        <v>1927</v>
      </c>
      <c r="J80" s="1671" t="s">
        <v>1833</v>
      </c>
      <c r="K80" s="1671" t="s">
        <v>732</v>
      </c>
      <c r="L80" s="1675"/>
      <c r="M80" s="1675"/>
      <c r="N80" s="1675" t="s">
        <v>1917</v>
      </c>
      <c r="O80" s="1671"/>
      <c r="P80" s="1675"/>
      <c r="Q80" s="1676"/>
      <c r="R80" s="1671"/>
      <c r="S80" s="1671"/>
      <c r="T80" s="1671"/>
      <c r="U80" s="1671" t="s">
        <v>1928</v>
      </c>
      <c r="V80" s="1671" t="s">
        <v>1928</v>
      </c>
      <c r="W80" s="1671"/>
      <c r="X80" s="1671">
        <v>43437</v>
      </c>
      <c r="Y80" s="1671">
        <v>43437</v>
      </c>
      <c r="Z80" s="1671"/>
      <c r="AA80" s="1671"/>
      <c r="AB80" s="1671" t="s">
        <v>733</v>
      </c>
      <c r="AC80" s="1671">
        <v>0</v>
      </c>
      <c r="AD80" s="1671">
        <v>0</v>
      </c>
      <c r="AE80" s="1671">
        <v>0</v>
      </c>
      <c r="AF80" s="1671">
        <v>0</v>
      </c>
      <c r="AG80" s="1671">
        <v>0</v>
      </c>
      <c r="AH80" s="1671">
        <v>1</v>
      </c>
      <c r="AI80" s="1671">
        <v>59343</v>
      </c>
      <c r="AJ80" s="1671">
        <v>2195</v>
      </c>
      <c r="AK80" s="1671">
        <v>0</v>
      </c>
      <c r="AL80" s="1671">
        <v>0</v>
      </c>
      <c r="AM80" s="1671"/>
      <c r="AN80" s="1671"/>
      <c r="AO80" s="1677"/>
      <c r="AP80" s="332"/>
      <c r="AQ80" s="304" t="str">
        <f t="shared" si="0"/>
        <v/>
      </c>
      <c r="AS80" s="304" t="str">
        <f t="shared" si="1"/>
        <v>wci_corp</v>
      </c>
    </row>
    <row r="81" spans="2:45">
      <c r="B81" s="1670" t="s">
        <v>1300</v>
      </c>
      <c r="C81" s="1671">
        <v>43434</v>
      </c>
      <c r="D81" s="1672">
        <v>362.04</v>
      </c>
      <c r="E81" s="1672">
        <v>0</v>
      </c>
      <c r="F81" s="1673" t="s">
        <v>729</v>
      </c>
      <c r="G81" s="1671" t="s">
        <v>1926</v>
      </c>
      <c r="H81" s="1674" t="s">
        <v>730</v>
      </c>
      <c r="I81" s="1671" t="s">
        <v>1927</v>
      </c>
      <c r="J81" s="1671" t="s">
        <v>1833</v>
      </c>
      <c r="K81" s="1671" t="s">
        <v>732</v>
      </c>
      <c r="L81" s="1675"/>
      <c r="M81" s="1675"/>
      <c r="N81" s="1675" t="s">
        <v>1929</v>
      </c>
      <c r="O81" s="1671"/>
      <c r="P81" s="1675"/>
      <c r="Q81" s="1676"/>
      <c r="R81" s="1671"/>
      <c r="S81" s="1671"/>
      <c r="T81" s="1671"/>
      <c r="U81" s="1671" t="s">
        <v>1928</v>
      </c>
      <c r="V81" s="1671" t="s">
        <v>1928</v>
      </c>
      <c r="W81" s="1671"/>
      <c r="X81" s="1671">
        <v>43437</v>
      </c>
      <c r="Y81" s="1671">
        <v>43437</v>
      </c>
      <c r="Z81" s="1671"/>
      <c r="AA81" s="1671"/>
      <c r="AB81" s="1671" t="s">
        <v>733</v>
      </c>
      <c r="AC81" s="1671">
        <v>0</v>
      </c>
      <c r="AD81" s="1671">
        <v>0</v>
      </c>
      <c r="AE81" s="1671">
        <v>0</v>
      </c>
      <c r="AF81" s="1671">
        <v>0</v>
      </c>
      <c r="AG81" s="1671">
        <v>0</v>
      </c>
      <c r="AH81" s="1671">
        <v>1</v>
      </c>
      <c r="AI81" s="1671">
        <v>59343</v>
      </c>
      <c r="AJ81" s="1671">
        <v>2195</v>
      </c>
      <c r="AK81" s="1671">
        <v>0</v>
      </c>
      <c r="AL81" s="1671">
        <v>0</v>
      </c>
      <c r="AM81" s="1671"/>
      <c r="AN81" s="1671"/>
      <c r="AO81" s="1677"/>
      <c r="AP81" s="332"/>
      <c r="AQ81" s="304" t="str">
        <f t="shared" si="0"/>
        <v/>
      </c>
      <c r="AS81" s="304" t="str">
        <f t="shared" si="1"/>
        <v>wci_corp</v>
      </c>
    </row>
    <row r="82" spans="2:45">
      <c r="B82" s="1670" t="s">
        <v>1333</v>
      </c>
      <c r="C82" s="1671">
        <v>43434</v>
      </c>
      <c r="D82" s="1672">
        <v>247.29</v>
      </c>
      <c r="E82" s="1672">
        <v>0</v>
      </c>
      <c r="F82" s="1673" t="s">
        <v>729</v>
      </c>
      <c r="G82" s="1671" t="s">
        <v>1926</v>
      </c>
      <c r="H82" s="1674" t="s">
        <v>730</v>
      </c>
      <c r="I82" s="1671" t="s">
        <v>1927</v>
      </c>
      <c r="J82" s="1671" t="s">
        <v>1833</v>
      </c>
      <c r="K82" s="1671" t="s">
        <v>732</v>
      </c>
      <c r="L82" s="1675"/>
      <c r="M82" s="1675"/>
      <c r="N82" s="1675" t="s">
        <v>1918</v>
      </c>
      <c r="O82" s="1671"/>
      <c r="P82" s="1675"/>
      <c r="Q82" s="1676"/>
      <c r="R82" s="1671"/>
      <c r="S82" s="1671"/>
      <c r="T82" s="1671"/>
      <c r="U82" s="1671" t="s">
        <v>1928</v>
      </c>
      <c r="V82" s="1671" t="s">
        <v>1928</v>
      </c>
      <c r="W82" s="1671"/>
      <c r="X82" s="1671">
        <v>43437</v>
      </c>
      <c r="Y82" s="1671">
        <v>43437</v>
      </c>
      <c r="Z82" s="1671"/>
      <c r="AA82" s="1671"/>
      <c r="AB82" s="1671" t="s">
        <v>733</v>
      </c>
      <c r="AC82" s="1671">
        <v>0</v>
      </c>
      <c r="AD82" s="1671">
        <v>0</v>
      </c>
      <c r="AE82" s="1671">
        <v>0</v>
      </c>
      <c r="AF82" s="1671">
        <v>0</v>
      </c>
      <c r="AG82" s="1671">
        <v>0</v>
      </c>
      <c r="AH82" s="1671">
        <v>1</v>
      </c>
      <c r="AI82" s="1671">
        <v>59344</v>
      </c>
      <c r="AJ82" s="1671">
        <v>2195</v>
      </c>
      <c r="AK82" s="1671">
        <v>0</v>
      </c>
      <c r="AL82" s="1671">
        <v>0</v>
      </c>
      <c r="AM82" s="1671"/>
      <c r="AN82" s="1671"/>
      <c r="AO82" s="1677"/>
      <c r="AP82" s="332"/>
      <c r="AQ82" s="304" t="str">
        <f t="shared" si="0"/>
        <v/>
      </c>
      <c r="AS82" s="304" t="str">
        <f t="shared" si="1"/>
        <v>wci_corp</v>
      </c>
    </row>
    <row r="83" spans="2:45">
      <c r="B83" s="1670" t="s">
        <v>1312</v>
      </c>
      <c r="C83" s="1671">
        <v>43434</v>
      </c>
      <c r="D83" s="1672">
        <v>2862.03</v>
      </c>
      <c r="E83" s="1672">
        <v>0</v>
      </c>
      <c r="F83" s="1673" t="s">
        <v>729</v>
      </c>
      <c r="G83" s="1671" t="s">
        <v>1930</v>
      </c>
      <c r="H83" s="1674" t="s">
        <v>730</v>
      </c>
      <c r="I83" s="1671" t="s">
        <v>1783</v>
      </c>
      <c r="J83" s="1671" t="s">
        <v>1833</v>
      </c>
      <c r="K83" s="1671" t="s">
        <v>732</v>
      </c>
      <c r="L83" s="1675"/>
      <c r="M83" s="1675"/>
      <c r="N83" s="1675" t="s">
        <v>1931</v>
      </c>
      <c r="O83" s="1671"/>
      <c r="P83" s="1675"/>
      <c r="Q83" s="1676"/>
      <c r="R83" s="1671"/>
      <c r="S83" s="1671"/>
      <c r="T83" s="1671"/>
      <c r="U83" s="1671" t="s">
        <v>1932</v>
      </c>
      <c r="V83" s="1671" t="s">
        <v>1932</v>
      </c>
      <c r="W83" s="1671"/>
      <c r="X83" s="1671">
        <v>43441</v>
      </c>
      <c r="Y83" s="1671">
        <v>43441</v>
      </c>
      <c r="Z83" s="1671"/>
      <c r="AA83" s="1671"/>
      <c r="AB83" s="1671" t="s">
        <v>733</v>
      </c>
      <c r="AC83" s="1671">
        <v>0</v>
      </c>
      <c r="AD83" s="1671">
        <v>0</v>
      </c>
      <c r="AE83" s="1671">
        <v>0</v>
      </c>
      <c r="AF83" s="1671">
        <v>0</v>
      </c>
      <c r="AG83" s="1671">
        <v>0</v>
      </c>
      <c r="AH83" s="1671">
        <v>1</v>
      </c>
      <c r="AI83" s="1671">
        <v>59400</v>
      </c>
      <c r="AJ83" s="1671">
        <v>2195</v>
      </c>
      <c r="AK83" s="1671">
        <v>0</v>
      </c>
      <c r="AL83" s="1671">
        <v>0</v>
      </c>
      <c r="AM83" s="1671"/>
      <c r="AN83" s="1671"/>
      <c r="AO83" s="1677"/>
      <c r="AP83" s="332"/>
      <c r="AQ83" s="304" t="str">
        <f t="shared" si="0"/>
        <v/>
      </c>
      <c r="AS83" s="304" t="str">
        <f t="shared" si="1"/>
        <v>wci_corp</v>
      </c>
    </row>
    <row r="84" spans="2:45">
      <c r="B84" s="1670" t="s">
        <v>1312</v>
      </c>
      <c r="C84" s="1671">
        <v>43434</v>
      </c>
      <c r="D84" s="1672">
        <v>-2862.03</v>
      </c>
      <c r="E84" s="1672">
        <v>0</v>
      </c>
      <c r="F84" s="1673" t="s">
        <v>729</v>
      </c>
      <c r="G84" s="1671" t="s">
        <v>1930</v>
      </c>
      <c r="H84" s="1674" t="s">
        <v>730</v>
      </c>
      <c r="I84" s="1671" t="s">
        <v>1783</v>
      </c>
      <c r="J84" s="1671" t="s">
        <v>1833</v>
      </c>
      <c r="K84" s="1671" t="s">
        <v>732</v>
      </c>
      <c r="L84" s="1675"/>
      <c r="M84" s="1675"/>
      <c r="N84" s="1675" t="s">
        <v>1931</v>
      </c>
      <c r="O84" s="1671"/>
      <c r="P84" s="1675"/>
      <c r="Q84" s="1676"/>
      <c r="R84" s="1671"/>
      <c r="S84" s="1671"/>
      <c r="T84" s="1671"/>
      <c r="U84" s="1671" t="s">
        <v>1932</v>
      </c>
      <c r="V84" s="1671" t="s">
        <v>1932</v>
      </c>
      <c r="W84" s="1671"/>
      <c r="X84" s="1671">
        <v>43441</v>
      </c>
      <c r="Y84" s="1671">
        <v>43441</v>
      </c>
      <c r="Z84" s="1671"/>
      <c r="AA84" s="1671"/>
      <c r="AB84" s="1671" t="s">
        <v>733</v>
      </c>
      <c r="AC84" s="1671">
        <v>0</v>
      </c>
      <c r="AD84" s="1671">
        <v>0</v>
      </c>
      <c r="AE84" s="1671">
        <v>0</v>
      </c>
      <c r="AF84" s="1671">
        <v>0</v>
      </c>
      <c r="AG84" s="1671">
        <v>0</v>
      </c>
      <c r="AH84" s="1671">
        <v>1</v>
      </c>
      <c r="AI84" s="1671">
        <v>59400</v>
      </c>
      <c r="AJ84" s="1671">
        <v>2195</v>
      </c>
      <c r="AK84" s="1671">
        <v>0</v>
      </c>
      <c r="AL84" s="1671">
        <v>0</v>
      </c>
      <c r="AM84" s="1671"/>
      <c r="AN84" s="1671"/>
      <c r="AO84" s="1677"/>
      <c r="AP84" s="332"/>
      <c r="AQ84" s="304" t="str">
        <f t="shared" si="0"/>
        <v/>
      </c>
      <c r="AS84" s="304" t="str">
        <f t="shared" si="1"/>
        <v>wci_corp</v>
      </c>
    </row>
    <row r="85" spans="2:45">
      <c r="B85" s="1670" t="s">
        <v>1312</v>
      </c>
      <c r="C85" s="1671">
        <v>43455</v>
      </c>
      <c r="D85" s="1672">
        <v>2862.03</v>
      </c>
      <c r="E85" s="1672">
        <v>0</v>
      </c>
      <c r="F85" s="1673" t="s">
        <v>729</v>
      </c>
      <c r="G85" s="1671" t="s">
        <v>1933</v>
      </c>
      <c r="H85" s="1674" t="s">
        <v>730</v>
      </c>
      <c r="I85" s="1671" t="s">
        <v>1039</v>
      </c>
      <c r="J85" s="1671" t="s">
        <v>1041</v>
      </c>
      <c r="K85" s="1671" t="s">
        <v>732</v>
      </c>
      <c r="L85" s="1675" t="s">
        <v>1340</v>
      </c>
      <c r="M85" s="1675"/>
      <c r="N85" s="1675" t="s">
        <v>1341</v>
      </c>
      <c r="O85" s="1671">
        <v>43419</v>
      </c>
      <c r="P85" s="1675" t="s">
        <v>1934</v>
      </c>
      <c r="Q85" s="1676">
        <v>6577879</v>
      </c>
      <c r="R85" s="1671" t="s">
        <v>1935</v>
      </c>
      <c r="S85" s="1671"/>
      <c r="T85" s="1671"/>
      <c r="U85" s="1671" t="s">
        <v>1936</v>
      </c>
      <c r="V85" s="1671" t="s">
        <v>1937</v>
      </c>
      <c r="W85" s="1671">
        <v>2195</v>
      </c>
      <c r="X85" s="1671">
        <v>43455</v>
      </c>
      <c r="Y85" s="1671">
        <v>43461</v>
      </c>
      <c r="Z85" s="1671">
        <v>2862.03</v>
      </c>
      <c r="AA85" s="1671">
        <v>43429</v>
      </c>
      <c r="AB85" s="1671" t="s">
        <v>733</v>
      </c>
      <c r="AC85" s="1671">
        <v>0</v>
      </c>
      <c r="AD85" s="1671">
        <v>0</v>
      </c>
      <c r="AE85" s="1671">
        <v>0</v>
      </c>
      <c r="AF85" s="1671">
        <v>0</v>
      </c>
      <c r="AG85" s="1671">
        <v>0</v>
      </c>
      <c r="AH85" s="1671">
        <v>1</v>
      </c>
      <c r="AI85" s="1671">
        <v>59400</v>
      </c>
      <c r="AJ85" s="1671">
        <v>2195</v>
      </c>
      <c r="AK85" s="1671">
        <v>0</v>
      </c>
      <c r="AL85" s="1671">
        <v>0</v>
      </c>
      <c r="AM85" s="1671"/>
      <c r="AN85" s="1671"/>
      <c r="AO85" s="1677"/>
      <c r="AP85" s="332"/>
      <c r="AQ85" s="304" t="str">
        <f t="shared" ref="AQ85:AQ148" si="2">IF(LEFT(U85,2)="VO",U85,"")</f>
        <v>VO04870933</v>
      </c>
      <c r="AS85" s="304" t="str">
        <f t="shared" ref="AS85:AS148" si="3">IF(RIGHT(K85,2)="IC",IF(OR(AB85="wci_canada",AB85="wci_can_corp"),"wci_can_Corp","wci_corp"),AB85)</f>
        <v>wci_corp</v>
      </c>
    </row>
    <row r="86" spans="2:45">
      <c r="B86" s="1670" t="s">
        <v>1312</v>
      </c>
      <c r="C86" s="1671">
        <v>43455</v>
      </c>
      <c r="D86" s="1672">
        <v>2317.81</v>
      </c>
      <c r="E86" s="1672">
        <v>0</v>
      </c>
      <c r="F86" s="1673" t="s">
        <v>729</v>
      </c>
      <c r="G86" s="1671" t="s">
        <v>1938</v>
      </c>
      <c r="H86" s="1674" t="s">
        <v>730</v>
      </c>
      <c r="I86" s="1671" t="s">
        <v>1039</v>
      </c>
      <c r="J86" s="1671" t="s">
        <v>1041</v>
      </c>
      <c r="K86" s="1671" t="s">
        <v>732</v>
      </c>
      <c r="L86" s="1675" t="s">
        <v>1340</v>
      </c>
      <c r="M86" s="1675"/>
      <c r="N86" s="1675" t="s">
        <v>1341</v>
      </c>
      <c r="O86" s="1671">
        <v>43272</v>
      </c>
      <c r="P86" s="1675" t="s">
        <v>1939</v>
      </c>
      <c r="Q86" s="1676">
        <v>6514724</v>
      </c>
      <c r="R86" s="1671" t="s">
        <v>1940</v>
      </c>
      <c r="S86" s="1671"/>
      <c r="T86" s="1671"/>
      <c r="U86" s="1671" t="s">
        <v>1941</v>
      </c>
      <c r="V86" s="1671" t="s">
        <v>1942</v>
      </c>
      <c r="W86" s="1671">
        <v>2195</v>
      </c>
      <c r="X86" s="1671">
        <v>43455</v>
      </c>
      <c r="Y86" s="1671">
        <v>43461</v>
      </c>
      <c r="Z86" s="1671">
        <v>2317.81</v>
      </c>
      <c r="AA86" s="1671">
        <v>43282</v>
      </c>
      <c r="AB86" s="1671" t="s">
        <v>733</v>
      </c>
      <c r="AC86" s="1671">
        <v>0</v>
      </c>
      <c r="AD86" s="1671">
        <v>0</v>
      </c>
      <c r="AE86" s="1671">
        <v>0</v>
      </c>
      <c r="AF86" s="1671">
        <v>0</v>
      </c>
      <c r="AG86" s="1671">
        <v>0</v>
      </c>
      <c r="AH86" s="1671">
        <v>1</v>
      </c>
      <c r="AI86" s="1671">
        <v>59400</v>
      </c>
      <c r="AJ86" s="1671">
        <v>2195</v>
      </c>
      <c r="AK86" s="1671">
        <v>0</v>
      </c>
      <c r="AL86" s="1671">
        <v>0</v>
      </c>
      <c r="AM86" s="1671"/>
      <c r="AN86" s="1671"/>
      <c r="AO86" s="1677"/>
      <c r="AP86" s="332"/>
      <c r="AQ86" s="304" t="str">
        <f t="shared" si="2"/>
        <v>VO04871197</v>
      </c>
      <c r="AS86" s="304" t="str">
        <f t="shared" si="3"/>
        <v>wci_corp</v>
      </c>
    </row>
    <row r="87" spans="2:45">
      <c r="B87" s="1670" t="s">
        <v>1312</v>
      </c>
      <c r="C87" s="1671">
        <v>43465</v>
      </c>
      <c r="D87" s="1672">
        <v>-2862.03</v>
      </c>
      <c r="E87" s="1672">
        <v>0</v>
      </c>
      <c r="F87" s="1673" t="s">
        <v>729</v>
      </c>
      <c r="G87" s="1671" t="s">
        <v>1943</v>
      </c>
      <c r="H87" s="1674" t="s">
        <v>730</v>
      </c>
      <c r="I87" s="1671" t="s">
        <v>1783</v>
      </c>
      <c r="J87" s="1671" t="s">
        <v>1833</v>
      </c>
      <c r="K87" s="1671" t="s">
        <v>732</v>
      </c>
      <c r="L87" s="1675"/>
      <c r="M87" s="1675"/>
      <c r="N87" s="1675" t="s">
        <v>1931</v>
      </c>
      <c r="O87" s="1671"/>
      <c r="P87" s="1675"/>
      <c r="Q87" s="1676"/>
      <c r="R87" s="1671"/>
      <c r="S87" s="1671"/>
      <c r="T87" s="1671"/>
      <c r="U87" s="1671" t="s">
        <v>1932</v>
      </c>
      <c r="V87" s="1671" t="s">
        <v>1944</v>
      </c>
      <c r="W87" s="1671"/>
      <c r="X87" s="1671">
        <v>43441</v>
      </c>
      <c r="Y87" s="1671">
        <v>43441</v>
      </c>
      <c r="Z87" s="1671"/>
      <c r="AA87" s="1671"/>
      <c r="AB87" s="1671" t="s">
        <v>733</v>
      </c>
      <c r="AC87" s="1671">
        <v>0</v>
      </c>
      <c r="AD87" s="1671">
        <v>0</v>
      </c>
      <c r="AE87" s="1671">
        <v>0</v>
      </c>
      <c r="AF87" s="1671">
        <v>0</v>
      </c>
      <c r="AG87" s="1671">
        <v>5</v>
      </c>
      <c r="AH87" s="1671">
        <v>1</v>
      </c>
      <c r="AI87" s="1671">
        <v>59400</v>
      </c>
      <c r="AJ87" s="1671">
        <v>2195</v>
      </c>
      <c r="AK87" s="1671">
        <v>0</v>
      </c>
      <c r="AL87" s="1671">
        <v>0</v>
      </c>
      <c r="AM87" s="1671"/>
      <c r="AN87" s="1671"/>
      <c r="AO87" s="1677"/>
      <c r="AP87" s="332"/>
      <c r="AQ87" s="304" t="str">
        <f t="shared" si="2"/>
        <v/>
      </c>
      <c r="AS87" s="304" t="str">
        <f t="shared" si="3"/>
        <v>wci_corp</v>
      </c>
    </row>
    <row r="88" spans="2:45">
      <c r="B88" s="1670" t="s">
        <v>1312</v>
      </c>
      <c r="C88" s="1671">
        <v>43465</v>
      </c>
      <c r="D88" s="1672">
        <v>2862.03</v>
      </c>
      <c r="E88" s="1672">
        <v>0</v>
      </c>
      <c r="F88" s="1673" t="s">
        <v>729</v>
      </c>
      <c r="G88" s="1671" t="s">
        <v>1943</v>
      </c>
      <c r="H88" s="1674" t="s">
        <v>730</v>
      </c>
      <c r="I88" s="1671" t="s">
        <v>1783</v>
      </c>
      <c r="J88" s="1671" t="s">
        <v>1833</v>
      </c>
      <c r="K88" s="1671" t="s">
        <v>732</v>
      </c>
      <c r="L88" s="1675"/>
      <c r="M88" s="1675"/>
      <c r="N88" s="1675" t="s">
        <v>1931</v>
      </c>
      <c r="O88" s="1671"/>
      <c r="P88" s="1675"/>
      <c r="Q88" s="1676"/>
      <c r="R88" s="1671"/>
      <c r="S88" s="1671"/>
      <c r="T88" s="1671"/>
      <c r="U88" s="1671" t="s">
        <v>1932</v>
      </c>
      <c r="V88" s="1671" t="s">
        <v>1944</v>
      </c>
      <c r="W88" s="1671"/>
      <c r="X88" s="1671">
        <v>43441</v>
      </c>
      <c r="Y88" s="1671">
        <v>43441</v>
      </c>
      <c r="Z88" s="1671"/>
      <c r="AA88" s="1671"/>
      <c r="AB88" s="1671" t="s">
        <v>733</v>
      </c>
      <c r="AC88" s="1671">
        <v>0</v>
      </c>
      <c r="AD88" s="1671">
        <v>0</v>
      </c>
      <c r="AE88" s="1671">
        <v>0</v>
      </c>
      <c r="AF88" s="1671">
        <v>0</v>
      </c>
      <c r="AG88" s="1671">
        <v>5</v>
      </c>
      <c r="AH88" s="1671">
        <v>1</v>
      </c>
      <c r="AI88" s="1671">
        <v>59400</v>
      </c>
      <c r="AJ88" s="1671">
        <v>2195</v>
      </c>
      <c r="AK88" s="1671">
        <v>0</v>
      </c>
      <c r="AL88" s="1671">
        <v>0</v>
      </c>
      <c r="AM88" s="1671"/>
      <c r="AN88" s="1671"/>
      <c r="AO88" s="1677"/>
      <c r="AP88" s="332"/>
      <c r="AQ88" s="304" t="str">
        <f t="shared" si="2"/>
        <v/>
      </c>
      <c r="AS88" s="304" t="str">
        <f t="shared" si="3"/>
        <v>wci_corp</v>
      </c>
    </row>
    <row r="89" spans="2:45">
      <c r="B89" s="1670" t="s">
        <v>1300</v>
      </c>
      <c r="C89" s="1671">
        <v>43465</v>
      </c>
      <c r="D89" s="1672">
        <v>-3760.47</v>
      </c>
      <c r="E89" s="1672">
        <v>0</v>
      </c>
      <c r="F89" s="1673" t="s">
        <v>729</v>
      </c>
      <c r="G89" s="1671" t="s">
        <v>1945</v>
      </c>
      <c r="H89" s="1674" t="s">
        <v>730</v>
      </c>
      <c r="I89" s="1671" t="s">
        <v>1946</v>
      </c>
      <c r="J89" s="1671" t="s">
        <v>734</v>
      </c>
      <c r="K89" s="1671" t="s">
        <v>732</v>
      </c>
      <c r="L89" s="1675"/>
      <c r="M89" s="1675"/>
      <c r="N89" s="1675" t="s">
        <v>1902</v>
      </c>
      <c r="O89" s="1671"/>
      <c r="P89" s="1675"/>
      <c r="Q89" s="1676"/>
      <c r="R89" s="1671"/>
      <c r="S89" s="1671"/>
      <c r="T89" s="1671"/>
      <c r="U89" s="1671" t="s">
        <v>1947</v>
      </c>
      <c r="V89" s="1671" t="s">
        <v>1947</v>
      </c>
      <c r="W89" s="1671"/>
      <c r="X89" s="1671">
        <v>43465</v>
      </c>
      <c r="Y89" s="1671">
        <v>43467</v>
      </c>
      <c r="Z89" s="1671"/>
      <c r="AA89" s="1671"/>
      <c r="AB89" s="1671" t="s">
        <v>733</v>
      </c>
      <c r="AC89" s="1671">
        <v>0</v>
      </c>
      <c r="AD89" s="1671">
        <v>0</v>
      </c>
      <c r="AE89" s="1671">
        <v>0</v>
      </c>
      <c r="AF89" s="1671">
        <v>0</v>
      </c>
      <c r="AG89" s="1671">
        <v>0</v>
      </c>
      <c r="AH89" s="1671">
        <v>1</v>
      </c>
      <c r="AI89" s="1671">
        <v>59343</v>
      </c>
      <c r="AJ89" s="1671">
        <v>2195</v>
      </c>
      <c r="AK89" s="1671">
        <v>0</v>
      </c>
      <c r="AL89" s="1671">
        <v>0</v>
      </c>
      <c r="AM89" s="1671"/>
      <c r="AN89" s="1671"/>
      <c r="AO89" s="1677"/>
      <c r="AP89" s="332"/>
      <c r="AQ89" s="304" t="str">
        <f t="shared" si="2"/>
        <v/>
      </c>
      <c r="AS89" s="304" t="str">
        <f t="shared" si="3"/>
        <v>wci_corp</v>
      </c>
    </row>
    <row r="90" spans="2:45">
      <c r="B90" s="1670" t="s">
        <v>1300</v>
      </c>
      <c r="C90" s="1671">
        <v>43465</v>
      </c>
      <c r="D90" s="1672">
        <v>12.65</v>
      </c>
      <c r="E90" s="1672">
        <v>0</v>
      </c>
      <c r="F90" s="1673" t="s">
        <v>729</v>
      </c>
      <c r="G90" s="1671" t="s">
        <v>1945</v>
      </c>
      <c r="H90" s="1674" t="s">
        <v>730</v>
      </c>
      <c r="I90" s="1671" t="s">
        <v>1946</v>
      </c>
      <c r="J90" s="1671" t="s">
        <v>734</v>
      </c>
      <c r="K90" s="1671" t="s">
        <v>732</v>
      </c>
      <c r="L90" s="1675"/>
      <c r="M90" s="1675"/>
      <c r="N90" s="1675" t="s">
        <v>1948</v>
      </c>
      <c r="O90" s="1671"/>
      <c r="P90" s="1675"/>
      <c r="Q90" s="1676"/>
      <c r="R90" s="1671"/>
      <c r="S90" s="1671"/>
      <c r="T90" s="1671"/>
      <c r="U90" s="1671" t="s">
        <v>1947</v>
      </c>
      <c r="V90" s="1671" t="s">
        <v>1947</v>
      </c>
      <c r="W90" s="1671"/>
      <c r="X90" s="1671">
        <v>43465</v>
      </c>
      <c r="Y90" s="1671">
        <v>43467</v>
      </c>
      <c r="Z90" s="1671"/>
      <c r="AA90" s="1671"/>
      <c r="AB90" s="1671" t="s">
        <v>733</v>
      </c>
      <c r="AC90" s="1671">
        <v>0</v>
      </c>
      <c r="AD90" s="1671">
        <v>0</v>
      </c>
      <c r="AE90" s="1671">
        <v>0</v>
      </c>
      <c r="AF90" s="1671">
        <v>0</v>
      </c>
      <c r="AG90" s="1671">
        <v>0</v>
      </c>
      <c r="AH90" s="1671">
        <v>1</v>
      </c>
      <c r="AI90" s="1671">
        <v>59343</v>
      </c>
      <c r="AJ90" s="1671">
        <v>2195</v>
      </c>
      <c r="AK90" s="1671">
        <v>0</v>
      </c>
      <c r="AL90" s="1671">
        <v>0</v>
      </c>
      <c r="AM90" s="1671"/>
      <c r="AN90" s="1671"/>
      <c r="AO90" s="1677"/>
      <c r="AP90" s="332"/>
      <c r="AQ90" s="304" t="str">
        <f t="shared" si="2"/>
        <v/>
      </c>
      <c r="AS90" s="304" t="str">
        <f t="shared" si="3"/>
        <v>wci_corp</v>
      </c>
    </row>
    <row r="91" spans="2:45">
      <c r="B91" s="1670" t="s">
        <v>1300</v>
      </c>
      <c r="C91" s="1671">
        <v>43465</v>
      </c>
      <c r="D91" s="1672">
        <v>1160</v>
      </c>
      <c r="E91" s="1672">
        <v>0</v>
      </c>
      <c r="F91" s="1673" t="s">
        <v>729</v>
      </c>
      <c r="G91" s="1671" t="s">
        <v>1945</v>
      </c>
      <c r="H91" s="1674" t="s">
        <v>730</v>
      </c>
      <c r="I91" s="1671" t="s">
        <v>1946</v>
      </c>
      <c r="J91" s="1671" t="s">
        <v>734</v>
      </c>
      <c r="K91" s="1671" t="s">
        <v>732</v>
      </c>
      <c r="L91" s="1675"/>
      <c r="M91" s="1675"/>
      <c r="N91" s="1675" t="s">
        <v>1916</v>
      </c>
      <c r="O91" s="1671"/>
      <c r="P91" s="1675"/>
      <c r="Q91" s="1676"/>
      <c r="R91" s="1671"/>
      <c r="S91" s="1671"/>
      <c r="T91" s="1671"/>
      <c r="U91" s="1671" t="s">
        <v>1947</v>
      </c>
      <c r="V91" s="1671" t="s">
        <v>1947</v>
      </c>
      <c r="W91" s="1671"/>
      <c r="X91" s="1671">
        <v>43465</v>
      </c>
      <c r="Y91" s="1671">
        <v>43467</v>
      </c>
      <c r="Z91" s="1671"/>
      <c r="AA91" s="1671"/>
      <c r="AB91" s="1671" t="s">
        <v>733</v>
      </c>
      <c r="AC91" s="1671">
        <v>0</v>
      </c>
      <c r="AD91" s="1671">
        <v>0</v>
      </c>
      <c r="AE91" s="1671">
        <v>0</v>
      </c>
      <c r="AF91" s="1671">
        <v>0</v>
      </c>
      <c r="AG91" s="1671">
        <v>0</v>
      </c>
      <c r="AH91" s="1671">
        <v>1</v>
      </c>
      <c r="AI91" s="1671">
        <v>59343</v>
      </c>
      <c r="AJ91" s="1671">
        <v>2195</v>
      </c>
      <c r="AK91" s="1671">
        <v>0</v>
      </c>
      <c r="AL91" s="1671">
        <v>0</v>
      </c>
      <c r="AM91" s="1671"/>
      <c r="AN91" s="1671"/>
      <c r="AO91" s="1677"/>
      <c r="AP91" s="332"/>
      <c r="AQ91" s="304" t="str">
        <f t="shared" si="2"/>
        <v/>
      </c>
      <c r="AS91" s="304" t="str">
        <f t="shared" si="3"/>
        <v>wci_corp</v>
      </c>
    </row>
    <row r="92" spans="2:45">
      <c r="B92" s="1670" t="s">
        <v>1300</v>
      </c>
      <c r="C92" s="1671">
        <v>43465</v>
      </c>
      <c r="D92" s="1672">
        <v>862.92</v>
      </c>
      <c r="E92" s="1672">
        <v>0</v>
      </c>
      <c r="F92" s="1673" t="s">
        <v>729</v>
      </c>
      <c r="G92" s="1671" t="s">
        <v>1945</v>
      </c>
      <c r="H92" s="1674" t="s">
        <v>730</v>
      </c>
      <c r="I92" s="1671" t="s">
        <v>1946</v>
      </c>
      <c r="J92" s="1671" t="s">
        <v>734</v>
      </c>
      <c r="K92" s="1671" t="s">
        <v>732</v>
      </c>
      <c r="L92" s="1675"/>
      <c r="M92" s="1675"/>
      <c r="N92" s="1675" t="s">
        <v>1917</v>
      </c>
      <c r="O92" s="1671"/>
      <c r="P92" s="1675"/>
      <c r="Q92" s="1676"/>
      <c r="R92" s="1671"/>
      <c r="S92" s="1671"/>
      <c r="T92" s="1671"/>
      <c r="U92" s="1671" t="s">
        <v>1947</v>
      </c>
      <c r="V92" s="1671" t="s">
        <v>1947</v>
      </c>
      <c r="W92" s="1671"/>
      <c r="X92" s="1671">
        <v>43465</v>
      </c>
      <c r="Y92" s="1671">
        <v>43467</v>
      </c>
      <c r="Z92" s="1671"/>
      <c r="AA92" s="1671"/>
      <c r="AB92" s="1671" t="s">
        <v>733</v>
      </c>
      <c r="AC92" s="1671">
        <v>0</v>
      </c>
      <c r="AD92" s="1671">
        <v>0</v>
      </c>
      <c r="AE92" s="1671">
        <v>0</v>
      </c>
      <c r="AF92" s="1671">
        <v>0</v>
      </c>
      <c r="AG92" s="1671">
        <v>0</v>
      </c>
      <c r="AH92" s="1671">
        <v>1</v>
      </c>
      <c r="AI92" s="1671">
        <v>59343</v>
      </c>
      <c r="AJ92" s="1671">
        <v>2195</v>
      </c>
      <c r="AK92" s="1671">
        <v>0</v>
      </c>
      <c r="AL92" s="1671">
        <v>0</v>
      </c>
      <c r="AM92" s="1671"/>
      <c r="AN92" s="1671"/>
      <c r="AO92" s="1677"/>
      <c r="AP92" s="332"/>
      <c r="AQ92" s="304" t="str">
        <f t="shared" si="2"/>
        <v/>
      </c>
      <c r="AS92" s="304" t="str">
        <f t="shared" si="3"/>
        <v>wci_corp</v>
      </c>
    </row>
    <row r="93" spans="2:45">
      <c r="B93" s="1670" t="s">
        <v>1300</v>
      </c>
      <c r="C93" s="1671">
        <v>43465</v>
      </c>
      <c r="D93" s="1672">
        <v>12.65</v>
      </c>
      <c r="E93" s="1672">
        <v>0</v>
      </c>
      <c r="F93" s="1673" t="s">
        <v>729</v>
      </c>
      <c r="G93" s="1671" t="s">
        <v>1945</v>
      </c>
      <c r="H93" s="1674" t="s">
        <v>730</v>
      </c>
      <c r="I93" s="1671" t="s">
        <v>1946</v>
      </c>
      <c r="J93" s="1671" t="s">
        <v>734</v>
      </c>
      <c r="K93" s="1671" t="s">
        <v>732</v>
      </c>
      <c r="L93" s="1675"/>
      <c r="M93" s="1675"/>
      <c r="N93" s="1675" t="s">
        <v>1929</v>
      </c>
      <c r="O93" s="1671"/>
      <c r="P93" s="1675"/>
      <c r="Q93" s="1676"/>
      <c r="R93" s="1671"/>
      <c r="S93" s="1671"/>
      <c r="T93" s="1671"/>
      <c r="U93" s="1671" t="s">
        <v>1947</v>
      </c>
      <c r="V93" s="1671" t="s">
        <v>1947</v>
      </c>
      <c r="W93" s="1671"/>
      <c r="X93" s="1671">
        <v>43465</v>
      </c>
      <c r="Y93" s="1671">
        <v>43467</v>
      </c>
      <c r="Z93" s="1671"/>
      <c r="AA93" s="1671"/>
      <c r="AB93" s="1671" t="s">
        <v>733</v>
      </c>
      <c r="AC93" s="1671">
        <v>0</v>
      </c>
      <c r="AD93" s="1671">
        <v>0</v>
      </c>
      <c r="AE93" s="1671">
        <v>0</v>
      </c>
      <c r="AF93" s="1671">
        <v>0</v>
      </c>
      <c r="AG93" s="1671">
        <v>0</v>
      </c>
      <c r="AH93" s="1671">
        <v>1</v>
      </c>
      <c r="AI93" s="1671">
        <v>59343</v>
      </c>
      <c r="AJ93" s="1671">
        <v>2195</v>
      </c>
      <c r="AK93" s="1671">
        <v>0</v>
      </c>
      <c r="AL93" s="1671">
        <v>0</v>
      </c>
      <c r="AM93" s="1671"/>
      <c r="AN93" s="1671"/>
      <c r="AO93" s="1677"/>
      <c r="AP93" s="332"/>
      <c r="AQ93" s="304" t="str">
        <f t="shared" si="2"/>
        <v/>
      </c>
      <c r="AS93" s="304" t="str">
        <f t="shared" si="3"/>
        <v>wci_corp</v>
      </c>
    </row>
    <row r="94" spans="2:45">
      <c r="B94" s="1670" t="s">
        <v>1312</v>
      </c>
      <c r="C94" s="1671">
        <v>43489</v>
      </c>
      <c r="D94" s="1672">
        <v>2200</v>
      </c>
      <c r="E94" s="1672">
        <v>0</v>
      </c>
      <c r="F94" s="1673" t="s">
        <v>729</v>
      </c>
      <c r="G94" s="1671" t="s">
        <v>1949</v>
      </c>
      <c r="H94" s="1674" t="s">
        <v>730</v>
      </c>
      <c r="I94" s="1671" t="s">
        <v>1039</v>
      </c>
      <c r="J94" s="1671" t="s">
        <v>1041</v>
      </c>
      <c r="K94" s="1671" t="s">
        <v>732</v>
      </c>
      <c r="L94" s="1675" t="s">
        <v>1950</v>
      </c>
      <c r="M94" s="1675"/>
      <c r="N94" s="1675" t="s">
        <v>1951</v>
      </c>
      <c r="O94" s="1671">
        <v>43466</v>
      </c>
      <c r="P94" s="1675" t="s">
        <v>1952</v>
      </c>
      <c r="Q94" s="1676">
        <v>350110</v>
      </c>
      <c r="R94" s="1671" t="s">
        <v>1953</v>
      </c>
      <c r="S94" s="1671"/>
      <c r="T94" s="1671"/>
      <c r="U94" s="1671" t="s">
        <v>1954</v>
      </c>
      <c r="V94" s="1671" t="s">
        <v>1955</v>
      </c>
      <c r="W94" s="1671">
        <v>2195</v>
      </c>
      <c r="X94" s="1671">
        <v>43489</v>
      </c>
      <c r="Y94" s="1671">
        <v>43490</v>
      </c>
      <c r="Z94" s="1671">
        <v>2200</v>
      </c>
      <c r="AA94" s="1671">
        <v>43467</v>
      </c>
      <c r="AB94" s="1671" t="s">
        <v>733</v>
      </c>
      <c r="AC94" s="1671">
        <v>0</v>
      </c>
      <c r="AD94" s="1671">
        <v>0</v>
      </c>
      <c r="AE94" s="1671">
        <v>0</v>
      </c>
      <c r="AF94" s="1671">
        <v>0</v>
      </c>
      <c r="AG94" s="1671">
        <v>0</v>
      </c>
      <c r="AH94" s="1671">
        <v>1</v>
      </c>
      <c r="AI94" s="1671">
        <v>59400</v>
      </c>
      <c r="AJ94" s="1671">
        <v>2195</v>
      </c>
      <c r="AK94" s="1671">
        <v>0</v>
      </c>
      <c r="AL94" s="1671">
        <v>0</v>
      </c>
      <c r="AM94" s="1671"/>
      <c r="AN94" s="1671"/>
      <c r="AO94" s="1677"/>
      <c r="AP94" s="332"/>
      <c r="AQ94" s="304" t="str">
        <f t="shared" si="2"/>
        <v>VO04902564</v>
      </c>
      <c r="AS94" s="304" t="str">
        <f t="shared" si="3"/>
        <v>wci_corp</v>
      </c>
    </row>
    <row r="95" spans="2:45">
      <c r="B95" s="1670" t="s">
        <v>1291</v>
      </c>
      <c r="C95" s="1671">
        <v>43496</v>
      </c>
      <c r="D95" s="1672">
        <v>5815.52</v>
      </c>
      <c r="E95" s="1672">
        <v>0</v>
      </c>
      <c r="F95" s="1673" t="s">
        <v>729</v>
      </c>
      <c r="G95" s="1671" t="s">
        <v>1956</v>
      </c>
      <c r="H95" s="1674" t="s">
        <v>730</v>
      </c>
      <c r="I95" s="1671" t="s">
        <v>1957</v>
      </c>
      <c r="J95" s="1671" t="s">
        <v>1833</v>
      </c>
      <c r="K95" s="1671" t="s">
        <v>732</v>
      </c>
      <c r="L95" s="1675"/>
      <c r="M95" s="1675"/>
      <c r="N95" s="1675" t="s">
        <v>1906</v>
      </c>
      <c r="O95" s="1671"/>
      <c r="P95" s="1675"/>
      <c r="Q95" s="1676"/>
      <c r="R95" s="1671"/>
      <c r="S95" s="1671"/>
      <c r="T95" s="1671"/>
      <c r="U95" s="1671" t="s">
        <v>1958</v>
      </c>
      <c r="V95" s="1671" t="s">
        <v>1958</v>
      </c>
      <c r="W95" s="1671"/>
      <c r="X95" s="1671">
        <v>43496</v>
      </c>
      <c r="Y95" s="1671">
        <v>43496</v>
      </c>
      <c r="Z95" s="1671"/>
      <c r="AA95" s="1671"/>
      <c r="AB95" s="1671" t="s">
        <v>733</v>
      </c>
      <c r="AC95" s="1671">
        <v>0</v>
      </c>
      <c r="AD95" s="1671">
        <v>0</v>
      </c>
      <c r="AE95" s="1671">
        <v>0</v>
      </c>
      <c r="AF95" s="1671">
        <v>0</v>
      </c>
      <c r="AG95" s="1671">
        <v>0</v>
      </c>
      <c r="AH95" s="1671">
        <v>1</v>
      </c>
      <c r="AI95" s="1671">
        <v>59342</v>
      </c>
      <c r="AJ95" s="1671">
        <v>2195</v>
      </c>
      <c r="AK95" s="1671">
        <v>0</v>
      </c>
      <c r="AL95" s="1671">
        <v>0</v>
      </c>
      <c r="AM95" s="1671"/>
      <c r="AN95" s="1671"/>
      <c r="AO95" s="1677"/>
      <c r="AP95" s="332"/>
      <c r="AQ95" s="304" t="str">
        <f t="shared" si="2"/>
        <v/>
      </c>
      <c r="AS95" s="304" t="str">
        <f t="shared" si="3"/>
        <v>wci_corp</v>
      </c>
    </row>
    <row r="96" spans="2:45">
      <c r="B96" s="1670" t="s">
        <v>1333</v>
      </c>
      <c r="C96" s="1671">
        <v>43496</v>
      </c>
      <c r="D96" s="1672">
        <v>-3355.62</v>
      </c>
      <c r="E96" s="1672">
        <v>0</v>
      </c>
      <c r="F96" s="1673" t="s">
        <v>729</v>
      </c>
      <c r="G96" s="1671" t="s">
        <v>1956</v>
      </c>
      <c r="H96" s="1674" t="s">
        <v>730</v>
      </c>
      <c r="I96" s="1671" t="s">
        <v>1957</v>
      </c>
      <c r="J96" s="1671" t="s">
        <v>1833</v>
      </c>
      <c r="K96" s="1671" t="s">
        <v>732</v>
      </c>
      <c r="L96" s="1675"/>
      <c r="M96" s="1675"/>
      <c r="N96" s="1675" t="s">
        <v>1872</v>
      </c>
      <c r="O96" s="1671"/>
      <c r="P96" s="1675"/>
      <c r="Q96" s="1676"/>
      <c r="R96" s="1671"/>
      <c r="S96" s="1671"/>
      <c r="T96" s="1671"/>
      <c r="U96" s="1671" t="s">
        <v>1958</v>
      </c>
      <c r="V96" s="1671" t="s">
        <v>1958</v>
      </c>
      <c r="W96" s="1671"/>
      <c r="X96" s="1671">
        <v>43496</v>
      </c>
      <c r="Y96" s="1671">
        <v>43496</v>
      </c>
      <c r="Z96" s="1671"/>
      <c r="AA96" s="1671"/>
      <c r="AB96" s="1671" t="s">
        <v>733</v>
      </c>
      <c r="AC96" s="1671">
        <v>0</v>
      </c>
      <c r="AD96" s="1671">
        <v>0</v>
      </c>
      <c r="AE96" s="1671">
        <v>0</v>
      </c>
      <c r="AF96" s="1671">
        <v>0</v>
      </c>
      <c r="AG96" s="1671">
        <v>0</v>
      </c>
      <c r="AH96" s="1671">
        <v>1</v>
      </c>
      <c r="AI96" s="1671">
        <v>59344</v>
      </c>
      <c r="AJ96" s="1671">
        <v>2195</v>
      </c>
      <c r="AK96" s="1671">
        <v>0</v>
      </c>
      <c r="AL96" s="1671">
        <v>0</v>
      </c>
      <c r="AM96" s="1671"/>
      <c r="AN96" s="1671"/>
      <c r="AO96" s="1677"/>
      <c r="AP96" s="332"/>
      <c r="AQ96" s="304" t="str">
        <f t="shared" si="2"/>
        <v/>
      </c>
      <c r="AS96" s="304" t="str">
        <f t="shared" si="3"/>
        <v>wci_corp</v>
      </c>
    </row>
    <row r="97" spans="2:45">
      <c r="B97" s="1670" t="s">
        <v>1333</v>
      </c>
      <c r="C97" s="1671">
        <v>43496</v>
      </c>
      <c r="D97" s="1672">
        <v>260.64999999999998</v>
      </c>
      <c r="E97" s="1672">
        <v>0</v>
      </c>
      <c r="F97" s="1673" t="s">
        <v>729</v>
      </c>
      <c r="G97" s="1671" t="s">
        <v>1956</v>
      </c>
      <c r="H97" s="1674" t="s">
        <v>730</v>
      </c>
      <c r="I97" s="1671" t="s">
        <v>1957</v>
      </c>
      <c r="J97" s="1671" t="s">
        <v>1833</v>
      </c>
      <c r="K97" s="1671" t="s">
        <v>732</v>
      </c>
      <c r="L97" s="1675"/>
      <c r="M97" s="1675"/>
      <c r="N97" s="1675" t="s">
        <v>1948</v>
      </c>
      <c r="O97" s="1671"/>
      <c r="P97" s="1675"/>
      <c r="Q97" s="1676"/>
      <c r="R97" s="1671"/>
      <c r="S97" s="1671"/>
      <c r="T97" s="1671"/>
      <c r="U97" s="1671" t="s">
        <v>1958</v>
      </c>
      <c r="V97" s="1671" t="s">
        <v>1958</v>
      </c>
      <c r="W97" s="1671"/>
      <c r="X97" s="1671">
        <v>43496</v>
      </c>
      <c r="Y97" s="1671">
        <v>43496</v>
      </c>
      <c r="Z97" s="1671"/>
      <c r="AA97" s="1671"/>
      <c r="AB97" s="1671" t="s">
        <v>733</v>
      </c>
      <c r="AC97" s="1671">
        <v>0</v>
      </c>
      <c r="AD97" s="1671">
        <v>0</v>
      </c>
      <c r="AE97" s="1671">
        <v>0</v>
      </c>
      <c r="AF97" s="1671">
        <v>0</v>
      </c>
      <c r="AG97" s="1671">
        <v>0</v>
      </c>
      <c r="AH97" s="1671">
        <v>1</v>
      </c>
      <c r="AI97" s="1671">
        <v>59344</v>
      </c>
      <c r="AJ97" s="1671">
        <v>2195</v>
      </c>
      <c r="AK97" s="1671">
        <v>0</v>
      </c>
      <c r="AL97" s="1671">
        <v>0</v>
      </c>
      <c r="AM97" s="1671"/>
      <c r="AN97" s="1671"/>
      <c r="AO97" s="1677"/>
      <c r="AP97" s="332"/>
      <c r="AQ97" s="304" t="str">
        <f t="shared" si="2"/>
        <v/>
      </c>
      <c r="AS97" s="304" t="str">
        <f t="shared" si="3"/>
        <v>wci_corp</v>
      </c>
    </row>
    <row r="98" spans="2:45">
      <c r="B98" s="1670" t="s">
        <v>1291</v>
      </c>
      <c r="C98" s="1671">
        <v>43524</v>
      </c>
      <c r="D98" s="1672">
        <v>196</v>
      </c>
      <c r="E98" s="1672">
        <v>0</v>
      </c>
      <c r="F98" s="1673" t="s">
        <v>729</v>
      </c>
      <c r="G98" s="1671" t="s">
        <v>1959</v>
      </c>
      <c r="H98" s="1674" t="s">
        <v>730</v>
      </c>
      <c r="I98" s="1671" t="s">
        <v>1960</v>
      </c>
      <c r="J98" s="1671" t="s">
        <v>1833</v>
      </c>
      <c r="K98" s="1671" t="s">
        <v>732</v>
      </c>
      <c r="L98" s="1675"/>
      <c r="M98" s="1675"/>
      <c r="N98" s="1675" t="s">
        <v>1906</v>
      </c>
      <c r="O98" s="1671"/>
      <c r="P98" s="1675"/>
      <c r="Q98" s="1676"/>
      <c r="R98" s="1671"/>
      <c r="S98" s="1671"/>
      <c r="T98" s="1671"/>
      <c r="U98" s="1671" t="s">
        <v>1961</v>
      </c>
      <c r="V98" s="1671" t="s">
        <v>1961</v>
      </c>
      <c r="W98" s="1671"/>
      <c r="X98" s="1671">
        <v>43530</v>
      </c>
      <c r="Y98" s="1671">
        <v>43530</v>
      </c>
      <c r="Z98" s="1671"/>
      <c r="AA98" s="1671"/>
      <c r="AB98" s="1671" t="s">
        <v>733</v>
      </c>
      <c r="AC98" s="1671">
        <v>0</v>
      </c>
      <c r="AD98" s="1671">
        <v>0</v>
      </c>
      <c r="AE98" s="1671">
        <v>0</v>
      </c>
      <c r="AF98" s="1671">
        <v>0</v>
      </c>
      <c r="AG98" s="1671">
        <v>0</v>
      </c>
      <c r="AH98" s="1671">
        <v>1</v>
      </c>
      <c r="AI98" s="1671">
        <v>59342</v>
      </c>
      <c r="AJ98" s="1671">
        <v>2195</v>
      </c>
      <c r="AK98" s="1671">
        <v>0</v>
      </c>
      <c r="AL98" s="1671">
        <v>0</v>
      </c>
      <c r="AM98" s="1671"/>
      <c r="AN98" s="1671"/>
      <c r="AO98" s="1677"/>
      <c r="AP98" s="332"/>
      <c r="AQ98" s="304" t="str">
        <f t="shared" si="2"/>
        <v/>
      </c>
      <c r="AS98" s="304" t="str">
        <f t="shared" si="3"/>
        <v>wci_corp</v>
      </c>
    </row>
    <row r="99" spans="2:45">
      <c r="B99" s="1670" t="s">
        <v>1333</v>
      </c>
      <c r="C99" s="1671">
        <v>43524</v>
      </c>
      <c r="D99" s="1672">
        <v>20820</v>
      </c>
      <c r="E99" s="1672">
        <v>0</v>
      </c>
      <c r="F99" s="1673" t="s">
        <v>729</v>
      </c>
      <c r="G99" s="1671" t="s">
        <v>1959</v>
      </c>
      <c r="H99" s="1674" t="s">
        <v>730</v>
      </c>
      <c r="I99" s="1671" t="s">
        <v>1960</v>
      </c>
      <c r="J99" s="1671" t="s">
        <v>1833</v>
      </c>
      <c r="K99" s="1671" t="s">
        <v>732</v>
      </c>
      <c r="L99" s="1675"/>
      <c r="M99" s="1675"/>
      <c r="N99" s="1675" t="s">
        <v>1962</v>
      </c>
      <c r="O99" s="1671"/>
      <c r="P99" s="1675"/>
      <c r="Q99" s="1676"/>
      <c r="R99" s="1671"/>
      <c r="S99" s="1671"/>
      <c r="T99" s="1671"/>
      <c r="U99" s="1671" t="s">
        <v>1961</v>
      </c>
      <c r="V99" s="1671" t="s">
        <v>1961</v>
      </c>
      <c r="W99" s="1671"/>
      <c r="X99" s="1671">
        <v>43530</v>
      </c>
      <c r="Y99" s="1671">
        <v>43530</v>
      </c>
      <c r="Z99" s="1671"/>
      <c r="AA99" s="1671"/>
      <c r="AB99" s="1671" t="s">
        <v>733</v>
      </c>
      <c r="AC99" s="1671">
        <v>0</v>
      </c>
      <c r="AD99" s="1671">
        <v>0</v>
      </c>
      <c r="AE99" s="1671">
        <v>0</v>
      </c>
      <c r="AF99" s="1671">
        <v>0</v>
      </c>
      <c r="AG99" s="1671">
        <v>0</v>
      </c>
      <c r="AH99" s="1671">
        <v>1</v>
      </c>
      <c r="AI99" s="1671">
        <v>59344</v>
      </c>
      <c r="AJ99" s="1671">
        <v>2195</v>
      </c>
      <c r="AK99" s="1671">
        <v>0</v>
      </c>
      <c r="AL99" s="1671">
        <v>0</v>
      </c>
      <c r="AM99" s="1671"/>
      <c r="AN99" s="1671"/>
      <c r="AO99" s="1677"/>
      <c r="AP99" s="332"/>
      <c r="AQ99" s="304" t="str">
        <f t="shared" si="2"/>
        <v/>
      </c>
      <c r="AS99" s="304" t="str">
        <f t="shared" si="3"/>
        <v>wci_corp</v>
      </c>
    </row>
    <row r="100" spans="2:45">
      <c r="B100" s="1670" t="s">
        <v>1300</v>
      </c>
      <c r="C100" s="1671">
        <v>43555</v>
      </c>
      <c r="D100" s="1672">
        <v>13.05</v>
      </c>
      <c r="E100" s="1672">
        <v>0</v>
      </c>
      <c r="F100" s="1673" t="s">
        <v>729</v>
      </c>
      <c r="G100" s="1671" t="s">
        <v>1963</v>
      </c>
      <c r="H100" s="1674" t="s">
        <v>730</v>
      </c>
      <c r="I100" s="1671" t="s">
        <v>1964</v>
      </c>
      <c r="J100" s="1671" t="s">
        <v>731</v>
      </c>
      <c r="K100" s="1671" t="s">
        <v>732</v>
      </c>
      <c r="L100" s="1675"/>
      <c r="M100" s="1675"/>
      <c r="N100" s="1675" t="s">
        <v>1965</v>
      </c>
      <c r="O100" s="1671"/>
      <c r="P100" s="1675"/>
      <c r="Q100" s="1676"/>
      <c r="R100" s="1671"/>
      <c r="S100" s="1671"/>
      <c r="T100" s="1671"/>
      <c r="U100" s="1671" t="s">
        <v>1966</v>
      </c>
      <c r="V100" s="1671" t="s">
        <v>1966</v>
      </c>
      <c r="W100" s="1671"/>
      <c r="X100" s="1671">
        <v>43557</v>
      </c>
      <c r="Y100" s="1671">
        <v>43557</v>
      </c>
      <c r="Z100" s="1671"/>
      <c r="AA100" s="1671"/>
      <c r="AB100" s="1671" t="s">
        <v>733</v>
      </c>
      <c r="AC100" s="1671">
        <v>0</v>
      </c>
      <c r="AD100" s="1671">
        <v>0</v>
      </c>
      <c r="AE100" s="1671">
        <v>0</v>
      </c>
      <c r="AF100" s="1671">
        <v>0</v>
      </c>
      <c r="AG100" s="1671">
        <v>0</v>
      </c>
      <c r="AH100" s="1671">
        <v>1</v>
      </c>
      <c r="AI100" s="1671">
        <v>59343</v>
      </c>
      <c r="AJ100" s="1671">
        <v>2195</v>
      </c>
      <c r="AK100" s="1671">
        <v>0</v>
      </c>
      <c r="AL100" s="1671">
        <v>0</v>
      </c>
      <c r="AM100" s="1671"/>
      <c r="AN100" s="1671"/>
      <c r="AO100" s="1677"/>
      <c r="AP100" s="332"/>
      <c r="AQ100" s="304" t="str">
        <f t="shared" si="2"/>
        <v/>
      </c>
      <c r="AS100" s="304" t="str">
        <f t="shared" si="3"/>
        <v>wci_corp</v>
      </c>
    </row>
    <row r="101" spans="2:45">
      <c r="B101" s="1670" t="s">
        <v>1300</v>
      </c>
      <c r="C101" s="1671">
        <v>43555</v>
      </c>
      <c r="D101" s="1672">
        <v>377.92</v>
      </c>
      <c r="E101" s="1672">
        <v>0</v>
      </c>
      <c r="F101" s="1673" t="s">
        <v>729</v>
      </c>
      <c r="G101" s="1671" t="s">
        <v>1963</v>
      </c>
      <c r="H101" s="1674" t="s">
        <v>730</v>
      </c>
      <c r="I101" s="1671" t="s">
        <v>1964</v>
      </c>
      <c r="J101" s="1671" t="s">
        <v>731</v>
      </c>
      <c r="K101" s="1671" t="s">
        <v>732</v>
      </c>
      <c r="L101" s="1675"/>
      <c r="M101" s="1675"/>
      <c r="N101" s="1675" t="s">
        <v>1967</v>
      </c>
      <c r="O101" s="1671"/>
      <c r="P101" s="1675"/>
      <c r="Q101" s="1676"/>
      <c r="R101" s="1671"/>
      <c r="S101" s="1671"/>
      <c r="T101" s="1671"/>
      <c r="U101" s="1671" t="s">
        <v>1966</v>
      </c>
      <c r="V101" s="1671" t="s">
        <v>1966</v>
      </c>
      <c r="W101" s="1671"/>
      <c r="X101" s="1671">
        <v>43557</v>
      </c>
      <c r="Y101" s="1671">
        <v>43557</v>
      </c>
      <c r="Z101" s="1671"/>
      <c r="AA101" s="1671"/>
      <c r="AB101" s="1671" t="s">
        <v>733</v>
      </c>
      <c r="AC101" s="1671">
        <v>0</v>
      </c>
      <c r="AD101" s="1671">
        <v>0</v>
      </c>
      <c r="AE101" s="1671">
        <v>0</v>
      </c>
      <c r="AF101" s="1671">
        <v>0</v>
      </c>
      <c r="AG101" s="1671">
        <v>0</v>
      </c>
      <c r="AH101" s="1671">
        <v>1</v>
      </c>
      <c r="AI101" s="1671">
        <v>59343</v>
      </c>
      <c r="AJ101" s="1671">
        <v>2195</v>
      </c>
      <c r="AK101" s="1671">
        <v>0</v>
      </c>
      <c r="AL101" s="1671">
        <v>0</v>
      </c>
      <c r="AM101" s="1671"/>
      <c r="AN101" s="1671"/>
      <c r="AO101" s="1677"/>
      <c r="AP101" s="332"/>
      <c r="AQ101" s="304" t="str">
        <f t="shared" si="2"/>
        <v/>
      </c>
      <c r="AS101" s="304" t="str">
        <f t="shared" si="3"/>
        <v>wci_corp</v>
      </c>
    </row>
    <row r="102" spans="2:45">
      <c r="B102" s="1670" t="s">
        <v>1333</v>
      </c>
      <c r="C102" s="1671">
        <v>43555</v>
      </c>
      <c r="D102" s="1672">
        <v>589</v>
      </c>
      <c r="E102" s="1672">
        <v>0</v>
      </c>
      <c r="F102" s="1673" t="s">
        <v>729</v>
      </c>
      <c r="G102" s="1671" t="s">
        <v>1963</v>
      </c>
      <c r="H102" s="1674" t="s">
        <v>730</v>
      </c>
      <c r="I102" s="1671" t="s">
        <v>1964</v>
      </c>
      <c r="J102" s="1671" t="s">
        <v>731</v>
      </c>
      <c r="K102" s="1671" t="s">
        <v>732</v>
      </c>
      <c r="L102" s="1675"/>
      <c r="M102" s="1675"/>
      <c r="N102" s="1675" t="s">
        <v>1916</v>
      </c>
      <c r="O102" s="1671"/>
      <c r="P102" s="1675"/>
      <c r="Q102" s="1676"/>
      <c r="R102" s="1671"/>
      <c r="S102" s="1671"/>
      <c r="T102" s="1671"/>
      <c r="U102" s="1671" t="s">
        <v>1966</v>
      </c>
      <c r="V102" s="1671" t="s">
        <v>1966</v>
      </c>
      <c r="W102" s="1671"/>
      <c r="X102" s="1671">
        <v>43557</v>
      </c>
      <c r="Y102" s="1671">
        <v>43557</v>
      </c>
      <c r="Z102" s="1671"/>
      <c r="AA102" s="1671"/>
      <c r="AB102" s="1671" t="s">
        <v>733</v>
      </c>
      <c r="AC102" s="1671">
        <v>0</v>
      </c>
      <c r="AD102" s="1671">
        <v>0</v>
      </c>
      <c r="AE102" s="1671">
        <v>0</v>
      </c>
      <c r="AF102" s="1671">
        <v>0</v>
      </c>
      <c r="AG102" s="1671">
        <v>0</v>
      </c>
      <c r="AH102" s="1671">
        <v>1</v>
      </c>
      <c r="AI102" s="1671">
        <v>59344</v>
      </c>
      <c r="AJ102" s="1671">
        <v>2195</v>
      </c>
      <c r="AK102" s="1671">
        <v>0</v>
      </c>
      <c r="AL102" s="1671">
        <v>0</v>
      </c>
      <c r="AM102" s="1671"/>
      <c r="AN102" s="1671"/>
      <c r="AO102" s="1677"/>
      <c r="AP102" s="332"/>
      <c r="AQ102" s="304" t="str">
        <f t="shared" si="2"/>
        <v/>
      </c>
      <c r="AS102" s="304" t="str">
        <f t="shared" si="3"/>
        <v>wci_corp</v>
      </c>
    </row>
    <row r="103" spans="2:45">
      <c r="B103" s="1670" t="s">
        <v>1300</v>
      </c>
      <c r="C103" s="1671">
        <v>43585</v>
      </c>
      <c r="D103" s="1672">
        <v>419.06</v>
      </c>
      <c r="E103" s="1672">
        <v>0</v>
      </c>
      <c r="F103" s="1673" t="s">
        <v>729</v>
      </c>
      <c r="G103" s="1671" t="s">
        <v>1968</v>
      </c>
      <c r="H103" s="1674" t="s">
        <v>730</v>
      </c>
      <c r="I103" s="1671" t="s">
        <v>1969</v>
      </c>
      <c r="J103" s="1671" t="s">
        <v>731</v>
      </c>
      <c r="K103" s="1671" t="s">
        <v>732</v>
      </c>
      <c r="L103" s="1675"/>
      <c r="M103" s="1675"/>
      <c r="N103" s="1675" t="s">
        <v>1967</v>
      </c>
      <c r="O103" s="1671"/>
      <c r="P103" s="1675"/>
      <c r="Q103" s="1676"/>
      <c r="R103" s="1671"/>
      <c r="S103" s="1671"/>
      <c r="T103" s="1671"/>
      <c r="U103" s="1671" t="s">
        <v>1970</v>
      </c>
      <c r="V103" s="1671" t="s">
        <v>1970</v>
      </c>
      <c r="W103" s="1671"/>
      <c r="X103" s="1671">
        <v>43586</v>
      </c>
      <c r="Y103" s="1671">
        <v>43586</v>
      </c>
      <c r="Z103" s="1671"/>
      <c r="AA103" s="1671"/>
      <c r="AB103" s="1671" t="s">
        <v>733</v>
      </c>
      <c r="AC103" s="1671">
        <v>0</v>
      </c>
      <c r="AD103" s="1671">
        <v>0</v>
      </c>
      <c r="AE103" s="1671">
        <v>0</v>
      </c>
      <c r="AF103" s="1671">
        <v>0</v>
      </c>
      <c r="AG103" s="1671">
        <v>0</v>
      </c>
      <c r="AH103" s="1671">
        <v>1</v>
      </c>
      <c r="AI103" s="1671">
        <v>59343</v>
      </c>
      <c r="AJ103" s="1671">
        <v>2195</v>
      </c>
      <c r="AK103" s="1671">
        <v>0</v>
      </c>
      <c r="AL103" s="1671">
        <v>0</v>
      </c>
      <c r="AM103" s="1671"/>
      <c r="AN103" s="1671"/>
      <c r="AO103" s="1677"/>
      <c r="AP103" s="332"/>
      <c r="AQ103" s="304" t="str">
        <f t="shared" si="2"/>
        <v/>
      </c>
      <c r="AS103" s="304" t="str">
        <f t="shared" si="3"/>
        <v>wci_corp</v>
      </c>
    </row>
    <row r="104" spans="2:45">
      <c r="B104" s="1670" t="s">
        <v>1333</v>
      </c>
      <c r="C104" s="1671">
        <v>43585</v>
      </c>
      <c r="D104" s="1672">
        <v>476.15</v>
      </c>
      <c r="E104" s="1672">
        <v>0</v>
      </c>
      <c r="F104" s="1673" t="s">
        <v>729</v>
      </c>
      <c r="G104" s="1671" t="s">
        <v>1968</v>
      </c>
      <c r="H104" s="1674" t="s">
        <v>730</v>
      </c>
      <c r="I104" s="1671" t="s">
        <v>1969</v>
      </c>
      <c r="J104" s="1671" t="s">
        <v>731</v>
      </c>
      <c r="K104" s="1671" t="s">
        <v>732</v>
      </c>
      <c r="L104" s="1675"/>
      <c r="M104" s="1675"/>
      <c r="N104" s="1675" t="s">
        <v>1917</v>
      </c>
      <c r="O104" s="1671"/>
      <c r="P104" s="1675"/>
      <c r="Q104" s="1676"/>
      <c r="R104" s="1671"/>
      <c r="S104" s="1671"/>
      <c r="T104" s="1671"/>
      <c r="U104" s="1671" t="s">
        <v>1970</v>
      </c>
      <c r="V104" s="1671" t="s">
        <v>1970</v>
      </c>
      <c r="W104" s="1671"/>
      <c r="X104" s="1671">
        <v>43586</v>
      </c>
      <c r="Y104" s="1671">
        <v>43586</v>
      </c>
      <c r="Z104" s="1671"/>
      <c r="AA104" s="1671"/>
      <c r="AB104" s="1671" t="s">
        <v>733</v>
      </c>
      <c r="AC104" s="1671">
        <v>0</v>
      </c>
      <c r="AD104" s="1671">
        <v>0</v>
      </c>
      <c r="AE104" s="1671">
        <v>0</v>
      </c>
      <c r="AF104" s="1671">
        <v>0</v>
      </c>
      <c r="AG104" s="1671">
        <v>0</v>
      </c>
      <c r="AH104" s="1671">
        <v>1</v>
      </c>
      <c r="AI104" s="1671">
        <v>59344</v>
      </c>
      <c r="AJ104" s="1671">
        <v>2195</v>
      </c>
      <c r="AK104" s="1671">
        <v>0</v>
      </c>
      <c r="AL104" s="1671">
        <v>0</v>
      </c>
      <c r="AM104" s="1671"/>
      <c r="AN104" s="1671"/>
      <c r="AO104" s="1677"/>
      <c r="AP104" s="332"/>
      <c r="AQ104" s="304" t="str">
        <f t="shared" si="2"/>
        <v/>
      </c>
      <c r="AS104" s="304" t="str">
        <f t="shared" si="3"/>
        <v>wci_corp</v>
      </c>
    </row>
    <row r="105" spans="2:45">
      <c r="B105" s="1670" t="s">
        <v>1324</v>
      </c>
      <c r="C105" s="1671">
        <v>43616</v>
      </c>
      <c r="D105" s="1672">
        <v>1250</v>
      </c>
      <c r="E105" s="1672">
        <v>0</v>
      </c>
      <c r="F105" s="1673" t="s">
        <v>729</v>
      </c>
      <c r="G105" s="1671" t="s">
        <v>1971</v>
      </c>
      <c r="H105" s="1674" t="s">
        <v>730</v>
      </c>
      <c r="I105" s="1671" t="s">
        <v>1972</v>
      </c>
      <c r="J105" s="1671" t="s">
        <v>731</v>
      </c>
      <c r="K105" s="1671" t="s">
        <v>732</v>
      </c>
      <c r="L105" s="1675"/>
      <c r="M105" s="1675"/>
      <c r="N105" s="1675" t="s">
        <v>1294</v>
      </c>
      <c r="O105" s="1671"/>
      <c r="P105" s="1675"/>
      <c r="Q105" s="1676"/>
      <c r="R105" s="1671"/>
      <c r="S105" s="1671"/>
      <c r="T105" s="1671"/>
      <c r="U105" s="1671" t="s">
        <v>1973</v>
      </c>
      <c r="V105" s="1671" t="s">
        <v>1973</v>
      </c>
      <c r="W105" s="1671"/>
      <c r="X105" s="1671">
        <v>43619</v>
      </c>
      <c r="Y105" s="1671">
        <v>43619</v>
      </c>
      <c r="Z105" s="1671"/>
      <c r="AA105" s="1671"/>
      <c r="AB105" s="1671" t="s">
        <v>733</v>
      </c>
      <c r="AC105" s="1671">
        <v>0</v>
      </c>
      <c r="AD105" s="1671">
        <v>0</v>
      </c>
      <c r="AE105" s="1671">
        <v>0</v>
      </c>
      <c r="AF105" s="1671">
        <v>0</v>
      </c>
      <c r="AG105" s="1671">
        <v>0</v>
      </c>
      <c r="AH105" s="1671">
        <v>1</v>
      </c>
      <c r="AI105" s="1671">
        <v>59341</v>
      </c>
      <c r="AJ105" s="1671">
        <v>2195</v>
      </c>
      <c r="AK105" s="1671">
        <v>0</v>
      </c>
      <c r="AL105" s="1671">
        <v>0</v>
      </c>
      <c r="AM105" s="1671"/>
      <c r="AN105" s="1671"/>
      <c r="AO105" s="1677"/>
      <c r="AP105" s="332"/>
      <c r="AQ105" s="304" t="str">
        <f t="shared" si="2"/>
        <v/>
      </c>
      <c r="AS105" s="304" t="str">
        <f t="shared" si="3"/>
        <v>wci_corp</v>
      </c>
    </row>
    <row r="106" spans="2:45">
      <c r="B106" s="1670" t="s">
        <v>1300</v>
      </c>
      <c r="C106" s="1671">
        <v>43616</v>
      </c>
      <c r="D106" s="1672">
        <v>172.14</v>
      </c>
      <c r="E106" s="1672">
        <v>0</v>
      </c>
      <c r="F106" s="1673" t="s">
        <v>729</v>
      </c>
      <c r="G106" s="1671" t="s">
        <v>1971</v>
      </c>
      <c r="H106" s="1674" t="s">
        <v>730</v>
      </c>
      <c r="I106" s="1671" t="s">
        <v>1972</v>
      </c>
      <c r="J106" s="1671" t="s">
        <v>731</v>
      </c>
      <c r="K106" s="1671" t="s">
        <v>732</v>
      </c>
      <c r="L106" s="1675"/>
      <c r="M106" s="1675"/>
      <c r="N106" s="1675" t="s">
        <v>1967</v>
      </c>
      <c r="O106" s="1671"/>
      <c r="P106" s="1675"/>
      <c r="Q106" s="1676"/>
      <c r="R106" s="1671"/>
      <c r="S106" s="1671"/>
      <c r="T106" s="1671"/>
      <c r="U106" s="1671" t="s">
        <v>1973</v>
      </c>
      <c r="V106" s="1671" t="s">
        <v>1973</v>
      </c>
      <c r="W106" s="1671"/>
      <c r="X106" s="1671">
        <v>43619</v>
      </c>
      <c r="Y106" s="1671">
        <v>43619</v>
      </c>
      <c r="Z106" s="1671"/>
      <c r="AA106" s="1671"/>
      <c r="AB106" s="1671" t="s">
        <v>733</v>
      </c>
      <c r="AC106" s="1671">
        <v>0</v>
      </c>
      <c r="AD106" s="1671">
        <v>0</v>
      </c>
      <c r="AE106" s="1671">
        <v>0</v>
      </c>
      <c r="AF106" s="1671">
        <v>0</v>
      </c>
      <c r="AG106" s="1671">
        <v>0</v>
      </c>
      <c r="AH106" s="1671">
        <v>1</v>
      </c>
      <c r="AI106" s="1671">
        <v>59343</v>
      </c>
      <c r="AJ106" s="1671">
        <v>2195</v>
      </c>
      <c r="AK106" s="1671">
        <v>0</v>
      </c>
      <c r="AL106" s="1671">
        <v>0</v>
      </c>
      <c r="AM106" s="1671"/>
      <c r="AN106" s="1671"/>
      <c r="AO106" s="1677"/>
      <c r="AP106" s="332"/>
      <c r="AQ106" s="304" t="str">
        <f t="shared" si="2"/>
        <v/>
      </c>
      <c r="AS106" s="304" t="str">
        <f t="shared" si="3"/>
        <v>wci_corp</v>
      </c>
    </row>
    <row r="107" spans="2:45">
      <c r="B107" s="1670" t="s">
        <v>1300</v>
      </c>
      <c r="C107" s="1671">
        <v>43616</v>
      </c>
      <c r="D107" s="1672">
        <v>1040.97</v>
      </c>
      <c r="E107" s="1672">
        <v>0</v>
      </c>
      <c r="F107" s="1673" t="s">
        <v>729</v>
      </c>
      <c r="G107" s="1671" t="s">
        <v>1971</v>
      </c>
      <c r="H107" s="1674" t="s">
        <v>730</v>
      </c>
      <c r="I107" s="1671" t="s">
        <v>1972</v>
      </c>
      <c r="J107" s="1671" t="s">
        <v>731</v>
      </c>
      <c r="K107" s="1671" t="s">
        <v>732</v>
      </c>
      <c r="L107" s="1675"/>
      <c r="M107" s="1675"/>
      <c r="N107" s="1675" t="s">
        <v>1974</v>
      </c>
      <c r="O107" s="1671"/>
      <c r="P107" s="1675"/>
      <c r="Q107" s="1676"/>
      <c r="R107" s="1671"/>
      <c r="S107" s="1671"/>
      <c r="T107" s="1671"/>
      <c r="U107" s="1671" t="s">
        <v>1973</v>
      </c>
      <c r="V107" s="1671" t="s">
        <v>1973</v>
      </c>
      <c r="W107" s="1671"/>
      <c r="X107" s="1671">
        <v>43619</v>
      </c>
      <c r="Y107" s="1671">
        <v>43619</v>
      </c>
      <c r="Z107" s="1671"/>
      <c r="AA107" s="1671"/>
      <c r="AB107" s="1671" t="s">
        <v>733</v>
      </c>
      <c r="AC107" s="1671">
        <v>0</v>
      </c>
      <c r="AD107" s="1671">
        <v>0</v>
      </c>
      <c r="AE107" s="1671">
        <v>0</v>
      </c>
      <c r="AF107" s="1671">
        <v>0</v>
      </c>
      <c r="AG107" s="1671">
        <v>0</v>
      </c>
      <c r="AH107" s="1671">
        <v>1</v>
      </c>
      <c r="AI107" s="1671">
        <v>59343</v>
      </c>
      <c r="AJ107" s="1671">
        <v>2195</v>
      </c>
      <c r="AK107" s="1671">
        <v>0</v>
      </c>
      <c r="AL107" s="1671">
        <v>0</v>
      </c>
      <c r="AM107" s="1671"/>
      <c r="AN107" s="1671"/>
      <c r="AO107" s="1677"/>
      <c r="AP107" s="332"/>
      <c r="AQ107" s="304" t="str">
        <f t="shared" si="2"/>
        <v/>
      </c>
      <c r="AS107" s="304" t="str">
        <f t="shared" si="3"/>
        <v>wci_corp</v>
      </c>
    </row>
    <row r="108" spans="2:45">
      <c r="B108" s="1670" t="s">
        <v>1324</v>
      </c>
      <c r="C108" s="1671">
        <v>43646</v>
      </c>
      <c r="D108" s="1672">
        <v>758.65</v>
      </c>
      <c r="E108" s="1672">
        <v>0</v>
      </c>
      <c r="F108" s="1673" t="s">
        <v>729</v>
      </c>
      <c r="G108" s="1671" t="s">
        <v>1975</v>
      </c>
      <c r="H108" s="1674" t="s">
        <v>730</v>
      </c>
      <c r="I108" s="1671" t="s">
        <v>1976</v>
      </c>
      <c r="J108" s="1671" t="s">
        <v>731</v>
      </c>
      <c r="K108" s="1671" t="s">
        <v>732</v>
      </c>
      <c r="L108" s="1675"/>
      <c r="M108" s="1675"/>
      <c r="N108" s="1675" t="s">
        <v>1294</v>
      </c>
      <c r="O108" s="1671"/>
      <c r="P108" s="1675"/>
      <c r="Q108" s="1676"/>
      <c r="R108" s="1671"/>
      <c r="S108" s="1671"/>
      <c r="T108" s="1671"/>
      <c r="U108" s="1671" t="s">
        <v>1977</v>
      </c>
      <c r="V108" s="1671" t="s">
        <v>1977</v>
      </c>
      <c r="W108" s="1671"/>
      <c r="X108" s="1671">
        <v>43647</v>
      </c>
      <c r="Y108" s="1671">
        <v>43647</v>
      </c>
      <c r="Z108" s="1671"/>
      <c r="AA108" s="1671"/>
      <c r="AB108" s="1671" t="s">
        <v>733</v>
      </c>
      <c r="AC108" s="1671">
        <v>0</v>
      </c>
      <c r="AD108" s="1671">
        <v>0</v>
      </c>
      <c r="AE108" s="1671">
        <v>0</v>
      </c>
      <c r="AF108" s="1671">
        <v>0</v>
      </c>
      <c r="AG108" s="1671">
        <v>0</v>
      </c>
      <c r="AH108" s="1671">
        <v>1</v>
      </c>
      <c r="AI108" s="1671">
        <v>59341</v>
      </c>
      <c r="AJ108" s="1671">
        <v>2195</v>
      </c>
      <c r="AK108" s="1671">
        <v>0</v>
      </c>
      <c r="AL108" s="1671">
        <v>0</v>
      </c>
      <c r="AM108" s="1671"/>
      <c r="AN108" s="1671"/>
      <c r="AO108" s="1677"/>
      <c r="AP108" s="332"/>
      <c r="AQ108" s="304" t="str">
        <f t="shared" si="2"/>
        <v/>
      </c>
      <c r="AS108" s="304" t="str">
        <f t="shared" si="3"/>
        <v>wci_corp</v>
      </c>
    </row>
    <row r="109" spans="2:45">
      <c r="B109" s="1670" t="s">
        <v>1324</v>
      </c>
      <c r="C109" s="1671">
        <v>43646</v>
      </c>
      <c r="D109" s="1672">
        <v>1250</v>
      </c>
      <c r="E109" s="1672">
        <v>0</v>
      </c>
      <c r="F109" s="1673" t="s">
        <v>729</v>
      </c>
      <c r="G109" s="1671" t="s">
        <v>1975</v>
      </c>
      <c r="H109" s="1674" t="s">
        <v>730</v>
      </c>
      <c r="I109" s="1671" t="s">
        <v>1976</v>
      </c>
      <c r="J109" s="1671" t="s">
        <v>731</v>
      </c>
      <c r="K109" s="1671" t="s">
        <v>732</v>
      </c>
      <c r="L109" s="1675"/>
      <c r="M109" s="1675"/>
      <c r="N109" s="1675" t="s">
        <v>1978</v>
      </c>
      <c r="O109" s="1671"/>
      <c r="P109" s="1675"/>
      <c r="Q109" s="1676"/>
      <c r="R109" s="1671"/>
      <c r="S109" s="1671"/>
      <c r="T109" s="1671"/>
      <c r="U109" s="1671" t="s">
        <v>1977</v>
      </c>
      <c r="V109" s="1671" t="s">
        <v>1977</v>
      </c>
      <c r="W109" s="1671"/>
      <c r="X109" s="1671">
        <v>43647</v>
      </c>
      <c r="Y109" s="1671">
        <v>43647</v>
      </c>
      <c r="Z109" s="1671"/>
      <c r="AA109" s="1671"/>
      <c r="AB109" s="1671" t="s">
        <v>733</v>
      </c>
      <c r="AC109" s="1671">
        <v>0</v>
      </c>
      <c r="AD109" s="1671">
        <v>0</v>
      </c>
      <c r="AE109" s="1671">
        <v>0</v>
      </c>
      <c r="AF109" s="1671">
        <v>0</v>
      </c>
      <c r="AG109" s="1671">
        <v>0</v>
      </c>
      <c r="AH109" s="1671">
        <v>1</v>
      </c>
      <c r="AI109" s="1671">
        <v>59341</v>
      </c>
      <c r="AJ109" s="1671">
        <v>2195</v>
      </c>
      <c r="AK109" s="1671">
        <v>0</v>
      </c>
      <c r="AL109" s="1671">
        <v>0</v>
      </c>
      <c r="AM109" s="1671"/>
      <c r="AN109" s="1671"/>
      <c r="AO109" s="1677"/>
      <c r="AP109" s="332"/>
      <c r="AQ109" s="304" t="str">
        <f t="shared" si="2"/>
        <v/>
      </c>
      <c r="AS109" s="304" t="str">
        <f t="shared" si="3"/>
        <v>wci_corp</v>
      </c>
    </row>
    <row r="110" spans="2:45">
      <c r="B110" s="1670" t="s">
        <v>1300</v>
      </c>
      <c r="C110" s="1671">
        <v>43646</v>
      </c>
      <c r="D110" s="1672">
        <v>11</v>
      </c>
      <c r="E110" s="1672">
        <v>0</v>
      </c>
      <c r="F110" s="1673" t="s">
        <v>729</v>
      </c>
      <c r="G110" s="1671" t="s">
        <v>1975</v>
      </c>
      <c r="H110" s="1674" t="s">
        <v>730</v>
      </c>
      <c r="I110" s="1671" t="s">
        <v>1976</v>
      </c>
      <c r="J110" s="1671" t="s">
        <v>731</v>
      </c>
      <c r="K110" s="1671" t="s">
        <v>732</v>
      </c>
      <c r="L110" s="1675"/>
      <c r="M110" s="1675"/>
      <c r="N110" s="1675" t="s">
        <v>1965</v>
      </c>
      <c r="O110" s="1671"/>
      <c r="P110" s="1675"/>
      <c r="Q110" s="1676"/>
      <c r="R110" s="1671"/>
      <c r="S110" s="1671"/>
      <c r="T110" s="1671"/>
      <c r="U110" s="1671" t="s">
        <v>1977</v>
      </c>
      <c r="V110" s="1671" t="s">
        <v>1977</v>
      </c>
      <c r="W110" s="1671"/>
      <c r="X110" s="1671">
        <v>43647</v>
      </c>
      <c r="Y110" s="1671">
        <v>43647</v>
      </c>
      <c r="Z110" s="1671"/>
      <c r="AA110" s="1671"/>
      <c r="AB110" s="1671" t="s">
        <v>733</v>
      </c>
      <c r="AC110" s="1671">
        <v>0</v>
      </c>
      <c r="AD110" s="1671">
        <v>0</v>
      </c>
      <c r="AE110" s="1671">
        <v>0</v>
      </c>
      <c r="AF110" s="1671">
        <v>0</v>
      </c>
      <c r="AG110" s="1671">
        <v>0</v>
      </c>
      <c r="AH110" s="1671">
        <v>1</v>
      </c>
      <c r="AI110" s="1671">
        <v>59343</v>
      </c>
      <c r="AJ110" s="1671">
        <v>2195</v>
      </c>
      <c r="AK110" s="1671">
        <v>0</v>
      </c>
      <c r="AL110" s="1671">
        <v>0</v>
      </c>
      <c r="AM110" s="1671"/>
      <c r="AN110" s="1671"/>
      <c r="AO110" s="1677"/>
      <c r="AP110" s="332"/>
      <c r="AQ110" s="304" t="str">
        <f t="shared" si="2"/>
        <v/>
      </c>
      <c r="AS110" s="304" t="str">
        <f t="shared" si="3"/>
        <v>wci_corp</v>
      </c>
    </row>
    <row r="111" spans="2:45">
      <c r="B111" s="1670" t="s">
        <v>1300</v>
      </c>
      <c r="C111" s="1671">
        <v>43646</v>
      </c>
      <c r="D111" s="1672">
        <v>429.7</v>
      </c>
      <c r="E111" s="1672">
        <v>0</v>
      </c>
      <c r="F111" s="1673" t="s">
        <v>729</v>
      </c>
      <c r="G111" s="1671" t="s">
        <v>1975</v>
      </c>
      <c r="H111" s="1674" t="s">
        <v>730</v>
      </c>
      <c r="I111" s="1671" t="s">
        <v>1976</v>
      </c>
      <c r="J111" s="1671" t="s">
        <v>731</v>
      </c>
      <c r="K111" s="1671" t="s">
        <v>732</v>
      </c>
      <c r="L111" s="1675"/>
      <c r="M111" s="1675"/>
      <c r="N111" s="1675" t="s">
        <v>1974</v>
      </c>
      <c r="O111" s="1671"/>
      <c r="P111" s="1675"/>
      <c r="Q111" s="1676"/>
      <c r="R111" s="1671"/>
      <c r="S111" s="1671"/>
      <c r="T111" s="1671"/>
      <c r="U111" s="1671" t="s">
        <v>1977</v>
      </c>
      <c r="V111" s="1671" t="s">
        <v>1977</v>
      </c>
      <c r="W111" s="1671"/>
      <c r="X111" s="1671">
        <v>43647</v>
      </c>
      <c r="Y111" s="1671">
        <v>43647</v>
      </c>
      <c r="Z111" s="1671"/>
      <c r="AA111" s="1671"/>
      <c r="AB111" s="1671" t="s">
        <v>733</v>
      </c>
      <c r="AC111" s="1671">
        <v>0</v>
      </c>
      <c r="AD111" s="1671">
        <v>0</v>
      </c>
      <c r="AE111" s="1671">
        <v>0</v>
      </c>
      <c r="AF111" s="1671">
        <v>0</v>
      </c>
      <c r="AG111" s="1671">
        <v>0</v>
      </c>
      <c r="AH111" s="1671">
        <v>1</v>
      </c>
      <c r="AI111" s="1671">
        <v>59343</v>
      </c>
      <c r="AJ111" s="1671">
        <v>2195</v>
      </c>
      <c r="AK111" s="1671">
        <v>0</v>
      </c>
      <c r="AL111" s="1671">
        <v>0</v>
      </c>
      <c r="AM111" s="1671"/>
      <c r="AN111" s="1671"/>
      <c r="AO111" s="1677"/>
      <c r="AP111" s="332"/>
      <c r="AQ111" s="304" t="str">
        <f t="shared" si="2"/>
        <v/>
      </c>
      <c r="AS111" s="304" t="str">
        <f t="shared" si="3"/>
        <v>wci_corp</v>
      </c>
    </row>
    <row r="112" spans="2:45">
      <c r="B112" s="1670" t="s">
        <v>1333</v>
      </c>
      <c r="C112" s="1671">
        <v>43646</v>
      </c>
      <c r="D112" s="1672">
        <v>-14346.42</v>
      </c>
      <c r="E112" s="1672">
        <v>0</v>
      </c>
      <c r="F112" s="1673" t="s">
        <v>729</v>
      </c>
      <c r="G112" s="1671" t="s">
        <v>1975</v>
      </c>
      <c r="H112" s="1674" t="s">
        <v>730</v>
      </c>
      <c r="I112" s="1671" t="s">
        <v>1976</v>
      </c>
      <c r="J112" s="1671" t="s">
        <v>731</v>
      </c>
      <c r="K112" s="1671" t="s">
        <v>732</v>
      </c>
      <c r="L112" s="1675"/>
      <c r="M112" s="1675"/>
      <c r="N112" s="1675" t="s">
        <v>1351</v>
      </c>
      <c r="O112" s="1671"/>
      <c r="P112" s="1675"/>
      <c r="Q112" s="1676"/>
      <c r="R112" s="1671"/>
      <c r="S112" s="1671"/>
      <c r="T112" s="1671"/>
      <c r="U112" s="1671" t="s">
        <v>1977</v>
      </c>
      <c r="V112" s="1671" t="s">
        <v>1977</v>
      </c>
      <c r="W112" s="1671"/>
      <c r="X112" s="1671">
        <v>43647</v>
      </c>
      <c r="Y112" s="1671">
        <v>43647</v>
      </c>
      <c r="Z112" s="1671"/>
      <c r="AA112" s="1671"/>
      <c r="AB112" s="1671" t="s">
        <v>733</v>
      </c>
      <c r="AC112" s="1671">
        <v>0</v>
      </c>
      <c r="AD112" s="1671">
        <v>0</v>
      </c>
      <c r="AE112" s="1671">
        <v>0</v>
      </c>
      <c r="AF112" s="1671">
        <v>0</v>
      </c>
      <c r="AG112" s="1671">
        <v>0</v>
      </c>
      <c r="AH112" s="1671">
        <v>1</v>
      </c>
      <c r="AI112" s="1671">
        <v>59344</v>
      </c>
      <c r="AJ112" s="1671">
        <v>2195</v>
      </c>
      <c r="AK112" s="1671">
        <v>0</v>
      </c>
      <c r="AL112" s="1671">
        <v>0</v>
      </c>
      <c r="AM112" s="1671"/>
      <c r="AN112" s="1671"/>
      <c r="AO112" s="1677"/>
      <c r="AP112" s="332"/>
      <c r="AQ112" s="304" t="str">
        <f t="shared" si="2"/>
        <v/>
      </c>
      <c r="AS112" s="304" t="str">
        <f t="shared" si="3"/>
        <v>wci_corp</v>
      </c>
    </row>
    <row r="113" spans="2:45">
      <c r="B113" s="1670" t="s">
        <v>1333</v>
      </c>
      <c r="C113" s="1671">
        <v>43646</v>
      </c>
      <c r="D113" s="1672">
        <v>-12084</v>
      </c>
      <c r="E113" s="1672">
        <v>0</v>
      </c>
      <c r="F113" s="1673" t="s">
        <v>729</v>
      </c>
      <c r="G113" s="1671" t="s">
        <v>1975</v>
      </c>
      <c r="H113" s="1674" t="s">
        <v>730</v>
      </c>
      <c r="I113" s="1671" t="s">
        <v>1976</v>
      </c>
      <c r="J113" s="1671" t="s">
        <v>731</v>
      </c>
      <c r="K113" s="1671" t="s">
        <v>732</v>
      </c>
      <c r="L113" s="1675"/>
      <c r="M113" s="1675"/>
      <c r="N113" s="1675" t="s">
        <v>1962</v>
      </c>
      <c r="O113" s="1671"/>
      <c r="P113" s="1675"/>
      <c r="Q113" s="1676"/>
      <c r="R113" s="1671"/>
      <c r="S113" s="1671"/>
      <c r="T113" s="1671"/>
      <c r="U113" s="1671" t="s">
        <v>1977</v>
      </c>
      <c r="V113" s="1671" t="s">
        <v>1977</v>
      </c>
      <c r="W113" s="1671"/>
      <c r="X113" s="1671">
        <v>43647</v>
      </c>
      <c r="Y113" s="1671">
        <v>43647</v>
      </c>
      <c r="Z113" s="1671"/>
      <c r="AA113" s="1671"/>
      <c r="AB113" s="1671" t="s">
        <v>733</v>
      </c>
      <c r="AC113" s="1671">
        <v>0</v>
      </c>
      <c r="AD113" s="1671">
        <v>0</v>
      </c>
      <c r="AE113" s="1671">
        <v>0</v>
      </c>
      <c r="AF113" s="1671">
        <v>0</v>
      </c>
      <c r="AG113" s="1671">
        <v>0</v>
      </c>
      <c r="AH113" s="1671">
        <v>1</v>
      </c>
      <c r="AI113" s="1671">
        <v>59344</v>
      </c>
      <c r="AJ113" s="1671">
        <v>2195</v>
      </c>
      <c r="AK113" s="1671">
        <v>0</v>
      </c>
      <c r="AL113" s="1671">
        <v>0</v>
      </c>
      <c r="AM113" s="1671"/>
      <c r="AN113" s="1671"/>
      <c r="AO113" s="1677"/>
      <c r="AP113" s="332"/>
      <c r="AQ113" s="304" t="str">
        <f t="shared" si="2"/>
        <v/>
      </c>
      <c r="AS113" s="304" t="str">
        <f t="shared" si="3"/>
        <v>wci_corp</v>
      </c>
    </row>
    <row r="114" spans="2:45">
      <c r="B114" s="1670" t="s">
        <v>1312</v>
      </c>
      <c r="C114" s="1671">
        <v>43646</v>
      </c>
      <c r="D114" s="1672">
        <v>1510.6</v>
      </c>
      <c r="E114" s="1672">
        <v>0</v>
      </c>
      <c r="F114" s="1673" t="s">
        <v>729</v>
      </c>
      <c r="G114" s="1671" t="s">
        <v>1979</v>
      </c>
      <c r="H114" s="1674" t="s">
        <v>730</v>
      </c>
      <c r="I114" s="1671" t="s">
        <v>1980</v>
      </c>
      <c r="J114" s="1671" t="s">
        <v>734</v>
      </c>
      <c r="K114" s="1671" t="s">
        <v>732</v>
      </c>
      <c r="L114" s="1675"/>
      <c r="M114" s="1675"/>
      <c r="N114" s="1675" t="s">
        <v>1981</v>
      </c>
      <c r="O114" s="1671"/>
      <c r="P114" s="1675"/>
      <c r="Q114" s="1676"/>
      <c r="R114" s="1671"/>
      <c r="S114" s="1671"/>
      <c r="T114" s="1671"/>
      <c r="U114" s="1671" t="s">
        <v>1982</v>
      </c>
      <c r="V114" s="1671" t="s">
        <v>1982</v>
      </c>
      <c r="W114" s="1671"/>
      <c r="X114" s="1671">
        <v>43648</v>
      </c>
      <c r="Y114" s="1671">
        <v>43648</v>
      </c>
      <c r="Z114" s="1671"/>
      <c r="AA114" s="1671"/>
      <c r="AB114" s="1671" t="s">
        <v>733</v>
      </c>
      <c r="AC114" s="1671">
        <v>0</v>
      </c>
      <c r="AD114" s="1671">
        <v>0</v>
      </c>
      <c r="AE114" s="1671">
        <v>0</v>
      </c>
      <c r="AF114" s="1671">
        <v>0</v>
      </c>
      <c r="AG114" s="1671">
        <v>0</v>
      </c>
      <c r="AH114" s="1671">
        <v>1</v>
      </c>
      <c r="AI114" s="1671">
        <v>59400</v>
      </c>
      <c r="AJ114" s="1671">
        <v>2195</v>
      </c>
      <c r="AK114" s="1671">
        <v>0</v>
      </c>
      <c r="AL114" s="1671">
        <v>0</v>
      </c>
      <c r="AM114" s="1671"/>
      <c r="AN114" s="1671"/>
      <c r="AO114" s="1677"/>
      <c r="AP114" s="332"/>
      <c r="AQ114" s="304" t="str">
        <f t="shared" si="2"/>
        <v/>
      </c>
      <c r="AS114" s="304" t="str">
        <f t="shared" si="3"/>
        <v>wci_corp</v>
      </c>
    </row>
    <row r="115" spans="2:45">
      <c r="B115" s="1670" t="s">
        <v>1324</v>
      </c>
      <c r="C115" s="1671">
        <v>43677</v>
      </c>
      <c r="D115" s="1672">
        <v>3797.34</v>
      </c>
      <c r="E115" s="1672">
        <v>0</v>
      </c>
      <c r="F115" s="1673" t="s">
        <v>729</v>
      </c>
      <c r="G115" s="1671" t="s">
        <v>1983</v>
      </c>
      <c r="H115" s="1674" t="s">
        <v>730</v>
      </c>
      <c r="I115" s="1671" t="s">
        <v>1984</v>
      </c>
      <c r="J115" s="1671" t="s">
        <v>731</v>
      </c>
      <c r="K115" s="1671" t="s">
        <v>732</v>
      </c>
      <c r="L115" s="1675"/>
      <c r="M115" s="1675"/>
      <c r="N115" s="1675" t="s">
        <v>1978</v>
      </c>
      <c r="O115" s="1671"/>
      <c r="P115" s="1675"/>
      <c r="Q115" s="1676"/>
      <c r="R115" s="1671"/>
      <c r="S115" s="1671"/>
      <c r="T115" s="1671"/>
      <c r="U115" s="1671" t="s">
        <v>1985</v>
      </c>
      <c r="V115" s="1671" t="s">
        <v>1985</v>
      </c>
      <c r="W115" s="1671"/>
      <c r="X115" s="1671">
        <v>43678</v>
      </c>
      <c r="Y115" s="1671">
        <v>43678</v>
      </c>
      <c r="Z115" s="1671"/>
      <c r="AA115" s="1671"/>
      <c r="AB115" s="1671" t="s">
        <v>733</v>
      </c>
      <c r="AC115" s="1671">
        <v>0</v>
      </c>
      <c r="AD115" s="1671">
        <v>0</v>
      </c>
      <c r="AE115" s="1671">
        <v>0</v>
      </c>
      <c r="AF115" s="1671">
        <v>0</v>
      </c>
      <c r="AG115" s="1671">
        <v>0</v>
      </c>
      <c r="AH115" s="1671">
        <v>1</v>
      </c>
      <c r="AI115" s="1671">
        <v>59341</v>
      </c>
      <c r="AJ115" s="1671">
        <v>2195</v>
      </c>
      <c r="AK115" s="1671">
        <v>0</v>
      </c>
      <c r="AL115" s="1671">
        <v>0</v>
      </c>
      <c r="AM115" s="1671"/>
      <c r="AN115" s="1671"/>
      <c r="AO115" s="1677"/>
      <c r="AP115" s="332"/>
      <c r="AQ115" s="304" t="str">
        <f t="shared" si="2"/>
        <v/>
      </c>
      <c r="AS115" s="304" t="str">
        <f t="shared" si="3"/>
        <v>wci_corp</v>
      </c>
    </row>
    <row r="116" spans="2:45">
      <c r="B116" s="1670" t="s">
        <v>1291</v>
      </c>
      <c r="C116" s="1671">
        <v>43677</v>
      </c>
      <c r="D116" s="1672">
        <v>-40767.24</v>
      </c>
      <c r="E116" s="1672">
        <v>0</v>
      </c>
      <c r="F116" s="1673" t="s">
        <v>729</v>
      </c>
      <c r="G116" s="1671" t="s">
        <v>1983</v>
      </c>
      <c r="H116" s="1674" t="s">
        <v>730</v>
      </c>
      <c r="I116" s="1671" t="s">
        <v>1984</v>
      </c>
      <c r="J116" s="1671" t="s">
        <v>731</v>
      </c>
      <c r="K116" s="1671" t="s">
        <v>732</v>
      </c>
      <c r="L116" s="1675"/>
      <c r="M116" s="1675"/>
      <c r="N116" s="1675" t="s">
        <v>1906</v>
      </c>
      <c r="O116" s="1671"/>
      <c r="P116" s="1675"/>
      <c r="Q116" s="1676"/>
      <c r="R116" s="1671"/>
      <c r="S116" s="1671"/>
      <c r="T116" s="1671"/>
      <c r="U116" s="1671" t="s">
        <v>1985</v>
      </c>
      <c r="V116" s="1671" t="s">
        <v>1985</v>
      </c>
      <c r="W116" s="1671"/>
      <c r="X116" s="1671">
        <v>43678</v>
      </c>
      <c r="Y116" s="1671">
        <v>43678</v>
      </c>
      <c r="Z116" s="1671"/>
      <c r="AA116" s="1671"/>
      <c r="AB116" s="1671" t="s">
        <v>733</v>
      </c>
      <c r="AC116" s="1671">
        <v>0</v>
      </c>
      <c r="AD116" s="1671">
        <v>0</v>
      </c>
      <c r="AE116" s="1671">
        <v>0</v>
      </c>
      <c r="AF116" s="1671">
        <v>0</v>
      </c>
      <c r="AG116" s="1671">
        <v>0</v>
      </c>
      <c r="AH116" s="1671">
        <v>1</v>
      </c>
      <c r="AI116" s="1671">
        <v>59342</v>
      </c>
      <c r="AJ116" s="1671">
        <v>2195</v>
      </c>
      <c r="AK116" s="1671">
        <v>0</v>
      </c>
      <c r="AL116" s="1671">
        <v>0</v>
      </c>
      <c r="AM116" s="1671"/>
      <c r="AN116" s="1671"/>
      <c r="AO116" s="1677"/>
      <c r="AP116" s="332"/>
      <c r="AQ116" s="304" t="str">
        <f t="shared" si="2"/>
        <v/>
      </c>
      <c r="AS116" s="304" t="str">
        <f t="shared" si="3"/>
        <v>wci_corp</v>
      </c>
    </row>
    <row r="117" spans="2:45">
      <c r="B117" s="1670" t="s">
        <v>1333</v>
      </c>
      <c r="C117" s="1671">
        <v>43708</v>
      </c>
      <c r="D117" s="1672">
        <v>1206.9000000000001</v>
      </c>
      <c r="E117" s="1672">
        <v>0</v>
      </c>
      <c r="F117" s="1673" t="s">
        <v>729</v>
      </c>
      <c r="G117" s="1671" t="s">
        <v>1986</v>
      </c>
      <c r="H117" s="1674" t="s">
        <v>730</v>
      </c>
      <c r="I117" s="1671" t="s">
        <v>1987</v>
      </c>
      <c r="J117" s="1671" t="s">
        <v>731</v>
      </c>
      <c r="K117" s="1671" t="s">
        <v>732</v>
      </c>
      <c r="L117" s="1675"/>
      <c r="M117" s="1675"/>
      <c r="N117" s="1675" t="s">
        <v>1351</v>
      </c>
      <c r="O117" s="1671"/>
      <c r="P117" s="1675"/>
      <c r="Q117" s="1676"/>
      <c r="R117" s="1671"/>
      <c r="S117" s="1671"/>
      <c r="T117" s="1671"/>
      <c r="U117" s="1671" t="s">
        <v>1988</v>
      </c>
      <c r="V117" s="1671" t="s">
        <v>1988</v>
      </c>
      <c r="W117" s="1671"/>
      <c r="X117" s="1671">
        <v>43711</v>
      </c>
      <c r="Y117" s="1671">
        <v>43711</v>
      </c>
      <c r="Z117" s="1671"/>
      <c r="AA117" s="1671"/>
      <c r="AB117" s="1671" t="s">
        <v>733</v>
      </c>
      <c r="AC117" s="1671">
        <v>0</v>
      </c>
      <c r="AD117" s="1671">
        <v>0</v>
      </c>
      <c r="AE117" s="1671">
        <v>0</v>
      </c>
      <c r="AF117" s="1671">
        <v>0</v>
      </c>
      <c r="AG117" s="1671">
        <v>0</v>
      </c>
      <c r="AH117" s="1671">
        <v>1</v>
      </c>
      <c r="AI117" s="1671">
        <v>59344</v>
      </c>
      <c r="AJ117" s="1671">
        <v>2195</v>
      </c>
      <c r="AK117" s="1671">
        <v>0</v>
      </c>
      <c r="AL117" s="1671">
        <v>0</v>
      </c>
      <c r="AM117" s="1671"/>
      <c r="AN117" s="1671"/>
      <c r="AO117" s="1677"/>
      <c r="AP117" s="332"/>
      <c r="AQ117" s="304" t="str">
        <f t="shared" si="2"/>
        <v/>
      </c>
      <c r="AS117" s="304" t="str">
        <f t="shared" si="3"/>
        <v>wci_corp</v>
      </c>
    </row>
    <row r="118" spans="2:45">
      <c r="B118" s="1670" t="s">
        <v>1333</v>
      </c>
      <c r="C118" s="1671">
        <v>43708</v>
      </c>
      <c r="D118" s="1672">
        <v>-2426.11</v>
      </c>
      <c r="E118" s="1672">
        <v>0</v>
      </c>
      <c r="F118" s="1673" t="s">
        <v>729</v>
      </c>
      <c r="G118" s="1671" t="s">
        <v>1986</v>
      </c>
      <c r="H118" s="1674" t="s">
        <v>730</v>
      </c>
      <c r="I118" s="1671" t="s">
        <v>1987</v>
      </c>
      <c r="J118" s="1671" t="s">
        <v>731</v>
      </c>
      <c r="K118" s="1671" t="s">
        <v>732</v>
      </c>
      <c r="L118" s="1675"/>
      <c r="M118" s="1675"/>
      <c r="N118" s="1675" t="s">
        <v>1962</v>
      </c>
      <c r="O118" s="1671"/>
      <c r="P118" s="1675"/>
      <c r="Q118" s="1676"/>
      <c r="R118" s="1671"/>
      <c r="S118" s="1671"/>
      <c r="T118" s="1671"/>
      <c r="U118" s="1671" t="s">
        <v>1988</v>
      </c>
      <c r="V118" s="1671" t="s">
        <v>1988</v>
      </c>
      <c r="W118" s="1671"/>
      <c r="X118" s="1671">
        <v>43711</v>
      </c>
      <c r="Y118" s="1671">
        <v>43711</v>
      </c>
      <c r="Z118" s="1671"/>
      <c r="AA118" s="1671"/>
      <c r="AB118" s="1671" t="s">
        <v>733</v>
      </c>
      <c r="AC118" s="1671">
        <v>0</v>
      </c>
      <c r="AD118" s="1671">
        <v>0</v>
      </c>
      <c r="AE118" s="1671">
        <v>0</v>
      </c>
      <c r="AF118" s="1671">
        <v>0</v>
      </c>
      <c r="AG118" s="1671">
        <v>0</v>
      </c>
      <c r="AH118" s="1671">
        <v>1</v>
      </c>
      <c r="AI118" s="1671">
        <v>59344</v>
      </c>
      <c r="AJ118" s="1671">
        <v>2195</v>
      </c>
      <c r="AK118" s="1671">
        <v>0</v>
      </c>
      <c r="AL118" s="1671">
        <v>0</v>
      </c>
      <c r="AM118" s="1671"/>
      <c r="AN118" s="1671"/>
      <c r="AO118" s="1677"/>
      <c r="AP118" s="332"/>
      <c r="AQ118" s="304" t="str">
        <f t="shared" si="2"/>
        <v/>
      </c>
      <c r="AS118" s="304" t="str">
        <f t="shared" si="3"/>
        <v>wci_corp</v>
      </c>
    </row>
    <row r="119" spans="2:45">
      <c r="B119" s="1670" t="s">
        <v>1324</v>
      </c>
      <c r="C119" s="1671">
        <v>43799</v>
      </c>
      <c r="D119" s="1672">
        <v>8000</v>
      </c>
      <c r="E119" s="1672">
        <v>0</v>
      </c>
      <c r="F119" s="1673" t="s">
        <v>729</v>
      </c>
      <c r="G119" s="1671" t="s">
        <v>1989</v>
      </c>
      <c r="H119" s="1674" t="s">
        <v>730</v>
      </c>
      <c r="I119" s="1671" t="s">
        <v>1990</v>
      </c>
      <c r="J119" s="1671" t="s">
        <v>731</v>
      </c>
      <c r="K119" s="1671" t="s">
        <v>732</v>
      </c>
      <c r="L119" s="1675"/>
      <c r="M119" s="1675"/>
      <c r="N119" s="1675" t="s">
        <v>1294</v>
      </c>
      <c r="O119" s="1671"/>
      <c r="P119" s="1675"/>
      <c r="Q119" s="1676"/>
      <c r="R119" s="1671"/>
      <c r="S119" s="1671"/>
      <c r="T119" s="1671"/>
      <c r="U119" s="1671" t="s">
        <v>1991</v>
      </c>
      <c r="V119" s="1671" t="s">
        <v>1991</v>
      </c>
      <c r="W119" s="1671"/>
      <c r="X119" s="1671">
        <v>43801</v>
      </c>
      <c r="Y119" s="1671">
        <v>43801</v>
      </c>
      <c r="Z119" s="1671"/>
      <c r="AA119" s="1671"/>
      <c r="AB119" s="1671" t="s">
        <v>733</v>
      </c>
      <c r="AC119" s="1671">
        <v>0</v>
      </c>
      <c r="AD119" s="1671">
        <v>0</v>
      </c>
      <c r="AE119" s="1671">
        <v>0</v>
      </c>
      <c r="AF119" s="1671">
        <v>0</v>
      </c>
      <c r="AG119" s="1671">
        <v>0</v>
      </c>
      <c r="AH119" s="1671">
        <v>1</v>
      </c>
      <c r="AI119" s="1671">
        <v>59341</v>
      </c>
      <c r="AJ119" s="1671">
        <v>2195</v>
      </c>
      <c r="AK119" s="1671">
        <v>0</v>
      </c>
      <c r="AL119" s="1671">
        <v>0</v>
      </c>
      <c r="AM119" s="1671"/>
      <c r="AN119" s="1671"/>
      <c r="AO119" s="1677"/>
      <c r="AP119" s="332"/>
      <c r="AQ119" s="304" t="str">
        <f t="shared" si="2"/>
        <v/>
      </c>
      <c r="AS119" s="304" t="str">
        <f t="shared" si="3"/>
        <v>wci_corp</v>
      </c>
    </row>
    <row r="120" spans="2:45">
      <c r="B120" s="1670" t="s">
        <v>1300</v>
      </c>
      <c r="C120" s="1671">
        <v>43799</v>
      </c>
      <c r="D120" s="1672">
        <v>200.92</v>
      </c>
      <c r="E120" s="1672">
        <v>0</v>
      </c>
      <c r="F120" s="1673" t="s">
        <v>729</v>
      </c>
      <c r="G120" s="1671" t="s">
        <v>1989</v>
      </c>
      <c r="H120" s="1674" t="s">
        <v>730</v>
      </c>
      <c r="I120" s="1671" t="s">
        <v>1990</v>
      </c>
      <c r="J120" s="1671" t="s">
        <v>731</v>
      </c>
      <c r="K120" s="1671" t="s">
        <v>732</v>
      </c>
      <c r="L120" s="1675"/>
      <c r="M120" s="1675"/>
      <c r="N120" s="1675" t="s">
        <v>1965</v>
      </c>
      <c r="O120" s="1671"/>
      <c r="P120" s="1675"/>
      <c r="Q120" s="1676"/>
      <c r="R120" s="1671"/>
      <c r="S120" s="1671"/>
      <c r="T120" s="1671"/>
      <c r="U120" s="1671" t="s">
        <v>1991</v>
      </c>
      <c r="V120" s="1671" t="s">
        <v>1991</v>
      </c>
      <c r="W120" s="1671"/>
      <c r="X120" s="1671">
        <v>43801</v>
      </c>
      <c r="Y120" s="1671">
        <v>43801</v>
      </c>
      <c r="Z120" s="1671"/>
      <c r="AA120" s="1671"/>
      <c r="AB120" s="1671" t="s">
        <v>733</v>
      </c>
      <c r="AC120" s="1671">
        <v>0</v>
      </c>
      <c r="AD120" s="1671">
        <v>0</v>
      </c>
      <c r="AE120" s="1671">
        <v>0</v>
      </c>
      <c r="AF120" s="1671">
        <v>0</v>
      </c>
      <c r="AG120" s="1671">
        <v>0</v>
      </c>
      <c r="AH120" s="1671">
        <v>1</v>
      </c>
      <c r="AI120" s="1671">
        <v>59343</v>
      </c>
      <c r="AJ120" s="1671">
        <v>2195</v>
      </c>
      <c r="AK120" s="1671">
        <v>0</v>
      </c>
      <c r="AL120" s="1671">
        <v>0</v>
      </c>
      <c r="AM120" s="1671"/>
      <c r="AN120" s="1671"/>
      <c r="AO120" s="1677"/>
      <c r="AP120" s="332"/>
      <c r="AQ120" s="304" t="str">
        <f t="shared" si="2"/>
        <v/>
      </c>
      <c r="AS120" s="304" t="str">
        <f t="shared" si="3"/>
        <v>wci_corp</v>
      </c>
    </row>
    <row r="121" spans="2:45">
      <c r="B121" s="1670" t="s">
        <v>1312</v>
      </c>
      <c r="C121" s="1671">
        <v>43799</v>
      </c>
      <c r="D121" s="1672">
        <v>8603.1299999999992</v>
      </c>
      <c r="E121" s="1672">
        <v>0</v>
      </c>
      <c r="F121" s="1673" t="s">
        <v>729</v>
      </c>
      <c r="G121" s="1671" t="s">
        <v>1992</v>
      </c>
      <c r="H121" s="1674" t="s">
        <v>730</v>
      </c>
      <c r="I121" s="1671" t="s">
        <v>1783</v>
      </c>
      <c r="J121" s="1671" t="s">
        <v>735</v>
      </c>
      <c r="K121" s="1671" t="s">
        <v>732</v>
      </c>
      <c r="L121" s="1675"/>
      <c r="M121" s="1675"/>
      <c r="N121" s="1675" t="s">
        <v>1993</v>
      </c>
      <c r="O121" s="1671"/>
      <c r="P121" s="1675"/>
      <c r="Q121" s="1676"/>
      <c r="R121" s="1671"/>
      <c r="S121" s="1671"/>
      <c r="T121" s="1671"/>
      <c r="U121" s="1671" t="s">
        <v>1994</v>
      </c>
      <c r="V121" s="1671" t="s">
        <v>1994</v>
      </c>
      <c r="W121" s="1671"/>
      <c r="X121" s="1671">
        <v>43804</v>
      </c>
      <c r="Y121" s="1671">
        <v>43805</v>
      </c>
      <c r="Z121" s="1671"/>
      <c r="AA121" s="1671"/>
      <c r="AB121" s="1671" t="s">
        <v>733</v>
      </c>
      <c r="AC121" s="1671">
        <v>0</v>
      </c>
      <c r="AD121" s="1671">
        <v>0</v>
      </c>
      <c r="AE121" s="1671">
        <v>0</v>
      </c>
      <c r="AF121" s="1671">
        <v>0</v>
      </c>
      <c r="AG121" s="1671">
        <v>0</v>
      </c>
      <c r="AH121" s="1671">
        <v>1</v>
      </c>
      <c r="AI121" s="1671">
        <v>59400</v>
      </c>
      <c r="AJ121" s="1671">
        <v>2195</v>
      </c>
      <c r="AK121" s="1671">
        <v>0</v>
      </c>
      <c r="AL121" s="1671">
        <v>0</v>
      </c>
      <c r="AM121" s="1671"/>
      <c r="AN121" s="1671"/>
      <c r="AO121" s="1677"/>
      <c r="AP121" s="332"/>
      <c r="AQ121" s="304" t="str">
        <f t="shared" si="2"/>
        <v/>
      </c>
      <c r="AS121" s="304" t="str">
        <f t="shared" si="3"/>
        <v>wci_corp</v>
      </c>
    </row>
    <row r="122" spans="2:45">
      <c r="B122" s="1670" t="s">
        <v>1312</v>
      </c>
      <c r="C122" s="1671">
        <v>43808</v>
      </c>
      <c r="D122" s="1672">
        <v>8603.1299999999992</v>
      </c>
      <c r="E122" s="1672">
        <v>0</v>
      </c>
      <c r="F122" s="1673" t="s">
        <v>729</v>
      </c>
      <c r="G122" s="1671" t="s">
        <v>1995</v>
      </c>
      <c r="H122" s="1674" t="s">
        <v>730</v>
      </c>
      <c r="I122" s="1671" t="s">
        <v>1039</v>
      </c>
      <c r="J122" s="1671" t="s">
        <v>1038</v>
      </c>
      <c r="K122" s="1671" t="s">
        <v>732</v>
      </c>
      <c r="L122" s="1675" t="s">
        <v>1340</v>
      </c>
      <c r="M122" s="1675"/>
      <c r="N122" s="1675" t="s">
        <v>1341</v>
      </c>
      <c r="O122" s="1671">
        <v>43770</v>
      </c>
      <c r="P122" s="1675" t="s">
        <v>1996</v>
      </c>
      <c r="Q122" s="1676">
        <v>6767355</v>
      </c>
      <c r="R122" s="1671" t="s">
        <v>1997</v>
      </c>
      <c r="S122" s="1671"/>
      <c r="T122" s="1671"/>
      <c r="U122" s="1671" t="s">
        <v>1998</v>
      </c>
      <c r="V122" s="1671" t="s">
        <v>1999</v>
      </c>
      <c r="W122" s="1671" t="s">
        <v>1287</v>
      </c>
      <c r="X122" s="1671">
        <v>43808</v>
      </c>
      <c r="Y122" s="1671">
        <v>43818</v>
      </c>
      <c r="Z122" s="1671">
        <v>8603.1299999999992</v>
      </c>
      <c r="AA122" s="1671">
        <v>43780</v>
      </c>
      <c r="AB122" s="1671" t="s">
        <v>733</v>
      </c>
      <c r="AC122" s="1671">
        <v>0</v>
      </c>
      <c r="AD122" s="1671">
        <v>0</v>
      </c>
      <c r="AE122" s="1671">
        <v>0</v>
      </c>
      <c r="AF122" s="1671">
        <v>0</v>
      </c>
      <c r="AG122" s="1671">
        <v>0</v>
      </c>
      <c r="AH122" s="1671">
        <v>1</v>
      </c>
      <c r="AI122" s="1671">
        <v>59400</v>
      </c>
      <c r="AJ122" s="1671">
        <v>2195</v>
      </c>
      <c r="AK122" s="1671">
        <v>0</v>
      </c>
      <c r="AL122" s="1671">
        <v>0</v>
      </c>
      <c r="AM122" s="1671"/>
      <c r="AN122" s="1671"/>
      <c r="AO122" s="1677"/>
      <c r="AP122" s="332"/>
      <c r="AQ122" s="304" t="str">
        <f t="shared" si="2"/>
        <v>VO05239434</v>
      </c>
      <c r="AS122" s="304" t="str">
        <f t="shared" si="3"/>
        <v>wci_corp</v>
      </c>
    </row>
    <row r="123" spans="2:45">
      <c r="B123" s="1670" t="s">
        <v>1312</v>
      </c>
      <c r="C123" s="1671">
        <v>43830</v>
      </c>
      <c r="D123" s="1672">
        <v>-8603.1299999999992</v>
      </c>
      <c r="E123" s="1672">
        <v>0</v>
      </c>
      <c r="F123" s="1673" t="s">
        <v>729</v>
      </c>
      <c r="G123" s="1671" t="s">
        <v>2000</v>
      </c>
      <c r="H123" s="1674" t="s">
        <v>730</v>
      </c>
      <c r="I123" s="1671" t="s">
        <v>1783</v>
      </c>
      <c r="J123" s="1671" t="s">
        <v>736</v>
      </c>
      <c r="K123" s="1671" t="s">
        <v>732</v>
      </c>
      <c r="L123" s="1675"/>
      <c r="M123" s="1675"/>
      <c r="N123" s="1675" t="s">
        <v>1993</v>
      </c>
      <c r="O123" s="1671"/>
      <c r="P123" s="1675"/>
      <c r="Q123" s="1676"/>
      <c r="R123" s="1671"/>
      <c r="S123" s="1671"/>
      <c r="T123" s="1671"/>
      <c r="U123" s="1671" t="s">
        <v>1994</v>
      </c>
      <c r="V123" s="1671" t="s">
        <v>2001</v>
      </c>
      <c r="W123" s="1671"/>
      <c r="X123" s="1671">
        <v>43805</v>
      </c>
      <c r="Y123" s="1671">
        <v>43805</v>
      </c>
      <c r="Z123" s="1671"/>
      <c r="AA123" s="1671"/>
      <c r="AB123" s="1671" t="s">
        <v>733</v>
      </c>
      <c r="AC123" s="1671">
        <v>0</v>
      </c>
      <c r="AD123" s="1671">
        <v>0</v>
      </c>
      <c r="AE123" s="1671">
        <v>0</v>
      </c>
      <c r="AF123" s="1671">
        <v>0</v>
      </c>
      <c r="AG123" s="1671">
        <v>5</v>
      </c>
      <c r="AH123" s="1671">
        <v>1</v>
      </c>
      <c r="AI123" s="1671">
        <v>59400</v>
      </c>
      <c r="AJ123" s="1671">
        <v>2195</v>
      </c>
      <c r="AK123" s="1671">
        <v>0</v>
      </c>
      <c r="AL123" s="1671">
        <v>0</v>
      </c>
      <c r="AM123" s="1671"/>
      <c r="AN123" s="1671"/>
      <c r="AO123" s="1677"/>
      <c r="AP123" s="332"/>
      <c r="AQ123" s="304" t="str">
        <f t="shared" si="2"/>
        <v/>
      </c>
      <c r="AS123" s="304" t="str">
        <f t="shared" si="3"/>
        <v>wci_corp</v>
      </c>
    </row>
    <row r="124" spans="2:45">
      <c r="B124" s="1670" t="s">
        <v>1324</v>
      </c>
      <c r="C124" s="1671">
        <v>43830</v>
      </c>
      <c r="D124" s="1672">
        <v>31000</v>
      </c>
      <c r="E124" s="1672">
        <v>0</v>
      </c>
      <c r="F124" s="1673" t="s">
        <v>729</v>
      </c>
      <c r="G124" s="1671" t="s">
        <v>2002</v>
      </c>
      <c r="H124" s="1674" t="s">
        <v>730</v>
      </c>
      <c r="I124" s="1671" t="s">
        <v>2003</v>
      </c>
      <c r="J124" s="1671" t="s">
        <v>734</v>
      </c>
      <c r="K124" s="1671" t="s">
        <v>732</v>
      </c>
      <c r="L124" s="1675"/>
      <c r="M124" s="1675"/>
      <c r="N124" s="1675" t="s">
        <v>1294</v>
      </c>
      <c r="O124" s="1671"/>
      <c r="P124" s="1675"/>
      <c r="Q124" s="1676"/>
      <c r="R124" s="1671"/>
      <c r="S124" s="1671"/>
      <c r="T124" s="1671"/>
      <c r="U124" s="1671" t="s">
        <v>2004</v>
      </c>
      <c r="V124" s="1671" t="s">
        <v>2004</v>
      </c>
      <c r="W124" s="1671"/>
      <c r="X124" s="1671">
        <v>43832</v>
      </c>
      <c r="Y124" s="1671">
        <v>43832</v>
      </c>
      <c r="Z124" s="1671"/>
      <c r="AA124" s="1671"/>
      <c r="AB124" s="1671" t="s">
        <v>733</v>
      </c>
      <c r="AC124" s="1671">
        <v>0</v>
      </c>
      <c r="AD124" s="1671">
        <v>0</v>
      </c>
      <c r="AE124" s="1671">
        <v>0</v>
      </c>
      <c r="AF124" s="1671">
        <v>0</v>
      </c>
      <c r="AG124" s="1671">
        <v>0</v>
      </c>
      <c r="AH124" s="1671">
        <v>1</v>
      </c>
      <c r="AI124" s="1671">
        <v>59341</v>
      </c>
      <c r="AJ124" s="1671">
        <v>2195</v>
      </c>
      <c r="AK124" s="1671">
        <v>0</v>
      </c>
      <c r="AL124" s="1671">
        <v>0</v>
      </c>
      <c r="AM124" s="1671"/>
      <c r="AN124" s="1671"/>
      <c r="AO124" s="1677"/>
      <c r="AP124" s="332"/>
      <c r="AQ124" s="304" t="str">
        <f t="shared" si="2"/>
        <v/>
      </c>
      <c r="AS124" s="304" t="str">
        <f t="shared" si="3"/>
        <v>wci_corp</v>
      </c>
    </row>
    <row r="125" spans="2:45">
      <c r="B125" s="1670" t="s">
        <v>1291</v>
      </c>
      <c r="C125" s="1671">
        <v>43861</v>
      </c>
      <c r="D125" s="1672">
        <v>561.5</v>
      </c>
      <c r="E125" s="1672">
        <v>0</v>
      </c>
      <c r="F125" s="1673" t="s">
        <v>729</v>
      </c>
      <c r="G125" s="1671" t="s">
        <v>1292</v>
      </c>
      <c r="H125" s="1674" t="s">
        <v>730</v>
      </c>
      <c r="I125" s="1671" t="s">
        <v>1293</v>
      </c>
      <c r="J125" s="1671" t="s">
        <v>734</v>
      </c>
      <c r="K125" s="1671" t="s">
        <v>732</v>
      </c>
      <c r="L125" s="1675"/>
      <c r="M125" s="1675"/>
      <c r="N125" s="1675" t="s">
        <v>1294</v>
      </c>
      <c r="O125" s="1671"/>
      <c r="P125" s="1675"/>
      <c r="Q125" s="1676"/>
      <c r="R125" s="1671"/>
      <c r="S125" s="1671"/>
      <c r="T125" s="1671"/>
      <c r="U125" s="1671" t="s">
        <v>1295</v>
      </c>
      <c r="V125" s="1671" t="s">
        <v>1295</v>
      </c>
      <c r="W125" s="1671"/>
      <c r="X125" s="1671">
        <v>43861</v>
      </c>
      <c r="Y125" s="1671">
        <v>43861</v>
      </c>
      <c r="Z125" s="1671"/>
      <c r="AA125" s="1671"/>
      <c r="AB125" s="1671" t="s">
        <v>733</v>
      </c>
      <c r="AC125" s="1671">
        <v>0</v>
      </c>
      <c r="AD125" s="1671">
        <v>0</v>
      </c>
      <c r="AE125" s="1671">
        <v>0</v>
      </c>
      <c r="AF125" s="1671">
        <v>0</v>
      </c>
      <c r="AG125" s="1671">
        <v>0</v>
      </c>
      <c r="AH125" s="1671">
        <v>1</v>
      </c>
      <c r="AI125" s="1671">
        <v>59342</v>
      </c>
      <c r="AJ125" s="1671">
        <v>2195</v>
      </c>
      <c r="AK125" s="1671">
        <v>0</v>
      </c>
      <c r="AL125" s="1671">
        <v>0</v>
      </c>
      <c r="AM125" s="1671"/>
      <c r="AN125" s="1671"/>
      <c r="AO125" s="1677"/>
      <c r="AP125" s="332"/>
      <c r="AQ125" s="304" t="str">
        <f t="shared" si="2"/>
        <v/>
      </c>
      <c r="AS125" s="304" t="str">
        <f t="shared" si="3"/>
        <v>wci_corp</v>
      </c>
    </row>
    <row r="126" spans="2:45">
      <c r="B126" s="1670" t="s">
        <v>1291</v>
      </c>
      <c r="C126" s="1671">
        <v>43890</v>
      </c>
      <c r="D126" s="1672">
        <v>1250</v>
      </c>
      <c r="E126" s="1672">
        <v>0</v>
      </c>
      <c r="F126" s="1673" t="s">
        <v>729</v>
      </c>
      <c r="G126" s="1671" t="s">
        <v>1296</v>
      </c>
      <c r="H126" s="1674" t="s">
        <v>730</v>
      </c>
      <c r="I126" s="1671" t="s">
        <v>1297</v>
      </c>
      <c r="J126" s="1671" t="s">
        <v>734</v>
      </c>
      <c r="K126" s="1671" t="s">
        <v>732</v>
      </c>
      <c r="L126" s="1675"/>
      <c r="M126" s="1675"/>
      <c r="N126" s="1675" t="s">
        <v>1298</v>
      </c>
      <c r="O126" s="1671"/>
      <c r="P126" s="1675"/>
      <c r="Q126" s="1676"/>
      <c r="R126" s="1671"/>
      <c r="S126" s="1671"/>
      <c r="T126" s="1671"/>
      <c r="U126" s="1671" t="s">
        <v>1299</v>
      </c>
      <c r="V126" s="1671" t="s">
        <v>1299</v>
      </c>
      <c r="W126" s="1671"/>
      <c r="X126" s="1671">
        <v>43892</v>
      </c>
      <c r="Y126" s="1671">
        <v>43892</v>
      </c>
      <c r="Z126" s="1671"/>
      <c r="AA126" s="1671"/>
      <c r="AB126" s="1671" t="s">
        <v>733</v>
      </c>
      <c r="AC126" s="1671">
        <v>0</v>
      </c>
      <c r="AD126" s="1671">
        <v>0</v>
      </c>
      <c r="AE126" s="1671">
        <v>0</v>
      </c>
      <c r="AF126" s="1671">
        <v>0</v>
      </c>
      <c r="AG126" s="1671">
        <v>0</v>
      </c>
      <c r="AH126" s="1671">
        <v>1</v>
      </c>
      <c r="AI126" s="1671">
        <v>59342</v>
      </c>
      <c r="AJ126" s="1671">
        <v>2195</v>
      </c>
      <c r="AK126" s="1671">
        <v>0</v>
      </c>
      <c r="AL126" s="1671">
        <v>0</v>
      </c>
      <c r="AM126" s="1671"/>
      <c r="AN126" s="1671"/>
      <c r="AO126" s="1677"/>
      <c r="AP126" s="332"/>
      <c r="AQ126" s="304" t="str">
        <f t="shared" si="2"/>
        <v/>
      </c>
      <c r="AS126" s="304" t="str">
        <f t="shared" si="3"/>
        <v>wci_corp</v>
      </c>
    </row>
    <row r="127" spans="2:45">
      <c r="B127" s="1670" t="s">
        <v>1300</v>
      </c>
      <c r="C127" s="1671">
        <v>43921</v>
      </c>
      <c r="D127" s="1672">
        <v>4800</v>
      </c>
      <c r="E127" s="1672">
        <v>0</v>
      </c>
      <c r="F127" s="1673" t="s">
        <v>729</v>
      </c>
      <c r="G127" s="1671" t="s">
        <v>1301</v>
      </c>
      <c r="H127" s="1674" t="s">
        <v>730</v>
      </c>
      <c r="I127" s="1671" t="s">
        <v>1302</v>
      </c>
      <c r="J127" s="1671" t="s">
        <v>734</v>
      </c>
      <c r="K127" s="1671" t="s">
        <v>732</v>
      </c>
      <c r="L127" s="1675"/>
      <c r="M127" s="1675"/>
      <c r="N127" s="1675" t="s">
        <v>1303</v>
      </c>
      <c r="O127" s="1671"/>
      <c r="P127" s="1675"/>
      <c r="Q127" s="1676"/>
      <c r="R127" s="1671"/>
      <c r="S127" s="1671"/>
      <c r="T127" s="1671"/>
      <c r="U127" s="1671" t="s">
        <v>1304</v>
      </c>
      <c r="V127" s="1671" t="s">
        <v>1304</v>
      </c>
      <c r="W127" s="1671"/>
      <c r="X127" s="1671">
        <v>43922</v>
      </c>
      <c r="Y127" s="1671">
        <v>43922</v>
      </c>
      <c r="Z127" s="1671"/>
      <c r="AA127" s="1671"/>
      <c r="AB127" s="1671" t="s">
        <v>733</v>
      </c>
      <c r="AC127" s="1671">
        <v>0</v>
      </c>
      <c r="AD127" s="1671">
        <v>0</v>
      </c>
      <c r="AE127" s="1671">
        <v>0</v>
      </c>
      <c r="AF127" s="1671">
        <v>0</v>
      </c>
      <c r="AG127" s="1671">
        <v>0</v>
      </c>
      <c r="AH127" s="1671">
        <v>1</v>
      </c>
      <c r="AI127" s="1671">
        <v>59343</v>
      </c>
      <c r="AJ127" s="1671">
        <v>2195</v>
      </c>
      <c r="AK127" s="1671">
        <v>0</v>
      </c>
      <c r="AL127" s="1671">
        <v>0</v>
      </c>
      <c r="AM127" s="1671"/>
      <c r="AN127" s="1671"/>
      <c r="AO127" s="1677"/>
      <c r="AP127" s="332"/>
      <c r="AQ127" s="304" t="str">
        <f t="shared" si="2"/>
        <v/>
      </c>
      <c r="AS127" s="304" t="str">
        <f t="shared" si="3"/>
        <v>wci_corp</v>
      </c>
    </row>
    <row r="128" spans="2:45">
      <c r="B128" s="1670" t="s">
        <v>1300</v>
      </c>
      <c r="C128" s="1671">
        <v>43921</v>
      </c>
      <c r="D128" s="1672">
        <v>11850</v>
      </c>
      <c r="E128" s="1672">
        <v>0</v>
      </c>
      <c r="F128" s="1673" t="s">
        <v>729</v>
      </c>
      <c r="G128" s="1671" t="s">
        <v>1305</v>
      </c>
      <c r="H128" s="1674" t="s">
        <v>730</v>
      </c>
      <c r="I128" s="1671" t="s">
        <v>1306</v>
      </c>
      <c r="J128" s="1671" t="s">
        <v>735</v>
      </c>
      <c r="K128" s="1671" t="s">
        <v>732</v>
      </c>
      <c r="L128" s="1675"/>
      <c r="M128" s="1675"/>
      <c r="N128" s="1675" t="s">
        <v>1303</v>
      </c>
      <c r="O128" s="1671"/>
      <c r="P128" s="1675"/>
      <c r="Q128" s="1676"/>
      <c r="R128" s="1671"/>
      <c r="S128" s="1671"/>
      <c r="T128" s="1671"/>
      <c r="U128" s="1671" t="s">
        <v>1307</v>
      </c>
      <c r="V128" s="1671" t="s">
        <v>1307</v>
      </c>
      <c r="W128" s="1671"/>
      <c r="X128" s="1671">
        <v>43923</v>
      </c>
      <c r="Y128" s="1671">
        <v>43923</v>
      </c>
      <c r="Z128" s="1671"/>
      <c r="AA128" s="1671"/>
      <c r="AB128" s="1671" t="s">
        <v>733</v>
      </c>
      <c r="AC128" s="1671">
        <v>0</v>
      </c>
      <c r="AD128" s="1671">
        <v>0</v>
      </c>
      <c r="AE128" s="1671">
        <v>0</v>
      </c>
      <c r="AF128" s="1671">
        <v>0</v>
      </c>
      <c r="AG128" s="1671">
        <v>0</v>
      </c>
      <c r="AH128" s="1671">
        <v>1</v>
      </c>
      <c r="AI128" s="1671">
        <v>59343</v>
      </c>
      <c r="AJ128" s="1671">
        <v>2195</v>
      </c>
      <c r="AK128" s="1671">
        <v>0</v>
      </c>
      <c r="AL128" s="1671">
        <v>0</v>
      </c>
      <c r="AM128" s="1671"/>
      <c r="AN128" s="1671"/>
      <c r="AO128" s="1677"/>
      <c r="AP128" s="332"/>
      <c r="AQ128" s="304" t="str">
        <f t="shared" si="2"/>
        <v/>
      </c>
      <c r="AS128" s="304" t="str">
        <f t="shared" si="3"/>
        <v>wci_corp</v>
      </c>
    </row>
    <row r="129" spans="2:45">
      <c r="B129" s="1670" t="s">
        <v>1300</v>
      </c>
      <c r="C129" s="1671">
        <v>43921</v>
      </c>
      <c r="D129" s="1672">
        <v>4200</v>
      </c>
      <c r="E129" s="1672">
        <v>0</v>
      </c>
      <c r="F129" s="1673" t="s">
        <v>729</v>
      </c>
      <c r="G129" s="1671" t="s">
        <v>1305</v>
      </c>
      <c r="H129" s="1674" t="s">
        <v>730</v>
      </c>
      <c r="I129" s="1671" t="s">
        <v>1306</v>
      </c>
      <c r="J129" s="1671" t="s">
        <v>735</v>
      </c>
      <c r="K129" s="1671" t="s">
        <v>732</v>
      </c>
      <c r="L129" s="1675"/>
      <c r="M129" s="1675"/>
      <c r="N129" s="1675" t="s">
        <v>1308</v>
      </c>
      <c r="O129" s="1671"/>
      <c r="P129" s="1675"/>
      <c r="Q129" s="1676"/>
      <c r="R129" s="1671"/>
      <c r="S129" s="1671"/>
      <c r="T129" s="1671"/>
      <c r="U129" s="1671" t="s">
        <v>1307</v>
      </c>
      <c r="V129" s="1671" t="s">
        <v>1307</v>
      </c>
      <c r="W129" s="1671"/>
      <c r="X129" s="1671">
        <v>43923</v>
      </c>
      <c r="Y129" s="1671">
        <v>43923</v>
      </c>
      <c r="Z129" s="1671"/>
      <c r="AA129" s="1671"/>
      <c r="AB129" s="1671" t="s">
        <v>733</v>
      </c>
      <c r="AC129" s="1671">
        <v>0</v>
      </c>
      <c r="AD129" s="1671">
        <v>0</v>
      </c>
      <c r="AE129" s="1671">
        <v>0</v>
      </c>
      <c r="AF129" s="1671">
        <v>0</v>
      </c>
      <c r="AG129" s="1671">
        <v>0</v>
      </c>
      <c r="AH129" s="1671">
        <v>1</v>
      </c>
      <c r="AI129" s="1671">
        <v>59343</v>
      </c>
      <c r="AJ129" s="1671">
        <v>2195</v>
      </c>
      <c r="AK129" s="1671">
        <v>0</v>
      </c>
      <c r="AL129" s="1671">
        <v>0</v>
      </c>
      <c r="AM129" s="1671"/>
      <c r="AN129" s="1671"/>
      <c r="AO129" s="1677"/>
      <c r="AP129" s="332"/>
      <c r="AQ129" s="304" t="str">
        <f t="shared" si="2"/>
        <v/>
      </c>
      <c r="AS129" s="304" t="str">
        <f t="shared" si="3"/>
        <v>wci_corp</v>
      </c>
    </row>
    <row r="130" spans="2:45">
      <c r="B130" s="1670" t="s">
        <v>1291</v>
      </c>
      <c r="C130" s="1671">
        <v>43951</v>
      </c>
      <c r="D130" s="1672">
        <v>-1250</v>
      </c>
      <c r="E130" s="1672">
        <v>0</v>
      </c>
      <c r="F130" s="1673" t="s">
        <v>729</v>
      </c>
      <c r="G130" s="1671" t="s">
        <v>1309</v>
      </c>
      <c r="H130" s="1674" t="s">
        <v>730</v>
      </c>
      <c r="I130" s="1671" t="s">
        <v>1310</v>
      </c>
      <c r="J130" s="1671" t="s">
        <v>735</v>
      </c>
      <c r="K130" s="1671" t="s">
        <v>732</v>
      </c>
      <c r="L130" s="1675"/>
      <c r="M130" s="1675"/>
      <c r="N130" s="1675" t="s">
        <v>1298</v>
      </c>
      <c r="O130" s="1671"/>
      <c r="P130" s="1675"/>
      <c r="Q130" s="1676"/>
      <c r="R130" s="1671"/>
      <c r="S130" s="1671"/>
      <c r="T130" s="1671"/>
      <c r="U130" s="1671" t="s">
        <v>1311</v>
      </c>
      <c r="V130" s="1671" t="s">
        <v>1311</v>
      </c>
      <c r="W130" s="1671"/>
      <c r="X130" s="1671">
        <v>43955</v>
      </c>
      <c r="Y130" s="1671">
        <v>43955</v>
      </c>
      <c r="Z130" s="1671"/>
      <c r="AA130" s="1671"/>
      <c r="AB130" s="1671" t="s">
        <v>733</v>
      </c>
      <c r="AC130" s="1671">
        <v>0</v>
      </c>
      <c r="AD130" s="1671">
        <v>0</v>
      </c>
      <c r="AE130" s="1671">
        <v>0</v>
      </c>
      <c r="AF130" s="1671">
        <v>0</v>
      </c>
      <c r="AG130" s="1671">
        <v>0</v>
      </c>
      <c r="AH130" s="1671">
        <v>1</v>
      </c>
      <c r="AI130" s="1671">
        <v>59342</v>
      </c>
      <c r="AJ130" s="1671">
        <v>2195</v>
      </c>
      <c r="AK130" s="1671">
        <v>0</v>
      </c>
      <c r="AL130" s="1671">
        <v>0</v>
      </c>
      <c r="AM130" s="1671"/>
      <c r="AN130" s="1671"/>
      <c r="AO130" s="1677"/>
      <c r="AP130" s="332"/>
      <c r="AQ130" s="304" t="str">
        <f t="shared" si="2"/>
        <v/>
      </c>
      <c r="AS130" s="304" t="str">
        <f t="shared" si="3"/>
        <v>wci_corp</v>
      </c>
    </row>
    <row r="131" spans="2:45">
      <c r="B131" s="1670" t="s">
        <v>1300</v>
      </c>
      <c r="C131" s="1671">
        <v>43951</v>
      </c>
      <c r="D131" s="1672">
        <v>9420</v>
      </c>
      <c r="E131" s="1672">
        <v>0</v>
      </c>
      <c r="F131" s="1673" t="s">
        <v>729</v>
      </c>
      <c r="G131" s="1671" t="s">
        <v>1309</v>
      </c>
      <c r="H131" s="1674" t="s">
        <v>730</v>
      </c>
      <c r="I131" s="1671" t="s">
        <v>1310</v>
      </c>
      <c r="J131" s="1671" t="s">
        <v>735</v>
      </c>
      <c r="K131" s="1671" t="s">
        <v>732</v>
      </c>
      <c r="L131" s="1675"/>
      <c r="M131" s="1675"/>
      <c r="N131" s="1675" t="s">
        <v>1308</v>
      </c>
      <c r="O131" s="1671"/>
      <c r="P131" s="1675"/>
      <c r="Q131" s="1676"/>
      <c r="R131" s="1671"/>
      <c r="S131" s="1671"/>
      <c r="T131" s="1671"/>
      <c r="U131" s="1671" t="s">
        <v>1311</v>
      </c>
      <c r="V131" s="1671" t="s">
        <v>1311</v>
      </c>
      <c r="W131" s="1671"/>
      <c r="X131" s="1671">
        <v>43955</v>
      </c>
      <c r="Y131" s="1671">
        <v>43955</v>
      </c>
      <c r="Z131" s="1671"/>
      <c r="AA131" s="1671"/>
      <c r="AB131" s="1671" t="s">
        <v>733</v>
      </c>
      <c r="AC131" s="1671">
        <v>0</v>
      </c>
      <c r="AD131" s="1671">
        <v>0</v>
      </c>
      <c r="AE131" s="1671">
        <v>0</v>
      </c>
      <c r="AF131" s="1671">
        <v>0</v>
      </c>
      <c r="AG131" s="1671">
        <v>0</v>
      </c>
      <c r="AH131" s="1671">
        <v>1</v>
      </c>
      <c r="AI131" s="1671">
        <v>59343</v>
      </c>
      <c r="AJ131" s="1671">
        <v>2195</v>
      </c>
      <c r="AK131" s="1671">
        <v>0</v>
      </c>
      <c r="AL131" s="1671">
        <v>0</v>
      </c>
      <c r="AM131" s="1671"/>
      <c r="AN131" s="1671"/>
      <c r="AO131" s="1677"/>
      <c r="AP131" s="332"/>
      <c r="AQ131" s="304" t="str">
        <f t="shared" si="2"/>
        <v/>
      </c>
      <c r="AS131" s="304" t="str">
        <f t="shared" si="3"/>
        <v>wci_corp</v>
      </c>
    </row>
    <row r="132" spans="2:45">
      <c r="B132" s="1670" t="s">
        <v>1312</v>
      </c>
      <c r="C132" s="1671">
        <v>43951</v>
      </c>
      <c r="D132" s="1672">
        <v>476.08</v>
      </c>
      <c r="E132" s="1672">
        <v>0</v>
      </c>
      <c r="F132" s="1673" t="s">
        <v>729</v>
      </c>
      <c r="G132" s="1671" t="s">
        <v>1313</v>
      </c>
      <c r="H132" s="1674" t="s">
        <v>730</v>
      </c>
      <c r="I132" s="1671" t="s">
        <v>1286</v>
      </c>
      <c r="J132" s="1671" t="s">
        <v>737</v>
      </c>
      <c r="K132" s="1671" t="s">
        <v>732</v>
      </c>
      <c r="L132" s="1675"/>
      <c r="M132" s="1675"/>
      <c r="N132" s="1675" t="s">
        <v>1314</v>
      </c>
      <c r="O132" s="1671"/>
      <c r="P132" s="1675"/>
      <c r="Q132" s="1676"/>
      <c r="R132" s="1671"/>
      <c r="S132" s="1671"/>
      <c r="T132" s="1671"/>
      <c r="U132" s="1671" t="s">
        <v>1315</v>
      </c>
      <c r="V132" s="1671" t="s">
        <v>1315</v>
      </c>
      <c r="W132" s="1671"/>
      <c r="X132" s="1671">
        <v>43958</v>
      </c>
      <c r="Y132" s="1671">
        <v>43958</v>
      </c>
      <c r="Z132" s="1671"/>
      <c r="AA132" s="1671"/>
      <c r="AB132" s="1671" t="s">
        <v>733</v>
      </c>
      <c r="AC132" s="1671">
        <v>0</v>
      </c>
      <c r="AD132" s="1671">
        <v>0</v>
      </c>
      <c r="AE132" s="1671">
        <v>0</v>
      </c>
      <c r="AF132" s="1671">
        <v>0</v>
      </c>
      <c r="AG132" s="1671">
        <v>0</v>
      </c>
      <c r="AH132" s="1671">
        <v>1</v>
      </c>
      <c r="AI132" s="1671">
        <v>59400</v>
      </c>
      <c r="AJ132" s="1671">
        <v>2195</v>
      </c>
      <c r="AK132" s="1671">
        <v>0</v>
      </c>
      <c r="AL132" s="1671">
        <v>0</v>
      </c>
      <c r="AM132" s="1671"/>
      <c r="AN132" s="1671"/>
      <c r="AO132" s="1677"/>
      <c r="AP132" s="332"/>
      <c r="AQ132" s="304" t="str">
        <f t="shared" si="2"/>
        <v/>
      </c>
      <c r="AS132" s="304" t="str">
        <f t="shared" si="3"/>
        <v>wci_corp</v>
      </c>
    </row>
    <row r="133" spans="2:45">
      <c r="B133" s="1670" t="s">
        <v>1312</v>
      </c>
      <c r="C133" s="1671">
        <v>43958</v>
      </c>
      <c r="D133" s="1672">
        <v>476.08</v>
      </c>
      <c r="E133" s="1672">
        <v>0</v>
      </c>
      <c r="F133" s="1673" t="s">
        <v>729</v>
      </c>
      <c r="G133" s="1671" t="s">
        <v>1316</v>
      </c>
      <c r="H133" s="1674" t="s">
        <v>730</v>
      </c>
      <c r="I133" s="1671" t="s">
        <v>1039</v>
      </c>
      <c r="J133" s="1671" t="s">
        <v>1042</v>
      </c>
      <c r="K133" s="1671" t="s">
        <v>732</v>
      </c>
      <c r="L133" s="1675" t="s">
        <v>1317</v>
      </c>
      <c r="M133" s="1675"/>
      <c r="N133" s="1675" t="s">
        <v>1318</v>
      </c>
      <c r="O133" s="1671">
        <v>43924</v>
      </c>
      <c r="P133" s="1675" t="s">
        <v>1314</v>
      </c>
      <c r="Q133" s="1676">
        <v>148</v>
      </c>
      <c r="R133" s="1671" t="s">
        <v>1319</v>
      </c>
      <c r="S133" s="1671"/>
      <c r="T133" s="1671"/>
      <c r="U133" s="1671" t="s">
        <v>1320</v>
      </c>
      <c r="V133" s="1671" t="s">
        <v>1321</v>
      </c>
      <c r="W133" s="1671" t="s">
        <v>1287</v>
      </c>
      <c r="X133" s="1671">
        <v>43958</v>
      </c>
      <c r="Y133" s="1671">
        <v>43958</v>
      </c>
      <c r="Z133" s="1671">
        <v>476.08</v>
      </c>
      <c r="AA133" s="1671">
        <v>43925</v>
      </c>
      <c r="AB133" s="1671" t="s">
        <v>733</v>
      </c>
      <c r="AC133" s="1671">
        <v>0</v>
      </c>
      <c r="AD133" s="1671">
        <v>0</v>
      </c>
      <c r="AE133" s="1671">
        <v>0</v>
      </c>
      <c r="AF133" s="1671">
        <v>0</v>
      </c>
      <c r="AG133" s="1671">
        <v>0</v>
      </c>
      <c r="AH133" s="1671">
        <v>1</v>
      </c>
      <c r="AI133" s="1671">
        <v>59400</v>
      </c>
      <c r="AJ133" s="1671">
        <v>2195</v>
      </c>
      <c r="AK133" s="1671">
        <v>0</v>
      </c>
      <c r="AL133" s="1671">
        <v>0</v>
      </c>
      <c r="AM133" s="1671"/>
      <c r="AN133" s="1671"/>
      <c r="AO133" s="1677"/>
      <c r="AP133" s="332"/>
      <c r="AQ133" s="304" t="str">
        <f t="shared" si="2"/>
        <v>VO05401701</v>
      </c>
      <c r="AS133" s="304" t="str">
        <f t="shared" si="3"/>
        <v>wci_corp</v>
      </c>
    </row>
    <row r="134" spans="2:45">
      <c r="B134" s="1670" t="s">
        <v>1312</v>
      </c>
      <c r="C134" s="1671">
        <v>43982</v>
      </c>
      <c r="D134" s="1672">
        <v>-476.08</v>
      </c>
      <c r="E134" s="1672">
        <v>0</v>
      </c>
      <c r="F134" s="1673" t="s">
        <v>729</v>
      </c>
      <c r="G134" s="1671" t="s">
        <v>1322</v>
      </c>
      <c r="H134" s="1674" t="s">
        <v>730</v>
      </c>
      <c r="I134" s="1671" t="s">
        <v>1286</v>
      </c>
      <c r="J134" s="1671" t="s">
        <v>736</v>
      </c>
      <c r="K134" s="1671" t="s">
        <v>732</v>
      </c>
      <c r="L134" s="1675"/>
      <c r="M134" s="1675"/>
      <c r="N134" s="1675" t="s">
        <v>1314</v>
      </c>
      <c r="O134" s="1671"/>
      <c r="P134" s="1675"/>
      <c r="Q134" s="1676"/>
      <c r="R134" s="1671"/>
      <c r="S134" s="1671"/>
      <c r="T134" s="1671"/>
      <c r="U134" s="1671" t="s">
        <v>1315</v>
      </c>
      <c r="V134" s="1671" t="s">
        <v>1323</v>
      </c>
      <c r="W134" s="1671"/>
      <c r="X134" s="1671">
        <v>43958</v>
      </c>
      <c r="Y134" s="1671">
        <v>43958</v>
      </c>
      <c r="Z134" s="1671"/>
      <c r="AA134" s="1671"/>
      <c r="AB134" s="1671" t="s">
        <v>733</v>
      </c>
      <c r="AC134" s="1671">
        <v>0</v>
      </c>
      <c r="AD134" s="1671">
        <v>0</v>
      </c>
      <c r="AE134" s="1671">
        <v>0</v>
      </c>
      <c r="AF134" s="1671">
        <v>0</v>
      </c>
      <c r="AG134" s="1671">
        <v>5</v>
      </c>
      <c r="AH134" s="1671">
        <v>1</v>
      </c>
      <c r="AI134" s="1671">
        <v>59400</v>
      </c>
      <c r="AJ134" s="1671">
        <v>2195</v>
      </c>
      <c r="AK134" s="1671">
        <v>0</v>
      </c>
      <c r="AL134" s="1671">
        <v>0</v>
      </c>
      <c r="AM134" s="1671"/>
      <c r="AN134" s="1671"/>
      <c r="AO134" s="1677"/>
      <c r="AP134" s="332"/>
      <c r="AQ134" s="304" t="str">
        <f t="shared" si="2"/>
        <v/>
      </c>
      <c r="AS134" s="304" t="str">
        <f t="shared" si="3"/>
        <v>wci_corp</v>
      </c>
    </row>
    <row r="135" spans="2:45">
      <c r="B135" s="1670" t="s">
        <v>1324</v>
      </c>
      <c r="C135" s="1671">
        <v>43982</v>
      </c>
      <c r="D135" s="1672">
        <v>1250</v>
      </c>
      <c r="E135" s="1672">
        <v>0</v>
      </c>
      <c r="F135" s="1673" t="s">
        <v>729</v>
      </c>
      <c r="G135" s="1671" t="s">
        <v>1325</v>
      </c>
      <c r="H135" s="1674" t="s">
        <v>730</v>
      </c>
      <c r="I135" s="1671" t="s">
        <v>1326</v>
      </c>
      <c r="J135" s="1671" t="s">
        <v>736</v>
      </c>
      <c r="K135" s="1671" t="s">
        <v>732</v>
      </c>
      <c r="L135" s="1675"/>
      <c r="M135" s="1675"/>
      <c r="N135" s="1675" t="s">
        <v>1327</v>
      </c>
      <c r="O135" s="1671"/>
      <c r="P135" s="1675"/>
      <c r="Q135" s="1676"/>
      <c r="R135" s="1671"/>
      <c r="S135" s="1671"/>
      <c r="T135" s="1671"/>
      <c r="U135" s="1671" t="s">
        <v>1328</v>
      </c>
      <c r="V135" s="1671" t="s">
        <v>1328</v>
      </c>
      <c r="W135" s="1671"/>
      <c r="X135" s="1671">
        <v>43984</v>
      </c>
      <c r="Y135" s="1671">
        <v>43984</v>
      </c>
      <c r="Z135" s="1671"/>
      <c r="AA135" s="1671"/>
      <c r="AB135" s="1671" t="s">
        <v>733</v>
      </c>
      <c r="AC135" s="1671">
        <v>0</v>
      </c>
      <c r="AD135" s="1671">
        <v>0</v>
      </c>
      <c r="AE135" s="1671">
        <v>0</v>
      </c>
      <c r="AF135" s="1671">
        <v>0</v>
      </c>
      <c r="AG135" s="1671">
        <v>0</v>
      </c>
      <c r="AH135" s="1671">
        <v>1</v>
      </c>
      <c r="AI135" s="1671">
        <v>59341</v>
      </c>
      <c r="AJ135" s="1671">
        <v>2195</v>
      </c>
      <c r="AK135" s="1671">
        <v>0</v>
      </c>
      <c r="AL135" s="1671">
        <v>0</v>
      </c>
      <c r="AM135" s="1671"/>
      <c r="AN135" s="1671"/>
      <c r="AO135" s="1677"/>
      <c r="AP135" s="332"/>
      <c r="AQ135" s="304" t="str">
        <f t="shared" si="2"/>
        <v/>
      </c>
      <c r="AS135" s="304" t="str">
        <f t="shared" si="3"/>
        <v>wci_corp</v>
      </c>
    </row>
    <row r="136" spans="2:45">
      <c r="B136" s="1670" t="s">
        <v>1300</v>
      </c>
      <c r="C136" s="1671">
        <v>44043</v>
      </c>
      <c r="D136" s="1672">
        <v>4800</v>
      </c>
      <c r="E136" s="1672">
        <v>0</v>
      </c>
      <c r="F136" s="1673" t="s">
        <v>729</v>
      </c>
      <c r="G136" s="1671" t="s">
        <v>1329</v>
      </c>
      <c r="H136" s="1674" t="s">
        <v>730</v>
      </c>
      <c r="I136" s="1671" t="s">
        <v>1330</v>
      </c>
      <c r="J136" s="1671" t="s">
        <v>736</v>
      </c>
      <c r="K136" s="1671" t="s">
        <v>732</v>
      </c>
      <c r="L136" s="1675"/>
      <c r="M136" s="1675"/>
      <c r="N136" s="1675" t="s">
        <v>1331</v>
      </c>
      <c r="O136" s="1671"/>
      <c r="P136" s="1675"/>
      <c r="Q136" s="1676"/>
      <c r="R136" s="1671"/>
      <c r="S136" s="1671"/>
      <c r="T136" s="1671"/>
      <c r="U136" s="1671" t="s">
        <v>1332</v>
      </c>
      <c r="V136" s="1671" t="s">
        <v>1332</v>
      </c>
      <c r="W136" s="1671"/>
      <c r="X136" s="1671">
        <v>44047</v>
      </c>
      <c r="Y136" s="1671">
        <v>44048</v>
      </c>
      <c r="Z136" s="1671"/>
      <c r="AA136" s="1671"/>
      <c r="AB136" s="1671" t="s">
        <v>733</v>
      </c>
      <c r="AC136" s="1671">
        <v>0</v>
      </c>
      <c r="AD136" s="1671">
        <v>0</v>
      </c>
      <c r="AE136" s="1671">
        <v>0</v>
      </c>
      <c r="AF136" s="1671">
        <v>0</v>
      </c>
      <c r="AG136" s="1671">
        <v>0</v>
      </c>
      <c r="AH136" s="1671">
        <v>1</v>
      </c>
      <c r="AI136" s="1671">
        <v>59343</v>
      </c>
      <c r="AJ136" s="1671">
        <v>2195</v>
      </c>
      <c r="AK136" s="1671">
        <v>0</v>
      </c>
      <c r="AL136" s="1671">
        <v>0</v>
      </c>
      <c r="AM136" s="1671"/>
      <c r="AN136" s="1671"/>
      <c r="AO136" s="1677"/>
      <c r="AP136" s="332"/>
      <c r="AQ136" s="304" t="str">
        <f t="shared" si="2"/>
        <v/>
      </c>
      <c r="AS136" s="304" t="str">
        <f t="shared" si="3"/>
        <v>wci_corp</v>
      </c>
    </row>
    <row r="137" spans="2:45">
      <c r="B137" s="1670" t="s">
        <v>1333</v>
      </c>
      <c r="C137" s="1671">
        <v>44043</v>
      </c>
      <c r="D137" s="1672">
        <v>36.94</v>
      </c>
      <c r="E137" s="1672">
        <v>0</v>
      </c>
      <c r="F137" s="1673" t="s">
        <v>729</v>
      </c>
      <c r="G137" s="1671" t="s">
        <v>1329</v>
      </c>
      <c r="H137" s="1674" t="s">
        <v>730</v>
      </c>
      <c r="I137" s="1671" t="s">
        <v>1330</v>
      </c>
      <c r="J137" s="1671" t="s">
        <v>736</v>
      </c>
      <c r="K137" s="1671" t="s">
        <v>732</v>
      </c>
      <c r="L137" s="1675"/>
      <c r="M137" s="1675"/>
      <c r="N137" s="1675" t="s">
        <v>1334</v>
      </c>
      <c r="O137" s="1671"/>
      <c r="P137" s="1675"/>
      <c r="Q137" s="1676"/>
      <c r="R137" s="1671"/>
      <c r="S137" s="1671"/>
      <c r="T137" s="1671"/>
      <c r="U137" s="1671" t="s">
        <v>1332</v>
      </c>
      <c r="V137" s="1671" t="s">
        <v>1332</v>
      </c>
      <c r="W137" s="1671"/>
      <c r="X137" s="1671">
        <v>44047</v>
      </c>
      <c r="Y137" s="1671">
        <v>44048</v>
      </c>
      <c r="Z137" s="1671"/>
      <c r="AA137" s="1671"/>
      <c r="AB137" s="1671" t="s">
        <v>733</v>
      </c>
      <c r="AC137" s="1671">
        <v>0</v>
      </c>
      <c r="AD137" s="1671">
        <v>0</v>
      </c>
      <c r="AE137" s="1671">
        <v>0</v>
      </c>
      <c r="AF137" s="1671">
        <v>0</v>
      </c>
      <c r="AG137" s="1671">
        <v>0</v>
      </c>
      <c r="AH137" s="1671">
        <v>1</v>
      </c>
      <c r="AI137" s="1671">
        <v>59344</v>
      </c>
      <c r="AJ137" s="1671">
        <v>2195</v>
      </c>
      <c r="AK137" s="1671">
        <v>0</v>
      </c>
      <c r="AL137" s="1671">
        <v>0</v>
      </c>
      <c r="AM137" s="1671"/>
      <c r="AN137" s="1671"/>
      <c r="AO137" s="1677"/>
      <c r="AP137" s="332"/>
      <c r="AQ137" s="304" t="str">
        <f t="shared" si="2"/>
        <v/>
      </c>
      <c r="AS137" s="304" t="str">
        <f t="shared" si="3"/>
        <v>wci_corp</v>
      </c>
    </row>
    <row r="138" spans="2:45">
      <c r="B138" s="1670" t="s">
        <v>1312</v>
      </c>
      <c r="C138" s="1671">
        <v>44043</v>
      </c>
      <c r="D138" s="1672">
        <v>-27349.67</v>
      </c>
      <c r="E138" s="1672">
        <v>0</v>
      </c>
      <c r="F138" s="1673" t="s">
        <v>729</v>
      </c>
      <c r="G138" s="1671" t="s">
        <v>1335</v>
      </c>
      <c r="H138" s="1674" t="s">
        <v>730</v>
      </c>
      <c r="I138" s="1671" t="s">
        <v>1286</v>
      </c>
      <c r="J138" s="1671" t="s">
        <v>731</v>
      </c>
      <c r="K138" s="1671" t="s">
        <v>732</v>
      </c>
      <c r="L138" s="1675"/>
      <c r="M138" s="1675"/>
      <c r="N138" s="1675" t="s">
        <v>1336</v>
      </c>
      <c r="O138" s="1671"/>
      <c r="P138" s="1675"/>
      <c r="Q138" s="1676"/>
      <c r="R138" s="1671"/>
      <c r="S138" s="1671"/>
      <c r="T138" s="1671"/>
      <c r="U138" s="1671" t="s">
        <v>1337</v>
      </c>
      <c r="V138" s="1671" t="s">
        <v>1337</v>
      </c>
      <c r="W138" s="1671"/>
      <c r="X138" s="1671">
        <v>44049</v>
      </c>
      <c r="Y138" s="1671">
        <v>44049</v>
      </c>
      <c r="Z138" s="1671"/>
      <c r="AA138" s="1671"/>
      <c r="AB138" s="1671" t="s">
        <v>733</v>
      </c>
      <c r="AC138" s="1671">
        <v>0</v>
      </c>
      <c r="AD138" s="1671">
        <v>0</v>
      </c>
      <c r="AE138" s="1671">
        <v>0</v>
      </c>
      <c r="AF138" s="1671">
        <v>0</v>
      </c>
      <c r="AG138" s="1671">
        <v>0</v>
      </c>
      <c r="AH138" s="1671">
        <v>1</v>
      </c>
      <c r="AI138" s="1671">
        <v>59400</v>
      </c>
      <c r="AJ138" s="1671">
        <v>2195</v>
      </c>
      <c r="AK138" s="1671">
        <v>0</v>
      </c>
      <c r="AL138" s="1671">
        <v>0</v>
      </c>
      <c r="AM138" s="1671"/>
      <c r="AN138" s="1671"/>
      <c r="AO138" s="1677"/>
      <c r="AP138" s="332"/>
      <c r="AQ138" s="304" t="str">
        <f t="shared" si="2"/>
        <v/>
      </c>
      <c r="AS138" s="304" t="str">
        <f t="shared" si="3"/>
        <v>wci_corp</v>
      </c>
    </row>
    <row r="139" spans="2:45">
      <c r="B139" s="1670" t="s">
        <v>1312</v>
      </c>
      <c r="C139" s="1671">
        <v>44043</v>
      </c>
      <c r="D139" s="1672">
        <v>27349.67</v>
      </c>
      <c r="E139" s="1672">
        <v>0</v>
      </c>
      <c r="F139" s="1673" t="s">
        <v>729</v>
      </c>
      <c r="G139" s="1671" t="s">
        <v>1335</v>
      </c>
      <c r="H139" s="1674" t="s">
        <v>730</v>
      </c>
      <c r="I139" s="1671" t="s">
        <v>1286</v>
      </c>
      <c r="J139" s="1671" t="s">
        <v>731</v>
      </c>
      <c r="K139" s="1671" t="s">
        <v>732</v>
      </c>
      <c r="L139" s="1675"/>
      <c r="M139" s="1675"/>
      <c r="N139" s="1675" t="s">
        <v>1338</v>
      </c>
      <c r="O139" s="1671"/>
      <c r="P139" s="1675"/>
      <c r="Q139" s="1676"/>
      <c r="R139" s="1671"/>
      <c r="S139" s="1671"/>
      <c r="T139" s="1671"/>
      <c r="U139" s="1671" t="s">
        <v>1337</v>
      </c>
      <c r="V139" s="1671" t="s">
        <v>1337</v>
      </c>
      <c r="W139" s="1671"/>
      <c r="X139" s="1671">
        <v>44049</v>
      </c>
      <c r="Y139" s="1671">
        <v>44049</v>
      </c>
      <c r="Z139" s="1671"/>
      <c r="AA139" s="1671"/>
      <c r="AB139" s="1671" t="s">
        <v>733</v>
      </c>
      <c r="AC139" s="1671">
        <v>0</v>
      </c>
      <c r="AD139" s="1671">
        <v>0</v>
      </c>
      <c r="AE139" s="1671">
        <v>0</v>
      </c>
      <c r="AF139" s="1671">
        <v>0</v>
      </c>
      <c r="AG139" s="1671">
        <v>0</v>
      </c>
      <c r="AH139" s="1671">
        <v>1</v>
      </c>
      <c r="AI139" s="1671">
        <v>59400</v>
      </c>
      <c r="AJ139" s="1671">
        <v>2195</v>
      </c>
      <c r="AK139" s="1671">
        <v>0</v>
      </c>
      <c r="AL139" s="1671">
        <v>0</v>
      </c>
      <c r="AM139" s="1671"/>
      <c r="AN139" s="1671"/>
      <c r="AO139" s="1677"/>
      <c r="AP139" s="332"/>
      <c r="AQ139" s="304" t="str">
        <f t="shared" si="2"/>
        <v/>
      </c>
      <c r="AS139" s="304" t="str">
        <f t="shared" si="3"/>
        <v>wci_corp</v>
      </c>
    </row>
    <row r="140" spans="2:45">
      <c r="B140" s="1670" t="s">
        <v>1312</v>
      </c>
      <c r="C140" s="1671">
        <v>44069</v>
      </c>
      <c r="D140" s="1672">
        <v>27349.67</v>
      </c>
      <c r="E140" s="1672">
        <v>0</v>
      </c>
      <c r="F140" s="1673" t="s">
        <v>729</v>
      </c>
      <c r="G140" s="1671" t="s">
        <v>1339</v>
      </c>
      <c r="H140" s="1674" t="s">
        <v>730</v>
      </c>
      <c r="I140" s="1671" t="s">
        <v>1039</v>
      </c>
      <c r="J140" s="1671" t="s">
        <v>1042</v>
      </c>
      <c r="K140" s="1671" t="s">
        <v>732</v>
      </c>
      <c r="L140" s="1675" t="s">
        <v>1340</v>
      </c>
      <c r="M140" s="1675"/>
      <c r="N140" s="1675" t="s">
        <v>1341</v>
      </c>
      <c r="O140" s="1671">
        <v>44020</v>
      </c>
      <c r="P140" s="1675" t="s">
        <v>1338</v>
      </c>
      <c r="Q140" s="1676">
        <v>6844110</v>
      </c>
      <c r="R140" s="1671" t="s">
        <v>1342</v>
      </c>
      <c r="S140" s="1671"/>
      <c r="T140" s="1671"/>
      <c r="U140" s="1671" t="s">
        <v>1343</v>
      </c>
      <c r="V140" s="1671" t="s">
        <v>1344</v>
      </c>
      <c r="W140" s="1671" t="s">
        <v>1287</v>
      </c>
      <c r="X140" s="1671">
        <v>44069</v>
      </c>
      <c r="Y140" s="1671">
        <v>44070</v>
      </c>
      <c r="Z140" s="1671">
        <v>27349.7</v>
      </c>
      <c r="AA140" s="1671">
        <v>44030</v>
      </c>
      <c r="AB140" s="1671" t="s">
        <v>733</v>
      </c>
      <c r="AC140" s="1671">
        <v>0</v>
      </c>
      <c r="AD140" s="1671">
        <v>0</v>
      </c>
      <c r="AE140" s="1671">
        <v>0</v>
      </c>
      <c r="AF140" s="1671">
        <v>0</v>
      </c>
      <c r="AG140" s="1671">
        <v>0</v>
      </c>
      <c r="AH140" s="1671">
        <v>1</v>
      </c>
      <c r="AI140" s="1671">
        <v>59400</v>
      </c>
      <c r="AJ140" s="1671">
        <v>2195</v>
      </c>
      <c r="AK140" s="1671">
        <v>0</v>
      </c>
      <c r="AL140" s="1671">
        <v>0</v>
      </c>
      <c r="AM140" s="1671"/>
      <c r="AN140" s="1671"/>
      <c r="AO140" s="1677"/>
      <c r="AP140" s="332"/>
      <c r="AQ140" s="304" t="str">
        <f t="shared" si="2"/>
        <v>VO05511545</v>
      </c>
      <c r="AS140" s="304" t="str">
        <f t="shared" si="3"/>
        <v>wci_corp</v>
      </c>
    </row>
    <row r="141" spans="2:45">
      <c r="B141" s="1670" t="s">
        <v>1312</v>
      </c>
      <c r="C141" s="1671">
        <v>44074</v>
      </c>
      <c r="D141" s="1672">
        <v>27349.67</v>
      </c>
      <c r="E141" s="1672">
        <v>0</v>
      </c>
      <c r="F141" s="1673" t="s">
        <v>729</v>
      </c>
      <c r="G141" s="1671" t="s">
        <v>1345</v>
      </c>
      <c r="H141" s="1674" t="s">
        <v>730</v>
      </c>
      <c r="I141" s="1671" t="s">
        <v>1286</v>
      </c>
      <c r="J141" s="1671" t="s">
        <v>737</v>
      </c>
      <c r="K141" s="1671" t="s">
        <v>732</v>
      </c>
      <c r="L141" s="1675"/>
      <c r="M141" s="1675"/>
      <c r="N141" s="1675" t="s">
        <v>1336</v>
      </c>
      <c r="O141" s="1671"/>
      <c r="P141" s="1675"/>
      <c r="Q141" s="1676"/>
      <c r="R141" s="1671"/>
      <c r="S141" s="1671"/>
      <c r="T141" s="1671"/>
      <c r="U141" s="1671" t="s">
        <v>1337</v>
      </c>
      <c r="V141" s="1671" t="s">
        <v>1346</v>
      </c>
      <c r="W141" s="1671"/>
      <c r="X141" s="1671">
        <v>44049</v>
      </c>
      <c r="Y141" s="1671">
        <v>44050</v>
      </c>
      <c r="Z141" s="1671"/>
      <c r="AA141" s="1671"/>
      <c r="AB141" s="1671" t="s">
        <v>733</v>
      </c>
      <c r="AC141" s="1671">
        <v>0</v>
      </c>
      <c r="AD141" s="1671">
        <v>0</v>
      </c>
      <c r="AE141" s="1671">
        <v>0</v>
      </c>
      <c r="AF141" s="1671">
        <v>0</v>
      </c>
      <c r="AG141" s="1671">
        <v>5</v>
      </c>
      <c r="AH141" s="1671">
        <v>1</v>
      </c>
      <c r="AI141" s="1671">
        <v>59400</v>
      </c>
      <c r="AJ141" s="1671">
        <v>2195</v>
      </c>
      <c r="AK141" s="1671">
        <v>0</v>
      </c>
      <c r="AL141" s="1671">
        <v>0</v>
      </c>
      <c r="AM141" s="1671"/>
      <c r="AN141" s="1671"/>
      <c r="AO141" s="1677"/>
      <c r="AP141" s="332"/>
      <c r="AQ141" s="304" t="str">
        <f t="shared" si="2"/>
        <v/>
      </c>
      <c r="AS141" s="304" t="str">
        <f t="shared" si="3"/>
        <v>wci_corp</v>
      </c>
    </row>
    <row r="142" spans="2:45">
      <c r="B142" s="1670" t="s">
        <v>1312</v>
      </c>
      <c r="C142" s="1671">
        <v>44074</v>
      </c>
      <c r="D142" s="1672">
        <v>-27349.67</v>
      </c>
      <c r="E142" s="1672">
        <v>0</v>
      </c>
      <c r="F142" s="1673" t="s">
        <v>729</v>
      </c>
      <c r="G142" s="1671" t="s">
        <v>1345</v>
      </c>
      <c r="H142" s="1674" t="s">
        <v>730</v>
      </c>
      <c r="I142" s="1671" t="s">
        <v>1286</v>
      </c>
      <c r="J142" s="1671" t="s">
        <v>737</v>
      </c>
      <c r="K142" s="1671" t="s">
        <v>732</v>
      </c>
      <c r="L142" s="1675"/>
      <c r="M142" s="1675"/>
      <c r="N142" s="1675" t="s">
        <v>1338</v>
      </c>
      <c r="O142" s="1671"/>
      <c r="P142" s="1675"/>
      <c r="Q142" s="1676"/>
      <c r="R142" s="1671"/>
      <c r="S142" s="1671"/>
      <c r="T142" s="1671"/>
      <c r="U142" s="1671" t="s">
        <v>1337</v>
      </c>
      <c r="V142" s="1671" t="s">
        <v>1346</v>
      </c>
      <c r="W142" s="1671"/>
      <c r="X142" s="1671">
        <v>44049</v>
      </c>
      <c r="Y142" s="1671">
        <v>44050</v>
      </c>
      <c r="Z142" s="1671"/>
      <c r="AA142" s="1671"/>
      <c r="AB142" s="1671" t="s">
        <v>733</v>
      </c>
      <c r="AC142" s="1671">
        <v>0</v>
      </c>
      <c r="AD142" s="1671">
        <v>0</v>
      </c>
      <c r="AE142" s="1671">
        <v>0</v>
      </c>
      <c r="AF142" s="1671">
        <v>0</v>
      </c>
      <c r="AG142" s="1671">
        <v>5</v>
      </c>
      <c r="AH142" s="1671">
        <v>1</v>
      </c>
      <c r="AI142" s="1671">
        <v>59400</v>
      </c>
      <c r="AJ142" s="1671">
        <v>2195</v>
      </c>
      <c r="AK142" s="1671">
        <v>0</v>
      </c>
      <c r="AL142" s="1671">
        <v>0</v>
      </c>
      <c r="AM142" s="1671"/>
      <c r="AN142" s="1671"/>
      <c r="AO142" s="1677"/>
      <c r="AP142" s="332"/>
      <c r="AQ142" s="304" t="str">
        <f t="shared" si="2"/>
        <v/>
      </c>
      <c r="AS142" s="304" t="str">
        <f t="shared" si="3"/>
        <v>wci_corp</v>
      </c>
    </row>
    <row r="143" spans="2:45">
      <c r="B143" s="1670" t="s">
        <v>1324</v>
      </c>
      <c r="C143" s="1671">
        <v>44074</v>
      </c>
      <c r="D143" s="1672">
        <v>536.09</v>
      </c>
      <c r="E143" s="1672">
        <v>0</v>
      </c>
      <c r="F143" s="1673" t="s">
        <v>729</v>
      </c>
      <c r="G143" s="1671" t="s">
        <v>1347</v>
      </c>
      <c r="H143" s="1674" t="s">
        <v>730</v>
      </c>
      <c r="I143" s="1671" t="s">
        <v>1348</v>
      </c>
      <c r="J143" s="1671" t="s">
        <v>731</v>
      </c>
      <c r="K143" s="1671" t="s">
        <v>732</v>
      </c>
      <c r="L143" s="1675"/>
      <c r="M143" s="1675"/>
      <c r="N143" s="1675" t="s">
        <v>1327</v>
      </c>
      <c r="O143" s="1671"/>
      <c r="P143" s="1675"/>
      <c r="Q143" s="1676"/>
      <c r="R143" s="1671"/>
      <c r="S143" s="1671"/>
      <c r="T143" s="1671"/>
      <c r="U143" s="1671" t="s">
        <v>1349</v>
      </c>
      <c r="V143" s="1671" t="s">
        <v>1349</v>
      </c>
      <c r="W143" s="1671"/>
      <c r="X143" s="1671">
        <v>44076</v>
      </c>
      <c r="Y143" s="1671">
        <v>44076</v>
      </c>
      <c r="Z143" s="1671"/>
      <c r="AA143" s="1671"/>
      <c r="AB143" s="1671" t="s">
        <v>733</v>
      </c>
      <c r="AC143" s="1671">
        <v>0</v>
      </c>
      <c r="AD143" s="1671">
        <v>0</v>
      </c>
      <c r="AE143" s="1671">
        <v>0</v>
      </c>
      <c r="AF143" s="1671">
        <v>0</v>
      </c>
      <c r="AG143" s="1671">
        <v>0</v>
      </c>
      <c r="AH143" s="1671">
        <v>1</v>
      </c>
      <c r="AI143" s="1671">
        <v>59341</v>
      </c>
      <c r="AJ143" s="1671">
        <v>2195</v>
      </c>
      <c r="AK143" s="1671">
        <v>0</v>
      </c>
      <c r="AL143" s="1671">
        <v>0</v>
      </c>
      <c r="AM143" s="1671"/>
      <c r="AN143" s="1671"/>
      <c r="AO143" s="1677"/>
      <c r="AP143" s="332"/>
      <c r="AQ143" s="304" t="str">
        <f t="shared" si="2"/>
        <v/>
      </c>
      <c r="AS143" s="304" t="str">
        <f t="shared" si="3"/>
        <v>wci_corp</v>
      </c>
    </row>
    <row r="144" spans="2:45">
      <c r="B144" s="1670" t="s">
        <v>1291</v>
      </c>
      <c r="C144" s="1671">
        <v>44074</v>
      </c>
      <c r="D144" s="1672">
        <v>49750</v>
      </c>
      <c r="E144" s="1672">
        <v>0</v>
      </c>
      <c r="F144" s="1673" t="s">
        <v>729</v>
      </c>
      <c r="G144" s="1671" t="s">
        <v>1347</v>
      </c>
      <c r="H144" s="1674" t="s">
        <v>730</v>
      </c>
      <c r="I144" s="1671" t="s">
        <v>1348</v>
      </c>
      <c r="J144" s="1671" t="s">
        <v>731</v>
      </c>
      <c r="K144" s="1671" t="s">
        <v>732</v>
      </c>
      <c r="L144" s="1675"/>
      <c r="M144" s="1675"/>
      <c r="N144" s="1675" t="s">
        <v>1350</v>
      </c>
      <c r="O144" s="1671"/>
      <c r="P144" s="1675"/>
      <c r="Q144" s="1676"/>
      <c r="R144" s="1671"/>
      <c r="S144" s="1671"/>
      <c r="T144" s="1671"/>
      <c r="U144" s="1671" t="s">
        <v>1349</v>
      </c>
      <c r="V144" s="1671" t="s">
        <v>1349</v>
      </c>
      <c r="W144" s="1671"/>
      <c r="X144" s="1671">
        <v>44076</v>
      </c>
      <c r="Y144" s="1671">
        <v>44076</v>
      </c>
      <c r="Z144" s="1671"/>
      <c r="AA144" s="1671"/>
      <c r="AB144" s="1671" t="s">
        <v>733</v>
      </c>
      <c r="AC144" s="1671">
        <v>0</v>
      </c>
      <c r="AD144" s="1671">
        <v>0</v>
      </c>
      <c r="AE144" s="1671">
        <v>0</v>
      </c>
      <c r="AF144" s="1671">
        <v>0</v>
      </c>
      <c r="AG144" s="1671">
        <v>0</v>
      </c>
      <c r="AH144" s="1671">
        <v>1</v>
      </c>
      <c r="AI144" s="1671">
        <v>59342</v>
      </c>
      <c r="AJ144" s="1671">
        <v>2195</v>
      </c>
      <c r="AK144" s="1671">
        <v>0</v>
      </c>
      <c r="AL144" s="1671">
        <v>0</v>
      </c>
      <c r="AM144" s="1671"/>
      <c r="AN144" s="1671"/>
      <c r="AO144" s="1677"/>
      <c r="AP144" s="332"/>
      <c r="AQ144" s="304" t="str">
        <f t="shared" si="2"/>
        <v/>
      </c>
      <c r="AS144" s="304" t="str">
        <f t="shared" si="3"/>
        <v>wci_corp</v>
      </c>
    </row>
    <row r="145" spans="2:45">
      <c r="B145" s="1670" t="s">
        <v>1291</v>
      </c>
      <c r="C145" s="1671">
        <v>44074</v>
      </c>
      <c r="D145" s="1672">
        <v>-19725.5</v>
      </c>
      <c r="E145" s="1672">
        <v>0</v>
      </c>
      <c r="F145" s="1673" t="s">
        <v>729</v>
      </c>
      <c r="G145" s="1671" t="s">
        <v>1347</v>
      </c>
      <c r="H145" s="1674" t="s">
        <v>730</v>
      </c>
      <c r="I145" s="1671" t="s">
        <v>1348</v>
      </c>
      <c r="J145" s="1671" t="s">
        <v>731</v>
      </c>
      <c r="K145" s="1671" t="s">
        <v>732</v>
      </c>
      <c r="L145" s="1675"/>
      <c r="M145" s="1675"/>
      <c r="N145" s="1675" t="s">
        <v>1294</v>
      </c>
      <c r="O145" s="1671"/>
      <c r="P145" s="1675"/>
      <c r="Q145" s="1676"/>
      <c r="R145" s="1671"/>
      <c r="S145" s="1671"/>
      <c r="T145" s="1671"/>
      <c r="U145" s="1671" t="s">
        <v>1349</v>
      </c>
      <c r="V145" s="1671" t="s">
        <v>1349</v>
      </c>
      <c r="W145" s="1671"/>
      <c r="X145" s="1671">
        <v>44076</v>
      </c>
      <c r="Y145" s="1671">
        <v>44076</v>
      </c>
      <c r="Z145" s="1671"/>
      <c r="AA145" s="1671"/>
      <c r="AB145" s="1671" t="s">
        <v>733</v>
      </c>
      <c r="AC145" s="1671">
        <v>0</v>
      </c>
      <c r="AD145" s="1671">
        <v>0</v>
      </c>
      <c r="AE145" s="1671">
        <v>0</v>
      </c>
      <c r="AF145" s="1671">
        <v>0</v>
      </c>
      <c r="AG145" s="1671">
        <v>0</v>
      </c>
      <c r="AH145" s="1671">
        <v>1</v>
      </c>
      <c r="AI145" s="1671">
        <v>59342</v>
      </c>
      <c r="AJ145" s="1671">
        <v>2195</v>
      </c>
      <c r="AK145" s="1671">
        <v>0</v>
      </c>
      <c r="AL145" s="1671">
        <v>0</v>
      </c>
      <c r="AM145" s="1671"/>
      <c r="AN145" s="1671"/>
      <c r="AO145" s="1677"/>
      <c r="AP145" s="332"/>
      <c r="AQ145" s="304" t="str">
        <f t="shared" si="2"/>
        <v/>
      </c>
      <c r="AS145" s="304" t="str">
        <f t="shared" si="3"/>
        <v>wci_corp</v>
      </c>
    </row>
    <row r="146" spans="2:45">
      <c r="B146" s="1670" t="s">
        <v>1300</v>
      </c>
      <c r="C146" s="1671">
        <v>44074</v>
      </c>
      <c r="D146" s="1672">
        <v>-59</v>
      </c>
      <c r="E146" s="1672">
        <v>0</v>
      </c>
      <c r="F146" s="1673" t="s">
        <v>729</v>
      </c>
      <c r="G146" s="1671" t="s">
        <v>1347</v>
      </c>
      <c r="H146" s="1674" t="s">
        <v>730</v>
      </c>
      <c r="I146" s="1671" t="s">
        <v>1348</v>
      </c>
      <c r="J146" s="1671" t="s">
        <v>731</v>
      </c>
      <c r="K146" s="1671" t="s">
        <v>732</v>
      </c>
      <c r="L146" s="1675"/>
      <c r="M146" s="1675"/>
      <c r="N146" s="1675" t="s">
        <v>1331</v>
      </c>
      <c r="O146" s="1671"/>
      <c r="P146" s="1675"/>
      <c r="Q146" s="1676"/>
      <c r="R146" s="1671"/>
      <c r="S146" s="1671"/>
      <c r="T146" s="1671"/>
      <c r="U146" s="1671" t="s">
        <v>1349</v>
      </c>
      <c r="V146" s="1671" t="s">
        <v>1349</v>
      </c>
      <c r="W146" s="1671"/>
      <c r="X146" s="1671">
        <v>44076</v>
      </c>
      <c r="Y146" s="1671">
        <v>44076</v>
      </c>
      <c r="Z146" s="1671"/>
      <c r="AA146" s="1671"/>
      <c r="AB146" s="1671" t="s">
        <v>733</v>
      </c>
      <c r="AC146" s="1671">
        <v>0</v>
      </c>
      <c r="AD146" s="1671">
        <v>0</v>
      </c>
      <c r="AE146" s="1671">
        <v>0</v>
      </c>
      <c r="AF146" s="1671">
        <v>0</v>
      </c>
      <c r="AG146" s="1671">
        <v>0</v>
      </c>
      <c r="AH146" s="1671">
        <v>1</v>
      </c>
      <c r="AI146" s="1671">
        <v>59343</v>
      </c>
      <c r="AJ146" s="1671">
        <v>2195</v>
      </c>
      <c r="AK146" s="1671">
        <v>0</v>
      </c>
      <c r="AL146" s="1671">
        <v>0</v>
      </c>
      <c r="AM146" s="1671"/>
      <c r="AN146" s="1671"/>
      <c r="AO146" s="1677"/>
      <c r="AP146" s="332"/>
      <c r="AQ146" s="304" t="str">
        <f t="shared" si="2"/>
        <v/>
      </c>
      <c r="AS146" s="304" t="str">
        <f t="shared" si="3"/>
        <v>wci_corp</v>
      </c>
    </row>
    <row r="147" spans="2:45">
      <c r="B147" s="1670" t="s">
        <v>1333</v>
      </c>
      <c r="C147" s="1671">
        <v>44074</v>
      </c>
      <c r="D147" s="1672">
        <v>-13903.97</v>
      </c>
      <c r="E147" s="1672">
        <v>0</v>
      </c>
      <c r="F147" s="1673" t="s">
        <v>729</v>
      </c>
      <c r="G147" s="1671" t="s">
        <v>1347</v>
      </c>
      <c r="H147" s="1674" t="s">
        <v>730</v>
      </c>
      <c r="I147" s="1671" t="s">
        <v>1348</v>
      </c>
      <c r="J147" s="1671" t="s">
        <v>731</v>
      </c>
      <c r="K147" s="1671" t="s">
        <v>732</v>
      </c>
      <c r="L147" s="1675"/>
      <c r="M147" s="1675"/>
      <c r="N147" s="1675" t="s">
        <v>1351</v>
      </c>
      <c r="O147" s="1671"/>
      <c r="P147" s="1675"/>
      <c r="Q147" s="1676"/>
      <c r="R147" s="1671"/>
      <c r="S147" s="1671"/>
      <c r="T147" s="1671"/>
      <c r="U147" s="1671" t="s">
        <v>1349</v>
      </c>
      <c r="V147" s="1671" t="s">
        <v>1349</v>
      </c>
      <c r="W147" s="1671"/>
      <c r="X147" s="1671">
        <v>44076</v>
      </c>
      <c r="Y147" s="1671">
        <v>44076</v>
      </c>
      <c r="Z147" s="1671"/>
      <c r="AA147" s="1671"/>
      <c r="AB147" s="1671" t="s">
        <v>733</v>
      </c>
      <c r="AC147" s="1671">
        <v>0</v>
      </c>
      <c r="AD147" s="1671">
        <v>0</v>
      </c>
      <c r="AE147" s="1671">
        <v>0</v>
      </c>
      <c r="AF147" s="1671">
        <v>0</v>
      </c>
      <c r="AG147" s="1671">
        <v>0</v>
      </c>
      <c r="AH147" s="1671">
        <v>1</v>
      </c>
      <c r="AI147" s="1671">
        <v>59344</v>
      </c>
      <c r="AJ147" s="1671">
        <v>2195</v>
      </c>
      <c r="AK147" s="1671">
        <v>0</v>
      </c>
      <c r="AL147" s="1671">
        <v>0</v>
      </c>
      <c r="AM147" s="1671"/>
      <c r="AN147" s="1671"/>
      <c r="AO147" s="1677"/>
      <c r="AP147" s="332"/>
      <c r="AQ147" s="304" t="str">
        <f t="shared" si="2"/>
        <v/>
      </c>
      <c r="AS147" s="304" t="str">
        <f t="shared" si="3"/>
        <v>wci_corp</v>
      </c>
    </row>
    <row r="148" spans="2:45">
      <c r="B148" s="1670" t="s">
        <v>1300</v>
      </c>
      <c r="C148" s="1671">
        <v>44104</v>
      </c>
      <c r="D148" s="1672">
        <v>2800</v>
      </c>
      <c r="E148" s="1672">
        <v>0</v>
      </c>
      <c r="F148" s="1673" t="s">
        <v>729</v>
      </c>
      <c r="G148" s="1671" t="s">
        <v>1352</v>
      </c>
      <c r="H148" s="1674" t="s">
        <v>730</v>
      </c>
      <c r="I148" s="1671" t="s">
        <v>1353</v>
      </c>
      <c r="J148" s="1671" t="s">
        <v>736</v>
      </c>
      <c r="K148" s="1671" t="s">
        <v>732</v>
      </c>
      <c r="L148" s="1675"/>
      <c r="M148" s="1675"/>
      <c r="N148" s="1675" t="s">
        <v>1354</v>
      </c>
      <c r="O148" s="1671"/>
      <c r="P148" s="1675"/>
      <c r="Q148" s="1676"/>
      <c r="R148" s="1671"/>
      <c r="S148" s="1671"/>
      <c r="T148" s="1671"/>
      <c r="U148" s="1671" t="s">
        <v>1355</v>
      </c>
      <c r="V148" s="1671" t="s">
        <v>1355</v>
      </c>
      <c r="W148" s="1671"/>
      <c r="X148" s="1671">
        <v>44105</v>
      </c>
      <c r="Y148" s="1671">
        <v>44105</v>
      </c>
      <c r="Z148" s="1671"/>
      <c r="AA148" s="1671"/>
      <c r="AB148" s="1671" t="s">
        <v>733</v>
      </c>
      <c r="AC148" s="1671">
        <v>0</v>
      </c>
      <c r="AD148" s="1671">
        <v>0</v>
      </c>
      <c r="AE148" s="1671">
        <v>0</v>
      </c>
      <c r="AF148" s="1671">
        <v>0</v>
      </c>
      <c r="AG148" s="1671">
        <v>0</v>
      </c>
      <c r="AH148" s="1671">
        <v>1</v>
      </c>
      <c r="AI148" s="1671">
        <v>59343</v>
      </c>
      <c r="AJ148" s="1671">
        <v>2195</v>
      </c>
      <c r="AK148" s="1671">
        <v>0</v>
      </c>
      <c r="AL148" s="1671">
        <v>0</v>
      </c>
      <c r="AM148" s="1671"/>
      <c r="AN148" s="1671"/>
      <c r="AO148" s="1677"/>
      <c r="AP148" s="332"/>
      <c r="AQ148" s="304" t="str">
        <f t="shared" si="2"/>
        <v/>
      </c>
      <c r="AS148" s="304" t="str">
        <f t="shared" si="3"/>
        <v>wci_corp</v>
      </c>
    </row>
    <row r="149" spans="2:45">
      <c r="B149" s="1670" t="s">
        <v>1312</v>
      </c>
      <c r="C149" s="1671">
        <v>44104</v>
      </c>
      <c r="D149" s="1672">
        <v>540</v>
      </c>
      <c r="E149" s="1672">
        <v>0</v>
      </c>
      <c r="F149" s="1673" t="s">
        <v>729</v>
      </c>
      <c r="G149" s="1671" t="s">
        <v>1356</v>
      </c>
      <c r="H149" s="1674" t="s">
        <v>730</v>
      </c>
      <c r="I149" s="1671" t="s">
        <v>1286</v>
      </c>
      <c r="J149" s="1671" t="s">
        <v>735</v>
      </c>
      <c r="K149" s="1671" t="s">
        <v>732</v>
      </c>
      <c r="L149" s="1675"/>
      <c r="M149" s="1675"/>
      <c r="N149" s="1675" t="s">
        <v>1357</v>
      </c>
      <c r="O149" s="1671"/>
      <c r="P149" s="1675"/>
      <c r="Q149" s="1676"/>
      <c r="R149" s="1671"/>
      <c r="S149" s="1671"/>
      <c r="T149" s="1671"/>
      <c r="U149" s="1671" t="s">
        <v>1358</v>
      </c>
      <c r="V149" s="1671" t="s">
        <v>1358</v>
      </c>
      <c r="W149" s="1671"/>
      <c r="X149" s="1671">
        <v>44110</v>
      </c>
      <c r="Y149" s="1671">
        <v>44111</v>
      </c>
      <c r="Z149" s="1671"/>
      <c r="AA149" s="1671"/>
      <c r="AB149" s="1671" t="s">
        <v>733</v>
      </c>
      <c r="AC149" s="1671">
        <v>0</v>
      </c>
      <c r="AD149" s="1671">
        <v>0</v>
      </c>
      <c r="AE149" s="1671">
        <v>0</v>
      </c>
      <c r="AF149" s="1671">
        <v>0</v>
      </c>
      <c r="AG149" s="1671">
        <v>0</v>
      </c>
      <c r="AH149" s="1671">
        <v>1</v>
      </c>
      <c r="AI149" s="1671">
        <v>59400</v>
      </c>
      <c r="AJ149" s="1671">
        <v>2195</v>
      </c>
      <c r="AK149" s="1671">
        <v>0</v>
      </c>
      <c r="AL149" s="1671">
        <v>0</v>
      </c>
      <c r="AM149" s="1671"/>
      <c r="AN149" s="1671"/>
      <c r="AO149" s="1677"/>
      <c r="AP149" s="332"/>
      <c r="AQ149" s="304" t="str">
        <f t="shared" ref="AQ149:AQ212" si="4">IF(LEFT(U149,2)="VO",U149,"")</f>
        <v/>
      </c>
      <c r="AS149" s="304" t="str">
        <f t="shared" ref="AS149:AS212" si="5">IF(RIGHT(K149,2)="IC",IF(OR(AB149="wci_canada",AB149="wci_can_corp"),"wci_can_Corp","wci_corp"),AB149)</f>
        <v>wci_corp</v>
      </c>
    </row>
    <row r="150" spans="2:45">
      <c r="B150" s="1670" t="s">
        <v>1312</v>
      </c>
      <c r="C150" s="1671">
        <v>44120</v>
      </c>
      <c r="D150" s="1672">
        <v>540</v>
      </c>
      <c r="E150" s="1672">
        <v>0</v>
      </c>
      <c r="F150" s="1673" t="s">
        <v>729</v>
      </c>
      <c r="G150" s="1671" t="s">
        <v>1359</v>
      </c>
      <c r="H150" s="1674" t="s">
        <v>730</v>
      </c>
      <c r="I150" s="1671" t="s">
        <v>1039</v>
      </c>
      <c r="J150" s="1671" t="s">
        <v>1042</v>
      </c>
      <c r="K150" s="1671" t="s">
        <v>732</v>
      </c>
      <c r="L150" s="1675" t="s">
        <v>1360</v>
      </c>
      <c r="M150" s="1675"/>
      <c r="N150" s="1675" t="s">
        <v>1361</v>
      </c>
      <c r="O150" s="1671">
        <v>44034</v>
      </c>
      <c r="P150" s="1675" t="s">
        <v>1357</v>
      </c>
      <c r="Q150" s="1676" t="s">
        <v>1362</v>
      </c>
      <c r="R150" s="1671" t="s">
        <v>1363</v>
      </c>
      <c r="S150" s="1671"/>
      <c r="T150" s="1671"/>
      <c r="U150" s="1671" t="s">
        <v>1364</v>
      </c>
      <c r="V150" s="1671" t="s">
        <v>1365</v>
      </c>
      <c r="W150" s="1671" t="s">
        <v>1287</v>
      </c>
      <c r="X150" s="1671">
        <v>44120</v>
      </c>
      <c r="Y150" s="1671">
        <v>44123</v>
      </c>
      <c r="Z150" s="1671">
        <v>540</v>
      </c>
      <c r="AA150" s="1671">
        <v>44035</v>
      </c>
      <c r="AB150" s="1671" t="s">
        <v>733</v>
      </c>
      <c r="AC150" s="1671">
        <v>0</v>
      </c>
      <c r="AD150" s="1671">
        <v>0</v>
      </c>
      <c r="AE150" s="1671">
        <v>0</v>
      </c>
      <c r="AF150" s="1671">
        <v>0</v>
      </c>
      <c r="AG150" s="1671">
        <v>0</v>
      </c>
      <c r="AH150" s="1671">
        <v>1</v>
      </c>
      <c r="AI150" s="1671">
        <v>59400</v>
      </c>
      <c r="AJ150" s="1671">
        <v>2195</v>
      </c>
      <c r="AK150" s="1671">
        <v>0</v>
      </c>
      <c r="AL150" s="1671">
        <v>0</v>
      </c>
      <c r="AM150" s="1671"/>
      <c r="AN150" s="1671"/>
      <c r="AO150" s="1677"/>
      <c r="AP150" s="332"/>
      <c r="AQ150" s="304" t="str">
        <f t="shared" si="4"/>
        <v>VO05562465</v>
      </c>
      <c r="AS150" s="304" t="str">
        <f t="shared" si="5"/>
        <v>wci_corp</v>
      </c>
    </row>
    <row r="151" spans="2:45">
      <c r="B151" s="1670" t="s">
        <v>1312</v>
      </c>
      <c r="C151" s="1671">
        <v>44135</v>
      </c>
      <c r="D151" s="1672">
        <v>-540</v>
      </c>
      <c r="E151" s="1672">
        <v>0</v>
      </c>
      <c r="F151" s="1673" t="s">
        <v>729</v>
      </c>
      <c r="G151" s="1671" t="s">
        <v>1366</v>
      </c>
      <c r="H151" s="1674" t="s">
        <v>730</v>
      </c>
      <c r="I151" s="1671" t="s">
        <v>1286</v>
      </c>
      <c r="J151" s="1671" t="s">
        <v>735</v>
      </c>
      <c r="K151" s="1671" t="s">
        <v>732</v>
      </c>
      <c r="L151" s="1675"/>
      <c r="M151" s="1675"/>
      <c r="N151" s="1675" t="s">
        <v>1357</v>
      </c>
      <c r="O151" s="1671"/>
      <c r="P151" s="1675"/>
      <c r="Q151" s="1676"/>
      <c r="R151" s="1671"/>
      <c r="S151" s="1671"/>
      <c r="T151" s="1671"/>
      <c r="U151" s="1671" t="s">
        <v>1358</v>
      </c>
      <c r="V151" s="1671" t="s">
        <v>1367</v>
      </c>
      <c r="W151" s="1671"/>
      <c r="X151" s="1671">
        <v>44111</v>
      </c>
      <c r="Y151" s="1671">
        <v>44111</v>
      </c>
      <c r="Z151" s="1671"/>
      <c r="AA151" s="1671"/>
      <c r="AB151" s="1671" t="s">
        <v>733</v>
      </c>
      <c r="AC151" s="1671">
        <v>0</v>
      </c>
      <c r="AD151" s="1671">
        <v>0</v>
      </c>
      <c r="AE151" s="1671">
        <v>0</v>
      </c>
      <c r="AF151" s="1671">
        <v>0</v>
      </c>
      <c r="AG151" s="1671">
        <v>5</v>
      </c>
      <c r="AH151" s="1671">
        <v>1</v>
      </c>
      <c r="AI151" s="1671">
        <v>59400</v>
      </c>
      <c r="AJ151" s="1671">
        <v>2195</v>
      </c>
      <c r="AK151" s="1671">
        <v>0</v>
      </c>
      <c r="AL151" s="1671">
        <v>0</v>
      </c>
      <c r="AM151" s="1671"/>
      <c r="AN151" s="1671"/>
      <c r="AO151" s="1677"/>
      <c r="AP151" s="332"/>
      <c r="AQ151" s="304" t="str">
        <f t="shared" si="4"/>
        <v/>
      </c>
      <c r="AS151" s="304" t="str">
        <f t="shared" si="5"/>
        <v>wci_corp</v>
      </c>
    </row>
    <row r="152" spans="2:45">
      <c r="B152" s="1670" t="s">
        <v>1300</v>
      </c>
      <c r="C152" s="1671">
        <v>44135</v>
      </c>
      <c r="D152" s="1672">
        <v>19950</v>
      </c>
      <c r="E152" s="1672">
        <v>0</v>
      </c>
      <c r="F152" s="1673" t="s">
        <v>729</v>
      </c>
      <c r="G152" s="1671" t="s">
        <v>1368</v>
      </c>
      <c r="H152" s="1674" t="s">
        <v>730</v>
      </c>
      <c r="I152" s="1671" t="s">
        <v>1369</v>
      </c>
      <c r="J152" s="1671" t="s">
        <v>731</v>
      </c>
      <c r="K152" s="1671" t="s">
        <v>732</v>
      </c>
      <c r="L152" s="1675"/>
      <c r="M152" s="1675"/>
      <c r="N152" s="1675" t="s">
        <v>1354</v>
      </c>
      <c r="O152" s="1671"/>
      <c r="P152" s="1675"/>
      <c r="Q152" s="1676"/>
      <c r="R152" s="1671"/>
      <c r="S152" s="1671"/>
      <c r="T152" s="1671"/>
      <c r="U152" s="1671" t="s">
        <v>1370</v>
      </c>
      <c r="V152" s="1671" t="s">
        <v>1370</v>
      </c>
      <c r="W152" s="1671"/>
      <c r="X152" s="1671">
        <v>44138</v>
      </c>
      <c r="Y152" s="1671">
        <v>44138</v>
      </c>
      <c r="Z152" s="1671"/>
      <c r="AA152" s="1671"/>
      <c r="AB152" s="1671" t="s">
        <v>733</v>
      </c>
      <c r="AC152" s="1671">
        <v>0</v>
      </c>
      <c r="AD152" s="1671">
        <v>0</v>
      </c>
      <c r="AE152" s="1671">
        <v>0</v>
      </c>
      <c r="AF152" s="1671">
        <v>0</v>
      </c>
      <c r="AG152" s="1671">
        <v>0</v>
      </c>
      <c r="AH152" s="1671">
        <v>1</v>
      </c>
      <c r="AI152" s="1671">
        <v>59343</v>
      </c>
      <c r="AJ152" s="1671">
        <v>2195</v>
      </c>
      <c r="AK152" s="1671">
        <v>0</v>
      </c>
      <c r="AL152" s="1671">
        <v>0</v>
      </c>
      <c r="AM152" s="1671"/>
      <c r="AN152" s="1671"/>
      <c r="AO152" s="1677"/>
      <c r="AP152" s="332"/>
      <c r="AQ152" s="304" t="str">
        <f t="shared" si="4"/>
        <v/>
      </c>
      <c r="AS152" s="304" t="str">
        <f t="shared" si="5"/>
        <v>wci_corp</v>
      </c>
    </row>
    <row r="153" spans="2:45">
      <c r="B153" s="1670" t="s">
        <v>1324</v>
      </c>
      <c r="C153" s="1671">
        <v>44165</v>
      </c>
      <c r="D153" s="1672">
        <v>1250</v>
      </c>
      <c r="E153" s="1672">
        <v>0</v>
      </c>
      <c r="F153" s="1673" t="s">
        <v>729</v>
      </c>
      <c r="G153" s="1671" t="s">
        <v>1371</v>
      </c>
      <c r="H153" s="1674" t="s">
        <v>730</v>
      </c>
      <c r="I153" s="1671" t="s">
        <v>1372</v>
      </c>
      <c r="J153" s="1671" t="s">
        <v>735</v>
      </c>
      <c r="K153" s="1671" t="s">
        <v>732</v>
      </c>
      <c r="L153" s="1675"/>
      <c r="M153" s="1675"/>
      <c r="N153" s="1675" t="s">
        <v>1373</v>
      </c>
      <c r="O153" s="1671"/>
      <c r="P153" s="1675"/>
      <c r="Q153" s="1676"/>
      <c r="R153" s="1671"/>
      <c r="S153" s="1671"/>
      <c r="T153" s="1671"/>
      <c r="U153" s="1671" t="s">
        <v>1374</v>
      </c>
      <c r="V153" s="1671" t="s">
        <v>1374</v>
      </c>
      <c r="W153" s="1671"/>
      <c r="X153" s="1671">
        <v>44167</v>
      </c>
      <c r="Y153" s="1671">
        <v>44167</v>
      </c>
      <c r="Z153" s="1671"/>
      <c r="AA153" s="1671"/>
      <c r="AB153" s="1671" t="s">
        <v>733</v>
      </c>
      <c r="AC153" s="1671">
        <v>0</v>
      </c>
      <c r="AD153" s="1671">
        <v>0</v>
      </c>
      <c r="AE153" s="1671">
        <v>0</v>
      </c>
      <c r="AF153" s="1671">
        <v>0</v>
      </c>
      <c r="AG153" s="1671">
        <v>0</v>
      </c>
      <c r="AH153" s="1671">
        <v>1</v>
      </c>
      <c r="AI153" s="1671">
        <v>59341</v>
      </c>
      <c r="AJ153" s="1671">
        <v>2195</v>
      </c>
      <c r="AK153" s="1671">
        <v>0</v>
      </c>
      <c r="AL153" s="1671">
        <v>0</v>
      </c>
      <c r="AM153" s="1671"/>
      <c r="AN153" s="1671"/>
      <c r="AO153" s="1677"/>
      <c r="AP153" s="332"/>
      <c r="AQ153" s="304" t="str">
        <f t="shared" si="4"/>
        <v/>
      </c>
      <c r="AS153" s="304" t="str">
        <f t="shared" si="5"/>
        <v>wci_corp</v>
      </c>
    </row>
    <row r="154" spans="2:45">
      <c r="B154" s="1670" t="s">
        <v>1312</v>
      </c>
      <c r="C154" s="1671">
        <v>44165</v>
      </c>
      <c r="D154" s="1672">
        <v>4000</v>
      </c>
      <c r="E154" s="1672">
        <v>0</v>
      </c>
      <c r="F154" s="1673" t="s">
        <v>729</v>
      </c>
      <c r="G154" s="1671" t="s">
        <v>1375</v>
      </c>
      <c r="H154" s="1674" t="s">
        <v>730</v>
      </c>
      <c r="I154" s="1671" t="s">
        <v>1286</v>
      </c>
      <c r="J154" s="1671" t="s">
        <v>737</v>
      </c>
      <c r="K154" s="1671" t="s">
        <v>732</v>
      </c>
      <c r="L154" s="1675"/>
      <c r="M154" s="1675"/>
      <c r="N154" s="1675" t="s">
        <v>1376</v>
      </c>
      <c r="O154" s="1671"/>
      <c r="P154" s="1675"/>
      <c r="Q154" s="1676"/>
      <c r="R154" s="1671"/>
      <c r="S154" s="1671"/>
      <c r="T154" s="1671"/>
      <c r="U154" s="1671" t="s">
        <v>1377</v>
      </c>
      <c r="V154" s="1671" t="s">
        <v>1377</v>
      </c>
      <c r="W154" s="1671"/>
      <c r="X154" s="1671">
        <v>44169</v>
      </c>
      <c r="Y154" s="1671">
        <v>44169</v>
      </c>
      <c r="Z154" s="1671"/>
      <c r="AA154" s="1671"/>
      <c r="AB154" s="1671" t="s">
        <v>733</v>
      </c>
      <c r="AC154" s="1671">
        <v>0</v>
      </c>
      <c r="AD154" s="1671">
        <v>0</v>
      </c>
      <c r="AE154" s="1671">
        <v>0</v>
      </c>
      <c r="AF154" s="1671">
        <v>0</v>
      </c>
      <c r="AG154" s="1671">
        <v>0</v>
      </c>
      <c r="AH154" s="1671">
        <v>1</v>
      </c>
      <c r="AI154" s="1671">
        <v>59400</v>
      </c>
      <c r="AJ154" s="1671">
        <v>2195</v>
      </c>
      <c r="AK154" s="1671">
        <v>0</v>
      </c>
      <c r="AL154" s="1671">
        <v>0</v>
      </c>
      <c r="AM154" s="1671"/>
      <c r="AN154" s="1671"/>
      <c r="AO154" s="1677"/>
      <c r="AP154" s="332"/>
      <c r="AQ154" s="304" t="str">
        <f t="shared" si="4"/>
        <v/>
      </c>
      <c r="AS154" s="304" t="str">
        <f t="shared" si="5"/>
        <v>wci_corp</v>
      </c>
    </row>
    <row r="155" spans="2:45">
      <c r="B155" s="1670" t="s">
        <v>1312</v>
      </c>
      <c r="C155" s="1671">
        <v>44183</v>
      </c>
      <c r="D155" s="1672">
        <v>4000</v>
      </c>
      <c r="E155" s="1672">
        <v>0</v>
      </c>
      <c r="F155" s="1673" t="s">
        <v>729</v>
      </c>
      <c r="G155" s="1671" t="s">
        <v>1378</v>
      </c>
      <c r="H155" s="1674" t="s">
        <v>730</v>
      </c>
      <c r="I155" s="1671" t="s">
        <v>1039</v>
      </c>
      <c r="J155" s="1671" t="s">
        <v>1042</v>
      </c>
      <c r="K155" s="1671" t="s">
        <v>732</v>
      </c>
      <c r="L155" s="1675" t="s">
        <v>1379</v>
      </c>
      <c r="M155" s="1675"/>
      <c r="N155" s="1675" t="s">
        <v>1380</v>
      </c>
      <c r="O155" s="1671">
        <v>44147</v>
      </c>
      <c r="P155" s="1675" t="s">
        <v>1381</v>
      </c>
      <c r="Q155" s="1676" t="s">
        <v>1382</v>
      </c>
      <c r="R155" s="1671" t="s">
        <v>1383</v>
      </c>
      <c r="S155" s="1671"/>
      <c r="T155" s="1671"/>
      <c r="U155" s="1671" t="s">
        <v>1384</v>
      </c>
      <c r="V155" s="1671" t="s">
        <v>1385</v>
      </c>
      <c r="W155" s="1671" t="s">
        <v>1287</v>
      </c>
      <c r="X155" s="1671">
        <v>44183</v>
      </c>
      <c r="Y155" s="1671">
        <v>44187</v>
      </c>
      <c r="Z155" s="1671">
        <v>4000</v>
      </c>
      <c r="AA155" s="1671">
        <v>44148</v>
      </c>
      <c r="AB155" s="1671" t="s">
        <v>733</v>
      </c>
      <c r="AC155" s="1671">
        <v>0</v>
      </c>
      <c r="AD155" s="1671">
        <v>0</v>
      </c>
      <c r="AE155" s="1671">
        <v>0</v>
      </c>
      <c r="AF155" s="1671">
        <v>0</v>
      </c>
      <c r="AG155" s="1671">
        <v>0</v>
      </c>
      <c r="AH155" s="1671">
        <v>1</v>
      </c>
      <c r="AI155" s="1671">
        <v>59400</v>
      </c>
      <c r="AJ155" s="1671">
        <v>2195</v>
      </c>
      <c r="AK155" s="1671">
        <v>0</v>
      </c>
      <c r="AL155" s="1671">
        <v>0</v>
      </c>
      <c r="AM155" s="1671"/>
      <c r="AN155" s="1671"/>
      <c r="AO155" s="1677"/>
      <c r="AP155" s="332"/>
      <c r="AQ155" s="304" t="str">
        <f t="shared" si="4"/>
        <v>VO05629847</v>
      </c>
      <c r="AS155" s="304" t="str">
        <f t="shared" si="5"/>
        <v>wci_corp</v>
      </c>
    </row>
    <row r="156" spans="2:45">
      <c r="B156" s="1670" t="s">
        <v>1312</v>
      </c>
      <c r="C156" s="1671">
        <v>44196</v>
      </c>
      <c r="D156" s="1672">
        <v>-4000</v>
      </c>
      <c r="E156" s="1672">
        <v>0</v>
      </c>
      <c r="F156" s="1673" t="s">
        <v>729</v>
      </c>
      <c r="G156" s="1671" t="s">
        <v>1386</v>
      </c>
      <c r="H156" s="1674" t="s">
        <v>730</v>
      </c>
      <c r="I156" s="1671" t="s">
        <v>1286</v>
      </c>
      <c r="J156" s="1671" t="s">
        <v>737</v>
      </c>
      <c r="K156" s="1671" t="s">
        <v>732</v>
      </c>
      <c r="L156" s="1675"/>
      <c r="M156" s="1675"/>
      <c r="N156" s="1675" t="s">
        <v>1376</v>
      </c>
      <c r="O156" s="1671"/>
      <c r="P156" s="1675"/>
      <c r="Q156" s="1676"/>
      <c r="R156" s="1671"/>
      <c r="S156" s="1671"/>
      <c r="T156" s="1671"/>
      <c r="U156" s="1671" t="s">
        <v>1377</v>
      </c>
      <c r="V156" s="1671" t="s">
        <v>1387</v>
      </c>
      <c r="W156" s="1671"/>
      <c r="X156" s="1671">
        <v>44169</v>
      </c>
      <c r="Y156" s="1671">
        <v>44169</v>
      </c>
      <c r="Z156" s="1671"/>
      <c r="AA156" s="1671"/>
      <c r="AB156" s="1671" t="s">
        <v>733</v>
      </c>
      <c r="AC156" s="1671">
        <v>0</v>
      </c>
      <c r="AD156" s="1671">
        <v>0</v>
      </c>
      <c r="AE156" s="1671">
        <v>0</v>
      </c>
      <c r="AF156" s="1671">
        <v>0</v>
      </c>
      <c r="AG156" s="1671">
        <v>5</v>
      </c>
      <c r="AH156" s="1671">
        <v>1</v>
      </c>
      <c r="AI156" s="1671">
        <v>59400</v>
      </c>
      <c r="AJ156" s="1671">
        <v>2195</v>
      </c>
      <c r="AK156" s="1671">
        <v>0</v>
      </c>
      <c r="AL156" s="1671">
        <v>0</v>
      </c>
      <c r="AM156" s="1671"/>
      <c r="AN156" s="1671"/>
      <c r="AO156" s="1677"/>
      <c r="AP156" s="332"/>
      <c r="AQ156" s="304" t="str">
        <f t="shared" si="4"/>
        <v/>
      </c>
      <c r="AS156" s="304" t="str">
        <f t="shared" si="5"/>
        <v>wci_corp</v>
      </c>
    </row>
    <row r="157" spans="2:45">
      <c r="B157" s="1670" t="s">
        <v>1324</v>
      </c>
      <c r="C157" s="1671">
        <v>44196</v>
      </c>
      <c r="D157" s="1672">
        <v>-1250</v>
      </c>
      <c r="E157" s="1672">
        <v>0</v>
      </c>
      <c r="F157" s="1673" t="s">
        <v>729</v>
      </c>
      <c r="G157" s="1671" t="s">
        <v>1388</v>
      </c>
      <c r="H157" s="1674" t="s">
        <v>730</v>
      </c>
      <c r="I157" s="1671" t="s">
        <v>1389</v>
      </c>
      <c r="J157" s="1671" t="s">
        <v>736</v>
      </c>
      <c r="K157" s="1671" t="s">
        <v>732</v>
      </c>
      <c r="L157" s="1675"/>
      <c r="M157" s="1675"/>
      <c r="N157" s="1675" t="s">
        <v>1373</v>
      </c>
      <c r="O157" s="1671"/>
      <c r="P157" s="1675"/>
      <c r="Q157" s="1676"/>
      <c r="R157" s="1671"/>
      <c r="S157" s="1671"/>
      <c r="T157" s="1671"/>
      <c r="U157" s="1671" t="s">
        <v>1390</v>
      </c>
      <c r="V157" s="1671" t="s">
        <v>1390</v>
      </c>
      <c r="W157" s="1671"/>
      <c r="X157" s="1671">
        <v>44201</v>
      </c>
      <c r="Y157" s="1671">
        <v>44201</v>
      </c>
      <c r="Z157" s="1671"/>
      <c r="AA157" s="1671"/>
      <c r="AB157" s="1671" t="s">
        <v>733</v>
      </c>
      <c r="AC157" s="1671">
        <v>0</v>
      </c>
      <c r="AD157" s="1671">
        <v>0</v>
      </c>
      <c r="AE157" s="1671">
        <v>0</v>
      </c>
      <c r="AF157" s="1671">
        <v>0</v>
      </c>
      <c r="AG157" s="1671">
        <v>0</v>
      </c>
      <c r="AH157" s="1671">
        <v>1</v>
      </c>
      <c r="AI157" s="1671">
        <v>59341</v>
      </c>
      <c r="AJ157" s="1671">
        <v>2195</v>
      </c>
      <c r="AK157" s="1671">
        <v>0</v>
      </c>
      <c r="AL157" s="1671">
        <v>0</v>
      </c>
      <c r="AM157" s="1671"/>
      <c r="AN157" s="1671"/>
      <c r="AO157" s="1677"/>
      <c r="AP157" s="332"/>
      <c r="AQ157" s="304" t="str">
        <f t="shared" si="4"/>
        <v/>
      </c>
      <c r="AS157" s="304" t="str">
        <f t="shared" si="5"/>
        <v>wci_corp</v>
      </c>
    </row>
    <row r="158" spans="2:45">
      <c r="B158" s="1670" t="s">
        <v>1324</v>
      </c>
      <c r="C158" s="1671">
        <v>44196</v>
      </c>
      <c r="D158" s="1672">
        <v>1250</v>
      </c>
      <c r="E158" s="1672">
        <v>0</v>
      </c>
      <c r="F158" s="1673" t="s">
        <v>729</v>
      </c>
      <c r="G158" s="1671" t="s">
        <v>1388</v>
      </c>
      <c r="H158" s="1674" t="s">
        <v>730</v>
      </c>
      <c r="I158" s="1671" t="s">
        <v>1389</v>
      </c>
      <c r="J158" s="1671" t="s">
        <v>736</v>
      </c>
      <c r="K158" s="1671" t="s">
        <v>732</v>
      </c>
      <c r="L158" s="1675"/>
      <c r="M158" s="1675"/>
      <c r="N158" s="1675" t="s">
        <v>1391</v>
      </c>
      <c r="O158" s="1671"/>
      <c r="P158" s="1675"/>
      <c r="Q158" s="1676"/>
      <c r="R158" s="1671"/>
      <c r="S158" s="1671"/>
      <c r="T158" s="1671"/>
      <c r="U158" s="1671" t="s">
        <v>1390</v>
      </c>
      <c r="V158" s="1671" t="s">
        <v>1390</v>
      </c>
      <c r="W158" s="1671"/>
      <c r="X158" s="1671">
        <v>44201</v>
      </c>
      <c r="Y158" s="1671">
        <v>44201</v>
      </c>
      <c r="Z158" s="1671"/>
      <c r="AA158" s="1671"/>
      <c r="AB158" s="1671" t="s">
        <v>733</v>
      </c>
      <c r="AC158" s="1671">
        <v>0</v>
      </c>
      <c r="AD158" s="1671">
        <v>0</v>
      </c>
      <c r="AE158" s="1671">
        <v>0</v>
      </c>
      <c r="AF158" s="1671">
        <v>0</v>
      </c>
      <c r="AG158" s="1671">
        <v>0</v>
      </c>
      <c r="AH158" s="1671">
        <v>1</v>
      </c>
      <c r="AI158" s="1671">
        <v>59341</v>
      </c>
      <c r="AJ158" s="1671">
        <v>2195</v>
      </c>
      <c r="AK158" s="1671">
        <v>0</v>
      </c>
      <c r="AL158" s="1671">
        <v>0</v>
      </c>
      <c r="AM158" s="1671"/>
      <c r="AN158" s="1671"/>
      <c r="AO158" s="1677"/>
      <c r="AP158" s="332"/>
      <c r="AQ158" s="304" t="str">
        <f t="shared" si="4"/>
        <v/>
      </c>
      <c r="AS158" s="304" t="str">
        <f t="shared" si="5"/>
        <v>wci_corp</v>
      </c>
    </row>
    <row r="159" spans="2:45">
      <c r="B159" s="1670" t="s">
        <v>1300</v>
      </c>
      <c r="C159" s="1671">
        <v>44196</v>
      </c>
      <c r="D159" s="1672">
        <v>-3732.19</v>
      </c>
      <c r="E159" s="1672">
        <v>0</v>
      </c>
      <c r="F159" s="1673" t="s">
        <v>729</v>
      </c>
      <c r="G159" s="1671" t="s">
        <v>1388</v>
      </c>
      <c r="H159" s="1674" t="s">
        <v>730</v>
      </c>
      <c r="I159" s="1671" t="s">
        <v>1389</v>
      </c>
      <c r="J159" s="1671" t="s">
        <v>736</v>
      </c>
      <c r="K159" s="1671" t="s">
        <v>732</v>
      </c>
      <c r="L159" s="1675"/>
      <c r="M159" s="1675"/>
      <c r="N159" s="1675" t="s">
        <v>1331</v>
      </c>
      <c r="O159" s="1671"/>
      <c r="P159" s="1675"/>
      <c r="Q159" s="1676"/>
      <c r="R159" s="1671"/>
      <c r="S159" s="1671"/>
      <c r="T159" s="1671"/>
      <c r="U159" s="1671" t="s">
        <v>1390</v>
      </c>
      <c r="V159" s="1671" t="s">
        <v>1390</v>
      </c>
      <c r="W159" s="1671"/>
      <c r="X159" s="1671">
        <v>44201</v>
      </c>
      <c r="Y159" s="1671">
        <v>44201</v>
      </c>
      <c r="Z159" s="1671"/>
      <c r="AA159" s="1671"/>
      <c r="AB159" s="1671" t="s">
        <v>733</v>
      </c>
      <c r="AC159" s="1671">
        <v>0</v>
      </c>
      <c r="AD159" s="1671">
        <v>0</v>
      </c>
      <c r="AE159" s="1671">
        <v>0</v>
      </c>
      <c r="AF159" s="1671">
        <v>0</v>
      </c>
      <c r="AG159" s="1671">
        <v>0</v>
      </c>
      <c r="AH159" s="1671">
        <v>1</v>
      </c>
      <c r="AI159" s="1671">
        <v>59343</v>
      </c>
      <c r="AJ159" s="1671">
        <v>2195</v>
      </c>
      <c r="AK159" s="1671">
        <v>0</v>
      </c>
      <c r="AL159" s="1671">
        <v>0</v>
      </c>
      <c r="AM159" s="1671"/>
      <c r="AN159" s="1671"/>
      <c r="AO159" s="1677"/>
      <c r="AP159" s="332"/>
      <c r="AQ159" s="304" t="str">
        <f t="shared" si="4"/>
        <v/>
      </c>
      <c r="AS159" s="304" t="str">
        <f t="shared" si="5"/>
        <v>wci_corp</v>
      </c>
    </row>
    <row r="160" spans="2:45">
      <c r="B160" s="1670" t="s">
        <v>1291</v>
      </c>
      <c r="C160" s="1671">
        <v>44227</v>
      </c>
      <c r="D160" s="1672">
        <v>13000</v>
      </c>
      <c r="E160" s="1672">
        <v>0</v>
      </c>
      <c r="F160" s="1673" t="s">
        <v>729</v>
      </c>
      <c r="G160" s="1671" t="s">
        <v>2514</v>
      </c>
      <c r="H160" s="1674" t="s">
        <v>730</v>
      </c>
      <c r="I160" s="1671" t="s">
        <v>2515</v>
      </c>
      <c r="J160" s="1671" t="s">
        <v>731</v>
      </c>
      <c r="K160" s="1671" t="s">
        <v>732</v>
      </c>
      <c r="L160" s="1675"/>
      <c r="M160" s="1675"/>
      <c r="N160" s="1675" t="s">
        <v>1391</v>
      </c>
      <c r="O160" s="1671"/>
      <c r="P160" s="1675"/>
      <c r="Q160" s="1676"/>
      <c r="R160" s="1671"/>
      <c r="S160" s="1671"/>
      <c r="T160" s="1671"/>
      <c r="U160" s="1671" t="s">
        <v>2516</v>
      </c>
      <c r="V160" s="1671" t="s">
        <v>2516</v>
      </c>
      <c r="W160" s="1671"/>
      <c r="X160" s="1671">
        <v>44229</v>
      </c>
      <c r="Y160" s="1671">
        <v>44229</v>
      </c>
      <c r="Z160" s="1671"/>
      <c r="AA160" s="1671"/>
      <c r="AB160" s="1671" t="s">
        <v>733</v>
      </c>
      <c r="AC160" s="1671">
        <v>0</v>
      </c>
      <c r="AD160" s="1671">
        <v>0</v>
      </c>
      <c r="AE160" s="1671">
        <v>0</v>
      </c>
      <c r="AF160" s="1671">
        <v>0</v>
      </c>
      <c r="AG160" s="1671">
        <v>0</v>
      </c>
      <c r="AH160" s="1671">
        <v>1</v>
      </c>
      <c r="AI160" s="1671">
        <v>59342</v>
      </c>
      <c r="AJ160" s="1671">
        <v>2195</v>
      </c>
      <c r="AK160" s="1671">
        <v>0</v>
      </c>
      <c r="AL160" s="1671">
        <v>0</v>
      </c>
      <c r="AM160" s="1671"/>
      <c r="AN160" s="1671"/>
      <c r="AO160" s="1677"/>
      <c r="AP160" s="332"/>
      <c r="AQ160" s="304" t="str">
        <f t="shared" si="4"/>
        <v/>
      </c>
      <c r="AS160" s="304" t="str">
        <f t="shared" si="5"/>
        <v>wci_corp</v>
      </c>
    </row>
    <row r="161" spans="2:45">
      <c r="B161" s="1670" t="s">
        <v>1324</v>
      </c>
      <c r="C161" s="1671">
        <v>44255</v>
      </c>
      <c r="D161" s="1672">
        <v>1250</v>
      </c>
      <c r="E161" s="1672">
        <v>0</v>
      </c>
      <c r="F161" s="1673" t="s">
        <v>729</v>
      </c>
      <c r="G161" s="1671" t="s">
        <v>2517</v>
      </c>
      <c r="H161" s="1674" t="s">
        <v>730</v>
      </c>
      <c r="I161" s="1671" t="s">
        <v>2518</v>
      </c>
      <c r="J161" s="1671" t="s">
        <v>731</v>
      </c>
      <c r="K161" s="1671" t="s">
        <v>732</v>
      </c>
      <c r="L161" s="1675"/>
      <c r="M161" s="1675"/>
      <c r="N161" s="1675" t="s">
        <v>2430</v>
      </c>
      <c r="O161" s="1671"/>
      <c r="P161" s="1675"/>
      <c r="Q161" s="1676"/>
      <c r="R161" s="1671"/>
      <c r="S161" s="1671"/>
      <c r="T161" s="1671"/>
      <c r="U161" s="1671" t="s">
        <v>2519</v>
      </c>
      <c r="V161" s="1671" t="s">
        <v>2519</v>
      </c>
      <c r="W161" s="1671"/>
      <c r="X161" s="1671">
        <v>44257</v>
      </c>
      <c r="Y161" s="1671">
        <v>44257</v>
      </c>
      <c r="Z161" s="1671"/>
      <c r="AA161" s="1671"/>
      <c r="AB161" s="1671" t="s">
        <v>733</v>
      </c>
      <c r="AC161" s="1671">
        <v>0</v>
      </c>
      <c r="AD161" s="1671">
        <v>0</v>
      </c>
      <c r="AE161" s="1671">
        <v>0</v>
      </c>
      <c r="AF161" s="1671">
        <v>0</v>
      </c>
      <c r="AG161" s="1671">
        <v>0</v>
      </c>
      <c r="AH161" s="1671">
        <v>1</v>
      </c>
      <c r="AI161" s="1671">
        <v>59341</v>
      </c>
      <c r="AJ161" s="1671">
        <v>2195</v>
      </c>
      <c r="AK161" s="1671">
        <v>0</v>
      </c>
      <c r="AL161" s="1671">
        <v>0</v>
      </c>
      <c r="AM161" s="1671"/>
      <c r="AN161" s="1671"/>
      <c r="AO161" s="1677"/>
      <c r="AP161" s="332"/>
      <c r="AQ161" s="304" t="str">
        <f t="shared" si="4"/>
        <v/>
      </c>
      <c r="AS161" s="304" t="str">
        <f t="shared" si="5"/>
        <v>wci_corp</v>
      </c>
    </row>
    <row r="162" spans="2:45">
      <c r="B162" s="1670" t="s">
        <v>1324</v>
      </c>
      <c r="C162" s="1671">
        <v>44286</v>
      </c>
      <c r="D162" s="1672">
        <v>11000</v>
      </c>
      <c r="E162" s="1672">
        <v>0</v>
      </c>
      <c r="F162" s="1673" t="s">
        <v>729</v>
      </c>
      <c r="G162" s="1671" t="s">
        <v>2520</v>
      </c>
      <c r="H162" s="1674" t="s">
        <v>730</v>
      </c>
      <c r="I162" s="1671" t="s">
        <v>2521</v>
      </c>
      <c r="J162" s="1671" t="s">
        <v>736</v>
      </c>
      <c r="K162" s="1671" t="s">
        <v>732</v>
      </c>
      <c r="L162" s="1675"/>
      <c r="M162" s="1675"/>
      <c r="N162" s="1675" t="s">
        <v>2430</v>
      </c>
      <c r="O162" s="1671"/>
      <c r="P162" s="1675"/>
      <c r="Q162" s="1676"/>
      <c r="R162" s="1671"/>
      <c r="S162" s="1671"/>
      <c r="T162" s="1671"/>
      <c r="U162" s="1671" t="s">
        <v>2522</v>
      </c>
      <c r="V162" s="1671" t="s">
        <v>2522</v>
      </c>
      <c r="W162" s="1671"/>
      <c r="X162" s="1671">
        <v>44288</v>
      </c>
      <c r="Y162" s="1671">
        <v>44290</v>
      </c>
      <c r="Z162" s="1671"/>
      <c r="AA162" s="1671"/>
      <c r="AB162" s="1671" t="s">
        <v>733</v>
      </c>
      <c r="AC162" s="1671">
        <v>0</v>
      </c>
      <c r="AD162" s="1671">
        <v>0</v>
      </c>
      <c r="AE162" s="1671">
        <v>0</v>
      </c>
      <c r="AF162" s="1671">
        <v>0</v>
      </c>
      <c r="AG162" s="1671">
        <v>0</v>
      </c>
      <c r="AH162" s="1671">
        <v>1</v>
      </c>
      <c r="AI162" s="1671">
        <v>59341</v>
      </c>
      <c r="AJ162" s="1671">
        <v>2195</v>
      </c>
      <c r="AK162" s="1671">
        <v>0</v>
      </c>
      <c r="AL162" s="1671">
        <v>0</v>
      </c>
      <c r="AM162" s="1671"/>
      <c r="AN162" s="1671"/>
      <c r="AO162" s="1677"/>
      <c r="AP162" s="332"/>
      <c r="AQ162" s="304" t="str">
        <f t="shared" si="4"/>
        <v/>
      </c>
      <c r="AS162" s="304" t="str">
        <f t="shared" si="5"/>
        <v>wci_corp</v>
      </c>
    </row>
    <row r="163" spans="2:45">
      <c r="B163" s="1670" t="s">
        <v>1291</v>
      </c>
      <c r="C163" s="1671">
        <v>44286</v>
      </c>
      <c r="D163" s="1672">
        <v>27500</v>
      </c>
      <c r="E163" s="1672">
        <v>0</v>
      </c>
      <c r="F163" s="1673" t="s">
        <v>729</v>
      </c>
      <c r="G163" s="1671" t="s">
        <v>2520</v>
      </c>
      <c r="H163" s="1674" t="s">
        <v>730</v>
      </c>
      <c r="I163" s="1671" t="s">
        <v>2521</v>
      </c>
      <c r="J163" s="1671" t="s">
        <v>736</v>
      </c>
      <c r="K163" s="1671" t="s">
        <v>732</v>
      </c>
      <c r="L163" s="1675"/>
      <c r="M163" s="1675"/>
      <c r="N163" s="1675" t="s">
        <v>1350</v>
      </c>
      <c r="O163" s="1671"/>
      <c r="P163" s="1675"/>
      <c r="Q163" s="1676"/>
      <c r="R163" s="1671"/>
      <c r="S163" s="1671"/>
      <c r="T163" s="1671"/>
      <c r="U163" s="1671" t="s">
        <v>2522</v>
      </c>
      <c r="V163" s="1671" t="s">
        <v>2522</v>
      </c>
      <c r="W163" s="1671"/>
      <c r="X163" s="1671">
        <v>44288</v>
      </c>
      <c r="Y163" s="1671">
        <v>44290</v>
      </c>
      <c r="Z163" s="1671"/>
      <c r="AA163" s="1671"/>
      <c r="AB163" s="1671" t="s">
        <v>733</v>
      </c>
      <c r="AC163" s="1671">
        <v>0</v>
      </c>
      <c r="AD163" s="1671">
        <v>0</v>
      </c>
      <c r="AE163" s="1671">
        <v>0</v>
      </c>
      <c r="AF163" s="1671">
        <v>0</v>
      </c>
      <c r="AG163" s="1671">
        <v>0</v>
      </c>
      <c r="AH163" s="1671">
        <v>1</v>
      </c>
      <c r="AI163" s="1671">
        <v>59342</v>
      </c>
      <c r="AJ163" s="1671">
        <v>2195</v>
      </c>
      <c r="AK163" s="1671">
        <v>0</v>
      </c>
      <c r="AL163" s="1671">
        <v>0</v>
      </c>
      <c r="AM163" s="1671"/>
      <c r="AN163" s="1671"/>
      <c r="AO163" s="1677"/>
      <c r="AP163" s="332"/>
      <c r="AQ163" s="304" t="str">
        <f t="shared" si="4"/>
        <v/>
      </c>
      <c r="AS163" s="304" t="str">
        <f t="shared" si="5"/>
        <v>wci_corp</v>
      </c>
    </row>
    <row r="164" spans="2:45">
      <c r="B164" s="1670" t="s">
        <v>1291</v>
      </c>
      <c r="C164" s="1671">
        <v>44286</v>
      </c>
      <c r="D164" s="1672">
        <v>5454.27</v>
      </c>
      <c r="E164" s="1672">
        <v>0</v>
      </c>
      <c r="F164" s="1673" t="s">
        <v>729</v>
      </c>
      <c r="G164" s="1671" t="s">
        <v>2520</v>
      </c>
      <c r="H164" s="1674" t="s">
        <v>730</v>
      </c>
      <c r="I164" s="1671" t="s">
        <v>2521</v>
      </c>
      <c r="J164" s="1671" t="s">
        <v>736</v>
      </c>
      <c r="K164" s="1671" t="s">
        <v>732</v>
      </c>
      <c r="L164" s="1675"/>
      <c r="M164" s="1675"/>
      <c r="N164" s="1675" t="s">
        <v>1391</v>
      </c>
      <c r="O164" s="1671"/>
      <c r="P164" s="1675"/>
      <c r="Q164" s="1676"/>
      <c r="R164" s="1671"/>
      <c r="S164" s="1671"/>
      <c r="T164" s="1671"/>
      <c r="U164" s="1671" t="s">
        <v>2522</v>
      </c>
      <c r="V164" s="1671" t="s">
        <v>2522</v>
      </c>
      <c r="W164" s="1671"/>
      <c r="X164" s="1671">
        <v>44288</v>
      </c>
      <c r="Y164" s="1671">
        <v>44290</v>
      </c>
      <c r="Z164" s="1671"/>
      <c r="AA164" s="1671"/>
      <c r="AB164" s="1671" t="s">
        <v>733</v>
      </c>
      <c r="AC164" s="1671">
        <v>0</v>
      </c>
      <c r="AD164" s="1671">
        <v>0</v>
      </c>
      <c r="AE164" s="1671">
        <v>0</v>
      </c>
      <c r="AF164" s="1671">
        <v>0</v>
      </c>
      <c r="AG164" s="1671">
        <v>0</v>
      </c>
      <c r="AH164" s="1671">
        <v>1</v>
      </c>
      <c r="AI164" s="1671">
        <v>59342</v>
      </c>
      <c r="AJ164" s="1671">
        <v>2195</v>
      </c>
      <c r="AK164" s="1671">
        <v>0</v>
      </c>
      <c r="AL164" s="1671">
        <v>0</v>
      </c>
      <c r="AM164" s="1671"/>
      <c r="AN164" s="1671"/>
      <c r="AO164" s="1677"/>
      <c r="AP164" s="332"/>
      <c r="AQ164" s="304" t="str">
        <f t="shared" si="4"/>
        <v/>
      </c>
      <c r="AS164" s="304" t="str">
        <f t="shared" si="5"/>
        <v>wci_corp</v>
      </c>
    </row>
    <row r="165" spans="2:45">
      <c r="B165" s="1670" t="s">
        <v>1300</v>
      </c>
      <c r="C165" s="1671">
        <v>44286</v>
      </c>
      <c r="D165" s="1672">
        <v>4200</v>
      </c>
      <c r="E165" s="1672">
        <v>0</v>
      </c>
      <c r="F165" s="1673" t="s">
        <v>729</v>
      </c>
      <c r="G165" s="1671" t="s">
        <v>2520</v>
      </c>
      <c r="H165" s="1674" t="s">
        <v>730</v>
      </c>
      <c r="I165" s="1671" t="s">
        <v>2521</v>
      </c>
      <c r="J165" s="1671" t="s">
        <v>736</v>
      </c>
      <c r="K165" s="1671" t="s">
        <v>732</v>
      </c>
      <c r="L165" s="1675"/>
      <c r="M165" s="1675"/>
      <c r="N165" s="1675" t="s">
        <v>2426</v>
      </c>
      <c r="O165" s="1671"/>
      <c r="P165" s="1675"/>
      <c r="Q165" s="1676"/>
      <c r="R165" s="1671"/>
      <c r="S165" s="1671"/>
      <c r="T165" s="1671"/>
      <c r="U165" s="1671" t="s">
        <v>2522</v>
      </c>
      <c r="V165" s="1671" t="s">
        <v>2522</v>
      </c>
      <c r="W165" s="1671"/>
      <c r="X165" s="1671">
        <v>44288</v>
      </c>
      <c r="Y165" s="1671">
        <v>44290</v>
      </c>
      <c r="Z165" s="1671"/>
      <c r="AA165" s="1671"/>
      <c r="AB165" s="1671" t="s">
        <v>733</v>
      </c>
      <c r="AC165" s="1671">
        <v>0</v>
      </c>
      <c r="AD165" s="1671">
        <v>0</v>
      </c>
      <c r="AE165" s="1671">
        <v>0</v>
      </c>
      <c r="AF165" s="1671">
        <v>0</v>
      </c>
      <c r="AG165" s="1671">
        <v>0</v>
      </c>
      <c r="AH165" s="1671">
        <v>1</v>
      </c>
      <c r="AI165" s="1671">
        <v>59343</v>
      </c>
      <c r="AJ165" s="1671">
        <v>2195</v>
      </c>
      <c r="AK165" s="1671">
        <v>0</v>
      </c>
      <c r="AL165" s="1671">
        <v>0</v>
      </c>
      <c r="AM165" s="1671"/>
      <c r="AN165" s="1671"/>
      <c r="AO165" s="1677"/>
      <c r="AP165" s="332"/>
      <c r="AQ165" s="304" t="str">
        <f t="shared" si="4"/>
        <v/>
      </c>
      <c r="AS165" s="304" t="str">
        <f t="shared" si="5"/>
        <v>wci_corp</v>
      </c>
    </row>
    <row r="166" spans="2:45">
      <c r="B166" s="1670" t="s">
        <v>1312</v>
      </c>
      <c r="C166" s="1671">
        <v>44309</v>
      </c>
      <c r="D166" s="1672">
        <v>1000</v>
      </c>
      <c r="E166" s="1672">
        <v>0</v>
      </c>
      <c r="F166" s="1673" t="s">
        <v>729</v>
      </c>
      <c r="G166" s="1671" t="s">
        <v>2512</v>
      </c>
      <c r="H166" s="1674" t="s">
        <v>730</v>
      </c>
      <c r="I166" s="1671" t="s">
        <v>1039</v>
      </c>
      <c r="J166" s="1671" t="s">
        <v>1042</v>
      </c>
      <c r="K166" s="1671" t="s">
        <v>732</v>
      </c>
      <c r="L166" s="1675" t="s">
        <v>2511</v>
      </c>
      <c r="M166" s="1675"/>
      <c r="N166" s="1675" t="s">
        <v>2415</v>
      </c>
      <c r="O166" s="1671">
        <v>44287</v>
      </c>
      <c r="P166" s="1675" t="s">
        <v>2510</v>
      </c>
      <c r="Q166" s="1676" t="s">
        <v>2509</v>
      </c>
      <c r="R166" s="1671" t="s">
        <v>2508</v>
      </c>
      <c r="S166" s="1671"/>
      <c r="T166" s="1671"/>
      <c r="U166" s="1671" t="s">
        <v>2507</v>
      </c>
      <c r="V166" s="1671" t="s">
        <v>2506</v>
      </c>
      <c r="W166" s="1671" t="s">
        <v>1287</v>
      </c>
      <c r="X166" s="1671">
        <v>44309</v>
      </c>
      <c r="Y166" s="1671">
        <v>44314</v>
      </c>
      <c r="Z166" s="1671">
        <v>1000</v>
      </c>
      <c r="AA166" s="1671">
        <v>44288</v>
      </c>
      <c r="AB166" s="1671" t="s">
        <v>733</v>
      </c>
      <c r="AC166" s="1671">
        <v>0</v>
      </c>
      <c r="AD166" s="1671">
        <v>0</v>
      </c>
      <c r="AE166" s="1671">
        <v>0</v>
      </c>
      <c r="AF166" s="1671">
        <v>0</v>
      </c>
      <c r="AG166" s="1671">
        <v>0</v>
      </c>
      <c r="AH166" s="1671">
        <v>1</v>
      </c>
      <c r="AI166" s="1671">
        <v>59400</v>
      </c>
      <c r="AJ166" s="1671">
        <v>2195</v>
      </c>
      <c r="AK166" s="1671">
        <v>0</v>
      </c>
      <c r="AL166" s="1671">
        <v>0</v>
      </c>
      <c r="AM166" s="1671"/>
      <c r="AN166" s="1671"/>
      <c r="AO166" s="1677"/>
      <c r="AP166" s="332"/>
      <c r="AQ166" s="304" t="str">
        <f t="shared" si="4"/>
        <v>VO05763436</v>
      </c>
      <c r="AS166" s="304" t="str">
        <f t="shared" si="5"/>
        <v>wci_corp</v>
      </c>
    </row>
    <row r="167" spans="2:45">
      <c r="B167" s="1670" t="s">
        <v>1324</v>
      </c>
      <c r="C167" s="1671">
        <v>44316</v>
      </c>
      <c r="D167" s="1672">
        <v>-2900</v>
      </c>
      <c r="E167" s="1672">
        <v>0</v>
      </c>
      <c r="F167" s="1673" t="s">
        <v>729</v>
      </c>
      <c r="G167" s="1671" t="s">
        <v>2505</v>
      </c>
      <c r="H167" s="1674" t="s">
        <v>730</v>
      </c>
      <c r="I167" s="1671" t="s">
        <v>2504</v>
      </c>
      <c r="J167" s="1671" t="s">
        <v>736</v>
      </c>
      <c r="K167" s="1671" t="s">
        <v>732</v>
      </c>
      <c r="L167" s="1675"/>
      <c r="M167" s="1675"/>
      <c r="N167" s="1675" t="s">
        <v>2430</v>
      </c>
      <c r="O167" s="1671"/>
      <c r="P167" s="1675"/>
      <c r="Q167" s="1676"/>
      <c r="R167" s="1671"/>
      <c r="S167" s="1671"/>
      <c r="T167" s="1671"/>
      <c r="U167" s="1671" t="s">
        <v>2503</v>
      </c>
      <c r="V167" s="1671" t="s">
        <v>2503</v>
      </c>
      <c r="W167" s="1671"/>
      <c r="X167" s="1671">
        <v>44320</v>
      </c>
      <c r="Y167" s="1671">
        <v>44321</v>
      </c>
      <c r="Z167" s="1671"/>
      <c r="AA167" s="1671"/>
      <c r="AB167" s="1671" t="s">
        <v>733</v>
      </c>
      <c r="AC167" s="1671">
        <v>0</v>
      </c>
      <c r="AD167" s="1671">
        <v>0</v>
      </c>
      <c r="AE167" s="1671">
        <v>0</v>
      </c>
      <c r="AF167" s="1671">
        <v>0</v>
      </c>
      <c r="AG167" s="1671">
        <v>0</v>
      </c>
      <c r="AH167" s="1671">
        <v>1</v>
      </c>
      <c r="AI167" s="1671">
        <v>59341</v>
      </c>
      <c r="AJ167" s="1671">
        <v>2195</v>
      </c>
      <c r="AK167" s="1671">
        <v>0</v>
      </c>
      <c r="AL167" s="1671">
        <v>0</v>
      </c>
      <c r="AM167" s="1671"/>
      <c r="AN167" s="1671"/>
      <c r="AO167" s="1677"/>
      <c r="AP167" s="332"/>
      <c r="AQ167" s="304" t="str">
        <f t="shared" si="4"/>
        <v/>
      </c>
      <c r="AS167" s="304" t="str">
        <f t="shared" si="5"/>
        <v>wci_corp</v>
      </c>
    </row>
    <row r="168" spans="2:45">
      <c r="B168" s="1670" t="s">
        <v>1291</v>
      </c>
      <c r="C168" s="1671">
        <v>44316</v>
      </c>
      <c r="D168" s="1672">
        <v>-37981.410000000003</v>
      </c>
      <c r="E168" s="1672">
        <v>0</v>
      </c>
      <c r="F168" s="1673" t="s">
        <v>729</v>
      </c>
      <c r="G168" s="1671" t="s">
        <v>2505</v>
      </c>
      <c r="H168" s="1674" t="s">
        <v>730</v>
      </c>
      <c r="I168" s="1671" t="s">
        <v>2504</v>
      </c>
      <c r="J168" s="1671" t="s">
        <v>736</v>
      </c>
      <c r="K168" s="1671" t="s">
        <v>732</v>
      </c>
      <c r="L168" s="1675"/>
      <c r="M168" s="1675"/>
      <c r="N168" s="1675" t="s">
        <v>1350</v>
      </c>
      <c r="O168" s="1671"/>
      <c r="P168" s="1675"/>
      <c r="Q168" s="1676"/>
      <c r="R168" s="1671"/>
      <c r="S168" s="1671"/>
      <c r="T168" s="1671"/>
      <c r="U168" s="1671" t="s">
        <v>2503</v>
      </c>
      <c r="V168" s="1671" t="s">
        <v>2503</v>
      </c>
      <c r="W168" s="1671"/>
      <c r="X168" s="1671">
        <v>44320</v>
      </c>
      <c r="Y168" s="1671">
        <v>44321</v>
      </c>
      <c r="Z168" s="1671"/>
      <c r="AA168" s="1671"/>
      <c r="AB168" s="1671" t="s">
        <v>733</v>
      </c>
      <c r="AC168" s="1671">
        <v>0</v>
      </c>
      <c r="AD168" s="1671">
        <v>0</v>
      </c>
      <c r="AE168" s="1671">
        <v>0</v>
      </c>
      <c r="AF168" s="1671">
        <v>0</v>
      </c>
      <c r="AG168" s="1671">
        <v>0</v>
      </c>
      <c r="AH168" s="1671">
        <v>1</v>
      </c>
      <c r="AI168" s="1671">
        <v>59342</v>
      </c>
      <c r="AJ168" s="1671">
        <v>2195</v>
      </c>
      <c r="AK168" s="1671">
        <v>0</v>
      </c>
      <c r="AL168" s="1671">
        <v>0</v>
      </c>
      <c r="AM168" s="1671"/>
      <c r="AN168" s="1671"/>
      <c r="AO168" s="1677"/>
      <c r="AP168" s="332"/>
      <c r="AQ168" s="304" t="str">
        <f t="shared" si="4"/>
        <v/>
      </c>
      <c r="AS168" s="304" t="str">
        <f t="shared" si="5"/>
        <v>wci_corp</v>
      </c>
    </row>
    <row r="169" spans="2:45">
      <c r="B169" s="1670" t="s">
        <v>1291</v>
      </c>
      <c r="C169" s="1671">
        <v>44316</v>
      </c>
      <c r="D169" s="1672">
        <v>-1048</v>
      </c>
      <c r="E169" s="1672">
        <v>0</v>
      </c>
      <c r="F169" s="1673" t="s">
        <v>729</v>
      </c>
      <c r="G169" s="1671" t="s">
        <v>2505</v>
      </c>
      <c r="H169" s="1674" t="s">
        <v>730</v>
      </c>
      <c r="I169" s="1671" t="s">
        <v>2504</v>
      </c>
      <c r="J169" s="1671" t="s">
        <v>736</v>
      </c>
      <c r="K169" s="1671" t="s">
        <v>732</v>
      </c>
      <c r="L169" s="1675"/>
      <c r="M169" s="1675"/>
      <c r="N169" s="1675" t="s">
        <v>1391</v>
      </c>
      <c r="O169" s="1671"/>
      <c r="P169" s="1675"/>
      <c r="Q169" s="1676"/>
      <c r="R169" s="1671"/>
      <c r="S169" s="1671"/>
      <c r="T169" s="1671"/>
      <c r="U169" s="1671" t="s">
        <v>2503</v>
      </c>
      <c r="V169" s="1671" t="s">
        <v>2503</v>
      </c>
      <c r="W169" s="1671"/>
      <c r="X169" s="1671">
        <v>44320</v>
      </c>
      <c r="Y169" s="1671">
        <v>44321</v>
      </c>
      <c r="Z169" s="1671"/>
      <c r="AA169" s="1671"/>
      <c r="AB169" s="1671" t="s">
        <v>733</v>
      </c>
      <c r="AC169" s="1671">
        <v>0</v>
      </c>
      <c r="AD169" s="1671">
        <v>0</v>
      </c>
      <c r="AE169" s="1671">
        <v>0</v>
      </c>
      <c r="AF169" s="1671">
        <v>0</v>
      </c>
      <c r="AG169" s="1671">
        <v>0</v>
      </c>
      <c r="AH169" s="1671">
        <v>1</v>
      </c>
      <c r="AI169" s="1671">
        <v>59342</v>
      </c>
      <c r="AJ169" s="1671">
        <v>2195</v>
      </c>
      <c r="AK169" s="1671">
        <v>0</v>
      </c>
      <c r="AL169" s="1671">
        <v>0</v>
      </c>
      <c r="AM169" s="1671"/>
      <c r="AN169" s="1671"/>
      <c r="AO169" s="1677"/>
      <c r="AP169" s="332"/>
      <c r="AQ169" s="304" t="str">
        <f t="shared" si="4"/>
        <v/>
      </c>
      <c r="AS169" s="304" t="str">
        <f t="shared" si="5"/>
        <v>wci_corp</v>
      </c>
    </row>
    <row r="170" spans="2:45">
      <c r="B170" s="1670" t="s">
        <v>1300</v>
      </c>
      <c r="C170" s="1671">
        <v>44316</v>
      </c>
      <c r="D170" s="1672">
        <v>274</v>
      </c>
      <c r="E170" s="1672">
        <v>0</v>
      </c>
      <c r="F170" s="1673" t="s">
        <v>729</v>
      </c>
      <c r="G170" s="1671" t="s">
        <v>2505</v>
      </c>
      <c r="H170" s="1674" t="s">
        <v>730</v>
      </c>
      <c r="I170" s="1671" t="s">
        <v>2504</v>
      </c>
      <c r="J170" s="1671" t="s">
        <v>736</v>
      </c>
      <c r="K170" s="1671" t="s">
        <v>732</v>
      </c>
      <c r="L170" s="1675"/>
      <c r="M170" s="1675"/>
      <c r="N170" s="1675" t="s">
        <v>2426</v>
      </c>
      <c r="O170" s="1671"/>
      <c r="P170" s="1675"/>
      <c r="Q170" s="1676"/>
      <c r="R170" s="1671"/>
      <c r="S170" s="1671"/>
      <c r="T170" s="1671"/>
      <c r="U170" s="1671" t="s">
        <v>2503</v>
      </c>
      <c r="V170" s="1671" t="s">
        <v>2503</v>
      </c>
      <c r="W170" s="1671"/>
      <c r="X170" s="1671">
        <v>44320</v>
      </c>
      <c r="Y170" s="1671">
        <v>44321</v>
      </c>
      <c r="Z170" s="1671"/>
      <c r="AA170" s="1671"/>
      <c r="AB170" s="1671" t="s">
        <v>733</v>
      </c>
      <c r="AC170" s="1671">
        <v>0</v>
      </c>
      <c r="AD170" s="1671">
        <v>0</v>
      </c>
      <c r="AE170" s="1671">
        <v>0</v>
      </c>
      <c r="AF170" s="1671">
        <v>0</v>
      </c>
      <c r="AG170" s="1671">
        <v>0</v>
      </c>
      <c r="AH170" s="1671">
        <v>1</v>
      </c>
      <c r="AI170" s="1671">
        <v>59343</v>
      </c>
      <c r="AJ170" s="1671">
        <v>2195</v>
      </c>
      <c r="AK170" s="1671">
        <v>0</v>
      </c>
      <c r="AL170" s="1671">
        <v>0</v>
      </c>
      <c r="AM170" s="1671"/>
      <c r="AN170" s="1671"/>
      <c r="AO170" s="1677"/>
      <c r="AP170" s="332"/>
      <c r="AQ170" s="304" t="str">
        <f t="shared" si="4"/>
        <v/>
      </c>
      <c r="AS170" s="304" t="str">
        <f t="shared" si="5"/>
        <v>wci_corp</v>
      </c>
    </row>
    <row r="171" spans="2:45">
      <c r="B171" s="1670" t="s">
        <v>1333</v>
      </c>
      <c r="C171" s="1671">
        <v>44316</v>
      </c>
      <c r="D171" s="1672">
        <v>1980</v>
      </c>
      <c r="E171" s="1672">
        <v>0</v>
      </c>
      <c r="F171" s="1673" t="s">
        <v>729</v>
      </c>
      <c r="G171" s="1671" t="s">
        <v>2505</v>
      </c>
      <c r="H171" s="1674" t="s">
        <v>730</v>
      </c>
      <c r="I171" s="1671" t="s">
        <v>2504</v>
      </c>
      <c r="J171" s="1671" t="s">
        <v>736</v>
      </c>
      <c r="K171" s="1671" t="s">
        <v>732</v>
      </c>
      <c r="L171" s="1675"/>
      <c r="M171" s="1675"/>
      <c r="N171" s="1675" t="s">
        <v>1354</v>
      </c>
      <c r="O171" s="1671"/>
      <c r="P171" s="1675"/>
      <c r="Q171" s="1676"/>
      <c r="R171" s="1671"/>
      <c r="S171" s="1671"/>
      <c r="T171" s="1671"/>
      <c r="U171" s="1671" t="s">
        <v>2503</v>
      </c>
      <c r="V171" s="1671" t="s">
        <v>2503</v>
      </c>
      <c r="W171" s="1671"/>
      <c r="X171" s="1671">
        <v>44320</v>
      </c>
      <c r="Y171" s="1671">
        <v>44321</v>
      </c>
      <c r="Z171" s="1671"/>
      <c r="AA171" s="1671"/>
      <c r="AB171" s="1671" t="s">
        <v>733</v>
      </c>
      <c r="AC171" s="1671">
        <v>0</v>
      </c>
      <c r="AD171" s="1671">
        <v>0</v>
      </c>
      <c r="AE171" s="1671">
        <v>0</v>
      </c>
      <c r="AF171" s="1671">
        <v>0</v>
      </c>
      <c r="AG171" s="1671">
        <v>0</v>
      </c>
      <c r="AH171" s="1671">
        <v>1</v>
      </c>
      <c r="AI171" s="1671">
        <v>59344</v>
      </c>
      <c r="AJ171" s="1671">
        <v>2195</v>
      </c>
      <c r="AK171" s="1671">
        <v>0</v>
      </c>
      <c r="AL171" s="1671">
        <v>0</v>
      </c>
      <c r="AM171" s="1671"/>
      <c r="AN171" s="1671"/>
      <c r="AO171" s="1677"/>
      <c r="AP171" s="332"/>
      <c r="AQ171" s="304" t="str">
        <f t="shared" si="4"/>
        <v/>
      </c>
      <c r="AS171" s="304" t="str">
        <f t="shared" si="5"/>
        <v>wci_corp</v>
      </c>
    </row>
    <row r="172" spans="2:45">
      <c r="B172" s="1670" t="s">
        <v>1312</v>
      </c>
      <c r="C172" s="1671">
        <v>44347</v>
      </c>
      <c r="D172" s="1672">
        <v>755.59</v>
      </c>
      <c r="E172" s="1672">
        <v>0</v>
      </c>
      <c r="F172" s="1673" t="s">
        <v>729</v>
      </c>
      <c r="G172" s="1671" t="s">
        <v>2502</v>
      </c>
      <c r="H172" s="1674" t="s">
        <v>730</v>
      </c>
      <c r="I172" s="1671" t="s">
        <v>2501</v>
      </c>
      <c r="J172" s="1671" t="s">
        <v>736</v>
      </c>
      <c r="K172" s="1671" t="s">
        <v>732</v>
      </c>
      <c r="L172" s="1675"/>
      <c r="M172" s="1675"/>
      <c r="N172" s="1675" t="s">
        <v>2421</v>
      </c>
      <c r="O172" s="1671"/>
      <c r="P172" s="1675"/>
      <c r="Q172" s="1676"/>
      <c r="R172" s="1671"/>
      <c r="S172" s="1671"/>
      <c r="T172" s="1671"/>
      <c r="U172" s="1671" t="s">
        <v>2500</v>
      </c>
      <c r="V172" s="1671" t="s">
        <v>2500</v>
      </c>
      <c r="W172" s="1671"/>
      <c r="X172" s="1671">
        <v>44349</v>
      </c>
      <c r="Y172" s="1671">
        <v>44349</v>
      </c>
      <c r="Z172" s="1671"/>
      <c r="AA172" s="1671"/>
      <c r="AB172" s="1671" t="s">
        <v>733</v>
      </c>
      <c r="AC172" s="1671">
        <v>0</v>
      </c>
      <c r="AD172" s="1671">
        <v>0</v>
      </c>
      <c r="AE172" s="1671">
        <v>0</v>
      </c>
      <c r="AF172" s="1671">
        <v>0</v>
      </c>
      <c r="AG172" s="1671">
        <v>0</v>
      </c>
      <c r="AH172" s="1671">
        <v>1</v>
      </c>
      <c r="AI172" s="1671">
        <v>59400</v>
      </c>
      <c r="AJ172" s="1671">
        <v>2195</v>
      </c>
      <c r="AK172" s="1671">
        <v>0</v>
      </c>
      <c r="AL172" s="1671">
        <v>0</v>
      </c>
      <c r="AM172" s="1671"/>
      <c r="AN172" s="1671"/>
      <c r="AO172" s="1677"/>
      <c r="AP172" s="332"/>
      <c r="AQ172" s="304" t="str">
        <f t="shared" si="4"/>
        <v/>
      </c>
      <c r="AS172" s="304" t="str">
        <f t="shared" si="5"/>
        <v>wci_corp</v>
      </c>
    </row>
    <row r="173" spans="2:45">
      <c r="B173" s="1670" t="s">
        <v>1291</v>
      </c>
      <c r="C173" s="1671">
        <v>44347</v>
      </c>
      <c r="D173" s="1672">
        <v>52.5</v>
      </c>
      <c r="E173" s="1672">
        <v>0</v>
      </c>
      <c r="F173" s="1673" t="s">
        <v>729</v>
      </c>
      <c r="G173" s="1671" t="s">
        <v>2499</v>
      </c>
      <c r="H173" s="1674" t="s">
        <v>730</v>
      </c>
      <c r="I173" s="1671" t="s">
        <v>2498</v>
      </c>
      <c r="J173" s="1671" t="s">
        <v>2106</v>
      </c>
      <c r="K173" s="1671" t="s">
        <v>732</v>
      </c>
      <c r="L173" s="1675"/>
      <c r="M173" s="1675"/>
      <c r="N173" s="1675" t="s">
        <v>1350</v>
      </c>
      <c r="O173" s="1671"/>
      <c r="P173" s="1675"/>
      <c r="Q173" s="1676"/>
      <c r="R173" s="1671"/>
      <c r="S173" s="1671"/>
      <c r="T173" s="1671"/>
      <c r="U173" s="1671" t="s">
        <v>2497</v>
      </c>
      <c r="V173" s="1671" t="s">
        <v>2497</v>
      </c>
      <c r="W173" s="1671"/>
      <c r="X173" s="1671">
        <v>44349</v>
      </c>
      <c r="Y173" s="1671">
        <v>44349</v>
      </c>
      <c r="Z173" s="1671"/>
      <c r="AA173" s="1671"/>
      <c r="AB173" s="1671" t="s">
        <v>733</v>
      </c>
      <c r="AC173" s="1671">
        <v>0</v>
      </c>
      <c r="AD173" s="1671">
        <v>0</v>
      </c>
      <c r="AE173" s="1671">
        <v>0</v>
      </c>
      <c r="AF173" s="1671">
        <v>0</v>
      </c>
      <c r="AG173" s="1671">
        <v>0</v>
      </c>
      <c r="AH173" s="1671">
        <v>1</v>
      </c>
      <c r="AI173" s="1671">
        <v>59342</v>
      </c>
      <c r="AJ173" s="1671">
        <v>2195</v>
      </c>
      <c r="AK173" s="1671">
        <v>0</v>
      </c>
      <c r="AL173" s="1671">
        <v>0</v>
      </c>
      <c r="AM173" s="1671"/>
      <c r="AN173" s="1671"/>
      <c r="AO173" s="1677"/>
      <c r="AP173" s="332"/>
      <c r="AQ173" s="304" t="str">
        <f t="shared" si="4"/>
        <v/>
      </c>
      <c r="AS173" s="304" t="str">
        <f t="shared" si="5"/>
        <v>wci_corp</v>
      </c>
    </row>
    <row r="174" spans="2:45">
      <c r="B174" s="1670" t="s">
        <v>1300</v>
      </c>
      <c r="C174" s="1671">
        <v>44347</v>
      </c>
      <c r="D174" s="1672">
        <v>-2096.98</v>
      </c>
      <c r="E174" s="1672">
        <v>0</v>
      </c>
      <c r="F174" s="1673" t="s">
        <v>729</v>
      </c>
      <c r="G174" s="1671" t="s">
        <v>2499</v>
      </c>
      <c r="H174" s="1674" t="s">
        <v>730</v>
      </c>
      <c r="I174" s="1671" t="s">
        <v>2498</v>
      </c>
      <c r="J174" s="1671" t="s">
        <v>2106</v>
      </c>
      <c r="K174" s="1671" t="s">
        <v>732</v>
      </c>
      <c r="L174" s="1675"/>
      <c r="M174" s="1675"/>
      <c r="N174" s="1675" t="s">
        <v>2426</v>
      </c>
      <c r="O174" s="1671"/>
      <c r="P174" s="1675"/>
      <c r="Q174" s="1676"/>
      <c r="R174" s="1671"/>
      <c r="S174" s="1671"/>
      <c r="T174" s="1671"/>
      <c r="U174" s="1671" t="s">
        <v>2497</v>
      </c>
      <c r="V174" s="1671" t="s">
        <v>2497</v>
      </c>
      <c r="W174" s="1671"/>
      <c r="X174" s="1671">
        <v>44349</v>
      </c>
      <c r="Y174" s="1671">
        <v>44349</v>
      </c>
      <c r="Z174" s="1671"/>
      <c r="AA174" s="1671"/>
      <c r="AB174" s="1671" t="s">
        <v>733</v>
      </c>
      <c r="AC174" s="1671">
        <v>0</v>
      </c>
      <c r="AD174" s="1671">
        <v>0</v>
      </c>
      <c r="AE174" s="1671">
        <v>0</v>
      </c>
      <c r="AF174" s="1671">
        <v>0</v>
      </c>
      <c r="AG174" s="1671">
        <v>0</v>
      </c>
      <c r="AH174" s="1671">
        <v>1</v>
      </c>
      <c r="AI174" s="1671">
        <v>59343</v>
      </c>
      <c r="AJ174" s="1671">
        <v>2195</v>
      </c>
      <c r="AK174" s="1671">
        <v>0</v>
      </c>
      <c r="AL174" s="1671">
        <v>0</v>
      </c>
      <c r="AM174" s="1671"/>
      <c r="AN174" s="1671"/>
      <c r="AO174" s="1677"/>
      <c r="AP174" s="332"/>
      <c r="AQ174" s="304" t="str">
        <f t="shared" si="4"/>
        <v/>
      </c>
      <c r="AS174" s="304" t="str">
        <f t="shared" si="5"/>
        <v>wci_corp</v>
      </c>
    </row>
    <row r="175" spans="2:45">
      <c r="B175" s="1670" t="s">
        <v>1333</v>
      </c>
      <c r="C175" s="1671">
        <v>44347</v>
      </c>
      <c r="D175" s="1672">
        <v>-2239.2800000000002</v>
      </c>
      <c r="E175" s="1672">
        <v>0</v>
      </c>
      <c r="F175" s="1673" t="s">
        <v>729</v>
      </c>
      <c r="G175" s="1671" t="s">
        <v>2499</v>
      </c>
      <c r="H175" s="1674" t="s">
        <v>730</v>
      </c>
      <c r="I175" s="1671" t="s">
        <v>2498</v>
      </c>
      <c r="J175" s="1671" t="s">
        <v>2106</v>
      </c>
      <c r="K175" s="1671" t="s">
        <v>732</v>
      </c>
      <c r="L175" s="1675"/>
      <c r="M175" s="1675"/>
      <c r="N175" s="1675" t="s">
        <v>1916</v>
      </c>
      <c r="O175" s="1671"/>
      <c r="P175" s="1675"/>
      <c r="Q175" s="1676"/>
      <c r="R175" s="1671"/>
      <c r="S175" s="1671"/>
      <c r="T175" s="1671"/>
      <c r="U175" s="1671" t="s">
        <v>2497</v>
      </c>
      <c r="V175" s="1671" t="s">
        <v>2497</v>
      </c>
      <c r="W175" s="1671"/>
      <c r="X175" s="1671">
        <v>44349</v>
      </c>
      <c r="Y175" s="1671">
        <v>44349</v>
      </c>
      <c r="Z175" s="1671"/>
      <c r="AA175" s="1671"/>
      <c r="AB175" s="1671" t="s">
        <v>733</v>
      </c>
      <c r="AC175" s="1671">
        <v>0</v>
      </c>
      <c r="AD175" s="1671">
        <v>0</v>
      </c>
      <c r="AE175" s="1671">
        <v>0</v>
      </c>
      <c r="AF175" s="1671">
        <v>0</v>
      </c>
      <c r="AG175" s="1671">
        <v>0</v>
      </c>
      <c r="AH175" s="1671">
        <v>1</v>
      </c>
      <c r="AI175" s="1671">
        <v>59344</v>
      </c>
      <c r="AJ175" s="1671">
        <v>2195</v>
      </c>
      <c r="AK175" s="1671">
        <v>0</v>
      </c>
      <c r="AL175" s="1671">
        <v>0</v>
      </c>
      <c r="AM175" s="1671"/>
      <c r="AN175" s="1671"/>
      <c r="AO175" s="1677"/>
      <c r="AP175" s="332"/>
      <c r="AQ175" s="304" t="str">
        <f t="shared" si="4"/>
        <v/>
      </c>
      <c r="AS175" s="304" t="str">
        <f t="shared" si="5"/>
        <v>wci_corp</v>
      </c>
    </row>
    <row r="176" spans="2:45">
      <c r="B176" s="1670" t="s">
        <v>1333</v>
      </c>
      <c r="C176" s="1671">
        <v>44347</v>
      </c>
      <c r="D176" s="1672">
        <v>850</v>
      </c>
      <c r="E176" s="1672">
        <v>0</v>
      </c>
      <c r="F176" s="1673" t="s">
        <v>729</v>
      </c>
      <c r="G176" s="1671" t="s">
        <v>2499</v>
      </c>
      <c r="H176" s="1674" t="s">
        <v>730</v>
      </c>
      <c r="I176" s="1671" t="s">
        <v>2498</v>
      </c>
      <c r="J176" s="1671" t="s">
        <v>2106</v>
      </c>
      <c r="K176" s="1671" t="s">
        <v>732</v>
      </c>
      <c r="L176" s="1675"/>
      <c r="M176" s="1675"/>
      <c r="N176" s="1675" t="s">
        <v>1303</v>
      </c>
      <c r="O176" s="1671"/>
      <c r="P176" s="1675"/>
      <c r="Q176" s="1676"/>
      <c r="R176" s="1671"/>
      <c r="S176" s="1671"/>
      <c r="T176" s="1671"/>
      <c r="U176" s="1671" t="s">
        <v>2497</v>
      </c>
      <c r="V176" s="1671" t="s">
        <v>2497</v>
      </c>
      <c r="W176" s="1671"/>
      <c r="X176" s="1671">
        <v>44349</v>
      </c>
      <c r="Y176" s="1671">
        <v>44349</v>
      </c>
      <c r="Z176" s="1671"/>
      <c r="AA176" s="1671"/>
      <c r="AB176" s="1671" t="s">
        <v>733</v>
      </c>
      <c r="AC176" s="1671">
        <v>0</v>
      </c>
      <c r="AD176" s="1671">
        <v>0</v>
      </c>
      <c r="AE176" s="1671">
        <v>0</v>
      </c>
      <c r="AF176" s="1671">
        <v>0</v>
      </c>
      <c r="AG176" s="1671">
        <v>0</v>
      </c>
      <c r="AH176" s="1671">
        <v>1</v>
      </c>
      <c r="AI176" s="1671">
        <v>59344</v>
      </c>
      <c r="AJ176" s="1671">
        <v>2195</v>
      </c>
      <c r="AK176" s="1671">
        <v>0</v>
      </c>
      <c r="AL176" s="1671">
        <v>0</v>
      </c>
      <c r="AM176" s="1671"/>
      <c r="AN176" s="1671"/>
      <c r="AO176" s="1677"/>
      <c r="AP176" s="332"/>
      <c r="AQ176" s="304" t="str">
        <f t="shared" si="4"/>
        <v/>
      </c>
      <c r="AS176" s="304" t="str">
        <f t="shared" si="5"/>
        <v>wci_corp</v>
      </c>
    </row>
    <row r="177" spans="2:45">
      <c r="B177" s="1670" t="s">
        <v>1333</v>
      </c>
      <c r="C177" s="1671">
        <v>44347</v>
      </c>
      <c r="D177" s="1672">
        <v>25300</v>
      </c>
      <c r="E177" s="1672">
        <v>0</v>
      </c>
      <c r="F177" s="1673" t="s">
        <v>729</v>
      </c>
      <c r="G177" s="1671" t="s">
        <v>2499</v>
      </c>
      <c r="H177" s="1674" t="s">
        <v>730</v>
      </c>
      <c r="I177" s="1671" t="s">
        <v>2498</v>
      </c>
      <c r="J177" s="1671" t="s">
        <v>2106</v>
      </c>
      <c r="K177" s="1671" t="s">
        <v>732</v>
      </c>
      <c r="L177" s="1675"/>
      <c r="M177" s="1675"/>
      <c r="N177" s="1675" t="s">
        <v>1354</v>
      </c>
      <c r="O177" s="1671"/>
      <c r="P177" s="1675"/>
      <c r="Q177" s="1676"/>
      <c r="R177" s="1671"/>
      <c r="S177" s="1671"/>
      <c r="T177" s="1671"/>
      <c r="U177" s="1671" t="s">
        <v>2497</v>
      </c>
      <c r="V177" s="1671" t="s">
        <v>2497</v>
      </c>
      <c r="W177" s="1671"/>
      <c r="X177" s="1671">
        <v>44349</v>
      </c>
      <c r="Y177" s="1671">
        <v>44349</v>
      </c>
      <c r="Z177" s="1671"/>
      <c r="AA177" s="1671"/>
      <c r="AB177" s="1671" t="s">
        <v>733</v>
      </c>
      <c r="AC177" s="1671">
        <v>0</v>
      </c>
      <c r="AD177" s="1671">
        <v>0</v>
      </c>
      <c r="AE177" s="1671">
        <v>0</v>
      </c>
      <c r="AF177" s="1671">
        <v>0</v>
      </c>
      <c r="AG177" s="1671">
        <v>0</v>
      </c>
      <c r="AH177" s="1671">
        <v>1</v>
      </c>
      <c r="AI177" s="1671">
        <v>59344</v>
      </c>
      <c r="AJ177" s="1671">
        <v>2195</v>
      </c>
      <c r="AK177" s="1671">
        <v>0</v>
      </c>
      <c r="AL177" s="1671">
        <v>0</v>
      </c>
      <c r="AM177" s="1671"/>
      <c r="AN177" s="1671"/>
      <c r="AO177" s="1677"/>
      <c r="AP177" s="332"/>
      <c r="AQ177" s="304" t="str">
        <f t="shared" si="4"/>
        <v/>
      </c>
      <c r="AS177" s="304" t="str">
        <f t="shared" si="5"/>
        <v>wci_corp</v>
      </c>
    </row>
    <row r="178" spans="2:45">
      <c r="B178" s="1670" t="s">
        <v>1312</v>
      </c>
      <c r="C178" s="1671">
        <v>44377</v>
      </c>
      <c r="D178" s="1672">
        <v>1996.2</v>
      </c>
      <c r="E178" s="1672">
        <v>0</v>
      </c>
      <c r="F178" s="1673" t="s">
        <v>729</v>
      </c>
      <c r="G178" s="1671" t="s">
        <v>2496</v>
      </c>
      <c r="H178" s="1674" t="s">
        <v>730</v>
      </c>
      <c r="I178" s="1671" t="s">
        <v>2495</v>
      </c>
      <c r="J178" s="1671" t="s">
        <v>736</v>
      </c>
      <c r="K178" s="1671" t="s">
        <v>732</v>
      </c>
      <c r="L178" s="1675"/>
      <c r="M178" s="1675"/>
      <c r="N178" s="1675" t="s">
        <v>2422</v>
      </c>
      <c r="O178" s="1671"/>
      <c r="P178" s="1675"/>
      <c r="Q178" s="1676"/>
      <c r="R178" s="1671"/>
      <c r="S178" s="1671"/>
      <c r="T178" s="1671"/>
      <c r="U178" s="1671" t="s">
        <v>2494</v>
      </c>
      <c r="V178" s="1671" t="s">
        <v>2494</v>
      </c>
      <c r="W178" s="1671"/>
      <c r="X178" s="1671">
        <v>44379</v>
      </c>
      <c r="Y178" s="1671">
        <v>44382</v>
      </c>
      <c r="Z178" s="1671"/>
      <c r="AA178" s="1671"/>
      <c r="AB178" s="1671" t="s">
        <v>733</v>
      </c>
      <c r="AC178" s="1671">
        <v>0</v>
      </c>
      <c r="AD178" s="1671">
        <v>0</v>
      </c>
      <c r="AE178" s="1671">
        <v>0</v>
      </c>
      <c r="AF178" s="1671">
        <v>0</v>
      </c>
      <c r="AG178" s="1671">
        <v>0</v>
      </c>
      <c r="AH178" s="1671">
        <v>1</v>
      </c>
      <c r="AI178" s="1671">
        <v>59400</v>
      </c>
      <c r="AJ178" s="1671">
        <v>2195</v>
      </c>
      <c r="AK178" s="1671">
        <v>0</v>
      </c>
      <c r="AL178" s="1671">
        <v>0</v>
      </c>
      <c r="AM178" s="1671"/>
      <c r="AN178" s="1671"/>
      <c r="AO178" s="1677"/>
      <c r="AP178" s="332"/>
      <c r="AQ178" s="304" t="str">
        <f t="shared" si="4"/>
        <v/>
      </c>
      <c r="AS178" s="304" t="str">
        <f t="shared" si="5"/>
        <v>wci_corp</v>
      </c>
    </row>
    <row r="179" spans="2:45">
      <c r="B179" s="1670" t="s">
        <v>1324</v>
      </c>
      <c r="C179" s="1671">
        <v>44377</v>
      </c>
      <c r="D179" s="1672">
        <v>-104.65</v>
      </c>
      <c r="E179" s="1672">
        <v>0</v>
      </c>
      <c r="F179" s="1673" t="s">
        <v>729</v>
      </c>
      <c r="G179" s="1671" t="s">
        <v>2493</v>
      </c>
      <c r="H179" s="1674" t="s">
        <v>730</v>
      </c>
      <c r="I179" s="1671" t="s">
        <v>2492</v>
      </c>
      <c r="J179" s="1671" t="s">
        <v>737</v>
      </c>
      <c r="K179" s="1671" t="s">
        <v>732</v>
      </c>
      <c r="L179" s="1675"/>
      <c r="M179" s="1675"/>
      <c r="N179" s="1675" t="s">
        <v>2430</v>
      </c>
      <c r="O179" s="1671"/>
      <c r="P179" s="1675"/>
      <c r="Q179" s="1676"/>
      <c r="R179" s="1671"/>
      <c r="S179" s="1671"/>
      <c r="T179" s="1671"/>
      <c r="U179" s="1671" t="s">
        <v>2491</v>
      </c>
      <c r="V179" s="1671" t="s">
        <v>2491</v>
      </c>
      <c r="W179" s="1671"/>
      <c r="X179" s="1671">
        <v>44383</v>
      </c>
      <c r="Y179" s="1671">
        <v>44383</v>
      </c>
      <c r="Z179" s="1671"/>
      <c r="AA179" s="1671"/>
      <c r="AB179" s="1671" t="s">
        <v>733</v>
      </c>
      <c r="AC179" s="1671">
        <v>0</v>
      </c>
      <c r="AD179" s="1671">
        <v>0</v>
      </c>
      <c r="AE179" s="1671">
        <v>0</v>
      </c>
      <c r="AF179" s="1671">
        <v>0</v>
      </c>
      <c r="AG179" s="1671">
        <v>0</v>
      </c>
      <c r="AH179" s="1671">
        <v>1</v>
      </c>
      <c r="AI179" s="1671">
        <v>59341</v>
      </c>
      <c r="AJ179" s="1671">
        <v>2195</v>
      </c>
      <c r="AK179" s="1671">
        <v>0</v>
      </c>
      <c r="AL179" s="1671">
        <v>0</v>
      </c>
      <c r="AM179" s="1671"/>
      <c r="AN179" s="1671"/>
      <c r="AO179" s="1677"/>
      <c r="AP179" s="332"/>
      <c r="AQ179" s="304" t="str">
        <f t="shared" si="4"/>
        <v/>
      </c>
      <c r="AS179" s="304" t="str">
        <f t="shared" si="5"/>
        <v>wci_corp</v>
      </c>
    </row>
    <row r="180" spans="2:45">
      <c r="B180" s="1670" t="s">
        <v>1324</v>
      </c>
      <c r="C180" s="1671">
        <v>44377</v>
      </c>
      <c r="D180" s="1672">
        <v>10250</v>
      </c>
      <c r="E180" s="1672">
        <v>0</v>
      </c>
      <c r="F180" s="1673" t="s">
        <v>729</v>
      </c>
      <c r="G180" s="1671" t="s">
        <v>2493</v>
      </c>
      <c r="H180" s="1674" t="s">
        <v>730</v>
      </c>
      <c r="I180" s="1671" t="s">
        <v>2492</v>
      </c>
      <c r="J180" s="1671" t="s">
        <v>737</v>
      </c>
      <c r="K180" s="1671" t="s">
        <v>732</v>
      </c>
      <c r="L180" s="1675"/>
      <c r="M180" s="1675"/>
      <c r="N180" s="1675" t="s">
        <v>2429</v>
      </c>
      <c r="O180" s="1671"/>
      <c r="P180" s="1675"/>
      <c r="Q180" s="1676"/>
      <c r="R180" s="1671"/>
      <c r="S180" s="1671"/>
      <c r="T180" s="1671"/>
      <c r="U180" s="1671" t="s">
        <v>2491</v>
      </c>
      <c r="V180" s="1671" t="s">
        <v>2491</v>
      </c>
      <c r="W180" s="1671"/>
      <c r="X180" s="1671">
        <v>44383</v>
      </c>
      <c r="Y180" s="1671">
        <v>44383</v>
      </c>
      <c r="Z180" s="1671"/>
      <c r="AA180" s="1671"/>
      <c r="AB180" s="1671" t="s">
        <v>733</v>
      </c>
      <c r="AC180" s="1671">
        <v>0</v>
      </c>
      <c r="AD180" s="1671">
        <v>0</v>
      </c>
      <c r="AE180" s="1671">
        <v>0</v>
      </c>
      <c r="AF180" s="1671">
        <v>0</v>
      </c>
      <c r="AG180" s="1671">
        <v>0</v>
      </c>
      <c r="AH180" s="1671">
        <v>1</v>
      </c>
      <c r="AI180" s="1671">
        <v>59341</v>
      </c>
      <c r="AJ180" s="1671">
        <v>2195</v>
      </c>
      <c r="AK180" s="1671">
        <v>0</v>
      </c>
      <c r="AL180" s="1671">
        <v>0</v>
      </c>
      <c r="AM180" s="1671"/>
      <c r="AN180" s="1671"/>
      <c r="AO180" s="1677"/>
      <c r="AP180" s="332"/>
      <c r="AQ180" s="304" t="str">
        <f t="shared" si="4"/>
        <v/>
      </c>
      <c r="AS180" s="304" t="str">
        <f t="shared" si="5"/>
        <v>wci_corp</v>
      </c>
    </row>
    <row r="181" spans="2:45">
      <c r="B181" s="1670" t="s">
        <v>1300</v>
      </c>
      <c r="C181" s="1671">
        <v>44377</v>
      </c>
      <c r="D181" s="1672">
        <v>2800</v>
      </c>
      <c r="E181" s="1672">
        <v>0</v>
      </c>
      <c r="F181" s="1673" t="s">
        <v>729</v>
      </c>
      <c r="G181" s="1671" t="s">
        <v>2493</v>
      </c>
      <c r="H181" s="1674" t="s">
        <v>730</v>
      </c>
      <c r="I181" s="1671" t="s">
        <v>2492</v>
      </c>
      <c r="J181" s="1671" t="s">
        <v>737</v>
      </c>
      <c r="K181" s="1671" t="s">
        <v>732</v>
      </c>
      <c r="L181" s="1675"/>
      <c r="M181" s="1675"/>
      <c r="N181" s="1675" t="s">
        <v>2424</v>
      </c>
      <c r="O181" s="1671"/>
      <c r="P181" s="1675"/>
      <c r="Q181" s="1676"/>
      <c r="R181" s="1671"/>
      <c r="S181" s="1671"/>
      <c r="T181" s="1671"/>
      <c r="U181" s="1671" t="s">
        <v>2491</v>
      </c>
      <c r="V181" s="1671" t="s">
        <v>2491</v>
      </c>
      <c r="W181" s="1671"/>
      <c r="X181" s="1671">
        <v>44383</v>
      </c>
      <c r="Y181" s="1671">
        <v>44383</v>
      </c>
      <c r="Z181" s="1671"/>
      <c r="AA181" s="1671"/>
      <c r="AB181" s="1671" t="s">
        <v>733</v>
      </c>
      <c r="AC181" s="1671">
        <v>0</v>
      </c>
      <c r="AD181" s="1671">
        <v>0</v>
      </c>
      <c r="AE181" s="1671">
        <v>0</v>
      </c>
      <c r="AF181" s="1671">
        <v>0</v>
      </c>
      <c r="AG181" s="1671">
        <v>0</v>
      </c>
      <c r="AH181" s="1671">
        <v>1</v>
      </c>
      <c r="AI181" s="1671">
        <v>59343</v>
      </c>
      <c r="AJ181" s="1671">
        <v>2195</v>
      </c>
      <c r="AK181" s="1671">
        <v>0</v>
      </c>
      <c r="AL181" s="1671">
        <v>0</v>
      </c>
      <c r="AM181" s="1671"/>
      <c r="AN181" s="1671"/>
      <c r="AO181" s="1677"/>
      <c r="AP181" s="332"/>
      <c r="AQ181" s="304" t="str">
        <f t="shared" si="4"/>
        <v/>
      </c>
      <c r="AS181" s="304" t="str">
        <f t="shared" si="5"/>
        <v>wci_corp</v>
      </c>
    </row>
    <row r="182" spans="2:45">
      <c r="B182" s="1670" t="s">
        <v>1300</v>
      </c>
      <c r="C182" s="1671">
        <v>44377</v>
      </c>
      <c r="D182" s="1672">
        <v>2800</v>
      </c>
      <c r="E182" s="1672">
        <v>0</v>
      </c>
      <c r="F182" s="1673" t="s">
        <v>729</v>
      </c>
      <c r="G182" s="1671" t="s">
        <v>2493</v>
      </c>
      <c r="H182" s="1674" t="s">
        <v>730</v>
      </c>
      <c r="I182" s="1671" t="s">
        <v>2492</v>
      </c>
      <c r="J182" s="1671" t="s">
        <v>737</v>
      </c>
      <c r="K182" s="1671" t="s">
        <v>732</v>
      </c>
      <c r="L182" s="1675"/>
      <c r="M182" s="1675"/>
      <c r="N182" s="1675" t="s">
        <v>2428</v>
      </c>
      <c r="O182" s="1671"/>
      <c r="P182" s="1675"/>
      <c r="Q182" s="1676"/>
      <c r="R182" s="1671"/>
      <c r="S182" s="1671"/>
      <c r="T182" s="1671"/>
      <c r="U182" s="1671" t="s">
        <v>2491</v>
      </c>
      <c r="V182" s="1671" t="s">
        <v>2491</v>
      </c>
      <c r="W182" s="1671"/>
      <c r="X182" s="1671">
        <v>44383</v>
      </c>
      <c r="Y182" s="1671">
        <v>44383</v>
      </c>
      <c r="Z182" s="1671"/>
      <c r="AA182" s="1671"/>
      <c r="AB182" s="1671" t="s">
        <v>733</v>
      </c>
      <c r="AC182" s="1671">
        <v>0</v>
      </c>
      <c r="AD182" s="1671">
        <v>0</v>
      </c>
      <c r="AE182" s="1671">
        <v>0</v>
      </c>
      <c r="AF182" s="1671">
        <v>0</v>
      </c>
      <c r="AG182" s="1671">
        <v>0</v>
      </c>
      <c r="AH182" s="1671">
        <v>1</v>
      </c>
      <c r="AI182" s="1671">
        <v>59343</v>
      </c>
      <c r="AJ182" s="1671">
        <v>2195</v>
      </c>
      <c r="AK182" s="1671">
        <v>0</v>
      </c>
      <c r="AL182" s="1671">
        <v>0</v>
      </c>
      <c r="AM182" s="1671"/>
      <c r="AN182" s="1671"/>
      <c r="AO182" s="1677"/>
      <c r="AP182" s="332"/>
      <c r="AQ182" s="304" t="str">
        <f t="shared" si="4"/>
        <v/>
      </c>
      <c r="AS182" s="304" t="str">
        <f t="shared" si="5"/>
        <v>wci_corp</v>
      </c>
    </row>
    <row r="183" spans="2:45">
      <c r="B183" s="1670" t="s">
        <v>1324</v>
      </c>
      <c r="C183" s="1671">
        <v>44408</v>
      </c>
      <c r="D183" s="1672">
        <v>194.19</v>
      </c>
      <c r="E183" s="1672">
        <v>0</v>
      </c>
      <c r="F183" s="1673" t="s">
        <v>729</v>
      </c>
      <c r="G183" s="1671" t="s">
        <v>2490</v>
      </c>
      <c r="H183" s="1674" t="s">
        <v>730</v>
      </c>
      <c r="I183" s="1671" t="s">
        <v>2489</v>
      </c>
      <c r="J183" s="1671" t="s">
        <v>736</v>
      </c>
      <c r="K183" s="1671" t="s">
        <v>732</v>
      </c>
      <c r="L183" s="1675"/>
      <c r="M183" s="1675"/>
      <c r="N183" s="1675" t="s">
        <v>2429</v>
      </c>
      <c r="O183" s="1671"/>
      <c r="P183" s="1675"/>
      <c r="Q183" s="1676"/>
      <c r="R183" s="1671"/>
      <c r="S183" s="1671"/>
      <c r="T183" s="1671"/>
      <c r="U183" s="1671" t="s">
        <v>2488</v>
      </c>
      <c r="V183" s="1671" t="s">
        <v>2488</v>
      </c>
      <c r="W183" s="1671"/>
      <c r="X183" s="1671">
        <v>44411</v>
      </c>
      <c r="Y183" s="1671">
        <v>44411</v>
      </c>
      <c r="Z183" s="1671"/>
      <c r="AA183" s="1671"/>
      <c r="AB183" s="1671" t="s">
        <v>733</v>
      </c>
      <c r="AC183" s="1671">
        <v>0</v>
      </c>
      <c r="AD183" s="1671">
        <v>0</v>
      </c>
      <c r="AE183" s="1671">
        <v>0</v>
      </c>
      <c r="AF183" s="1671">
        <v>0</v>
      </c>
      <c r="AG183" s="1671">
        <v>0</v>
      </c>
      <c r="AH183" s="1671">
        <v>1</v>
      </c>
      <c r="AI183" s="1671">
        <v>59341</v>
      </c>
      <c r="AJ183" s="1671">
        <v>2195</v>
      </c>
      <c r="AK183" s="1671">
        <v>0</v>
      </c>
      <c r="AL183" s="1671">
        <v>0</v>
      </c>
      <c r="AM183" s="1671"/>
      <c r="AN183" s="1671"/>
      <c r="AO183" s="1677"/>
      <c r="AP183" s="332"/>
      <c r="AQ183" s="304" t="str">
        <f t="shared" si="4"/>
        <v/>
      </c>
      <c r="AS183" s="304" t="str">
        <f t="shared" si="5"/>
        <v>wci_corp</v>
      </c>
    </row>
    <row r="184" spans="2:45">
      <c r="B184" s="1670" t="s">
        <v>1300</v>
      </c>
      <c r="C184" s="1671">
        <v>44408</v>
      </c>
      <c r="D184" s="1672">
        <v>6449</v>
      </c>
      <c r="E184" s="1672">
        <v>0</v>
      </c>
      <c r="F184" s="1673" t="s">
        <v>729</v>
      </c>
      <c r="G184" s="1671" t="s">
        <v>2490</v>
      </c>
      <c r="H184" s="1674" t="s">
        <v>730</v>
      </c>
      <c r="I184" s="1671" t="s">
        <v>2489</v>
      </c>
      <c r="J184" s="1671" t="s">
        <v>736</v>
      </c>
      <c r="K184" s="1671" t="s">
        <v>732</v>
      </c>
      <c r="L184" s="1675"/>
      <c r="M184" s="1675"/>
      <c r="N184" s="1675" t="s">
        <v>2428</v>
      </c>
      <c r="O184" s="1671"/>
      <c r="P184" s="1675"/>
      <c r="Q184" s="1676"/>
      <c r="R184" s="1671"/>
      <c r="S184" s="1671"/>
      <c r="T184" s="1671"/>
      <c r="U184" s="1671" t="s">
        <v>2488</v>
      </c>
      <c r="V184" s="1671" t="s">
        <v>2488</v>
      </c>
      <c r="W184" s="1671"/>
      <c r="X184" s="1671">
        <v>44411</v>
      </c>
      <c r="Y184" s="1671">
        <v>44411</v>
      </c>
      <c r="Z184" s="1671"/>
      <c r="AA184" s="1671"/>
      <c r="AB184" s="1671" t="s">
        <v>733</v>
      </c>
      <c r="AC184" s="1671">
        <v>0</v>
      </c>
      <c r="AD184" s="1671">
        <v>0</v>
      </c>
      <c r="AE184" s="1671">
        <v>0</v>
      </c>
      <c r="AF184" s="1671">
        <v>0</v>
      </c>
      <c r="AG184" s="1671">
        <v>0</v>
      </c>
      <c r="AH184" s="1671">
        <v>1</v>
      </c>
      <c r="AI184" s="1671">
        <v>59343</v>
      </c>
      <c r="AJ184" s="1671">
        <v>2195</v>
      </c>
      <c r="AK184" s="1671">
        <v>0</v>
      </c>
      <c r="AL184" s="1671">
        <v>0</v>
      </c>
      <c r="AM184" s="1671"/>
      <c r="AN184" s="1671"/>
      <c r="AO184" s="1677"/>
      <c r="AP184" s="332"/>
      <c r="AQ184" s="304" t="str">
        <f t="shared" si="4"/>
        <v/>
      </c>
      <c r="AS184" s="304" t="str">
        <f t="shared" si="5"/>
        <v>wci_corp</v>
      </c>
    </row>
    <row r="185" spans="2:45">
      <c r="B185" s="1670" t="s">
        <v>1333</v>
      </c>
      <c r="C185" s="1671">
        <v>44408</v>
      </c>
      <c r="D185" s="1672">
        <v>-9543.77</v>
      </c>
      <c r="E185" s="1672">
        <v>0</v>
      </c>
      <c r="F185" s="1673" t="s">
        <v>729</v>
      </c>
      <c r="G185" s="1671" t="s">
        <v>2490</v>
      </c>
      <c r="H185" s="1674" t="s">
        <v>730</v>
      </c>
      <c r="I185" s="1671" t="s">
        <v>2489</v>
      </c>
      <c r="J185" s="1671" t="s">
        <v>736</v>
      </c>
      <c r="K185" s="1671" t="s">
        <v>732</v>
      </c>
      <c r="L185" s="1675"/>
      <c r="M185" s="1675"/>
      <c r="N185" s="1675" t="s">
        <v>1308</v>
      </c>
      <c r="O185" s="1671"/>
      <c r="P185" s="1675"/>
      <c r="Q185" s="1676"/>
      <c r="R185" s="1671"/>
      <c r="S185" s="1671"/>
      <c r="T185" s="1671"/>
      <c r="U185" s="1671" t="s">
        <v>2488</v>
      </c>
      <c r="V185" s="1671" t="s">
        <v>2488</v>
      </c>
      <c r="W185" s="1671"/>
      <c r="X185" s="1671">
        <v>44411</v>
      </c>
      <c r="Y185" s="1671">
        <v>44411</v>
      </c>
      <c r="Z185" s="1671"/>
      <c r="AA185" s="1671"/>
      <c r="AB185" s="1671" t="s">
        <v>733</v>
      </c>
      <c r="AC185" s="1671">
        <v>0</v>
      </c>
      <c r="AD185" s="1671">
        <v>0</v>
      </c>
      <c r="AE185" s="1671">
        <v>0</v>
      </c>
      <c r="AF185" s="1671">
        <v>0</v>
      </c>
      <c r="AG185" s="1671">
        <v>0</v>
      </c>
      <c r="AH185" s="1671">
        <v>1</v>
      </c>
      <c r="AI185" s="1671">
        <v>59344</v>
      </c>
      <c r="AJ185" s="1671">
        <v>2195</v>
      </c>
      <c r="AK185" s="1671">
        <v>0</v>
      </c>
      <c r="AL185" s="1671">
        <v>0</v>
      </c>
      <c r="AM185" s="1671"/>
      <c r="AN185" s="1671"/>
      <c r="AO185" s="1677"/>
      <c r="AP185" s="332"/>
      <c r="AQ185" s="304" t="str">
        <f t="shared" si="4"/>
        <v/>
      </c>
      <c r="AS185" s="304" t="str">
        <f t="shared" si="5"/>
        <v>wci_corp</v>
      </c>
    </row>
    <row r="186" spans="2:45">
      <c r="B186" s="1670" t="s">
        <v>1312</v>
      </c>
      <c r="C186" s="1671">
        <v>44439</v>
      </c>
      <c r="D186" s="1672">
        <v>4050.42</v>
      </c>
      <c r="E186" s="1672">
        <v>0</v>
      </c>
      <c r="F186" s="1673" t="s">
        <v>729</v>
      </c>
      <c r="G186" s="1671" t="s">
        <v>2487</v>
      </c>
      <c r="H186" s="1674" t="s">
        <v>730</v>
      </c>
      <c r="I186" s="1671" t="s">
        <v>2486</v>
      </c>
      <c r="J186" s="1671" t="s">
        <v>735</v>
      </c>
      <c r="K186" s="1671" t="s">
        <v>732</v>
      </c>
      <c r="L186" s="1675"/>
      <c r="M186" s="1675"/>
      <c r="N186" s="1675" t="s">
        <v>2418</v>
      </c>
      <c r="O186" s="1671"/>
      <c r="P186" s="1675"/>
      <c r="Q186" s="1676"/>
      <c r="R186" s="1671"/>
      <c r="S186" s="1671"/>
      <c r="T186" s="1671"/>
      <c r="U186" s="1671" t="s">
        <v>2485</v>
      </c>
      <c r="V186" s="1671" t="s">
        <v>2485</v>
      </c>
      <c r="W186" s="1671"/>
      <c r="X186" s="1671">
        <v>44441</v>
      </c>
      <c r="Y186" s="1671">
        <v>44441</v>
      </c>
      <c r="Z186" s="1671"/>
      <c r="AA186" s="1671"/>
      <c r="AB186" s="1671" t="s">
        <v>733</v>
      </c>
      <c r="AC186" s="1671">
        <v>0</v>
      </c>
      <c r="AD186" s="1671">
        <v>0</v>
      </c>
      <c r="AE186" s="1671">
        <v>0</v>
      </c>
      <c r="AF186" s="1671">
        <v>0</v>
      </c>
      <c r="AG186" s="1671">
        <v>0</v>
      </c>
      <c r="AH186" s="1671">
        <v>1</v>
      </c>
      <c r="AI186" s="1671">
        <v>59400</v>
      </c>
      <c r="AJ186" s="1671">
        <v>2195</v>
      </c>
      <c r="AK186" s="1671">
        <v>0</v>
      </c>
      <c r="AL186" s="1671">
        <v>0</v>
      </c>
      <c r="AM186" s="1671"/>
      <c r="AN186" s="1671"/>
      <c r="AO186" s="1677"/>
      <c r="AP186" s="332"/>
      <c r="AQ186" s="304" t="str">
        <f t="shared" si="4"/>
        <v/>
      </c>
      <c r="AS186" s="304" t="str">
        <f t="shared" si="5"/>
        <v>wci_corp</v>
      </c>
    </row>
    <row r="187" spans="2:45">
      <c r="B187" s="1670" t="s">
        <v>1324</v>
      </c>
      <c r="C187" s="1671">
        <v>44439</v>
      </c>
      <c r="D187" s="1672">
        <v>577.19000000000005</v>
      </c>
      <c r="E187" s="1672">
        <v>0</v>
      </c>
      <c r="F187" s="1673" t="s">
        <v>729</v>
      </c>
      <c r="G187" s="1671" t="s">
        <v>2484</v>
      </c>
      <c r="H187" s="1674" t="s">
        <v>730</v>
      </c>
      <c r="I187" s="1671" t="s">
        <v>2483</v>
      </c>
      <c r="J187" s="1671" t="s">
        <v>2106</v>
      </c>
      <c r="K187" s="1671" t="s">
        <v>732</v>
      </c>
      <c r="L187" s="1675"/>
      <c r="M187" s="1675"/>
      <c r="N187" s="1675" t="s">
        <v>2429</v>
      </c>
      <c r="O187" s="1671"/>
      <c r="P187" s="1675"/>
      <c r="Q187" s="1676"/>
      <c r="R187" s="1671"/>
      <c r="S187" s="1671"/>
      <c r="T187" s="1671"/>
      <c r="U187" s="1671" t="s">
        <v>2482</v>
      </c>
      <c r="V187" s="1671" t="s">
        <v>2482</v>
      </c>
      <c r="W187" s="1671"/>
      <c r="X187" s="1671">
        <v>44441</v>
      </c>
      <c r="Y187" s="1671">
        <v>44441</v>
      </c>
      <c r="Z187" s="1671"/>
      <c r="AA187" s="1671"/>
      <c r="AB187" s="1671" t="s">
        <v>733</v>
      </c>
      <c r="AC187" s="1671">
        <v>0</v>
      </c>
      <c r="AD187" s="1671">
        <v>0</v>
      </c>
      <c r="AE187" s="1671">
        <v>0</v>
      </c>
      <c r="AF187" s="1671">
        <v>0</v>
      </c>
      <c r="AG187" s="1671">
        <v>0</v>
      </c>
      <c r="AH187" s="1671">
        <v>1</v>
      </c>
      <c r="AI187" s="1671">
        <v>59341</v>
      </c>
      <c r="AJ187" s="1671">
        <v>2195</v>
      </c>
      <c r="AK187" s="1671">
        <v>0</v>
      </c>
      <c r="AL187" s="1671">
        <v>0</v>
      </c>
      <c r="AM187" s="1671"/>
      <c r="AN187" s="1671"/>
      <c r="AO187" s="1677"/>
      <c r="AP187" s="332"/>
      <c r="AQ187" s="304" t="str">
        <f t="shared" si="4"/>
        <v/>
      </c>
      <c r="AS187" s="304" t="str">
        <f t="shared" si="5"/>
        <v>wci_corp</v>
      </c>
    </row>
    <row r="188" spans="2:45">
      <c r="B188" s="1670" t="s">
        <v>1333</v>
      </c>
      <c r="C188" s="1671">
        <v>44439</v>
      </c>
      <c r="D188" s="1672">
        <v>20054.52</v>
      </c>
      <c r="E188" s="1672">
        <v>0</v>
      </c>
      <c r="F188" s="1673" t="s">
        <v>729</v>
      </c>
      <c r="G188" s="1671" t="s">
        <v>2484</v>
      </c>
      <c r="H188" s="1674" t="s">
        <v>730</v>
      </c>
      <c r="I188" s="1671" t="s">
        <v>2483</v>
      </c>
      <c r="J188" s="1671" t="s">
        <v>2106</v>
      </c>
      <c r="K188" s="1671" t="s">
        <v>732</v>
      </c>
      <c r="L188" s="1675"/>
      <c r="M188" s="1675"/>
      <c r="N188" s="1675" t="s">
        <v>1303</v>
      </c>
      <c r="O188" s="1671"/>
      <c r="P188" s="1675"/>
      <c r="Q188" s="1676"/>
      <c r="R188" s="1671"/>
      <c r="S188" s="1671"/>
      <c r="T188" s="1671"/>
      <c r="U188" s="1671" t="s">
        <v>2482</v>
      </c>
      <c r="V188" s="1671" t="s">
        <v>2482</v>
      </c>
      <c r="W188" s="1671"/>
      <c r="X188" s="1671">
        <v>44441</v>
      </c>
      <c r="Y188" s="1671">
        <v>44441</v>
      </c>
      <c r="Z188" s="1671"/>
      <c r="AA188" s="1671"/>
      <c r="AB188" s="1671" t="s">
        <v>733</v>
      </c>
      <c r="AC188" s="1671">
        <v>0</v>
      </c>
      <c r="AD188" s="1671">
        <v>0</v>
      </c>
      <c r="AE188" s="1671">
        <v>0</v>
      </c>
      <c r="AF188" s="1671">
        <v>0</v>
      </c>
      <c r="AG188" s="1671">
        <v>0</v>
      </c>
      <c r="AH188" s="1671">
        <v>1</v>
      </c>
      <c r="AI188" s="1671">
        <v>59344</v>
      </c>
      <c r="AJ188" s="1671">
        <v>2195</v>
      </c>
      <c r="AK188" s="1671">
        <v>0</v>
      </c>
      <c r="AL188" s="1671">
        <v>0</v>
      </c>
      <c r="AM188" s="1671"/>
      <c r="AN188" s="1671"/>
      <c r="AO188" s="1677"/>
      <c r="AP188" s="332"/>
      <c r="AQ188" s="304" t="str">
        <f t="shared" si="4"/>
        <v/>
      </c>
      <c r="AS188" s="304" t="str">
        <f t="shared" si="5"/>
        <v>wci_corp</v>
      </c>
    </row>
    <row r="189" spans="2:45">
      <c r="B189" s="1670" t="s">
        <v>1333</v>
      </c>
      <c r="C189" s="1671">
        <v>44439</v>
      </c>
      <c r="D189" s="1672">
        <v>57.04</v>
      </c>
      <c r="E189" s="1672">
        <v>0</v>
      </c>
      <c r="F189" s="1673" t="s">
        <v>729</v>
      </c>
      <c r="G189" s="1671" t="s">
        <v>2484</v>
      </c>
      <c r="H189" s="1674" t="s">
        <v>730</v>
      </c>
      <c r="I189" s="1671" t="s">
        <v>2483</v>
      </c>
      <c r="J189" s="1671" t="s">
        <v>2106</v>
      </c>
      <c r="K189" s="1671" t="s">
        <v>732</v>
      </c>
      <c r="L189" s="1675"/>
      <c r="M189" s="1675"/>
      <c r="N189" s="1675" t="s">
        <v>1308</v>
      </c>
      <c r="O189" s="1671"/>
      <c r="P189" s="1675"/>
      <c r="Q189" s="1676"/>
      <c r="R189" s="1671"/>
      <c r="S189" s="1671"/>
      <c r="T189" s="1671"/>
      <c r="U189" s="1671" t="s">
        <v>2482</v>
      </c>
      <c r="V189" s="1671" t="s">
        <v>2482</v>
      </c>
      <c r="W189" s="1671"/>
      <c r="X189" s="1671">
        <v>44441</v>
      </c>
      <c r="Y189" s="1671">
        <v>44441</v>
      </c>
      <c r="Z189" s="1671"/>
      <c r="AA189" s="1671"/>
      <c r="AB189" s="1671" t="s">
        <v>733</v>
      </c>
      <c r="AC189" s="1671">
        <v>0</v>
      </c>
      <c r="AD189" s="1671">
        <v>0</v>
      </c>
      <c r="AE189" s="1671">
        <v>0</v>
      </c>
      <c r="AF189" s="1671">
        <v>0</v>
      </c>
      <c r="AG189" s="1671">
        <v>0</v>
      </c>
      <c r="AH189" s="1671">
        <v>1</v>
      </c>
      <c r="AI189" s="1671">
        <v>59344</v>
      </c>
      <c r="AJ189" s="1671">
        <v>2195</v>
      </c>
      <c r="AK189" s="1671">
        <v>0</v>
      </c>
      <c r="AL189" s="1671">
        <v>0</v>
      </c>
      <c r="AM189" s="1671"/>
      <c r="AN189" s="1671"/>
      <c r="AO189" s="1677"/>
      <c r="AP189" s="332"/>
      <c r="AQ189" s="304" t="str">
        <f t="shared" si="4"/>
        <v/>
      </c>
      <c r="AS189" s="304" t="str">
        <f t="shared" si="5"/>
        <v>wci_corp</v>
      </c>
    </row>
    <row r="190" spans="2:45">
      <c r="B190" s="1670" t="s">
        <v>1300</v>
      </c>
      <c r="C190" s="1671">
        <v>44469</v>
      </c>
      <c r="D190" s="1672">
        <v>15950</v>
      </c>
      <c r="E190" s="1672">
        <v>0</v>
      </c>
      <c r="F190" s="1673" t="s">
        <v>729</v>
      </c>
      <c r="G190" s="1671" t="s">
        <v>2481</v>
      </c>
      <c r="H190" s="1674" t="s">
        <v>730</v>
      </c>
      <c r="I190" s="1671" t="s">
        <v>2480</v>
      </c>
      <c r="J190" s="1671" t="s">
        <v>736</v>
      </c>
      <c r="K190" s="1671" t="s">
        <v>732</v>
      </c>
      <c r="L190" s="1675"/>
      <c r="M190" s="1675"/>
      <c r="N190" s="1675" t="s">
        <v>2427</v>
      </c>
      <c r="O190" s="1671"/>
      <c r="P190" s="1675"/>
      <c r="Q190" s="1676"/>
      <c r="R190" s="1671"/>
      <c r="S190" s="1671"/>
      <c r="T190" s="1671"/>
      <c r="U190" s="1671" t="s">
        <v>2479</v>
      </c>
      <c r="V190" s="1671" t="s">
        <v>2479</v>
      </c>
      <c r="W190" s="1671"/>
      <c r="X190" s="1671">
        <v>44473</v>
      </c>
      <c r="Y190" s="1671">
        <v>44473</v>
      </c>
      <c r="Z190" s="1671"/>
      <c r="AA190" s="1671"/>
      <c r="AB190" s="1671" t="s">
        <v>733</v>
      </c>
      <c r="AC190" s="1671">
        <v>0</v>
      </c>
      <c r="AD190" s="1671">
        <v>0</v>
      </c>
      <c r="AE190" s="1671">
        <v>0</v>
      </c>
      <c r="AF190" s="1671">
        <v>0</v>
      </c>
      <c r="AG190" s="1671">
        <v>0</v>
      </c>
      <c r="AH190" s="1671">
        <v>1</v>
      </c>
      <c r="AI190" s="1671">
        <v>59343</v>
      </c>
      <c r="AJ190" s="1671">
        <v>2195</v>
      </c>
      <c r="AK190" s="1671">
        <v>0</v>
      </c>
      <c r="AL190" s="1671">
        <v>0</v>
      </c>
      <c r="AM190" s="1671"/>
      <c r="AN190" s="1671"/>
      <c r="AO190" s="1677"/>
      <c r="AP190" s="332"/>
      <c r="AQ190" s="304" t="str">
        <f t="shared" si="4"/>
        <v/>
      </c>
      <c r="AS190" s="304" t="str">
        <f t="shared" si="5"/>
        <v>wci_corp</v>
      </c>
    </row>
    <row r="191" spans="2:45">
      <c r="B191" s="1670" t="s">
        <v>1333</v>
      </c>
      <c r="C191" s="1671">
        <v>44469</v>
      </c>
      <c r="D191" s="1672">
        <v>13.85</v>
      </c>
      <c r="E191" s="1672">
        <v>0</v>
      </c>
      <c r="F191" s="1673" t="s">
        <v>729</v>
      </c>
      <c r="G191" s="1671" t="s">
        <v>2481</v>
      </c>
      <c r="H191" s="1674" t="s">
        <v>730</v>
      </c>
      <c r="I191" s="1671" t="s">
        <v>2480</v>
      </c>
      <c r="J191" s="1671" t="s">
        <v>736</v>
      </c>
      <c r="K191" s="1671" t="s">
        <v>732</v>
      </c>
      <c r="L191" s="1675"/>
      <c r="M191" s="1675"/>
      <c r="N191" s="1675" t="s">
        <v>1916</v>
      </c>
      <c r="O191" s="1671"/>
      <c r="P191" s="1675"/>
      <c r="Q191" s="1676"/>
      <c r="R191" s="1671"/>
      <c r="S191" s="1671"/>
      <c r="T191" s="1671"/>
      <c r="U191" s="1671" t="s">
        <v>2479</v>
      </c>
      <c r="V191" s="1671" t="s">
        <v>2479</v>
      </c>
      <c r="W191" s="1671"/>
      <c r="X191" s="1671">
        <v>44473</v>
      </c>
      <c r="Y191" s="1671">
        <v>44473</v>
      </c>
      <c r="Z191" s="1671"/>
      <c r="AA191" s="1671"/>
      <c r="AB191" s="1671" t="s">
        <v>733</v>
      </c>
      <c r="AC191" s="1671">
        <v>0</v>
      </c>
      <c r="AD191" s="1671">
        <v>0</v>
      </c>
      <c r="AE191" s="1671">
        <v>0</v>
      </c>
      <c r="AF191" s="1671">
        <v>0</v>
      </c>
      <c r="AG191" s="1671">
        <v>0</v>
      </c>
      <c r="AH191" s="1671">
        <v>1</v>
      </c>
      <c r="AI191" s="1671">
        <v>59344</v>
      </c>
      <c r="AJ191" s="1671">
        <v>2195</v>
      </c>
      <c r="AK191" s="1671">
        <v>0</v>
      </c>
      <c r="AL191" s="1671">
        <v>0</v>
      </c>
      <c r="AM191" s="1671"/>
      <c r="AN191" s="1671"/>
      <c r="AO191" s="1677"/>
      <c r="AP191" s="332"/>
      <c r="AQ191" s="304" t="str">
        <f t="shared" si="4"/>
        <v/>
      </c>
      <c r="AS191" s="304" t="str">
        <f t="shared" si="5"/>
        <v>wci_corp</v>
      </c>
    </row>
    <row r="192" spans="2:45">
      <c r="B192" s="1670" t="s">
        <v>1312</v>
      </c>
      <c r="C192" s="1671">
        <v>44469</v>
      </c>
      <c r="D192" s="1672">
        <v>2330.34</v>
      </c>
      <c r="E192" s="1672">
        <v>0</v>
      </c>
      <c r="F192" s="1673" t="s">
        <v>729</v>
      </c>
      <c r="G192" s="1671" t="s">
        <v>2478</v>
      </c>
      <c r="H192" s="1674" t="s">
        <v>730</v>
      </c>
      <c r="I192" s="1671" t="s">
        <v>2442</v>
      </c>
      <c r="J192" s="1671" t="s">
        <v>735</v>
      </c>
      <c r="K192" s="1671" t="s">
        <v>732</v>
      </c>
      <c r="L192" s="1675"/>
      <c r="M192" s="1675"/>
      <c r="N192" s="1675" t="s">
        <v>2417</v>
      </c>
      <c r="O192" s="1671"/>
      <c r="P192" s="1675"/>
      <c r="Q192" s="1676"/>
      <c r="R192" s="1671"/>
      <c r="S192" s="1671"/>
      <c r="T192" s="1671"/>
      <c r="U192" s="1671" t="s">
        <v>2476</v>
      </c>
      <c r="V192" s="1671" t="s">
        <v>2476</v>
      </c>
      <c r="W192" s="1671"/>
      <c r="X192" s="1671">
        <v>44475</v>
      </c>
      <c r="Y192" s="1671">
        <v>44475</v>
      </c>
      <c r="Z192" s="1671"/>
      <c r="AA192" s="1671"/>
      <c r="AB192" s="1671" t="s">
        <v>733</v>
      </c>
      <c r="AC192" s="1671">
        <v>0</v>
      </c>
      <c r="AD192" s="1671">
        <v>0</v>
      </c>
      <c r="AE192" s="1671">
        <v>0</v>
      </c>
      <c r="AF192" s="1671">
        <v>0</v>
      </c>
      <c r="AG192" s="1671">
        <v>0</v>
      </c>
      <c r="AH192" s="1671">
        <v>1</v>
      </c>
      <c r="AI192" s="1671">
        <v>59400</v>
      </c>
      <c r="AJ192" s="1671">
        <v>2195</v>
      </c>
      <c r="AK192" s="1671">
        <v>0</v>
      </c>
      <c r="AL192" s="1671">
        <v>0</v>
      </c>
      <c r="AM192" s="1671"/>
      <c r="AN192" s="1671"/>
      <c r="AO192" s="1677"/>
      <c r="AP192" s="332"/>
      <c r="AQ192" s="304" t="str">
        <f t="shared" si="4"/>
        <v/>
      </c>
      <c r="AS192" s="304" t="str">
        <f t="shared" si="5"/>
        <v>wci_corp</v>
      </c>
    </row>
    <row r="193" spans="2:45">
      <c r="B193" s="1670" t="s">
        <v>1312</v>
      </c>
      <c r="C193" s="1671">
        <v>44500</v>
      </c>
      <c r="D193" s="1672">
        <v>-2330.34</v>
      </c>
      <c r="E193" s="1672">
        <v>0</v>
      </c>
      <c r="F193" s="1673" t="s">
        <v>729</v>
      </c>
      <c r="G193" s="1671" t="s">
        <v>2477</v>
      </c>
      <c r="H193" s="1674" t="s">
        <v>730</v>
      </c>
      <c r="I193" s="1671" t="s">
        <v>2442</v>
      </c>
      <c r="J193" s="1671" t="s">
        <v>731</v>
      </c>
      <c r="K193" s="1671" t="s">
        <v>732</v>
      </c>
      <c r="L193" s="1675"/>
      <c r="M193" s="1675"/>
      <c r="N193" s="1675" t="s">
        <v>2417</v>
      </c>
      <c r="O193" s="1671"/>
      <c r="P193" s="1675"/>
      <c r="Q193" s="1676"/>
      <c r="R193" s="1671"/>
      <c r="S193" s="1671"/>
      <c r="T193" s="1671"/>
      <c r="U193" s="1671" t="s">
        <v>2476</v>
      </c>
      <c r="V193" s="1671" t="s">
        <v>2475</v>
      </c>
      <c r="W193" s="1671"/>
      <c r="X193" s="1671">
        <v>44475</v>
      </c>
      <c r="Y193" s="1671">
        <v>44475</v>
      </c>
      <c r="Z193" s="1671"/>
      <c r="AA193" s="1671"/>
      <c r="AB193" s="1671" t="s">
        <v>733</v>
      </c>
      <c r="AC193" s="1671">
        <v>0</v>
      </c>
      <c r="AD193" s="1671">
        <v>0</v>
      </c>
      <c r="AE193" s="1671">
        <v>0</v>
      </c>
      <c r="AF193" s="1671">
        <v>0</v>
      </c>
      <c r="AG193" s="1671">
        <v>5</v>
      </c>
      <c r="AH193" s="1671">
        <v>1</v>
      </c>
      <c r="AI193" s="1671">
        <v>59400</v>
      </c>
      <c r="AJ193" s="1671">
        <v>2195</v>
      </c>
      <c r="AK193" s="1671">
        <v>0</v>
      </c>
      <c r="AL193" s="1671">
        <v>0</v>
      </c>
      <c r="AM193" s="1671"/>
      <c r="AN193" s="1671"/>
      <c r="AO193" s="1677"/>
      <c r="AP193" s="332"/>
      <c r="AQ193" s="304" t="str">
        <f t="shared" si="4"/>
        <v/>
      </c>
      <c r="AS193" s="304" t="str">
        <f t="shared" si="5"/>
        <v>wci_corp</v>
      </c>
    </row>
    <row r="194" spans="2:45">
      <c r="B194" s="1670" t="s">
        <v>1300</v>
      </c>
      <c r="C194" s="1671">
        <v>44500</v>
      </c>
      <c r="D194" s="1672">
        <v>-7977.35</v>
      </c>
      <c r="E194" s="1672">
        <v>0</v>
      </c>
      <c r="F194" s="1673" t="s">
        <v>729</v>
      </c>
      <c r="G194" s="1671" t="s">
        <v>2474</v>
      </c>
      <c r="H194" s="1674" t="s">
        <v>730</v>
      </c>
      <c r="I194" s="1671" t="s">
        <v>2473</v>
      </c>
      <c r="J194" s="1671" t="s">
        <v>736</v>
      </c>
      <c r="K194" s="1671" t="s">
        <v>732</v>
      </c>
      <c r="L194" s="1675"/>
      <c r="M194" s="1675"/>
      <c r="N194" s="1675" t="s">
        <v>2428</v>
      </c>
      <c r="O194" s="1671"/>
      <c r="P194" s="1675"/>
      <c r="Q194" s="1676"/>
      <c r="R194" s="1671"/>
      <c r="S194" s="1671"/>
      <c r="T194" s="1671"/>
      <c r="U194" s="1671" t="s">
        <v>2472</v>
      </c>
      <c r="V194" s="1671" t="s">
        <v>2472</v>
      </c>
      <c r="W194" s="1671"/>
      <c r="X194" s="1671">
        <v>44502</v>
      </c>
      <c r="Y194" s="1671">
        <v>44502</v>
      </c>
      <c r="Z194" s="1671"/>
      <c r="AA194" s="1671"/>
      <c r="AB194" s="1671" t="s">
        <v>733</v>
      </c>
      <c r="AC194" s="1671">
        <v>0</v>
      </c>
      <c r="AD194" s="1671">
        <v>0</v>
      </c>
      <c r="AE194" s="1671">
        <v>0</v>
      </c>
      <c r="AF194" s="1671">
        <v>0</v>
      </c>
      <c r="AG194" s="1671">
        <v>0</v>
      </c>
      <c r="AH194" s="1671">
        <v>1</v>
      </c>
      <c r="AI194" s="1671">
        <v>59343</v>
      </c>
      <c r="AJ194" s="1671">
        <v>2195</v>
      </c>
      <c r="AK194" s="1671">
        <v>0</v>
      </c>
      <c r="AL194" s="1671">
        <v>0</v>
      </c>
      <c r="AM194" s="1671"/>
      <c r="AN194" s="1671"/>
      <c r="AO194" s="1677"/>
      <c r="AP194" s="332"/>
      <c r="AQ194" s="304" t="str">
        <f t="shared" si="4"/>
        <v/>
      </c>
      <c r="AS194" s="304" t="str">
        <f t="shared" si="5"/>
        <v>wci_corp</v>
      </c>
    </row>
    <row r="195" spans="2:45">
      <c r="B195" s="1670" t="s">
        <v>1300</v>
      </c>
      <c r="C195" s="1671">
        <v>44500</v>
      </c>
      <c r="D195" s="1672">
        <v>146.72</v>
      </c>
      <c r="E195" s="1672">
        <v>0</v>
      </c>
      <c r="F195" s="1673" t="s">
        <v>729</v>
      </c>
      <c r="G195" s="1671" t="s">
        <v>2474</v>
      </c>
      <c r="H195" s="1674" t="s">
        <v>730</v>
      </c>
      <c r="I195" s="1671" t="s">
        <v>2473</v>
      </c>
      <c r="J195" s="1671" t="s">
        <v>736</v>
      </c>
      <c r="K195" s="1671" t="s">
        <v>732</v>
      </c>
      <c r="L195" s="1675"/>
      <c r="M195" s="1675"/>
      <c r="N195" s="1675" t="s">
        <v>2425</v>
      </c>
      <c r="O195" s="1671"/>
      <c r="P195" s="1675"/>
      <c r="Q195" s="1676"/>
      <c r="R195" s="1671"/>
      <c r="S195" s="1671"/>
      <c r="T195" s="1671"/>
      <c r="U195" s="1671" t="s">
        <v>2472</v>
      </c>
      <c r="V195" s="1671" t="s">
        <v>2472</v>
      </c>
      <c r="W195" s="1671"/>
      <c r="X195" s="1671">
        <v>44502</v>
      </c>
      <c r="Y195" s="1671">
        <v>44502</v>
      </c>
      <c r="Z195" s="1671"/>
      <c r="AA195" s="1671"/>
      <c r="AB195" s="1671" t="s">
        <v>733</v>
      </c>
      <c r="AC195" s="1671">
        <v>0</v>
      </c>
      <c r="AD195" s="1671">
        <v>0</v>
      </c>
      <c r="AE195" s="1671">
        <v>0</v>
      </c>
      <c r="AF195" s="1671">
        <v>0</v>
      </c>
      <c r="AG195" s="1671">
        <v>0</v>
      </c>
      <c r="AH195" s="1671">
        <v>1</v>
      </c>
      <c r="AI195" s="1671">
        <v>59343</v>
      </c>
      <c r="AJ195" s="1671">
        <v>2195</v>
      </c>
      <c r="AK195" s="1671">
        <v>0</v>
      </c>
      <c r="AL195" s="1671">
        <v>0</v>
      </c>
      <c r="AM195" s="1671"/>
      <c r="AN195" s="1671"/>
      <c r="AO195" s="1677"/>
      <c r="AP195" s="332"/>
      <c r="AQ195" s="304" t="str">
        <f t="shared" si="4"/>
        <v/>
      </c>
      <c r="AS195" s="304" t="str">
        <f t="shared" si="5"/>
        <v>wci_corp</v>
      </c>
    </row>
    <row r="196" spans="2:45">
      <c r="B196" s="1670" t="s">
        <v>1312</v>
      </c>
      <c r="C196" s="1671">
        <v>44500</v>
      </c>
      <c r="D196" s="1672">
        <v>2330.34</v>
      </c>
      <c r="E196" s="1672">
        <v>0</v>
      </c>
      <c r="F196" s="1673" t="s">
        <v>729</v>
      </c>
      <c r="G196" s="1671" t="s">
        <v>2471</v>
      </c>
      <c r="H196" s="1674" t="s">
        <v>730</v>
      </c>
      <c r="I196" s="1671" t="s">
        <v>2470</v>
      </c>
      <c r="J196" s="1671" t="s">
        <v>736</v>
      </c>
      <c r="K196" s="1671" t="s">
        <v>732</v>
      </c>
      <c r="L196" s="1675"/>
      <c r="M196" s="1675"/>
      <c r="N196" s="1675" t="s">
        <v>2417</v>
      </c>
      <c r="O196" s="1671"/>
      <c r="P196" s="1675"/>
      <c r="Q196" s="1676"/>
      <c r="R196" s="1671"/>
      <c r="S196" s="1671"/>
      <c r="T196" s="1671"/>
      <c r="U196" s="1671" t="s">
        <v>2469</v>
      </c>
      <c r="V196" s="1671" t="s">
        <v>2469</v>
      </c>
      <c r="W196" s="1671"/>
      <c r="X196" s="1671">
        <v>44503</v>
      </c>
      <c r="Y196" s="1671">
        <v>44503</v>
      </c>
      <c r="Z196" s="1671"/>
      <c r="AA196" s="1671"/>
      <c r="AB196" s="1671" t="s">
        <v>733</v>
      </c>
      <c r="AC196" s="1671">
        <v>0</v>
      </c>
      <c r="AD196" s="1671">
        <v>0</v>
      </c>
      <c r="AE196" s="1671">
        <v>0</v>
      </c>
      <c r="AF196" s="1671">
        <v>0</v>
      </c>
      <c r="AG196" s="1671">
        <v>0</v>
      </c>
      <c r="AH196" s="1671">
        <v>1</v>
      </c>
      <c r="AI196" s="1671">
        <v>59400</v>
      </c>
      <c r="AJ196" s="1671">
        <v>2195</v>
      </c>
      <c r="AK196" s="1671">
        <v>0</v>
      </c>
      <c r="AL196" s="1671">
        <v>0</v>
      </c>
      <c r="AM196" s="1671"/>
      <c r="AN196" s="1671"/>
      <c r="AO196" s="1677"/>
      <c r="AP196" s="332"/>
      <c r="AQ196" s="304" t="str">
        <f t="shared" si="4"/>
        <v/>
      </c>
      <c r="AS196" s="304" t="str">
        <f t="shared" si="5"/>
        <v>wci_corp</v>
      </c>
    </row>
    <row r="197" spans="2:45">
      <c r="B197" s="1670" t="s">
        <v>1312</v>
      </c>
      <c r="C197" s="1671">
        <v>44500</v>
      </c>
      <c r="D197" s="1672">
        <v>805.74</v>
      </c>
      <c r="E197" s="1672">
        <v>0</v>
      </c>
      <c r="F197" s="1673" t="s">
        <v>729</v>
      </c>
      <c r="G197" s="1671" t="s">
        <v>2468</v>
      </c>
      <c r="H197" s="1674" t="s">
        <v>730</v>
      </c>
      <c r="I197" s="1671" t="s">
        <v>2442</v>
      </c>
      <c r="J197" s="1671" t="s">
        <v>736</v>
      </c>
      <c r="K197" s="1671" t="s">
        <v>732</v>
      </c>
      <c r="L197" s="1675"/>
      <c r="M197" s="1675"/>
      <c r="N197" s="1675" t="s">
        <v>2416</v>
      </c>
      <c r="O197" s="1671"/>
      <c r="P197" s="1675"/>
      <c r="Q197" s="1676"/>
      <c r="R197" s="1671"/>
      <c r="S197" s="1671"/>
      <c r="T197" s="1671"/>
      <c r="U197" s="1671" t="s">
        <v>2466</v>
      </c>
      <c r="V197" s="1671" t="s">
        <v>2466</v>
      </c>
      <c r="W197" s="1671"/>
      <c r="X197" s="1671">
        <v>44504</v>
      </c>
      <c r="Y197" s="1671">
        <v>44505</v>
      </c>
      <c r="Z197" s="1671"/>
      <c r="AA197" s="1671"/>
      <c r="AB197" s="1671" t="s">
        <v>733</v>
      </c>
      <c r="AC197" s="1671">
        <v>0</v>
      </c>
      <c r="AD197" s="1671">
        <v>0</v>
      </c>
      <c r="AE197" s="1671">
        <v>0</v>
      </c>
      <c r="AF197" s="1671">
        <v>0</v>
      </c>
      <c r="AG197" s="1671">
        <v>0</v>
      </c>
      <c r="AH197" s="1671">
        <v>1</v>
      </c>
      <c r="AI197" s="1671">
        <v>59400</v>
      </c>
      <c r="AJ197" s="1671">
        <v>2195</v>
      </c>
      <c r="AK197" s="1671">
        <v>0</v>
      </c>
      <c r="AL197" s="1671">
        <v>0</v>
      </c>
      <c r="AM197" s="1671"/>
      <c r="AN197" s="1671"/>
      <c r="AO197" s="1677"/>
      <c r="AP197" s="332"/>
      <c r="AQ197" s="304" t="str">
        <f t="shared" si="4"/>
        <v/>
      </c>
      <c r="AS197" s="304" t="str">
        <f t="shared" si="5"/>
        <v>wci_corp</v>
      </c>
    </row>
    <row r="198" spans="2:45">
      <c r="B198" s="1670" t="s">
        <v>1312</v>
      </c>
      <c r="C198" s="1671">
        <v>44530</v>
      </c>
      <c r="D198" s="1672">
        <v>-805.74</v>
      </c>
      <c r="E198" s="1672">
        <v>0</v>
      </c>
      <c r="F198" s="1673" t="s">
        <v>729</v>
      </c>
      <c r="G198" s="1671" t="s">
        <v>2467</v>
      </c>
      <c r="H198" s="1674" t="s">
        <v>730</v>
      </c>
      <c r="I198" s="1671" t="s">
        <v>2442</v>
      </c>
      <c r="J198" s="1671" t="s">
        <v>736</v>
      </c>
      <c r="K198" s="1671" t="s">
        <v>732</v>
      </c>
      <c r="L198" s="1675"/>
      <c r="M198" s="1675"/>
      <c r="N198" s="1675" t="s">
        <v>2416</v>
      </c>
      <c r="O198" s="1671"/>
      <c r="P198" s="1675"/>
      <c r="Q198" s="1676"/>
      <c r="R198" s="1671"/>
      <c r="S198" s="1671"/>
      <c r="T198" s="1671"/>
      <c r="U198" s="1671" t="s">
        <v>2466</v>
      </c>
      <c r="V198" s="1671" t="s">
        <v>2465</v>
      </c>
      <c r="W198" s="1671"/>
      <c r="X198" s="1671">
        <v>44505</v>
      </c>
      <c r="Y198" s="1671">
        <v>44505</v>
      </c>
      <c r="Z198" s="1671"/>
      <c r="AA198" s="1671"/>
      <c r="AB198" s="1671" t="s">
        <v>733</v>
      </c>
      <c r="AC198" s="1671">
        <v>0</v>
      </c>
      <c r="AD198" s="1671">
        <v>0</v>
      </c>
      <c r="AE198" s="1671">
        <v>0</v>
      </c>
      <c r="AF198" s="1671">
        <v>0</v>
      </c>
      <c r="AG198" s="1671">
        <v>5</v>
      </c>
      <c r="AH198" s="1671">
        <v>1</v>
      </c>
      <c r="AI198" s="1671">
        <v>59400</v>
      </c>
      <c r="AJ198" s="1671">
        <v>2195</v>
      </c>
      <c r="AK198" s="1671">
        <v>0</v>
      </c>
      <c r="AL198" s="1671">
        <v>0</v>
      </c>
      <c r="AM198" s="1671"/>
      <c r="AN198" s="1671"/>
      <c r="AO198" s="1677"/>
      <c r="AP198" s="332"/>
      <c r="AQ198" s="304" t="str">
        <f t="shared" si="4"/>
        <v/>
      </c>
      <c r="AS198" s="304" t="str">
        <f t="shared" si="5"/>
        <v>wci_corp</v>
      </c>
    </row>
    <row r="199" spans="2:45">
      <c r="B199" s="1670" t="s">
        <v>1300</v>
      </c>
      <c r="C199" s="1671">
        <v>44530</v>
      </c>
      <c r="D199" s="1672">
        <v>143.21</v>
      </c>
      <c r="E199" s="1672">
        <v>0</v>
      </c>
      <c r="F199" s="1673" t="s">
        <v>729</v>
      </c>
      <c r="G199" s="1671" t="s">
        <v>2464</v>
      </c>
      <c r="H199" s="1674" t="s">
        <v>730</v>
      </c>
      <c r="I199" s="1671" t="s">
        <v>2463</v>
      </c>
      <c r="J199" s="1671" t="s">
        <v>736</v>
      </c>
      <c r="K199" s="1671" t="s">
        <v>732</v>
      </c>
      <c r="L199" s="1675"/>
      <c r="M199" s="1675"/>
      <c r="N199" s="1675" t="s">
        <v>2425</v>
      </c>
      <c r="O199" s="1671"/>
      <c r="P199" s="1675"/>
      <c r="Q199" s="1676"/>
      <c r="R199" s="1671"/>
      <c r="S199" s="1671"/>
      <c r="T199" s="1671"/>
      <c r="U199" s="1671" t="s">
        <v>2462</v>
      </c>
      <c r="V199" s="1671" t="s">
        <v>2462</v>
      </c>
      <c r="W199" s="1671"/>
      <c r="X199" s="1671">
        <v>44533</v>
      </c>
      <c r="Y199" s="1671">
        <v>44533</v>
      </c>
      <c r="Z199" s="1671"/>
      <c r="AA199" s="1671"/>
      <c r="AB199" s="1671" t="s">
        <v>733</v>
      </c>
      <c r="AC199" s="1671">
        <v>0</v>
      </c>
      <c r="AD199" s="1671">
        <v>0</v>
      </c>
      <c r="AE199" s="1671">
        <v>0</v>
      </c>
      <c r="AF199" s="1671">
        <v>0</v>
      </c>
      <c r="AG199" s="1671">
        <v>0</v>
      </c>
      <c r="AH199" s="1671">
        <v>1</v>
      </c>
      <c r="AI199" s="1671">
        <v>59343</v>
      </c>
      <c r="AJ199" s="1671">
        <v>2195</v>
      </c>
      <c r="AK199" s="1671">
        <v>0</v>
      </c>
      <c r="AL199" s="1671">
        <v>0</v>
      </c>
      <c r="AM199" s="1671"/>
      <c r="AN199" s="1671"/>
      <c r="AO199" s="1677"/>
      <c r="AP199" s="332"/>
      <c r="AQ199" s="304" t="str">
        <f t="shared" si="4"/>
        <v/>
      </c>
      <c r="AS199" s="304" t="str">
        <f t="shared" si="5"/>
        <v>wci_corp</v>
      </c>
    </row>
    <row r="200" spans="2:45">
      <c r="B200" s="1670" t="s">
        <v>1333</v>
      </c>
      <c r="C200" s="1671">
        <v>44530</v>
      </c>
      <c r="D200" s="1672">
        <v>-1255.3599999999999</v>
      </c>
      <c r="E200" s="1672">
        <v>0</v>
      </c>
      <c r="F200" s="1673" t="s">
        <v>729</v>
      </c>
      <c r="G200" s="1671" t="s">
        <v>2464</v>
      </c>
      <c r="H200" s="1674" t="s">
        <v>730</v>
      </c>
      <c r="I200" s="1671" t="s">
        <v>2463</v>
      </c>
      <c r="J200" s="1671" t="s">
        <v>736</v>
      </c>
      <c r="K200" s="1671" t="s">
        <v>732</v>
      </c>
      <c r="L200" s="1675"/>
      <c r="M200" s="1675"/>
      <c r="N200" s="1675" t="s">
        <v>1303</v>
      </c>
      <c r="O200" s="1671"/>
      <c r="P200" s="1675"/>
      <c r="Q200" s="1676"/>
      <c r="R200" s="1671"/>
      <c r="S200" s="1671"/>
      <c r="T200" s="1671"/>
      <c r="U200" s="1671" t="s">
        <v>2462</v>
      </c>
      <c r="V200" s="1671" t="s">
        <v>2462</v>
      </c>
      <c r="W200" s="1671"/>
      <c r="X200" s="1671">
        <v>44533</v>
      </c>
      <c r="Y200" s="1671">
        <v>44533</v>
      </c>
      <c r="Z200" s="1671"/>
      <c r="AA200" s="1671"/>
      <c r="AB200" s="1671" t="s">
        <v>733</v>
      </c>
      <c r="AC200" s="1671">
        <v>0</v>
      </c>
      <c r="AD200" s="1671">
        <v>0</v>
      </c>
      <c r="AE200" s="1671">
        <v>0</v>
      </c>
      <c r="AF200" s="1671">
        <v>0</v>
      </c>
      <c r="AG200" s="1671">
        <v>0</v>
      </c>
      <c r="AH200" s="1671">
        <v>1</v>
      </c>
      <c r="AI200" s="1671">
        <v>59344</v>
      </c>
      <c r="AJ200" s="1671">
        <v>2195</v>
      </c>
      <c r="AK200" s="1671">
        <v>0</v>
      </c>
      <c r="AL200" s="1671">
        <v>0</v>
      </c>
      <c r="AM200" s="1671"/>
      <c r="AN200" s="1671"/>
      <c r="AO200" s="1677"/>
      <c r="AP200" s="332"/>
      <c r="AQ200" s="304" t="str">
        <f t="shared" si="4"/>
        <v/>
      </c>
      <c r="AS200" s="304" t="str">
        <f t="shared" si="5"/>
        <v>wci_corp</v>
      </c>
    </row>
    <row r="201" spans="2:45">
      <c r="B201" s="1670" t="s">
        <v>1312</v>
      </c>
      <c r="C201" s="1671">
        <v>44530</v>
      </c>
      <c r="D201" s="1672">
        <v>805.74</v>
      </c>
      <c r="E201" s="1672">
        <v>0</v>
      </c>
      <c r="F201" s="1673" t="s">
        <v>729</v>
      </c>
      <c r="G201" s="1671" t="s">
        <v>2461</v>
      </c>
      <c r="H201" s="1674" t="s">
        <v>730</v>
      </c>
      <c r="I201" s="1671" t="s">
        <v>2460</v>
      </c>
      <c r="J201" s="1671" t="s">
        <v>2135</v>
      </c>
      <c r="K201" s="1671" t="s">
        <v>732</v>
      </c>
      <c r="L201" s="1675"/>
      <c r="M201" s="1675"/>
      <c r="N201" s="1675" t="s">
        <v>2416</v>
      </c>
      <c r="O201" s="1671"/>
      <c r="P201" s="1675"/>
      <c r="Q201" s="1676"/>
      <c r="R201" s="1671"/>
      <c r="S201" s="1671"/>
      <c r="T201" s="1671"/>
      <c r="U201" s="1671" t="s">
        <v>2459</v>
      </c>
      <c r="V201" s="1671" t="s">
        <v>2459</v>
      </c>
      <c r="W201" s="1671"/>
      <c r="X201" s="1671">
        <v>44533</v>
      </c>
      <c r="Y201" s="1671">
        <v>44533</v>
      </c>
      <c r="Z201" s="1671"/>
      <c r="AA201" s="1671"/>
      <c r="AB201" s="1671" t="s">
        <v>733</v>
      </c>
      <c r="AC201" s="1671">
        <v>0</v>
      </c>
      <c r="AD201" s="1671">
        <v>0</v>
      </c>
      <c r="AE201" s="1671">
        <v>0</v>
      </c>
      <c r="AF201" s="1671">
        <v>0</v>
      </c>
      <c r="AG201" s="1671">
        <v>0</v>
      </c>
      <c r="AH201" s="1671">
        <v>1</v>
      </c>
      <c r="AI201" s="1671">
        <v>59400</v>
      </c>
      <c r="AJ201" s="1671">
        <v>2195</v>
      </c>
      <c r="AK201" s="1671">
        <v>0</v>
      </c>
      <c r="AL201" s="1671">
        <v>0</v>
      </c>
      <c r="AM201" s="1671"/>
      <c r="AN201" s="1671"/>
      <c r="AO201" s="1677"/>
      <c r="AP201" s="332"/>
      <c r="AQ201" s="304" t="str">
        <f t="shared" si="4"/>
        <v/>
      </c>
      <c r="AS201" s="304" t="str">
        <f t="shared" si="5"/>
        <v>wci_corp</v>
      </c>
    </row>
    <row r="202" spans="2:45">
      <c r="B202" s="1670" t="s">
        <v>1312</v>
      </c>
      <c r="C202" s="1671">
        <v>44559</v>
      </c>
      <c r="D202" s="1672">
        <v>3405.22</v>
      </c>
      <c r="E202" s="1672">
        <v>0</v>
      </c>
      <c r="F202" s="1673" t="s">
        <v>729</v>
      </c>
      <c r="G202" s="1671" t="s">
        <v>2458</v>
      </c>
      <c r="H202" s="1674" t="s">
        <v>730</v>
      </c>
      <c r="I202" s="1671" t="s">
        <v>1039</v>
      </c>
      <c r="J202" s="1671" t="s">
        <v>1038</v>
      </c>
      <c r="K202" s="1671" t="s">
        <v>732</v>
      </c>
      <c r="L202" s="1675" t="s">
        <v>1340</v>
      </c>
      <c r="M202" s="1675"/>
      <c r="N202" s="1675" t="s">
        <v>1341</v>
      </c>
      <c r="O202" s="1671">
        <v>44539</v>
      </c>
      <c r="P202" s="1675" t="s">
        <v>2457</v>
      </c>
      <c r="Q202" s="1676">
        <v>8094534</v>
      </c>
      <c r="R202" s="1671" t="s">
        <v>2456</v>
      </c>
      <c r="S202" s="1671"/>
      <c r="T202" s="1671"/>
      <c r="U202" s="1671" t="s">
        <v>2455</v>
      </c>
      <c r="V202" s="1671" t="s">
        <v>2454</v>
      </c>
      <c r="W202" s="1671" t="s">
        <v>1287</v>
      </c>
      <c r="X202" s="1671">
        <v>44559</v>
      </c>
      <c r="Y202" s="1671">
        <v>44562</v>
      </c>
      <c r="Z202" s="1671">
        <v>3405.22</v>
      </c>
      <c r="AA202" s="1671">
        <v>44549</v>
      </c>
      <c r="AB202" s="1671" t="s">
        <v>733</v>
      </c>
      <c r="AC202" s="1671">
        <v>0</v>
      </c>
      <c r="AD202" s="1671">
        <v>0</v>
      </c>
      <c r="AE202" s="1671">
        <v>0</v>
      </c>
      <c r="AF202" s="1671">
        <v>0</v>
      </c>
      <c r="AG202" s="1671">
        <v>0</v>
      </c>
      <c r="AH202" s="1671">
        <v>1</v>
      </c>
      <c r="AI202" s="1671">
        <v>59400</v>
      </c>
      <c r="AJ202" s="1671">
        <v>2195</v>
      </c>
      <c r="AK202" s="1671">
        <v>0</v>
      </c>
      <c r="AL202" s="1671">
        <v>0</v>
      </c>
      <c r="AM202" s="1671"/>
      <c r="AN202" s="1671"/>
      <c r="AO202" s="1677"/>
      <c r="AP202" s="332"/>
      <c r="AQ202" s="304" t="str">
        <f t="shared" si="4"/>
        <v>VO06053021</v>
      </c>
      <c r="AS202" s="304" t="str">
        <f t="shared" si="5"/>
        <v>wci_corp</v>
      </c>
    </row>
    <row r="203" spans="2:45">
      <c r="B203" s="1670" t="s">
        <v>1300</v>
      </c>
      <c r="C203" s="1671">
        <v>44561</v>
      </c>
      <c r="D203" s="1672">
        <v>1000</v>
      </c>
      <c r="E203" s="1672">
        <v>0</v>
      </c>
      <c r="F203" s="1673" t="s">
        <v>729</v>
      </c>
      <c r="G203" s="1671" t="s">
        <v>2453</v>
      </c>
      <c r="H203" s="1674" t="s">
        <v>730</v>
      </c>
      <c r="I203" s="1671" t="s">
        <v>2452</v>
      </c>
      <c r="J203" s="1671" t="s">
        <v>736</v>
      </c>
      <c r="K203" s="1671" t="s">
        <v>732</v>
      </c>
      <c r="L203" s="1675"/>
      <c r="M203" s="1675"/>
      <c r="N203" s="1675" t="s">
        <v>2424</v>
      </c>
      <c r="O203" s="1671"/>
      <c r="P203" s="1675"/>
      <c r="Q203" s="1676"/>
      <c r="R203" s="1671"/>
      <c r="S203" s="1671"/>
      <c r="T203" s="1671"/>
      <c r="U203" s="1671" t="s">
        <v>2451</v>
      </c>
      <c r="V203" s="1671" t="s">
        <v>2451</v>
      </c>
      <c r="W203" s="1671"/>
      <c r="X203" s="1671">
        <v>44565</v>
      </c>
      <c r="Y203" s="1671">
        <v>44565</v>
      </c>
      <c r="Z203" s="1671"/>
      <c r="AA203" s="1671"/>
      <c r="AB203" s="1671" t="s">
        <v>733</v>
      </c>
      <c r="AC203" s="1671">
        <v>0</v>
      </c>
      <c r="AD203" s="1671">
        <v>0</v>
      </c>
      <c r="AE203" s="1671">
        <v>0</v>
      </c>
      <c r="AF203" s="1671">
        <v>0</v>
      </c>
      <c r="AG203" s="1671">
        <v>0</v>
      </c>
      <c r="AH203" s="1671">
        <v>1</v>
      </c>
      <c r="AI203" s="1671">
        <v>59343</v>
      </c>
      <c r="AJ203" s="1671">
        <v>2195</v>
      </c>
      <c r="AK203" s="1671">
        <v>0</v>
      </c>
      <c r="AL203" s="1671">
        <v>0</v>
      </c>
      <c r="AM203" s="1671"/>
      <c r="AN203" s="1671"/>
      <c r="AO203" s="1677"/>
      <c r="AP203" s="332"/>
      <c r="AQ203" s="304" t="str">
        <f t="shared" si="4"/>
        <v/>
      </c>
      <c r="AS203" s="304" t="str">
        <f t="shared" si="5"/>
        <v>wci_corp</v>
      </c>
    </row>
    <row r="204" spans="2:45">
      <c r="B204" s="1670" t="s">
        <v>1300</v>
      </c>
      <c r="C204" s="1671">
        <v>44561</v>
      </c>
      <c r="D204" s="1672">
        <v>33.340000000000003</v>
      </c>
      <c r="E204" s="1672">
        <v>0</v>
      </c>
      <c r="F204" s="1673" t="s">
        <v>729</v>
      </c>
      <c r="G204" s="1671" t="s">
        <v>2453</v>
      </c>
      <c r="H204" s="1674" t="s">
        <v>730</v>
      </c>
      <c r="I204" s="1671" t="s">
        <v>2452</v>
      </c>
      <c r="J204" s="1671" t="s">
        <v>736</v>
      </c>
      <c r="K204" s="1671" t="s">
        <v>732</v>
      </c>
      <c r="L204" s="1675"/>
      <c r="M204" s="1675"/>
      <c r="N204" s="1675" t="s">
        <v>2425</v>
      </c>
      <c r="O204" s="1671"/>
      <c r="P204" s="1675"/>
      <c r="Q204" s="1676"/>
      <c r="R204" s="1671"/>
      <c r="S204" s="1671"/>
      <c r="T204" s="1671"/>
      <c r="U204" s="1671" t="s">
        <v>2451</v>
      </c>
      <c r="V204" s="1671" t="s">
        <v>2451</v>
      </c>
      <c r="W204" s="1671"/>
      <c r="X204" s="1671">
        <v>44565</v>
      </c>
      <c r="Y204" s="1671">
        <v>44565</v>
      </c>
      <c r="Z204" s="1671"/>
      <c r="AA204" s="1671"/>
      <c r="AB204" s="1671" t="s">
        <v>733</v>
      </c>
      <c r="AC204" s="1671">
        <v>0</v>
      </c>
      <c r="AD204" s="1671">
        <v>0</v>
      </c>
      <c r="AE204" s="1671">
        <v>0</v>
      </c>
      <c r="AF204" s="1671">
        <v>0</v>
      </c>
      <c r="AG204" s="1671">
        <v>0</v>
      </c>
      <c r="AH204" s="1671">
        <v>1</v>
      </c>
      <c r="AI204" s="1671">
        <v>59343</v>
      </c>
      <c r="AJ204" s="1671">
        <v>2195</v>
      </c>
      <c r="AK204" s="1671">
        <v>0</v>
      </c>
      <c r="AL204" s="1671">
        <v>0</v>
      </c>
      <c r="AM204" s="1671"/>
      <c r="AN204" s="1671"/>
      <c r="AO204" s="1677"/>
      <c r="AP204" s="332"/>
      <c r="AQ204" s="304" t="str">
        <f t="shared" si="4"/>
        <v/>
      </c>
      <c r="AS204" s="304" t="str">
        <f t="shared" si="5"/>
        <v>wci_corp</v>
      </c>
    </row>
    <row r="205" spans="2:45">
      <c r="B205" s="1670" t="s">
        <v>1333</v>
      </c>
      <c r="C205" s="1671">
        <v>44561</v>
      </c>
      <c r="D205" s="1672">
        <v>-13.25</v>
      </c>
      <c r="E205" s="1672">
        <v>0</v>
      </c>
      <c r="F205" s="1673" t="s">
        <v>729</v>
      </c>
      <c r="G205" s="1671" t="s">
        <v>2453</v>
      </c>
      <c r="H205" s="1674" t="s">
        <v>730</v>
      </c>
      <c r="I205" s="1671" t="s">
        <v>2452</v>
      </c>
      <c r="J205" s="1671" t="s">
        <v>736</v>
      </c>
      <c r="K205" s="1671" t="s">
        <v>732</v>
      </c>
      <c r="L205" s="1675"/>
      <c r="M205" s="1675"/>
      <c r="N205" s="1675" t="s">
        <v>1308</v>
      </c>
      <c r="O205" s="1671"/>
      <c r="P205" s="1675"/>
      <c r="Q205" s="1676"/>
      <c r="R205" s="1671"/>
      <c r="S205" s="1671"/>
      <c r="T205" s="1671"/>
      <c r="U205" s="1671" t="s">
        <v>2451</v>
      </c>
      <c r="V205" s="1671" t="s">
        <v>2451</v>
      </c>
      <c r="W205" s="1671"/>
      <c r="X205" s="1671">
        <v>44565</v>
      </c>
      <c r="Y205" s="1671">
        <v>44565</v>
      </c>
      <c r="Z205" s="1671"/>
      <c r="AA205" s="1671"/>
      <c r="AB205" s="1671" t="s">
        <v>733</v>
      </c>
      <c r="AC205" s="1671">
        <v>0</v>
      </c>
      <c r="AD205" s="1671">
        <v>0</v>
      </c>
      <c r="AE205" s="1671">
        <v>0</v>
      </c>
      <c r="AF205" s="1671">
        <v>0</v>
      </c>
      <c r="AG205" s="1671">
        <v>0</v>
      </c>
      <c r="AH205" s="1671">
        <v>1</v>
      </c>
      <c r="AI205" s="1671">
        <v>59344</v>
      </c>
      <c r="AJ205" s="1671">
        <v>2195</v>
      </c>
      <c r="AK205" s="1671">
        <v>0</v>
      </c>
      <c r="AL205" s="1671">
        <v>0</v>
      </c>
      <c r="AM205" s="1671"/>
      <c r="AN205" s="1671"/>
      <c r="AO205" s="1677"/>
      <c r="AP205" s="332"/>
      <c r="AQ205" s="304" t="str">
        <f t="shared" si="4"/>
        <v/>
      </c>
      <c r="AS205" s="304" t="str">
        <f t="shared" si="5"/>
        <v>wci_corp</v>
      </c>
    </row>
    <row r="206" spans="2:45">
      <c r="B206" s="1670" t="s">
        <v>1312</v>
      </c>
      <c r="C206" s="1671">
        <v>44592</v>
      </c>
      <c r="D206" s="1672">
        <v>1164.23</v>
      </c>
      <c r="E206" s="1672">
        <v>0</v>
      </c>
      <c r="F206" s="1673" t="s">
        <v>729</v>
      </c>
      <c r="G206" s="1671" t="s">
        <v>2450</v>
      </c>
      <c r="H206" s="1674" t="s">
        <v>730</v>
      </c>
      <c r="I206" s="1671" t="s">
        <v>2449</v>
      </c>
      <c r="J206" s="1671" t="s">
        <v>2135</v>
      </c>
      <c r="K206" s="1671" t="s">
        <v>732</v>
      </c>
      <c r="L206" s="1675"/>
      <c r="M206" s="1675"/>
      <c r="N206" s="1675" t="s">
        <v>2420</v>
      </c>
      <c r="O206" s="1671"/>
      <c r="P206" s="1675"/>
      <c r="Q206" s="1676"/>
      <c r="R206" s="1671"/>
      <c r="S206" s="1671"/>
      <c r="T206" s="1671"/>
      <c r="U206" s="1671" t="s">
        <v>2448</v>
      </c>
      <c r="V206" s="1671" t="s">
        <v>2448</v>
      </c>
      <c r="W206" s="1671"/>
      <c r="X206" s="1671">
        <v>44594</v>
      </c>
      <c r="Y206" s="1671">
        <v>44594</v>
      </c>
      <c r="Z206" s="1671"/>
      <c r="AA206" s="1671"/>
      <c r="AB206" s="1671" t="s">
        <v>733</v>
      </c>
      <c r="AC206" s="1671">
        <v>0</v>
      </c>
      <c r="AD206" s="1671">
        <v>0</v>
      </c>
      <c r="AE206" s="1671">
        <v>0</v>
      </c>
      <c r="AF206" s="1671">
        <v>0</v>
      </c>
      <c r="AG206" s="1671">
        <v>0</v>
      </c>
      <c r="AH206" s="1671">
        <v>1</v>
      </c>
      <c r="AI206" s="1671">
        <v>59400</v>
      </c>
      <c r="AJ206" s="1671">
        <v>2195</v>
      </c>
      <c r="AK206" s="1671">
        <v>0</v>
      </c>
      <c r="AL206" s="1671">
        <v>0</v>
      </c>
      <c r="AM206" s="1671"/>
      <c r="AN206" s="1671"/>
      <c r="AO206" s="1677"/>
      <c r="AP206" s="332"/>
      <c r="AQ206" s="304" t="str">
        <f t="shared" si="4"/>
        <v/>
      </c>
      <c r="AS206" s="304" t="str">
        <f t="shared" si="5"/>
        <v>wci_corp</v>
      </c>
    </row>
    <row r="207" spans="2:45">
      <c r="B207" s="1670" t="s">
        <v>1333</v>
      </c>
      <c r="C207" s="1671">
        <v>44592</v>
      </c>
      <c r="D207" s="1672">
        <v>4320.13</v>
      </c>
      <c r="E207" s="1672">
        <v>0</v>
      </c>
      <c r="F207" s="1673" t="s">
        <v>729</v>
      </c>
      <c r="G207" s="1671" t="s">
        <v>2447</v>
      </c>
      <c r="H207" s="1674" t="s">
        <v>730</v>
      </c>
      <c r="I207" s="1671" t="s">
        <v>2446</v>
      </c>
      <c r="J207" s="1671" t="s">
        <v>2135</v>
      </c>
      <c r="K207" s="1671" t="s">
        <v>732</v>
      </c>
      <c r="L207" s="1675"/>
      <c r="M207" s="1675"/>
      <c r="N207" s="1675" t="s">
        <v>2424</v>
      </c>
      <c r="O207" s="1671"/>
      <c r="P207" s="1675"/>
      <c r="Q207" s="1676"/>
      <c r="R207" s="1671"/>
      <c r="S207" s="1671"/>
      <c r="T207" s="1671"/>
      <c r="U207" s="1671" t="s">
        <v>2445</v>
      </c>
      <c r="V207" s="1671" t="s">
        <v>2445</v>
      </c>
      <c r="W207" s="1671"/>
      <c r="X207" s="1671">
        <v>44594</v>
      </c>
      <c r="Y207" s="1671">
        <v>44594</v>
      </c>
      <c r="Z207" s="1671"/>
      <c r="AA207" s="1671"/>
      <c r="AB207" s="1671" t="s">
        <v>733</v>
      </c>
      <c r="AC207" s="1671">
        <v>0</v>
      </c>
      <c r="AD207" s="1671">
        <v>0</v>
      </c>
      <c r="AE207" s="1671">
        <v>0</v>
      </c>
      <c r="AF207" s="1671">
        <v>0</v>
      </c>
      <c r="AG207" s="1671">
        <v>0</v>
      </c>
      <c r="AH207" s="1671">
        <v>1</v>
      </c>
      <c r="AI207" s="1671">
        <v>59344</v>
      </c>
      <c r="AJ207" s="1671">
        <v>2195</v>
      </c>
      <c r="AK207" s="1671">
        <v>0</v>
      </c>
      <c r="AL207" s="1671">
        <v>0</v>
      </c>
      <c r="AM207" s="1671"/>
      <c r="AN207" s="1671"/>
      <c r="AO207" s="1677"/>
      <c r="AP207" s="332"/>
      <c r="AQ207" s="304" t="str">
        <f t="shared" si="4"/>
        <v/>
      </c>
      <c r="AS207" s="304" t="str">
        <f t="shared" si="5"/>
        <v>wci_corp</v>
      </c>
    </row>
    <row r="208" spans="2:45">
      <c r="B208" s="1670" t="s">
        <v>1333</v>
      </c>
      <c r="C208" s="1671">
        <v>44592</v>
      </c>
      <c r="D208" s="1672">
        <v>19940</v>
      </c>
      <c r="E208" s="1672">
        <v>0</v>
      </c>
      <c r="F208" s="1673" t="s">
        <v>729</v>
      </c>
      <c r="G208" s="1671" t="s">
        <v>2447</v>
      </c>
      <c r="H208" s="1674" t="s">
        <v>730</v>
      </c>
      <c r="I208" s="1671" t="s">
        <v>2446</v>
      </c>
      <c r="J208" s="1671" t="s">
        <v>2135</v>
      </c>
      <c r="K208" s="1671" t="s">
        <v>732</v>
      </c>
      <c r="L208" s="1675"/>
      <c r="M208" s="1675"/>
      <c r="N208" s="1675" t="s">
        <v>1354</v>
      </c>
      <c r="O208" s="1671"/>
      <c r="P208" s="1675"/>
      <c r="Q208" s="1676"/>
      <c r="R208" s="1671"/>
      <c r="S208" s="1671"/>
      <c r="T208" s="1671"/>
      <c r="U208" s="1671" t="s">
        <v>2445</v>
      </c>
      <c r="V208" s="1671" t="s">
        <v>2445</v>
      </c>
      <c r="W208" s="1671"/>
      <c r="X208" s="1671">
        <v>44594</v>
      </c>
      <c r="Y208" s="1671">
        <v>44594</v>
      </c>
      <c r="Z208" s="1671"/>
      <c r="AA208" s="1671"/>
      <c r="AB208" s="1671" t="s">
        <v>733</v>
      </c>
      <c r="AC208" s="1671">
        <v>0</v>
      </c>
      <c r="AD208" s="1671">
        <v>0</v>
      </c>
      <c r="AE208" s="1671">
        <v>0</v>
      </c>
      <c r="AF208" s="1671">
        <v>0</v>
      </c>
      <c r="AG208" s="1671">
        <v>0</v>
      </c>
      <c r="AH208" s="1671">
        <v>1</v>
      </c>
      <c r="AI208" s="1671">
        <v>59344</v>
      </c>
      <c r="AJ208" s="1671">
        <v>2195</v>
      </c>
      <c r="AK208" s="1671">
        <v>0</v>
      </c>
      <c r="AL208" s="1671">
        <v>0</v>
      </c>
      <c r="AM208" s="1671"/>
      <c r="AN208" s="1671"/>
      <c r="AO208" s="1677"/>
      <c r="AP208" s="332"/>
      <c r="AQ208" s="304" t="str">
        <f t="shared" si="4"/>
        <v/>
      </c>
      <c r="AS208" s="304" t="str">
        <f t="shared" si="5"/>
        <v>wci_corp</v>
      </c>
    </row>
    <row r="209" spans="2:45">
      <c r="B209" s="1670" t="s">
        <v>1312</v>
      </c>
      <c r="C209" s="1671">
        <v>44592</v>
      </c>
      <c r="D209" s="1672">
        <v>297.83</v>
      </c>
      <c r="E209" s="1672">
        <v>0</v>
      </c>
      <c r="F209" s="1673" t="s">
        <v>729</v>
      </c>
      <c r="G209" s="1671" t="s">
        <v>2444</v>
      </c>
      <c r="H209" s="1674" t="s">
        <v>730</v>
      </c>
      <c r="I209" s="1671" t="s">
        <v>2442</v>
      </c>
      <c r="J209" s="1671" t="s">
        <v>731</v>
      </c>
      <c r="K209" s="1671" t="s">
        <v>732</v>
      </c>
      <c r="L209" s="1675"/>
      <c r="M209" s="1675"/>
      <c r="N209" s="1675" t="s">
        <v>2419</v>
      </c>
      <c r="O209" s="1671"/>
      <c r="P209" s="1675"/>
      <c r="Q209" s="1676"/>
      <c r="R209" s="1671"/>
      <c r="S209" s="1671"/>
      <c r="T209" s="1671"/>
      <c r="U209" s="1671" t="s">
        <v>2441</v>
      </c>
      <c r="V209" s="1671" t="s">
        <v>2441</v>
      </c>
      <c r="W209" s="1671"/>
      <c r="X209" s="1671">
        <v>44596</v>
      </c>
      <c r="Y209" s="1671">
        <v>44596</v>
      </c>
      <c r="Z209" s="1671"/>
      <c r="AA209" s="1671"/>
      <c r="AB209" s="1671" t="s">
        <v>733</v>
      </c>
      <c r="AC209" s="1671">
        <v>0</v>
      </c>
      <c r="AD209" s="1671">
        <v>0</v>
      </c>
      <c r="AE209" s="1671">
        <v>0</v>
      </c>
      <c r="AF209" s="1671">
        <v>0</v>
      </c>
      <c r="AG209" s="1671">
        <v>0</v>
      </c>
      <c r="AH209" s="1671">
        <v>1</v>
      </c>
      <c r="AI209" s="1671">
        <v>59400</v>
      </c>
      <c r="AJ209" s="1671">
        <v>2195</v>
      </c>
      <c r="AK209" s="1671">
        <v>0</v>
      </c>
      <c r="AL209" s="1671">
        <v>0</v>
      </c>
      <c r="AM209" s="1671"/>
      <c r="AN209" s="1671"/>
      <c r="AO209" s="1677"/>
      <c r="AP209" s="332"/>
      <c r="AQ209" s="304" t="str">
        <f t="shared" si="4"/>
        <v/>
      </c>
      <c r="AS209" s="304" t="str">
        <f t="shared" si="5"/>
        <v>wci_corp</v>
      </c>
    </row>
    <row r="210" spans="2:45">
      <c r="B210" s="1670" t="s">
        <v>1312</v>
      </c>
      <c r="C210" s="1671">
        <v>44620</v>
      </c>
      <c r="D210" s="1672">
        <v>-297.83</v>
      </c>
      <c r="E210" s="1672">
        <v>0</v>
      </c>
      <c r="F210" s="1673" t="s">
        <v>729</v>
      </c>
      <c r="G210" s="1671" t="s">
        <v>2443</v>
      </c>
      <c r="H210" s="1674" t="s">
        <v>730</v>
      </c>
      <c r="I210" s="1671" t="s">
        <v>2442</v>
      </c>
      <c r="J210" s="1671" t="s">
        <v>2135</v>
      </c>
      <c r="K210" s="1671" t="s">
        <v>732</v>
      </c>
      <c r="L210" s="1675"/>
      <c r="M210" s="1675"/>
      <c r="N210" s="1675" t="s">
        <v>2419</v>
      </c>
      <c r="O210" s="1671"/>
      <c r="P210" s="1675"/>
      <c r="Q210" s="1676"/>
      <c r="R210" s="1671"/>
      <c r="S210" s="1671"/>
      <c r="T210" s="1671"/>
      <c r="U210" s="1671" t="s">
        <v>2441</v>
      </c>
      <c r="V210" s="1671" t="s">
        <v>2440</v>
      </c>
      <c r="W210" s="1671"/>
      <c r="X210" s="1671">
        <v>44596</v>
      </c>
      <c r="Y210" s="1671">
        <v>44596</v>
      </c>
      <c r="Z210" s="1671"/>
      <c r="AA210" s="1671"/>
      <c r="AB210" s="1671" t="s">
        <v>733</v>
      </c>
      <c r="AC210" s="1671">
        <v>0</v>
      </c>
      <c r="AD210" s="1671">
        <v>0</v>
      </c>
      <c r="AE210" s="1671">
        <v>0</v>
      </c>
      <c r="AF210" s="1671">
        <v>0</v>
      </c>
      <c r="AG210" s="1671">
        <v>5</v>
      </c>
      <c r="AH210" s="1671">
        <v>1</v>
      </c>
      <c r="AI210" s="1671">
        <v>59400</v>
      </c>
      <c r="AJ210" s="1671">
        <v>2195</v>
      </c>
      <c r="AK210" s="1671">
        <v>0</v>
      </c>
      <c r="AL210" s="1671">
        <v>0</v>
      </c>
      <c r="AM210" s="1671"/>
      <c r="AN210" s="1671"/>
      <c r="AO210" s="1677"/>
      <c r="AP210" s="332"/>
      <c r="AQ210" s="304" t="str">
        <f t="shared" si="4"/>
        <v/>
      </c>
      <c r="AS210" s="304" t="str">
        <f t="shared" si="5"/>
        <v>wci_corp</v>
      </c>
    </row>
    <row r="211" spans="2:45">
      <c r="B211" s="1670" t="s">
        <v>1333</v>
      </c>
      <c r="C211" s="1671">
        <v>44620</v>
      </c>
      <c r="D211" s="1672">
        <v>-4248.51</v>
      </c>
      <c r="E211" s="1672">
        <v>0</v>
      </c>
      <c r="F211" s="1673" t="s">
        <v>729</v>
      </c>
      <c r="G211" s="1671" t="s">
        <v>2439</v>
      </c>
      <c r="H211" s="1674" t="s">
        <v>730</v>
      </c>
      <c r="I211" s="1671" t="s">
        <v>2438</v>
      </c>
      <c r="J211" s="1671" t="s">
        <v>2106</v>
      </c>
      <c r="K211" s="1671" t="s">
        <v>732</v>
      </c>
      <c r="L211" s="1675"/>
      <c r="M211" s="1675"/>
      <c r="N211" s="1675" t="s">
        <v>2424</v>
      </c>
      <c r="O211" s="1671"/>
      <c r="P211" s="1675"/>
      <c r="Q211" s="1676"/>
      <c r="R211" s="1671"/>
      <c r="S211" s="1671"/>
      <c r="T211" s="1671"/>
      <c r="U211" s="1671" t="s">
        <v>2437</v>
      </c>
      <c r="V211" s="1671" t="s">
        <v>2437</v>
      </c>
      <c r="W211" s="1671"/>
      <c r="X211" s="1671">
        <v>44622</v>
      </c>
      <c r="Y211" s="1671">
        <v>44622</v>
      </c>
      <c r="Z211" s="1671"/>
      <c r="AA211" s="1671"/>
      <c r="AB211" s="1671" t="s">
        <v>733</v>
      </c>
      <c r="AC211" s="1671">
        <v>0</v>
      </c>
      <c r="AD211" s="1671">
        <v>0</v>
      </c>
      <c r="AE211" s="1671">
        <v>0</v>
      </c>
      <c r="AF211" s="1671">
        <v>0</v>
      </c>
      <c r="AG211" s="1671">
        <v>0</v>
      </c>
      <c r="AH211" s="1671">
        <v>1</v>
      </c>
      <c r="AI211" s="1671">
        <v>59344</v>
      </c>
      <c r="AJ211" s="1671">
        <v>2195</v>
      </c>
      <c r="AK211" s="1671">
        <v>0</v>
      </c>
      <c r="AL211" s="1671">
        <v>0</v>
      </c>
      <c r="AM211" s="1671"/>
      <c r="AN211" s="1671"/>
      <c r="AO211" s="1677"/>
      <c r="AP211" s="332"/>
      <c r="AQ211" s="304" t="str">
        <f t="shared" si="4"/>
        <v/>
      </c>
      <c r="AS211" s="304" t="str">
        <f t="shared" si="5"/>
        <v>wci_corp</v>
      </c>
    </row>
    <row r="212" spans="2:45">
      <c r="B212" s="1670" t="s">
        <v>1312</v>
      </c>
      <c r="C212" s="1671">
        <v>44620</v>
      </c>
      <c r="D212" s="1672">
        <v>297.83</v>
      </c>
      <c r="E212" s="1672">
        <v>0</v>
      </c>
      <c r="F212" s="1673" t="s">
        <v>729</v>
      </c>
      <c r="G212" s="1671" t="s">
        <v>2436</v>
      </c>
      <c r="H212" s="1674" t="s">
        <v>730</v>
      </c>
      <c r="I212" s="1671" t="s">
        <v>2435</v>
      </c>
      <c r="J212" s="1671" t="s">
        <v>736</v>
      </c>
      <c r="K212" s="1671" t="s">
        <v>732</v>
      </c>
      <c r="L212" s="1675"/>
      <c r="M212" s="1675"/>
      <c r="N212" s="1675" t="s">
        <v>2419</v>
      </c>
      <c r="O212" s="1671"/>
      <c r="P212" s="1675"/>
      <c r="Q212" s="1676"/>
      <c r="R212" s="1671"/>
      <c r="S212" s="1671"/>
      <c r="T212" s="1671"/>
      <c r="U212" s="1671" t="s">
        <v>2434</v>
      </c>
      <c r="V212" s="1671" t="s">
        <v>2434</v>
      </c>
      <c r="W212" s="1671"/>
      <c r="X212" s="1671">
        <v>44623</v>
      </c>
      <c r="Y212" s="1671">
        <v>44623</v>
      </c>
      <c r="Z212" s="1671"/>
      <c r="AA212" s="1671"/>
      <c r="AB212" s="1671" t="s">
        <v>733</v>
      </c>
      <c r="AC212" s="1671">
        <v>0</v>
      </c>
      <c r="AD212" s="1671">
        <v>0</v>
      </c>
      <c r="AE212" s="1671">
        <v>0</v>
      </c>
      <c r="AF212" s="1671">
        <v>0</v>
      </c>
      <c r="AG212" s="1671">
        <v>0</v>
      </c>
      <c r="AH212" s="1671">
        <v>1</v>
      </c>
      <c r="AI212" s="1671">
        <v>59400</v>
      </c>
      <c r="AJ212" s="1671">
        <v>2195</v>
      </c>
      <c r="AK212" s="1671">
        <v>0</v>
      </c>
      <c r="AL212" s="1671">
        <v>0</v>
      </c>
      <c r="AM212" s="1671"/>
      <c r="AN212" s="1671"/>
      <c r="AO212" s="1677"/>
      <c r="AP212" s="332"/>
      <c r="AQ212" s="304" t="str">
        <f t="shared" si="4"/>
        <v/>
      </c>
      <c r="AS212" s="304" t="str">
        <f t="shared" si="5"/>
        <v>wci_corp</v>
      </c>
    </row>
    <row r="213" spans="2:45">
      <c r="B213" s="1670" t="s">
        <v>1333</v>
      </c>
      <c r="C213" s="1671">
        <v>44651</v>
      </c>
      <c r="D213" s="1672">
        <v>289.39999999999998</v>
      </c>
      <c r="E213" s="1672">
        <v>0</v>
      </c>
      <c r="F213" s="1673" t="s">
        <v>729</v>
      </c>
      <c r="G213" s="1671" t="s">
        <v>2433</v>
      </c>
      <c r="H213" s="1674" t="s">
        <v>730</v>
      </c>
      <c r="I213" s="1671" t="s">
        <v>2432</v>
      </c>
      <c r="J213" s="1671" t="s">
        <v>2106</v>
      </c>
      <c r="K213" s="1671" t="s">
        <v>732</v>
      </c>
      <c r="L213" s="1675"/>
      <c r="M213" s="1675"/>
      <c r="N213" s="1675" t="s">
        <v>2424</v>
      </c>
      <c r="O213" s="1671"/>
      <c r="P213" s="1675"/>
      <c r="Q213" s="1676"/>
      <c r="R213" s="1671"/>
      <c r="S213" s="1671"/>
      <c r="T213" s="1671"/>
      <c r="U213" s="1671" t="s">
        <v>2431</v>
      </c>
      <c r="V213" s="1671" t="s">
        <v>2431</v>
      </c>
      <c r="W213" s="1671"/>
      <c r="X213" s="1671">
        <v>44655</v>
      </c>
      <c r="Y213" s="1671">
        <v>44655</v>
      </c>
      <c r="Z213" s="1671"/>
      <c r="AA213" s="1671"/>
      <c r="AB213" s="1671" t="s">
        <v>733</v>
      </c>
      <c r="AC213" s="1671">
        <v>0</v>
      </c>
      <c r="AD213" s="1671">
        <v>0</v>
      </c>
      <c r="AE213" s="1671">
        <v>0</v>
      </c>
      <c r="AF213" s="1671">
        <v>0</v>
      </c>
      <c r="AG213" s="1671">
        <v>0</v>
      </c>
      <c r="AH213" s="1671">
        <v>1</v>
      </c>
      <c r="AI213" s="1671">
        <v>59344</v>
      </c>
      <c r="AJ213" s="1671">
        <v>2195</v>
      </c>
      <c r="AK213" s="1671">
        <v>0</v>
      </c>
      <c r="AL213" s="1671">
        <v>0</v>
      </c>
      <c r="AM213" s="1671"/>
      <c r="AN213" s="1671"/>
      <c r="AO213" s="1677"/>
      <c r="AP213" s="332"/>
      <c r="AQ213" s="304" t="str">
        <f t="shared" ref="AQ213:AQ215" si="6">IF(LEFT(U213,2)="VO",U213,"")</f>
        <v/>
      </c>
      <c r="AS213" s="304" t="str">
        <f t="shared" ref="AS213:AS215" si="7">IF(RIGHT(K213,2)="IC",IF(OR(AB213="wci_canada",AB213="wci_can_corp"),"wci_can_Corp","wci_corp"),AB213)</f>
        <v>wci_corp</v>
      </c>
    </row>
    <row r="214" spans="2:45">
      <c r="B214" s="1670" t="s">
        <v>1333</v>
      </c>
      <c r="C214" s="1671">
        <v>44651</v>
      </c>
      <c r="D214" s="1672">
        <v>102.51</v>
      </c>
      <c r="E214" s="1672">
        <v>0</v>
      </c>
      <c r="F214" s="1673" t="s">
        <v>729</v>
      </c>
      <c r="G214" s="1671" t="s">
        <v>2433</v>
      </c>
      <c r="H214" s="1674" t="s">
        <v>730</v>
      </c>
      <c r="I214" s="1671" t="s">
        <v>2432</v>
      </c>
      <c r="J214" s="1671" t="s">
        <v>2106</v>
      </c>
      <c r="K214" s="1671" t="s">
        <v>732</v>
      </c>
      <c r="L214" s="1675"/>
      <c r="M214" s="1675"/>
      <c r="N214" s="1675" t="s">
        <v>2423</v>
      </c>
      <c r="O214" s="1671"/>
      <c r="P214" s="1675"/>
      <c r="Q214" s="1676"/>
      <c r="R214" s="1671"/>
      <c r="S214" s="1671"/>
      <c r="T214" s="1671"/>
      <c r="U214" s="1671" t="s">
        <v>2431</v>
      </c>
      <c r="V214" s="1671" t="s">
        <v>2431</v>
      </c>
      <c r="W214" s="1671"/>
      <c r="X214" s="1671">
        <v>44655</v>
      </c>
      <c r="Y214" s="1671">
        <v>44655</v>
      </c>
      <c r="Z214" s="1671"/>
      <c r="AA214" s="1671"/>
      <c r="AB214" s="1671" t="s">
        <v>733</v>
      </c>
      <c r="AC214" s="1671">
        <v>0</v>
      </c>
      <c r="AD214" s="1671">
        <v>0</v>
      </c>
      <c r="AE214" s="1671">
        <v>0</v>
      </c>
      <c r="AF214" s="1671">
        <v>0</v>
      </c>
      <c r="AG214" s="1671">
        <v>0</v>
      </c>
      <c r="AH214" s="1671">
        <v>1</v>
      </c>
      <c r="AI214" s="1671">
        <v>59344</v>
      </c>
      <c r="AJ214" s="1671">
        <v>2195</v>
      </c>
      <c r="AK214" s="1671">
        <v>0</v>
      </c>
      <c r="AL214" s="1671">
        <v>0</v>
      </c>
      <c r="AM214" s="1671"/>
      <c r="AN214" s="1671"/>
      <c r="AO214" s="1677"/>
      <c r="AP214" s="332"/>
      <c r="AQ214" s="304" t="str">
        <f t="shared" si="6"/>
        <v/>
      </c>
      <c r="AS214" s="304" t="str">
        <f t="shared" si="7"/>
        <v>wci_corp</v>
      </c>
    </row>
    <row r="215" spans="2:45">
      <c r="B215" s="1670" t="s">
        <v>1333</v>
      </c>
      <c r="C215" s="1671">
        <v>44651</v>
      </c>
      <c r="D215" s="1672">
        <v>3180</v>
      </c>
      <c r="E215" s="1672">
        <v>0</v>
      </c>
      <c r="F215" s="1673" t="s">
        <v>729</v>
      </c>
      <c r="G215" s="1671" t="s">
        <v>2433</v>
      </c>
      <c r="H215" s="1674" t="s">
        <v>730</v>
      </c>
      <c r="I215" s="1671" t="s">
        <v>2432</v>
      </c>
      <c r="J215" s="1671" t="s">
        <v>2106</v>
      </c>
      <c r="K215" s="1671" t="s">
        <v>732</v>
      </c>
      <c r="L215" s="1675"/>
      <c r="M215" s="1675"/>
      <c r="N215" s="1675" t="s">
        <v>1354</v>
      </c>
      <c r="O215" s="1671"/>
      <c r="P215" s="1675"/>
      <c r="Q215" s="1676"/>
      <c r="R215" s="1671"/>
      <c r="S215" s="1671"/>
      <c r="T215" s="1671"/>
      <c r="U215" s="1671" t="s">
        <v>2431</v>
      </c>
      <c r="V215" s="1671" t="s">
        <v>2431</v>
      </c>
      <c r="W215" s="1671"/>
      <c r="X215" s="1671">
        <v>44655</v>
      </c>
      <c r="Y215" s="1671">
        <v>44655</v>
      </c>
      <c r="Z215" s="1671"/>
      <c r="AA215" s="1671"/>
      <c r="AB215" s="1671" t="s">
        <v>733</v>
      </c>
      <c r="AC215" s="1671">
        <v>0</v>
      </c>
      <c r="AD215" s="1671">
        <v>0</v>
      </c>
      <c r="AE215" s="1671">
        <v>0</v>
      </c>
      <c r="AF215" s="1671">
        <v>0</v>
      </c>
      <c r="AG215" s="1671">
        <v>0</v>
      </c>
      <c r="AH215" s="1671">
        <v>1</v>
      </c>
      <c r="AI215" s="1671">
        <v>59344</v>
      </c>
      <c r="AJ215" s="1671">
        <v>2195</v>
      </c>
      <c r="AK215" s="1671">
        <v>0</v>
      </c>
      <c r="AL215" s="1671">
        <v>0</v>
      </c>
      <c r="AM215" s="1671"/>
      <c r="AN215" s="1671"/>
      <c r="AO215" s="1677"/>
      <c r="AP215" s="332"/>
      <c r="AQ215" s="304" t="str">
        <f t="shared" si="6"/>
        <v/>
      </c>
      <c r="AS215" s="304" t="str">
        <f t="shared" si="7"/>
        <v>wci_corp</v>
      </c>
    </row>
    <row r="216" spans="2:45" ht="13.5" thickBot="1">
      <c r="B216" s="1678"/>
      <c r="C216" s="1679"/>
      <c r="D216" s="1680"/>
      <c r="E216" s="1680"/>
      <c r="F216" s="1680"/>
      <c r="G216" s="1679"/>
      <c r="H216" s="1681"/>
      <c r="I216" s="1679"/>
      <c r="J216" s="1679"/>
      <c r="K216" s="1679"/>
      <c r="L216" s="1679"/>
      <c r="M216" s="1679"/>
      <c r="N216" s="1679"/>
      <c r="O216" s="1679"/>
      <c r="P216" s="1679"/>
      <c r="Q216" s="1682"/>
      <c r="R216" s="1679"/>
      <c r="S216" s="1679"/>
      <c r="T216" s="1679"/>
      <c r="U216" s="1679"/>
      <c r="V216" s="1679"/>
      <c r="W216" s="1679"/>
      <c r="X216" s="1679"/>
      <c r="Y216" s="1679"/>
      <c r="Z216" s="1679"/>
      <c r="AA216" s="1679"/>
      <c r="AB216" s="1679"/>
      <c r="AC216" s="1679"/>
      <c r="AD216" s="1679"/>
      <c r="AE216" s="1679"/>
      <c r="AF216" s="1679"/>
      <c r="AG216" s="1679"/>
      <c r="AH216" s="1679"/>
      <c r="AI216" s="1679"/>
      <c r="AJ216" s="1679"/>
      <c r="AK216" s="1679"/>
      <c r="AL216" s="1679"/>
      <c r="AM216" s="1679"/>
      <c r="AN216" s="1679"/>
      <c r="AO216" s="1682"/>
    </row>
    <row r="217" spans="2:45" ht="13.5" thickTop="1">
      <c r="B217" s="338" t="s">
        <v>738</v>
      </c>
      <c r="C217" s="338"/>
      <c r="D217" s="859"/>
      <c r="E217" s="859"/>
      <c r="F217" s="859"/>
      <c r="G217" s="338"/>
      <c r="H217" s="873"/>
      <c r="I217" s="338"/>
      <c r="J217" s="338"/>
      <c r="K217" s="338"/>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row>
    <row r="218" spans="2:45">
      <c r="H218" s="334"/>
    </row>
    <row r="219" spans="2:45">
      <c r="H219" s="334"/>
    </row>
    <row r="220" spans="2:45">
      <c r="H220" s="334"/>
    </row>
    <row r="221" spans="2:45" ht="13.5" thickBot="1">
      <c r="H221" s="334"/>
    </row>
    <row r="222" spans="2:45" ht="13.5" thickTop="1">
      <c r="B222" s="1654"/>
      <c r="C222" s="1655"/>
      <c r="D222" s="1655"/>
      <c r="E222" s="1655"/>
      <c r="F222" s="1655"/>
      <c r="G222" s="1655"/>
      <c r="H222" s="1683"/>
      <c r="I222" s="1655"/>
      <c r="J222" s="1684"/>
    </row>
    <row r="223" spans="2:45">
      <c r="B223" s="1656" t="s">
        <v>740</v>
      </c>
      <c r="C223" s="1657" t="s">
        <v>1030</v>
      </c>
      <c r="D223" s="1657"/>
      <c r="E223" s="1657"/>
      <c r="F223" s="1657"/>
      <c r="G223" s="1657"/>
      <c r="H223" s="1657"/>
      <c r="I223" s="1657"/>
      <c r="J223" s="1685"/>
    </row>
    <row r="224" spans="2:45">
      <c r="B224" s="1656"/>
      <c r="C224" s="1657" t="s">
        <v>2005</v>
      </c>
      <c r="D224" s="1657" t="s">
        <v>2006</v>
      </c>
      <c r="E224" s="1657" t="s">
        <v>2007</v>
      </c>
      <c r="F224" s="1657" t="s">
        <v>1032</v>
      </c>
      <c r="G224" s="1657" t="s">
        <v>2355</v>
      </c>
      <c r="H224" s="1657" t="s">
        <v>2356</v>
      </c>
      <c r="I224" s="1657" t="s">
        <v>742</v>
      </c>
      <c r="J224" s="1685"/>
    </row>
    <row r="225" spans="2:10">
      <c r="B225" s="1656"/>
      <c r="C225" s="1657"/>
      <c r="D225" s="1657"/>
      <c r="E225" s="1657"/>
      <c r="F225" s="1657"/>
      <c r="G225" s="1657"/>
      <c r="H225" s="1657"/>
      <c r="I225" s="1657"/>
      <c r="J225" s="1685"/>
    </row>
    <row r="226" spans="2:10">
      <c r="B226" s="1656" t="s">
        <v>739</v>
      </c>
      <c r="C226" s="1657"/>
      <c r="D226" s="1657"/>
      <c r="E226" s="1657"/>
      <c r="F226" s="1657"/>
      <c r="G226" s="1657"/>
      <c r="H226" s="1657"/>
      <c r="I226" s="1657"/>
      <c r="J226" s="1685"/>
    </row>
    <row r="227" spans="2:10">
      <c r="B227" s="1686" t="s">
        <v>1324</v>
      </c>
      <c r="C227" s="1657">
        <v>8250</v>
      </c>
      <c r="D227" s="1657">
        <v>80330</v>
      </c>
      <c r="E227" s="1657">
        <v>46055.99</v>
      </c>
      <c r="F227" s="1657">
        <v>3036.09</v>
      </c>
      <c r="G227" s="1657">
        <v>20266.729999999996</v>
      </c>
      <c r="H227" s="1657"/>
      <c r="I227" s="1657">
        <v>157938.81</v>
      </c>
      <c r="J227" s="1685"/>
    </row>
    <row r="228" spans="2:10">
      <c r="B228" s="1686" t="s">
        <v>1291</v>
      </c>
      <c r="C228" s="1657"/>
      <c r="D228" s="1657">
        <v>21754.799999999999</v>
      </c>
      <c r="E228" s="1657">
        <v>-34755.72</v>
      </c>
      <c r="F228" s="1657">
        <v>30586</v>
      </c>
      <c r="G228" s="1657">
        <v>6977.3600000000006</v>
      </c>
      <c r="H228" s="1657"/>
      <c r="I228" s="1657">
        <v>24562.44</v>
      </c>
      <c r="J228" s="1685"/>
    </row>
    <row r="229" spans="2:10">
      <c r="B229" s="1686" t="s">
        <v>1300</v>
      </c>
      <c r="C229" s="1657">
        <v>45536.79</v>
      </c>
      <c r="D229" s="1657">
        <v>31577.440000000002</v>
      </c>
      <c r="E229" s="1657">
        <v>2664.7599999999998</v>
      </c>
      <c r="F229" s="1657">
        <v>54028.81</v>
      </c>
      <c r="G229" s="1657">
        <v>23721.94</v>
      </c>
      <c r="H229" s="1657"/>
      <c r="I229" s="1657">
        <v>157529.74</v>
      </c>
      <c r="J229" s="1685"/>
    </row>
    <row r="230" spans="2:10">
      <c r="B230" s="1686" t="s">
        <v>1333</v>
      </c>
      <c r="C230" s="1657">
        <v>-170.95</v>
      </c>
      <c r="D230" s="1657">
        <v>43790.43</v>
      </c>
      <c r="E230" s="1657">
        <v>-8859.4500000000007</v>
      </c>
      <c r="F230" s="1657">
        <v>-13867.029999999999</v>
      </c>
      <c r="G230" s="1657">
        <v>35203.75</v>
      </c>
      <c r="H230" s="1657">
        <v>23583.530000000002</v>
      </c>
      <c r="I230" s="1657">
        <v>79680.28</v>
      </c>
      <c r="J230" s="1685"/>
    </row>
    <row r="231" spans="2:10">
      <c r="B231" s="1686" t="s">
        <v>1312</v>
      </c>
      <c r="C231" s="1657">
        <v>8464.7900000000009</v>
      </c>
      <c r="D231" s="1657">
        <v>16156.22</v>
      </c>
      <c r="E231" s="1657">
        <v>12313.730000000001</v>
      </c>
      <c r="F231" s="1657">
        <v>32365.75</v>
      </c>
      <c r="G231" s="1657">
        <v>14343.509999999998</v>
      </c>
      <c r="H231" s="1657">
        <v>1462.06</v>
      </c>
      <c r="I231" s="1657">
        <v>85106.06</v>
      </c>
      <c r="J231" s="1685"/>
    </row>
    <row r="232" spans="2:10">
      <c r="B232" s="1686" t="s">
        <v>742</v>
      </c>
      <c r="C232" s="1657">
        <v>62080.630000000005</v>
      </c>
      <c r="D232" s="1657">
        <v>193608.88999999998</v>
      </c>
      <c r="E232" s="1657">
        <v>17419.309999999998</v>
      </c>
      <c r="F232" s="1657">
        <v>106149.62</v>
      </c>
      <c r="G232" s="1657">
        <v>100513.29</v>
      </c>
      <c r="H232" s="1657">
        <v>25045.590000000004</v>
      </c>
      <c r="I232" s="1657">
        <v>504817.33</v>
      </c>
      <c r="J232" s="1685"/>
    </row>
    <row r="233" spans="2:10">
      <c r="B233" s="1656"/>
      <c r="C233" s="1657"/>
      <c r="D233" s="1657"/>
      <c r="E233" s="1657"/>
      <c r="F233" s="1657"/>
      <c r="G233" s="1657"/>
      <c r="H233" s="1687"/>
      <c r="I233" s="1657"/>
      <c r="J233" s="1685"/>
    </row>
    <row r="234" spans="2:10">
      <c r="B234" s="1686" t="s">
        <v>1412</v>
      </c>
      <c r="C234" s="1657"/>
      <c r="D234" s="1657"/>
      <c r="E234" s="1657"/>
      <c r="F234" s="1657"/>
      <c r="G234" s="1657"/>
      <c r="H234" s="1687"/>
      <c r="I234" s="1657"/>
      <c r="J234" s="1685"/>
    </row>
    <row r="235" spans="2:10">
      <c r="B235" s="1688"/>
      <c r="C235" s="1689" t="s">
        <v>2005</v>
      </c>
      <c r="D235" s="1689" t="s">
        <v>2006</v>
      </c>
      <c r="E235" s="1689" t="s">
        <v>2007</v>
      </c>
      <c r="F235" s="1689" t="s">
        <v>1032</v>
      </c>
      <c r="G235" s="1689" t="s">
        <v>2355</v>
      </c>
      <c r="H235" s="1689" t="s">
        <v>2356</v>
      </c>
      <c r="I235" s="1689" t="s">
        <v>742</v>
      </c>
      <c r="J235" s="1690" t="s">
        <v>289</v>
      </c>
    </row>
    <row r="236" spans="2:10">
      <c r="B236" s="1691" t="s">
        <v>739</v>
      </c>
      <c r="C236" s="1692"/>
      <c r="D236" s="1692"/>
      <c r="E236" s="1692"/>
      <c r="F236" s="1692"/>
      <c r="G236" s="1692"/>
      <c r="H236" s="1692"/>
      <c r="I236" s="1692"/>
      <c r="J236" s="1693"/>
    </row>
    <row r="237" spans="2:10" ht="15">
      <c r="B237" s="1686" t="s">
        <v>1324</v>
      </c>
      <c r="C237" s="1694">
        <v>8250</v>
      </c>
      <c r="D237" s="1694">
        <v>80330</v>
      </c>
      <c r="E237" s="1694">
        <v>46055.99</v>
      </c>
      <c r="F237" s="1694">
        <v>3036.09</v>
      </c>
      <c r="G237" s="1694">
        <v>20266.729999999996</v>
      </c>
      <c r="H237" s="1694"/>
      <c r="I237" s="1694">
        <v>157938.81</v>
      </c>
      <c r="J237" s="1695">
        <f>+I237/5</f>
        <v>31587.761999999999</v>
      </c>
    </row>
    <row r="238" spans="2:10" ht="15">
      <c r="B238" s="1686" t="s">
        <v>1291</v>
      </c>
      <c r="C238" s="1694"/>
      <c r="D238" s="1694">
        <v>21754.799999999999</v>
      </c>
      <c r="E238" s="1694">
        <v>-34755.72</v>
      </c>
      <c r="F238" s="1694">
        <v>30586</v>
      </c>
      <c r="G238" s="1694">
        <v>6977.3600000000006</v>
      </c>
      <c r="H238" s="1694"/>
      <c r="I238" s="1694">
        <v>24562.44</v>
      </c>
      <c r="J238" s="1695">
        <f t="shared" ref="J238:J241" si="8">+I238/5</f>
        <v>4912.4879999999994</v>
      </c>
    </row>
    <row r="239" spans="2:10" ht="15">
      <c r="B239" s="1686" t="s">
        <v>1300</v>
      </c>
      <c r="C239" s="1694">
        <v>45536.79</v>
      </c>
      <c r="D239" s="1694">
        <v>31577.440000000002</v>
      </c>
      <c r="E239" s="1694">
        <v>2664.7599999999998</v>
      </c>
      <c r="F239" s="1694">
        <v>54028.81</v>
      </c>
      <c r="G239" s="1694">
        <v>23721.94</v>
      </c>
      <c r="H239" s="1694"/>
      <c r="I239" s="1694">
        <v>157529.74</v>
      </c>
      <c r="J239" s="1695">
        <f t="shared" si="8"/>
        <v>31505.947999999997</v>
      </c>
    </row>
    <row r="240" spans="2:10" ht="15">
      <c r="B240" s="1686" t="s">
        <v>1333</v>
      </c>
      <c r="C240" s="1694">
        <v>-170.95</v>
      </c>
      <c r="D240" s="1694">
        <v>43790.43</v>
      </c>
      <c r="E240" s="1694">
        <v>-8859.4500000000007</v>
      </c>
      <c r="F240" s="1694">
        <v>-13867.029999999999</v>
      </c>
      <c r="G240" s="1694">
        <v>35203.75</v>
      </c>
      <c r="H240" s="1694">
        <v>23583.530000000002</v>
      </c>
      <c r="I240" s="1694">
        <v>79680.28</v>
      </c>
      <c r="J240" s="1695">
        <f t="shared" si="8"/>
        <v>15936.056</v>
      </c>
    </row>
    <row r="241" spans="2:10" ht="15">
      <c r="B241" s="1686" t="s">
        <v>1312</v>
      </c>
      <c r="C241" s="1694">
        <v>8464.7900000000009</v>
      </c>
      <c r="D241" s="1694">
        <v>16156.22</v>
      </c>
      <c r="E241" s="1694">
        <v>12313.730000000001</v>
      </c>
      <c r="F241" s="1694">
        <v>32365.75</v>
      </c>
      <c r="G241" s="1694">
        <v>14343.509999999998</v>
      </c>
      <c r="H241" s="1694">
        <v>1462.06</v>
      </c>
      <c r="I241" s="1694">
        <v>85106.06</v>
      </c>
      <c r="J241" s="1695">
        <f t="shared" si="8"/>
        <v>17021.212</v>
      </c>
    </row>
    <row r="242" spans="2:10" ht="13.5" thickBot="1">
      <c r="B242" s="1696" t="s">
        <v>742</v>
      </c>
      <c r="C242" s="1697">
        <v>62080.630000000005</v>
      </c>
      <c r="D242" s="1697">
        <v>193608.88999999998</v>
      </c>
      <c r="E242" s="1697">
        <v>17419.309999999998</v>
      </c>
      <c r="F242" s="1697">
        <v>106149.62</v>
      </c>
      <c r="G242" s="1697">
        <v>100513.29</v>
      </c>
      <c r="H242" s="1697">
        <v>25045.590000000004</v>
      </c>
      <c r="I242" s="1697">
        <v>504817.33</v>
      </c>
      <c r="J242" s="1698">
        <f>+SUM(J237:J241)</f>
        <v>100963.466</v>
      </c>
    </row>
    <row r="243" spans="2:10" ht="13.5" thickTop="1"/>
  </sheetData>
  <autoFilter ref="B19:AQ19" xr:uid="{00000000-0009-0000-0000-000014000000}"/>
  <dataValidations count="1">
    <dataValidation type="list" allowBlank="1" showInputMessage="1" showErrorMessage="1" sqref="P15" xr:uid="{00000000-0002-0000-1400-000000000000}">
      <formula1>"All,Posted/Unposted,Posted,Unposted,Staged"</formula1>
    </dataValidation>
  </dataValidations>
  <pageMargins left="0.27" right="0.28999999999999998" top="0.37" bottom="0.43" header="0.25" footer="0.25"/>
  <pageSetup scale="44" fitToHeight="0" orientation="landscape" r:id="rId2"/>
  <headerFooter alignWithMargins="0">
    <oddHeader>&amp;L&amp;8 &amp;C&amp;"-,Bold"&amp;KFF0000TEXT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S100"/>
  <sheetViews>
    <sheetView showGridLines="0" view="pageLayout" topLeftCell="A9" zoomScaleNormal="80" workbookViewId="0">
      <selection activeCell="AL35" sqref="AL35"/>
    </sheetView>
  </sheetViews>
  <sheetFormatPr defaultColWidth="9.140625" defaultRowHeight="12.75" outlineLevelRow="1"/>
  <cols>
    <col min="1" max="1" width="2.7109375" style="304" customWidth="1"/>
    <col min="2" max="2" width="45.8554687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_xll.ReportDrill('[71]JE Lookup'!B1,,_xll.PairGroup(_xll.Pair(G20:G72,'[71]JE Lookup'!N8),_xll.Pair(AB20:AB72,'[71]JE Lookup'!N7)),"JE Lookup")</f>
        <v>OK!: ReportDrill 'JE Lookup' Formula OK [jAction{}]</v>
      </c>
      <c r="U4" s="304" t="str">
        <f ca="1">_xll.ReportDrill(,"APDrill",_xll.PairGroup(_xll.PairExt(AQ20:AQ72,"H8")),"AP Detail")</f>
        <v>OK!: ReportDrill 'AP Detail' Formula OK [jAction{}]</v>
      </c>
      <c r="Y4" s="304" t="str">
        <f ca="1">_xll.ReportDrill(,"JEStaged_DrillToDetail",_xll.PairGroup(_xll.PairExt(Q19:Q72,"dControlNum",TRUE),_xll.PairExt(AP19:AP72,"dDistrict",TRUE),_xll.PairExt(AO19:AO72,"dApplyMonth",TRUE)),"JE Staged Details")</f>
        <v>OK!: ReportDrill 'JE Staged Details' Formula OK [jAction{}]</v>
      </c>
    </row>
    <row r="5" spans="1:43" hidden="1" outlineLevel="1">
      <c r="B5" s="304" t="str">
        <f ca="1">_xll.ReportRange("JEQuery_WithStaged",B20:AS71,B2:AS2,,_xll.Param(DateFrom,DateTo,IF(M12="","all",M12),M13,M14,M15,P12,P13,P14,P15,EntrieShownLimit,IF(DateFrom="",DateFrom,),IF(DateTo="",DateTo,)),TRUE)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_xll.ReportDrill('[71]JE Lookup'!B1,,_xll.PairGroup(_xll.Pair(V20:V72,'[71]JE Lookup'!N8),_xll.Pair(AS20:AS72,'[71]JE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2332</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SUM(D19:D72)</f>
        <v>417871.76999999996</v>
      </c>
      <c r="E16" s="321">
        <f>SUM(E19:E72)</f>
        <v>0</v>
      </c>
      <c r="F16" s="304" t="s">
        <v>685</v>
      </c>
      <c r="N16" s="322"/>
      <c r="O16" s="322"/>
      <c r="P16" s="322"/>
      <c r="Q16" s="322"/>
    </row>
    <row r="17" spans="2:45">
      <c r="B17" s="319" t="s">
        <v>686</v>
      </c>
      <c r="C17" s="320"/>
      <c r="D17" s="323">
        <f>COUNT(D20:D73)</f>
        <v>51</v>
      </c>
      <c r="E17" s="323">
        <f>COUNT(E20:E73)</f>
        <v>51</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716" t="s">
        <v>703</v>
      </c>
      <c r="R19" s="716" t="s">
        <v>704</v>
      </c>
      <c r="S19" s="716" t="s">
        <v>705</v>
      </c>
      <c r="T19" s="716" t="s">
        <v>706</v>
      </c>
      <c r="U19" s="716" t="s">
        <v>707</v>
      </c>
      <c r="V19" s="716" t="s">
        <v>708</v>
      </c>
      <c r="W19" s="716" t="s">
        <v>709</v>
      </c>
      <c r="X19" s="716" t="s">
        <v>710</v>
      </c>
      <c r="Y19" s="716" t="s">
        <v>711</v>
      </c>
      <c r="Z19" s="716" t="s">
        <v>712</v>
      </c>
      <c r="AA19" s="716" t="s">
        <v>713</v>
      </c>
      <c r="AB19" s="716" t="s">
        <v>714</v>
      </c>
      <c r="AC19" s="715" t="s">
        <v>715</v>
      </c>
      <c r="AD19" s="715" t="s">
        <v>716</v>
      </c>
      <c r="AE19" s="715" t="s">
        <v>717</v>
      </c>
      <c r="AF19" s="715" t="s">
        <v>718</v>
      </c>
      <c r="AG19" s="715" t="s">
        <v>719</v>
      </c>
      <c r="AH19" s="715" t="s">
        <v>720</v>
      </c>
      <c r="AI19" s="714" t="s">
        <v>721</v>
      </c>
      <c r="AJ19" s="714" t="s">
        <v>722</v>
      </c>
      <c r="AK19" s="714" t="s">
        <v>723</v>
      </c>
      <c r="AL19" s="714" t="s">
        <v>724</v>
      </c>
      <c r="AM19" s="714" t="s">
        <v>725</v>
      </c>
      <c r="AN19" s="714" t="s">
        <v>663</v>
      </c>
      <c r="AO19" s="713" t="s">
        <v>726</v>
      </c>
      <c r="AP19" s="713" t="s">
        <v>727</v>
      </c>
      <c r="AQ19" s="713" t="s">
        <v>728</v>
      </c>
    </row>
    <row r="20" spans="2:45">
      <c r="B20" s="338" t="s">
        <v>2224</v>
      </c>
      <c r="C20" s="867">
        <v>44307</v>
      </c>
      <c r="D20" s="868">
        <v>28310.31</v>
      </c>
      <c r="E20" s="868">
        <v>0</v>
      </c>
      <c r="F20" s="869" t="s">
        <v>729</v>
      </c>
      <c r="G20" s="338" t="s">
        <v>2331</v>
      </c>
      <c r="H20" s="870" t="s">
        <v>730</v>
      </c>
      <c r="I20" s="338" t="s">
        <v>1039</v>
      </c>
      <c r="J20" s="338" t="s">
        <v>1042</v>
      </c>
      <c r="K20" s="338" t="s">
        <v>732</v>
      </c>
      <c r="L20" s="871" t="s">
        <v>2244</v>
      </c>
      <c r="M20" s="871"/>
      <c r="N20" s="871" t="s">
        <v>2220</v>
      </c>
      <c r="O20" s="872">
        <v>44287</v>
      </c>
      <c r="P20" s="871" t="s">
        <v>2218</v>
      </c>
      <c r="Q20" s="712">
        <v>44256</v>
      </c>
      <c r="R20" s="304" t="s">
        <v>2267</v>
      </c>
      <c r="U20" s="304" t="s">
        <v>2330</v>
      </c>
      <c r="V20" s="304" t="s">
        <v>2329</v>
      </c>
      <c r="W20" s="304" t="s">
        <v>1287</v>
      </c>
      <c r="X20" s="329">
        <v>44307</v>
      </c>
      <c r="Y20" s="329">
        <v>44314</v>
      </c>
      <c r="Z20" s="304">
        <v>28310.3</v>
      </c>
      <c r="AA20" s="329">
        <v>44297</v>
      </c>
      <c r="AB20" s="304" t="s">
        <v>733</v>
      </c>
      <c r="AC20" s="304">
        <v>0</v>
      </c>
      <c r="AD20" s="304">
        <v>0</v>
      </c>
      <c r="AE20" s="304">
        <v>0</v>
      </c>
      <c r="AF20" s="304">
        <v>0</v>
      </c>
      <c r="AG20" s="304">
        <v>0</v>
      </c>
      <c r="AH20" s="304">
        <v>1</v>
      </c>
      <c r="AI20" s="304">
        <v>41201</v>
      </c>
      <c r="AJ20" s="304">
        <v>2195</v>
      </c>
      <c r="AK20" s="304">
        <v>0</v>
      </c>
      <c r="AL20" s="304">
        <v>0</v>
      </c>
      <c r="AO20" s="332"/>
      <c r="AP20" s="332"/>
      <c r="AQ20" s="304" t="str">
        <f t="shared" ref="AQ20:AQ51" si="0">IF(LEFT(U20,2)="VO",U20,"")</f>
        <v>VO05761629</v>
      </c>
      <c r="AS20" s="304" t="str">
        <f t="shared" ref="AS20:AS51" si="1">IF(RIGHT(K20,2)="IC",IF(OR(AB20="wci_canada",AB20="wci_can_corp"),"wci_can_Corp","wci_corp"),AB20)</f>
        <v>wci_corp</v>
      </c>
    </row>
    <row r="21" spans="2:45">
      <c r="B21" s="338" t="s">
        <v>2224</v>
      </c>
      <c r="C21" s="867">
        <v>44316</v>
      </c>
      <c r="D21" s="868">
        <v>-28310.31</v>
      </c>
      <c r="E21" s="868">
        <v>0</v>
      </c>
      <c r="F21" s="869" t="s">
        <v>729</v>
      </c>
      <c r="G21" s="338" t="s">
        <v>2328</v>
      </c>
      <c r="H21" s="870" t="s">
        <v>730</v>
      </c>
      <c r="I21" s="338" t="s">
        <v>2222</v>
      </c>
      <c r="J21" s="338" t="s">
        <v>1285</v>
      </c>
      <c r="K21" s="338" t="s">
        <v>732</v>
      </c>
      <c r="L21" s="871"/>
      <c r="M21" s="871"/>
      <c r="N21" s="871" t="s">
        <v>2219</v>
      </c>
      <c r="O21" s="872"/>
      <c r="P21" s="871"/>
      <c r="Q21" s="306"/>
      <c r="U21" s="304" t="s">
        <v>2327</v>
      </c>
      <c r="V21" s="304" t="s">
        <v>2326</v>
      </c>
      <c r="X21" s="329">
        <v>44293</v>
      </c>
      <c r="Y21" s="329">
        <v>44293</v>
      </c>
      <c r="AA21" s="329"/>
      <c r="AB21" s="304" t="s">
        <v>733</v>
      </c>
      <c r="AC21" s="304">
        <v>0</v>
      </c>
      <c r="AD21" s="304">
        <v>0</v>
      </c>
      <c r="AE21" s="304">
        <v>0</v>
      </c>
      <c r="AF21" s="304">
        <v>0</v>
      </c>
      <c r="AG21" s="304">
        <v>5</v>
      </c>
      <c r="AH21" s="304">
        <v>1</v>
      </c>
      <c r="AI21" s="304">
        <v>41201</v>
      </c>
      <c r="AJ21" s="304">
        <v>2195</v>
      </c>
      <c r="AK21" s="304">
        <v>0</v>
      </c>
      <c r="AL21" s="304">
        <v>0</v>
      </c>
      <c r="AO21" s="332"/>
      <c r="AP21" s="332"/>
      <c r="AQ21" s="304" t="str">
        <f t="shared" si="0"/>
        <v/>
      </c>
      <c r="AS21" s="304" t="str">
        <f t="shared" si="1"/>
        <v>wci_corp</v>
      </c>
    </row>
    <row r="22" spans="2:45">
      <c r="B22" s="338" t="s">
        <v>2224</v>
      </c>
      <c r="C22" s="867">
        <v>44316</v>
      </c>
      <c r="D22" s="868">
        <v>29185.82</v>
      </c>
      <c r="E22" s="868">
        <v>0</v>
      </c>
      <c r="F22" s="869" t="s">
        <v>729</v>
      </c>
      <c r="G22" s="338" t="s">
        <v>2325</v>
      </c>
      <c r="H22" s="870" t="s">
        <v>730</v>
      </c>
      <c r="I22" s="338" t="s">
        <v>2222</v>
      </c>
      <c r="J22" s="338" t="s">
        <v>731</v>
      </c>
      <c r="K22" s="338" t="s">
        <v>732</v>
      </c>
      <c r="L22" s="871"/>
      <c r="M22" s="871"/>
      <c r="N22" s="871" t="s">
        <v>2219</v>
      </c>
      <c r="O22" s="872"/>
      <c r="P22" s="871"/>
      <c r="Q22" s="306"/>
      <c r="U22" s="304" t="s">
        <v>2320</v>
      </c>
      <c r="V22" s="304" t="s">
        <v>2320</v>
      </c>
      <c r="X22" s="329">
        <v>44322</v>
      </c>
      <c r="Y22" s="329">
        <v>44322</v>
      </c>
      <c r="AA22" s="329"/>
      <c r="AB22" s="304" t="s">
        <v>733</v>
      </c>
      <c r="AC22" s="304">
        <v>0</v>
      </c>
      <c r="AD22" s="304">
        <v>0</v>
      </c>
      <c r="AE22" s="304">
        <v>0</v>
      </c>
      <c r="AF22" s="304">
        <v>0</v>
      </c>
      <c r="AG22" s="304">
        <v>0</v>
      </c>
      <c r="AH22" s="304">
        <v>1</v>
      </c>
      <c r="AI22" s="304">
        <v>41201</v>
      </c>
      <c r="AJ22" s="304">
        <v>2195</v>
      </c>
      <c r="AK22" s="304">
        <v>0</v>
      </c>
      <c r="AL22" s="304">
        <v>0</v>
      </c>
      <c r="AO22" s="332"/>
      <c r="AP22" s="332"/>
      <c r="AQ22" s="304" t="str">
        <f t="shared" si="0"/>
        <v/>
      </c>
      <c r="AS22" s="304" t="str">
        <f t="shared" si="1"/>
        <v>wci_corp</v>
      </c>
    </row>
    <row r="23" spans="2:45">
      <c r="B23" s="338" t="s">
        <v>2224</v>
      </c>
      <c r="C23" s="867">
        <v>44335</v>
      </c>
      <c r="D23" s="868">
        <v>29185.82</v>
      </c>
      <c r="E23" s="868">
        <v>0</v>
      </c>
      <c r="F23" s="869" t="s">
        <v>729</v>
      </c>
      <c r="G23" s="338" t="s">
        <v>2324</v>
      </c>
      <c r="H23" s="870" t="s">
        <v>730</v>
      </c>
      <c r="I23" s="338" t="s">
        <v>1039</v>
      </c>
      <c r="J23" s="338" t="s">
        <v>1042</v>
      </c>
      <c r="K23" s="338" t="s">
        <v>732</v>
      </c>
      <c r="L23" s="871" t="s">
        <v>2244</v>
      </c>
      <c r="M23" s="871"/>
      <c r="N23" s="871" t="s">
        <v>2220</v>
      </c>
      <c r="O23" s="872">
        <v>44317</v>
      </c>
      <c r="P23" s="871" t="s">
        <v>2218</v>
      </c>
      <c r="Q23" s="712">
        <v>44287</v>
      </c>
      <c r="R23" s="304" t="s">
        <v>2267</v>
      </c>
      <c r="U23" s="304" t="s">
        <v>2323</v>
      </c>
      <c r="V23" s="304" t="s">
        <v>2322</v>
      </c>
      <c r="W23" s="304" t="s">
        <v>1287</v>
      </c>
      <c r="X23" s="329">
        <v>44335</v>
      </c>
      <c r="Y23" s="329">
        <v>44336</v>
      </c>
      <c r="Z23" s="304">
        <v>29185.8</v>
      </c>
      <c r="AA23" s="329">
        <v>44327</v>
      </c>
      <c r="AB23" s="304" t="s">
        <v>733</v>
      </c>
      <c r="AC23" s="304">
        <v>0</v>
      </c>
      <c r="AD23" s="304">
        <v>0</v>
      </c>
      <c r="AE23" s="304">
        <v>0</v>
      </c>
      <c r="AF23" s="304">
        <v>0</v>
      </c>
      <c r="AG23" s="304">
        <v>0</v>
      </c>
      <c r="AH23" s="304">
        <v>1</v>
      </c>
      <c r="AI23" s="304">
        <v>41201</v>
      </c>
      <c r="AJ23" s="304">
        <v>2195</v>
      </c>
      <c r="AK23" s="304">
        <v>0</v>
      </c>
      <c r="AL23" s="304">
        <v>0</v>
      </c>
      <c r="AO23" s="332"/>
      <c r="AP23" s="332"/>
      <c r="AQ23" s="304" t="str">
        <f t="shared" si="0"/>
        <v>VO05791084</v>
      </c>
      <c r="AS23" s="304" t="str">
        <f t="shared" si="1"/>
        <v>wci_corp</v>
      </c>
    </row>
    <row r="24" spans="2:45">
      <c r="B24" s="338" t="s">
        <v>2224</v>
      </c>
      <c r="C24" s="867">
        <v>44347</v>
      </c>
      <c r="D24" s="868">
        <v>-29185.82</v>
      </c>
      <c r="E24" s="868">
        <v>0</v>
      </c>
      <c r="F24" s="869" t="s">
        <v>729</v>
      </c>
      <c r="G24" s="338" t="s">
        <v>2321</v>
      </c>
      <c r="H24" s="870" t="s">
        <v>730</v>
      </c>
      <c r="I24" s="338" t="s">
        <v>2222</v>
      </c>
      <c r="J24" s="338" t="s">
        <v>2106</v>
      </c>
      <c r="K24" s="338" t="s">
        <v>732</v>
      </c>
      <c r="L24" s="871"/>
      <c r="M24" s="871"/>
      <c r="N24" s="871" t="s">
        <v>2219</v>
      </c>
      <c r="O24" s="872"/>
      <c r="P24" s="871"/>
      <c r="Q24" s="306"/>
      <c r="U24" s="304" t="s">
        <v>2320</v>
      </c>
      <c r="V24" s="304" t="s">
        <v>2319</v>
      </c>
      <c r="X24" s="329">
        <v>44322</v>
      </c>
      <c r="Y24" s="329">
        <v>44323</v>
      </c>
      <c r="AA24" s="329"/>
      <c r="AB24" s="304" t="s">
        <v>733</v>
      </c>
      <c r="AC24" s="304">
        <v>0</v>
      </c>
      <c r="AD24" s="304">
        <v>0</v>
      </c>
      <c r="AE24" s="304">
        <v>0</v>
      </c>
      <c r="AF24" s="304">
        <v>0</v>
      </c>
      <c r="AG24" s="304">
        <v>5</v>
      </c>
      <c r="AH24" s="304">
        <v>1</v>
      </c>
      <c r="AI24" s="304">
        <v>41201</v>
      </c>
      <c r="AJ24" s="304">
        <v>2195</v>
      </c>
      <c r="AK24" s="304">
        <v>0</v>
      </c>
      <c r="AL24" s="304">
        <v>0</v>
      </c>
      <c r="AO24" s="332"/>
      <c r="AP24" s="332"/>
      <c r="AQ24" s="304" t="str">
        <f t="shared" si="0"/>
        <v/>
      </c>
      <c r="AS24" s="304" t="str">
        <f t="shared" si="1"/>
        <v>wci_corp</v>
      </c>
    </row>
    <row r="25" spans="2:45">
      <c r="B25" s="338" t="s">
        <v>2224</v>
      </c>
      <c r="C25" s="867">
        <v>44347</v>
      </c>
      <c r="D25" s="868">
        <v>27688.400000000001</v>
      </c>
      <c r="E25" s="868">
        <v>0</v>
      </c>
      <c r="F25" s="869" t="s">
        <v>729</v>
      </c>
      <c r="G25" s="338" t="s">
        <v>2318</v>
      </c>
      <c r="H25" s="870" t="s">
        <v>730</v>
      </c>
      <c r="I25" s="338" t="s">
        <v>2222</v>
      </c>
      <c r="J25" s="338" t="s">
        <v>1285</v>
      </c>
      <c r="K25" s="338" t="s">
        <v>732</v>
      </c>
      <c r="L25" s="871"/>
      <c r="M25" s="871"/>
      <c r="N25" s="871" t="s">
        <v>2219</v>
      </c>
      <c r="O25" s="872"/>
      <c r="P25" s="871"/>
      <c r="Q25" s="306"/>
      <c r="U25" s="304" t="s">
        <v>2313</v>
      </c>
      <c r="V25" s="304" t="s">
        <v>2313</v>
      </c>
      <c r="X25" s="329">
        <v>44351</v>
      </c>
      <c r="Y25" s="329">
        <v>44354</v>
      </c>
      <c r="AA25" s="329"/>
      <c r="AB25" s="304" t="s">
        <v>733</v>
      </c>
      <c r="AC25" s="304">
        <v>0</v>
      </c>
      <c r="AD25" s="304">
        <v>0</v>
      </c>
      <c r="AE25" s="304">
        <v>0</v>
      </c>
      <c r="AF25" s="304">
        <v>0</v>
      </c>
      <c r="AG25" s="304">
        <v>0</v>
      </c>
      <c r="AH25" s="304">
        <v>1</v>
      </c>
      <c r="AI25" s="304">
        <v>41201</v>
      </c>
      <c r="AJ25" s="304">
        <v>2195</v>
      </c>
      <c r="AK25" s="304">
        <v>0</v>
      </c>
      <c r="AL25" s="304">
        <v>0</v>
      </c>
      <c r="AO25" s="332"/>
      <c r="AP25" s="332"/>
      <c r="AQ25" s="304" t="str">
        <f t="shared" si="0"/>
        <v/>
      </c>
      <c r="AS25" s="304" t="str">
        <f t="shared" si="1"/>
        <v>wci_corp</v>
      </c>
    </row>
    <row r="26" spans="2:45">
      <c r="B26" s="338" t="s">
        <v>2224</v>
      </c>
      <c r="C26" s="867">
        <v>44356</v>
      </c>
      <c r="D26" s="868">
        <v>27688.400000000001</v>
      </c>
      <c r="E26" s="868">
        <v>0</v>
      </c>
      <c r="F26" s="869" t="s">
        <v>729</v>
      </c>
      <c r="G26" s="338" t="s">
        <v>2317</v>
      </c>
      <c r="H26" s="870" t="s">
        <v>730</v>
      </c>
      <c r="I26" s="338" t="s">
        <v>1039</v>
      </c>
      <c r="J26" s="338" t="s">
        <v>1042</v>
      </c>
      <c r="K26" s="338" t="s">
        <v>732</v>
      </c>
      <c r="L26" s="871" t="s">
        <v>2244</v>
      </c>
      <c r="M26" s="871"/>
      <c r="N26" s="871" t="s">
        <v>2220</v>
      </c>
      <c r="O26" s="872">
        <v>44348</v>
      </c>
      <c r="P26" s="871" t="s">
        <v>2218</v>
      </c>
      <c r="Q26" s="712">
        <v>44317</v>
      </c>
      <c r="R26" s="304" t="s">
        <v>2267</v>
      </c>
      <c r="U26" s="304" t="s">
        <v>2316</v>
      </c>
      <c r="V26" s="304" t="s">
        <v>2315</v>
      </c>
      <c r="W26" s="304" t="s">
        <v>1287</v>
      </c>
      <c r="X26" s="329">
        <v>44356</v>
      </c>
      <c r="Y26" s="329">
        <v>44356</v>
      </c>
      <c r="Z26" s="304">
        <v>27688.400000000001</v>
      </c>
      <c r="AA26" s="329">
        <v>44358</v>
      </c>
      <c r="AB26" s="304" t="s">
        <v>733</v>
      </c>
      <c r="AC26" s="304">
        <v>0</v>
      </c>
      <c r="AD26" s="304">
        <v>0</v>
      </c>
      <c r="AE26" s="304">
        <v>0</v>
      </c>
      <c r="AF26" s="304">
        <v>0</v>
      </c>
      <c r="AG26" s="304">
        <v>0</v>
      </c>
      <c r="AH26" s="304">
        <v>1</v>
      </c>
      <c r="AI26" s="304">
        <v>41201</v>
      </c>
      <c r="AJ26" s="304">
        <v>2195</v>
      </c>
      <c r="AK26" s="304">
        <v>0</v>
      </c>
      <c r="AL26" s="304">
        <v>0</v>
      </c>
      <c r="AO26" s="332"/>
      <c r="AP26" s="332"/>
      <c r="AQ26" s="304" t="str">
        <f t="shared" si="0"/>
        <v>VO05811879</v>
      </c>
      <c r="AS26" s="304" t="str">
        <f t="shared" si="1"/>
        <v>wci_corp</v>
      </c>
    </row>
    <row r="27" spans="2:45">
      <c r="B27" s="338" t="s">
        <v>2224</v>
      </c>
      <c r="C27" s="867">
        <v>44377</v>
      </c>
      <c r="D27" s="868">
        <v>-27688.400000000001</v>
      </c>
      <c r="E27" s="868">
        <v>0</v>
      </c>
      <c r="F27" s="869" t="s">
        <v>729</v>
      </c>
      <c r="G27" s="338" t="s">
        <v>2314</v>
      </c>
      <c r="H27" s="870" t="s">
        <v>730</v>
      </c>
      <c r="I27" s="338" t="s">
        <v>2222</v>
      </c>
      <c r="J27" s="338" t="s">
        <v>731</v>
      </c>
      <c r="K27" s="338" t="s">
        <v>732</v>
      </c>
      <c r="L27" s="871"/>
      <c r="M27" s="871"/>
      <c r="N27" s="871" t="s">
        <v>2219</v>
      </c>
      <c r="O27" s="872"/>
      <c r="P27" s="871"/>
      <c r="Q27" s="306"/>
      <c r="U27" s="304" t="s">
        <v>2313</v>
      </c>
      <c r="V27" s="304" t="s">
        <v>2312</v>
      </c>
      <c r="X27" s="329">
        <v>44352</v>
      </c>
      <c r="Y27" s="329">
        <v>44354</v>
      </c>
      <c r="AA27" s="329"/>
      <c r="AB27" s="304" t="s">
        <v>733</v>
      </c>
      <c r="AC27" s="304">
        <v>0</v>
      </c>
      <c r="AD27" s="304">
        <v>0</v>
      </c>
      <c r="AE27" s="304">
        <v>0</v>
      </c>
      <c r="AF27" s="304">
        <v>0</v>
      </c>
      <c r="AG27" s="304">
        <v>5</v>
      </c>
      <c r="AH27" s="304">
        <v>1</v>
      </c>
      <c r="AI27" s="304">
        <v>41201</v>
      </c>
      <c r="AJ27" s="304">
        <v>2195</v>
      </c>
      <c r="AK27" s="304">
        <v>0</v>
      </c>
      <c r="AL27" s="304">
        <v>0</v>
      </c>
      <c r="AO27" s="332"/>
      <c r="AP27" s="332"/>
      <c r="AQ27" s="304" t="str">
        <f t="shared" si="0"/>
        <v/>
      </c>
      <c r="AS27" s="304" t="str">
        <f t="shared" si="1"/>
        <v>wci_corp</v>
      </c>
    </row>
    <row r="28" spans="2:45">
      <c r="B28" s="338" t="s">
        <v>2224</v>
      </c>
      <c r="C28" s="867">
        <v>44377</v>
      </c>
      <c r="D28" s="868">
        <v>29799.759999999998</v>
      </c>
      <c r="E28" s="868">
        <v>0</v>
      </c>
      <c r="F28" s="869" t="s">
        <v>729</v>
      </c>
      <c r="G28" s="338" t="s">
        <v>2311</v>
      </c>
      <c r="H28" s="870" t="s">
        <v>730</v>
      </c>
      <c r="I28" s="338" t="s">
        <v>2222</v>
      </c>
      <c r="J28" s="338" t="s">
        <v>736</v>
      </c>
      <c r="K28" s="338" t="s">
        <v>732</v>
      </c>
      <c r="L28" s="871"/>
      <c r="M28" s="871"/>
      <c r="N28" s="871" t="s">
        <v>2219</v>
      </c>
      <c r="O28" s="872"/>
      <c r="P28" s="871"/>
      <c r="Q28" s="306"/>
      <c r="U28" s="304" t="s">
        <v>2306</v>
      </c>
      <c r="V28" s="304" t="s">
        <v>2306</v>
      </c>
      <c r="X28" s="329">
        <v>44385</v>
      </c>
      <c r="Y28" s="329">
        <v>44385</v>
      </c>
      <c r="AA28" s="329"/>
      <c r="AB28" s="304" t="s">
        <v>733</v>
      </c>
      <c r="AC28" s="304">
        <v>0</v>
      </c>
      <c r="AD28" s="304">
        <v>0</v>
      </c>
      <c r="AE28" s="304">
        <v>0</v>
      </c>
      <c r="AF28" s="304">
        <v>0</v>
      </c>
      <c r="AG28" s="304">
        <v>0</v>
      </c>
      <c r="AH28" s="304">
        <v>1</v>
      </c>
      <c r="AI28" s="304">
        <v>41201</v>
      </c>
      <c r="AJ28" s="304">
        <v>2195</v>
      </c>
      <c r="AK28" s="304">
        <v>0</v>
      </c>
      <c r="AL28" s="304">
        <v>0</v>
      </c>
      <c r="AO28" s="332"/>
      <c r="AP28" s="332"/>
      <c r="AQ28" s="304" t="str">
        <f t="shared" si="0"/>
        <v/>
      </c>
      <c r="AS28" s="304" t="str">
        <f t="shared" si="1"/>
        <v>wci_corp</v>
      </c>
    </row>
    <row r="29" spans="2:45">
      <c r="B29" s="338" t="s">
        <v>2224</v>
      </c>
      <c r="C29" s="867">
        <v>44405</v>
      </c>
      <c r="D29" s="868">
        <v>29799.759999999998</v>
      </c>
      <c r="E29" s="868">
        <v>0</v>
      </c>
      <c r="F29" s="869" t="s">
        <v>729</v>
      </c>
      <c r="G29" s="338" t="s">
        <v>2310</v>
      </c>
      <c r="H29" s="870" t="s">
        <v>730</v>
      </c>
      <c r="I29" s="338" t="s">
        <v>1039</v>
      </c>
      <c r="J29" s="338" t="s">
        <v>1042</v>
      </c>
      <c r="K29" s="338" t="s">
        <v>732</v>
      </c>
      <c r="L29" s="871" t="s">
        <v>2244</v>
      </c>
      <c r="M29" s="871"/>
      <c r="N29" s="871" t="s">
        <v>2220</v>
      </c>
      <c r="O29" s="872">
        <v>44378</v>
      </c>
      <c r="P29" s="871" t="s">
        <v>2218</v>
      </c>
      <c r="Q29" s="712">
        <v>44348</v>
      </c>
      <c r="R29" s="304" t="s">
        <v>2267</v>
      </c>
      <c r="U29" s="304" t="s">
        <v>2309</v>
      </c>
      <c r="V29" s="304" t="s">
        <v>2308</v>
      </c>
      <c r="W29" s="304" t="s">
        <v>1287</v>
      </c>
      <c r="X29" s="329">
        <v>44405</v>
      </c>
      <c r="Y29" s="329">
        <v>44405</v>
      </c>
      <c r="Z29" s="304">
        <v>29799.8</v>
      </c>
      <c r="AA29" s="329">
        <v>44388</v>
      </c>
      <c r="AB29" s="304" t="s">
        <v>733</v>
      </c>
      <c r="AC29" s="304">
        <v>0</v>
      </c>
      <c r="AD29" s="304">
        <v>0</v>
      </c>
      <c r="AE29" s="304">
        <v>0</v>
      </c>
      <c r="AF29" s="304">
        <v>0</v>
      </c>
      <c r="AG29" s="304">
        <v>0</v>
      </c>
      <c r="AH29" s="304">
        <v>1</v>
      </c>
      <c r="AI29" s="304">
        <v>41201</v>
      </c>
      <c r="AJ29" s="304">
        <v>2195</v>
      </c>
      <c r="AK29" s="304">
        <v>0</v>
      </c>
      <c r="AL29" s="304">
        <v>0</v>
      </c>
      <c r="AO29" s="332"/>
      <c r="AP29" s="332"/>
      <c r="AQ29" s="304" t="str">
        <f t="shared" si="0"/>
        <v>VO05867504</v>
      </c>
      <c r="AS29" s="304" t="str">
        <f t="shared" si="1"/>
        <v>wci_corp</v>
      </c>
    </row>
    <row r="30" spans="2:45">
      <c r="B30" s="338" t="s">
        <v>2224</v>
      </c>
      <c r="C30" s="867">
        <v>44408</v>
      </c>
      <c r="D30" s="868">
        <v>-29799.759999999998</v>
      </c>
      <c r="E30" s="868">
        <v>0</v>
      </c>
      <c r="F30" s="869" t="s">
        <v>729</v>
      </c>
      <c r="G30" s="338" t="s">
        <v>2307</v>
      </c>
      <c r="H30" s="870" t="s">
        <v>730</v>
      </c>
      <c r="I30" s="338" t="s">
        <v>2222</v>
      </c>
      <c r="J30" s="338" t="s">
        <v>736</v>
      </c>
      <c r="K30" s="338" t="s">
        <v>732</v>
      </c>
      <c r="L30" s="871"/>
      <c r="M30" s="871"/>
      <c r="N30" s="871" t="s">
        <v>2219</v>
      </c>
      <c r="O30" s="872"/>
      <c r="P30" s="871"/>
      <c r="Q30" s="306"/>
      <c r="U30" s="304" t="s">
        <v>2306</v>
      </c>
      <c r="V30" s="304" t="s">
        <v>2305</v>
      </c>
      <c r="X30" s="329">
        <v>44385</v>
      </c>
      <c r="Y30" s="329">
        <v>44385</v>
      </c>
      <c r="AA30" s="329"/>
      <c r="AB30" s="304" t="s">
        <v>733</v>
      </c>
      <c r="AC30" s="304">
        <v>0</v>
      </c>
      <c r="AD30" s="304">
        <v>0</v>
      </c>
      <c r="AE30" s="304">
        <v>0</v>
      </c>
      <c r="AF30" s="304">
        <v>0</v>
      </c>
      <c r="AG30" s="304">
        <v>5</v>
      </c>
      <c r="AH30" s="304">
        <v>1</v>
      </c>
      <c r="AI30" s="304">
        <v>41201</v>
      </c>
      <c r="AJ30" s="304">
        <v>2195</v>
      </c>
      <c r="AK30" s="304">
        <v>0</v>
      </c>
      <c r="AL30" s="304">
        <v>0</v>
      </c>
      <c r="AO30" s="332"/>
      <c r="AP30" s="332"/>
      <c r="AQ30" s="304" t="str">
        <f t="shared" si="0"/>
        <v/>
      </c>
      <c r="AS30" s="304" t="str">
        <f t="shared" si="1"/>
        <v>wci_corp</v>
      </c>
    </row>
    <row r="31" spans="2:45">
      <c r="B31" s="338" t="s">
        <v>2224</v>
      </c>
      <c r="C31" s="867">
        <v>44408</v>
      </c>
      <c r="D31" s="868">
        <v>28733.49</v>
      </c>
      <c r="E31" s="868">
        <v>0</v>
      </c>
      <c r="F31" s="869" t="s">
        <v>729</v>
      </c>
      <c r="G31" s="338" t="s">
        <v>2304</v>
      </c>
      <c r="H31" s="870" t="s">
        <v>730</v>
      </c>
      <c r="I31" s="338" t="s">
        <v>2222</v>
      </c>
      <c r="J31" s="338" t="s">
        <v>735</v>
      </c>
      <c r="K31" s="338" t="s">
        <v>732</v>
      </c>
      <c r="L31" s="871"/>
      <c r="M31" s="871"/>
      <c r="N31" s="871" t="s">
        <v>2219</v>
      </c>
      <c r="O31" s="872"/>
      <c r="P31" s="871"/>
      <c r="Q31" s="306"/>
      <c r="U31" s="304" t="s">
        <v>2299</v>
      </c>
      <c r="V31" s="304" t="s">
        <v>2299</v>
      </c>
      <c r="X31" s="329">
        <v>44413</v>
      </c>
      <c r="Y31" s="329">
        <v>44414</v>
      </c>
      <c r="AA31" s="329"/>
      <c r="AB31" s="304" t="s">
        <v>733</v>
      </c>
      <c r="AC31" s="304">
        <v>0</v>
      </c>
      <c r="AD31" s="304">
        <v>0</v>
      </c>
      <c r="AE31" s="304">
        <v>0</v>
      </c>
      <c r="AF31" s="304">
        <v>0</v>
      </c>
      <c r="AG31" s="304">
        <v>0</v>
      </c>
      <c r="AH31" s="304">
        <v>1</v>
      </c>
      <c r="AI31" s="304">
        <v>41201</v>
      </c>
      <c r="AJ31" s="304">
        <v>2195</v>
      </c>
      <c r="AK31" s="304">
        <v>0</v>
      </c>
      <c r="AL31" s="304">
        <v>0</v>
      </c>
      <c r="AO31" s="332"/>
      <c r="AP31" s="332"/>
      <c r="AQ31" s="304" t="str">
        <f t="shared" si="0"/>
        <v/>
      </c>
      <c r="AS31" s="304" t="str">
        <f t="shared" si="1"/>
        <v>wci_corp</v>
      </c>
    </row>
    <row r="32" spans="2:45">
      <c r="B32" s="338" t="s">
        <v>2224</v>
      </c>
      <c r="C32" s="867">
        <v>44420</v>
      </c>
      <c r="D32" s="868">
        <v>28733.49</v>
      </c>
      <c r="E32" s="868">
        <v>0</v>
      </c>
      <c r="F32" s="869" t="s">
        <v>729</v>
      </c>
      <c r="G32" s="338" t="s">
        <v>2303</v>
      </c>
      <c r="H32" s="870" t="s">
        <v>730</v>
      </c>
      <c r="I32" s="338" t="s">
        <v>1039</v>
      </c>
      <c r="J32" s="338" t="s">
        <v>1038</v>
      </c>
      <c r="K32" s="338" t="s">
        <v>732</v>
      </c>
      <c r="L32" s="871" t="s">
        <v>2244</v>
      </c>
      <c r="M32" s="871"/>
      <c r="N32" s="871" t="s">
        <v>2220</v>
      </c>
      <c r="O32" s="872">
        <v>44409</v>
      </c>
      <c r="P32" s="871" t="s">
        <v>2218</v>
      </c>
      <c r="Q32" s="712">
        <v>44378</v>
      </c>
      <c r="R32" s="304" t="s">
        <v>2267</v>
      </c>
      <c r="U32" s="304" t="s">
        <v>2302</v>
      </c>
      <c r="V32" s="304" t="s">
        <v>2301</v>
      </c>
      <c r="W32" s="304" t="s">
        <v>1287</v>
      </c>
      <c r="X32" s="329">
        <v>44420</v>
      </c>
      <c r="Y32" s="329">
        <v>44421</v>
      </c>
      <c r="Z32" s="304">
        <v>28733.5</v>
      </c>
      <c r="AA32" s="329">
        <v>44419</v>
      </c>
      <c r="AB32" s="304" t="s">
        <v>733</v>
      </c>
      <c r="AC32" s="304">
        <v>0</v>
      </c>
      <c r="AD32" s="304">
        <v>0</v>
      </c>
      <c r="AE32" s="304">
        <v>0</v>
      </c>
      <c r="AF32" s="304">
        <v>0</v>
      </c>
      <c r="AG32" s="304">
        <v>0</v>
      </c>
      <c r="AH32" s="304">
        <v>1</v>
      </c>
      <c r="AI32" s="304">
        <v>41201</v>
      </c>
      <c r="AJ32" s="304">
        <v>2195</v>
      </c>
      <c r="AK32" s="304">
        <v>0</v>
      </c>
      <c r="AL32" s="304">
        <v>0</v>
      </c>
      <c r="AO32" s="332"/>
      <c r="AP32" s="332"/>
      <c r="AQ32" s="304" t="str">
        <f t="shared" si="0"/>
        <v>VO05885418</v>
      </c>
      <c r="AS32" s="304" t="str">
        <f t="shared" si="1"/>
        <v>wci_corp</v>
      </c>
    </row>
    <row r="33" spans="2:45">
      <c r="B33" s="338" t="s">
        <v>2224</v>
      </c>
      <c r="C33" s="867">
        <v>44439</v>
      </c>
      <c r="D33" s="868">
        <v>-28733.49</v>
      </c>
      <c r="E33" s="868">
        <v>0</v>
      </c>
      <c r="F33" s="869" t="s">
        <v>729</v>
      </c>
      <c r="G33" s="338" t="s">
        <v>2300</v>
      </c>
      <c r="H33" s="870" t="s">
        <v>730</v>
      </c>
      <c r="I33" s="338" t="s">
        <v>2222</v>
      </c>
      <c r="J33" s="338" t="s">
        <v>735</v>
      </c>
      <c r="K33" s="338" t="s">
        <v>732</v>
      </c>
      <c r="L33" s="871"/>
      <c r="M33" s="871"/>
      <c r="N33" s="871" t="s">
        <v>2219</v>
      </c>
      <c r="O33" s="872"/>
      <c r="P33" s="871"/>
      <c r="Q33" s="306"/>
      <c r="U33" s="304" t="s">
        <v>2299</v>
      </c>
      <c r="V33" s="304" t="s">
        <v>2298</v>
      </c>
      <c r="X33" s="329">
        <v>44413</v>
      </c>
      <c r="Y33" s="329">
        <v>44414</v>
      </c>
      <c r="AA33" s="329"/>
      <c r="AB33" s="304" t="s">
        <v>733</v>
      </c>
      <c r="AC33" s="304">
        <v>0</v>
      </c>
      <c r="AD33" s="304">
        <v>0</v>
      </c>
      <c r="AE33" s="304">
        <v>0</v>
      </c>
      <c r="AF33" s="304">
        <v>0</v>
      </c>
      <c r="AG33" s="304">
        <v>5</v>
      </c>
      <c r="AH33" s="304">
        <v>1</v>
      </c>
      <c r="AI33" s="304">
        <v>41201</v>
      </c>
      <c r="AJ33" s="304">
        <v>2195</v>
      </c>
      <c r="AK33" s="304">
        <v>0</v>
      </c>
      <c r="AL33" s="304">
        <v>0</v>
      </c>
      <c r="AO33" s="332"/>
      <c r="AP33" s="332"/>
      <c r="AQ33" s="304" t="str">
        <f t="shared" si="0"/>
        <v/>
      </c>
      <c r="AS33" s="304" t="str">
        <f t="shared" si="1"/>
        <v>wci_corp</v>
      </c>
    </row>
    <row r="34" spans="2:45">
      <c r="B34" s="338" t="s">
        <v>2224</v>
      </c>
      <c r="C34" s="867">
        <v>44439</v>
      </c>
      <c r="D34" s="868">
        <v>28412</v>
      </c>
      <c r="E34" s="868">
        <v>0</v>
      </c>
      <c r="F34" s="869" t="s">
        <v>729</v>
      </c>
      <c r="G34" s="338" t="s">
        <v>2297</v>
      </c>
      <c r="H34" s="870" t="s">
        <v>730</v>
      </c>
      <c r="I34" s="338" t="s">
        <v>2222</v>
      </c>
      <c r="J34" s="338" t="s">
        <v>736</v>
      </c>
      <c r="K34" s="338" t="s">
        <v>732</v>
      </c>
      <c r="L34" s="871"/>
      <c r="M34" s="871"/>
      <c r="N34" s="871" t="s">
        <v>2219</v>
      </c>
      <c r="O34" s="872"/>
      <c r="P34" s="871"/>
      <c r="Q34" s="306"/>
      <c r="U34" s="304" t="s">
        <v>2292</v>
      </c>
      <c r="V34" s="304" t="s">
        <v>2292</v>
      </c>
      <c r="X34" s="329">
        <v>44446</v>
      </c>
      <c r="Y34" s="329">
        <v>44447</v>
      </c>
      <c r="AA34" s="329"/>
      <c r="AB34" s="304" t="s">
        <v>733</v>
      </c>
      <c r="AC34" s="304">
        <v>0</v>
      </c>
      <c r="AD34" s="304">
        <v>0</v>
      </c>
      <c r="AE34" s="304">
        <v>0</v>
      </c>
      <c r="AF34" s="304">
        <v>0</v>
      </c>
      <c r="AG34" s="304">
        <v>0</v>
      </c>
      <c r="AH34" s="304">
        <v>1</v>
      </c>
      <c r="AI34" s="304">
        <v>41201</v>
      </c>
      <c r="AJ34" s="304">
        <v>2195</v>
      </c>
      <c r="AK34" s="304">
        <v>0</v>
      </c>
      <c r="AL34" s="304">
        <v>0</v>
      </c>
      <c r="AO34" s="332"/>
      <c r="AP34" s="332"/>
      <c r="AQ34" s="304" t="str">
        <f t="shared" si="0"/>
        <v/>
      </c>
      <c r="AS34" s="304" t="str">
        <f t="shared" si="1"/>
        <v>wci_corp</v>
      </c>
    </row>
    <row r="35" spans="2:45">
      <c r="B35" s="338" t="s">
        <v>2224</v>
      </c>
      <c r="C35" s="867">
        <v>44454</v>
      </c>
      <c r="D35" s="868">
        <v>28412</v>
      </c>
      <c r="E35" s="868">
        <v>0</v>
      </c>
      <c r="F35" s="869" t="s">
        <v>729</v>
      </c>
      <c r="G35" s="338" t="s">
        <v>2296</v>
      </c>
      <c r="H35" s="870" t="s">
        <v>730</v>
      </c>
      <c r="I35" s="338" t="s">
        <v>1039</v>
      </c>
      <c r="J35" s="338" t="s">
        <v>1042</v>
      </c>
      <c r="K35" s="338" t="s">
        <v>732</v>
      </c>
      <c r="L35" s="871" t="s">
        <v>2244</v>
      </c>
      <c r="M35" s="871"/>
      <c r="N35" s="871" t="s">
        <v>2220</v>
      </c>
      <c r="O35" s="872">
        <v>44446</v>
      </c>
      <c r="P35" s="871" t="s">
        <v>2218</v>
      </c>
      <c r="Q35" s="306">
        <v>82021</v>
      </c>
      <c r="R35" s="304" t="s">
        <v>2267</v>
      </c>
      <c r="U35" s="304" t="s">
        <v>2295</v>
      </c>
      <c r="V35" s="304" t="s">
        <v>2294</v>
      </c>
      <c r="W35" s="304">
        <v>2195</v>
      </c>
      <c r="X35" s="329">
        <v>44454</v>
      </c>
      <c r="Y35" s="329">
        <v>44454</v>
      </c>
      <c r="Z35" s="304">
        <v>28412</v>
      </c>
      <c r="AA35" s="329">
        <v>44456</v>
      </c>
      <c r="AB35" s="304" t="s">
        <v>733</v>
      </c>
      <c r="AC35" s="304">
        <v>0</v>
      </c>
      <c r="AD35" s="304">
        <v>0</v>
      </c>
      <c r="AE35" s="304">
        <v>0</v>
      </c>
      <c r="AF35" s="304">
        <v>0</v>
      </c>
      <c r="AG35" s="304">
        <v>0</v>
      </c>
      <c r="AH35" s="304">
        <v>1</v>
      </c>
      <c r="AI35" s="304">
        <v>41201</v>
      </c>
      <c r="AJ35" s="304">
        <v>2195</v>
      </c>
      <c r="AK35" s="304">
        <v>0</v>
      </c>
      <c r="AL35" s="304">
        <v>0</v>
      </c>
      <c r="AO35" s="332"/>
      <c r="AP35" s="332"/>
      <c r="AQ35" s="304" t="str">
        <f t="shared" si="0"/>
        <v>VO05923348</v>
      </c>
      <c r="AS35" s="304" t="str">
        <f t="shared" si="1"/>
        <v>wci_corp</v>
      </c>
    </row>
    <row r="36" spans="2:45">
      <c r="B36" s="338" t="s">
        <v>2224</v>
      </c>
      <c r="C36" s="867">
        <v>44469</v>
      </c>
      <c r="D36" s="868">
        <v>-28412</v>
      </c>
      <c r="E36" s="868">
        <v>0</v>
      </c>
      <c r="F36" s="869" t="s">
        <v>729</v>
      </c>
      <c r="G36" s="338" t="s">
        <v>2293</v>
      </c>
      <c r="H36" s="870" t="s">
        <v>730</v>
      </c>
      <c r="I36" s="338" t="s">
        <v>2222</v>
      </c>
      <c r="J36" s="338" t="s">
        <v>736</v>
      </c>
      <c r="K36" s="338" t="s">
        <v>732</v>
      </c>
      <c r="L36" s="871"/>
      <c r="M36" s="871"/>
      <c r="N36" s="871" t="s">
        <v>2219</v>
      </c>
      <c r="O36" s="872"/>
      <c r="P36" s="871"/>
      <c r="Q36" s="306"/>
      <c r="U36" s="304" t="s">
        <v>2292</v>
      </c>
      <c r="V36" s="304" t="s">
        <v>2291</v>
      </c>
      <c r="X36" s="329">
        <v>44447</v>
      </c>
      <c r="Y36" s="329">
        <v>44447</v>
      </c>
      <c r="AA36" s="329"/>
      <c r="AB36" s="304" t="s">
        <v>733</v>
      </c>
      <c r="AC36" s="304">
        <v>0</v>
      </c>
      <c r="AD36" s="304">
        <v>0</v>
      </c>
      <c r="AE36" s="304">
        <v>0</v>
      </c>
      <c r="AF36" s="304">
        <v>0</v>
      </c>
      <c r="AG36" s="304">
        <v>5</v>
      </c>
      <c r="AH36" s="304">
        <v>1</v>
      </c>
      <c r="AI36" s="304">
        <v>41201</v>
      </c>
      <c r="AJ36" s="304">
        <v>2195</v>
      </c>
      <c r="AK36" s="304">
        <v>0</v>
      </c>
      <c r="AL36" s="304">
        <v>0</v>
      </c>
      <c r="AO36" s="332"/>
      <c r="AP36" s="332"/>
      <c r="AQ36" s="304" t="str">
        <f t="shared" si="0"/>
        <v/>
      </c>
      <c r="AS36" s="304" t="str">
        <f t="shared" si="1"/>
        <v>wci_corp</v>
      </c>
    </row>
    <row r="37" spans="2:45">
      <c r="B37" s="338" t="s">
        <v>2224</v>
      </c>
      <c r="C37" s="867">
        <v>44469</v>
      </c>
      <c r="D37" s="868">
        <v>25465.22</v>
      </c>
      <c r="E37" s="868">
        <v>0</v>
      </c>
      <c r="F37" s="869" t="s">
        <v>729</v>
      </c>
      <c r="G37" s="338" t="s">
        <v>2290</v>
      </c>
      <c r="H37" s="870" t="s">
        <v>730</v>
      </c>
      <c r="I37" s="338" t="s">
        <v>2222</v>
      </c>
      <c r="J37" s="338" t="s">
        <v>2135</v>
      </c>
      <c r="K37" s="338" t="s">
        <v>732</v>
      </c>
      <c r="L37" s="871"/>
      <c r="M37" s="871"/>
      <c r="N37" s="871" t="s">
        <v>2219</v>
      </c>
      <c r="O37" s="872"/>
      <c r="P37" s="871"/>
      <c r="Q37" s="306"/>
      <c r="U37" s="304" t="s">
        <v>2285</v>
      </c>
      <c r="V37" s="304" t="s">
        <v>2285</v>
      </c>
      <c r="X37" s="329">
        <v>44476</v>
      </c>
      <c r="Y37" s="329">
        <v>44476</v>
      </c>
      <c r="AA37" s="329"/>
      <c r="AB37" s="304" t="s">
        <v>733</v>
      </c>
      <c r="AC37" s="304">
        <v>0</v>
      </c>
      <c r="AD37" s="304">
        <v>0</v>
      </c>
      <c r="AE37" s="304">
        <v>0</v>
      </c>
      <c r="AF37" s="304">
        <v>0</v>
      </c>
      <c r="AG37" s="304">
        <v>0</v>
      </c>
      <c r="AH37" s="304">
        <v>1</v>
      </c>
      <c r="AI37" s="304">
        <v>41201</v>
      </c>
      <c r="AJ37" s="304">
        <v>2195</v>
      </c>
      <c r="AK37" s="304">
        <v>0</v>
      </c>
      <c r="AL37" s="304">
        <v>0</v>
      </c>
      <c r="AO37" s="332"/>
      <c r="AP37" s="332"/>
      <c r="AQ37" s="304" t="str">
        <f t="shared" si="0"/>
        <v/>
      </c>
      <c r="AS37" s="304" t="str">
        <f t="shared" si="1"/>
        <v>wci_corp</v>
      </c>
    </row>
    <row r="38" spans="2:45">
      <c r="B38" s="338" t="s">
        <v>2224</v>
      </c>
      <c r="C38" s="867">
        <v>44489</v>
      </c>
      <c r="D38" s="868">
        <v>25465.22</v>
      </c>
      <c r="E38" s="868">
        <v>0</v>
      </c>
      <c r="F38" s="869" t="s">
        <v>729</v>
      </c>
      <c r="G38" s="338" t="s">
        <v>2289</v>
      </c>
      <c r="H38" s="870" t="s">
        <v>730</v>
      </c>
      <c r="I38" s="338" t="s">
        <v>1039</v>
      </c>
      <c r="J38" s="338" t="s">
        <v>1038</v>
      </c>
      <c r="K38" s="338" t="s">
        <v>732</v>
      </c>
      <c r="L38" s="871" t="s">
        <v>2244</v>
      </c>
      <c r="M38" s="871"/>
      <c r="N38" s="871" t="s">
        <v>2220</v>
      </c>
      <c r="O38" s="872">
        <v>44475</v>
      </c>
      <c r="P38" s="871" t="s">
        <v>2218</v>
      </c>
      <c r="Q38" s="712">
        <v>44440</v>
      </c>
      <c r="R38" s="304" t="s">
        <v>2267</v>
      </c>
      <c r="U38" s="304" t="s">
        <v>2288</v>
      </c>
      <c r="V38" s="304" t="s">
        <v>2287</v>
      </c>
      <c r="W38" s="304" t="s">
        <v>1287</v>
      </c>
      <c r="X38" s="329">
        <v>44489</v>
      </c>
      <c r="Y38" s="329">
        <v>44489</v>
      </c>
      <c r="Z38" s="304">
        <v>25465.200000000001</v>
      </c>
      <c r="AA38" s="329">
        <v>44485</v>
      </c>
      <c r="AB38" s="304" t="s">
        <v>733</v>
      </c>
      <c r="AC38" s="304">
        <v>0</v>
      </c>
      <c r="AD38" s="304">
        <v>0</v>
      </c>
      <c r="AE38" s="304">
        <v>0</v>
      </c>
      <c r="AF38" s="304">
        <v>0</v>
      </c>
      <c r="AG38" s="304">
        <v>0</v>
      </c>
      <c r="AH38" s="304">
        <v>1</v>
      </c>
      <c r="AI38" s="304">
        <v>41201</v>
      </c>
      <c r="AJ38" s="304">
        <v>2195</v>
      </c>
      <c r="AK38" s="304">
        <v>0</v>
      </c>
      <c r="AL38" s="304">
        <v>0</v>
      </c>
      <c r="AO38" s="332"/>
      <c r="AP38" s="332"/>
      <c r="AQ38" s="304" t="str">
        <f t="shared" si="0"/>
        <v>VO05965552</v>
      </c>
      <c r="AS38" s="304" t="str">
        <f t="shared" si="1"/>
        <v>wci_corp</v>
      </c>
    </row>
    <row r="39" spans="2:45">
      <c r="B39" s="338" t="s">
        <v>2224</v>
      </c>
      <c r="C39" s="867">
        <v>44500</v>
      </c>
      <c r="D39" s="868">
        <v>-25465.22</v>
      </c>
      <c r="E39" s="868">
        <v>0</v>
      </c>
      <c r="F39" s="869" t="s">
        <v>729</v>
      </c>
      <c r="G39" s="338" t="s">
        <v>2286</v>
      </c>
      <c r="H39" s="870" t="s">
        <v>730</v>
      </c>
      <c r="I39" s="338" t="s">
        <v>2222</v>
      </c>
      <c r="J39" s="338" t="s">
        <v>2135</v>
      </c>
      <c r="K39" s="338" t="s">
        <v>732</v>
      </c>
      <c r="L39" s="871"/>
      <c r="M39" s="871"/>
      <c r="N39" s="871" t="s">
        <v>2219</v>
      </c>
      <c r="O39" s="872"/>
      <c r="P39" s="871"/>
      <c r="Q39" s="306"/>
      <c r="U39" s="304" t="s">
        <v>2285</v>
      </c>
      <c r="V39" s="304" t="s">
        <v>2284</v>
      </c>
      <c r="X39" s="329">
        <v>44476</v>
      </c>
      <c r="Y39" s="329">
        <v>44476</v>
      </c>
      <c r="AA39" s="329"/>
      <c r="AB39" s="304" t="s">
        <v>733</v>
      </c>
      <c r="AC39" s="304">
        <v>0</v>
      </c>
      <c r="AD39" s="304">
        <v>0</v>
      </c>
      <c r="AE39" s="304">
        <v>0</v>
      </c>
      <c r="AF39" s="304">
        <v>0</v>
      </c>
      <c r="AG39" s="304">
        <v>5</v>
      </c>
      <c r="AH39" s="304">
        <v>1</v>
      </c>
      <c r="AI39" s="304">
        <v>41201</v>
      </c>
      <c r="AJ39" s="304">
        <v>2195</v>
      </c>
      <c r="AK39" s="304">
        <v>0</v>
      </c>
      <c r="AL39" s="304">
        <v>0</v>
      </c>
      <c r="AO39" s="332"/>
      <c r="AP39" s="332"/>
      <c r="AQ39" s="304" t="str">
        <f t="shared" si="0"/>
        <v/>
      </c>
      <c r="AS39" s="304" t="str">
        <f t="shared" si="1"/>
        <v>wci_corp</v>
      </c>
    </row>
    <row r="40" spans="2:45">
      <c r="B40" s="338" t="s">
        <v>2224</v>
      </c>
      <c r="C40" s="867">
        <v>44500</v>
      </c>
      <c r="D40" s="868">
        <v>30697.13</v>
      </c>
      <c r="E40" s="868">
        <v>0</v>
      </c>
      <c r="F40" s="869" t="s">
        <v>729</v>
      </c>
      <c r="G40" s="338" t="s">
        <v>2283</v>
      </c>
      <c r="H40" s="870" t="s">
        <v>730</v>
      </c>
      <c r="I40" s="338" t="s">
        <v>2222</v>
      </c>
      <c r="J40" s="338" t="s">
        <v>736</v>
      </c>
      <c r="K40" s="338" t="s">
        <v>732</v>
      </c>
      <c r="L40" s="871"/>
      <c r="M40" s="871"/>
      <c r="N40" s="871" t="s">
        <v>2219</v>
      </c>
      <c r="O40" s="872"/>
      <c r="P40" s="871"/>
      <c r="Q40" s="306"/>
      <c r="U40" s="304" t="s">
        <v>2278</v>
      </c>
      <c r="V40" s="304" t="s">
        <v>2278</v>
      </c>
      <c r="X40" s="329">
        <v>44504</v>
      </c>
      <c r="Y40" s="329">
        <v>44505</v>
      </c>
      <c r="AA40" s="329"/>
      <c r="AB40" s="304" t="s">
        <v>733</v>
      </c>
      <c r="AC40" s="304">
        <v>0</v>
      </c>
      <c r="AD40" s="304">
        <v>0</v>
      </c>
      <c r="AE40" s="304">
        <v>0</v>
      </c>
      <c r="AF40" s="304">
        <v>0</v>
      </c>
      <c r="AG40" s="304">
        <v>0</v>
      </c>
      <c r="AH40" s="304">
        <v>1</v>
      </c>
      <c r="AI40" s="304">
        <v>41201</v>
      </c>
      <c r="AJ40" s="304">
        <v>2195</v>
      </c>
      <c r="AK40" s="304">
        <v>0</v>
      </c>
      <c r="AL40" s="304">
        <v>0</v>
      </c>
      <c r="AO40" s="332"/>
      <c r="AP40" s="332"/>
      <c r="AQ40" s="304" t="str">
        <f t="shared" si="0"/>
        <v/>
      </c>
      <c r="AS40" s="304" t="str">
        <f t="shared" si="1"/>
        <v>wci_corp</v>
      </c>
    </row>
    <row r="41" spans="2:45">
      <c r="B41" s="338" t="s">
        <v>2224</v>
      </c>
      <c r="C41" s="867">
        <v>44510</v>
      </c>
      <c r="D41" s="868">
        <v>30697.13</v>
      </c>
      <c r="E41" s="868">
        <v>0</v>
      </c>
      <c r="F41" s="869" t="s">
        <v>729</v>
      </c>
      <c r="G41" s="338" t="s">
        <v>2282</v>
      </c>
      <c r="H41" s="870" t="s">
        <v>730</v>
      </c>
      <c r="I41" s="338" t="s">
        <v>1039</v>
      </c>
      <c r="J41" s="338" t="s">
        <v>1041</v>
      </c>
      <c r="K41" s="338" t="s">
        <v>732</v>
      </c>
      <c r="L41" s="871" t="s">
        <v>2244</v>
      </c>
      <c r="M41" s="871"/>
      <c r="N41" s="871" t="s">
        <v>2220</v>
      </c>
      <c r="O41" s="872">
        <v>44501</v>
      </c>
      <c r="P41" s="871" t="s">
        <v>2218</v>
      </c>
      <c r="Q41" s="712">
        <v>44470</v>
      </c>
      <c r="R41" s="304" t="s">
        <v>2267</v>
      </c>
      <c r="U41" s="304" t="s">
        <v>2281</v>
      </c>
      <c r="V41" s="304" t="s">
        <v>2280</v>
      </c>
      <c r="W41" s="304" t="s">
        <v>1287</v>
      </c>
      <c r="X41" s="329">
        <v>44510</v>
      </c>
      <c r="Y41" s="329">
        <v>44510</v>
      </c>
      <c r="Z41" s="304">
        <v>30697.1</v>
      </c>
      <c r="AA41" s="329">
        <v>44511</v>
      </c>
      <c r="AB41" s="304" t="s">
        <v>733</v>
      </c>
      <c r="AC41" s="304">
        <v>0</v>
      </c>
      <c r="AD41" s="304">
        <v>0</v>
      </c>
      <c r="AE41" s="304">
        <v>0</v>
      </c>
      <c r="AF41" s="304">
        <v>0</v>
      </c>
      <c r="AG41" s="304">
        <v>0</v>
      </c>
      <c r="AH41" s="304">
        <v>1</v>
      </c>
      <c r="AI41" s="304">
        <v>41201</v>
      </c>
      <c r="AJ41" s="304">
        <v>2195</v>
      </c>
      <c r="AK41" s="304">
        <v>0</v>
      </c>
      <c r="AL41" s="304">
        <v>0</v>
      </c>
      <c r="AO41" s="332"/>
      <c r="AP41" s="332"/>
      <c r="AQ41" s="304" t="str">
        <f t="shared" si="0"/>
        <v>VO05992674</v>
      </c>
      <c r="AS41" s="304" t="str">
        <f t="shared" si="1"/>
        <v>wci_corp</v>
      </c>
    </row>
    <row r="42" spans="2:45">
      <c r="B42" s="338" t="s">
        <v>2224</v>
      </c>
      <c r="C42" s="867">
        <v>44530</v>
      </c>
      <c r="D42" s="868">
        <v>-30697.13</v>
      </c>
      <c r="E42" s="868">
        <v>0</v>
      </c>
      <c r="F42" s="869" t="s">
        <v>729</v>
      </c>
      <c r="G42" s="338" t="s">
        <v>2279</v>
      </c>
      <c r="H42" s="870" t="s">
        <v>730</v>
      </c>
      <c r="I42" s="338" t="s">
        <v>2222</v>
      </c>
      <c r="J42" s="338" t="s">
        <v>736</v>
      </c>
      <c r="K42" s="338" t="s">
        <v>732</v>
      </c>
      <c r="L42" s="871"/>
      <c r="M42" s="871"/>
      <c r="N42" s="871" t="s">
        <v>2219</v>
      </c>
      <c r="O42" s="872"/>
      <c r="P42" s="871"/>
      <c r="Q42" s="306"/>
      <c r="U42" s="304" t="s">
        <v>2278</v>
      </c>
      <c r="V42" s="304" t="s">
        <v>2277</v>
      </c>
      <c r="X42" s="329">
        <v>44505</v>
      </c>
      <c r="Y42" s="329">
        <v>44505</v>
      </c>
      <c r="AA42" s="329"/>
      <c r="AB42" s="304" t="s">
        <v>733</v>
      </c>
      <c r="AC42" s="304">
        <v>0</v>
      </c>
      <c r="AD42" s="304">
        <v>0</v>
      </c>
      <c r="AE42" s="304">
        <v>0</v>
      </c>
      <c r="AF42" s="304">
        <v>0</v>
      </c>
      <c r="AG42" s="304">
        <v>5</v>
      </c>
      <c r="AH42" s="304">
        <v>1</v>
      </c>
      <c r="AI42" s="304">
        <v>41201</v>
      </c>
      <c r="AJ42" s="304">
        <v>2195</v>
      </c>
      <c r="AK42" s="304">
        <v>0</v>
      </c>
      <c r="AL42" s="304">
        <v>0</v>
      </c>
      <c r="AO42" s="332"/>
      <c r="AP42" s="332"/>
      <c r="AQ42" s="304" t="str">
        <f t="shared" si="0"/>
        <v/>
      </c>
      <c r="AS42" s="304" t="str">
        <f t="shared" si="1"/>
        <v>wci_corp</v>
      </c>
    </row>
    <row r="43" spans="2:45">
      <c r="B43" s="338" t="s">
        <v>2224</v>
      </c>
      <c r="C43" s="867">
        <v>44530</v>
      </c>
      <c r="D43" s="868">
        <v>28865.14</v>
      </c>
      <c r="E43" s="868">
        <v>0</v>
      </c>
      <c r="F43" s="869" t="s">
        <v>729</v>
      </c>
      <c r="G43" s="338" t="s">
        <v>2276</v>
      </c>
      <c r="H43" s="870" t="s">
        <v>730</v>
      </c>
      <c r="I43" s="338" t="s">
        <v>2222</v>
      </c>
      <c r="J43" s="338" t="s">
        <v>736</v>
      </c>
      <c r="K43" s="338" t="s">
        <v>732</v>
      </c>
      <c r="L43" s="871"/>
      <c r="M43" s="871"/>
      <c r="N43" s="871" t="s">
        <v>2219</v>
      </c>
      <c r="O43" s="872"/>
      <c r="P43" s="871"/>
      <c r="Q43" s="306"/>
      <c r="U43" s="304" t="s">
        <v>2271</v>
      </c>
      <c r="V43" s="304" t="s">
        <v>2271</v>
      </c>
      <c r="X43" s="329">
        <v>44537</v>
      </c>
      <c r="Y43" s="329">
        <v>44537</v>
      </c>
      <c r="AA43" s="329"/>
      <c r="AB43" s="304" t="s">
        <v>733</v>
      </c>
      <c r="AC43" s="304">
        <v>0</v>
      </c>
      <c r="AD43" s="304">
        <v>0</v>
      </c>
      <c r="AE43" s="304">
        <v>0</v>
      </c>
      <c r="AF43" s="304">
        <v>0</v>
      </c>
      <c r="AG43" s="304">
        <v>0</v>
      </c>
      <c r="AH43" s="304">
        <v>1</v>
      </c>
      <c r="AI43" s="304">
        <v>41201</v>
      </c>
      <c r="AJ43" s="304">
        <v>2195</v>
      </c>
      <c r="AK43" s="304">
        <v>0</v>
      </c>
      <c r="AL43" s="304">
        <v>0</v>
      </c>
      <c r="AO43" s="332"/>
      <c r="AP43" s="332"/>
      <c r="AQ43" s="304" t="str">
        <f t="shared" si="0"/>
        <v/>
      </c>
      <c r="AS43" s="304" t="str">
        <f t="shared" si="1"/>
        <v>wci_corp</v>
      </c>
    </row>
    <row r="44" spans="2:45">
      <c r="B44" s="338" t="s">
        <v>2224</v>
      </c>
      <c r="C44" s="867">
        <v>44558</v>
      </c>
      <c r="D44" s="868">
        <v>28865.14</v>
      </c>
      <c r="E44" s="868">
        <v>0</v>
      </c>
      <c r="F44" s="869" t="s">
        <v>729</v>
      </c>
      <c r="G44" s="338" t="s">
        <v>2275</v>
      </c>
      <c r="H44" s="870" t="s">
        <v>730</v>
      </c>
      <c r="I44" s="338" t="s">
        <v>1039</v>
      </c>
      <c r="J44" s="338" t="s">
        <v>1038</v>
      </c>
      <c r="K44" s="338" t="s">
        <v>732</v>
      </c>
      <c r="L44" s="871" t="s">
        <v>2244</v>
      </c>
      <c r="M44" s="871"/>
      <c r="N44" s="871" t="s">
        <v>2220</v>
      </c>
      <c r="O44" s="872">
        <v>44531</v>
      </c>
      <c r="P44" s="871" t="s">
        <v>2218</v>
      </c>
      <c r="Q44" s="712">
        <v>44501</v>
      </c>
      <c r="R44" s="304" t="s">
        <v>2267</v>
      </c>
      <c r="U44" s="304" t="s">
        <v>2274</v>
      </c>
      <c r="V44" s="304" t="s">
        <v>2273</v>
      </c>
      <c r="W44" s="304" t="s">
        <v>1287</v>
      </c>
      <c r="X44" s="329">
        <v>44558</v>
      </c>
      <c r="Y44" s="329">
        <v>44562</v>
      </c>
      <c r="Z44" s="304">
        <v>28865.1</v>
      </c>
      <c r="AA44" s="329">
        <v>44541</v>
      </c>
      <c r="AB44" s="304" t="s">
        <v>733</v>
      </c>
      <c r="AC44" s="304">
        <v>0</v>
      </c>
      <c r="AD44" s="304">
        <v>0</v>
      </c>
      <c r="AE44" s="304">
        <v>0</v>
      </c>
      <c r="AF44" s="304">
        <v>0</v>
      </c>
      <c r="AG44" s="304">
        <v>0</v>
      </c>
      <c r="AH44" s="304">
        <v>1</v>
      </c>
      <c r="AI44" s="304">
        <v>41201</v>
      </c>
      <c r="AJ44" s="304">
        <v>2195</v>
      </c>
      <c r="AK44" s="304">
        <v>0</v>
      </c>
      <c r="AL44" s="304">
        <v>0</v>
      </c>
      <c r="AO44" s="332"/>
      <c r="AP44" s="332"/>
      <c r="AQ44" s="304" t="str">
        <f t="shared" si="0"/>
        <v>VO06052153</v>
      </c>
      <c r="AS44" s="304" t="str">
        <f t="shared" si="1"/>
        <v>wci_corp</v>
      </c>
    </row>
    <row r="45" spans="2:45">
      <c r="B45" s="338" t="s">
        <v>2224</v>
      </c>
      <c r="C45" s="867">
        <v>44561</v>
      </c>
      <c r="D45" s="868">
        <v>-28865.14</v>
      </c>
      <c r="E45" s="868">
        <v>0</v>
      </c>
      <c r="F45" s="869" t="s">
        <v>729</v>
      </c>
      <c r="G45" s="338" t="s">
        <v>2272</v>
      </c>
      <c r="H45" s="870" t="s">
        <v>730</v>
      </c>
      <c r="I45" s="338" t="s">
        <v>2222</v>
      </c>
      <c r="J45" s="338" t="s">
        <v>2135</v>
      </c>
      <c r="K45" s="338" t="s">
        <v>732</v>
      </c>
      <c r="L45" s="871"/>
      <c r="M45" s="871"/>
      <c r="N45" s="871" t="s">
        <v>2219</v>
      </c>
      <c r="O45" s="872"/>
      <c r="P45" s="871"/>
      <c r="Q45" s="306"/>
      <c r="U45" s="304" t="s">
        <v>2271</v>
      </c>
      <c r="V45" s="304" t="s">
        <v>2270</v>
      </c>
      <c r="X45" s="329">
        <v>44537</v>
      </c>
      <c r="Y45" s="329">
        <v>44537</v>
      </c>
      <c r="AA45" s="329"/>
      <c r="AB45" s="304" t="s">
        <v>733</v>
      </c>
      <c r="AC45" s="304">
        <v>0</v>
      </c>
      <c r="AD45" s="304">
        <v>0</v>
      </c>
      <c r="AE45" s="304">
        <v>0</v>
      </c>
      <c r="AF45" s="304">
        <v>0</v>
      </c>
      <c r="AG45" s="304">
        <v>5</v>
      </c>
      <c r="AH45" s="304">
        <v>1</v>
      </c>
      <c r="AI45" s="304">
        <v>41201</v>
      </c>
      <c r="AJ45" s="304">
        <v>2195</v>
      </c>
      <c r="AK45" s="304">
        <v>0</v>
      </c>
      <c r="AL45" s="304">
        <v>0</v>
      </c>
      <c r="AO45" s="332"/>
      <c r="AP45" s="332"/>
      <c r="AQ45" s="304" t="str">
        <f t="shared" si="0"/>
        <v/>
      </c>
      <c r="AS45" s="304" t="str">
        <f t="shared" si="1"/>
        <v>wci_corp</v>
      </c>
    </row>
    <row r="46" spans="2:45">
      <c r="B46" s="338" t="s">
        <v>2224</v>
      </c>
      <c r="C46" s="867">
        <v>44561</v>
      </c>
      <c r="D46" s="868">
        <v>25450.26</v>
      </c>
      <c r="E46" s="868">
        <v>0</v>
      </c>
      <c r="F46" s="869" t="s">
        <v>729</v>
      </c>
      <c r="G46" s="338" t="s">
        <v>2269</v>
      </c>
      <c r="H46" s="870" t="s">
        <v>730</v>
      </c>
      <c r="I46" s="338" t="s">
        <v>2222</v>
      </c>
      <c r="J46" s="338" t="s">
        <v>736</v>
      </c>
      <c r="K46" s="338" t="s">
        <v>732</v>
      </c>
      <c r="L46" s="871"/>
      <c r="M46" s="871"/>
      <c r="N46" s="871" t="s">
        <v>2219</v>
      </c>
      <c r="O46" s="872"/>
      <c r="P46" s="871"/>
      <c r="Q46" s="306"/>
      <c r="U46" s="304" t="s">
        <v>2263</v>
      </c>
      <c r="V46" s="304" t="s">
        <v>2263</v>
      </c>
      <c r="X46" s="329">
        <v>44568</v>
      </c>
      <c r="Y46" s="329">
        <v>44568</v>
      </c>
      <c r="AA46" s="329"/>
      <c r="AB46" s="304" t="s">
        <v>733</v>
      </c>
      <c r="AC46" s="304">
        <v>0</v>
      </c>
      <c r="AD46" s="304">
        <v>0</v>
      </c>
      <c r="AE46" s="304">
        <v>0</v>
      </c>
      <c r="AF46" s="304">
        <v>0</v>
      </c>
      <c r="AG46" s="304">
        <v>0</v>
      </c>
      <c r="AH46" s="304">
        <v>1</v>
      </c>
      <c r="AI46" s="304">
        <v>41201</v>
      </c>
      <c r="AJ46" s="304">
        <v>2195</v>
      </c>
      <c r="AK46" s="304">
        <v>0</v>
      </c>
      <c r="AL46" s="304">
        <v>0</v>
      </c>
      <c r="AO46" s="332"/>
      <c r="AP46" s="332"/>
      <c r="AQ46" s="304" t="str">
        <f t="shared" si="0"/>
        <v/>
      </c>
      <c r="AS46" s="304" t="str">
        <f t="shared" si="1"/>
        <v>wci_corp</v>
      </c>
    </row>
    <row r="47" spans="2:45">
      <c r="B47" s="338" t="s">
        <v>2224</v>
      </c>
      <c r="C47" s="867">
        <v>44573</v>
      </c>
      <c r="D47" s="868">
        <v>25450.26</v>
      </c>
      <c r="E47" s="868">
        <v>0</v>
      </c>
      <c r="F47" s="869" t="s">
        <v>729</v>
      </c>
      <c r="G47" s="338" t="s">
        <v>2268</v>
      </c>
      <c r="H47" s="870" t="s">
        <v>730</v>
      </c>
      <c r="I47" s="338" t="s">
        <v>1039</v>
      </c>
      <c r="J47" s="338" t="s">
        <v>1042</v>
      </c>
      <c r="K47" s="338" t="s">
        <v>732</v>
      </c>
      <c r="L47" s="871" t="s">
        <v>2244</v>
      </c>
      <c r="M47" s="871"/>
      <c r="N47" s="871" t="s">
        <v>2220</v>
      </c>
      <c r="O47" s="872">
        <v>44562</v>
      </c>
      <c r="P47" s="871" t="s">
        <v>2218</v>
      </c>
      <c r="Q47" s="712">
        <v>44531</v>
      </c>
      <c r="R47" s="304" t="s">
        <v>2267</v>
      </c>
      <c r="U47" s="304" t="s">
        <v>2266</v>
      </c>
      <c r="V47" s="304" t="s">
        <v>2265</v>
      </c>
      <c r="W47" s="304" t="s">
        <v>1287</v>
      </c>
      <c r="X47" s="329">
        <v>44573</v>
      </c>
      <c r="Y47" s="329">
        <v>44574</v>
      </c>
      <c r="Z47" s="304">
        <v>25450.3</v>
      </c>
      <c r="AA47" s="329">
        <v>44572</v>
      </c>
      <c r="AB47" s="304" t="s">
        <v>733</v>
      </c>
      <c r="AC47" s="304">
        <v>0</v>
      </c>
      <c r="AD47" s="304">
        <v>0</v>
      </c>
      <c r="AE47" s="304">
        <v>0</v>
      </c>
      <c r="AF47" s="304">
        <v>0</v>
      </c>
      <c r="AG47" s="304">
        <v>0</v>
      </c>
      <c r="AH47" s="304">
        <v>1</v>
      </c>
      <c r="AI47" s="304">
        <v>41201</v>
      </c>
      <c r="AJ47" s="304">
        <v>2195</v>
      </c>
      <c r="AK47" s="304">
        <v>0</v>
      </c>
      <c r="AL47" s="304">
        <v>0</v>
      </c>
      <c r="AO47" s="332"/>
      <c r="AP47" s="332"/>
      <c r="AQ47" s="304" t="str">
        <f t="shared" si="0"/>
        <v>VO06068842</v>
      </c>
      <c r="AS47" s="304" t="str">
        <f t="shared" si="1"/>
        <v>wci_corp</v>
      </c>
    </row>
    <row r="48" spans="2:45">
      <c r="B48" s="338" t="s">
        <v>2224</v>
      </c>
      <c r="C48" s="867">
        <v>44592</v>
      </c>
      <c r="D48" s="868">
        <v>-25450.26</v>
      </c>
      <c r="E48" s="868">
        <v>0</v>
      </c>
      <c r="F48" s="869" t="s">
        <v>729</v>
      </c>
      <c r="G48" s="338" t="s">
        <v>2264</v>
      </c>
      <c r="H48" s="870" t="s">
        <v>730</v>
      </c>
      <c r="I48" s="338" t="s">
        <v>2222</v>
      </c>
      <c r="J48" s="338" t="s">
        <v>735</v>
      </c>
      <c r="K48" s="338" t="s">
        <v>732</v>
      </c>
      <c r="L48" s="871"/>
      <c r="M48" s="871"/>
      <c r="N48" s="871" t="s">
        <v>2219</v>
      </c>
      <c r="O48" s="872"/>
      <c r="P48" s="871"/>
      <c r="Q48" s="306"/>
      <c r="U48" s="304" t="s">
        <v>2263</v>
      </c>
      <c r="V48" s="304" t="s">
        <v>2262</v>
      </c>
      <c r="X48" s="329">
        <v>44568</v>
      </c>
      <c r="Y48" s="329">
        <v>44568</v>
      </c>
      <c r="AA48" s="329"/>
      <c r="AB48" s="304" t="s">
        <v>733</v>
      </c>
      <c r="AC48" s="304">
        <v>0</v>
      </c>
      <c r="AD48" s="304">
        <v>0</v>
      </c>
      <c r="AE48" s="304">
        <v>0</v>
      </c>
      <c r="AF48" s="304">
        <v>0</v>
      </c>
      <c r="AG48" s="304">
        <v>5</v>
      </c>
      <c r="AH48" s="304">
        <v>1</v>
      </c>
      <c r="AI48" s="304">
        <v>41201</v>
      </c>
      <c r="AJ48" s="304">
        <v>2195</v>
      </c>
      <c r="AK48" s="304">
        <v>0</v>
      </c>
      <c r="AL48" s="304">
        <v>0</v>
      </c>
      <c r="AO48" s="332"/>
      <c r="AP48" s="332"/>
      <c r="AQ48" s="304" t="str">
        <f t="shared" si="0"/>
        <v/>
      </c>
      <c r="AS48" s="304" t="str">
        <f t="shared" si="1"/>
        <v>wci_corp</v>
      </c>
    </row>
    <row r="49" spans="2:45">
      <c r="B49" s="338" t="s">
        <v>2224</v>
      </c>
      <c r="C49" s="867">
        <v>44592</v>
      </c>
      <c r="D49" s="868">
        <v>26286.65</v>
      </c>
      <c r="E49" s="868">
        <v>0</v>
      </c>
      <c r="F49" s="869" t="s">
        <v>729</v>
      </c>
      <c r="G49" s="338" t="s">
        <v>2261</v>
      </c>
      <c r="H49" s="870" t="s">
        <v>730</v>
      </c>
      <c r="I49" s="338" t="s">
        <v>2222</v>
      </c>
      <c r="J49" s="338" t="s">
        <v>736</v>
      </c>
      <c r="K49" s="338" t="s">
        <v>732</v>
      </c>
      <c r="L49" s="871"/>
      <c r="M49" s="871"/>
      <c r="N49" s="871" t="s">
        <v>2218</v>
      </c>
      <c r="O49" s="872"/>
      <c r="P49" s="871"/>
      <c r="Q49" s="306"/>
      <c r="U49" s="304" t="s">
        <v>2256</v>
      </c>
      <c r="V49" s="304" t="s">
        <v>2256</v>
      </c>
      <c r="X49" s="329">
        <v>44596</v>
      </c>
      <c r="Y49" s="329">
        <v>44597</v>
      </c>
      <c r="AA49" s="329"/>
      <c r="AB49" s="304" t="s">
        <v>733</v>
      </c>
      <c r="AC49" s="304">
        <v>0</v>
      </c>
      <c r="AD49" s="304">
        <v>0</v>
      </c>
      <c r="AE49" s="304">
        <v>0</v>
      </c>
      <c r="AF49" s="304">
        <v>0</v>
      </c>
      <c r="AG49" s="304">
        <v>0</v>
      </c>
      <c r="AH49" s="304">
        <v>1</v>
      </c>
      <c r="AI49" s="304">
        <v>41201</v>
      </c>
      <c r="AJ49" s="304">
        <v>2195</v>
      </c>
      <c r="AK49" s="304">
        <v>0</v>
      </c>
      <c r="AL49" s="304">
        <v>0</v>
      </c>
      <c r="AO49" s="332"/>
      <c r="AP49" s="332"/>
      <c r="AQ49" s="304" t="str">
        <f t="shared" si="0"/>
        <v/>
      </c>
      <c r="AS49" s="304" t="str">
        <f t="shared" si="1"/>
        <v>wci_corp</v>
      </c>
    </row>
    <row r="50" spans="2:45">
      <c r="B50" s="338" t="s">
        <v>2224</v>
      </c>
      <c r="C50" s="867">
        <v>44592</v>
      </c>
      <c r="D50" s="868">
        <v>28404.57</v>
      </c>
      <c r="E50" s="868">
        <v>0</v>
      </c>
      <c r="F50" s="869" t="s">
        <v>729</v>
      </c>
      <c r="G50" s="338" t="s">
        <v>2196</v>
      </c>
      <c r="H50" s="870" t="s">
        <v>730</v>
      </c>
      <c r="I50" s="338" t="s">
        <v>2197</v>
      </c>
      <c r="J50" s="338" t="s">
        <v>736</v>
      </c>
      <c r="K50" s="338" t="s">
        <v>732</v>
      </c>
      <c r="L50" s="871"/>
      <c r="M50" s="871"/>
      <c r="N50" s="871" t="s">
        <v>2198</v>
      </c>
      <c r="O50" s="872"/>
      <c r="P50" s="871"/>
      <c r="Q50" s="306"/>
      <c r="U50" s="304" t="s">
        <v>2199</v>
      </c>
      <c r="V50" s="304" t="s">
        <v>2199</v>
      </c>
      <c r="X50" s="329">
        <v>44596</v>
      </c>
      <c r="Y50" s="329">
        <v>44597</v>
      </c>
      <c r="AA50" s="329"/>
      <c r="AB50" s="304" t="s">
        <v>733</v>
      </c>
      <c r="AC50" s="304">
        <v>0</v>
      </c>
      <c r="AD50" s="304">
        <v>0</v>
      </c>
      <c r="AE50" s="304">
        <v>0</v>
      </c>
      <c r="AF50" s="304">
        <v>0</v>
      </c>
      <c r="AG50" s="304">
        <v>0</v>
      </c>
      <c r="AH50" s="304">
        <v>1</v>
      </c>
      <c r="AI50" s="304">
        <v>41201</v>
      </c>
      <c r="AJ50" s="304">
        <v>2195</v>
      </c>
      <c r="AK50" s="304">
        <v>0</v>
      </c>
      <c r="AL50" s="304">
        <v>0</v>
      </c>
      <c r="AO50" s="332"/>
      <c r="AP50" s="332"/>
      <c r="AQ50" s="304" t="str">
        <f t="shared" si="0"/>
        <v/>
      </c>
      <c r="AS50" s="304" t="str">
        <f t="shared" si="1"/>
        <v>wci_corp</v>
      </c>
    </row>
    <row r="51" spans="2:45">
      <c r="B51" s="338" t="s">
        <v>2224</v>
      </c>
      <c r="C51" s="867">
        <v>44592</v>
      </c>
      <c r="D51" s="868">
        <v>254.43</v>
      </c>
      <c r="E51" s="868">
        <v>0</v>
      </c>
      <c r="F51" s="869" t="s">
        <v>729</v>
      </c>
      <c r="G51" s="338" t="s">
        <v>2203</v>
      </c>
      <c r="H51" s="870" t="s">
        <v>730</v>
      </c>
      <c r="I51" s="338" t="s">
        <v>2204</v>
      </c>
      <c r="J51" s="338" t="s">
        <v>735</v>
      </c>
      <c r="K51" s="338" t="s">
        <v>732</v>
      </c>
      <c r="L51" s="871"/>
      <c r="M51" s="871"/>
      <c r="N51" s="871" t="s">
        <v>2217</v>
      </c>
      <c r="O51" s="872"/>
      <c r="P51" s="871"/>
      <c r="Q51" s="306"/>
      <c r="U51" s="304" t="s">
        <v>2206</v>
      </c>
      <c r="V51" s="304" t="s">
        <v>2206</v>
      </c>
      <c r="X51" s="329">
        <v>44599</v>
      </c>
      <c r="Y51" s="329">
        <v>44599</v>
      </c>
      <c r="AA51" s="329"/>
      <c r="AB51" s="304" t="s">
        <v>733</v>
      </c>
      <c r="AC51" s="304">
        <v>0</v>
      </c>
      <c r="AD51" s="304">
        <v>0</v>
      </c>
      <c r="AE51" s="304">
        <v>0</v>
      </c>
      <c r="AF51" s="304">
        <v>0</v>
      </c>
      <c r="AG51" s="304">
        <v>0</v>
      </c>
      <c r="AH51" s="304">
        <v>1</v>
      </c>
      <c r="AI51" s="304">
        <v>41201</v>
      </c>
      <c r="AJ51" s="304">
        <v>2195</v>
      </c>
      <c r="AK51" s="304">
        <v>0</v>
      </c>
      <c r="AL51" s="304">
        <v>0</v>
      </c>
      <c r="AO51" s="332"/>
      <c r="AP51" s="332"/>
      <c r="AQ51" s="304" t="str">
        <f t="shared" si="0"/>
        <v/>
      </c>
      <c r="AS51" s="304" t="str">
        <f t="shared" si="1"/>
        <v>wci_corp</v>
      </c>
    </row>
    <row r="52" spans="2:45">
      <c r="B52" s="338" t="s">
        <v>2224</v>
      </c>
      <c r="C52" s="867">
        <v>44607</v>
      </c>
      <c r="D52" s="868">
        <v>26286.65</v>
      </c>
      <c r="E52" s="868">
        <v>0</v>
      </c>
      <c r="F52" s="869" t="s">
        <v>729</v>
      </c>
      <c r="G52" s="338" t="s">
        <v>2260</v>
      </c>
      <c r="H52" s="870" t="s">
        <v>730</v>
      </c>
      <c r="I52" s="338" t="s">
        <v>1039</v>
      </c>
      <c r="J52" s="338" t="s">
        <v>1040</v>
      </c>
      <c r="K52" s="338" t="s">
        <v>732</v>
      </c>
      <c r="L52" s="871" t="s">
        <v>2244</v>
      </c>
      <c r="M52" s="871"/>
      <c r="N52" s="871" t="s">
        <v>2220</v>
      </c>
      <c r="O52" s="872">
        <v>44592</v>
      </c>
      <c r="P52" s="871" t="s">
        <v>2218</v>
      </c>
      <c r="Q52" s="712">
        <v>44562</v>
      </c>
      <c r="R52" s="304" t="s">
        <v>2243</v>
      </c>
      <c r="U52" s="304" t="s">
        <v>2259</v>
      </c>
      <c r="V52" s="304" t="s">
        <v>2258</v>
      </c>
      <c r="W52" s="304" t="s">
        <v>1287</v>
      </c>
      <c r="X52" s="329">
        <v>44607</v>
      </c>
      <c r="Y52" s="329">
        <v>44607</v>
      </c>
      <c r="Z52" s="304">
        <v>26286.7</v>
      </c>
      <c r="AA52" s="329">
        <v>44602</v>
      </c>
      <c r="AB52" s="304" t="s">
        <v>733</v>
      </c>
      <c r="AC52" s="304">
        <v>0</v>
      </c>
      <c r="AD52" s="304">
        <v>0</v>
      </c>
      <c r="AE52" s="304">
        <v>0</v>
      </c>
      <c r="AF52" s="304">
        <v>0</v>
      </c>
      <c r="AG52" s="304">
        <v>0</v>
      </c>
      <c r="AH52" s="304">
        <v>1</v>
      </c>
      <c r="AI52" s="304">
        <v>41201</v>
      </c>
      <c r="AJ52" s="304">
        <v>2195</v>
      </c>
      <c r="AK52" s="304">
        <v>0</v>
      </c>
      <c r="AL52" s="304">
        <v>0</v>
      </c>
      <c r="AO52" s="332"/>
      <c r="AP52" s="332"/>
      <c r="AQ52" s="304" t="str">
        <f t="shared" ref="AQ52:AQ70" si="2">IF(LEFT(U52,2)="VO",U52,"")</f>
        <v>VO06108423</v>
      </c>
      <c r="AS52" s="304" t="str">
        <f t="shared" ref="AS52:AS70" si="3">IF(RIGHT(K52,2)="IC",IF(OR(AB52="wci_canada",AB52="wci_can_corp"),"wci_can_Corp","wci_corp"),AB52)</f>
        <v>wci_corp</v>
      </c>
    </row>
    <row r="53" spans="2:45">
      <c r="B53" s="338" t="s">
        <v>2224</v>
      </c>
      <c r="C53" s="867">
        <v>44620</v>
      </c>
      <c r="D53" s="868">
        <v>-26286.65</v>
      </c>
      <c r="E53" s="868">
        <v>0</v>
      </c>
      <c r="F53" s="869" t="s">
        <v>729</v>
      </c>
      <c r="G53" s="338" t="s">
        <v>2257</v>
      </c>
      <c r="H53" s="870" t="s">
        <v>730</v>
      </c>
      <c r="I53" s="338" t="s">
        <v>2222</v>
      </c>
      <c r="J53" s="338" t="s">
        <v>731</v>
      </c>
      <c r="K53" s="338" t="s">
        <v>732</v>
      </c>
      <c r="L53" s="871"/>
      <c r="M53" s="871"/>
      <c r="N53" s="871" t="s">
        <v>2218</v>
      </c>
      <c r="O53" s="872"/>
      <c r="P53" s="871"/>
      <c r="Q53" s="306"/>
      <c r="U53" s="304" t="s">
        <v>2256</v>
      </c>
      <c r="V53" s="304" t="s">
        <v>2255</v>
      </c>
      <c r="X53" s="329">
        <v>44597</v>
      </c>
      <c r="Y53" s="329">
        <v>44599</v>
      </c>
      <c r="AA53" s="329"/>
      <c r="AB53" s="304" t="s">
        <v>733</v>
      </c>
      <c r="AC53" s="304">
        <v>0</v>
      </c>
      <c r="AD53" s="304">
        <v>0</v>
      </c>
      <c r="AE53" s="304">
        <v>0</v>
      </c>
      <c r="AF53" s="304">
        <v>0</v>
      </c>
      <c r="AG53" s="304">
        <v>5</v>
      </c>
      <c r="AH53" s="304">
        <v>1</v>
      </c>
      <c r="AI53" s="304">
        <v>41201</v>
      </c>
      <c r="AJ53" s="304">
        <v>2195</v>
      </c>
      <c r="AK53" s="304">
        <v>0</v>
      </c>
      <c r="AL53" s="304">
        <v>0</v>
      </c>
      <c r="AO53" s="332"/>
      <c r="AP53" s="332"/>
      <c r="AQ53" s="304" t="str">
        <f t="shared" si="2"/>
        <v/>
      </c>
      <c r="AS53" s="304" t="str">
        <f t="shared" si="3"/>
        <v>wci_corp</v>
      </c>
    </row>
    <row r="54" spans="2:45">
      <c r="B54" s="338" t="s">
        <v>2229</v>
      </c>
      <c r="C54" s="867">
        <v>44620</v>
      </c>
      <c r="D54" s="868">
        <v>274.29000000000002</v>
      </c>
      <c r="E54" s="868">
        <v>0</v>
      </c>
      <c r="F54" s="869" t="s">
        <v>729</v>
      </c>
      <c r="G54" s="338" t="s">
        <v>2254</v>
      </c>
      <c r="H54" s="870" t="s">
        <v>730</v>
      </c>
      <c r="I54" s="338" t="s">
        <v>2253</v>
      </c>
      <c r="J54" s="338" t="s">
        <v>2192</v>
      </c>
      <c r="K54" s="338" t="s">
        <v>732</v>
      </c>
      <c r="L54" s="871"/>
      <c r="M54" s="871"/>
      <c r="N54" s="871" t="s">
        <v>908</v>
      </c>
      <c r="O54" s="872"/>
      <c r="P54" s="871"/>
      <c r="Q54" s="306"/>
      <c r="U54" s="304" t="s">
        <v>2252</v>
      </c>
      <c r="V54" s="304" t="s">
        <v>2252</v>
      </c>
      <c r="X54" s="329">
        <v>44624</v>
      </c>
      <c r="Y54" s="329">
        <v>44624</v>
      </c>
      <c r="AA54" s="329"/>
      <c r="AB54" s="304" t="s">
        <v>733</v>
      </c>
      <c r="AC54" s="304">
        <v>0</v>
      </c>
      <c r="AD54" s="304">
        <v>0</v>
      </c>
      <c r="AE54" s="304">
        <v>0</v>
      </c>
      <c r="AF54" s="304">
        <v>0</v>
      </c>
      <c r="AG54" s="304">
        <v>0</v>
      </c>
      <c r="AH54" s="304">
        <v>1</v>
      </c>
      <c r="AI54" s="304">
        <v>41201</v>
      </c>
      <c r="AJ54" s="304">
        <v>2195</v>
      </c>
      <c r="AK54" s="304">
        <v>0</v>
      </c>
      <c r="AL54" s="304">
        <v>99</v>
      </c>
      <c r="AO54" s="332"/>
      <c r="AP54" s="332"/>
      <c r="AQ54" s="304" t="str">
        <f t="shared" si="2"/>
        <v/>
      </c>
      <c r="AS54" s="304" t="str">
        <f t="shared" si="3"/>
        <v>wci_corp</v>
      </c>
    </row>
    <row r="55" spans="2:45">
      <c r="B55" s="338" t="s">
        <v>2224</v>
      </c>
      <c r="C55" s="867">
        <v>44620</v>
      </c>
      <c r="D55" s="868">
        <v>27094.66</v>
      </c>
      <c r="E55" s="868">
        <v>0</v>
      </c>
      <c r="F55" s="869" t="s">
        <v>729</v>
      </c>
      <c r="G55" s="338" t="s">
        <v>2251</v>
      </c>
      <c r="H55" s="870" t="s">
        <v>730</v>
      </c>
      <c r="I55" s="338" t="s">
        <v>2060</v>
      </c>
      <c r="J55" s="338" t="s">
        <v>731</v>
      </c>
      <c r="K55" s="338" t="s">
        <v>732</v>
      </c>
      <c r="L55" s="871"/>
      <c r="M55" s="871"/>
      <c r="N55" s="871" t="s">
        <v>1281</v>
      </c>
      <c r="O55" s="872"/>
      <c r="P55" s="871"/>
      <c r="Q55" s="306"/>
      <c r="U55" s="304" t="s">
        <v>2250</v>
      </c>
      <c r="V55" s="304" t="s">
        <v>2250</v>
      </c>
      <c r="X55" s="329">
        <v>44624</v>
      </c>
      <c r="Y55" s="329">
        <v>44624</v>
      </c>
      <c r="AA55" s="329"/>
      <c r="AB55" s="304" t="s">
        <v>733</v>
      </c>
      <c r="AC55" s="304">
        <v>0</v>
      </c>
      <c r="AD55" s="304">
        <v>0</v>
      </c>
      <c r="AE55" s="304">
        <v>0</v>
      </c>
      <c r="AF55" s="304">
        <v>0</v>
      </c>
      <c r="AG55" s="304">
        <v>0</v>
      </c>
      <c r="AH55" s="304">
        <v>1</v>
      </c>
      <c r="AI55" s="304">
        <v>41201</v>
      </c>
      <c r="AJ55" s="304">
        <v>2195</v>
      </c>
      <c r="AK55" s="304">
        <v>0</v>
      </c>
      <c r="AL55" s="304">
        <v>0</v>
      </c>
      <c r="AO55" s="332"/>
      <c r="AP55" s="332"/>
      <c r="AQ55" s="304" t="str">
        <f t="shared" si="2"/>
        <v/>
      </c>
      <c r="AS55" s="304" t="str">
        <f t="shared" si="3"/>
        <v>wci_corp</v>
      </c>
    </row>
    <row r="56" spans="2:45">
      <c r="B56" s="338" t="s">
        <v>2224</v>
      </c>
      <c r="C56" s="867">
        <v>44620</v>
      </c>
      <c r="D56" s="868">
        <v>6.91</v>
      </c>
      <c r="E56" s="868">
        <v>0</v>
      </c>
      <c r="F56" s="869" t="s">
        <v>729</v>
      </c>
      <c r="G56" s="338" t="s">
        <v>2249</v>
      </c>
      <c r="H56" s="870" t="s">
        <v>730</v>
      </c>
      <c r="I56" s="338" t="s">
        <v>2063</v>
      </c>
      <c r="J56" s="338" t="s">
        <v>731</v>
      </c>
      <c r="K56" s="338" t="s">
        <v>732</v>
      </c>
      <c r="L56" s="871"/>
      <c r="M56" s="871"/>
      <c r="N56" s="871" t="s">
        <v>2124</v>
      </c>
      <c r="O56" s="872"/>
      <c r="P56" s="871"/>
      <c r="Q56" s="306"/>
      <c r="U56" s="304" t="s">
        <v>2248</v>
      </c>
      <c r="V56" s="304" t="s">
        <v>2248</v>
      </c>
      <c r="X56" s="329">
        <v>44624</v>
      </c>
      <c r="Y56" s="329">
        <v>44624</v>
      </c>
      <c r="AA56" s="329"/>
      <c r="AB56" s="304" t="s">
        <v>733</v>
      </c>
      <c r="AC56" s="304">
        <v>0</v>
      </c>
      <c r="AD56" s="304">
        <v>0</v>
      </c>
      <c r="AE56" s="304">
        <v>0</v>
      </c>
      <c r="AF56" s="304">
        <v>0</v>
      </c>
      <c r="AG56" s="304">
        <v>0</v>
      </c>
      <c r="AH56" s="304">
        <v>1</v>
      </c>
      <c r="AI56" s="304">
        <v>41201</v>
      </c>
      <c r="AJ56" s="304">
        <v>2195</v>
      </c>
      <c r="AK56" s="304">
        <v>0</v>
      </c>
      <c r="AL56" s="304">
        <v>0</v>
      </c>
      <c r="AO56" s="332"/>
      <c r="AP56" s="332"/>
      <c r="AQ56" s="304" t="str">
        <f t="shared" si="2"/>
        <v/>
      </c>
      <c r="AS56" s="304" t="str">
        <f t="shared" si="3"/>
        <v>wci_corp</v>
      </c>
    </row>
    <row r="57" spans="2:45">
      <c r="B57" s="338" t="s">
        <v>2224</v>
      </c>
      <c r="C57" s="867">
        <v>44620</v>
      </c>
      <c r="D57" s="868">
        <v>580.51</v>
      </c>
      <c r="E57" s="868">
        <v>0</v>
      </c>
      <c r="F57" s="869" t="s">
        <v>729</v>
      </c>
      <c r="G57" s="338" t="s">
        <v>2249</v>
      </c>
      <c r="H57" s="870" t="s">
        <v>730</v>
      </c>
      <c r="I57" s="338" t="s">
        <v>2063</v>
      </c>
      <c r="J57" s="338" t="s">
        <v>731</v>
      </c>
      <c r="K57" s="338" t="s">
        <v>732</v>
      </c>
      <c r="L57" s="871"/>
      <c r="M57" s="871"/>
      <c r="N57" s="871" t="s">
        <v>2072</v>
      </c>
      <c r="O57" s="872"/>
      <c r="P57" s="871"/>
      <c r="Q57" s="306"/>
      <c r="U57" s="304" t="s">
        <v>2248</v>
      </c>
      <c r="V57" s="304" t="s">
        <v>2248</v>
      </c>
      <c r="X57" s="329">
        <v>44624</v>
      </c>
      <c r="Y57" s="329">
        <v>44624</v>
      </c>
      <c r="AA57" s="329"/>
      <c r="AB57" s="304" t="s">
        <v>733</v>
      </c>
      <c r="AC57" s="304">
        <v>0</v>
      </c>
      <c r="AD57" s="304">
        <v>0</v>
      </c>
      <c r="AE57" s="304">
        <v>0</v>
      </c>
      <c r="AF57" s="304">
        <v>0</v>
      </c>
      <c r="AG57" s="304">
        <v>0</v>
      </c>
      <c r="AH57" s="304">
        <v>1</v>
      </c>
      <c r="AI57" s="304">
        <v>41201</v>
      </c>
      <c r="AJ57" s="304">
        <v>2195</v>
      </c>
      <c r="AK57" s="304">
        <v>0</v>
      </c>
      <c r="AL57" s="304">
        <v>0</v>
      </c>
      <c r="AO57" s="332"/>
      <c r="AP57" s="332"/>
      <c r="AQ57" s="304" t="str">
        <f t="shared" si="2"/>
        <v/>
      </c>
      <c r="AS57" s="304" t="str">
        <f t="shared" si="3"/>
        <v>wci_corp</v>
      </c>
    </row>
    <row r="58" spans="2:45">
      <c r="B58" s="338" t="s">
        <v>2224</v>
      </c>
      <c r="C58" s="867">
        <v>44620</v>
      </c>
      <c r="D58" s="868">
        <v>-42.73</v>
      </c>
      <c r="E58" s="868">
        <v>0</v>
      </c>
      <c r="F58" s="869" t="s">
        <v>729</v>
      </c>
      <c r="G58" s="338" t="s">
        <v>2249</v>
      </c>
      <c r="H58" s="870" t="s">
        <v>730</v>
      </c>
      <c r="I58" s="338" t="s">
        <v>2063</v>
      </c>
      <c r="J58" s="338" t="s">
        <v>731</v>
      </c>
      <c r="K58" s="338" t="s">
        <v>732</v>
      </c>
      <c r="L58" s="871"/>
      <c r="M58" s="871"/>
      <c r="N58" s="871" t="s">
        <v>2086</v>
      </c>
      <c r="O58" s="872"/>
      <c r="P58" s="871"/>
      <c r="Q58" s="306"/>
      <c r="U58" s="304" t="s">
        <v>2248</v>
      </c>
      <c r="V58" s="304" t="s">
        <v>2248</v>
      </c>
      <c r="X58" s="329">
        <v>44624</v>
      </c>
      <c r="Y58" s="329">
        <v>44624</v>
      </c>
      <c r="AA58" s="329"/>
      <c r="AB58" s="304" t="s">
        <v>733</v>
      </c>
      <c r="AC58" s="304">
        <v>0</v>
      </c>
      <c r="AD58" s="304">
        <v>0</v>
      </c>
      <c r="AE58" s="304">
        <v>0</v>
      </c>
      <c r="AF58" s="304">
        <v>0</v>
      </c>
      <c r="AG58" s="304">
        <v>0</v>
      </c>
      <c r="AH58" s="304">
        <v>1</v>
      </c>
      <c r="AI58" s="304">
        <v>41201</v>
      </c>
      <c r="AJ58" s="304">
        <v>2195</v>
      </c>
      <c r="AK58" s="304">
        <v>0</v>
      </c>
      <c r="AL58" s="304">
        <v>0</v>
      </c>
      <c r="AO58" s="332"/>
      <c r="AP58" s="332"/>
      <c r="AQ58" s="304" t="str">
        <f t="shared" si="2"/>
        <v/>
      </c>
      <c r="AS58" s="304" t="str">
        <f t="shared" si="3"/>
        <v>wci_corp</v>
      </c>
    </row>
    <row r="59" spans="2:45">
      <c r="B59" s="338" t="s">
        <v>2224</v>
      </c>
      <c r="C59" s="867">
        <v>44620</v>
      </c>
      <c r="D59" s="868">
        <v>26568</v>
      </c>
      <c r="E59" s="868">
        <v>0</v>
      </c>
      <c r="F59" s="869" t="s">
        <v>729</v>
      </c>
      <c r="G59" s="338" t="s">
        <v>2247</v>
      </c>
      <c r="H59" s="870" t="s">
        <v>730</v>
      </c>
      <c r="I59" s="338" t="s">
        <v>2222</v>
      </c>
      <c r="J59" s="338" t="s">
        <v>731</v>
      </c>
      <c r="K59" s="338" t="s">
        <v>732</v>
      </c>
      <c r="L59" s="871"/>
      <c r="M59" s="871"/>
      <c r="N59" s="871" t="s">
        <v>2216</v>
      </c>
      <c r="O59" s="872"/>
      <c r="P59" s="871"/>
      <c r="Q59" s="306"/>
      <c r="U59" s="304" t="s">
        <v>2239</v>
      </c>
      <c r="V59" s="304" t="s">
        <v>2239</v>
      </c>
      <c r="X59" s="329">
        <v>44624</v>
      </c>
      <c r="Y59" s="329">
        <v>44624</v>
      </c>
      <c r="AA59" s="329"/>
      <c r="AB59" s="304" t="s">
        <v>733</v>
      </c>
      <c r="AC59" s="304">
        <v>0</v>
      </c>
      <c r="AD59" s="304">
        <v>0</v>
      </c>
      <c r="AE59" s="304">
        <v>0</v>
      </c>
      <c r="AF59" s="304">
        <v>0</v>
      </c>
      <c r="AG59" s="304">
        <v>0</v>
      </c>
      <c r="AH59" s="304">
        <v>1</v>
      </c>
      <c r="AI59" s="304">
        <v>41201</v>
      </c>
      <c r="AJ59" s="304">
        <v>2195</v>
      </c>
      <c r="AK59" s="304">
        <v>0</v>
      </c>
      <c r="AL59" s="304">
        <v>0</v>
      </c>
      <c r="AO59" s="332"/>
      <c r="AP59" s="332"/>
      <c r="AQ59" s="304" t="str">
        <f t="shared" si="2"/>
        <v/>
      </c>
      <c r="AS59" s="304" t="str">
        <f t="shared" si="3"/>
        <v>wci_corp</v>
      </c>
    </row>
    <row r="60" spans="2:45">
      <c r="B60" s="338" t="s">
        <v>2224</v>
      </c>
      <c r="C60" s="867">
        <v>44620</v>
      </c>
      <c r="D60" s="868">
        <v>-254.43</v>
      </c>
      <c r="E60" s="868">
        <v>0</v>
      </c>
      <c r="F60" s="869" t="s">
        <v>729</v>
      </c>
      <c r="G60" s="338" t="s">
        <v>2209</v>
      </c>
      <c r="H60" s="870" t="s">
        <v>730</v>
      </c>
      <c r="I60" s="338" t="s">
        <v>2197</v>
      </c>
      <c r="J60" s="338" t="s">
        <v>731</v>
      </c>
      <c r="K60" s="338" t="s">
        <v>732</v>
      </c>
      <c r="L60" s="871"/>
      <c r="M60" s="871"/>
      <c r="N60" s="871" t="s">
        <v>2198</v>
      </c>
      <c r="O60" s="872"/>
      <c r="P60" s="871"/>
      <c r="Q60" s="306"/>
      <c r="U60" s="304" t="s">
        <v>2210</v>
      </c>
      <c r="V60" s="304" t="s">
        <v>2210</v>
      </c>
      <c r="X60" s="329">
        <v>44624</v>
      </c>
      <c r="Y60" s="329">
        <v>44624</v>
      </c>
      <c r="AA60" s="329"/>
      <c r="AB60" s="304" t="s">
        <v>733</v>
      </c>
      <c r="AC60" s="304">
        <v>0</v>
      </c>
      <c r="AD60" s="304">
        <v>0</v>
      </c>
      <c r="AE60" s="304">
        <v>0</v>
      </c>
      <c r="AF60" s="304">
        <v>0</v>
      </c>
      <c r="AG60" s="304">
        <v>0</v>
      </c>
      <c r="AH60" s="304">
        <v>1</v>
      </c>
      <c r="AI60" s="304">
        <v>41201</v>
      </c>
      <c r="AJ60" s="304">
        <v>2195</v>
      </c>
      <c r="AK60" s="304">
        <v>0</v>
      </c>
      <c r="AL60" s="304">
        <v>0</v>
      </c>
      <c r="AO60" s="332"/>
      <c r="AP60" s="332"/>
      <c r="AQ60" s="304" t="str">
        <f t="shared" si="2"/>
        <v/>
      </c>
      <c r="AS60" s="304" t="str">
        <f t="shared" si="3"/>
        <v>wci_corp</v>
      </c>
    </row>
    <row r="61" spans="2:45">
      <c r="B61" s="338" t="s">
        <v>2229</v>
      </c>
      <c r="C61" s="867">
        <v>44620</v>
      </c>
      <c r="D61" s="868">
        <v>284.81</v>
      </c>
      <c r="E61" s="868">
        <v>0</v>
      </c>
      <c r="F61" s="869" t="s">
        <v>729</v>
      </c>
      <c r="G61" s="338" t="s">
        <v>2246</v>
      </c>
      <c r="H61" s="870" t="s">
        <v>730</v>
      </c>
      <c r="I61" s="338" t="s">
        <v>2215</v>
      </c>
      <c r="J61" s="338" t="s">
        <v>2135</v>
      </c>
      <c r="K61" s="338" t="s">
        <v>732</v>
      </c>
      <c r="L61" s="871"/>
      <c r="M61" s="871"/>
      <c r="N61" s="871" t="s">
        <v>2215</v>
      </c>
      <c r="O61" s="872"/>
      <c r="P61" s="871"/>
      <c r="Q61" s="306"/>
      <c r="U61" s="304" t="s">
        <v>2236</v>
      </c>
      <c r="V61" s="304" t="s">
        <v>2236</v>
      </c>
      <c r="X61" s="329">
        <v>44627</v>
      </c>
      <c r="Y61" s="329">
        <v>44627</v>
      </c>
      <c r="AA61" s="329"/>
      <c r="AB61" s="304" t="s">
        <v>733</v>
      </c>
      <c r="AC61" s="304">
        <v>0</v>
      </c>
      <c r="AD61" s="304">
        <v>0</v>
      </c>
      <c r="AE61" s="304">
        <v>0</v>
      </c>
      <c r="AF61" s="304">
        <v>0</v>
      </c>
      <c r="AG61" s="304">
        <v>0</v>
      </c>
      <c r="AH61" s="304">
        <v>1</v>
      </c>
      <c r="AI61" s="304">
        <v>41201</v>
      </c>
      <c r="AJ61" s="304">
        <v>2195</v>
      </c>
      <c r="AK61" s="304">
        <v>0</v>
      </c>
      <c r="AL61" s="304">
        <v>99</v>
      </c>
      <c r="AO61" s="332"/>
      <c r="AP61" s="332"/>
      <c r="AQ61" s="304" t="str">
        <f t="shared" si="2"/>
        <v/>
      </c>
      <c r="AS61" s="304" t="str">
        <f t="shared" si="3"/>
        <v>wci_corp</v>
      </c>
    </row>
    <row r="62" spans="2:45">
      <c r="B62" s="338" t="s">
        <v>2224</v>
      </c>
      <c r="C62" s="867">
        <v>44629</v>
      </c>
      <c r="D62" s="868">
        <v>26568</v>
      </c>
      <c r="E62" s="868">
        <v>0</v>
      </c>
      <c r="F62" s="869" t="s">
        <v>729</v>
      </c>
      <c r="G62" s="338" t="s">
        <v>2245</v>
      </c>
      <c r="H62" s="870" t="s">
        <v>730</v>
      </c>
      <c r="I62" s="338" t="s">
        <v>1039</v>
      </c>
      <c r="J62" s="338" t="s">
        <v>1042</v>
      </c>
      <c r="K62" s="338" t="s">
        <v>732</v>
      </c>
      <c r="L62" s="871" t="s">
        <v>2244</v>
      </c>
      <c r="M62" s="871"/>
      <c r="N62" s="871" t="s">
        <v>2220</v>
      </c>
      <c r="O62" s="872">
        <v>44621</v>
      </c>
      <c r="P62" s="871" t="s">
        <v>2218</v>
      </c>
      <c r="Q62" s="712">
        <v>44593</v>
      </c>
      <c r="R62" s="304" t="s">
        <v>2243</v>
      </c>
      <c r="U62" s="304" t="s">
        <v>2242</v>
      </c>
      <c r="V62" s="304" t="s">
        <v>2241</v>
      </c>
      <c r="W62" s="304" t="s">
        <v>1287</v>
      </c>
      <c r="X62" s="329">
        <v>44629</v>
      </c>
      <c r="Y62" s="329">
        <v>44630</v>
      </c>
      <c r="Z62" s="304">
        <v>26568</v>
      </c>
      <c r="AA62" s="329">
        <v>44631</v>
      </c>
      <c r="AB62" s="304" t="s">
        <v>733</v>
      </c>
      <c r="AC62" s="304">
        <v>0</v>
      </c>
      <c r="AD62" s="304">
        <v>0</v>
      </c>
      <c r="AE62" s="304">
        <v>0</v>
      </c>
      <c r="AF62" s="304">
        <v>0</v>
      </c>
      <c r="AG62" s="304">
        <v>0</v>
      </c>
      <c r="AH62" s="304">
        <v>1</v>
      </c>
      <c r="AI62" s="304">
        <v>41201</v>
      </c>
      <c r="AJ62" s="304">
        <v>2195</v>
      </c>
      <c r="AK62" s="304">
        <v>0</v>
      </c>
      <c r="AL62" s="304">
        <v>0</v>
      </c>
      <c r="AO62" s="332"/>
      <c r="AP62" s="332"/>
      <c r="AQ62" s="304" t="str">
        <f t="shared" si="2"/>
        <v>VO06136862</v>
      </c>
      <c r="AS62" s="304" t="str">
        <f t="shared" si="3"/>
        <v>wci_corp</v>
      </c>
    </row>
    <row r="63" spans="2:45">
      <c r="B63" s="338" t="s">
        <v>2224</v>
      </c>
      <c r="C63" s="867">
        <v>44651</v>
      </c>
      <c r="D63" s="868">
        <v>-26568</v>
      </c>
      <c r="E63" s="868">
        <v>0</v>
      </c>
      <c r="F63" s="869" t="s">
        <v>729</v>
      </c>
      <c r="G63" s="338" t="s">
        <v>2240</v>
      </c>
      <c r="H63" s="870" t="s">
        <v>730</v>
      </c>
      <c r="I63" s="338" t="s">
        <v>2222</v>
      </c>
      <c r="J63" s="338" t="s">
        <v>736</v>
      </c>
      <c r="K63" s="338" t="s">
        <v>732</v>
      </c>
      <c r="L63" s="871"/>
      <c r="M63" s="871"/>
      <c r="N63" s="871" t="s">
        <v>2216</v>
      </c>
      <c r="O63" s="872"/>
      <c r="P63" s="871"/>
      <c r="Q63" s="306"/>
      <c r="U63" s="304" t="s">
        <v>2239</v>
      </c>
      <c r="V63" s="304" t="s">
        <v>2238</v>
      </c>
      <c r="X63" s="329">
        <v>44624</v>
      </c>
      <c r="Y63" s="329">
        <v>44625</v>
      </c>
      <c r="AA63" s="329"/>
      <c r="AB63" s="304" t="s">
        <v>733</v>
      </c>
      <c r="AC63" s="304">
        <v>0</v>
      </c>
      <c r="AD63" s="304">
        <v>0</v>
      </c>
      <c r="AE63" s="304">
        <v>0</v>
      </c>
      <c r="AF63" s="304">
        <v>0</v>
      </c>
      <c r="AG63" s="304">
        <v>5</v>
      </c>
      <c r="AH63" s="304">
        <v>1</v>
      </c>
      <c r="AI63" s="304">
        <v>41201</v>
      </c>
      <c r="AJ63" s="304">
        <v>2195</v>
      </c>
      <c r="AK63" s="304">
        <v>0</v>
      </c>
      <c r="AL63" s="304">
        <v>0</v>
      </c>
      <c r="AO63" s="332"/>
      <c r="AP63" s="332"/>
      <c r="AQ63" s="304" t="str">
        <f t="shared" si="2"/>
        <v/>
      </c>
      <c r="AS63" s="304" t="str">
        <f t="shared" si="3"/>
        <v>wci_corp</v>
      </c>
    </row>
    <row r="64" spans="2:45">
      <c r="B64" s="338" t="s">
        <v>2229</v>
      </c>
      <c r="C64" s="867">
        <v>44651</v>
      </c>
      <c r="D64" s="868">
        <v>-284.81</v>
      </c>
      <c r="E64" s="868">
        <v>0</v>
      </c>
      <c r="F64" s="869" t="s">
        <v>729</v>
      </c>
      <c r="G64" s="338" t="s">
        <v>2237</v>
      </c>
      <c r="H64" s="870" t="s">
        <v>730</v>
      </c>
      <c r="I64" s="338" t="s">
        <v>2215</v>
      </c>
      <c r="J64" s="338" t="s">
        <v>2192</v>
      </c>
      <c r="K64" s="338" t="s">
        <v>732</v>
      </c>
      <c r="L64" s="871"/>
      <c r="M64" s="871"/>
      <c r="N64" s="871" t="s">
        <v>2215</v>
      </c>
      <c r="O64" s="872"/>
      <c r="P64" s="871"/>
      <c r="Q64" s="306"/>
      <c r="U64" s="304" t="s">
        <v>2236</v>
      </c>
      <c r="V64" s="304" t="s">
        <v>2235</v>
      </c>
      <c r="X64" s="329">
        <v>44627</v>
      </c>
      <c r="Y64" s="329">
        <v>44627</v>
      </c>
      <c r="AA64" s="329"/>
      <c r="AB64" s="304" t="s">
        <v>733</v>
      </c>
      <c r="AC64" s="304">
        <v>0</v>
      </c>
      <c r="AD64" s="304">
        <v>0</v>
      </c>
      <c r="AE64" s="304">
        <v>0</v>
      </c>
      <c r="AF64" s="304">
        <v>0</v>
      </c>
      <c r="AG64" s="304">
        <v>5</v>
      </c>
      <c r="AH64" s="304">
        <v>1</v>
      </c>
      <c r="AI64" s="304">
        <v>41201</v>
      </c>
      <c r="AJ64" s="304">
        <v>2195</v>
      </c>
      <c r="AK64" s="304">
        <v>0</v>
      </c>
      <c r="AL64" s="304">
        <v>99</v>
      </c>
      <c r="AO64" s="332"/>
      <c r="AP64" s="332"/>
      <c r="AQ64" s="304" t="str">
        <f t="shared" si="2"/>
        <v/>
      </c>
      <c r="AS64" s="304" t="str">
        <f t="shared" si="3"/>
        <v>wci_corp</v>
      </c>
    </row>
    <row r="65" spans="2:45">
      <c r="B65" s="338" t="s">
        <v>2229</v>
      </c>
      <c r="C65" s="867">
        <v>44651</v>
      </c>
      <c r="D65" s="868">
        <v>307.04000000000002</v>
      </c>
      <c r="E65" s="868">
        <v>0</v>
      </c>
      <c r="F65" s="869" t="s">
        <v>729</v>
      </c>
      <c r="G65" s="338" t="s">
        <v>2234</v>
      </c>
      <c r="H65" s="870" t="s">
        <v>730</v>
      </c>
      <c r="I65" s="338" t="s">
        <v>2233</v>
      </c>
      <c r="J65" s="338" t="s">
        <v>2135</v>
      </c>
      <c r="K65" s="338" t="s">
        <v>732</v>
      </c>
      <c r="L65" s="871"/>
      <c r="M65" s="871"/>
      <c r="N65" s="871" t="s">
        <v>908</v>
      </c>
      <c r="O65" s="872"/>
      <c r="P65" s="871"/>
      <c r="Q65" s="306"/>
      <c r="U65" s="304" t="s">
        <v>2232</v>
      </c>
      <c r="V65" s="304" t="s">
        <v>2232</v>
      </c>
      <c r="X65" s="329">
        <v>44656</v>
      </c>
      <c r="Y65" s="329">
        <v>44656</v>
      </c>
      <c r="AA65" s="329"/>
      <c r="AB65" s="304" t="s">
        <v>733</v>
      </c>
      <c r="AC65" s="304">
        <v>0</v>
      </c>
      <c r="AD65" s="304">
        <v>0</v>
      </c>
      <c r="AE65" s="304">
        <v>0</v>
      </c>
      <c r="AF65" s="304">
        <v>0</v>
      </c>
      <c r="AG65" s="304">
        <v>0</v>
      </c>
      <c r="AH65" s="304">
        <v>1</v>
      </c>
      <c r="AI65" s="304">
        <v>41201</v>
      </c>
      <c r="AJ65" s="304">
        <v>2195</v>
      </c>
      <c r="AK65" s="304">
        <v>0</v>
      </c>
      <c r="AL65" s="304">
        <v>99</v>
      </c>
      <c r="AO65" s="332"/>
      <c r="AP65" s="332"/>
      <c r="AQ65" s="304" t="str">
        <f t="shared" si="2"/>
        <v/>
      </c>
      <c r="AS65" s="304" t="str">
        <f t="shared" si="3"/>
        <v>wci_corp</v>
      </c>
    </row>
    <row r="66" spans="2:45">
      <c r="B66" s="338" t="s">
        <v>2224</v>
      </c>
      <c r="C66" s="867">
        <v>44651</v>
      </c>
      <c r="D66" s="868">
        <v>28277.65</v>
      </c>
      <c r="E66" s="868">
        <v>0</v>
      </c>
      <c r="F66" s="869" t="s">
        <v>729</v>
      </c>
      <c r="G66" s="338" t="s">
        <v>2231</v>
      </c>
      <c r="H66" s="870" t="s">
        <v>730</v>
      </c>
      <c r="I66" s="338" t="s">
        <v>2060</v>
      </c>
      <c r="J66" s="338" t="s">
        <v>736</v>
      </c>
      <c r="K66" s="338" t="s">
        <v>732</v>
      </c>
      <c r="L66" s="871"/>
      <c r="M66" s="871"/>
      <c r="N66" s="871" t="s">
        <v>1281</v>
      </c>
      <c r="O66" s="872"/>
      <c r="P66" s="871"/>
      <c r="Q66" s="306"/>
      <c r="U66" s="304" t="s">
        <v>2230</v>
      </c>
      <c r="V66" s="304" t="s">
        <v>2230</v>
      </c>
      <c r="X66" s="329">
        <v>44657</v>
      </c>
      <c r="Y66" s="329">
        <v>44658</v>
      </c>
      <c r="AA66" s="329"/>
      <c r="AB66" s="304" t="s">
        <v>733</v>
      </c>
      <c r="AC66" s="304">
        <v>0</v>
      </c>
      <c r="AD66" s="304">
        <v>0</v>
      </c>
      <c r="AE66" s="304">
        <v>0</v>
      </c>
      <c r="AF66" s="304">
        <v>0</v>
      </c>
      <c r="AG66" s="304">
        <v>0</v>
      </c>
      <c r="AH66" s="304">
        <v>1</v>
      </c>
      <c r="AI66" s="304">
        <v>41201</v>
      </c>
      <c r="AJ66" s="304">
        <v>2195</v>
      </c>
      <c r="AK66" s="304">
        <v>0</v>
      </c>
      <c r="AL66" s="304">
        <v>0</v>
      </c>
      <c r="AO66" s="332"/>
      <c r="AP66" s="332"/>
      <c r="AQ66" s="304" t="str">
        <f t="shared" si="2"/>
        <v/>
      </c>
      <c r="AS66" s="304" t="str">
        <f t="shared" si="3"/>
        <v>wci_corp</v>
      </c>
    </row>
    <row r="67" spans="2:45">
      <c r="B67" s="338" t="s">
        <v>2229</v>
      </c>
      <c r="C67" s="867">
        <v>44651</v>
      </c>
      <c r="D67" s="868">
        <v>378.68</v>
      </c>
      <c r="E67" s="868">
        <v>0</v>
      </c>
      <c r="F67" s="869" t="s">
        <v>729</v>
      </c>
      <c r="G67" s="338" t="s">
        <v>2228</v>
      </c>
      <c r="H67" s="870" t="s">
        <v>730</v>
      </c>
      <c r="I67" s="338" t="s">
        <v>2214</v>
      </c>
      <c r="J67" s="338" t="s">
        <v>2192</v>
      </c>
      <c r="K67" s="338" t="s">
        <v>732</v>
      </c>
      <c r="L67" s="871"/>
      <c r="M67" s="871"/>
      <c r="N67" s="871" t="s">
        <v>2214</v>
      </c>
      <c r="O67" s="872"/>
      <c r="P67" s="871"/>
      <c r="Q67" s="306"/>
      <c r="U67" s="304" t="s">
        <v>2227</v>
      </c>
      <c r="V67" s="304" t="s">
        <v>2227</v>
      </c>
      <c r="X67" s="329">
        <v>44658</v>
      </c>
      <c r="Y67" s="329">
        <v>44658</v>
      </c>
      <c r="AA67" s="329"/>
      <c r="AB67" s="304" t="s">
        <v>733</v>
      </c>
      <c r="AC67" s="304">
        <v>0</v>
      </c>
      <c r="AD67" s="304">
        <v>0</v>
      </c>
      <c r="AE67" s="304">
        <v>0</v>
      </c>
      <c r="AF67" s="304">
        <v>0</v>
      </c>
      <c r="AG67" s="304">
        <v>0</v>
      </c>
      <c r="AH67" s="304">
        <v>1</v>
      </c>
      <c r="AI67" s="304">
        <v>41201</v>
      </c>
      <c r="AJ67" s="304">
        <v>2195</v>
      </c>
      <c r="AK67" s="304">
        <v>0</v>
      </c>
      <c r="AL67" s="304">
        <v>99</v>
      </c>
      <c r="AO67" s="332"/>
      <c r="AP67" s="332"/>
      <c r="AQ67" s="304" t="str">
        <f t="shared" si="2"/>
        <v/>
      </c>
      <c r="AS67" s="304" t="str">
        <f t="shared" si="3"/>
        <v>wci_corp</v>
      </c>
    </row>
    <row r="68" spans="2:45">
      <c r="B68" s="338" t="s">
        <v>2224</v>
      </c>
      <c r="C68" s="867">
        <v>44651</v>
      </c>
      <c r="D68" s="868">
        <v>-42.73</v>
      </c>
      <c r="E68" s="868">
        <v>0</v>
      </c>
      <c r="F68" s="869" t="s">
        <v>729</v>
      </c>
      <c r="G68" s="338" t="s">
        <v>2226</v>
      </c>
      <c r="H68" s="870" t="s">
        <v>730</v>
      </c>
      <c r="I68" s="338" t="s">
        <v>2063</v>
      </c>
      <c r="J68" s="338" t="s">
        <v>2135</v>
      </c>
      <c r="K68" s="338" t="s">
        <v>732</v>
      </c>
      <c r="L68" s="871"/>
      <c r="M68" s="871"/>
      <c r="N68" s="871" t="s">
        <v>2086</v>
      </c>
      <c r="O68" s="872"/>
      <c r="P68" s="871"/>
      <c r="Q68" s="306"/>
      <c r="U68" s="304" t="s">
        <v>2225</v>
      </c>
      <c r="V68" s="304" t="s">
        <v>2225</v>
      </c>
      <c r="X68" s="329">
        <v>44658</v>
      </c>
      <c r="Y68" s="329">
        <v>44658</v>
      </c>
      <c r="AA68" s="329"/>
      <c r="AB68" s="304" t="s">
        <v>733</v>
      </c>
      <c r="AC68" s="304">
        <v>0</v>
      </c>
      <c r="AD68" s="304">
        <v>0</v>
      </c>
      <c r="AE68" s="304">
        <v>0</v>
      </c>
      <c r="AF68" s="304">
        <v>0</v>
      </c>
      <c r="AG68" s="304">
        <v>0</v>
      </c>
      <c r="AH68" s="304">
        <v>1</v>
      </c>
      <c r="AI68" s="304">
        <v>41201</v>
      </c>
      <c r="AJ68" s="304">
        <v>2195</v>
      </c>
      <c r="AK68" s="304">
        <v>0</v>
      </c>
      <c r="AL68" s="304">
        <v>0</v>
      </c>
      <c r="AO68" s="332"/>
      <c r="AP68" s="332"/>
      <c r="AQ68" s="304" t="str">
        <f t="shared" si="2"/>
        <v/>
      </c>
      <c r="AS68" s="304" t="str">
        <f t="shared" si="3"/>
        <v>wci_corp</v>
      </c>
    </row>
    <row r="69" spans="2:45">
      <c r="B69" s="338" t="s">
        <v>2224</v>
      </c>
      <c r="C69" s="867">
        <v>44651</v>
      </c>
      <c r="D69" s="868">
        <v>-2853.25</v>
      </c>
      <c r="E69" s="868">
        <v>0</v>
      </c>
      <c r="F69" s="869" t="s">
        <v>729</v>
      </c>
      <c r="G69" s="338" t="s">
        <v>2226</v>
      </c>
      <c r="H69" s="870" t="s">
        <v>730</v>
      </c>
      <c r="I69" s="338" t="s">
        <v>2063</v>
      </c>
      <c r="J69" s="338" t="s">
        <v>2135</v>
      </c>
      <c r="K69" s="338" t="s">
        <v>732</v>
      </c>
      <c r="L69" s="871"/>
      <c r="M69" s="871"/>
      <c r="N69" s="871" t="s">
        <v>2213</v>
      </c>
      <c r="O69" s="872"/>
      <c r="P69" s="871"/>
      <c r="Q69" s="306"/>
      <c r="U69" s="304" t="s">
        <v>2225</v>
      </c>
      <c r="V69" s="304" t="s">
        <v>2225</v>
      </c>
      <c r="X69" s="329">
        <v>44658</v>
      </c>
      <c r="Y69" s="329">
        <v>44658</v>
      </c>
      <c r="AA69" s="329"/>
      <c r="AB69" s="304" t="s">
        <v>733</v>
      </c>
      <c r="AC69" s="304">
        <v>0</v>
      </c>
      <c r="AD69" s="304">
        <v>0</v>
      </c>
      <c r="AE69" s="304">
        <v>0</v>
      </c>
      <c r="AF69" s="304">
        <v>0</v>
      </c>
      <c r="AG69" s="304">
        <v>0</v>
      </c>
      <c r="AH69" s="304">
        <v>1</v>
      </c>
      <c r="AI69" s="304">
        <v>41201</v>
      </c>
      <c r="AJ69" s="304">
        <v>2195</v>
      </c>
      <c r="AK69" s="304">
        <v>0</v>
      </c>
      <c r="AL69" s="304">
        <v>0</v>
      </c>
      <c r="AO69" s="332"/>
      <c r="AP69" s="332"/>
      <c r="AQ69" s="304" t="str">
        <f t="shared" si="2"/>
        <v/>
      </c>
      <c r="AS69" s="304" t="str">
        <f t="shared" si="3"/>
        <v>wci_corp</v>
      </c>
    </row>
    <row r="70" spans="2:45">
      <c r="B70" s="338" t="s">
        <v>2224</v>
      </c>
      <c r="C70" s="867">
        <v>44651</v>
      </c>
      <c r="D70" s="868">
        <v>28334.3</v>
      </c>
      <c r="E70" s="868">
        <v>0</v>
      </c>
      <c r="F70" s="869" t="s">
        <v>729</v>
      </c>
      <c r="G70" s="338" t="s">
        <v>2223</v>
      </c>
      <c r="H70" s="870" t="s">
        <v>730</v>
      </c>
      <c r="I70" s="338" t="s">
        <v>2222</v>
      </c>
      <c r="J70" s="338" t="s">
        <v>736</v>
      </c>
      <c r="K70" s="338" t="s">
        <v>732</v>
      </c>
      <c r="L70" s="871"/>
      <c r="M70" s="871"/>
      <c r="N70" s="871" t="s">
        <v>2216</v>
      </c>
      <c r="O70" s="872"/>
      <c r="P70" s="871"/>
      <c r="Q70" s="306"/>
      <c r="U70" s="304" t="s">
        <v>2221</v>
      </c>
      <c r="V70" s="304" t="s">
        <v>2221</v>
      </c>
      <c r="X70" s="329">
        <v>44658</v>
      </c>
      <c r="Y70" s="329">
        <v>44658</v>
      </c>
      <c r="AA70" s="329"/>
      <c r="AB70" s="304" t="s">
        <v>733</v>
      </c>
      <c r="AC70" s="304">
        <v>0</v>
      </c>
      <c r="AD70" s="304">
        <v>0</v>
      </c>
      <c r="AE70" s="304">
        <v>0</v>
      </c>
      <c r="AF70" s="304">
        <v>0</v>
      </c>
      <c r="AG70" s="304">
        <v>0</v>
      </c>
      <c r="AH70" s="304">
        <v>1</v>
      </c>
      <c r="AI70" s="304">
        <v>41201</v>
      </c>
      <c r="AJ70" s="304">
        <v>2195</v>
      </c>
      <c r="AK70" s="304">
        <v>0</v>
      </c>
      <c r="AL70" s="304">
        <v>0</v>
      </c>
      <c r="AO70" s="332"/>
      <c r="AP70" s="332"/>
      <c r="AQ70" s="304" t="str">
        <f t="shared" si="2"/>
        <v/>
      </c>
      <c r="AS70" s="304" t="str">
        <f t="shared" si="3"/>
        <v>wci_corp</v>
      </c>
    </row>
    <row r="71" spans="2:45">
      <c r="B71" s="338"/>
      <c r="C71" s="867"/>
      <c r="D71" s="859"/>
      <c r="E71" s="859"/>
      <c r="F71" s="859"/>
      <c r="G71" s="338"/>
      <c r="H71" s="873"/>
      <c r="I71" s="338"/>
      <c r="J71" s="338"/>
      <c r="K71" s="338"/>
      <c r="L71" s="338"/>
      <c r="M71" s="338"/>
      <c r="N71" s="338"/>
      <c r="O71" s="338"/>
      <c r="P71" s="338"/>
    </row>
    <row r="72" spans="2:45">
      <c r="B72" s="338" t="s">
        <v>738</v>
      </c>
      <c r="C72" s="338"/>
      <c r="D72" s="859"/>
      <c r="E72" s="859"/>
      <c r="F72" s="859"/>
      <c r="G72" s="338"/>
      <c r="H72" s="873"/>
      <c r="I72" s="338"/>
      <c r="J72" s="338"/>
      <c r="K72" s="338"/>
      <c r="L72" s="338"/>
      <c r="M72" s="338"/>
      <c r="N72" s="338"/>
      <c r="O72" s="338"/>
      <c r="P72" s="338"/>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row>
    <row r="73" spans="2:45">
      <c r="H73" s="334"/>
    </row>
    <row r="74" spans="2:45">
      <c r="B74" s="1039" t="s">
        <v>739</v>
      </c>
      <c r="C74" s="874" t="s">
        <v>740</v>
      </c>
      <c r="D74" s="602" t="s">
        <v>1412</v>
      </c>
      <c r="E74" s="338"/>
      <c r="H74" s="334"/>
    </row>
    <row r="75" spans="2:45">
      <c r="B75" s="871" t="s">
        <v>1281</v>
      </c>
      <c r="C75" s="874">
        <v>55372.31</v>
      </c>
      <c r="D75" s="874">
        <v>55372.31</v>
      </c>
      <c r="E75" s="1040" t="s">
        <v>910</v>
      </c>
      <c r="H75" s="334"/>
    </row>
    <row r="76" spans="2:45">
      <c r="B76" s="871" t="s">
        <v>2198</v>
      </c>
      <c r="C76" s="874">
        <v>28150.14</v>
      </c>
      <c r="D76" s="874">
        <v>28150.14</v>
      </c>
      <c r="E76" s="1040" t="s">
        <v>910</v>
      </c>
      <c r="H76" s="334"/>
    </row>
    <row r="77" spans="2:45">
      <c r="B77" s="871" t="s">
        <v>2086</v>
      </c>
      <c r="C77" s="874">
        <v>-85.46</v>
      </c>
      <c r="D77" s="874">
        <v>-85.46</v>
      </c>
      <c r="E77" s="1040" t="s">
        <v>915</v>
      </c>
      <c r="H77" s="334"/>
    </row>
    <row r="78" spans="2:45">
      <c r="B78" s="871" t="s">
        <v>2124</v>
      </c>
      <c r="C78" s="874">
        <v>6.91</v>
      </c>
      <c r="D78" s="874">
        <v>6.91</v>
      </c>
      <c r="E78" s="1040" t="s">
        <v>1026</v>
      </c>
      <c r="H78" s="334"/>
    </row>
    <row r="79" spans="2:45">
      <c r="B79" s="871" t="s">
        <v>2072</v>
      </c>
      <c r="C79" s="874">
        <v>580.51</v>
      </c>
      <c r="D79" s="874">
        <v>580.51</v>
      </c>
      <c r="E79" s="1040" t="s">
        <v>2212</v>
      </c>
      <c r="H79" s="334"/>
    </row>
    <row r="80" spans="2:45">
      <c r="B80" s="871" t="s">
        <v>908</v>
      </c>
      <c r="C80" s="874">
        <v>581.33000000000004</v>
      </c>
      <c r="D80" s="874">
        <v>581.33000000000004</v>
      </c>
      <c r="E80" s="1040" t="s">
        <v>910</v>
      </c>
      <c r="H80" s="334"/>
    </row>
    <row r="81" spans="2:8">
      <c r="B81" s="871" t="s">
        <v>2220</v>
      </c>
      <c r="C81" s="874">
        <v>335462.18000000005</v>
      </c>
      <c r="D81" s="874">
        <v>335462.18000000005</v>
      </c>
      <c r="E81" s="1040" t="s">
        <v>741</v>
      </c>
      <c r="H81" s="334"/>
    </row>
    <row r="82" spans="2:8">
      <c r="B82" s="871" t="s">
        <v>2219</v>
      </c>
      <c r="C82" s="874">
        <v>-28310.31</v>
      </c>
      <c r="D82" s="874">
        <v>-28310.31</v>
      </c>
      <c r="E82" s="1040" t="s">
        <v>741</v>
      </c>
      <c r="H82" s="334"/>
    </row>
    <row r="83" spans="2:8">
      <c r="B83" s="871" t="s">
        <v>2218</v>
      </c>
      <c r="C83" s="874">
        <v>0</v>
      </c>
      <c r="D83" s="874">
        <v>0</v>
      </c>
      <c r="E83" s="1040"/>
      <c r="H83" s="334"/>
    </row>
    <row r="84" spans="2:8">
      <c r="B84" s="871" t="s">
        <v>2217</v>
      </c>
      <c r="C84" s="874">
        <v>254.43</v>
      </c>
      <c r="D84" s="874">
        <v>254.43</v>
      </c>
      <c r="E84" s="1040" t="s">
        <v>910</v>
      </c>
      <c r="H84" s="334"/>
    </row>
    <row r="85" spans="2:8">
      <c r="B85" s="871" t="s">
        <v>2216</v>
      </c>
      <c r="C85" s="874">
        <v>28334.3</v>
      </c>
      <c r="D85" s="874">
        <v>28334.3</v>
      </c>
      <c r="E85" s="1040" t="s">
        <v>741</v>
      </c>
      <c r="H85" s="334"/>
    </row>
    <row r="86" spans="2:8">
      <c r="B86" s="871" t="s">
        <v>2215</v>
      </c>
      <c r="C86" s="874">
        <v>0</v>
      </c>
      <c r="D86" s="874">
        <v>0</v>
      </c>
      <c r="E86" s="1040" t="s">
        <v>910</v>
      </c>
      <c r="H86" s="334"/>
    </row>
    <row r="87" spans="2:8">
      <c r="B87" s="871" t="s">
        <v>2214</v>
      </c>
      <c r="C87" s="874">
        <v>378.68</v>
      </c>
      <c r="D87" s="874">
        <v>378.68</v>
      </c>
      <c r="E87" s="1040" t="s">
        <v>910</v>
      </c>
      <c r="H87" s="334"/>
    </row>
    <row r="88" spans="2:8">
      <c r="B88" s="871" t="s">
        <v>2213</v>
      </c>
      <c r="C88" s="874">
        <v>-2853.25</v>
      </c>
      <c r="D88" s="874">
        <v>-2853.25</v>
      </c>
      <c r="E88" s="1040" t="s">
        <v>910</v>
      </c>
      <c r="H88" s="334"/>
    </row>
    <row r="89" spans="2:8">
      <c r="B89" s="871" t="s">
        <v>742</v>
      </c>
      <c r="C89" s="874">
        <v>417871.77</v>
      </c>
      <c r="D89" s="390">
        <v>417871.77</v>
      </c>
      <c r="E89" s="1040"/>
      <c r="H89" s="334"/>
    </row>
    <row r="90" spans="2:8">
      <c r="B90" s="338"/>
      <c r="C90" s="338"/>
      <c r="D90" s="338"/>
      <c r="E90" s="338"/>
    </row>
    <row r="91" spans="2:8">
      <c r="B91" s="338"/>
      <c r="C91" s="338"/>
      <c r="D91" s="338"/>
      <c r="E91" s="338"/>
    </row>
    <row r="92" spans="2:8" ht="15">
      <c r="B92" s="1041" t="s">
        <v>910</v>
      </c>
      <c r="C92" s="338" t="s">
        <v>911</v>
      </c>
      <c r="D92" s="1037">
        <f t="shared" ref="D92:D98" si="4">+SUMIF($E$75:$E$89,B92,$D$75:$D$89)</f>
        <v>81883.639999999985</v>
      </c>
      <c r="E92" s="338"/>
    </row>
    <row r="93" spans="2:8" ht="15">
      <c r="B93" s="1041" t="s">
        <v>915</v>
      </c>
      <c r="C93" s="338" t="s">
        <v>1023</v>
      </c>
      <c r="D93" s="1037">
        <f t="shared" si="4"/>
        <v>-85.46</v>
      </c>
      <c r="E93" s="338"/>
    </row>
    <row r="94" spans="2:8" ht="15">
      <c r="B94" s="1041" t="s">
        <v>1026</v>
      </c>
      <c r="C94" s="338" t="s">
        <v>1278</v>
      </c>
      <c r="D94" s="1037">
        <f t="shared" si="4"/>
        <v>6.91</v>
      </c>
      <c r="E94" s="338"/>
    </row>
    <row r="95" spans="2:8" ht="15">
      <c r="B95" s="1041" t="s">
        <v>1277</v>
      </c>
      <c r="C95" s="338" t="s">
        <v>1276</v>
      </c>
      <c r="D95" s="1037">
        <f t="shared" si="4"/>
        <v>0</v>
      </c>
      <c r="E95" s="338"/>
    </row>
    <row r="96" spans="2:8" ht="15">
      <c r="B96" s="1041" t="s">
        <v>741</v>
      </c>
      <c r="C96" s="338" t="s">
        <v>549</v>
      </c>
      <c r="D96" s="1037">
        <f t="shared" si="4"/>
        <v>335486.17000000004</v>
      </c>
      <c r="E96" s="338"/>
    </row>
    <row r="97" spans="2:5" ht="15">
      <c r="B97" s="1041" t="s">
        <v>2212</v>
      </c>
      <c r="C97" s="338" t="s">
        <v>2211</v>
      </c>
      <c r="D97" s="1037">
        <f t="shared" si="4"/>
        <v>580.51</v>
      </c>
      <c r="E97" s="338"/>
    </row>
    <row r="98" spans="2:5" ht="15">
      <c r="B98" s="1040" t="s">
        <v>1280</v>
      </c>
      <c r="C98" s="338" t="s">
        <v>1288</v>
      </c>
      <c r="D98" s="604">
        <f t="shared" si="4"/>
        <v>0</v>
      </c>
      <c r="E98" s="338"/>
    </row>
    <row r="99" spans="2:5">
      <c r="B99" s="338"/>
      <c r="C99" s="338"/>
      <c r="D99" s="1038">
        <f>+SUM(D92:D98)</f>
        <v>417871.77</v>
      </c>
      <c r="E99" s="338"/>
    </row>
    <row r="100" spans="2:5">
      <c r="B100" s="338"/>
      <c r="C100" s="338" t="s">
        <v>179</v>
      </c>
      <c r="D100" s="1038">
        <f>D89-D99</f>
        <v>0</v>
      </c>
      <c r="E100" s="338"/>
    </row>
  </sheetData>
  <autoFilter ref="B19:AQ19" xr:uid="{00000000-0009-0000-0000-000015000000}"/>
  <dataValidations count="1">
    <dataValidation type="list" allowBlank="1" showInputMessage="1" showErrorMessage="1" sqref="P15" xr:uid="{00000000-0002-0000-1500-000000000000}">
      <formula1>"All,Posted/Unposted,Posted,Unposted,Staged"</formula1>
    </dataValidation>
  </dataValidations>
  <pageMargins left="0.27" right="0.28999999999999998" top="0.37" bottom="0.43" header="0.25" footer="0.25"/>
  <pageSetup scale="35" fitToHeight="0" orientation="landscape" r:id="rId2"/>
  <headerFooter alignWithMargins="0">
    <oddHeader>&amp;L&amp;8 &amp;R&amp;8 &amp;D-&amp;T-Jeff Honsowetz</oddHeader>
    <oddFooter>&amp;L&amp;"Arial"&amp;L&amp;08 Path:D:\Data_WCNX\Financials\MidMonths\BrentProject\\&amp;F-&amp;A&amp;R&amp;"Arial"&amp;R&amp;08  Page &amp;P</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AS136"/>
  <sheetViews>
    <sheetView showGridLines="0" view="pageBreakPreview" topLeftCell="A9" zoomScale="60" zoomScaleNormal="80" workbookViewId="0">
      <pane xSplit="1" ySplit="11" topLeftCell="B92" activePane="bottomRight" state="frozen"/>
      <selection activeCell="AL35" sqref="AL35"/>
      <selection pane="topRight" activeCell="AL35" sqref="AL35"/>
      <selection pane="bottomLeft" activeCell="AL35" sqref="AL35"/>
      <selection pane="bottomRight" activeCell="AL35" sqref="AL35"/>
    </sheetView>
  </sheetViews>
  <sheetFormatPr defaultColWidth="9.140625" defaultRowHeight="12.75" outlineLevelRow="1"/>
  <cols>
    <col min="1" max="1" width="2.7109375" style="304" customWidth="1"/>
    <col min="2" max="2" width="31.570312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_xll.ReportDrill('[71]JE Lookup'!B1,,_xll.PairGroup(_xll.Pair(G20:G94,'[71]JE Lookup'!N8),_xll.Pair(AB20:AB94,'[71]JE Lookup'!N7)),"JE Lookup")</f>
        <v>OK!: ReportDrill 'JE Lookup' Formula OK [jAction{}]</v>
      </c>
      <c r="U4" s="304" t="str">
        <f ca="1">_xll.ReportDrill(,"APDrill",_xll.PairGroup(_xll.PairExt(AQ20:AQ94,"H8")),"AP Detail")</f>
        <v>OK!: ReportDrill 'AP Detail' Formula OK [jAction{}]</v>
      </c>
      <c r="Y4" s="304" t="str">
        <f ca="1">_xll.ReportDrill(,"JEStaged_DrillToDetail",_xll.PairGroup(_xll.PairExt(Q19:Q94,"dControlNum",TRUE),_xll.PairExt(AP19:AP94,"dDistrict",TRUE),_xll.PairExt(AO19:AO94,"dApplyMonth",TRUE)),"JE Staged Details")</f>
        <v>OK!: ReportDrill 'JE Staged Details' Formula OK [jAction{}]</v>
      </c>
    </row>
    <row r="5" spans="1:43" hidden="1" outlineLevel="1">
      <c r="B5" s="304" t="str">
        <f ca="1">_xll.ReportRange("JEQuery_WithStaged",B20:AS93,B2:AS2,,_xll.Param(DateFrom,DateTo,IF(M12="","all",M12),M13,M14,M15,P12,P13,P14,P15,EntrieShownLimit,IF(DateFrom="",DateFrom,),IF(DateTo="",DateTo,)),TRUE)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_xll.ReportDrill('[71]JE Lookup'!B1,,_xll.PairGroup(_xll.Pair(V20:V94,'[71]JE Lookup'!N8),_xll.Pair(AS20:AS94,'[71]JE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907</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SUM(D19:D94)</f>
        <v>253321.65000000002</v>
      </c>
      <c r="E16" s="321">
        <f>SUM(E19:E94)</f>
        <v>0</v>
      </c>
      <c r="F16" s="304" t="s">
        <v>685</v>
      </c>
      <c r="N16" s="322"/>
      <c r="O16" s="322"/>
      <c r="P16" s="322"/>
      <c r="Q16" s="322"/>
    </row>
    <row r="17" spans="2:45">
      <c r="B17" s="319" t="s">
        <v>686</v>
      </c>
      <c r="C17" s="320"/>
      <c r="D17" s="323">
        <f>COUNT(D20:D95)</f>
        <v>73</v>
      </c>
      <c r="E17" s="323">
        <f>COUNT(E20:E95)</f>
        <v>73</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716" t="s">
        <v>689</v>
      </c>
      <c r="C19" s="714" t="s">
        <v>690</v>
      </c>
      <c r="D19" s="719" t="s">
        <v>691</v>
      </c>
      <c r="E19" s="719" t="s">
        <v>692</v>
      </c>
      <c r="F19" s="719" t="s">
        <v>693</v>
      </c>
      <c r="G19" s="718" t="s">
        <v>694</v>
      </c>
      <c r="H19" s="716" t="s">
        <v>695</v>
      </c>
      <c r="I19" s="716" t="s">
        <v>696</v>
      </c>
      <c r="J19" s="716" t="s">
        <v>634</v>
      </c>
      <c r="K19" s="716" t="s">
        <v>697</v>
      </c>
      <c r="L19" s="716" t="s">
        <v>698</v>
      </c>
      <c r="M19" s="716" t="s">
        <v>699</v>
      </c>
      <c r="N19" s="716" t="s">
        <v>700</v>
      </c>
      <c r="O19" s="717" t="s">
        <v>701</v>
      </c>
      <c r="P19" s="716" t="s">
        <v>702</v>
      </c>
      <c r="Q19" s="716" t="s">
        <v>703</v>
      </c>
      <c r="R19" s="716" t="s">
        <v>704</v>
      </c>
      <c r="S19" s="716" t="s">
        <v>705</v>
      </c>
      <c r="T19" s="716" t="s">
        <v>706</v>
      </c>
      <c r="U19" s="716" t="s">
        <v>707</v>
      </c>
      <c r="V19" s="716" t="s">
        <v>708</v>
      </c>
      <c r="W19" s="716" t="s">
        <v>709</v>
      </c>
      <c r="X19" s="716" t="s">
        <v>710</v>
      </c>
      <c r="Y19" s="716" t="s">
        <v>711</v>
      </c>
      <c r="Z19" s="716" t="s">
        <v>712</v>
      </c>
      <c r="AA19" s="716" t="s">
        <v>713</v>
      </c>
      <c r="AB19" s="716" t="s">
        <v>714</v>
      </c>
      <c r="AC19" s="715" t="s">
        <v>715</v>
      </c>
      <c r="AD19" s="715" t="s">
        <v>716</v>
      </c>
      <c r="AE19" s="715" t="s">
        <v>717</v>
      </c>
      <c r="AF19" s="715" t="s">
        <v>718</v>
      </c>
      <c r="AG19" s="715" t="s">
        <v>719</v>
      </c>
      <c r="AH19" s="715" t="s">
        <v>720</v>
      </c>
      <c r="AI19" s="714" t="s">
        <v>721</v>
      </c>
      <c r="AJ19" s="714" t="s">
        <v>722</v>
      </c>
      <c r="AK19" s="714" t="s">
        <v>723</v>
      </c>
      <c r="AL19" s="714" t="s">
        <v>724</v>
      </c>
      <c r="AM19" s="714" t="s">
        <v>725</v>
      </c>
      <c r="AN19" s="714" t="s">
        <v>663</v>
      </c>
      <c r="AO19" s="713" t="s">
        <v>726</v>
      </c>
      <c r="AP19" s="713" t="s">
        <v>727</v>
      </c>
      <c r="AQ19" s="713" t="s">
        <v>728</v>
      </c>
    </row>
    <row r="20" spans="2:45">
      <c r="B20" s="304" t="s">
        <v>1282</v>
      </c>
      <c r="C20" s="329">
        <v>44316</v>
      </c>
      <c r="D20" s="330">
        <v>-232.06</v>
      </c>
      <c r="E20" s="330">
        <v>0</v>
      </c>
      <c r="F20" s="331" t="s">
        <v>729</v>
      </c>
      <c r="G20" s="304" t="s">
        <v>2052</v>
      </c>
      <c r="H20" s="332" t="s">
        <v>730</v>
      </c>
      <c r="I20" s="304" t="s">
        <v>2053</v>
      </c>
      <c r="J20" s="304" t="s">
        <v>1285</v>
      </c>
      <c r="K20" s="304" t="s">
        <v>732</v>
      </c>
      <c r="L20" s="306"/>
      <c r="M20" s="306"/>
      <c r="N20" s="306" t="s">
        <v>2053</v>
      </c>
      <c r="O20" s="324"/>
      <c r="P20" s="306"/>
      <c r="Q20" s="306"/>
      <c r="U20" s="304" t="s">
        <v>2054</v>
      </c>
      <c r="V20" s="304" t="s">
        <v>2055</v>
      </c>
      <c r="X20" s="329">
        <v>44293</v>
      </c>
      <c r="Y20" s="329">
        <v>44293</v>
      </c>
      <c r="AA20" s="329"/>
      <c r="AB20" s="304" t="s">
        <v>733</v>
      </c>
      <c r="AC20" s="304">
        <v>0</v>
      </c>
      <c r="AD20" s="304">
        <v>0</v>
      </c>
      <c r="AE20" s="304">
        <v>0</v>
      </c>
      <c r="AF20" s="304">
        <v>0</v>
      </c>
      <c r="AG20" s="304">
        <v>5</v>
      </c>
      <c r="AH20" s="304">
        <v>1</v>
      </c>
      <c r="AI20" s="304">
        <v>43001</v>
      </c>
      <c r="AJ20" s="304">
        <v>2195</v>
      </c>
      <c r="AK20" s="304">
        <v>0</v>
      </c>
      <c r="AL20" s="304">
        <v>99</v>
      </c>
      <c r="AO20" s="332"/>
      <c r="AP20" s="332"/>
      <c r="AQ20" s="304" t="str">
        <f t="shared" ref="AQ20:AQ51" si="0">IF(LEFT(U20,2)="VO",U20,"")</f>
        <v/>
      </c>
      <c r="AS20" s="304" t="str">
        <f t="shared" ref="AS20:AS51" si="1">IF(RIGHT(K20,2)="IC",IF(OR(AB20="wci_canada",AB20="wci_can_corp"),"wci_can_Corp","wci_corp"),AB20)</f>
        <v>wci_corp</v>
      </c>
    </row>
    <row r="21" spans="2:45">
      <c r="B21" s="304" t="s">
        <v>1282</v>
      </c>
      <c r="C21" s="329">
        <v>44316</v>
      </c>
      <c r="D21" s="330">
        <v>232</v>
      </c>
      <c r="E21" s="330">
        <v>0</v>
      </c>
      <c r="F21" s="331" t="s">
        <v>729</v>
      </c>
      <c r="G21" s="304" t="s">
        <v>2056</v>
      </c>
      <c r="H21" s="332" t="s">
        <v>730</v>
      </c>
      <c r="I21" s="304" t="s">
        <v>2057</v>
      </c>
      <c r="J21" s="304" t="s">
        <v>737</v>
      </c>
      <c r="K21" s="304" t="s">
        <v>732</v>
      </c>
      <c r="L21" s="306"/>
      <c r="M21" s="306"/>
      <c r="N21" s="306" t="s">
        <v>908</v>
      </c>
      <c r="O21" s="324"/>
      <c r="P21" s="306"/>
      <c r="Q21" s="306"/>
      <c r="U21" s="304" t="s">
        <v>2058</v>
      </c>
      <c r="V21" s="304" t="s">
        <v>2058</v>
      </c>
      <c r="X21" s="329">
        <v>44321</v>
      </c>
      <c r="Y21" s="329">
        <v>44322</v>
      </c>
      <c r="AA21" s="329"/>
      <c r="AB21" s="304" t="s">
        <v>733</v>
      </c>
      <c r="AC21" s="304">
        <v>0</v>
      </c>
      <c r="AD21" s="304">
        <v>0</v>
      </c>
      <c r="AE21" s="304">
        <v>0</v>
      </c>
      <c r="AF21" s="304">
        <v>0</v>
      </c>
      <c r="AG21" s="304">
        <v>0</v>
      </c>
      <c r="AH21" s="304">
        <v>1</v>
      </c>
      <c r="AI21" s="304">
        <v>43001</v>
      </c>
      <c r="AJ21" s="304">
        <v>2195</v>
      </c>
      <c r="AK21" s="304">
        <v>0</v>
      </c>
      <c r="AL21" s="304">
        <v>99</v>
      </c>
      <c r="AO21" s="332"/>
      <c r="AP21" s="332"/>
      <c r="AQ21" s="304" t="str">
        <f t="shared" si="0"/>
        <v/>
      </c>
      <c r="AS21" s="304" t="str">
        <f t="shared" si="1"/>
        <v>wci_corp</v>
      </c>
    </row>
    <row r="22" spans="2:45">
      <c r="B22" s="304" t="s">
        <v>1284</v>
      </c>
      <c r="C22" s="329">
        <v>44316</v>
      </c>
      <c r="D22" s="330">
        <v>25958.42</v>
      </c>
      <c r="E22" s="330">
        <v>0</v>
      </c>
      <c r="F22" s="331" t="s">
        <v>729</v>
      </c>
      <c r="G22" s="304" t="s">
        <v>2059</v>
      </c>
      <c r="H22" s="332" t="s">
        <v>730</v>
      </c>
      <c r="I22" s="304" t="s">
        <v>2060</v>
      </c>
      <c r="J22" s="304" t="s">
        <v>731</v>
      </c>
      <c r="K22" s="304" t="s">
        <v>732</v>
      </c>
      <c r="L22" s="306"/>
      <c r="M22" s="306"/>
      <c r="N22" s="306" t="s">
        <v>1281</v>
      </c>
      <c r="O22" s="324"/>
      <c r="P22" s="306"/>
      <c r="Q22" s="306"/>
      <c r="U22" s="304" t="s">
        <v>2061</v>
      </c>
      <c r="V22" s="304" t="s">
        <v>2061</v>
      </c>
      <c r="X22" s="329">
        <v>44322</v>
      </c>
      <c r="Y22" s="329">
        <v>44322</v>
      </c>
      <c r="AA22" s="329"/>
      <c r="AB22" s="304" t="s">
        <v>733</v>
      </c>
      <c r="AC22" s="304">
        <v>0</v>
      </c>
      <c r="AD22" s="304">
        <v>0</v>
      </c>
      <c r="AE22" s="304">
        <v>0</v>
      </c>
      <c r="AF22" s="304">
        <v>0</v>
      </c>
      <c r="AG22" s="304">
        <v>0</v>
      </c>
      <c r="AH22" s="304">
        <v>1</v>
      </c>
      <c r="AI22" s="304">
        <v>43001</v>
      </c>
      <c r="AJ22" s="304">
        <v>2195</v>
      </c>
      <c r="AK22" s="304">
        <v>0</v>
      </c>
      <c r="AL22" s="304">
        <v>0</v>
      </c>
      <c r="AO22" s="332"/>
      <c r="AP22" s="332"/>
      <c r="AQ22" s="304" t="str">
        <f t="shared" si="0"/>
        <v/>
      </c>
      <c r="AS22" s="304" t="str">
        <f t="shared" si="1"/>
        <v>wci_corp</v>
      </c>
    </row>
    <row r="23" spans="2:45">
      <c r="B23" s="304" t="s">
        <v>1284</v>
      </c>
      <c r="C23" s="329">
        <v>44316</v>
      </c>
      <c r="D23" s="330">
        <v>27.9</v>
      </c>
      <c r="E23" s="330">
        <v>0</v>
      </c>
      <c r="F23" s="331" t="s">
        <v>729</v>
      </c>
      <c r="G23" s="304" t="s">
        <v>2062</v>
      </c>
      <c r="H23" s="332" t="s">
        <v>730</v>
      </c>
      <c r="I23" s="304" t="s">
        <v>2063</v>
      </c>
      <c r="J23" s="304" t="s">
        <v>731</v>
      </c>
      <c r="K23" s="304" t="s">
        <v>732</v>
      </c>
      <c r="L23" s="306"/>
      <c r="M23" s="306"/>
      <c r="N23" s="306" t="s">
        <v>2064</v>
      </c>
      <c r="O23" s="324"/>
      <c r="P23" s="306"/>
      <c r="Q23" s="306"/>
      <c r="U23" s="304" t="s">
        <v>2065</v>
      </c>
      <c r="V23" s="304" t="s">
        <v>2065</v>
      </c>
      <c r="X23" s="329">
        <v>44322</v>
      </c>
      <c r="Y23" s="329">
        <v>44322</v>
      </c>
      <c r="AA23" s="329"/>
      <c r="AB23" s="304" t="s">
        <v>733</v>
      </c>
      <c r="AC23" s="304">
        <v>0</v>
      </c>
      <c r="AD23" s="304">
        <v>0</v>
      </c>
      <c r="AE23" s="304">
        <v>0</v>
      </c>
      <c r="AF23" s="304">
        <v>0</v>
      </c>
      <c r="AG23" s="304">
        <v>0</v>
      </c>
      <c r="AH23" s="304">
        <v>1</v>
      </c>
      <c r="AI23" s="304">
        <v>43001</v>
      </c>
      <c r="AJ23" s="304">
        <v>2195</v>
      </c>
      <c r="AK23" s="304">
        <v>0</v>
      </c>
      <c r="AL23" s="304">
        <v>0</v>
      </c>
      <c r="AO23" s="332"/>
      <c r="AP23" s="332"/>
      <c r="AQ23" s="304" t="str">
        <f t="shared" si="0"/>
        <v/>
      </c>
      <c r="AS23" s="304" t="str">
        <f t="shared" si="1"/>
        <v>wci_corp</v>
      </c>
    </row>
    <row r="24" spans="2:45">
      <c r="B24" s="304" t="s">
        <v>1284</v>
      </c>
      <c r="C24" s="329">
        <v>44316</v>
      </c>
      <c r="D24" s="330">
        <v>-726.51</v>
      </c>
      <c r="E24" s="330">
        <v>0</v>
      </c>
      <c r="F24" s="331" t="s">
        <v>729</v>
      </c>
      <c r="G24" s="304" t="s">
        <v>2062</v>
      </c>
      <c r="H24" s="332" t="s">
        <v>730</v>
      </c>
      <c r="I24" s="304" t="s">
        <v>2063</v>
      </c>
      <c r="J24" s="304" t="s">
        <v>731</v>
      </c>
      <c r="K24" s="304" t="s">
        <v>732</v>
      </c>
      <c r="L24" s="306"/>
      <c r="M24" s="306"/>
      <c r="N24" s="306" t="s">
        <v>2066</v>
      </c>
      <c r="O24" s="324"/>
      <c r="P24" s="306"/>
      <c r="Q24" s="306"/>
      <c r="U24" s="304" t="s">
        <v>2065</v>
      </c>
      <c r="V24" s="304" t="s">
        <v>2065</v>
      </c>
      <c r="X24" s="329">
        <v>44322</v>
      </c>
      <c r="Y24" s="329">
        <v>44322</v>
      </c>
      <c r="AA24" s="329"/>
      <c r="AB24" s="304" t="s">
        <v>733</v>
      </c>
      <c r="AC24" s="304">
        <v>0</v>
      </c>
      <c r="AD24" s="304">
        <v>0</v>
      </c>
      <c r="AE24" s="304">
        <v>0</v>
      </c>
      <c r="AF24" s="304">
        <v>0</v>
      </c>
      <c r="AG24" s="304">
        <v>0</v>
      </c>
      <c r="AH24" s="304">
        <v>1</v>
      </c>
      <c r="AI24" s="304">
        <v>43001</v>
      </c>
      <c r="AJ24" s="304">
        <v>2195</v>
      </c>
      <c r="AK24" s="304">
        <v>0</v>
      </c>
      <c r="AL24" s="304">
        <v>0</v>
      </c>
      <c r="AO24" s="332"/>
      <c r="AP24" s="332"/>
      <c r="AQ24" s="304" t="str">
        <f t="shared" si="0"/>
        <v/>
      </c>
      <c r="AS24" s="304" t="str">
        <f t="shared" si="1"/>
        <v>wci_corp</v>
      </c>
    </row>
    <row r="25" spans="2:45">
      <c r="B25" s="304" t="s">
        <v>1284</v>
      </c>
      <c r="C25" s="329">
        <v>44316</v>
      </c>
      <c r="D25" s="330">
        <v>917.95</v>
      </c>
      <c r="E25" s="330">
        <v>0</v>
      </c>
      <c r="F25" s="331" t="s">
        <v>729</v>
      </c>
      <c r="G25" s="304" t="s">
        <v>2067</v>
      </c>
      <c r="H25" s="332" t="s">
        <v>730</v>
      </c>
      <c r="I25" s="304" t="s">
        <v>2068</v>
      </c>
      <c r="J25" s="304" t="s">
        <v>736</v>
      </c>
      <c r="K25" s="304" t="s">
        <v>732</v>
      </c>
      <c r="L25" s="306"/>
      <c r="M25" s="306"/>
      <c r="N25" s="306" t="s">
        <v>2069</v>
      </c>
      <c r="O25" s="324"/>
      <c r="P25" s="306"/>
      <c r="Q25" s="306"/>
      <c r="U25" s="304" t="s">
        <v>2070</v>
      </c>
      <c r="V25" s="304" t="s">
        <v>2070</v>
      </c>
      <c r="X25" s="329">
        <v>44323</v>
      </c>
      <c r="Y25" s="329">
        <v>44323</v>
      </c>
      <c r="AA25" s="329"/>
      <c r="AB25" s="304" t="s">
        <v>733</v>
      </c>
      <c r="AC25" s="304">
        <v>0</v>
      </c>
      <c r="AD25" s="304">
        <v>0</v>
      </c>
      <c r="AE25" s="304">
        <v>0</v>
      </c>
      <c r="AF25" s="304">
        <v>0</v>
      </c>
      <c r="AG25" s="304">
        <v>0</v>
      </c>
      <c r="AH25" s="304">
        <v>1</v>
      </c>
      <c r="AI25" s="304">
        <v>43001</v>
      </c>
      <c r="AJ25" s="304">
        <v>2195</v>
      </c>
      <c r="AK25" s="304">
        <v>0</v>
      </c>
      <c r="AL25" s="304">
        <v>0</v>
      </c>
      <c r="AO25" s="332"/>
      <c r="AP25" s="332"/>
      <c r="AQ25" s="304" t="str">
        <f t="shared" si="0"/>
        <v/>
      </c>
      <c r="AS25" s="304" t="str">
        <f t="shared" si="1"/>
        <v>wci_corp</v>
      </c>
    </row>
    <row r="26" spans="2:45">
      <c r="B26" s="304" t="s">
        <v>1284</v>
      </c>
      <c r="C26" s="329">
        <v>44316</v>
      </c>
      <c r="D26" s="330">
        <v>61.38</v>
      </c>
      <c r="E26" s="330">
        <v>0</v>
      </c>
      <c r="F26" s="331" t="s">
        <v>729</v>
      </c>
      <c r="G26" s="304" t="s">
        <v>2067</v>
      </c>
      <c r="H26" s="332" t="s">
        <v>730</v>
      </c>
      <c r="I26" s="304" t="s">
        <v>2068</v>
      </c>
      <c r="J26" s="304" t="s">
        <v>736</v>
      </c>
      <c r="K26" s="304" t="s">
        <v>732</v>
      </c>
      <c r="L26" s="306"/>
      <c r="M26" s="306"/>
      <c r="N26" s="306" t="s">
        <v>2071</v>
      </c>
      <c r="O26" s="324"/>
      <c r="P26" s="306"/>
      <c r="Q26" s="306"/>
      <c r="U26" s="304" t="s">
        <v>2070</v>
      </c>
      <c r="V26" s="304" t="s">
        <v>2070</v>
      </c>
      <c r="X26" s="329">
        <v>44323</v>
      </c>
      <c r="Y26" s="329">
        <v>44323</v>
      </c>
      <c r="AA26" s="329"/>
      <c r="AB26" s="304" t="s">
        <v>733</v>
      </c>
      <c r="AC26" s="304">
        <v>0</v>
      </c>
      <c r="AD26" s="304">
        <v>0</v>
      </c>
      <c r="AE26" s="304">
        <v>0</v>
      </c>
      <c r="AF26" s="304">
        <v>0</v>
      </c>
      <c r="AG26" s="304">
        <v>0</v>
      </c>
      <c r="AH26" s="304">
        <v>1</v>
      </c>
      <c r="AI26" s="304">
        <v>43001</v>
      </c>
      <c r="AJ26" s="304">
        <v>2195</v>
      </c>
      <c r="AK26" s="304">
        <v>0</v>
      </c>
      <c r="AL26" s="304">
        <v>0</v>
      </c>
      <c r="AO26" s="332"/>
      <c r="AP26" s="332"/>
      <c r="AQ26" s="304" t="str">
        <f t="shared" si="0"/>
        <v/>
      </c>
      <c r="AS26" s="304" t="str">
        <f t="shared" si="1"/>
        <v>wci_corp</v>
      </c>
    </row>
    <row r="27" spans="2:45">
      <c r="B27" s="304" t="s">
        <v>1284</v>
      </c>
      <c r="C27" s="329">
        <v>44316</v>
      </c>
      <c r="D27" s="330">
        <v>499.37</v>
      </c>
      <c r="E27" s="330">
        <v>0</v>
      </c>
      <c r="F27" s="331" t="s">
        <v>729</v>
      </c>
      <c r="G27" s="304" t="s">
        <v>2067</v>
      </c>
      <c r="H27" s="332" t="s">
        <v>730</v>
      </c>
      <c r="I27" s="304" t="s">
        <v>2068</v>
      </c>
      <c r="J27" s="304" t="s">
        <v>736</v>
      </c>
      <c r="K27" s="304" t="s">
        <v>732</v>
      </c>
      <c r="L27" s="306"/>
      <c r="M27" s="306"/>
      <c r="N27" s="306" t="s">
        <v>2072</v>
      </c>
      <c r="O27" s="324"/>
      <c r="P27" s="306"/>
      <c r="Q27" s="306"/>
      <c r="U27" s="304" t="s">
        <v>2070</v>
      </c>
      <c r="V27" s="304" t="s">
        <v>2070</v>
      </c>
      <c r="X27" s="329">
        <v>44323</v>
      </c>
      <c r="Y27" s="329">
        <v>44323</v>
      </c>
      <c r="AA27" s="329"/>
      <c r="AB27" s="304" t="s">
        <v>733</v>
      </c>
      <c r="AC27" s="304">
        <v>0</v>
      </c>
      <c r="AD27" s="304">
        <v>0</v>
      </c>
      <c r="AE27" s="304">
        <v>0</v>
      </c>
      <c r="AF27" s="304">
        <v>0</v>
      </c>
      <c r="AG27" s="304">
        <v>0</v>
      </c>
      <c r="AH27" s="304">
        <v>1</v>
      </c>
      <c r="AI27" s="304">
        <v>43001</v>
      </c>
      <c r="AJ27" s="304">
        <v>2195</v>
      </c>
      <c r="AK27" s="304">
        <v>0</v>
      </c>
      <c r="AL27" s="304">
        <v>0</v>
      </c>
      <c r="AO27" s="332"/>
      <c r="AP27" s="332"/>
      <c r="AQ27" s="304" t="str">
        <f t="shared" si="0"/>
        <v/>
      </c>
      <c r="AS27" s="304" t="str">
        <f t="shared" si="1"/>
        <v>wci_corp</v>
      </c>
    </row>
    <row r="28" spans="2:45">
      <c r="B28" s="304" t="s">
        <v>1282</v>
      </c>
      <c r="C28" s="329">
        <v>44316</v>
      </c>
      <c r="D28" s="330">
        <v>247.3</v>
      </c>
      <c r="E28" s="330">
        <v>0</v>
      </c>
      <c r="F28" s="331" t="s">
        <v>729</v>
      </c>
      <c r="G28" s="304" t="s">
        <v>2073</v>
      </c>
      <c r="H28" s="332" t="s">
        <v>730</v>
      </c>
      <c r="I28" s="304" t="s">
        <v>2074</v>
      </c>
      <c r="J28" s="304" t="s">
        <v>736</v>
      </c>
      <c r="K28" s="304" t="s">
        <v>732</v>
      </c>
      <c r="L28" s="306"/>
      <c r="M28" s="306"/>
      <c r="N28" s="306" t="s">
        <v>2074</v>
      </c>
      <c r="O28" s="324"/>
      <c r="P28" s="306"/>
      <c r="Q28" s="306"/>
      <c r="U28" s="304" t="s">
        <v>2075</v>
      </c>
      <c r="V28" s="304" t="s">
        <v>2075</v>
      </c>
      <c r="X28" s="329">
        <v>44323</v>
      </c>
      <c r="Y28" s="329">
        <v>44323</v>
      </c>
      <c r="AA28" s="329"/>
      <c r="AB28" s="304" t="s">
        <v>733</v>
      </c>
      <c r="AC28" s="304">
        <v>0</v>
      </c>
      <c r="AD28" s="304">
        <v>0</v>
      </c>
      <c r="AE28" s="304">
        <v>0</v>
      </c>
      <c r="AF28" s="304">
        <v>0</v>
      </c>
      <c r="AG28" s="304">
        <v>0</v>
      </c>
      <c r="AH28" s="304">
        <v>1</v>
      </c>
      <c r="AI28" s="304">
        <v>43001</v>
      </c>
      <c r="AJ28" s="304">
        <v>2195</v>
      </c>
      <c r="AK28" s="304">
        <v>0</v>
      </c>
      <c r="AL28" s="304">
        <v>99</v>
      </c>
      <c r="AO28" s="332"/>
      <c r="AP28" s="332"/>
      <c r="AQ28" s="304" t="str">
        <f t="shared" si="0"/>
        <v/>
      </c>
      <c r="AS28" s="304" t="str">
        <f t="shared" si="1"/>
        <v>wci_corp</v>
      </c>
    </row>
    <row r="29" spans="2:45">
      <c r="B29" s="304" t="s">
        <v>1282</v>
      </c>
      <c r="C29" s="329">
        <v>44347</v>
      </c>
      <c r="D29" s="330">
        <v>-247.3</v>
      </c>
      <c r="E29" s="330">
        <v>0</v>
      </c>
      <c r="F29" s="331" t="s">
        <v>729</v>
      </c>
      <c r="G29" s="304" t="s">
        <v>2076</v>
      </c>
      <c r="H29" s="332" t="s">
        <v>730</v>
      </c>
      <c r="I29" s="304" t="s">
        <v>2074</v>
      </c>
      <c r="J29" s="304" t="s">
        <v>909</v>
      </c>
      <c r="K29" s="304" t="s">
        <v>732</v>
      </c>
      <c r="L29" s="306"/>
      <c r="M29" s="306"/>
      <c r="N29" s="306" t="s">
        <v>2074</v>
      </c>
      <c r="O29" s="324"/>
      <c r="P29" s="306"/>
      <c r="Q29" s="306"/>
      <c r="U29" s="304" t="s">
        <v>2075</v>
      </c>
      <c r="V29" s="304" t="s">
        <v>2077</v>
      </c>
      <c r="X29" s="329">
        <v>44323</v>
      </c>
      <c r="Y29" s="329">
        <v>44323</v>
      </c>
      <c r="AA29" s="329"/>
      <c r="AB29" s="304" t="s">
        <v>733</v>
      </c>
      <c r="AC29" s="304">
        <v>0</v>
      </c>
      <c r="AD29" s="304">
        <v>0</v>
      </c>
      <c r="AE29" s="304">
        <v>0</v>
      </c>
      <c r="AF29" s="304">
        <v>0</v>
      </c>
      <c r="AG29" s="304">
        <v>5</v>
      </c>
      <c r="AH29" s="304">
        <v>1</v>
      </c>
      <c r="AI29" s="304">
        <v>43001</v>
      </c>
      <c r="AJ29" s="304">
        <v>2195</v>
      </c>
      <c r="AK29" s="304">
        <v>0</v>
      </c>
      <c r="AL29" s="304">
        <v>99</v>
      </c>
      <c r="AO29" s="332"/>
      <c r="AP29" s="332"/>
      <c r="AQ29" s="304" t="str">
        <f t="shared" si="0"/>
        <v/>
      </c>
      <c r="AS29" s="304" t="str">
        <f t="shared" si="1"/>
        <v>wci_corp</v>
      </c>
    </row>
    <row r="30" spans="2:45">
      <c r="B30" s="304" t="s">
        <v>1282</v>
      </c>
      <c r="C30" s="329">
        <v>44347</v>
      </c>
      <c r="D30" s="330">
        <v>247.23</v>
      </c>
      <c r="E30" s="330">
        <v>0</v>
      </c>
      <c r="F30" s="331" t="s">
        <v>729</v>
      </c>
      <c r="G30" s="304" t="s">
        <v>2078</v>
      </c>
      <c r="H30" s="332" t="s">
        <v>730</v>
      </c>
      <c r="I30" s="304" t="s">
        <v>2079</v>
      </c>
      <c r="J30" s="304" t="s">
        <v>731</v>
      </c>
      <c r="K30" s="304" t="s">
        <v>732</v>
      </c>
      <c r="L30" s="306"/>
      <c r="M30" s="306"/>
      <c r="N30" s="306" t="s">
        <v>908</v>
      </c>
      <c r="O30" s="324"/>
      <c r="P30" s="306"/>
      <c r="Q30" s="306"/>
      <c r="U30" s="304" t="s">
        <v>2080</v>
      </c>
      <c r="V30" s="304" t="s">
        <v>2080</v>
      </c>
      <c r="X30" s="329">
        <v>44350</v>
      </c>
      <c r="Y30" s="329">
        <v>44350</v>
      </c>
      <c r="AA30" s="329"/>
      <c r="AB30" s="304" t="s">
        <v>733</v>
      </c>
      <c r="AC30" s="304">
        <v>0</v>
      </c>
      <c r="AD30" s="304">
        <v>0</v>
      </c>
      <c r="AE30" s="304">
        <v>0</v>
      </c>
      <c r="AF30" s="304">
        <v>0</v>
      </c>
      <c r="AG30" s="304">
        <v>0</v>
      </c>
      <c r="AH30" s="304">
        <v>1</v>
      </c>
      <c r="AI30" s="304">
        <v>43001</v>
      </c>
      <c r="AJ30" s="304">
        <v>2195</v>
      </c>
      <c r="AK30" s="304">
        <v>0</v>
      </c>
      <c r="AL30" s="304">
        <v>99</v>
      </c>
      <c r="AO30" s="332"/>
      <c r="AP30" s="332"/>
      <c r="AQ30" s="304" t="str">
        <f t="shared" si="0"/>
        <v/>
      </c>
      <c r="AS30" s="304" t="str">
        <f t="shared" si="1"/>
        <v>wci_corp</v>
      </c>
    </row>
    <row r="31" spans="2:45">
      <c r="B31" s="304" t="s">
        <v>1284</v>
      </c>
      <c r="C31" s="329">
        <v>44347</v>
      </c>
      <c r="D31" s="330">
        <v>27086.51</v>
      </c>
      <c r="E31" s="330">
        <v>0</v>
      </c>
      <c r="F31" s="331" t="s">
        <v>729</v>
      </c>
      <c r="G31" s="304" t="s">
        <v>2081</v>
      </c>
      <c r="H31" s="332" t="s">
        <v>730</v>
      </c>
      <c r="I31" s="304" t="s">
        <v>2060</v>
      </c>
      <c r="J31" s="304" t="s">
        <v>731</v>
      </c>
      <c r="K31" s="304" t="s">
        <v>732</v>
      </c>
      <c r="L31" s="306"/>
      <c r="M31" s="306"/>
      <c r="N31" s="306" t="s">
        <v>1281</v>
      </c>
      <c r="O31" s="324"/>
      <c r="P31" s="306"/>
      <c r="Q31" s="306"/>
      <c r="U31" s="304" t="s">
        <v>2082</v>
      </c>
      <c r="V31" s="304" t="s">
        <v>2082</v>
      </c>
      <c r="X31" s="329">
        <v>44350</v>
      </c>
      <c r="Y31" s="329">
        <v>44350</v>
      </c>
      <c r="AA31" s="329"/>
      <c r="AB31" s="304" t="s">
        <v>733</v>
      </c>
      <c r="AC31" s="304">
        <v>0</v>
      </c>
      <c r="AD31" s="304">
        <v>0</v>
      </c>
      <c r="AE31" s="304">
        <v>0</v>
      </c>
      <c r="AF31" s="304">
        <v>0</v>
      </c>
      <c r="AG31" s="304">
        <v>0</v>
      </c>
      <c r="AH31" s="304">
        <v>1</v>
      </c>
      <c r="AI31" s="304">
        <v>43001</v>
      </c>
      <c r="AJ31" s="304">
        <v>2195</v>
      </c>
      <c r="AK31" s="304">
        <v>0</v>
      </c>
      <c r="AL31" s="304">
        <v>0</v>
      </c>
      <c r="AO31" s="332"/>
      <c r="AP31" s="332"/>
      <c r="AQ31" s="304" t="str">
        <f t="shared" si="0"/>
        <v/>
      </c>
      <c r="AS31" s="304" t="str">
        <f t="shared" si="1"/>
        <v>wci_corp</v>
      </c>
    </row>
    <row r="32" spans="2:45">
      <c r="B32" s="304" t="s">
        <v>1284</v>
      </c>
      <c r="C32" s="329">
        <v>44347</v>
      </c>
      <c r="D32" s="330">
        <v>-0.88</v>
      </c>
      <c r="E32" s="330">
        <v>0</v>
      </c>
      <c r="F32" s="331" t="s">
        <v>729</v>
      </c>
      <c r="G32" s="304" t="s">
        <v>2083</v>
      </c>
      <c r="H32" s="332" t="s">
        <v>730</v>
      </c>
      <c r="I32" s="304" t="s">
        <v>2063</v>
      </c>
      <c r="J32" s="304" t="s">
        <v>1285</v>
      </c>
      <c r="K32" s="304" t="s">
        <v>732</v>
      </c>
      <c r="L32" s="306"/>
      <c r="M32" s="306"/>
      <c r="N32" s="306" t="s">
        <v>2084</v>
      </c>
      <c r="O32" s="324"/>
      <c r="P32" s="306"/>
      <c r="Q32" s="306"/>
      <c r="U32" s="304" t="s">
        <v>2085</v>
      </c>
      <c r="V32" s="304" t="s">
        <v>2085</v>
      </c>
      <c r="X32" s="329">
        <v>44351</v>
      </c>
      <c r="Y32" s="329">
        <v>44354</v>
      </c>
      <c r="AA32" s="329"/>
      <c r="AB32" s="304" t="s">
        <v>733</v>
      </c>
      <c r="AC32" s="304">
        <v>0</v>
      </c>
      <c r="AD32" s="304">
        <v>0</v>
      </c>
      <c r="AE32" s="304">
        <v>0</v>
      </c>
      <c r="AF32" s="304">
        <v>0</v>
      </c>
      <c r="AG32" s="304">
        <v>0</v>
      </c>
      <c r="AH32" s="304">
        <v>1</v>
      </c>
      <c r="AI32" s="304">
        <v>43001</v>
      </c>
      <c r="AJ32" s="304">
        <v>2195</v>
      </c>
      <c r="AK32" s="304">
        <v>0</v>
      </c>
      <c r="AL32" s="304">
        <v>0</v>
      </c>
      <c r="AO32" s="332"/>
      <c r="AP32" s="332"/>
      <c r="AQ32" s="304" t="str">
        <f t="shared" si="0"/>
        <v/>
      </c>
      <c r="AS32" s="304" t="str">
        <f t="shared" si="1"/>
        <v>wci_corp</v>
      </c>
    </row>
    <row r="33" spans="2:45">
      <c r="B33" s="304" t="s">
        <v>1284</v>
      </c>
      <c r="C33" s="329">
        <v>44347</v>
      </c>
      <c r="D33" s="330">
        <v>1193.6300000000001</v>
      </c>
      <c r="E33" s="330">
        <v>0</v>
      </c>
      <c r="F33" s="331" t="s">
        <v>729</v>
      </c>
      <c r="G33" s="304" t="s">
        <v>2083</v>
      </c>
      <c r="H33" s="332" t="s">
        <v>730</v>
      </c>
      <c r="I33" s="304" t="s">
        <v>2063</v>
      </c>
      <c r="J33" s="304" t="s">
        <v>1285</v>
      </c>
      <c r="K33" s="304" t="s">
        <v>732</v>
      </c>
      <c r="L33" s="306"/>
      <c r="M33" s="306"/>
      <c r="N33" s="306" t="s">
        <v>2086</v>
      </c>
      <c r="O33" s="324"/>
      <c r="P33" s="306"/>
      <c r="Q33" s="306"/>
      <c r="U33" s="304" t="s">
        <v>2085</v>
      </c>
      <c r="V33" s="304" t="s">
        <v>2085</v>
      </c>
      <c r="X33" s="329">
        <v>44351</v>
      </c>
      <c r="Y33" s="329">
        <v>44354</v>
      </c>
      <c r="AA33" s="329"/>
      <c r="AB33" s="304" t="s">
        <v>733</v>
      </c>
      <c r="AC33" s="304">
        <v>0</v>
      </c>
      <c r="AD33" s="304">
        <v>0</v>
      </c>
      <c r="AE33" s="304">
        <v>0</v>
      </c>
      <c r="AF33" s="304">
        <v>0</v>
      </c>
      <c r="AG33" s="304">
        <v>0</v>
      </c>
      <c r="AH33" s="304">
        <v>1</v>
      </c>
      <c r="AI33" s="304">
        <v>43001</v>
      </c>
      <c r="AJ33" s="304">
        <v>2195</v>
      </c>
      <c r="AK33" s="304">
        <v>0</v>
      </c>
      <c r="AL33" s="304">
        <v>0</v>
      </c>
      <c r="AO33" s="332"/>
      <c r="AP33" s="332"/>
      <c r="AQ33" s="304" t="str">
        <f t="shared" si="0"/>
        <v/>
      </c>
      <c r="AS33" s="304" t="str">
        <f t="shared" si="1"/>
        <v>wci_corp</v>
      </c>
    </row>
    <row r="34" spans="2:45">
      <c r="B34" s="304" t="s">
        <v>1282</v>
      </c>
      <c r="C34" s="329">
        <v>44347</v>
      </c>
      <c r="D34" s="330">
        <v>223.92</v>
      </c>
      <c r="E34" s="330">
        <v>0</v>
      </c>
      <c r="F34" s="331" t="s">
        <v>729</v>
      </c>
      <c r="G34" s="304" t="s">
        <v>2087</v>
      </c>
      <c r="H34" s="332" t="s">
        <v>730</v>
      </c>
      <c r="I34" s="304" t="s">
        <v>2088</v>
      </c>
      <c r="J34" s="304" t="s">
        <v>735</v>
      </c>
      <c r="K34" s="304" t="s">
        <v>732</v>
      </c>
      <c r="L34" s="306"/>
      <c r="M34" s="306"/>
      <c r="N34" s="306" t="s">
        <v>2088</v>
      </c>
      <c r="O34" s="324"/>
      <c r="P34" s="306"/>
      <c r="Q34" s="306"/>
      <c r="U34" s="304" t="s">
        <v>2089</v>
      </c>
      <c r="V34" s="304" t="s">
        <v>2089</v>
      </c>
      <c r="X34" s="329">
        <v>44354</v>
      </c>
      <c r="Y34" s="329">
        <v>44354</v>
      </c>
      <c r="AA34" s="329"/>
      <c r="AB34" s="304" t="s">
        <v>733</v>
      </c>
      <c r="AC34" s="304">
        <v>0</v>
      </c>
      <c r="AD34" s="304">
        <v>0</v>
      </c>
      <c r="AE34" s="304">
        <v>0</v>
      </c>
      <c r="AF34" s="304">
        <v>0</v>
      </c>
      <c r="AG34" s="304">
        <v>0</v>
      </c>
      <c r="AH34" s="304">
        <v>1</v>
      </c>
      <c r="AI34" s="304">
        <v>43001</v>
      </c>
      <c r="AJ34" s="304">
        <v>2195</v>
      </c>
      <c r="AK34" s="304">
        <v>0</v>
      </c>
      <c r="AL34" s="304">
        <v>99</v>
      </c>
      <c r="AO34" s="332"/>
      <c r="AP34" s="332"/>
      <c r="AQ34" s="304" t="str">
        <f t="shared" si="0"/>
        <v/>
      </c>
      <c r="AS34" s="304" t="str">
        <f t="shared" si="1"/>
        <v>wci_corp</v>
      </c>
    </row>
    <row r="35" spans="2:45">
      <c r="B35" s="304" t="s">
        <v>1282</v>
      </c>
      <c r="C35" s="329">
        <v>44377</v>
      </c>
      <c r="D35" s="330">
        <v>-223.92</v>
      </c>
      <c r="E35" s="330">
        <v>0</v>
      </c>
      <c r="F35" s="331" t="s">
        <v>729</v>
      </c>
      <c r="G35" s="304" t="s">
        <v>2090</v>
      </c>
      <c r="H35" s="332" t="s">
        <v>730</v>
      </c>
      <c r="I35" s="304" t="s">
        <v>2088</v>
      </c>
      <c r="J35" s="304" t="s">
        <v>735</v>
      </c>
      <c r="K35" s="304" t="s">
        <v>732</v>
      </c>
      <c r="L35" s="306"/>
      <c r="M35" s="306"/>
      <c r="N35" s="306" t="s">
        <v>2088</v>
      </c>
      <c r="O35" s="324"/>
      <c r="P35" s="306"/>
      <c r="Q35" s="306"/>
      <c r="U35" s="304" t="s">
        <v>2089</v>
      </c>
      <c r="V35" s="304" t="s">
        <v>2091</v>
      </c>
      <c r="X35" s="329">
        <v>44354</v>
      </c>
      <c r="Y35" s="329">
        <v>44354</v>
      </c>
      <c r="AA35" s="329"/>
      <c r="AB35" s="304" t="s">
        <v>733</v>
      </c>
      <c r="AC35" s="304">
        <v>0</v>
      </c>
      <c r="AD35" s="304">
        <v>0</v>
      </c>
      <c r="AE35" s="304">
        <v>0</v>
      </c>
      <c r="AF35" s="304">
        <v>0</v>
      </c>
      <c r="AG35" s="304">
        <v>5</v>
      </c>
      <c r="AH35" s="304">
        <v>1</v>
      </c>
      <c r="AI35" s="304">
        <v>43001</v>
      </c>
      <c r="AJ35" s="304">
        <v>2195</v>
      </c>
      <c r="AK35" s="304">
        <v>0</v>
      </c>
      <c r="AL35" s="304">
        <v>99</v>
      </c>
      <c r="AO35" s="332"/>
      <c r="AP35" s="332"/>
      <c r="AQ35" s="304" t="str">
        <f t="shared" si="0"/>
        <v/>
      </c>
      <c r="AS35" s="304" t="str">
        <f t="shared" si="1"/>
        <v>wci_corp</v>
      </c>
    </row>
    <row r="36" spans="2:45">
      <c r="B36" s="304" t="s">
        <v>1282</v>
      </c>
      <c r="C36" s="329">
        <v>44377</v>
      </c>
      <c r="D36" s="330">
        <v>223.86</v>
      </c>
      <c r="E36" s="330">
        <v>0</v>
      </c>
      <c r="F36" s="331" t="s">
        <v>729</v>
      </c>
      <c r="G36" s="304" t="s">
        <v>2092</v>
      </c>
      <c r="H36" s="332" t="s">
        <v>730</v>
      </c>
      <c r="I36" s="304" t="s">
        <v>2093</v>
      </c>
      <c r="J36" s="304" t="s">
        <v>736</v>
      </c>
      <c r="K36" s="304" t="s">
        <v>732</v>
      </c>
      <c r="L36" s="306"/>
      <c r="M36" s="306"/>
      <c r="N36" s="306" t="s">
        <v>908</v>
      </c>
      <c r="O36" s="324"/>
      <c r="P36" s="306"/>
      <c r="Q36" s="306"/>
      <c r="U36" s="304" t="s">
        <v>2094</v>
      </c>
      <c r="V36" s="304" t="s">
        <v>2094</v>
      </c>
      <c r="X36" s="329">
        <v>44379</v>
      </c>
      <c r="Y36" s="329">
        <v>44382</v>
      </c>
      <c r="AA36" s="329"/>
      <c r="AB36" s="304" t="s">
        <v>733</v>
      </c>
      <c r="AC36" s="304">
        <v>0</v>
      </c>
      <c r="AD36" s="304">
        <v>0</v>
      </c>
      <c r="AE36" s="304">
        <v>0</v>
      </c>
      <c r="AF36" s="304">
        <v>0</v>
      </c>
      <c r="AG36" s="304">
        <v>0</v>
      </c>
      <c r="AH36" s="304">
        <v>1</v>
      </c>
      <c r="AI36" s="304">
        <v>43001</v>
      </c>
      <c r="AJ36" s="304">
        <v>2195</v>
      </c>
      <c r="AK36" s="304">
        <v>0</v>
      </c>
      <c r="AL36" s="304">
        <v>99</v>
      </c>
      <c r="AO36" s="332"/>
      <c r="AP36" s="332"/>
      <c r="AQ36" s="304" t="str">
        <f t="shared" si="0"/>
        <v/>
      </c>
      <c r="AS36" s="304" t="str">
        <f t="shared" si="1"/>
        <v>wci_corp</v>
      </c>
    </row>
    <row r="37" spans="2:45">
      <c r="B37" s="304" t="s">
        <v>1284</v>
      </c>
      <c r="C37" s="329">
        <v>44377</v>
      </c>
      <c r="D37" s="330">
        <v>28442.16</v>
      </c>
      <c r="E37" s="330">
        <v>0</v>
      </c>
      <c r="F37" s="331" t="s">
        <v>729</v>
      </c>
      <c r="G37" s="304" t="s">
        <v>2095</v>
      </c>
      <c r="H37" s="332" t="s">
        <v>730</v>
      </c>
      <c r="I37" s="304" t="s">
        <v>2060</v>
      </c>
      <c r="J37" s="304" t="s">
        <v>736</v>
      </c>
      <c r="K37" s="304" t="s">
        <v>732</v>
      </c>
      <c r="L37" s="306"/>
      <c r="M37" s="306"/>
      <c r="N37" s="306" t="s">
        <v>1281</v>
      </c>
      <c r="O37" s="324"/>
      <c r="P37" s="306"/>
      <c r="Q37" s="306"/>
      <c r="U37" s="304" t="s">
        <v>2096</v>
      </c>
      <c r="V37" s="304" t="s">
        <v>2096</v>
      </c>
      <c r="X37" s="329">
        <v>44385</v>
      </c>
      <c r="Y37" s="329">
        <v>44385</v>
      </c>
      <c r="AA37" s="329"/>
      <c r="AB37" s="304" t="s">
        <v>733</v>
      </c>
      <c r="AC37" s="304">
        <v>0</v>
      </c>
      <c r="AD37" s="304">
        <v>0</v>
      </c>
      <c r="AE37" s="304">
        <v>0</v>
      </c>
      <c r="AF37" s="304">
        <v>0</v>
      </c>
      <c r="AG37" s="304">
        <v>0</v>
      </c>
      <c r="AH37" s="304">
        <v>1</v>
      </c>
      <c r="AI37" s="304">
        <v>43001</v>
      </c>
      <c r="AJ37" s="304">
        <v>2195</v>
      </c>
      <c r="AK37" s="304">
        <v>0</v>
      </c>
      <c r="AL37" s="304">
        <v>0</v>
      </c>
      <c r="AO37" s="332"/>
      <c r="AP37" s="332"/>
      <c r="AQ37" s="304" t="str">
        <f t="shared" si="0"/>
        <v/>
      </c>
      <c r="AS37" s="304" t="str">
        <f t="shared" si="1"/>
        <v>wci_corp</v>
      </c>
    </row>
    <row r="38" spans="2:45">
      <c r="B38" s="304" t="s">
        <v>1282</v>
      </c>
      <c r="C38" s="329">
        <v>44377</v>
      </c>
      <c r="D38" s="330">
        <v>232.87</v>
      </c>
      <c r="E38" s="330">
        <v>0</v>
      </c>
      <c r="F38" s="331" t="s">
        <v>729</v>
      </c>
      <c r="G38" s="304" t="s">
        <v>2097</v>
      </c>
      <c r="H38" s="332" t="s">
        <v>730</v>
      </c>
      <c r="I38" s="304" t="s">
        <v>2098</v>
      </c>
      <c r="J38" s="304" t="s">
        <v>737</v>
      </c>
      <c r="K38" s="304" t="s">
        <v>732</v>
      </c>
      <c r="L38" s="306"/>
      <c r="M38" s="306"/>
      <c r="N38" s="306" t="s">
        <v>2098</v>
      </c>
      <c r="O38" s="324"/>
      <c r="P38" s="306"/>
      <c r="Q38" s="306"/>
      <c r="U38" s="304" t="s">
        <v>2099</v>
      </c>
      <c r="V38" s="304" t="s">
        <v>2099</v>
      </c>
      <c r="X38" s="329">
        <v>44385</v>
      </c>
      <c r="Y38" s="329">
        <v>44385</v>
      </c>
      <c r="AA38" s="329"/>
      <c r="AB38" s="304" t="s">
        <v>733</v>
      </c>
      <c r="AC38" s="304">
        <v>0</v>
      </c>
      <c r="AD38" s="304">
        <v>0</v>
      </c>
      <c r="AE38" s="304">
        <v>0</v>
      </c>
      <c r="AF38" s="304">
        <v>0</v>
      </c>
      <c r="AG38" s="304">
        <v>0</v>
      </c>
      <c r="AH38" s="304">
        <v>1</v>
      </c>
      <c r="AI38" s="304">
        <v>43001</v>
      </c>
      <c r="AJ38" s="304">
        <v>2195</v>
      </c>
      <c r="AK38" s="304">
        <v>0</v>
      </c>
      <c r="AL38" s="304">
        <v>99</v>
      </c>
      <c r="AO38" s="332"/>
      <c r="AP38" s="332"/>
      <c r="AQ38" s="304" t="str">
        <f t="shared" si="0"/>
        <v/>
      </c>
      <c r="AS38" s="304" t="str">
        <f t="shared" si="1"/>
        <v>wci_corp</v>
      </c>
    </row>
    <row r="39" spans="2:45">
      <c r="B39" s="304" t="s">
        <v>1284</v>
      </c>
      <c r="C39" s="329">
        <v>44377</v>
      </c>
      <c r="D39" s="330">
        <v>-4.9800000000000004</v>
      </c>
      <c r="E39" s="330">
        <v>0</v>
      </c>
      <c r="F39" s="331" t="s">
        <v>729</v>
      </c>
      <c r="G39" s="304" t="s">
        <v>2100</v>
      </c>
      <c r="H39" s="332" t="s">
        <v>730</v>
      </c>
      <c r="I39" s="304" t="s">
        <v>2063</v>
      </c>
      <c r="J39" s="304" t="s">
        <v>735</v>
      </c>
      <c r="K39" s="304" t="s">
        <v>732</v>
      </c>
      <c r="L39" s="306"/>
      <c r="M39" s="306"/>
      <c r="N39" s="306" t="s">
        <v>1279</v>
      </c>
      <c r="O39" s="324"/>
      <c r="P39" s="306"/>
      <c r="Q39" s="306"/>
      <c r="U39" s="304" t="s">
        <v>2101</v>
      </c>
      <c r="V39" s="304" t="s">
        <v>2101</v>
      </c>
      <c r="X39" s="329">
        <v>44385</v>
      </c>
      <c r="Y39" s="329">
        <v>44385</v>
      </c>
      <c r="AA39" s="329"/>
      <c r="AB39" s="304" t="s">
        <v>733</v>
      </c>
      <c r="AC39" s="304">
        <v>0</v>
      </c>
      <c r="AD39" s="304">
        <v>0</v>
      </c>
      <c r="AE39" s="304">
        <v>0</v>
      </c>
      <c r="AF39" s="304">
        <v>0</v>
      </c>
      <c r="AG39" s="304">
        <v>0</v>
      </c>
      <c r="AH39" s="304">
        <v>1</v>
      </c>
      <c r="AI39" s="304">
        <v>43001</v>
      </c>
      <c r="AJ39" s="304">
        <v>2195</v>
      </c>
      <c r="AK39" s="304">
        <v>0</v>
      </c>
      <c r="AL39" s="304">
        <v>0</v>
      </c>
      <c r="AO39" s="332"/>
      <c r="AP39" s="332"/>
      <c r="AQ39" s="304" t="str">
        <f t="shared" si="0"/>
        <v/>
      </c>
      <c r="AS39" s="304" t="str">
        <f t="shared" si="1"/>
        <v>wci_corp</v>
      </c>
    </row>
    <row r="40" spans="2:45">
      <c r="B40" s="304" t="s">
        <v>1282</v>
      </c>
      <c r="C40" s="329">
        <v>44408</v>
      </c>
      <c r="D40" s="330">
        <v>-232.87</v>
      </c>
      <c r="E40" s="330">
        <v>0</v>
      </c>
      <c r="F40" s="331" t="s">
        <v>729</v>
      </c>
      <c r="G40" s="304" t="s">
        <v>2102</v>
      </c>
      <c r="H40" s="332" t="s">
        <v>730</v>
      </c>
      <c r="I40" s="304" t="s">
        <v>2098</v>
      </c>
      <c r="J40" s="304" t="s">
        <v>735</v>
      </c>
      <c r="K40" s="304" t="s">
        <v>732</v>
      </c>
      <c r="L40" s="306"/>
      <c r="M40" s="306"/>
      <c r="N40" s="306" t="s">
        <v>2098</v>
      </c>
      <c r="O40" s="324"/>
      <c r="P40" s="306"/>
      <c r="Q40" s="306"/>
      <c r="U40" s="304" t="s">
        <v>2099</v>
      </c>
      <c r="V40" s="304" t="s">
        <v>2103</v>
      </c>
      <c r="X40" s="329">
        <v>44385</v>
      </c>
      <c r="Y40" s="329">
        <v>44385</v>
      </c>
      <c r="AA40" s="329"/>
      <c r="AB40" s="304" t="s">
        <v>733</v>
      </c>
      <c r="AC40" s="304">
        <v>0</v>
      </c>
      <c r="AD40" s="304">
        <v>0</v>
      </c>
      <c r="AE40" s="304">
        <v>0</v>
      </c>
      <c r="AF40" s="304">
        <v>0</v>
      </c>
      <c r="AG40" s="304">
        <v>5</v>
      </c>
      <c r="AH40" s="304">
        <v>1</v>
      </c>
      <c r="AI40" s="304">
        <v>43001</v>
      </c>
      <c r="AJ40" s="304">
        <v>2195</v>
      </c>
      <c r="AK40" s="304">
        <v>0</v>
      </c>
      <c r="AL40" s="304">
        <v>99</v>
      </c>
      <c r="AO40" s="332"/>
      <c r="AP40" s="332"/>
      <c r="AQ40" s="304" t="str">
        <f t="shared" si="0"/>
        <v/>
      </c>
      <c r="AS40" s="304" t="str">
        <f t="shared" si="1"/>
        <v>wci_corp</v>
      </c>
    </row>
    <row r="41" spans="2:45">
      <c r="B41" s="304" t="s">
        <v>1282</v>
      </c>
      <c r="C41" s="329">
        <v>44408</v>
      </c>
      <c r="D41" s="330">
        <v>53.65</v>
      </c>
      <c r="E41" s="330">
        <v>0</v>
      </c>
      <c r="F41" s="331" t="s">
        <v>729</v>
      </c>
      <c r="G41" s="304" t="s">
        <v>2104</v>
      </c>
      <c r="H41" s="332" t="s">
        <v>730</v>
      </c>
      <c r="I41" s="304" t="s">
        <v>2105</v>
      </c>
      <c r="J41" s="304" t="s">
        <v>2106</v>
      </c>
      <c r="K41" s="304" t="s">
        <v>732</v>
      </c>
      <c r="L41" s="306"/>
      <c r="M41" s="306"/>
      <c r="N41" s="306" t="s">
        <v>908</v>
      </c>
      <c r="O41" s="324"/>
      <c r="P41" s="306"/>
      <c r="Q41" s="306"/>
      <c r="U41" s="304" t="s">
        <v>2107</v>
      </c>
      <c r="V41" s="304" t="s">
        <v>2107</v>
      </c>
      <c r="X41" s="329">
        <v>44414</v>
      </c>
      <c r="Y41" s="329">
        <v>44414</v>
      </c>
      <c r="AA41" s="329"/>
      <c r="AB41" s="304" t="s">
        <v>733</v>
      </c>
      <c r="AC41" s="304">
        <v>0</v>
      </c>
      <c r="AD41" s="304">
        <v>0</v>
      </c>
      <c r="AE41" s="304">
        <v>0</v>
      </c>
      <c r="AF41" s="304">
        <v>0</v>
      </c>
      <c r="AG41" s="304">
        <v>0</v>
      </c>
      <c r="AH41" s="304">
        <v>1</v>
      </c>
      <c r="AI41" s="304">
        <v>43001</v>
      </c>
      <c r="AJ41" s="304">
        <v>2195</v>
      </c>
      <c r="AK41" s="304">
        <v>0</v>
      </c>
      <c r="AL41" s="304">
        <v>99</v>
      </c>
      <c r="AO41" s="332"/>
      <c r="AP41" s="332"/>
      <c r="AQ41" s="304" t="str">
        <f t="shared" si="0"/>
        <v/>
      </c>
      <c r="AS41" s="304" t="str">
        <f t="shared" si="1"/>
        <v>wci_corp</v>
      </c>
    </row>
    <row r="42" spans="2:45">
      <c r="B42" s="304" t="s">
        <v>1282</v>
      </c>
      <c r="C42" s="329">
        <v>44408</v>
      </c>
      <c r="D42" s="330">
        <v>239.62</v>
      </c>
      <c r="E42" s="330">
        <v>0</v>
      </c>
      <c r="F42" s="331" t="s">
        <v>729</v>
      </c>
      <c r="G42" s="304" t="s">
        <v>2108</v>
      </c>
      <c r="H42" s="332" t="s">
        <v>730</v>
      </c>
      <c r="I42" s="304" t="s">
        <v>2109</v>
      </c>
      <c r="J42" s="304" t="s">
        <v>736</v>
      </c>
      <c r="K42" s="304" t="s">
        <v>732</v>
      </c>
      <c r="L42" s="306"/>
      <c r="M42" s="306"/>
      <c r="N42" s="306" t="s">
        <v>2109</v>
      </c>
      <c r="O42" s="324"/>
      <c r="P42" s="306"/>
      <c r="Q42" s="306"/>
      <c r="U42" s="304" t="s">
        <v>2110</v>
      </c>
      <c r="V42" s="304" t="s">
        <v>2110</v>
      </c>
      <c r="X42" s="329">
        <v>44414</v>
      </c>
      <c r="Y42" s="329">
        <v>44414</v>
      </c>
      <c r="AA42" s="329"/>
      <c r="AB42" s="304" t="s">
        <v>733</v>
      </c>
      <c r="AC42" s="304">
        <v>0</v>
      </c>
      <c r="AD42" s="304">
        <v>0</v>
      </c>
      <c r="AE42" s="304">
        <v>0</v>
      </c>
      <c r="AF42" s="304">
        <v>0</v>
      </c>
      <c r="AG42" s="304">
        <v>0</v>
      </c>
      <c r="AH42" s="304">
        <v>1</v>
      </c>
      <c r="AI42" s="304">
        <v>43001</v>
      </c>
      <c r="AJ42" s="304">
        <v>2195</v>
      </c>
      <c r="AK42" s="304">
        <v>0</v>
      </c>
      <c r="AL42" s="304">
        <v>99</v>
      </c>
      <c r="AO42" s="332"/>
      <c r="AP42" s="332"/>
      <c r="AQ42" s="304" t="str">
        <f t="shared" si="0"/>
        <v/>
      </c>
      <c r="AS42" s="304" t="str">
        <f t="shared" si="1"/>
        <v>wci_corp</v>
      </c>
    </row>
    <row r="43" spans="2:45">
      <c r="B43" s="304" t="s">
        <v>1284</v>
      </c>
      <c r="C43" s="329">
        <v>44408</v>
      </c>
      <c r="D43" s="330">
        <v>28035</v>
      </c>
      <c r="E43" s="330">
        <v>0</v>
      </c>
      <c r="F43" s="331" t="s">
        <v>729</v>
      </c>
      <c r="G43" s="304" t="s">
        <v>2111</v>
      </c>
      <c r="H43" s="332" t="s">
        <v>730</v>
      </c>
      <c r="I43" s="304" t="s">
        <v>2060</v>
      </c>
      <c r="J43" s="304" t="s">
        <v>736</v>
      </c>
      <c r="K43" s="304" t="s">
        <v>732</v>
      </c>
      <c r="L43" s="306"/>
      <c r="M43" s="306"/>
      <c r="N43" s="306" t="s">
        <v>1281</v>
      </c>
      <c r="O43" s="324"/>
      <c r="P43" s="306"/>
      <c r="Q43" s="306"/>
      <c r="U43" s="304" t="s">
        <v>2112</v>
      </c>
      <c r="V43" s="304" t="s">
        <v>2112</v>
      </c>
      <c r="X43" s="329">
        <v>44414</v>
      </c>
      <c r="Y43" s="329">
        <v>44414</v>
      </c>
      <c r="AA43" s="329"/>
      <c r="AB43" s="304" t="s">
        <v>733</v>
      </c>
      <c r="AC43" s="304">
        <v>0</v>
      </c>
      <c r="AD43" s="304">
        <v>0</v>
      </c>
      <c r="AE43" s="304">
        <v>0</v>
      </c>
      <c r="AF43" s="304">
        <v>0</v>
      </c>
      <c r="AG43" s="304">
        <v>0</v>
      </c>
      <c r="AH43" s="304">
        <v>1</v>
      </c>
      <c r="AI43" s="304">
        <v>43001</v>
      </c>
      <c r="AJ43" s="304">
        <v>2195</v>
      </c>
      <c r="AK43" s="304">
        <v>0</v>
      </c>
      <c r="AL43" s="304">
        <v>0</v>
      </c>
      <c r="AO43" s="332"/>
      <c r="AP43" s="332"/>
      <c r="AQ43" s="304" t="str">
        <f t="shared" si="0"/>
        <v/>
      </c>
      <c r="AS43" s="304" t="str">
        <f t="shared" si="1"/>
        <v>wci_corp</v>
      </c>
    </row>
    <row r="44" spans="2:45">
      <c r="B44" s="304" t="s">
        <v>1282</v>
      </c>
      <c r="C44" s="329">
        <v>44439</v>
      </c>
      <c r="D44" s="330">
        <v>-239.62</v>
      </c>
      <c r="E44" s="330">
        <v>0</v>
      </c>
      <c r="F44" s="331" t="s">
        <v>729</v>
      </c>
      <c r="G44" s="304" t="s">
        <v>2113</v>
      </c>
      <c r="H44" s="332" t="s">
        <v>730</v>
      </c>
      <c r="I44" s="304" t="s">
        <v>2109</v>
      </c>
      <c r="J44" s="304" t="s">
        <v>736</v>
      </c>
      <c r="K44" s="304" t="s">
        <v>732</v>
      </c>
      <c r="L44" s="306"/>
      <c r="M44" s="306"/>
      <c r="N44" s="306" t="s">
        <v>2109</v>
      </c>
      <c r="O44" s="324"/>
      <c r="P44" s="306"/>
      <c r="Q44" s="306"/>
      <c r="U44" s="304" t="s">
        <v>2110</v>
      </c>
      <c r="V44" s="304" t="s">
        <v>2114</v>
      </c>
      <c r="X44" s="329">
        <v>44414</v>
      </c>
      <c r="Y44" s="329">
        <v>44414</v>
      </c>
      <c r="AA44" s="329"/>
      <c r="AB44" s="304" t="s">
        <v>733</v>
      </c>
      <c r="AC44" s="304">
        <v>0</v>
      </c>
      <c r="AD44" s="304">
        <v>0</v>
      </c>
      <c r="AE44" s="304">
        <v>0</v>
      </c>
      <c r="AF44" s="304">
        <v>0</v>
      </c>
      <c r="AG44" s="304">
        <v>5</v>
      </c>
      <c r="AH44" s="304">
        <v>1</v>
      </c>
      <c r="AI44" s="304">
        <v>43001</v>
      </c>
      <c r="AJ44" s="304">
        <v>2195</v>
      </c>
      <c r="AK44" s="304">
        <v>0</v>
      </c>
      <c r="AL44" s="304">
        <v>99</v>
      </c>
      <c r="AO44" s="332"/>
      <c r="AP44" s="332"/>
      <c r="AQ44" s="304" t="str">
        <f t="shared" si="0"/>
        <v/>
      </c>
      <c r="AS44" s="304" t="str">
        <f t="shared" si="1"/>
        <v>wci_corp</v>
      </c>
    </row>
    <row r="45" spans="2:45">
      <c r="B45" s="304" t="s">
        <v>1284</v>
      </c>
      <c r="C45" s="329">
        <v>44439</v>
      </c>
      <c r="D45" s="330">
        <v>28314.78</v>
      </c>
      <c r="E45" s="330">
        <v>0</v>
      </c>
      <c r="F45" s="331" t="s">
        <v>729</v>
      </c>
      <c r="G45" s="304" t="s">
        <v>2115</v>
      </c>
      <c r="H45" s="332" t="s">
        <v>730</v>
      </c>
      <c r="I45" s="304" t="s">
        <v>2060</v>
      </c>
      <c r="J45" s="304" t="s">
        <v>736</v>
      </c>
      <c r="K45" s="304" t="s">
        <v>732</v>
      </c>
      <c r="L45" s="306"/>
      <c r="M45" s="306"/>
      <c r="N45" s="306" t="s">
        <v>1281</v>
      </c>
      <c r="O45" s="324"/>
      <c r="P45" s="306"/>
      <c r="Q45" s="306"/>
      <c r="U45" s="304" t="s">
        <v>2116</v>
      </c>
      <c r="V45" s="304" t="s">
        <v>2116</v>
      </c>
      <c r="X45" s="329">
        <v>44442</v>
      </c>
      <c r="Y45" s="329">
        <v>44445</v>
      </c>
      <c r="AA45" s="329"/>
      <c r="AB45" s="304" t="s">
        <v>733</v>
      </c>
      <c r="AC45" s="304">
        <v>0</v>
      </c>
      <c r="AD45" s="304">
        <v>0</v>
      </c>
      <c r="AE45" s="304">
        <v>0</v>
      </c>
      <c r="AF45" s="304">
        <v>0</v>
      </c>
      <c r="AG45" s="304">
        <v>0</v>
      </c>
      <c r="AH45" s="304">
        <v>1</v>
      </c>
      <c r="AI45" s="304">
        <v>43001</v>
      </c>
      <c r="AJ45" s="304">
        <v>2195</v>
      </c>
      <c r="AK45" s="304">
        <v>0</v>
      </c>
      <c r="AL45" s="304">
        <v>0</v>
      </c>
      <c r="AO45" s="332"/>
      <c r="AP45" s="332"/>
      <c r="AQ45" s="304" t="str">
        <f t="shared" si="0"/>
        <v/>
      </c>
      <c r="AS45" s="304" t="str">
        <f t="shared" si="1"/>
        <v>wci_corp</v>
      </c>
    </row>
    <row r="46" spans="2:45">
      <c r="B46" s="304" t="s">
        <v>1282</v>
      </c>
      <c r="C46" s="329">
        <v>44439</v>
      </c>
      <c r="D46" s="330">
        <v>239.56</v>
      </c>
      <c r="E46" s="330">
        <v>0</v>
      </c>
      <c r="F46" s="331" t="s">
        <v>729</v>
      </c>
      <c r="G46" s="304" t="s">
        <v>2117</v>
      </c>
      <c r="H46" s="332" t="s">
        <v>730</v>
      </c>
      <c r="I46" s="304" t="s">
        <v>2118</v>
      </c>
      <c r="J46" s="304" t="s">
        <v>736</v>
      </c>
      <c r="K46" s="304" t="s">
        <v>732</v>
      </c>
      <c r="L46" s="306"/>
      <c r="M46" s="306"/>
      <c r="N46" s="306" t="s">
        <v>908</v>
      </c>
      <c r="O46" s="324"/>
      <c r="P46" s="306"/>
      <c r="Q46" s="306"/>
      <c r="U46" s="304" t="s">
        <v>2119</v>
      </c>
      <c r="V46" s="304" t="s">
        <v>2119</v>
      </c>
      <c r="X46" s="329">
        <v>44446</v>
      </c>
      <c r="Y46" s="329">
        <v>44446</v>
      </c>
      <c r="AA46" s="329"/>
      <c r="AB46" s="304" t="s">
        <v>733</v>
      </c>
      <c r="AC46" s="304">
        <v>0</v>
      </c>
      <c r="AD46" s="304">
        <v>0</v>
      </c>
      <c r="AE46" s="304">
        <v>0</v>
      </c>
      <c r="AF46" s="304">
        <v>0</v>
      </c>
      <c r="AG46" s="304">
        <v>0</v>
      </c>
      <c r="AH46" s="304">
        <v>1</v>
      </c>
      <c r="AI46" s="304">
        <v>43001</v>
      </c>
      <c r="AJ46" s="304">
        <v>2195</v>
      </c>
      <c r="AK46" s="304">
        <v>0</v>
      </c>
      <c r="AL46" s="304">
        <v>99</v>
      </c>
      <c r="AO46" s="332"/>
      <c r="AP46" s="332"/>
      <c r="AQ46" s="304" t="str">
        <f t="shared" si="0"/>
        <v/>
      </c>
      <c r="AS46" s="304" t="str">
        <f t="shared" si="1"/>
        <v>wci_corp</v>
      </c>
    </row>
    <row r="47" spans="2:45">
      <c r="B47" s="304" t="s">
        <v>1282</v>
      </c>
      <c r="C47" s="329">
        <v>44439</v>
      </c>
      <c r="D47" s="330">
        <v>244.5</v>
      </c>
      <c r="E47" s="330">
        <v>0</v>
      </c>
      <c r="F47" s="331" t="s">
        <v>729</v>
      </c>
      <c r="G47" s="304" t="s">
        <v>2120</v>
      </c>
      <c r="H47" s="332" t="s">
        <v>730</v>
      </c>
      <c r="I47" s="304" t="s">
        <v>2121</v>
      </c>
      <c r="J47" s="304" t="s">
        <v>2106</v>
      </c>
      <c r="K47" s="304" t="s">
        <v>732</v>
      </c>
      <c r="L47" s="306"/>
      <c r="M47" s="306"/>
      <c r="N47" s="306" t="s">
        <v>2121</v>
      </c>
      <c r="O47" s="324"/>
      <c r="P47" s="306"/>
      <c r="Q47" s="306"/>
      <c r="U47" s="304" t="s">
        <v>2122</v>
      </c>
      <c r="V47" s="304" t="s">
        <v>2122</v>
      </c>
      <c r="X47" s="329">
        <v>44447</v>
      </c>
      <c r="Y47" s="329">
        <v>44447</v>
      </c>
      <c r="AA47" s="329"/>
      <c r="AB47" s="304" t="s">
        <v>733</v>
      </c>
      <c r="AC47" s="304">
        <v>0</v>
      </c>
      <c r="AD47" s="304">
        <v>0</v>
      </c>
      <c r="AE47" s="304">
        <v>0</v>
      </c>
      <c r="AF47" s="304">
        <v>0</v>
      </c>
      <c r="AG47" s="304">
        <v>0</v>
      </c>
      <c r="AH47" s="304">
        <v>1</v>
      </c>
      <c r="AI47" s="304">
        <v>43001</v>
      </c>
      <c r="AJ47" s="304">
        <v>2195</v>
      </c>
      <c r="AK47" s="304">
        <v>0</v>
      </c>
      <c r="AL47" s="304">
        <v>99</v>
      </c>
      <c r="AO47" s="332"/>
      <c r="AP47" s="332"/>
      <c r="AQ47" s="304" t="str">
        <f t="shared" si="0"/>
        <v/>
      </c>
      <c r="AS47" s="304" t="str">
        <f t="shared" si="1"/>
        <v>wci_corp</v>
      </c>
    </row>
    <row r="48" spans="2:45">
      <c r="B48" s="304" t="s">
        <v>1284</v>
      </c>
      <c r="C48" s="329">
        <v>44439</v>
      </c>
      <c r="D48" s="330">
        <v>-163.29</v>
      </c>
      <c r="E48" s="330">
        <v>0</v>
      </c>
      <c r="F48" s="331" t="s">
        <v>729</v>
      </c>
      <c r="G48" s="304" t="s">
        <v>2123</v>
      </c>
      <c r="H48" s="332" t="s">
        <v>730</v>
      </c>
      <c r="I48" s="304" t="s">
        <v>2063</v>
      </c>
      <c r="J48" s="304" t="s">
        <v>736</v>
      </c>
      <c r="K48" s="304" t="s">
        <v>732</v>
      </c>
      <c r="L48" s="306"/>
      <c r="M48" s="306"/>
      <c r="N48" s="306" t="s">
        <v>2124</v>
      </c>
      <c r="O48" s="324"/>
      <c r="P48" s="306"/>
      <c r="Q48" s="306"/>
      <c r="U48" s="304" t="s">
        <v>2125</v>
      </c>
      <c r="V48" s="304" t="s">
        <v>2125</v>
      </c>
      <c r="X48" s="329">
        <v>44447</v>
      </c>
      <c r="Y48" s="329">
        <v>44447</v>
      </c>
      <c r="AA48" s="329"/>
      <c r="AB48" s="304" t="s">
        <v>733</v>
      </c>
      <c r="AC48" s="304">
        <v>0</v>
      </c>
      <c r="AD48" s="304">
        <v>0</v>
      </c>
      <c r="AE48" s="304">
        <v>0</v>
      </c>
      <c r="AF48" s="304">
        <v>0</v>
      </c>
      <c r="AG48" s="304">
        <v>0</v>
      </c>
      <c r="AH48" s="304">
        <v>1</v>
      </c>
      <c r="AI48" s="304">
        <v>43001</v>
      </c>
      <c r="AJ48" s="304">
        <v>2195</v>
      </c>
      <c r="AK48" s="304">
        <v>0</v>
      </c>
      <c r="AL48" s="304">
        <v>0</v>
      </c>
      <c r="AO48" s="332"/>
      <c r="AP48" s="332"/>
      <c r="AQ48" s="304" t="str">
        <f t="shared" si="0"/>
        <v/>
      </c>
      <c r="AS48" s="304" t="str">
        <f t="shared" si="1"/>
        <v>wci_corp</v>
      </c>
    </row>
    <row r="49" spans="2:45">
      <c r="B49" s="304" t="s">
        <v>1284</v>
      </c>
      <c r="C49" s="329">
        <v>44439</v>
      </c>
      <c r="D49" s="330">
        <v>-317.74</v>
      </c>
      <c r="E49" s="330">
        <v>0</v>
      </c>
      <c r="F49" s="331" t="s">
        <v>729</v>
      </c>
      <c r="G49" s="304" t="s">
        <v>2123</v>
      </c>
      <c r="H49" s="332" t="s">
        <v>730</v>
      </c>
      <c r="I49" s="304" t="s">
        <v>2063</v>
      </c>
      <c r="J49" s="304" t="s">
        <v>736</v>
      </c>
      <c r="K49" s="304" t="s">
        <v>732</v>
      </c>
      <c r="L49" s="306"/>
      <c r="M49" s="306"/>
      <c r="N49" s="306" t="s">
        <v>2071</v>
      </c>
      <c r="O49" s="324"/>
      <c r="P49" s="306"/>
      <c r="Q49" s="306"/>
      <c r="U49" s="304" t="s">
        <v>2125</v>
      </c>
      <c r="V49" s="304" t="s">
        <v>2125</v>
      </c>
      <c r="X49" s="329">
        <v>44447</v>
      </c>
      <c r="Y49" s="329">
        <v>44447</v>
      </c>
      <c r="AA49" s="329"/>
      <c r="AB49" s="304" t="s">
        <v>733</v>
      </c>
      <c r="AC49" s="304">
        <v>0</v>
      </c>
      <c r="AD49" s="304">
        <v>0</v>
      </c>
      <c r="AE49" s="304">
        <v>0</v>
      </c>
      <c r="AF49" s="304">
        <v>0</v>
      </c>
      <c r="AG49" s="304">
        <v>0</v>
      </c>
      <c r="AH49" s="304">
        <v>1</v>
      </c>
      <c r="AI49" s="304">
        <v>43001</v>
      </c>
      <c r="AJ49" s="304">
        <v>2195</v>
      </c>
      <c r="AK49" s="304">
        <v>0</v>
      </c>
      <c r="AL49" s="304">
        <v>0</v>
      </c>
      <c r="AO49" s="332"/>
      <c r="AP49" s="332"/>
      <c r="AQ49" s="304" t="str">
        <f t="shared" si="0"/>
        <v/>
      </c>
      <c r="AS49" s="304" t="str">
        <f t="shared" si="1"/>
        <v>wci_corp</v>
      </c>
    </row>
    <row r="50" spans="2:45">
      <c r="B50" s="304" t="s">
        <v>1284</v>
      </c>
      <c r="C50" s="329">
        <v>44439</v>
      </c>
      <c r="D50" s="330">
        <v>-152.66</v>
      </c>
      <c r="E50" s="330">
        <v>0</v>
      </c>
      <c r="F50" s="331" t="s">
        <v>729</v>
      </c>
      <c r="G50" s="304" t="s">
        <v>2123</v>
      </c>
      <c r="H50" s="332" t="s">
        <v>730</v>
      </c>
      <c r="I50" s="304" t="s">
        <v>2063</v>
      </c>
      <c r="J50" s="304" t="s">
        <v>736</v>
      </c>
      <c r="K50" s="304" t="s">
        <v>732</v>
      </c>
      <c r="L50" s="306"/>
      <c r="M50" s="306"/>
      <c r="N50" s="306" t="s">
        <v>2126</v>
      </c>
      <c r="O50" s="324"/>
      <c r="P50" s="306"/>
      <c r="Q50" s="306"/>
      <c r="U50" s="304" t="s">
        <v>2125</v>
      </c>
      <c r="V50" s="304" t="s">
        <v>2125</v>
      </c>
      <c r="X50" s="329">
        <v>44447</v>
      </c>
      <c r="Y50" s="329">
        <v>44447</v>
      </c>
      <c r="AA50" s="329"/>
      <c r="AB50" s="304" t="s">
        <v>733</v>
      </c>
      <c r="AC50" s="304">
        <v>0</v>
      </c>
      <c r="AD50" s="304">
        <v>0</v>
      </c>
      <c r="AE50" s="304">
        <v>0</v>
      </c>
      <c r="AF50" s="304">
        <v>0</v>
      </c>
      <c r="AG50" s="304">
        <v>0</v>
      </c>
      <c r="AH50" s="304">
        <v>1</v>
      </c>
      <c r="AI50" s="304">
        <v>43001</v>
      </c>
      <c r="AJ50" s="304">
        <v>2195</v>
      </c>
      <c r="AK50" s="304">
        <v>0</v>
      </c>
      <c r="AL50" s="304">
        <v>0</v>
      </c>
      <c r="AO50" s="332"/>
      <c r="AP50" s="332"/>
      <c r="AQ50" s="304" t="str">
        <f t="shared" si="0"/>
        <v/>
      </c>
      <c r="AS50" s="304" t="str">
        <f t="shared" si="1"/>
        <v>wci_corp</v>
      </c>
    </row>
    <row r="51" spans="2:45">
      <c r="B51" s="304" t="s">
        <v>1284</v>
      </c>
      <c r="C51" s="329">
        <v>44439</v>
      </c>
      <c r="D51" s="330">
        <v>25.99</v>
      </c>
      <c r="E51" s="330">
        <v>0</v>
      </c>
      <c r="F51" s="331" t="s">
        <v>729</v>
      </c>
      <c r="G51" s="304" t="s">
        <v>2123</v>
      </c>
      <c r="H51" s="332" t="s">
        <v>730</v>
      </c>
      <c r="I51" s="304" t="s">
        <v>2063</v>
      </c>
      <c r="J51" s="304" t="s">
        <v>736</v>
      </c>
      <c r="K51" s="304" t="s">
        <v>732</v>
      </c>
      <c r="L51" s="306"/>
      <c r="M51" s="306"/>
      <c r="N51" s="306" t="s">
        <v>2072</v>
      </c>
      <c r="O51" s="324"/>
      <c r="P51" s="306"/>
      <c r="Q51" s="306"/>
      <c r="U51" s="304" t="s">
        <v>2125</v>
      </c>
      <c r="V51" s="304" t="s">
        <v>2125</v>
      </c>
      <c r="X51" s="329">
        <v>44447</v>
      </c>
      <c r="Y51" s="329">
        <v>44447</v>
      </c>
      <c r="AA51" s="329"/>
      <c r="AB51" s="304" t="s">
        <v>733</v>
      </c>
      <c r="AC51" s="304">
        <v>0</v>
      </c>
      <c r="AD51" s="304">
        <v>0</v>
      </c>
      <c r="AE51" s="304">
        <v>0</v>
      </c>
      <c r="AF51" s="304">
        <v>0</v>
      </c>
      <c r="AG51" s="304">
        <v>0</v>
      </c>
      <c r="AH51" s="304">
        <v>1</v>
      </c>
      <c r="AI51" s="304">
        <v>43001</v>
      </c>
      <c r="AJ51" s="304">
        <v>2195</v>
      </c>
      <c r="AK51" s="304">
        <v>0</v>
      </c>
      <c r="AL51" s="304">
        <v>0</v>
      </c>
      <c r="AO51" s="332"/>
      <c r="AP51" s="332"/>
      <c r="AQ51" s="304" t="str">
        <f t="shared" si="0"/>
        <v/>
      </c>
      <c r="AS51" s="304" t="str">
        <f t="shared" si="1"/>
        <v>wci_corp</v>
      </c>
    </row>
    <row r="52" spans="2:45">
      <c r="B52" s="304" t="s">
        <v>1282</v>
      </c>
      <c r="C52" s="329">
        <v>44469</v>
      </c>
      <c r="D52" s="330">
        <v>-244.5</v>
      </c>
      <c r="E52" s="330">
        <v>0</v>
      </c>
      <c r="F52" s="331" t="s">
        <v>729</v>
      </c>
      <c r="G52" s="304" t="s">
        <v>2127</v>
      </c>
      <c r="H52" s="332" t="s">
        <v>730</v>
      </c>
      <c r="I52" s="304" t="s">
        <v>2121</v>
      </c>
      <c r="J52" s="304" t="s">
        <v>731</v>
      </c>
      <c r="K52" s="304" t="s">
        <v>732</v>
      </c>
      <c r="L52" s="306"/>
      <c r="M52" s="306"/>
      <c r="N52" s="306" t="s">
        <v>2121</v>
      </c>
      <c r="O52" s="324"/>
      <c r="P52" s="306"/>
      <c r="Q52" s="306"/>
      <c r="U52" s="304" t="s">
        <v>2122</v>
      </c>
      <c r="V52" s="304" t="s">
        <v>2128</v>
      </c>
      <c r="X52" s="329">
        <v>44447</v>
      </c>
      <c r="Y52" s="329">
        <v>44447</v>
      </c>
      <c r="AA52" s="329"/>
      <c r="AB52" s="304" t="s">
        <v>733</v>
      </c>
      <c r="AC52" s="304">
        <v>0</v>
      </c>
      <c r="AD52" s="304">
        <v>0</v>
      </c>
      <c r="AE52" s="304">
        <v>0</v>
      </c>
      <c r="AF52" s="304">
        <v>0</v>
      </c>
      <c r="AG52" s="304">
        <v>5</v>
      </c>
      <c r="AH52" s="304">
        <v>1</v>
      </c>
      <c r="AI52" s="304">
        <v>43001</v>
      </c>
      <c r="AJ52" s="304">
        <v>2195</v>
      </c>
      <c r="AK52" s="304">
        <v>0</v>
      </c>
      <c r="AL52" s="304">
        <v>99</v>
      </c>
      <c r="AO52" s="332"/>
      <c r="AP52" s="332"/>
      <c r="AQ52" s="304" t="str">
        <f t="shared" ref="AQ52:AQ83" si="2">IF(LEFT(U52,2)="VO",U52,"")</f>
        <v/>
      </c>
      <c r="AS52" s="304" t="str">
        <f t="shared" ref="AS52:AS83" si="3">IF(RIGHT(K52,2)="IC",IF(OR(AB52="wci_canada",AB52="wci_can_corp"),"wci_can_Corp","wci_corp"),AB52)</f>
        <v>wci_corp</v>
      </c>
    </row>
    <row r="53" spans="2:45">
      <c r="B53" s="304" t="s">
        <v>1284</v>
      </c>
      <c r="C53" s="329">
        <v>44469</v>
      </c>
      <c r="D53" s="330">
        <v>28155.07</v>
      </c>
      <c r="E53" s="330">
        <v>0</v>
      </c>
      <c r="F53" s="331" t="s">
        <v>729</v>
      </c>
      <c r="G53" s="304" t="s">
        <v>2129</v>
      </c>
      <c r="H53" s="332" t="s">
        <v>730</v>
      </c>
      <c r="I53" s="304" t="s">
        <v>2060</v>
      </c>
      <c r="J53" s="304" t="s">
        <v>731</v>
      </c>
      <c r="K53" s="304" t="s">
        <v>732</v>
      </c>
      <c r="L53" s="306"/>
      <c r="M53" s="306"/>
      <c r="N53" s="306" t="s">
        <v>1281</v>
      </c>
      <c r="O53" s="324"/>
      <c r="P53" s="306"/>
      <c r="Q53" s="306"/>
      <c r="U53" s="304" t="s">
        <v>2130</v>
      </c>
      <c r="V53" s="304" t="s">
        <v>2130</v>
      </c>
      <c r="X53" s="329">
        <v>44475</v>
      </c>
      <c r="Y53" s="329">
        <v>44475</v>
      </c>
      <c r="AA53" s="329"/>
      <c r="AB53" s="304" t="s">
        <v>733</v>
      </c>
      <c r="AC53" s="304">
        <v>0</v>
      </c>
      <c r="AD53" s="304">
        <v>0</v>
      </c>
      <c r="AE53" s="304">
        <v>0</v>
      </c>
      <c r="AF53" s="304">
        <v>0</v>
      </c>
      <c r="AG53" s="304">
        <v>0</v>
      </c>
      <c r="AH53" s="304">
        <v>1</v>
      </c>
      <c r="AI53" s="304">
        <v>43001</v>
      </c>
      <c r="AJ53" s="304">
        <v>2195</v>
      </c>
      <c r="AK53" s="304">
        <v>0</v>
      </c>
      <c r="AL53" s="304">
        <v>0</v>
      </c>
      <c r="AO53" s="332"/>
      <c r="AP53" s="332"/>
      <c r="AQ53" s="304" t="str">
        <f t="shared" si="2"/>
        <v/>
      </c>
      <c r="AS53" s="304" t="str">
        <f t="shared" si="3"/>
        <v>wci_corp</v>
      </c>
    </row>
    <row r="54" spans="2:45">
      <c r="B54" s="304" t="s">
        <v>1282</v>
      </c>
      <c r="C54" s="329">
        <v>44469</v>
      </c>
      <c r="D54" s="330">
        <v>692.7</v>
      </c>
      <c r="E54" s="330">
        <v>0</v>
      </c>
      <c r="F54" s="331" t="s">
        <v>729</v>
      </c>
      <c r="G54" s="304" t="s">
        <v>2131</v>
      </c>
      <c r="H54" s="332" t="s">
        <v>730</v>
      </c>
      <c r="I54" s="304" t="s">
        <v>2132</v>
      </c>
      <c r="J54" s="304" t="s">
        <v>736</v>
      </c>
      <c r="K54" s="304" t="s">
        <v>732</v>
      </c>
      <c r="L54" s="306"/>
      <c r="M54" s="306"/>
      <c r="N54" s="306" t="s">
        <v>908</v>
      </c>
      <c r="O54" s="324"/>
      <c r="P54" s="306"/>
      <c r="Q54" s="306"/>
      <c r="U54" s="304" t="s">
        <v>2133</v>
      </c>
      <c r="V54" s="304" t="s">
        <v>2133</v>
      </c>
      <c r="X54" s="329">
        <v>44475</v>
      </c>
      <c r="Y54" s="329">
        <v>44475</v>
      </c>
      <c r="AA54" s="329"/>
      <c r="AB54" s="304" t="s">
        <v>733</v>
      </c>
      <c r="AC54" s="304">
        <v>0</v>
      </c>
      <c r="AD54" s="304">
        <v>0</v>
      </c>
      <c r="AE54" s="304">
        <v>0</v>
      </c>
      <c r="AF54" s="304">
        <v>0</v>
      </c>
      <c r="AG54" s="304">
        <v>0</v>
      </c>
      <c r="AH54" s="304">
        <v>1</v>
      </c>
      <c r="AI54" s="304">
        <v>43001</v>
      </c>
      <c r="AJ54" s="304">
        <v>2195</v>
      </c>
      <c r="AK54" s="304">
        <v>0</v>
      </c>
      <c r="AL54" s="304">
        <v>99</v>
      </c>
      <c r="AO54" s="332"/>
      <c r="AP54" s="332"/>
      <c r="AQ54" s="304" t="str">
        <f t="shared" si="2"/>
        <v/>
      </c>
      <c r="AS54" s="304" t="str">
        <f t="shared" si="3"/>
        <v>wci_corp</v>
      </c>
    </row>
    <row r="55" spans="2:45">
      <c r="B55" s="304" t="s">
        <v>1284</v>
      </c>
      <c r="C55" s="329">
        <v>44469</v>
      </c>
      <c r="D55" s="330">
        <v>566.14</v>
      </c>
      <c r="E55" s="330">
        <v>0</v>
      </c>
      <c r="F55" s="331" t="s">
        <v>729</v>
      </c>
      <c r="G55" s="304" t="s">
        <v>2134</v>
      </c>
      <c r="H55" s="332" t="s">
        <v>730</v>
      </c>
      <c r="I55" s="304" t="s">
        <v>2063</v>
      </c>
      <c r="J55" s="304" t="s">
        <v>2135</v>
      </c>
      <c r="K55" s="304" t="s">
        <v>732</v>
      </c>
      <c r="L55" s="306"/>
      <c r="M55" s="306"/>
      <c r="N55" s="306" t="s">
        <v>2124</v>
      </c>
      <c r="O55" s="324"/>
      <c r="P55" s="306"/>
      <c r="Q55" s="306"/>
      <c r="U55" s="304" t="s">
        <v>2136</v>
      </c>
      <c r="V55" s="304" t="s">
        <v>2136</v>
      </c>
      <c r="X55" s="329">
        <v>44475</v>
      </c>
      <c r="Y55" s="329">
        <v>44475</v>
      </c>
      <c r="AA55" s="329"/>
      <c r="AB55" s="304" t="s">
        <v>733</v>
      </c>
      <c r="AC55" s="304">
        <v>0</v>
      </c>
      <c r="AD55" s="304">
        <v>0</v>
      </c>
      <c r="AE55" s="304">
        <v>0</v>
      </c>
      <c r="AF55" s="304">
        <v>0</v>
      </c>
      <c r="AG55" s="304">
        <v>0</v>
      </c>
      <c r="AH55" s="304">
        <v>1</v>
      </c>
      <c r="AI55" s="304">
        <v>43001</v>
      </c>
      <c r="AJ55" s="304">
        <v>2195</v>
      </c>
      <c r="AK55" s="304">
        <v>0</v>
      </c>
      <c r="AL55" s="304">
        <v>0</v>
      </c>
      <c r="AO55" s="332"/>
      <c r="AP55" s="332"/>
      <c r="AQ55" s="304" t="str">
        <f t="shared" si="2"/>
        <v/>
      </c>
      <c r="AS55" s="304" t="str">
        <f t="shared" si="3"/>
        <v>wci_corp</v>
      </c>
    </row>
    <row r="56" spans="2:45">
      <c r="B56" s="304" t="s">
        <v>1284</v>
      </c>
      <c r="C56" s="329">
        <v>44469</v>
      </c>
      <c r="D56" s="330">
        <v>-460.07</v>
      </c>
      <c r="E56" s="330">
        <v>0</v>
      </c>
      <c r="F56" s="331" t="s">
        <v>729</v>
      </c>
      <c r="G56" s="304" t="s">
        <v>2134</v>
      </c>
      <c r="H56" s="332" t="s">
        <v>730</v>
      </c>
      <c r="I56" s="304" t="s">
        <v>2063</v>
      </c>
      <c r="J56" s="304" t="s">
        <v>2135</v>
      </c>
      <c r="K56" s="304" t="s">
        <v>732</v>
      </c>
      <c r="L56" s="306"/>
      <c r="M56" s="306"/>
      <c r="N56" s="306" t="s">
        <v>2072</v>
      </c>
      <c r="O56" s="324"/>
      <c r="P56" s="306"/>
      <c r="Q56" s="306"/>
      <c r="U56" s="304" t="s">
        <v>2136</v>
      </c>
      <c r="V56" s="304" t="s">
        <v>2136</v>
      </c>
      <c r="X56" s="329">
        <v>44475</v>
      </c>
      <c r="Y56" s="329">
        <v>44475</v>
      </c>
      <c r="AA56" s="329"/>
      <c r="AB56" s="304" t="s">
        <v>733</v>
      </c>
      <c r="AC56" s="304">
        <v>0</v>
      </c>
      <c r="AD56" s="304">
        <v>0</v>
      </c>
      <c r="AE56" s="304">
        <v>0</v>
      </c>
      <c r="AF56" s="304">
        <v>0</v>
      </c>
      <c r="AG56" s="304">
        <v>0</v>
      </c>
      <c r="AH56" s="304">
        <v>1</v>
      </c>
      <c r="AI56" s="304">
        <v>43001</v>
      </c>
      <c r="AJ56" s="304">
        <v>2195</v>
      </c>
      <c r="AK56" s="304">
        <v>0</v>
      </c>
      <c r="AL56" s="304">
        <v>0</v>
      </c>
      <c r="AO56" s="332"/>
      <c r="AP56" s="332"/>
      <c r="AQ56" s="304" t="str">
        <f t="shared" si="2"/>
        <v/>
      </c>
      <c r="AS56" s="304" t="str">
        <f t="shared" si="3"/>
        <v>wci_corp</v>
      </c>
    </row>
    <row r="57" spans="2:45">
      <c r="B57" s="304" t="s">
        <v>1284</v>
      </c>
      <c r="C57" s="329">
        <v>44469</v>
      </c>
      <c r="D57" s="330">
        <v>-0.28999999999999998</v>
      </c>
      <c r="E57" s="330">
        <v>0</v>
      </c>
      <c r="F57" s="331" t="s">
        <v>729</v>
      </c>
      <c r="G57" s="304" t="s">
        <v>2134</v>
      </c>
      <c r="H57" s="332" t="s">
        <v>730</v>
      </c>
      <c r="I57" s="304" t="s">
        <v>2063</v>
      </c>
      <c r="J57" s="304" t="s">
        <v>2135</v>
      </c>
      <c r="K57" s="304" t="s">
        <v>732</v>
      </c>
      <c r="L57" s="306"/>
      <c r="M57" s="306"/>
      <c r="N57" s="306" t="s">
        <v>2072</v>
      </c>
      <c r="O57" s="324"/>
      <c r="P57" s="306"/>
      <c r="Q57" s="306"/>
      <c r="U57" s="304" t="s">
        <v>2136</v>
      </c>
      <c r="V57" s="304" t="s">
        <v>2136</v>
      </c>
      <c r="X57" s="329">
        <v>44475</v>
      </c>
      <c r="Y57" s="329">
        <v>44475</v>
      </c>
      <c r="AA57" s="329"/>
      <c r="AB57" s="304" t="s">
        <v>733</v>
      </c>
      <c r="AC57" s="304">
        <v>0</v>
      </c>
      <c r="AD57" s="304">
        <v>0</v>
      </c>
      <c r="AE57" s="304">
        <v>0</v>
      </c>
      <c r="AF57" s="304">
        <v>0</v>
      </c>
      <c r="AG57" s="304">
        <v>0</v>
      </c>
      <c r="AH57" s="304">
        <v>1</v>
      </c>
      <c r="AI57" s="304">
        <v>43001</v>
      </c>
      <c r="AJ57" s="304">
        <v>2195</v>
      </c>
      <c r="AK57" s="304">
        <v>0</v>
      </c>
      <c r="AL57" s="304">
        <v>0</v>
      </c>
      <c r="AO57" s="332"/>
      <c r="AP57" s="332"/>
      <c r="AQ57" s="304" t="str">
        <f t="shared" si="2"/>
        <v/>
      </c>
      <c r="AS57" s="304" t="str">
        <f t="shared" si="3"/>
        <v>wci_corp</v>
      </c>
    </row>
    <row r="58" spans="2:45">
      <c r="B58" s="304" t="s">
        <v>1282</v>
      </c>
      <c r="C58" s="329">
        <v>44469</v>
      </c>
      <c r="D58" s="330">
        <v>250.58</v>
      </c>
      <c r="E58" s="330">
        <v>0</v>
      </c>
      <c r="F58" s="331" t="s">
        <v>729</v>
      </c>
      <c r="G58" s="304" t="s">
        <v>2137</v>
      </c>
      <c r="H58" s="332" t="s">
        <v>730</v>
      </c>
      <c r="I58" s="304" t="s">
        <v>2138</v>
      </c>
      <c r="J58" s="304" t="s">
        <v>2135</v>
      </c>
      <c r="K58" s="304" t="s">
        <v>732</v>
      </c>
      <c r="L58" s="306"/>
      <c r="M58" s="306"/>
      <c r="N58" s="306" t="s">
        <v>2138</v>
      </c>
      <c r="O58" s="324"/>
      <c r="P58" s="306"/>
      <c r="Q58" s="306"/>
      <c r="U58" s="304" t="s">
        <v>2139</v>
      </c>
      <c r="V58" s="304" t="s">
        <v>2139</v>
      </c>
      <c r="X58" s="329">
        <v>44476</v>
      </c>
      <c r="Y58" s="329">
        <v>44476</v>
      </c>
      <c r="AA58" s="329"/>
      <c r="AB58" s="304" t="s">
        <v>733</v>
      </c>
      <c r="AC58" s="304">
        <v>0</v>
      </c>
      <c r="AD58" s="304">
        <v>0</v>
      </c>
      <c r="AE58" s="304">
        <v>0</v>
      </c>
      <c r="AF58" s="304">
        <v>0</v>
      </c>
      <c r="AG58" s="304">
        <v>0</v>
      </c>
      <c r="AH58" s="304">
        <v>1</v>
      </c>
      <c r="AI58" s="304">
        <v>43001</v>
      </c>
      <c r="AJ58" s="304">
        <v>2195</v>
      </c>
      <c r="AK58" s="304">
        <v>0</v>
      </c>
      <c r="AL58" s="304">
        <v>99</v>
      </c>
      <c r="AO58" s="332"/>
      <c r="AP58" s="332"/>
      <c r="AQ58" s="304" t="str">
        <f t="shared" si="2"/>
        <v/>
      </c>
      <c r="AS58" s="304" t="str">
        <f t="shared" si="3"/>
        <v>wci_corp</v>
      </c>
    </row>
    <row r="59" spans="2:45">
      <c r="B59" s="304" t="s">
        <v>1282</v>
      </c>
      <c r="C59" s="329">
        <v>44500</v>
      </c>
      <c r="D59" s="330">
        <v>-250.58</v>
      </c>
      <c r="E59" s="330">
        <v>0</v>
      </c>
      <c r="F59" s="331" t="s">
        <v>729</v>
      </c>
      <c r="G59" s="304" t="s">
        <v>2140</v>
      </c>
      <c r="H59" s="332" t="s">
        <v>730</v>
      </c>
      <c r="I59" s="304" t="s">
        <v>2138</v>
      </c>
      <c r="J59" s="304" t="s">
        <v>736</v>
      </c>
      <c r="K59" s="304" t="s">
        <v>732</v>
      </c>
      <c r="L59" s="306"/>
      <c r="M59" s="306"/>
      <c r="N59" s="306" t="s">
        <v>2138</v>
      </c>
      <c r="O59" s="324"/>
      <c r="P59" s="306"/>
      <c r="Q59" s="306"/>
      <c r="U59" s="304" t="s">
        <v>2139</v>
      </c>
      <c r="V59" s="304" t="s">
        <v>2141</v>
      </c>
      <c r="X59" s="329">
        <v>44476</v>
      </c>
      <c r="Y59" s="329">
        <v>44476</v>
      </c>
      <c r="AA59" s="329"/>
      <c r="AB59" s="304" t="s">
        <v>733</v>
      </c>
      <c r="AC59" s="304">
        <v>0</v>
      </c>
      <c r="AD59" s="304">
        <v>0</v>
      </c>
      <c r="AE59" s="304">
        <v>0</v>
      </c>
      <c r="AF59" s="304">
        <v>0</v>
      </c>
      <c r="AG59" s="304">
        <v>5</v>
      </c>
      <c r="AH59" s="304">
        <v>1</v>
      </c>
      <c r="AI59" s="304">
        <v>43001</v>
      </c>
      <c r="AJ59" s="304">
        <v>2195</v>
      </c>
      <c r="AK59" s="304">
        <v>0</v>
      </c>
      <c r="AL59" s="304">
        <v>99</v>
      </c>
      <c r="AO59" s="332"/>
      <c r="AP59" s="332"/>
      <c r="AQ59" s="304" t="str">
        <f t="shared" si="2"/>
        <v/>
      </c>
      <c r="AS59" s="304" t="str">
        <f t="shared" si="3"/>
        <v>wci_corp</v>
      </c>
    </row>
    <row r="60" spans="2:45">
      <c r="B60" s="304" t="s">
        <v>1284</v>
      </c>
      <c r="C60" s="329">
        <v>44500</v>
      </c>
      <c r="D60" s="330">
        <v>28304.18</v>
      </c>
      <c r="E60" s="330">
        <v>0</v>
      </c>
      <c r="F60" s="331" t="s">
        <v>729</v>
      </c>
      <c r="G60" s="304" t="s">
        <v>2142</v>
      </c>
      <c r="H60" s="332" t="s">
        <v>730</v>
      </c>
      <c r="I60" s="304" t="s">
        <v>2060</v>
      </c>
      <c r="J60" s="304" t="s">
        <v>736</v>
      </c>
      <c r="K60" s="304" t="s">
        <v>732</v>
      </c>
      <c r="L60" s="306"/>
      <c r="M60" s="306"/>
      <c r="N60" s="306" t="s">
        <v>1281</v>
      </c>
      <c r="O60" s="324"/>
      <c r="P60" s="306"/>
      <c r="Q60" s="306"/>
      <c r="U60" s="304" t="s">
        <v>2143</v>
      </c>
      <c r="V60" s="304" t="s">
        <v>2143</v>
      </c>
      <c r="X60" s="329">
        <v>44504</v>
      </c>
      <c r="Y60" s="329">
        <v>44505</v>
      </c>
      <c r="AA60" s="329"/>
      <c r="AB60" s="304" t="s">
        <v>733</v>
      </c>
      <c r="AC60" s="304">
        <v>0</v>
      </c>
      <c r="AD60" s="304">
        <v>0</v>
      </c>
      <c r="AE60" s="304">
        <v>0</v>
      </c>
      <c r="AF60" s="304">
        <v>0</v>
      </c>
      <c r="AG60" s="304">
        <v>0</v>
      </c>
      <c r="AH60" s="304">
        <v>1</v>
      </c>
      <c r="AI60" s="304">
        <v>43001</v>
      </c>
      <c r="AJ60" s="304">
        <v>2195</v>
      </c>
      <c r="AK60" s="304">
        <v>0</v>
      </c>
      <c r="AL60" s="304">
        <v>0</v>
      </c>
      <c r="AO60" s="332"/>
      <c r="AP60" s="332"/>
      <c r="AQ60" s="304" t="str">
        <f t="shared" si="2"/>
        <v/>
      </c>
      <c r="AS60" s="304" t="str">
        <f t="shared" si="3"/>
        <v>wci_corp</v>
      </c>
    </row>
    <row r="61" spans="2:45">
      <c r="B61" s="304" t="s">
        <v>1284</v>
      </c>
      <c r="C61" s="329">
        <v>44500</v>
      </c>
      <c r="D61" s="330">
        <v>-42.68</v>
      </c>
      <c r="E61" s="330">
        <v>0</v>
      </c>
      <c r="F61" s="331" t="s">
        <v>729</v>
      </c>
      <c r="G61" s="304" t="s">
        <v>2144</v>
      </c>
      <c r="H61" s="332" t="s">
        <v>730</v>
      </c>
      <c r="I61" s="304" t="s">
        <v>1283</v>
      </c>
      <c r="J61" s="304" t="s">
        <v>736</v>
      </c>
      <c r="K61" s="304" t="s">
        <v>732</v>
      </c>
      <c r="L61" s="306"/>
      <c r="M61" s="306"/>
      <c r="N61" s="306" t="s">
        <v>2145</v>
      </c>
      <c r="O61" s="324"/>
      <c r="P61" s="306"/>
      <c r="Q61" s="306"/>
      <c r="U61" s="304" t="s">
        <v>2146</v>
      </c>
      <c r="V61" s="304" t="s">
        <v>2146</v>
      </c>
      <c r="X61" s="329">
        <v>44504</v>
      </c>
      <c r="Y61" s="329">
        <v>44505</v>
      </c>
      <c r="AA61" s="329"/>
      <c r="AB61" s="304" t="s">
        <v>733</v>
      </c>
      <c r="AC61" s="304">
        <v>0</v>
      </c>
      <c r="AD61" s="304">
        <v>0</v>
      </c>
      <c r="AE61" s="304">
        <v>0</v>
      </c>
      <c r="AF61" s="304">
        <v>0</v>
      </c>
      <c r="AG61" s="304">
        <v>0</v>
      </c>
      <c r="AH61" s="304">
        <v>1</v>
      </c>
      <c r="AI61" s="304">
        <v>43001</v>
      </c>
      <c r="AJ61" s="304">
        <v>2195</v>
      </c>
      <c r="AK61" s="304">
        <v>0</v>
      </c>
      <c r="AL61" s="304">
        <v>0</v>
      </c>
      <c r="AO61" s="332"/>
      <c r="AP61" s="332"/>
      <c r="AQ61" s="304" t="str">
        <f t="shared" si="2"/>
        <v/>
      </c>
      <c r="AS61" s="304" t="str">
        <f t="shared" si="3"/>
        <v>wci_corp</v>
      </c>
    </row>
    <row r="62" spans="2:45">
      <c r="B62" s="304" t="s">
        <v>1284</v>
      </c>
      <c r="C62" s="329">
        <v>44500</v>
      </c>
      <c r="D62" s="330">
        <v>-32.93</v>
      </c>
      <c r="E62" s="330">
        <v>0</v>
      </c>
      <c r="F62" s="331" t="s">
        <v>729</v>
      </c>
      <c r="G62" s="304" t="s">
        <v>2144</v>
      </c>
      <c r="H62" s="332" t="s">
        <v>730</v>
      </c>
      <c r="I62" s="304" t="s">
        <v>1283</v>
      </c>
      <c r="J62" s="304" t="s">
        <v>736</v>
      </c>
      <c r="K62" s="304" t="s">
        <v>732</v>
      </c>
      <c r="L62" s="306"/>
      <c r="M62" s="306"/>
      <c r="N62" s="306" t="s">
        <v>2147</v>
      </c>
      <c r="O62" s="324"/>
      <c r="P62" s="306"/>
      <c r="Q62" s="306"/>
      <c r="U62" s="304" t="s">
        <v>2146</v>
      </c>
      <c r="V62" s="304" t="s">
        <v>2146</v>
      </c>
      <c r="X62" s="329">
        <v>44504</v>
      </c>
      <c r="Y62" s="329">
        <v>44505</v>
      </c>
      <c r="AA62" s="329"/>
      <c r="AB62" s="304" t="s">
        <v>733</v>
      </c>
      <c r="AC62" s="304">
        <v>0</v>
      </c>
      <c r="AD62" s="304">
        <v>0</v>
      </c>
      <c r="AE62" s="304">
        <v>0</v>
      </c>
      <c r="AF62" s="304">
        <v>0</v>
      </c>
      <c r="AG62" s="304">
        <v>0</v>
      </c>
      <c r="AH62" s="304">
        <v>1</v>
      </c>
      <c r="AI62" s="304">
        <v>43001</v>
      </c>
      <c r="AJ62" s="304">
        <v>2195</v>
      </c>
      <c r="AK62" s="304">
        <v>0</v>
      </c>
      <c r="AL62" s="304">
        <v>0</v>
      </c>
      <c r="AO62" s="332"/>
      <c r="AP62" s="332"/>
      <c r="AQ62" s="304" t="str">
        <f t="shared" si="2"/>
        <v/>
      </c>
      <c r="AS62" s="304" t="str">
        <f t="shared" si="3"/>
        <v>wci_corp</v>
      </c>
    </row>
    <row r="63" spans="2:45">
      <c r="B63" s="304" t="s">
        <v>1284</v>
      </c>
      <c r="C63" s="329">
        <v>44500</v>
      </c>
      <c r="D63" s="330">
        <v>65.14</v>
      </c>
      <c r="E63" s="330">
        <v>0</v>
      </c>
      <c r="F63" s="331" t="s">
        <v>729</v>
      </c>
      <c r="G63" s="304" t="s">
        <v>2144</v>
      </c>
      <c r="H63" s="332" t="s">
        <v>730</v>
      </c>
      <c r="I63" s="304" t="s">
        <v>1283</v>
      </c>
      <c r="J63" s="304" t="s">
        <v>736</v>
      </c>
      <c r="K63" s="304" t="s">
        <v>732</v>
      </c>
      <c r="L63" s="306"/>
      <c r="M63" s="306"/>
      <c r="N63" s="306" t="s">
        <v>2148</v>
      </c>
      <c r="O63" s="324"/>
      <c r="P63" s="306"/>
      <c r="Q63" s="306"/>
      <c r="U63" s="304" t="s">
        <v>2146</v>
      </c>
      <c r="V63" s="304" t="s">
        <v>2146</v>
      </c>
      <c r="X63" s="329">
        <v>44504</v>
      </c>
      <c r="Y63" s="329">
        <v>44505</v>
      </c>
      <c r="AA63" s="329"/>
      <c r="AB63" s="304" t="s">
        <v>733</v>
      </c>
      <c r="AC63" s="304">
        <v>0</v>
      </c>
      <c r="AD63" s="304">
        <v>0</v>
      </c>
      <c r="AE63" s="304">
        <v>0</v>
      </c>
      <c r="AF63" s="304">
        <v>0</v>
      </c>
      <c r="AG63" s="304">
        <v>0</v>
      </c>
      <c r="AH63" s="304">
        <v>1</v>
      </c>
      <c r="AI63" s="304">
        <v>43001</v>
      </c>
      <c r="AJ63" s="304">
        <v>2195</v>
      </c>
      <c r="AK63" s="304">
        <v>0</v>
      </c>
      <c r="AL63" s="304">
        <v>0</v>
      </c>
      <c r="AO63" s="332"/>
      <c r="AP63" s="332"/>
      <c r="AQ63" s="304" t="str">
        <f t="shared" si="2"/>
        <v/>
      </c>
      <c r="AS63" s="304" t="str">
        <f t="shared" si="3"/>
        <v>wci_corp</v>
      </c>
    </row>
    <row r="64" spans="2:45">
      <c r="B64" s="304" t="s">
        <v>1284</v>
      </c>
      <c r="C64" s="329">
        <v>44500</v>
      </c>
      <c r="D64" s="330">
        <v>1.96</v>
      </c>
      <c r="E64" s="330">
        <v>0</v>
      </c>
      <c r="F64" s="331" t="s">
        <v>729</v>
      </c>
      <c r="G64" s="304" t="s">
        <v>2144</v>
      </c>
      <c r="H64" s="332" t="s">
        <v>730</v>
      </c>
      <c r="I64" s="304" t="s">
        <v>1283</v>
      </c>
      <c r="J64" s="304" t="s">
        <v>736</v>
      </c>
      <c r="K64" s="304" t="s">
        <v>732</v>
      </c>
      <c r="L64" s="306"/>
      <c r="M64" s="306"/>
      <c r="N64" s="306" t="s">
        <v>2149</v>
      </c>
      <c r="O64" s="324"/>
      <c r="P64" s="306"/>
      <c r="Q64" s="306"/>
      <c r="U64" s="304" t="s">
        <v>2146</v>
      </c>
      <c r="V64" s="304" t="s">
        <v>2146</v>
      </c>
      <c r="X64" s="329">
        <v>44504</v>
      </c>
      <c r="Y64" s="329">
        <v>44505</v>
      </c>
      <c r="AA64" s="329"/>
      <c r="AB64" s="304" t="s">
        <v>733</v>
      </c>
      <c r="AC64" s="304">
        <v>0</v>
      </c>
      <c r="AD64" s="304">
        <v>0</v>
      </c>
      <c r="AE64" s="304">
        <v>0</v>
      </c>
      <c r="AF64" s="304">
        <v>0</v>
      </c>
      <c r="AG64" s="304">
        <v>0</v>
      </c>
      <c r="AH64" s="304">
        <v>1</v>
      </c>
      <c r="AI64" s="304">
        <v>43001</v>
      </c>
      <c r="AJ64" s="304">
        <v>2195</v>
      </c>
      <c r="AK64" s="304">
        <v>0</v>
      </c>
      <c r="AL64" s="304">
        <v>0</v>
      </c>
      <c r="AO64" s="332"/>
      <c r="AP64" s="332"/>
      <c r="AQ64" s="304" t="str">
        <f t="shared" si="2"/>
        <v/>
      </c>
      <c r="AS64" s="304" t="str">
        <f t="shared" si="3"/>
        <v>wci_corp</v>
      </c>
    </row>
    <row r="65" spans="2:45">
      <c r="B65" s="304" t="s">
        <v>1282</v>
      </c>
      <c r="C65" s="329">
        <v>44500</v>
      </c>
      <c r="D65" s="330">
        <v>250.51</v>
      </c>
      <c r="E65" s="330">
        <v>0</v>
      </c>
      <c r="F65" s="331" t="s">
        <v>729</v>
      </c>
      <c r="G65" s="304" t="s">
        <v>2150</v>
      </c>
      <c r="H65" s="332" t="s">
        <v>730</v>
      </c>
      <c r="I65" s="304" t="s">
        <v>2151</v>
      </c>
      <c r="J65" s="304" t="s">
        <v>2106</v>
      </c>
      <c r="K65" s="304" t="s">
        <v>732</v>
      </c>
      <c r="L65" s="306"/>
      <c r="M65" s="306"/>
      <c r="N65" s="306" t="s">
        <v>908</v>
      </c>
      <c r="O65" s="324"/>
      <c r="P65" s="306"/>
      <c r="Q65" s="306"/>
      <c r="U65" s="304" t="s">
        <v>2152</v>
      </c>
      <c r="V65" s="304" t="s">
        <v>2152</v>
      </c>
      <c r="X65" s="329">
        <v>44505</v>
      </c>
      <c r="Y65" s="329">
        <v>44505</v>
      </c>
      <c r="AA65" s="329"/>
      <c r="AB65" s="304" t="s">
        <v>733</v>
      </c>
      <c r="AC65" s="304">
        <v>0</v>
      </c>
      <c r="AD65" s="304">
        <v>0</v>
      </c>
      <c r="AE65" s="304">
        <v>0</v>
      </c>
      <c r="AF65" s="304">
        <v>0</v>
      </c>
      <c r="AG65" s="304">
        <v>0</v>
      </c>
      <c r="AH65" s="304">
        <v>1</v>
      </c>
      <c r="AI65" s="304">
        <v>43001</v>
      </c>
      <c r="AJ65" s="304">
        <v>2195</v>
      </c>
      <c r="AK65" s="304">
        <v>0</v>
      </c>
      <c r="AL65" s="304">
        <v>99</v>
      </c>
      <c r="AO65" s="332"/>
      <c r="AP65" s="332"/>
      <c r="AQ65" s="304" t="str">
        <f t="shared" si="2"/>
        <v/>
      </c>
      <c r="AS65" s="304" t="str">
        <f t="shared" si="3"/>
        <v>wci_corp</v>
      </c>
    </row>
    <row r="66" spans="2:45">
      <c r="B66" s="304" t="s">
        <v>1282</v>
      </c>
      <c r="C66" s="329">
        <v>44500</v>
      </c>
      <c r="D66" s="330">
        <v>267.02999999999997</v>
      </c>
      <c r="E66" s="330">
        <v>0</v>
      </c>
      <c r="F66" s="331" t="s">
        <v>729</v>
      </c>
      <c r="G66" s="304" t="s">
        <v>2153</v>
      </c>
      <c r="H66" s="332" t="s">
        <v>730</v>
      </c>
      <c r="I66" s="304" t="s">
        <v>2154</v>
      </c>
      <c r="J66" s="304" t="s">
        <v>736</v>
      </c>
      <c r="K66" s="304" t="s">
        <v>732</v>
      </c>
      <c r="L66" s="306"/>
      <c r="M66" s="306"/>
      <c r="N66" s="306" t="s">
        <v>2154</v>
      </c>
      <c r="O66" s="324"/>
      <c r="P66" s="306"/>
      <c r="Q66" s="306"/>
      <c r="U66" s="304" t="s">
        <v>2155</v>
      </c>
      <c r="V66" s="304" t="s">
        <v>2155</v>
      </c>
      <c r="X66" s="329">
        <v>44505</v>
      </c>
      <c r="Y66" s="329">
        <v>44505</v>
      </c>
      <c r="AA66" s="329"/>
      <c r="AB66" s="304" t="s">
        <v>733</v>
      </c>
      <c r="AC66" s="304">
        <v>0</v>
      </c>
      <c r="AD66" s="304">
        <v>0</v>
      </c>
      <c r="AE66" s="304">
        <v>0</v>
      </c>
      <c r="AF66" s="304">
        <v>0</v>
      </c>
      <c r="AG66" s="304">
        <v>0</v>
      </c>
      <c r="AH66" s="304">
        <v>1</v>
      </c>
      <c r="AI66" s="304">
        <v>43001</v>
      </c>
      <c r="AJ66" s="304">
        <v>2195</v>
      </c>
      <c r="AK66" s="304">
        <v>0</v>
      </c>
      <c r="AL66" s="304">
        <v>99</v>
      </c>
      <c r="AO66" s="332"/>
      <c r="AP66" s="332"/>
      <c r="AQ66" s="304" t="str">
        <f t="shared" si="2"/>
        <v/>
      </c>
      <c r="AS66" s="304" t="str">
        <f t="shared" si="3"/>
        <v>wci_corp</v>
      </c>
    </row>
    <row r="67" spans="2:45">
      <c r="B67" s="304" t="s">
        <v>1282</v>
      </c>
      <c r="C67" s="329">
        <v>44530</v>
      </c>
      <c r="D67" s="330">
        <v>-267.02999999999997</v>
      </c>
      <c r="E67" s="330">
        <v>0</v>
      </c>
      <c r="F67" s="331" t="s">
        <v>729</v>
      </c>
      <c r="G67" s="304" t="s">
        <v>2156</v>
      </c>
      <c r="H67" s="332" t="s">
        <v>730</v>
      </c>
      <c r="I67" s="304" t="s">
        <v>2154</v>
      </c>
      <c r="J67" s="304" t="s">
        <v>736</v>
      </c>
      <c r="K67" s="304" t="s">
        <v>732</v>
      </c>
      <c r="L67" s="306"/>
      <c r="M67" s="306"/>
      <c r="N67" s="306" t="s">
        <v>2154</v>
      </c>
      <c r="O67" s="324"/>
      <c r="P67" s="306"/>
      <c r="Q67" s="306"/>
      <c r="U67" s="304" t="s">
        <v>2155</v>
      </c>
      <c r="V67" s="304" t="s">
        <v>2157</v>
      </c>
      <c r="X67" s="329">
        <v>44505</v>
      </c>
      <c r="Y67" s="329">
        <v>44505</v>
      </c>
      <c r="AA67" s="329"/>
      <c r="AB67" s="304" t="s">
        <v>733</v>
      </c>
      <c r="AC67" s="304">
        <v>0</v>
      </c>
      <c r="AD67" s="304">
        <v>0</v>
      </c>
      <c r="AE67" s="304">
        <v>0</v>
      </c>
      <c r="AF67" s="304">
        <v>0</v>
      </c>
      <c r="AG67" s="304">
        <v>5</v>
      </c>
      <c r="AH67" s="304">
        <v>1</v>
      </c>
      <c r="AI67" s="304">
        <v>43001</v>
      </c>
      <c r="AJ67" s="304">
        <v>2195</v>
      </c>
      <c r="AK67" s="304">
        <v>0</v>
      </c>
      <c r="AL67" s="304">
        <v>99</v>
      </c>
      <c r="AO67" s="332"/>
      <c r="AP67" s="332"/>
      <c r="AQ67" s="304" t="str">
        <f t="shared" si="2"/>
        <v/>
      </c>
      <c r="AS67" s="304" t="str">
        <f t="shared" si="3"/>
        <v>wci_corp</v>
      </c>
    </row>
    <row r="68" spans="2:45">
      <c r="B68" s="304" t="s">
        <v>1284</v>
      </c>
      <c r="C68" s="329">
        <v>44530</v>
      </c>
      <c r="D68" s="330">
        <v>87.17</v>
      </c>
      <c r="E68" s="330">
        <v>0</v>
      </c>
      <c r="F68" s="331" t="s">
        <v>729</v>
      </c>
      <c r="G68" s="304" t="s">
        <v>2158</v>
      </c>
      <c r="H68" s="332" t="s">
        <v>730</v>
      </c>
      <c r="I68" s="304" t="s">
        <v>2159</v>
      </c>
      <c r="J68" s="304" t="s">
        <v>2135</v>
      </c>
      <c r="K68" s="304" t="s">
        <v>732</v>
      </c>
      <c r="L68" s="306"/>
      <c r="M68" s="306"/>
      <c r="N68" s="306" t="s">
        <v>2160</v>
      </c>
      <c r="O68" s="324"/>
      <c r="P68" s="306"/>
      <c r="Q68" s="306"/>
      <c r="U68" s="304" t="s">
        <v>2161</v>
      </c>
      <c r="V68" s="304" t="s">
        <v>2161</v>
      </c>
      <c r="X68" s="329">
        <v>44533</v>
      </c>
      <c r="Y68" s="329">
        <v>44533</v>
      </c>
      <c r="AA68" s="329"/>
      <c r="AB68" s="304" t="s">
        <v>733</v>
      </c>
      <c r="AC68" s="304">
        <v>0</v>
      </c>
      <c r="AD68" s="304">
        <v>0</v>
      </c>
      <c r="AE68" s="304">
        <v>0</v>
      </c>
      <c r="AF68" s="304">
        <v>0</v>
      </c>
      <c r="AG68" s="304">
        <v>0</v>
      </c>
      <c r="AH68" s="304">
        <v>1</v>
      </c>
      <c r="AI68" s="304">
        <v>43001</v>
      </c>
      <c r="AJ68" s="304">
        <v>2195</v>
      </c>
      <c r="AK68" s="304">
        <v>0</v>
      </c>
      <c r="AL68" s="304">
        <v>0</v>
      </c>
      <c r="AO68" s="332"/>
      <c r="AP68" s="332"/>
      <c r="AQ68" s="304" t="str">
        <f t="shared" si="2"/>
        <v/>
      </c>
      <c r="AS68" s="304" t="str">
        <f t="shared" si="3"/>
        <v>wci_corp</v>
      </c>
    </row>
    <row r="69" spans="2:45">
      <c r="B69" s="304" t="s">
        <v>1284</v>
      </c>
      <c r="C69" s="329">
        <v>44530</v>
      </c>
      <c r="D69" s="330">
        <v>917.22</v>
      </c>
      <c r="E69" s="330">
        <v>0</v>
      </c>
      <c r="F69" s="331" t="s">
        <v>729</v>
      </c>
      <c r="G69" s="304" t="s">
        <v>2158</v>
      </c>
      <c r="H69" s="332" t="s">
        <v>730</v>
      </c>
      <c r="I69" s="304" t="s">
        <v>2159</v>
      </c>
      <c r="J69" s="304" t="s">
        <v>2135</v>
      </c>
      <c r="K69" s="304" t="s">
        <v>732</v>
      </c>
      <c r="L69" s="306"/>
      <c r="M69" s="306"/>
      <c r="N69" s="306" t="s">
        <v>2162</v>
      </c>
      <c r="O69" s="324"/>
      <c r="P69" s="306"/>
      <c r="Q69" s="306"/>
      <c r="U69" s="304" t="s">
        <v>2161</v>
      </c>
      <c r="V69" s="304" t="s">
        <v>2161</v>
      </c>
      <c r="X69" s="329">
        <v>44533</v>
      </c>
      <c r="Y69" s="329">
        <v>44533</v>
      </c>
      <c r="AA69" s="329"/>
      <c r="AB69" s="304" t="s">
        <v>733</v>
      </c>
      <c r="AC69" s="304">
        <v>0</v>
      </c>
      <c r="AD69" s="304">
        <v>0</v>
      </c>
      <c r="AE69" s="304">
        <v>0</v>
      </c>
      <c r="AF69" s="304">
        <v>0</v>
      </c>
      <c r="AG69" s="304">
        <v>0</v>
      </c>
      <c r="AH69" s="304">
        <v>1</v>
      </c>
      <c r="AI69" s="304">
        <v>43001</v>
      </c>
      <c r="AJ69" s="304">
        <v>2195</v>
      </c>
      <c r="AK69" s="304">
        <v>0</v>
      </c>
      <c r="AL69" s="304">
        <v>0</v>
      </c>
      <c r="AO69" s="332"/>
      <c r="AP69" s="332"/>
      <c r="AQ69" s="304" t="str">
        <f t="shared" si="2"/>
        <v/>
      </c>
      <c r="AS69" s="304" t="str">
        <f t="shared" si="3"/>
        <v>wci_corp</v>
      </c>
    </row>
    <row r="70" spans="2:45">
      <c r="B70" s="304" t="s">
        <v>1284</v>
      </c>
      <c r="C70" s="329">
        <v>44530</v>
      </c>
      <c r="D70" s="330">
        <v>28050.07</v>
      </c>
      <c r="E70" s="330">
        <v>0</v>
      </c>
      <c r="F70" s="331" t="s">
        <v>729</v>
      </c>
      <c r="G70" s="304" t="s">
        <v>2163</v>
      </c>
      <c r="H70" s="332" t="s">
        <v>730</v>
      </c>
      <c r="I70" s="304" t="s">
        <v>2060</v>
      </c>
      <c r="J70" s="304" t="s">
        <v>2106</v>
      </c>
      <c r="K70" s="304" t="s">
        <v>732</v>
      </c>
      <c r="L70" s="306"/>
      <c r="M70" s="306"/>
      <c r="N70" s="306" t="s">
        <v>1281</v>
      </c>
      <c r="O70" s="324"/>
      <c r="P70" s="306"/>
      <c r="Q70" s="306"/>
      <c r="U70" s="304" t="s">
        <v>2164</v>
      </c>
      <c r="V70" s="304" t="s">
        <v>2164</v>
      </c>
      <c r="X70" s="329">
        <v>44533</v>
      </c>
      <c r="Y70" s="329">
        <v>44534</v>
      </c>
      <c r="AA70" s="329"/>
      <c r="AB70" s="304" t="s">
        <v>733</v>
      </c>
      <c r="AC70" s="304">
        <v>0</v>
      </c>
      <c r="AD70" s="304">
        <v>0</v>
      </c>
      <c r="AE70" s="304">
        <v>0</v>
      </c>
      <c r="AF70" s="304">
        <v>0</v>
      </c>
      <c r="AG70" s="304">
        <v>0</v>
      </c>
      <c r="AH70" s="304">
        <v>1</v>
      </c>
      <c r="AI70" s="304">
        <v>43001</v>
      </c>
      <c r="AJ70" s="304">
        <v>2195</v>
      </c>
      <c r="AK70" s="304">
        <v>0</v>
      </c>
      <c r="AL70" s="304">
        <v>0</v>
      </c>
      <c r="AO70" s="332"/>
      <c r="AP70" s="332"/>
      <c r="AQ70" s="304" t="str">
        <f t="shared" si="2"/>
        <v/>
      </c>
      <c r="AS70" s="304" t="str">
        <f t="shared" si="3"/>
        <v>wci_corp</v>
      </c>
    </row>
    <row r="71" spans="2:45">
      <c r="B71" s="304" t="s">
        <v>1282</v>
      </c>
      <c r="C71" s="329">
        <v>44530</v>
      </c>
      <c r="D71" s="330">
        <v>266.95999999999998</v>
      </c>
      <c r="E71" s="330">
        <v>0</v>
      </c>
      <c r="F71" s="331" t="s">
        <v>729</v>
      </c>
      <c r="G71" s="304" t="s">
        <v>2165</v>
      </c>
      <c r="H71" s="332" t="s">
        <v>730</v>
      </c>
      <c r="I71" s="304" t="s">
        <v>2166</v>
      </c>
      <c r="J71" s="304" t="s">
        <v>2135</v>
      </c>
      <c r="K71" s="304" t="s">
        <v>732</v>
      </c>
      <c r="L71" s="306"/>
      <c r="M71" s="306"/>
      <c r="N71" s="306" t="s">
        <v>908</v>
      </c>
      <c r="O71" s="324"/>
      <c r="P71" s="306"/>
      <c r="Q71" s="306"/>
      <c r="U71" s="304" t="s">
        <v>2167</v>
      </c>
      <c r="V71" s="304" t="s">
        <v>2167</v>
      </c>
      <c r="X71" s="329">
        <v>44536</v>
      </c>
      <c r="Y71" s="329">
        <v>44536</v>
      </c>
      <c r="AA71" s="329"/>
      <c r="AB71" s="304" t="s">
        <v>733</v>
      </c>
      <c r="AC71" s="304">
        <v>0</v>
      </c>
      <c r="AD71" s="304">
        <v>0</v>
      </c>
      <c r="AE71" s="304">
        <v>0</v>
      </c>
      <c r="AF71" s="304">
        <v>0</v>
      </c>
      <c r="AG71" s="304">
        <v>0</v>
      </c>
      <c r="AH71" s="304">
        <v>1</v>
      </c>
      <c r="AI71" s="304">
        <v>43001</v>
      </c>
      <c r="AJ71" s="304">
        <v>2195</v>
      </c>
      <c r="AK71" s="304">
        <v>0</v>
      </c>
      <c r="AL71" s="304">
        <v>99</v>
      </c>
      <c r="AO71" s="332"/>
      <c r="AP71" s="332"/>
      <c r="AQ71" s="304" t="str">
        <f t="shared" si="2"/>
        <v/>
      </c>
      <c r="AS71" s="304" t="str">
        <f t="shared" si="3"/>
        <v>wci_corp</v>
      </c>
    </row>
    <row r="72" spans="2:45">
      <c r="B72" s="304" t="s">
        <v>1282</v>
      </c>
      <c r="C72" s="329">
        <v>44530</v>
      </c>
      <c r="D72" s="330">
        <v>257.2</v>
      </c>
      <c r="E72" s="330">
        <v>0</v>
      </c>
      <c r="F72" s="331" t="s">
        <v>729</v>
      </c>
      <c r="G72" s="304" t="s">
        <v>2168</v>
      </c>
      <c r="H72" s="332" t="s">
        <v>730</v>
      </c>
      <c r="I72" s="304" t="s">
        <v>2169</v>
      </c>
      <c r="J72" s="304" t="s">
        <v>736</v>
      </c>
      <c r="K72" s="304" t="s">
        <v>732</v>
      </c>
      <c r="L72" s="306"/>
      <c r="M72" s="306"/>
      <c r="N72" s="306" t="s">
        <v>2169</v>
      </c>
      <c r="O72" s="324"/>
      <c r="P72" s="306"/>
      <c r="Q72" s="306"/>
      <c r="U72" s="304" t="s">
        <v>2170</v>
      </c>
      <c r="V72" s="304" t="s">
        <v>2170</v>
      </c>
      <c r="X72" s="329">
        <v>44537</v>
      </c>
      <c r="Y72" s="329">
        <v>44537</v>
      </c>
      <c r="AA72" s="329"/>
      <c r="AB72" s="304" t="s">
        <v>733</v>
      </c>
      <c r="AC72" s="304">
        <v>0</v>
      </c>
      <c r="AD72" s="304">
        <v>0</v>
      </c>
      <c r="AE72" s="304">
        <v>0</v>
      </c>
      <c r="AF72" s="304">
        <v>0</v>
      </c>
      <c r="AG72" s="304">
        <v>0</v>
      </c>
      <c r="AH72" s="304">
        <v>1</v>
      </c>
      <c r="AI72" s="304">
        <v>43001</v>
      </c>
      <c r="AJ72" s="304">
        <v>2195</v>
      </c>
      <c r="AK72" s="304">
        <v>0</v>
      </c>
      <c r="AL72" s="304">
        <v>99</v>
      </c>
      <c r="AO72" s="332"/>
      <c r="AP72" s="332"/>
      <c r="AQ72" s="304" t="str">
        <f t="shared" si="2"/>
        <v/>
      </c>
      <c r="AS72" s="304" t="str">
        <f t="shared" si="3"/>
        <v>wci_corp</v>
      </c>
    </row>
    <row r="73" spans="2:45">
      <c r="B73" s="304" t="s">
        <v>1284</v>
      </c>
      <c r="C73" s="329">
        <v>44530</v>
      </c>
      <c r="D73" s="330">
        <v>-42.68</v>
      </c>
      <c r="E73" s="330">
        <v>0</v>
      </c>
      <c r="F73" s="331" t="s">
        <v>729</v>
      </c>
      <c r="G73" s="304" t="s">
        <v>2171</v>
      </c>
      <c r="H73" s="332" t="s">
        <v>730</v>
      </c>
      <c r="I73" s="304" t="s">
        <v>2172</v>
      </c>
      <c r="J73" s="304" t="s">
        <v>736</v>
      </c>
      <c r="K73" s="304" t="s">
        <v>732</v>
      </c>
      <c r="L73" s="306"/>
      <c r="M73" s="306"/>
      <c r="N73" s="306" t="s">
        <v>2145</v>
      </c>
      <c r="O73" s="324"/>
      <c r="P73" s="306"/>
      <c r="Q73" s="306"/>
      <c r="U73" s="304" t="s">
        <v>2173</v>
      </c>
      <c r="V73" s="304" t="s">
        <v>2173</v>
      </c>
      <c r="X73" s="329">
        <v>44537</v>
      </c>
      <c r="Y73" s="329">
        <v>44537</v>
      </c>
      <c r="AA73" s="329"/>
      <c r="AB73" s="304" t="s">
        <v>733</v>
      </c>
      <c r="AC73" s="304">
        <v>0</v>
      </c>
      <c r="AD73" s="304">
        <v>0</v>
      </c>
      <c r="AE73" s="304">
        <v>0</v>
      </c>
      <c r="AF73" s="304">
        <v>0</v>
      </c>
      <c r="AG73" s="304">
        <v>0</v>
      </c>
      <c r="AH73" s="304">
        <v>1</v>
      </c>
      <c r="AI73" s="304">
        <v>43001</v>
      </c>
      <c r="AJ73" s="304">
        <v>2195</v>
      </c>
      <c r="AK73" s="304">
        <v>0</v>
      </c>
      <c r="AL73" s="304">
        <v>0</v>
      </c>
      <c r="AO73" s="332"/>
      <c r="AP73" s="332"/>
      <c r="AQ73" s="304" t="str">
        <f t="shared" si="2"/>
        <v/>
      </c>
      <c r="AS73" s="304" t="str">
        <f t="shared" si="3"/>
        <v>wci_corp</v>
      </c>
    </row>
    <row r="74" spans="2:45">
      <c r="B74" s="304" t="s">
        <v>1284</v>
      </c>
      <c r="C74" s="329">
        <v>44530</v>
      </c>
      <c r="D74" s="330">
        <v>-0.03</v>
      </c>
      <c r="E74" s="330">
        <v>0</v>
      </c>
      <c r="F74" s="331" t="s">
        <v>729</v>
      </c>
      <c r="G74" s="304" t="s">
        <v>2171</v>
      </c>
      <c r="H74" s="332" t="s">
        <v>730</v>
      </c>
      <c r="I74" s="304" t="s">
        <v>2172</v>
      </c>
      <c r="J74" s="304" t="s">
        <v>736</v>
      </c>
      <c r="K74" s="304" t="s">
        <v>732</v>
      </c>
      <c r="L74" s="306"/>
      <c r="M74" s="306"/>
      <c r="N74" s="306" t="s">
        <v>2147</v>
      </c>
      <c r="O74" s="324"/>
      <c r="P74" s="306"/>
      <c r="Q74" s="306"/>
      <c r="U74" s="304" t="s">
        <v>2173</v>
      </c>
      <c r="V74" s="304" t="s">
        <v>2173</v>
      </c>
      <c r="X74" s="329">
        <v>44537</v>
      </c>
      <c r="Y74" s="329">
        <v>44537</v>
      </c>
      <c r="AA74" s="329"/>
      <c r="AB74" s="304" t="s">
        <v>733</v>
      </c>
      <c r="AC74" s="304">
        <v>0</v>
      </c>
      <c r="AD74" s="304">
        <v>0</v>
      </c>
      <c r="AE74" s="304">
        <v>0</v>
      </c>
      <c r="AF74" s="304">
        <v>0</v>
      </c>
      <c r="AG74" s="304">
        <v>0</v>
      </c>
      <c r="AH74" s="304">
        <v>1</v>
      </c>
      <c r="AI74" s="304">
        <v>43001</v>
      </c>
      <c r="AJ74" s="304">
        <v>2195</v>
      </c>
      <c r="AK74" s="304">
        <v>0</v>
      </c>
      <c r="AL74" s="304">
        <v>0</v>
      </c>
      <c r="AO74" s="332"/>
      <c r="AP74" s="332"/>
      <c r="AQ74" s="304" t="str">
        <f t="shared" si="2"/>
        <v/>
      </c>
      <c r="AS74" s="304" t="str">
        <f t="shared" si="3"/>
        <v>wci_corp</v>
      </c>
    </row>
    <row r="75" spans="2:45">
      <c r="B75" s="304" t="s">
        <v>1284</v>
      </c>
      <c r="C75" s="329">
        <v>44530</v>
      </c>
      <c r="D75" s="330">
        <v>-32.67</v>
      </c>
      <c r="E75" s="330">
        <v>0</v>
      </c>
      <c r="F75" s="331" t="s">
        <v>729</v>
      </c>
      <c r="G75" s="304" t="s">
        <v>2171</v>
      </c>
      <c r="H75" s="332" t="s">
        <v>730</v>
      </c>
      <c r="I75" s="304" t="s">
        <v>2172</v>
      </c>
      <c r="J75" s="304" t="s">
        <v>736</v>
      </c>
      <c r="K75" s="304" t="s">
        <v>732</v>
      </c>
      <c r="L75" s="306"/>
      <c r="M75" s="306"/>
      <c r="N75" s="306" t="s">
        <v>2148</v>
      </c>
      <c r="O75" s="324"/>
      <c r="P75" s="306"/>
      <c r="Q75" s="306"/>
      <c r="U75" s="304" t="s">
        <v>2173</v>
      </c>
      <c r="V75" s="304" t="s">
        <v>2173</v>
      </c>
      <c r="X75" s="329">
        <v>44537</v>
      </c>
      <c r="Y75" s="329">
        <v>44537</v>
      </c>
      <c r="AA75" s="329"/>
      <c r="AB75" s="304" t="s">
        <v>733</v>
      </c>
      <c r="AC75" s="304">
        <v>0</v>
      </c>
      <c r="AD75" s="304">
        <v>0</v>
      </c>
      <c r="AE75" s="304">
        <v>0</v>
      </c>
      <c r="AF75" s="304">
        <v>0</v>
      </c>
      <c r="AG75" s="304">
        <v>0</v>
      </c>
      <c r="AH75" s="304">
        <v>1</v>
      </c>
      <c r="AI75" s="304">
        <v>43001</v>
      </c>
      <c r="AJ75" s="304">
        <v>2195</v>
      </c>
      <c r="AK75" s="304">
        <v>0</v>
      </c>
      <c r="AL75" s="304">
        <v>0</v>
      </c>
      <c r="AO75" s="332"/>
      <c r="AP75" s="332"/>
      <c r="AQ75" s="304" t="str">
        <f t="shared" si="2"/>
        <v/>
      </c>
      <c r="AS75" s="304" t="str">
        <f t="shared" si="3"/>
        <v>wci_corp</v>
      </c>
    </row>
    <row r="76" spans="2:45">
      <c r="B76" s="304" t="s">
        <v>1282</v>
      </c>
      <c r="C76" s="329">
        <v>44561</v>
      </c>
      <c r="D76" s="330">
        <v>-257.2</v>
      </c>
      <c r="E76" s="330">
        <v>0</v>
      </c>
      <c r="F76" s="331" t="s">
        <v>729</v>
      </c>
      <c r="G76" s="304" t="s">
        <v>2174</v>
      </c>
      <c r="H76" s="332" t="s">
        <v>730</v>
      </c>
      <c r="I76" s="304" t="s">
        <v>2169</v>
      </c>
      <c r="J76" s="304" t="s">
        <v>2135</v>
      </c>
      <c r="K76" s="304" t="s">
        <v>732</v>
      </c>
      <c r="L76" s="306"/>
      <c r="M76" s="306"/>
      <c r="N76" s="306" t="s">
        <v>2169</v>
      </c>
      <c r="O76" s="324"/>
      <c r="P76" s="306"/>
      <c r="Q76" s="306"/>
      <c r="U76" s="304" t="s">
        <v>2170</v>
      </c>
      <c r="V76" s="304" t="s">
        <v>2175</v>
      </c>
      <c r="X76" s="329">
        <v>44537</v>
      </c>
      <c r="Y76" s="329">
        <v>44537</v>
      </c>
      <c r="AA76" s="329"/>
      <c r="AB76" s="304" t="s">
        <v>733</v>
      </c>
      <c r="AC76" s="304">
        <v>0</v>
      </c>
      <c r="AD76" s="304">
        <v>0</v>
      </c>
      <c r="AE76" s="304">
        <v>0</v>
      </c>
      <c r="AF76" s="304">
        <v>0</v>
      </c>
      <c r="AG76" s="304">
        <v>5</v>
      </c>
      <c r="AH76" s="304">
        <v>1</v>
      </c>
      <c r="AI76" s="304">
        <v>43001</v>
      </c>
      <c r="AJ76" s="304">
        <v>2195</v>
      </c>
      <c r="AK76" s="304">
        <v>0</v>
      </c>
      <c r="AL76" s="304">
        <v>99</v>
      </c>
      <c r="AO76" s="332"/>
      <c r="AP76" s="332"/>
      <c r="AQ76" s="304" t="str">
        <f t="shared" si="2"/>
        <v/>
      </c>
      <c r="AS76" s="304" t="str">
        <f t="shared" si="3"/>
        <v>wci_corp</v>
      </c>
    </row>
    <row r="77" spans="2:45">
      <c r="B77" s="304" t="s">
        <v>1282</v>
      </c>
      <c r="C77" s="329">
        <v>44561</v>
      </c>
      <c r="D77" s="330">
        <v>274.27999999999997</v>
      </c>
      <c r="E77" s="330">
        <v>0</v>
      </c>
      <c r="F77" s="331" t="s">
        <v>729</v>
      </c>
      <c r="G77" s="304" t="s">
        <v>2176</v>
      </c>
      <c r="H77" s="332" t="s">
        <v>730</v>
      </c>
      <c r="I77" s="304" t="s">
        <v>2177</v>
      </c>
      <c r="J77" s="304" t="s">
        <v>736</v>
      </c>
      <c r="K77" s="304" t="s">
        <v>732</v>
      </c>
      <c r="L77" s="306"/>
      <c r="M77" s="306"/>
      <c r="N77" s="306" t="s">
        <v>908</v>
      </c>
      <c r="O77" s="324"/>
      <c r="P77" s="306"/>
      <c r="Q77" s="306"/>
      <c r="U77" s="304" t="s">
        <v>2178</v>
      </c>
      <c r="V77" s="304" t="s">
        <v>2178</v>
      </c>
      <c r="X77" s="329">
        <v>44565</v>
      </c>
      <c r="Y77" s="329">
        <v>44565</v>
      </c>
      <c r="AA77" s="329"/>
      <c r="AB77" s="304" t="s">
        <v>733</v>
      </c>
      <c r="AC77" s="304">
        <v>0</v>
      </c>
      <c r="AD77" s="304">
        <v>0</v>
      </c>
      <c r="AE77" s="304">
        <v>0</v>
      </c>
      <c r="AF77" s="304">
        <v>0</v>
      </c>
      <c r="AG77" s="304">
        <v>0</v>
      </c>
      <c r="AH77" s="304">
        <v>1</v>
      </c>
      <c r="AI77" s="304">
        <v>43001</v>
      </c>
      <c r="AJ77" s="304">
        <v>2195</v>
      </c>
      <c r="AK77" s="304">
        <v>0</v>
      </c>
      <c r="AL77" s="304">
        <v>99</v>
      </c>
      <c r="AO77" s="332"/>
      <c r="AP77" s="332"/>
      <c r="AQ77" s="304" t="str">
        <f t="shared" si="2"/>
        <v/>
      </c>
      <c r="AS77" s="304" t="str">
        <f t="shared" si="3"/>
        <v>wci_corp</v>
      </c>
    </row>
    <row r="78" spans="2:45">
      <c r="B78" s="304" t="s">
        <v>1284</v>
      </c>
      <c r="C78" s="329">
        <v>44561</v>
      </c>
      <c r="D78" s="330">
        <v>25968.51</v>
      </c>
      <c r="E78" s="330">
        <v>0</v>
      </c>
      <c r="F78" s="331" t="s">
        <v>729</v>
      </c>
      <c r="G78" s="304" t="s">
        <v>2179</v>
      </c>
      <c r="H78" s="332" t="s">
        <v>730</v>
      </c>
      <c r="I78" s="304" t="s">
        <v>2060</v>
      </c>
      <c r="J78" s="304" t="s">
        <v>736</v>
      </c>
      <c r="K78" s="304" t="s">
        <v>732</v>
      </c>
      <c r="L78" s="306"/>
      <c r="M78" s="306"/>
      <c r="N78" s="306" t="s">
        <v>1281</v>
      </c>
      <c r="O78" s="324"/>
      <c r="P78" s="306"/>
      <c r="Q78" s="306"/>
      <c r="U78" s="304" t="s">
        <v>2180</v>
      </c>
      <c r="V78" s="304" t="s">
        <v>2180</v>
      </c>
      <c r="X78" s="329">
        <v>44568</v>
      </c>
      <c r="Y78" s="329">
        <v>44568</v>
      </c>
      <c r="AA78" s="329"/>
      <c r="AB78" s="304" t="s">
        <v>733</v>
      </c>
      <c r="AC78" s="304">
        <v>0</v>
      </c>
      <c r="AD78" s="304">
        <v>0</v>
      </c>
      <c r="AE78" s="304">
        <v>0</v>
      </c>
      <c r="AF78" s="304">
        <v>0</v>
      </c>
      <c r="AG78" s="304">
        <v>0</v>
      </c>
      <c r="AH78" s="304">
        <v>1</v>
      </c>
      <c r="AI78" s="304">
        <v>43001</v>
      </c>
      <c r="AJ78" s="304">
        <v>2195</v>
      </c>
      <c r="AK78" s="304">
        <v>0</v>
      </c>
      <c r="AL78" s="304">
        <v>0</v>
      </c>
      <c r="AO78" s="332"/>
      <c r="AP78" s="332"/>
      <c r="AQ78" s="304" t="str">
        <f t="shared" si="2"/>
        <v/>
      </c>
      <c r="AS78" s="304" t="str">
        <f t="shared" si="3"/>
        <v>wci_corp</v>
      </c>
    </row>
    <row r="79" spans="2:45">
      <c r="B79" s="304" t="s">
        <v>1284</v>
      </c>
      <c r="C79" s="329">
        <v>44561</v>
      </c>
      <c r="D79" s="330">
        <v>143.15</v>
      </c>
      <c r="E79" s="330">
        <v>0</v>
      </c>
      <c r="F79" s="331" t="s">
        <v>729</v>
      </c>
      <c r="G79" s="304" t="s">
        <v>2181</v>
      </c>
      <c r="H79" s="332" t="s">
        <v>730</v>
      </c>
      <c r="I79" s="304" t="s">
        <v>2063</v>
      </c>
      <c r="J79" s="304" t="s">
        <v>736</v>
      </c>
      <c r="K79" s="304" t="s">
        <v>732</v>
      </c>
      <c r="L79" s="306"/>
      <c r="M79" s="306"/>
      <c r="N79" s="306" t="s">
        <v>2124</v>
      </c>
      <c r="O79" s="324"/>
      <c r="P79" s="306"/>
      <c r="Q79" s="306"/>
      <c r="U79" s="304" t="s">
        <v>2182</v>
      </c>
      <c r="V79" s="304" t="s">
        <v>2182</v>
      </c>
      <c r="X79" s="329">
        <v>44568</v>
      </c>
      <c r="Y79" s="329">
        <v>44568</v>
      </c>
      <c r="AA79" s="329"/>
      <c r="AB79" s="304" t="s">
        <v>733</v>
      </c>
      <c r="AC79" s="304">
        <v>0</v>
      </c>
      <c r="AD79" s="304">
        <v>0</v>
      </c>
      <c r="AE79" s="304">
        <v>0</v>
      </c>
      <c r="AF79" s="304">
        <v>0</v>
      </c>
      <c r="AG79" s="304">
        <v>0</v>
      </c>
      <c r="AH79" s="304">
        <v>1</v>
      </c>
      <c r="AI79" s="304">
        <v>43001</v>
      </c>
      <c r="AJ79" s="304">
        <v>2195</v>
      </c>
      <c r="AK79" s="304">
        <v>0</v>
      </c>
      <c r="AL79" s="304">
        <v>0</v>
      </c>
      <c r="AO79" s="332"/>
      <c r="AP79" s="332"/>
      <c r="AQ79" s="304" t="str">
        <f t="shared" si="2"/>
        <v/>
      </c>
      <c r="AS79" s="304" t="str">
        <f t="shared" si="3"/>
        <v>wci_corp</v>
      </c>
    </row>
    <row r="80" spans="2:45">
      <c r="B80" s="304" t="s">
        <v>1284</v>
      </c>
      <c r="C80" s="329">
        <v>44561</v>
      </c>
      <c r="D80" s="330">
        <v>-42.71</v>
      </c>
      <c r="E80" s="330">
        <v>0</v>
      </c>
      <c r="F80" s="331" t="s">
        <v>729</v>
      </c>
      <c r="G80" s="304" t="s">
        <v>2181</v>
      </c>
      <c r="H80" s="332" t="s">
        <v>730</v>
      </c>
      <c r="I80" s="304" t="s">
        <v>2063</v>
      </c>
      <c r="J80" s="304" t="s">
        <v>736</v>
      </c>
      <c r="K80" s="304" t="s">
        <v>732</v>
      </c>
      <c r="L80" s="306"/>
      <c r="M80" s="306"/>
      <c r="N80" s="306" t="s">
        <v>2086</v>
      </c>
      <c r="O80" s="324"/>
      <c r="P80" s="306"/>
      <c r="Q80" s="306"/>
      <c r="U80" s="304" t="s">
        <v>2182</v>
      </c>
      <c r="V80" s="304" t="s">
        <v>2182</v>
      </c>
      <c r="X80" s="329">
        <v>44568</v>
      </c>
      <c r="Y80" s="329">
        <v>44568</v>
      </c>
      <c r="AA80" s="329"/>
      <c r="AB80" s="304" t="s">
        <v>733</v>
      </c>
      <c r="AC80" s="304">
        <v>0</v>
      </c>
      <c r="AD80" s="304">
        <v>0</v>
      </c>
      <c r="AE80" s="304">
        <v>0</v>
      </c>
      <c r="AF80" s="304">
        <v>0</v>
      </c>
      <c r="AG80" s="304">
        <v>0</v>
      </c>
      <c r="AH80" s="304">
        <v>1</v>
      </c>
      <c r="AI80" s="304">
        <v>43001</v>
      </c>
      <c r="AJ80" s="304">
        <v>2195</v>
      </c>
      <c r="AK80" s="304">
        <v>0</v>
      </c>
      <c r="AL80" s="304">
        <v>0</v>
      </c>
      <c r="AO80" s="332"/>
      <c r="AP80" s="332"/>
      <c r="AQ80" s="304" t="str">
        <f t="shared" si="2"/>
        <v/>
      </c>
      <c r="AS80" s="304" t="str">
        <f t="shared" si="3"/>
        <v>wci_corp</v>
      </c>
    </row>
    <row r="81" spans="2:45">
      <c r="B81" s="304" t="s">
        <v>1282</v>
      </c>
      <c r="C81" s="329">
        <v>44561</v>
      </c>
      <c r="D81" s="330">
        <v>271.38</v>
      </c>
      <c r="E81" s="330">
        <v>0</v>
      </c>
      <c r="F81" s="331" t="s">
        <v>729</v>
      </c>
      <c r="G81" s="304" t="s">
        <v>2183</v>
      </c>
      <c r="H81" s="332" t="s">
        <v>730</v>
      </c>
      <c r="I81" s="304" t="s">
        <v>2184</v>
      </c>
      <c r="J81" s="304" t="s">
        <v>736</v>
      </c>
      <c r="K81" s="304" t="s">
        <v>732</v>
      </c>
      <c r="L81" s="306"/>
      <c r="M81" s="306"/>
      <c r="N81" s="306" t="s">
        <v>2184</v>
      </c>
      <c r="O81" s="324"/>
      <c r="P81" s="306"/>
      <c r="Q81" s="306"/>
      <c r="U81" s="304" t="s">
        <v>2185</v>
      </c>
      <c r="V81" s="304" t="s">
        <v>2185</v>
      </c>
      <c r="X81" s="329">
        <v>44568</v>
      </c>
      <c r="Y81" s="329">
        <v>44568</v>
      </c>
      <c r="AA81" s="329"/>
      <c r="AB81" s="304" t="s">
        <v>733</v>
      </c>
      <c r="AC81" s="304">
        <v>0</v>
      </c>
      <c r="AD81" s="304">
        <v>0</v>
      </c>
      <c r="AE81" s="304">
        <v>0</v>
      </c>
      <c r="AF81" s="304">
        <v>0</v>
      </c>
      <c r="AG81" s="304">
        <v>0</v>
      </c>
      <c r="AH81" s="304">
        <v>1</v>
      </c>
      <c r="AI81" s="304">
        <v>43001</v>
      </c>
      <c r="AJ81" s="304">
        <v>2195</v>
      </c>
      <c r="AK81" s="304">
        <v>0</v>
      </c>
      <c r="AL81" s="304">
        <v>99</v>
      </c>
      <c r="AO81" s="332"/>
      <c r="AP81" s="332"/>
      <c r="AQ81" s="304" t="str">
        <f t="shared" si="2"/>
        <v/>
      </c>
      <c r="AS81" s="304" t="str">
        <f t="shared" si="3"/>
        <v>wci_corp</v>
      </c>
    </row>
    <row r="82" spans="2:45">
      <c r="B82" s="304" t="s">
        <v>1282</v>
      </c>
      <c r="C82" s="329">
        <v>44592</v>
      </c>
      <c r="D82" s="330">
        <v>-271.38</v>
      </c>
      <c r="E82" s="330">
        <v>0</v>
      </c>
      <c r="F82" s="331" t="s">
        <v>729</v>
      </c>
      <c r="G82" s="304" t="s">
        <v>2186</v>
      </c>
      <c r="H82" s="332" t="s">
        <v>730</v>
      </c>
      <c r="I82" s="304" t="s">
        <v>2184</v>
      </c>
      <c r="J82" s="304" t="s">
        <v>736</v>
      </c>
      <c r="K82" s="304" t="s">
        <v>732</v>
      </c>
      <c r="L82" s="306"/>
      <c r="M82" s="306"/>
      <c r="N82" s="306" t="s">
        <v>2184</v>
      </c>
      <c r="O82" s="324"/>
      <c r="P82" s="306"/>
      <c r="Q82" s="306"/>
      <c r="U82" s="304" t="s">
        <v>2185</v>
      </c>
      <c r="V82" s="304" t="s">
        <v>2187</v>
      </c>
      <c r="X82" s="329">
        <v>44568</v>
      </c>
      <c r="Y82" s="329">
        <v>44568</v>
      </c>
      <c r="AA82" s="329"/>
      <c r="AB82" s="304" t="s">
        <v>733</v>
      </c>
      <c r="AC82" s="304">
        <v>0</v>
      </c>
      <c r="AD82" s="304">
        <v>0</v>
      </c>
      <c r="AE82" s="304">
        <v>0</v>
      </c>
      <c r="AF82" s="304">
        <v>0</v>
      </c>
      <c r="AG82" s="304">
        <v>5</v>
      </c>
      <c r="AH82" s="304">
        <v>1</v>
      </c>
      <c r="AI82" s="304">
        <v>43001</v>
      </c>
      <c r="AJ82" s="304">
        <v>2195</v>
      </c>
      <c r="AK82" s="304">
        <v>0</v>
      </c>
      <c r="AL82" s="304">
        <v>99</v>
      </c>
      <c r="AO82" s="332"/>
      <c r="AP82" s="332"/>
      <c r="AQ82" s="304" t="str">
        <f t="shared" si="2"/>
        <v/>
      </c>
      <c r="AS82" s="304" t="str">
        <f t="shared" si="3"/>
        <v>wci_corp</v>
      </c>
    </row>
    <row r="83" spans="2:45">
      <c r="B83" s="304" t="s">
        <v>1284</v>
      </c>
      <c r="C83" s="329">
        <v>44592</v>
      </c>
      <c r="D83" s="330">
        <v>25496.32</v>
      </c>
      <c r="E83" s="330">
        <v>0</v>
      </c>
      <c r="F83" s="331" t="s">
        <v>729</v>
      </c>
      <c r="G83" s="304" t="s">
        <v>2188</v>
      </c>
      <c r="H83" s="332" t="s">
        <v>730</v>
      </c>
      <c r="I83" s="304" t="s">
        <v>2060</v>
      </c>
      <c r="J83" s="304" t="s">
        <v>731</v>
      </c>
      <c r="K83" s="304" t="s">
        <v>732</v>
      </c>
      <c r="L83" s="306"/>
      <c r="M83" s="306"/>
      <c r="N83" s="306" t="s">
        <v>1281</v>
      </c>
      <c r="O83" s="324"/>
      <c r="P83" s="306"/>
      <c r="Q83" s="306"/>
      <c r="U83" s="304" t="s">
        <v>2189</v>
      </c>
      <c r="V83" s="304" t="s">
        <v>2189</v>
      </c>
      <c r="X83" s="329">
        <v>44596</v>
      </c>
      <c r="Y83" s="329">
        <v>44596</v>
      </c>
      <c r="AA83" s="329"/>
      <c r="AB83" s="304" t="s">
        <v>733</v>
      </c>
      <c r="AC83" s="304">
        <v>0</v>
      </c>
      <c r="AD83" s="304">
        <v>0</v>
      </c>
      <c r="AE83" s="304">
        <v>0</v>
      </c>
      <c r="AF83" s="304">
        <v>0</v>
      </c>
      <c r="AG83" s="304">
        <v>0</v>
      </c>
      <c r="AH83" s="304">
        <v>1</v>
      </c>
      <c r="AI83" s="304">
        <v>43001</v>
      </c>
      <c r="AJ83" s="304">
        <v>2195</v>
      </c>
      <c r="AK83" s="304">
        <v>0</v>
      </c>
      <c r="AL83" s="304">
        <v>0</v>
      </c>
      <c r="AO83" s="332"/>
      <c r="AP83" s="332"/>
      <c r="AQ83" s="304" t="str">
        <f t="shared" si="2"/>
        <v/>
      </c>
      <c r="AS83" s="304" t="str">
        <f t="shared" si="3"/>
        <v>wci_corp</v>
      </c>
    </row>
    <row r="84" spans="2:45">
      <c r="B84" s="304" t="s">
        <v>1282</v>
      </c>
      <c r="C84" s="329">
        <v>44592</v>
      </c>
      <c r="D84" s="330">
        <v>292.56</v>
      </c>
      <c r="E84" s="330">
        <v>0</v>
      </c>
      <c r="F84" s="331" t="s">
        <v>729</v>
      </c>
      <c r="G84" s="304" t="s">
        <v>2190</v>
      </c>
      <c r="H84" s="332" t="s">
        <v>730</v>
      </c>
      <c r="I84" s="304" t="s">
        <v>2191</v>
      </c>
      <c r="J84" s="304" t="s">
        <v>2192</v>
      </c>
      <c r="K84" s="304" t="s">
        <v>732</v>
      </c>
      <c r="L84" s="306"/>
      <c r="M84" s="306"/>
      <c r="N84" s="306" t="s">
        <v>908</v>
      </c>
      <c r="O84" s="324"/>
      <c r="P84" s="306"/>
      <c r="Q84" s="306"/>
      <c r="U84" s="304" t="s">
        <v>2193</v>
      </c>
      <c r="V84" s="304" t="s">
        <v>2193</v>
      </c>
      <c r="X84" s="329">
        <v>44596</v>
      </c>
      <c r="Y84" s="329">
        <v>44596</v>
      </c>
      <c r="AA84" s="329"/>
      <c r="AB84" s="304" t="s">
        <v>733</v>
      </c>
      <c r="AC84" s="304">
        <v>0</v>
      </c>
      <c r="AD84" s="304">
        <v>0</v>
      </c>
      <c r="AE84" s="304">
        <v>0</v>
      </c>
      <c r="AF84" s="304">
        <v>0</v>
      </c>
      <c r="AG84" s="304">
        <v>0</v>
      </c>
      <c r="AH84" s="304">
        <v>1</v>
      </c>
      <c r="AI84" s="304">
        <v>43001</v>
      </c>
      <c r="AJ84" s="304">
        <v>2195</v>
      </c>
      <c r="AK84" s="304">
        <v>0</v>
      </c>
      <c r="AL84" s="304">
        <v>99</v>
      </c>
      <c r="AO84" s="332"/>
      <c r="AP84" s="332"/>
      <c r="AQ84" s="304" t="str">
        <f t="shared" ref="AQ84:AQ92" si="4">IF(LEFT(U84,2)="VO",U84,"")</f>
        <v/>
      </c>
      <c r="AS84" s="304" t="str">
        <f t="shared" ref="AS84:AS92" si="5">IF(RIGHT(K84,2)="IC",IF(OR(AB84="wci_canada",AB84="wci_can_corp"),"wci_can_Corp","wci_corp"),AB84)</f>
        <v>wci_corp</v>
      </c>
    </row>
    <row r="85" spans="2:45">
      <c r="B85" s="304" t="s">
        <v>1284</v>
      </c>
      <c r="C85" s="329">
        <v>44592</v>
      </c>
      <c r="D85" s="330">
        <v>25.13</v>
      </c>
      <c r="E85" s="330">
        <v>0</v>
      </c>
      <c r="F85" s="331" t="s">
        <v>729</v>
      </c>
      <c r="G85" s="304" t="s">
        <v>2194</v>
      </c>
      <c r="H85" s="332" t="s">
        <v>730</v>
      </c>
      <c r="I85" s="304" t="s">
        <v>2063</v>
      </c>
      <c r="J85" s="304" t="s">
        <v>731</v>
      </c>
      <c r="K85" s="304" t="s">
        <v>732</v>
      </c>
      <c r="L85" s="306"/>
      <c r="M85" s="306"/>
      <c r="N85" s="306" t="s">
        <v>2124</v>
      </c>
      <c r="O85" s="324"/>
      <c r="P85" s="306"/>
      <c r="Q85" s="306"/>
      <c r="U85" s="304" t="s">
        <v>2195</v>
      </c>
      <c r="V85" s="304" t="s">
        <v>2195</v>
      </c>
      <c r="X85" s="329">
        <v>44596</v>
      </c>
      <c r="Y85" s="329">
        <v>44596</v>
      </c>
      <c r="AA85" s="329"/>
      <c r="AB85" s="304" t="s">
        <v>733</v>
      </c>
      <c r="AC85" s="304">
        <v>0</v>
      </c>
      <c r="AD85" s="304">
        <v>0</v>
      </c>
      <c r="AE85" s="304">
        <v>0</v>
      </c>
      <c r="AF85" s="304">
        <v>0</v>
      </c>
      <c r="AG85" s="304">
        <v>0</v>
      </c>
      <c r="AH85" s="304">
        <v>1</v>
      </c>
      <c r="AI85" s="304">
        <v>43001</v>
      </c>
      <c r="AJ85" s="304">
        <v>2195</v>
      </c>
      <c r="AK85" s="304">
        <v>0</v>
      </c>
      <c r="AL85" s="304">
        <v>0</v>
      </c>
      <c r="AO85" s="332"/>
      <c r="AP85" s="332"/>
      <c r="AQ85" s="304" t="str">
        <f t="shared" si="4"/>
        <v/>
      </c>
      <c r="AS85" s="304" t="str">
        <f t="shared" si="5"/>
        <v>wci_corp</v>
      </c>
    </row>
    <row r="86" spans="2:45">
      <c r="B86" s="304" t="s">
        <v>1284</v>
      </c>
      <c r="C86" s="329">
        <v>44592</v>
      </c>
      <c r="D86" s="330">
        <v>2904.67</v>
      </c>
      <c r="E86" s="330">
        <v>0</v>
      </c>
      <c r="F86" s="331" t="s">
        <v>729</v>
      </c>
      <c r="G86" s="304" t="s">
        <v>2194</v>
      </c>
      <c r="H86" s="332" t="s">
        <v>730</v>
      </c>
      <c r="I86" s="304" t="s">
        <v>2063</v>
      </c>
      <c r="J86" s="304" t="s">
        <v>731</v>
      </c>
      <c r="K86" s="304" t="s">
        <v>732</v>
      </c>
      <c r="L86" s="306"/>
      <c r="M86" s="306"/>
      <c r="N86" s="306" t="s">
        <v>2072</v>
      </c>
      <c r="O86" s="324"/>
      <c r="P86" s="306"/>
      <c r="Q86" s="306"/>
      <c r="U86" s="304" t="s">
        <v>2195</v>
      </c>
      <c r="V86" s="304" t="s">
        <v>2195</v>
      </c>
      <c r="X86" s="329">
        <v>44596</v>
      </c>
      <c r="Y86" s="329">
        <v>44596</v>
      </c>
      <c r="AA86" s="329"/>
      <c r="AB86" s="304" t="s">
        <v>733</v>
      </c>
      <c r="AC86" s="304">
        <v>0</v>
      </c>
      <c r="AD86" s="304">
        <v>0</v>
      </c>
      <c r="AE86" s="304">
        <v>0</v>
      </c>
      <c r="AF86" s="304">
        <v>0</v>
      </c>
      <c r="AG86" s="304">
        <v>0</v>
      </c>
      <c r="AH86" s="304">
        <v>1</v>
      </c>
      <c r="AI86" s="304">
        <v>43001</v>
      </c>
      <c r="AJ86" s="304">
        <v>2195</v>
      </c>
      <c r="AK86" s="304">
        <v>0</v>
      </c>
      <c r="AL86" s="304">
        <v>0</v>
      </c>
      <c r="AO86" s="332"/>
      <c r="AP86" s="332"/>
      <c r="AQ86" s="304" t="str">
        <f t="shared" si="4"/>
        <v/>
      </c>
      <c r="AS86" s="304" t="str">
        <f t="shared" si="5"/>
        <v>wci_corp</v>
      </c>
    </row>
    <row r="87" spans="2:45">
      <c r="B87" s="304" t="s">
        <v>1284</v>
      </c>
      <c r="C87" s="329">
        <v>44592</v>
      </c>
      <c r="D87" s="330">
        <v>-42.73</v>
      </c>
      <c r="E87" s="330">
        <v>0</v>
      </c>
      <c r="F87" s="331" t="s">
        <v>729</v>
      </c>
      <c r="G87" s="304" t="s">
        <v>2194</v>
      </c>
      <c r="H87" s="332" t="s">
        <v>730</v>
      </c>
      <c r="I87" s="304" t="s">
        <v>2063</v>
      </c>
      <c r="J87" s="304" t="s">
        <v>731</v>
      </c>
      <c r="K87" s="304" t="s">
        <v>732</v>
      </c>
      <c r="L87" s="306"/>
      <c r="M87" s="306"/>
      <c r="N87" s="306" t="s">
        <v>2086</v>
      </c>
      <c r="O87" s="324"/>
      <c r="P87" s="306"/>
      <c r="Q87" s="306"/>
      <c r="U87" s="304" t="s">
        <v>2195</v>
      </c>
      <c r="V87" s="304" t="s">
        <v>2195</v>
      </c>
      <c r="X87" s="329">
        <v>44596</v>
      </c>
      <c r="Y87" s="329">
        <v>44596</v>
      </c>
      <c r="AA87" s="329"/>
      <c r="AB87" s="304" t="s">
        <v>733</v>
      </c>
      <c r="AC87" s="304">
        <v>0</v>
      </c>
      <c r="AD87" s="304">
        <v>0</v>
      </c>
      <c r="AE87" s="304">
        <v>0</v>
      </c>
      <c r="AF87" s="304">
        <v>0</v>
      </c>
      <c r="AG87" s="304">
        <v>0</v>
      </c>
      <c r="AH87" s="304">
        <v>1</v>
      </c>
      <c r="AI87" s="304">
        <v>43001</v>
      </c>
      <c r="AJ87" s="304">
        <v>2195</v>
      </c>
      <c r="AK87" s="304">
        <v>0</v>
      </c>
      <c r="AL87" s="304">
        <v>0</v>
      </c>
      <c r="AO87" s="332"/>
      <c r="AP87" s="332"/>
      <c r="AQ87" s="304" t="str">
        <f t="shared" si="4"/>
        <v/>
      </c>
      <c r="AS87" s="304" t="str">
        <f t="shared" si="5"/>
        <v>wci_corp</v>
      </c>
    </row>
    <row r="88" spans="2:45">
      <c r="B88" s="304" t="s">
        <v>1284</v>
      </c>
      <c r="C88" s="329">
        <v>44592</v>
      </c>
      <c r="D88" s="330">
        <v>-28404.57</v>
      </c>
      <c r="E88" s="330">
        <v>0</v>
      </c>
      <c r="F88" s="331" t="s">
        <v>729</v>
      </c>
      <c r="G88" s="304" t="s">
        <v>2196</v>
      </c>
      <c r="H88" s="332" t="s">
        <v>730</v>
      </c>
      <c r="I88" s="304" t="s">
        <v>2197</v>
      </c>
      <c r="J88" s="304" t="s">
        <v>736</v>
      </c>
      <c r="K88" s="304" t="s">
        <v>732</v>
      </c>
      <c r="L88" s="306"/>
      <c r="M88" s="306"/>
      <c r="N88" s="306" t="s">
        <v>2198</v>
      </c>
      <c r="O88" s="324"/>
      <c r="P88" s="306"/>
      <c r="Q88" s="306"/>
      <c r="U88" s="304" t="s">
        <v>2199</v>
      </c>
      <c r="V88" s="304" t="s">
        <v>2199</v>
      </c>
      <c r="X88" s="329">
        <v>44596</v>
      </c>
      <c r="Y88" s="329">
        <v>44597</v>
      </c>
      <c r="AA88" s="329"/>
      <c r="AB88" s="304" t="s">
        <v>733</v>
      </c>
      <c r="AC88" s="304">
        <v>0</v>
      </c>
      <c r="AD88" s="304">
        <v>0</v>
      </c>
      <c r="AE88" s="304">
        <v>0</v>
      </c>
      <c r="AF88" s="304">
        <v>0</v>
      </c>
      <c r="AG88" s="304">
        <v>0</v>
      </c>
      <c r="AH88" s="304">
        <v>1</v>
      </c>
      <c r="AI88" s="304">
        <v>43001</v>
      </c>
      <c r="AJ88" s="304">
        <v>2195</v>
      </c>
      <c r="AK88" s="304">
        <v>0</v>
      </c>
      <c r="AL88" s="304">
        <v>0</v>
      </c>
      <c r="AO88" s="332"/>
      <c r="AP88" s="332"/>
      <c r="AQ88" s="304" t="str">
        <f t="shared" si="4"/>
        <v/>
      </c>
      <c r="AS88" s="304" t="str">
        <f t="shared" si="5"/>
        <v>wci_corp</v>
      </c>
    </row>
    <row r="89" spans="2:45">
      <c r="B89" s="304" t="s">
        <v>1282</v>
      </c>
      <c r="C89" s="329">
        <v>44592</v>
      </c>
      <c r="D89" s="330">
        <v>254.43</v>
      </c>
      <c r="E89" s="330">
        <v>0</v>
      </c>
      <c r="F89" s="331" t="s">
        <v>729</v>
      </c>
      <c r="G89" s="304" t="s">
        <v>2200</v>
      </c>
      <c r="H89" s="332" t="s">
        <v>730</v>
      </c>
      <c r="I89" s="304" t="s">
        <v>2201</v>
      </c>
      <c r="J89" s="304" t="s">
        <v>2135</v>
      </c>
      <c r="K89" s="304" t="s">
        <v>732</v>
      </c>
      <c r="L89" s="306"/>
      <c r="M89" s="306"/>
      <c r="N89" s="306" t="s">
        <v>2201</v>
      </c>
      <c r="O89" s="324"/>
      <c r="P89" s="306"/>
      <c r="Q89" s="306"/>
      <c r="U89" s="304" t="s">
        <v>2202</v>
      </c>
      <c r="V89" s="304" t="s">
        <v>2202</v>
      </c>
      <c r="X89" s="329">
        <v>44599</v>
      </c>
      <c r="Y89" s="329">
        <v>44599</v>
      </c>
      <c r="AA89" s="329"/>
      <c r="AB89" s="304" t="s">
        <v>733</v>
      </c>
      <c r="AC89" s="304">
        <v>0</v>
      </c>
      <c r="AD89" s="304">
        <v>0</v>
      </c>
      <c r="AE89" s="304">
        <v>0</v>
      </c>
      <c r="AF89" s="304">
        <v>0</v>
      </c>
      <c r="AG89" s="304">
        <v>0</v>
      </c>
      <c r="AH89" s="304">
        <v>1</v>
      </c>
      <c r="AI89" s="304">
        <v>43001</v>
      </c>
      <c r="AJ89" s="304">
        <v>2195</v>
      </c>
      <c r="AK89" s="304">
        <v>0</v>
      </c>
      <c r="AL89" s="304">
        <v>99</v>
      </c>
      <c r="AO89" s="332"/>
      <c r="AP89" s="332"/>
      <c r="AQ89" s="304" t="str">
        <f t="shared" si="4"/>
        <v/>
      </c>
      <c r="AS89" s="304" t="str">
        <f t="shared" si="5"/>
        <v>wci_corp</v>
      </c>
    </row>
    <row r="90" spans="2:45">
      <c r="B90" s="304" t="s">
        <v>1284</v>
      </c>
      <c r="C90" s="329">
        <v>44592</v>
      </c>
      <c r="D90" s="330">
        <v>-254.43</v>
      </c>
      <c r="E90" s="330">
        <v>0</v>
      </c>
      <c r="F90" s="331" t="s">
        <v>729</v>
      </c>
      <c r="G90" s="304" t="s">
        <v>2203</v>
      </c>
      <c r="H90" s="332" t="s">
        <v>730</v>
      </c>
      <c r="I90" s="304" t="s">
        <v>2204</v>
      </c>
      <c r="J90" s="304" t="s">
        <v>735</v>
      </c>
      <c r="K90" s="304" t="s">
        <v>732</v>
      </c>
      <c r="L90" s="306"/>
      <c r="M90" s="306"/>
      <c r="N90" s="306" t="s">
        <v>2205</v>
      </c>
      <c r="O90" s="324"/>
      <c r="P90" s="306"/>
      <c r="Q90" s="306"/>
      <c r="U90" s="304" t="s">
        <v>2206</v>
      </c>
      <c r="V90" s="304" t="s">
        <v>2206</v>
      </c>
      <c r="X90" s="329">
        <v>44599</v>
      </c>
      <c r="Y90" s="329">
        <v>44599</v>
      </c>
      <c r="AA90" s="329"/>
      <c r="AB90" s="304" t="s">
        <v>733</v>
      </c>
      <c r="AC90" s="304">
        <v>0</v>
      </c>
      <c r="AD90" s="304">
        <v>0</v>
      </c>
      <c r="AE90" s="304">
        <v>0</v>
      </c>
      <c r="AF90" s="304">
        <v>0</v>
      </c>
      <c r="AG90" s="304">
        <v>0</v>
      </c>
      <c r="AH90" s="304">
        <v>1</v>
      </c>
      <c r="AI90" s="304">
        <v>43001</v>
      </c>
      <c r="AJ90" s="304">
        <v>2195</v>
      </c>
      <c r="AK90" s="304">
        <v>0</v>
      </c>
      <c r="AL90" s="304">
        <v>0</v>
      </c>
      <c r="AO90" s="332"/>
      <c r="AP90" s="332"/>
      <c r="AQ90" s="304" t="str">
        <f t="shared" si="4"/>
        <v/>
      </c>
      <c r="AS90" s="304" t="str">
        <f t="shared" si="5"/>
        <v>wci_corp</v>
      </c>
    </row>
    <row r="91" spans="2:45">
      <c r="B91" s="304" t="s">
        <v>1282</v>
      </c>
      <c r="C91" s="329">
        <v>44620</v>
      </c>
      <c r="D91" s="330">
        <v>-254.43</v>
      </c>
      <c r="E91" s="330">
        <v>0</v>
      </c>
      <c r="F91" s="331" t="s">
        <v>729</v>
      </c>
      <c r="G91" s="304" t="s">
        <v>2207</v>
      </c>
      <c r="H91" s="332" t="s">
        <v>730</v>
      </c>
      <c r="I91" s="304" t="s">
        <v>2201</v>
      </c>
      <c r="J91" s="304" t="s">
        <v>736</v>
      </c>
      <c r="K91" s="304" t="s">
        <v>732</v>
      </c>
      <c r="L91" s="306"/>
      <c r="M91" s="306"/>
      <c r="N91" s="306" t="s">
        <v>2201</v>
      </c>
      <c r="O91" s="324"/>
      <c r="P91" s="306"/>
      <c r="Q91" s="306"/>
      <c r="U91" s="304" t="s">
        <v>2202</v>
      </c>
      <c r="V91" s="304" t="s">
        <v>2208</v>
      </c>
      <c r="X91" s="329">
        <v>44599</v>
      </c>
      <c r="Y91" s="329">
        <v>44599</v>
      </c>
      <c r="AA91" s="329"/>
      <c r="AB91" s="304" t="s">
        <v>733</v>
      </c>
      <c r="AC91" s="304">
        <v>0</v>
      </c>
      <c r="AD91" s="304">
        <v>0</v>
      </c>
      <c r="AE91" s="304">
        <v>0</v>
      </c>
      <c r="AF91" s="304">
        <v>0</v>
      </c>
      <c r="AG91" s="304">
        <v>5</v>
      </c>
      <c r="AH91" s="304">
        <v>1</v>
      </c>
      <c r="AI91" s="304">
        <v>43001</v>
      </c>
      <c r="AJ91" s="304">
        <v>2195</v>
      </c>
      <c r="AK91" s="304">
        <v>0</v>
      </c>
      <c r="AL91" s="304">
        <v>99</v>
      </c>
      <c r="AO91" s="332"/>
      <c r="AP91" s="332"/>
      <c r="AQ91" s="304" t="str">
        <f t="shared" si="4"/>
        <v/>
      </c>
      <c r="AS91" s="304" t="str">
        <f t="shared" si="5"/>
        <v>wci_corp</v>
      </c>
    </row>
    <row r="92" spans="2:45">
      <c r="B92" s="304" t="s">
        <v>1284</v>
      </c>
      <c r="C92" s="329">
        <v>44620</v>
      </c>
      <c r="D92" s="330">
        <v>254.43</v>
      </c>
      <c r="E92" s="330">
        <v>0</v>
      </c>
      <c r="F92" s="331" t="s">
        <v>729</v>
      </c>
      <c r="G92" s="304" t="s">
        <v>2209</v>
      </c>
      <c r="H92" s="332" t="s">
        <v>730</v>
      </c>
      <c r="I92" s="304" t="s">
        <v>2197</v>
      </c>
      <c r="J92" s="304" t="s">
        <v>731</v>
      </c>
      <c r="K92" s="304" t="s">
        <v>732</v>
      </c>
      <c r="L92" s="306"/>
      <c r="M92" s="306"/>
      <c r="N92" s="306" t="s">
        <v>2198</v>
      </c>
      <c r="O92" s="324"/>
      <c r="P92" s="306"/>
      <c r="Q92" s="306"/>
      <c r="U92" s="304" t="s">
        <v>2210</v>
      </c>
      <c r="V92" s="304" t="s">
        <v>2210</v>
      </c>
      <c r="X92" s="329">
        <v>44624</v>
      </c>
      <c r="Y92" s="329">
        <v>44624</v>
      </c>
      <c r="AA92" s="329"/>
      <c r="AB92" s="304" t="s">
        <v>733</v>
      </c>
      <c r="AC92" s="304">
        <v>0</v>
      </c>
      <c r="AD92" s="304">
        <v>0</v>
      </c>
      <c r="AE92" s="304">
        <v>0</v>
      </c>
      <c r="AF92" s="304">
        <v>0</v>
      </c>
      <c r="AG92" s="304">
        <v>0</v>
      </c>
      <c r="AH92" s="304">
        <v>1</v>
      </c>
      <c r="AI92" s="304">
        <v>43001</v>
      </c>
      <c r="AJ92" s="304">
        <v>2195</v>
      </c>
      <c r="AK92" s="304">
        <v>0</v>
      </c>
      <c r="AL92" s="304">
        <v>0</v>
      </c>
      <c r="AO92" s="332"/>
      <c r="AP92" s="332"/>
      <c r="AQ92" s="304" t="str">
        <f t="shared" si="4"/>
        <v/>
      </c>
      <c r="AS92" s="304" t="str">
        <f t="shared" si="5"/>
        <v>wci_corp</v>
      </c>
    </row>
    <row r="93" spans="2:45">
      <c r="C93" s="329"/>
      <c r="D93" s="333"/>
      <c r="E93" s="333"/>
      <c r="F93" s="333"/>
      <c r="H93" s="334"/>
    </row>
    <row r="94" spans="2:45">
      <c r="B94" s="335" t="s">
        <v>738</v>
      </c>
      <c r="C94" s="335"/>
      <c r="D94" s="336"/>
      <c r="E94" s="336"/>
      <c r="F94" s="336"/>
      <c r="G94" s="335"/>
      <c r="H94" s="337"/>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row>
    <row r="95" spans="2:45">
      <c r="H95" s="334"/>
    </row>
    <row r="96" spans="2:45">
      <c r="B96" s="388" t="s">
        <v>739</v>
      </c>
      <c r="C96" s="389" t="s">
        <v>740</v>
      </c>
      <c r="D96" s="602" t="s">
        <v>1412</v>
      </c>
      <c r="H96" s="334"/>
    </row>
    <row r="97" spans="2:8">
      <c r="B97" s="306" t="s">
        <v>2053</v>
      </c>
      <c r="C97" s="389">
        <v>-232.06</v>
      </c>
      <c r="D97" s="389">
        <v>-232.06</v>
      </c>
      <c r="E97" s="391" t="s">
        <v>910</v>
      </c>
      <c r="H97" s="334"/>
    </row>
    <row r="98" spans="2:8">
      <c r="B98" s="306" t="s">
        <v>2074</v>
      </c>
      <c r="C98" s="389">
        <v>0</v>
      </c>
      <c r="D98" s="389">
        <v>0</v>
      </c>
      <c r="H98" s="334"/>
    </row>
    <row r="99" spans="2:8">
      <c r="B99" s="306" t="s">
        <v>2088</v>
      </c>
      <c r="C99" s="389">
        <v>0</v>
      </c>
      <c r="D99" s="389">
        <v>0</v>
      </c>
      <c r="H99" s="334"/>
    </row>
    <row r="100" spans="2:8">
      <c r="B100" s="306" t="s">
        <v>2098</v>
      </c>
      <c r="C100" s="389">
        <v>0</v>
      </c>
      <c r="D100" s="389">
        <v>0</v>
      </c>
      <c r="H100" s="334"/>
    </row>
    <row r="101" spans="2:8">
      <c r="B101" s="306" t="s">
        <v>2109</v>
      </c>
      <c r="C101" s="389">
        <v>0</v>
      </c>
      <c r="D101" s="389">
        <v>0</v>
      </c>
      <c r="H101" s="334"/>
    </row>
    <row r="102" spans="2:8">
      <c r="B102" s="306" t="s">
        <v>2121</v>
      </c>
      <c r="C102" s="389">
        <v>0</v>
      </c>
      <c r="D102" s="389">
        <v>0</v>
      </c>
      <c r="H102" s="334"/>
    </row>
    <row r="103" spans="2:8">
      <c r="B103" s="306" t="s">
        <v>2138</v>
      </c>
      <c r="C103" s="389">
        <v>0</v>
      </c>
      <c r="D103" s="389">
        <v>0</v>
      </c>
      <c r="H103" s="334"/>
    </row>
    <row r="104" spans="2:8">
      <c r="B104" s="306" t="s">
        <v>2154</v>
      </c>
      <c r="C104" s="389">
        <v>0</v>
      </c>
      <c r="D104" s="389">
        <v>0</v>
      </c>
      <c r="H104" s="334"/>
    </row>
    <row r="105" spans="2:8">
      <c r="B105" s="306" t="s">
        <v>2169</v>
      </c>
      <c r="C105" s="389">
        <v>0</v>
      </c>
      <c r="D105" s="389">
        <v>0</v>
      </c>
      <c r="H105" s="334"/>
    </row>
    <row r="106" spans="2:8">
      <c r="B106" s="306" t="s">
        <v>2184</v>
      </c>
      <c r="C106" s="389">
        <v>0</v>
      </c>
      <c r="D106" s="389">
        <v>0</v>
      </c>
      <c r="H106" s="334"/>
    </row>
    <row r="107" spans="2:8">
      <c r="B107" s="306" t="s">
        <v>2201</v>
      </c>
      <c r="C107" s="389">
        <v>0</v>
      </c>
      <c r="D107" s="389">
        <v>0</v>
      </c>
      <c r="H107" s="334"/>
    </row>
    <row r="108" spans="2:8">
      <c r="B108" s="306" t="s">
        <v>2148</v>
      </c>
      <c r="C108" s="389">
        <v>32.47</v>
      </c>
      <c r="D108" s="389">
        <v>32.47</v>
      </c>
      <c r="E108" s="391" t="s">
        <v>1026</v>
      </c>
      <c r="H108" s="334"/>
    </row>
    <row r="109" spans="2:8">
      <c r="B109" s="306" t="s">
        <v>1281</v>
      </c>
      <c r="C109" s="389">
        <v>273811.02</v>
      </c>
      <c r="D109" s="389">
        <v>273811.02</v>
      </c>
      <c r="E109" s="391" t="s">
        <v>910</v>
      </c>
      <c r="H109" s="334"/>
    </row>
    <row r="110" spans="2:8">
      <c r="B110" s="306" t="s">
        <v>2071</v>
      </c>
      <c r="C110" s="389">
        <v>-289.32</v>
      </c>
      <c r="D110" s="389">
        <v>-289.32</v>
      </c>
      <c r="E110" s="391" t="s">
        <v>910</v>
      </c>
      <c r="H110" s="334"/>
    </row>
    <row r="111" spans="2:8">
      <c r="B111" s="306" t="s">
        <v>2064</v>
      </c>
      <c r="C111" s="389">
        <v>27.9</v>
      </c>
      <c r="D111" s="389">
        <v>27.9</v>
      </c>
      <c r="E111" s="391" t="s">
        <v>910</v>
      </c>
      <c r="H111" s="334"/>
    </row>
    <row r="112" spans="2:8">
      <c r="B112" s="306" t="s">
        <v>2198</v>
      </c>
      <c r="C112" s="389">
        <v>-28150.14</v>
      </c>
      <c r="D112" s="389">
        <v>-28150.14</v>
      </c>
      <c r="E112" s="391" t="s">
        <v>910</v>
      </c>
      <c r="H112" s="334"/>
    </row>
    <row r="113" spans="2:5">
      <c r="B113" s="306" t="s">
        <v>2205</v>
      </c>
      <c r="C113" s="389">
        <v>-254.43</v>
      </c>
      <c r="D113" s="389">
        <v>-254.43</v>
      </c>
      <c r="E113" s="391" t="s">
        <v>910</v>
      </c>
    </row>
    <row r="114" spans="2:5">
      <c r="B114" s="306" t="s">
        <v>2086</v>
      </c>
      <c r="C114" s="389">
        <v>1022.8299999999999</v>
      </c>
      <c r="D114" s="389">
        <v>1022.8299999999999</v>
      </c>
      <c r="E114" s="391" t="s">
        <v>915</v>
      </c>
    </row>
    <row r="115" spans="2:5">
      <c r="B115" s="306" t="s">
        <v>2066</v>
      </c>
      <c r="C115" s="389">
        <v>-726.51</v>
      </c>
      <c r="D115" s="389">
        <v>-726.51</v>
      </c>
      <c r="E115" s="391" t="s">
        <v>915</v>
      </c>
    </row>
    <row r="116" spans="2:5">
      <c r="B116" s="306" t="s">
        <v>2124</v>
      </c>
      <c r="C116" s="389">
        <v>571.13</v>
      </c>
      <c r="D116" s="389">
        <v>571.13</v>
      </c>
      <c r="E116" s="391" t="s">
        <v>1026</v>
      </c>
    </row>
    <row r="117" spans="2:5">
      <c r="B117" s="306" t="s">
        <v>2069</v>
      </c>
      <c r="C117" s="389">
        <v>917.95</v>
      </c>
      <c r="D117" s="389">
        <v>917.95</v>
      </c>
      <c r="E117" s="391" t="s">
        <v>1026</v>
      </c>
    </row>
    <row r="118" spans="2:5">
      <c r="B118" s="306" t="s">
        <v>2084</v>
      </c>
      <c r="C118" s="389">
        <v>-5.86</v>
      </c>
      <c r="D118" s="389">
        <v>-5.86</v>
      </c>
      <c r="E118" s="391" t="s">
        <v>910</v>
      </c>
    </row>
    <row r="119" spans="2:5">
      <c r="B119" s="306" t="s">
        <v>2160</v>
      </c>
      <c r="C119" s="389">
        <v>87.17</v>
      </c>
      <c r="D119" s="389">
        <v>87.17</v>
      </c>
      <c r="E119" s="391" t="s">
        <v>741</v>
      </c>
    </row>
    <row r="120" spans="2:5">
      <c r="B120" s="306" t="s">
        <v>2149</v>
      </c>
      <c r="C120" s="389">
        <v>1.96</v>
      </c>
      <c r="D120" s="389">
        <v>1.96</v>
      </c>
      <c r="E120" s="391" t="s">
        <v>741</v>
      </c>
    </row>
    <row r="121" spans="2:5">
      <c r="B121" s="306" t="s">
        <v>2162</v>
      </c>
      <c r="C121" s="389">
        <v>917.22</v>
      </c>
      <c r="D121" s="389">
        <v>917.22</v>
      </c>
      <c r="E121" s="391" t="s">
        <v>741</v>
      </c>
    </row>
    <row r="122" spans="2:5">
      <c r="B122" s="306" t="s">
        <v>2126</v>
      </c>
      <c r="C122" s="389">
        <v>-152.66</v>
      </c>
      <c r="D122" s="389">
        <v>-152.66</v>
      </c>
      <c r="E122" s="391" t="s">
        <v>741</v>
      </c>
    </row>
    <row r="123" spans="2:5">
      <c r="B123" s="306" t="s">
        <v>2072</v>
      </c>
      <c r="C123" s="389">
        <v>2969.67</v>
      </c>
      <c r="D123" s="389">
        <v>2969.67</v>
      </c>
      <c r="E123" s="391" t="s">
        <v>2212</v>
      </c>
    </row>
    <row r="124" spans="2:5">
      <c r="B124" s="306" t="s">
        <v>908</v>
      </c>
      <c r="C124" s="389">
        <v>2773.31</v>
      </c>
      <c r="D124" s="389">
        <v>2773.31</v>
      </c>
      <c r="E124" s="391" t="s">
        <v>910</v>
      </c>
    </row>
    <row r="125" spans="2:5">
      <c r="B125" s="306" t="s">
        <v>742</v>
      </c>
      <c r="C125" s="389">
        <v>253321.65000000002</v>
      </c>
      <c r="D125" s="390">
        <v>253321.65000000002</v>
      </c>
    </row>
    <row r="128" spans="2:5" ht="15">
      <c r="B128" s="711" t="s">
        <v>910</v>
      </c>
      <c r="C128" s="304" t="s">
        <v>911</v>
      </c>
      <c r="D128" s="605">
        <f t="shared" ref="D128:D134" si="6">+SUMIF($E$97:$E$124,B128,$D$97:$D$124)</f>
        <v>247680.42000000004</v>
      </c>
    </row>
    <row r="129" spans="2:4" ht="15">
      <c r="B129" s="711" t="s">
        <v>915</v>
      </c>
      <c r="C129" s="304" t="s">
        <v>1023</v>
      </c>
      <c r="D129" s="605">
        <f t="shared" si="6"/>
        <v>296.31999999999994</v>
      </c>
    </row>
    <row r="130" spans="2:4" ht="15">
      <c r="B130" s="711" t="s">
        <v>1026</v>
      </c>
      <c r="C130" s="304" t="s">
        <v>1278</v>
      </c>
      <c r="D130" s="605">
        <f t="shared" si="6"/>
        <v>1521.5500000000002</v>
      </c>
    </row>
    <row r="131" spans="2:4" ht="15">
      <c r="B131" s="711" t="s">
        <v>1277</v>
      </c>
      <c r="C131" s="304" t="s">
        <v>1276</v>
      </c>
      <c r="D131" s="605">
        <f t="shared" si="6"/>
        <v>0</v>
      </c>
    </row>
    <row r="132" spans="2:4" ht="15">
      <c r="B132" s="711" t="s">
        <v>741</v>
      </c>
      <c r="C132" s="304" t="s">
        <v>549</v>
      </c>
      <c r="D132" s="605">
        <f t="shared" si="6"/>
        <v>853.69</v>
      </c>
    </row>
    <row r="133" spans="2:4" ht="15">
      <c r="B133" s="711" t="s">
        <v>2212</v>
      </c>
      <c r="C133" s="304" t="s">
        <v>2211</v>
      </c>
      <c r="D133" s="605">
        <f t="shared" si="6"/>
        <v>2969.67</v>
      </c>
    </row>
    <row r="134" spans="2:4" ht="15">
      <c r="B134" s="391" t="s">
        <v>1280</v>
      </c>
      <c r="C134" s="304" t="s">
        <v>1288</v>
      </c>
      <c r="D134" s="604">
        <f t="shared" si="6"/>
        <v>0</v>
      </c>
    </row>
    <row r="135" spans="2:4">
      <c r="D135" s="603">
        <f>+SUM(D128:D134)</f>
        <v>253321.65000000005</v>
      </c>
    </row>
    <row r="136" spans="2:4">
      <c r="C136" s="304" t="s">
        <v>179</v>
      </c>
      <c r="D136" s="603">
        <f>+D125-D135</f>
        <v>0</v>
      </c>
    </row>
  </sheetData>
  <autoFilter ref="B19:AQ19" xr:uid="{00000000-0009-0000-0000-000016000000}"/>
  <dataValidations count="1">
    <dataValidation type="list" allowBlank="1" showInputMessage="1" showErrorMessage="1" sqref="P15" xr:uid="{00000000-0002-0000-1600-000000000000}">
      <formula1>"All,Posted/Unposted,Posted,Unposted,Staged"</formula1>
    </dataValidation>
  </dataValidations>
  <pageMargins left="0.27" right="0.28999999999999998" top="0.37" bottom="0.43" header="0.25" footer="0.25"/>
  <pageSetup scale="36"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AS83"/>
  <sheetViews>
    <sheetView showGridLines="0" view="pageBreakPreview" topLeftCell="A24" zoomScale="60" zoomScaleNormal="80" workbookViewId="0">
      <selection activeCell="E59" sqref="B59:E82"/>
    </sheetView>
  </sheetViews>
  <sheetFormatPr defaultColWidth="9.140625" defaultRowHeight="12.75" outlineLevelRow="1"/>
  <cols>
    <col min="1" max="1" width="2.7109375" style="304" customWidth="1"/>
    <col min="2" max="2" width="48.2851562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_xll.ReportDrill('[72]JE Lookup'!B1,,_xll.PairGroup(_xll.Pair(G20:G56,'[72]JE Lookup'!N8),_xll.Pair(AB20:AB56,'[72]JE Lookup'!N7)),"JE Lookup")</f>
        <v>OK!: ReportDrill 'JE Lookup' Formula OK [jAction{}]</v>
      </c>
      <c r="U4" s="304" t="str">
        <f ca="1">_xll.ReportDrill(,"APDrill",_xll.PairGroup(_xll.PairExt(AQ20:AQ56,"H8")),"AP Detail")</f>
        <v>OK!: ReportDrill 'AP Detail' Formula OK [jAction{}]</v>
      </c>
      <c r="Y4" s="304" t="str">
        <f ca="1">_xll.ReportDrill(,"JEStaged_DrillToDetail",_xll.PairGroup(_xll.PairExt(Q19:Q56,"dControlNum",TRUE),_xll.PairExt(AP19:AP56,"dDistrict",TRUE),_xll.PairExt(AO19:AO56,"dApplyMonth",TRUE)),"JE Staged Details")</f>
        <v>OK!: ReportDrill 'JE Staged Details' Formula OK [jAction{}]</v>
      </c>
    </row>
    <row r="5" spans="1:43" hidden="1" outlineLevel="1">
      <c r="B5" s="304" t="str">
        <f ca="1">_xll.ReportRange("JEQuery_WithStaged",B20:AS55,B2:AS2,,_xll.Param(DateFrom,DateTo,IF(M12="","all",M12),M13,M14,M15,P12,P13,P14,P15,EntrieShownLimit,IF(DateFrom="",DateFrom,),IF(DateTo="",DateTo,)),TRUE)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_xll.ReportDrill('[72]JE Lookup'!B1,,_xll.PairGroup(_xll.Pair(V20:V56,'[72]JE Lookup'!N8),_xll.Pair(AS20:AS56,'[72]JE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1049</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SUM(D19:D56)</f>
        <v>7759.6100000000006</v>
      </c>
      <c r="E16" s="321">
        <f>SUM(E19:E56)</f>
        <v>0</v>
      </c>
      <c r="F16" s="304" t="s">
        <v>685</v>
      </c>
      <c r="N16" s="322"/>
      <c r="O16" s="322"/>
      <c r="P16" s="322"/>
      <c r="Q16" s="322"/>
    </row>
    <row r="17" spans="2:45">
      <c r="B17" s="319" t="s">
        <v>686</v>
      </c>
      <c r="C17" s="320"/>
      <c r="D17" s="323">
        <f>COUNT(D20:D58)</f>
        <v>35</v>
      </c>
      <c r="E17" s="323">
        <f>COUNT(E20:E58)</f>
        <v>35</v>
      </c>
      <c r="F17" s="304" t="s">
        <v>687</v>
      </c>
      <c r="G17" s="306" t="str">
        <f>""&amp;EntrieShownLimit</f>
        <v>10000</v>
      </c>
    </row>
    <row r="18" spans="2:45" ht="13.5" thickBot="1">
      <c r="O18" s="324"/>
      <c r="R18" s="1043" t="s">
        <v>688</v>
      </c>
      <c r="S18" s="1044"/>
      <c r="T18" s="1044"/>
      <c r="U18" s="1044"/>
      <c r="V18" s="1044"/>
      <c r="W18" s="1044"/>
      <c r="X18" s="1044"/>
      <c r="Y18" s="1044"/>
      <c r="Z18" s="1045"/>
      <c r="AA18" s="1045"/>
      <c r="AB18" s="1045"/>
      <c r="AC18" s="1045"/>
      <c r="AD18" s="1045"/>
      <c r="AE18" s="1045"/>
      <c r="AF18" s="1045"/>
      <c r="AG18" s="1045"/>
      <c r="AH18" s="1045"/>
      <c r="AI18" s="1045"/>
      <c r="AJ18" s="1045"/>
      <c r="AK18" s="1045"/>
      <c r="AL18" s="1045"/>
      <c r="AM18" s="1045"/>
      <c r="AN18" s="1045"/>
      <c r="AO18" s="1045"/>
      <c r="AP18" s="1045"/>
      <c r="AQ18" s="1045"/>
    </row>
    <row r="19" spans="2:45" s="328" customFormat="1" ht="29.25" customHeight="1" thickTop="1" thickBot="1">
      <c r="B19" s="1699" t="s">
        <v>689</v>
      </c>
      <c r="C19" s="1700" t="s">
        <v>690</v>
      </c>
      <c r="D19" s="1701" t="s">
        <v>691</v>
      </c>
      <c r="E19" s="1701" t="s">
        <v>692</v>
      </c>
      <c r="F19" s="1701" t="s">
        <v>693</v>
      </c>
      <c r="G19" s="1702" t="s">
        <v>694</v>
      </c>
      <c r="H19" s="1703" t="s">
        <v>695</v>
      </c>
      <c r="I19" s="1703" t="s">
        <v>696</v>
      </c>
      <c r="J19" s="1703" t="s">
        <v>634</v>
      </c>
      <c r="K19" s="1703" t="s">
        <v>697</v>
      </c>
      <c r="L19" s="1703" t="s">
        <v>698</v>
      </c>
      <c r="M19" s="1703" t="s">
        <v>699</v>
      </c>
      <c r="N19" s="1703" t="s">
        <v>700</v>
      </c>
      <c r="O19" s="1703" t="s">
        <v>701</v>
      </c>
      <c r="P19" s="1704" t="s">
        <v>702</v>
      </c>
      <c r="Q19" s="1703" t="s">
        <v>703</v>
      </c>
      <c r="R19" s="1703" t="s">
        <v>704</v>
      </c>
      <c r="S19" s="1703" t="s">
        <v>705</v>
      </c>
      <c r="T19" s="1703" t="s">
        <v>706</v>
      </c>
      <c r="U19" s="1703" t="s">
        <v>707</v>
      </c>
      <c r="V19" s="1703" t="s">
        <v>708</v>
      </c>
      <c r="W19" s="1703" t="s">
        <v>709</v>
      </c>
      <c r="X19" s="1703" t="s">
        <v>710</v>
      </c>
      <c r="Y19" s="1703" t="s">
        <v>711</v>
      </c>
      <c r="Z19" s="1703" t="s">
        <v>712</v>
      </c>
      <c r="AA19" s="1703" t="s">
        <v>713</v>
      </c>
      <c r="AB19" s="1703" t="s">
        <v>714</v>
      </c>
      <c r="AC19" s="1705" t="s">
        <v>715</v>
      </c>
      <c r="AD19" s="1705" t="s">
        <v>716</v>
      </c>
      <c r="AE19" s="1705" t="s">
        <v>717</v>
      </c>
      <c r="AF19" s="1705" t="s">
        <v>718</v>
      </c>
      <c r="AG19" s="1705" t="s">
        <v>719</v>
      </c>
      <c r="AH19" s="1705" t="s">
        <v>720</v>
      </c>
      <c r="AI19" s="1700" t="s">
        <v>721</v>
      </c>
      <c r="AJ19" s="1700" t="s">
        <v>722</v>
      </c>
      <c r="AK19" s="1700" t="s">
        <v>723</v>
      </c>
      <c r="AL19" s="1700" t="s">
        <v>724</v>
      </c>
      <c r="AM19" s="1700" t="s">
        <v>725</v>
      </c>
      <c r="AN19" s="1700" t="s">
        <v>663</v>
      </c>
      <c r="AO19" s="1706" t="s">
        <v>726</v>
      </c>
      <c r="AP19" s="1706" t="s">
        <v>727</v>
      </c>
      <c r="AQ19" s="1707" t="s">
        <v>728</v>
      </c>
    </row>
    <row r="20" spans="2:45">
      <c r="B20" s="1708" t="s">
        <v>1393</v>
      </c>
      <c r="C20" s="1709">
        <v>44309</v>
      </c>
      <c r="D20" s="1672">
        <v>442.1</v>
      </c>
      <c r="E20" s="1672">
        <v>0</v>
      </c>
      <c r="F20" s="1673" t="s">
        <v>729</v>
      </c>
      <c r="G20" s="1709" t="s">
        <v>2632</v>
      </c>
      <c r="H20" s="1710" t="s">
        <v>730</v>
      </c>
      <c r="I20" s="1709" t="s">
        <v>1039</v>
      </c>
      <c r="J20" s="1709" t="s">
        <v>1038</v>
      </c>
      <c r="K20" s="1709" t="s">
        <v>732</v>
      </c>
      <c r="L20" s="1711" t="s">
        <v>1047</v>
      </c>
      <c r="M20" s="1711"/>
      <c r="N20" s="1711" t="s">
        <v>1045</v>
      </c>
      <c r="O20" s="1709">
        <v>44287</v>
      </c>
      <c r="P20" s="1712" t="s">
        <v>2631</v>
      </c>
      <c r="Q20" s="1711">
        <v>16052</v>
      </c>
      <c r="R20" s="1709" t="s">
        <v>2630</v>
      </c>
      <c r="S20" s="1709"/>
      <c r="T20" s="1709"/>
      <c r="U20" s="1709" t="s">
        <v>2629</v>
      </c>
      <c r="V20" s="1709" t="s">
        <v>2628</v>
      </c>
      <c r="W20" s="1709">
        <v>2000</v>
      </c>
      <c r="X20" s="1709">
        <v>44309</v>
      </c>
      <c r="Y20" s="1709">
        <v>44314</v>
      </c>
      <c r="Z20" s="1709">
        <v>9180</v>
      </c>
      <c r="AA20" s="1709">
        <v>44322</v>
      </c>
      <c r="AB20" s="1709" t="s">
        <v>733</v>
      </c>
      <c r="AC20" s="1709">
        <v>0</v>
      </c>
      <c r="AD20" s="1709">
        <v>0</v>
      </c>
      <c r="AE20" s="1709">
        <v>0</v>
      </c>
      <c r="AF20" s="1709">
        <v>0</v>
      </c>
      <c r="AG20" s="1709">
        <v>0</v>
      </c>
      <c r="AH20" s="1709">
        <v>1</v>
      </c>
      <c r="AI20" s="1709">
        <v>70195</v>
      </c>
      <c r="AJ20" s="1709">
        <v>2195</v>
      </c>
      <c r="AK20" s="1709">
        <v>0</v>
      </c>
      <c r="AL20" s="1709">
        <v>0</v>
      </c>
      <c r="AM20" s="1709"/>
      <c r="AN20" s="1709"/>
      <c r="AO20" s="1710"/>
      <c r="AP20" s="1710"/>
      <c r="AQ20" s="1713" t="str">
        <f t="shared" ref="AQ20:AQ54" si="0">IF(LEFT(U20,2)="VO",U20,"")</f>
        <v>VO05763103</v>
      </c>
      <c r="AS20" s="304" t="str">
        <f t="shared" ref="AS20:AS54" si="1">IF(RIGHT(K20,2)="IC",IF(OR(AB20="wci_canada",AB20="wci_can_corp"),"wci_can_Corp","wci_corp"),AB20)</f>
        <v>wci_corp</v>
      </c>
    </row>
    <row r="21" spans="2:45">
      <c r="B21" s="1708" t="s">
        <v>1393</v>
      </c>
      <c r="C21" s="1709">
        <v>44340</v>
      </c>
      <c r="D21" s="1672">
        <v>442.1</v>
      </c>
      <c r="E21" s="1672">
        <v>0</v>
      </c>
      <c r="F21" s="1673" t="s">
        <v>729</v>
      </c>
      <c r="G21" s="1709" t="s">
        <v>2627</v>
      </c>
      <c r="H21" s="1710" t="s">
        <v>730</v>
      </c>
      <c r="I21" s="1709" t="s">
        <v>1039</v>
      </c>
      <c r="J21" s="1709" t="s">
        <v>1042</v>
      </c>
      <c r="K21" s="1709" t="s">
        <v>732</v>
      </c>
      <c r="L21" s="1711" t="s">
        <v>1047</v>
      </c>
      <c r="M21" s="1711"/>
      <c r="N21" s="1711" t="s">
        <v>1045</v>
      </c>
      <c r="O21" s="1709">
        <v>44317</v>
      </c>
      <c r="P21" s="1712" t="s">
        <v>2626</v>
      </c>
      <c r="Q21" s="1711">
        <v>16080</v>
      </c>
      <c r="R21" s="1709" t="s">
        <v>2625</v>
      </c>
      <c r="S21" s="1709"/>
      <c r="T21" s="1709"/>
      <c r="U21" s="1709" t="s">
        <v>2624</v>
      </c>
      <c r="V21" s="1709" t="s">
        <v>2623</v>
      </c>
      <c r="W21" s="1709">
        <v>2000</v>
      </c>
      <c r="X21" s="1709">
        <v>44340</v>
      </c>
      <c r="Y21" s="1709">
        <v>44344</v>
      </c>
      <c r="Z21" s="1709">
        <v>9180</v>
      </c>
      <c r="AA21" s="1709">
        <v>44352</v>
      </c>
      <c r="AB21" s="1709" t="s">
        <v>733</v>
      </c>
      <c r="AC21" s="1709">
        <v>0</v>
      </c>
      <c r="AD21" s="1709">
        <v>0</v>
      </c>
      <c r="AE21" s="1709">
        <v>0</v>
      </c>
      <c r="AF21" s="1709">
        <v>0</v>
      </c>
      <c r="AG21" s="1709">
        <v>0</v>
      </c>
      <c r="AH21" s="1709">
        <v>1</v>
      </c>
      <c r="AI21" s="1709">
        <v>70195</v>
      </c>
      <c r="AJ21" s="1709">
        <v>2195</v>
      </c>
      <c r="AK21" s="1709">
        <v>0</v>
      </c>
      <c r="AL21" s="1709">
        <v>0</v>
      </c>
      <c r="AM21" s="1709"/>
      <c r="AN21" s="1709"/>
      <c r="AO21" s="1710"/>
      <c r="AP21" s="1710"/>
      <c r="AQ21" s="1713" t="str">
        <f t="shared" si="0"/>
        <v>VO05794765</v>
      </c>
      <c r="AS21" s="304" t="str">
        <f t="shared" si="1"/>
        <v>wci_corp</v>
      </c>
    </row>
    <row r="22" spans="2:45">
      <c r="B22" s="1708" t="s">
        <v>1393</v>
      </c>
      <c r="C22" s="1709">
        <v>44377</v>
      </c>
      <c r="D22" s="1672">
        <v>25</v>
      </c>
      <c r="E22" s="1672">
        <v>0</v>
      </c>
      <c r="F22" s="1673" t="s">
        <v>729</v>
      </c>
      <c r="G22" s="1709" t="s">
        <v>2622</v>
      </c>
      <c r="H22" s="1710" t="s">
        <v>730</v>
      </c>
      <c r="I22" s="1709" t="s">
        <v>2615</v>
      </c>
      <c r="J22" s="1709" t="s">
        <v>735</v>
      </c>
      <c r="K22" s="1709" t="s">
        <v>732</v>
      </c>
      <c r="L22" s="1711"/>
      <c r="M22" s="1711"/>
      <c r="N22" s="1711" t="s">
        <v>2534</v>
      </c>
      <c r="O22" s="1709"/>
      <c r="P22" s="1712"/>
      <c r="Q22" s="1711"/>
      <c r="R22" s="1709"/>
      <c r="S22" s="1709"/>
      <c r="T22" s="1709"/>
      <c r="U22" s="1709" t="s">
        <v>2614</v>
      </c>
      <c r="V22" s="1709" t="s">
        <v>2614</v>
      </c>
      <c r="W22" s="1709"/>
      <c r="X22" s="1709">
        <v>44383</v>
      </c>
      <c r="Y22" s="1709">
        <v>44383</v>
      </c>
      <c r="Z22" s="1709"/>
      <c r="AA22" s="1709"/>
      <c r="AB22" s="1709" t="s">
        <v>733</v>
      </c>
      <c r="AC22" s="1709">
        <v>0</v>
      </c>
      <c r="AD22" s="1709">
        <v>0</v>
      </c>
      <c r="AE22" s="1709">
        <v>0</v>
      </c>
      <c r="AF22" s="1709">
        <v>0</v>
      </c>
      <c r="AG22" s="1709">
        <v>0</v>
      </c>
      <c r="AH22" s="1709">
        <v>1</v>
      </c>
      <c r="AI22" s="1709">
        <v>70195</v>
      </c>
      <c r="AJ22" s="1709">
        <v>2195</v>
      </c>
      <c r="AK22" s="1709">
        <v>0</v>
      </c>
      <c r="AL22" s="1709">
        <v>0</v>
      </c>
      <c r="AM22" s="1709"/>
      <c r="AN22" s="1709"/>
      <c r="AO22" s="1710"/>
      <c r="AP22" s="1710"/>
      <c r="AQ22" s="1713" t="str">
        <f t="shared" si="0"/>
        <v/>
      </c>
      <c r="AS22" s="304" t="str">
        <f t="shared" si="1"/>
        <v>wci_corp</v>
      </c>
    </row>
    <row r="23" spans="2:45">
      <c r="B23" s="1708" t="s">
        <v>1393</v>
      </c>
      <c r="C23" s="1709">
        <v>44397</v>
      </c>
      <c r="D23" s="1672">
        <v>442.1</v>
      </c>
      <c r="E23" s="1672">
        <v>0</v>
      </c>
      <c r="F23" s="1673" t="s">
        <v>729</v>
      </c>
      <c r="G23" s="1709" t="s">
        <v>2621</v>
      </c>
      <c r="H23" s="1710" t="s">
        <v>730</v>
      </c>
      <c r="I23" s="1709" t="s">
        <v>1039</v>
      </c>
      <c r="J23" s="1709" t="s">
        <v>1038</v>
      </c>
      <c r="K23" s="1709" t="s">
        <v>732</v>
      </c>
      <c r="L23" s="1711" t="s">
        <v>1047</v>
      </c>
      <c r="M23" s="1711"/>
      <c r="N23" s="1711" t="s">
        <v>1045</v>
      </c>
      <c r="O23" s="1709">
        <v>44378</v>
      </c>
      <c r="P23" s="1712" t="s">
        <v>2620</v>
      </c>
      <c r="Q23" s="1711">
        <v>16162</v>
      </c>
      <c r="R23" s="1709" t="s">
        <v>2619</v>
      </c>
      <c r="S23" s="1709"/>
      <c r="T23" s="1709"/>
      <c r="U23" s="1709" t="s">
        <v>2618</v>
      </c>
      <c r="V23" s="1709" t="s">
        <v>2617</v>
      </c>
      <c r="W23" s="1709">
        <v>2000</v>
      </c>
      <c r="X23" s="1709">
        <v>44397</v>
      </c>
      <c r="Y23" s="1709">
        <v>44397</v>
      </c>
      <c r="Z23" s="1709">
        <v>9180</v>
      </c>
      <c r="AA23" s="1709">
        <v>44413</v>
      </c>
      <c r="AB23" s="1709" t="s">
        <v>733</v>
      </c>
      <c r="AC23" s="1709">
        <v>0</v>
      </c>
      <c r="AD23" s="1709">
        <v>0</v>
      </c>
      <c r="AE23" s="1709">
        <v>0</v>
      </c>
      <c r="AF23" s="1709">
        <v>0</v>
      </c>
      <c r="AG23" s="1709">
        <v>0</v>
      </c>
      <c r="AH23" s="1709">
        <v>1</v>
      </c>
      <c r="AI23" s="1709">
        <v>70195</v>
      </c>
      <c r="AJ23" s="1709">
        <v>2195</v>
      </c>
      <c r="AK23" s="1709">
        <v>0</v>
      </c>
      <c r="AL23" s="1709">
        <v>0</v>
      </c>
      <c r="AM23" s="1709"/>
      <c r="AN23" s="1709"/>
      <c r="AO23" s="1710"/>
      <c r="AP23" s="1710"/>
      <c r="AQ23" s="1713" t="str">
        <f t="shared" si="0"/>
        <v>VO05856400</v>
      </c>
      <c r="AS23" s="304" t="str">
        <f t="shared" si="1"/>
        <v>wci_corp</v>
      </c>
    </row>
    <row r="24" spans="2:45">
      <c r="B24" s="1708" t="s">
        <v>1393</v>
      </c>
      <c r="C24" s="1709">
        <v>44408</v>
      </c>
      <c r="D24" s="1672">
        <v>-25</v>
      </c>
      <c r="E24" s="1672">
        <v>0</v>
      </c>
      <c r="F24" s="1673" t="s">
        <v>729</v>
      </c>
      <c r="G24" s="1709" t="s">
        <v>2616</v>
      </c>
      <c r="H24" s="1710" t="s">
        <v>730</v>
      </c>
      <c r="I24" s="1709" t="s">
        <v>2615</v>
      </c>
      <c r="J24" s="1709" t="s">
        <v>2106</v>
      </c>
      <c r="K24" s="1709" t="s">
        <v>732</v>
      </c>
      <c r="L24" s="1711"/>
      <c r="M24" s="1711"/>
      <c r="N24" s="1711" t="s">
        <v>2534</v>
      </c>
      <c r="O24" s="1709"/>
      <c r="P24" s="1712"/>
      <c r="Q24" s="1711"/>
      <c r="R24" s="1709"/>
      <c r="S24" s="1709"/>
      <c r="T24" s="1709"/>
      <c r="U24" s="1709" t="s">
        <v>2614</v>
      </c>
      <c r="V24" s="1709" t="s">
        <v>2613</v>
      </c>
      <c r="W24" s="1709"/>
      <c r="X24" s="1709">
        <v>44383</v>
      </c>
      <c r="Y24" s="1709">
        <v>44383</v>
      </c>
      <c r="Z24" s="1709"/>
      <c r="AA24" s="1709"/>
      <c r="AB24" s="1709" t="s">
        <v>733</v>
      </c>
      <c r="AC24" s="1709">
        <v>0</v>
      </c>
      <c r="AD24" s="1709">
        <v>0</v>
      </c>
      <c r="AE24" s="1709">
        <v>0</v>
      </c>
      <c r="AF24" s="1709">
        <v>0</v>
      </c>
      <c r="AG24" s="1709">
        <v>5</v>
      </c>
      <c r="AH24" s="1709">
        <v>1</v>
      </c>
      <c r="AI24" s="1709">
        <v>70195</v>
      </c>
      <c r="AJ24" s="1709">
        <v>2195</v>
      </c>
      <c r="AK24" s="1709">
        <v>0</v>
      </c>
      <c r="AL24" s="1709">
        <v>0</v>
      </c>
      <c r="AM24" s="1709"/>
      <c r="AN24" s="1709"/>
      <c r="AO24" s="1710"/>
      <c r="AP24" s="1710"/>
      <c r="AQ24" s="1713" t="str">
        <f t="shared" si="0"/>
        <v/>
      </c>
      <c r="AS24" s="304" t="str">
        <f t="shared" si="1"/>
        <v>wci_corp</v>
      </c>
    </row>
    <row r="25" spans="2:45">
      <c r="B25" s="1708" t="s">
        <v>1393</v>
      </c>
      <c r="C25" s="1709">
        <v>44408</v>
      </c>
      <c r="D25" s="1672">
        <v>25</v>
      </c>
      <c r="E25" s="1672">
        <v>0</v>
      </c>
      <c r="F25" s="1673" t="s">
        <v>729</v>
      </c>
      <c r="G25" s="1709" t="s">
        <v>2612</v>
      </c>
      <c r="H25" s="1710" t="s">
        <v>730</v>
      </c>
      <c r="I25" s="1709" t="s">
        <v>2611</v>
      </c>
      <c r="J25" s="1709" t="s">
        <v>736</v>
      </c>
      <c r="K25" s="1709" t="s">
        <v>732</v>
      </c>
      <c r="L25" s="1711"/>
      <c r="M25" s="1711"/>
      <c r="N25" s="1711" t="s">
        <v>2534</v>
      </c>
      <c r="O25" s="1709"/>
      <c r="P25" s="1712"/>
      <c r="Q25" s="1711"/>
      <c r="R25" s="1709"/>
      <c r="S25" s="1709"/>
      <c r="T25" s="1709"/>
      <c r="U25" s="1709" t="s">
        <v>2610</v>
      </c>
      <c r="V25" s="1709" t="s">
        <v>2610</v>
      </c>
      <c r="W25" s="1709"/>
      <c r="X25" s="1709">
        <v>44411</v>
      </c>
      <c r="Y25" s="1709">
        <v>44411</v>
      </c>
      <c r="Z25" s="1709"/>
      <c r="AA25" s="1709"/>
      <c r="AB25" s="1709" t="s">
        <v>733</v>
      </c>
      <c r="AC25" s="1709">
        <v>0</v>
      </c>
      <c r="AD25" s="1709">
        <v>0</v>
      </c>
      <c r="AE25" s="1709">
        <v>0</v>
      </c>
      <c r="AF25" s="1709">
        <v>0</v>
      </c>
      <c r="AG25" s="1709">
        <v>0</v>
      </c>
      <c r="AH25" s="1709">
        <v>1</v>
      </c>
      <c r="AI25" s="1709">
        <v>70195</v>
      </c>
      <c r="AJ25" s="1709">
        <v>2195</v>
      </c>
      <c r="AK25" s="1709">
        <v>0</v>
      </c>
      <c r="AL25" s="1709">
        <v>0</v>
      </c>
      <c r="AM25" s="1709"/>
      <c r="AN25" s="1709"/>
      <c r="AO25" s="1710"/>
      <c r="AP25" s="1710"/>
      <c r="AQ25" s="1713" t="str">
        <f t="shared" si="0"/>
        <v/>
      </c>
      <c r="AS25" s="304" t="str">
        <f t="shared" si="1"/>
        <v>wci_corp</v>
      </c>
    </row>
    <row r="26" spans="2:45">
      <c r="B26" s="1708" t="s">
        <v>1393</v>
      </c>
      <c r="C26" s="1709">
        <v>44439</v>
      </c>
      <c r="D26" s="1672">
        <v>499</v>
      </c>
      <c r="E26" s="1672">
        <v>0</v>
      </c>
      <c r="F26" s="1673" t="s">
        <v>729</v>
      </c>
      <c r="G26" s="1709" t="s">
        <v>2487</v>
      </c>
      <c r="H26" s="1710" t="s">
        <v>730</v>
      </c>
      <c r="I26" s="1709" t="s">
        <v>2486</v>
      </c>
      <c r="J26" s="1709" t="s">
        <v>735</v>
      </c>
      <c r="K26" s="1709" t="s">
        <v>732</v>
      </c>
      <c r="L26" s="1711"/>
      <c r="M26" s="1711"/>
      <c r="N26" s="1711" t="s">
        <v>2533</v>
      </c>
      <c r="O26" s="1709"/>
      <c r="P26" s="1712"/>
      <c r="Q26" s="1711"/>
      <c r="R26" s="1709"/>
      <c r="S26" s="1709"/>
      <c r="T26" s="1709"/>
      <c r="U26" s="1709" t="s">
        <v>2485</v>
      </c>
      <c r="V26" s="1709" t="s">
        <v>2485</v>
      </c>
      <c r="W26" s="1709"/>
      <c r="X26" s="1709">
        <v>44441</v>
      </c>
      <c r="Y26" s="1709">
        <v>44441</v>
      </c>
      <c r="Z26" s="1709"/>
      <c r="AA26" s="1709"/>
      <c r="AB26" s="1709" t="s">
        <v>733</v>
      </c>
      <c r="AC26" s="1709">
        <v>0</v>
      </c>
      <c r="AD26" s="1709">
        <v>0</v>
      </c>
      <c r="AE26" s="1709">
        <v>0</v>
      </c>
      <c r="AF26" s="1709">
        <v>0</v>
      </c>
      <c r="AG26" s="1709">
        <v>0</v>
      </c>
      <c r="AH26" s="1709">
        <v>1</v>
      </c>
      <c r="AI26" s="1709">
        <v>70195</v>
      </c>
      <c r="AJ26" s="1709">
        <v>2195</v>
      </c>
      <c r="AK26" s="1709">
        <v>0</v>
      </c>
      <c r="AL26" s="1709">
        <v>0</v>
      </c>
      <c r="AM26" s="1709"/>
      <c r="AN26" s="1709"/>
      <c r="AO26" s="1710"/>
      <c r="AP26" s="1710"/>
      <c r="AQ26" s="1713" t="str">
        <f t="shared" si="0"/>
        <v/>
      </c>
      <c r="AS26" s="304" t="str">
        <f t="shared" si="1"/>
        <v>wci_corp</v>
      </c>
    </row>
    <row r="27" spans="2:45">
      <c r="B27" s="1708" t="s">
        <v>1393</v>
      </c>
      <c r="C27" s="1709">
        <v>44439</v>
      </c>
      <c r="D27" s="1672">
        <v>331</v>
      </c>
      <c r="E27" s="1672">
        <v>0</v>
      </c>
      <c r="F27" s="1673" t="s">
        <v>729</v>
      </c>
      <c r="G27" s="1709" t="s">
        <v>2297</v>
      </c>
      <c r="H27" s="1710" t="s">
        <v>730</v>
      </c>
      <c r="I27" s="1709" t="s">
        <v>2222</v>
      </c>
      <c r="J27" s="1709" t="s">
        <v>736</v>
      </c>
      <c r="K27" s="1709" t="s">
        <v>732</v>
      </c>
      <c r="L27" s="1711"/>
      <c r="M27" s="1711"/>
      <c r="N27" s="1711" t="s">
        <v>2532</v>
      </c>
      <c r="O27" s="1709"/>
      <c r="P27" s="1712"/>
      <c r="Q27" s="1711"/>
      <c r="R27" s="1709"/>
      <c r="S27" s="1709"/>
      <c r="T27" s="1709"/>
      <c r="U27" s="1709" t="s">
        <v>2292</v>
      </c>
      <c r="V27" s="1709" t="s">
        <v>2292</v>
      </c>
      <c r="W27" s="1709"/>
      <c r="X27" s="1709">
        <v>44446</v>
      </c>
      <c r="Y27" s="1709">
        <v>44447</v>
      </c>
      <c r="Z27" s="1709"/>
      <c r="AA27" s="1709"/>
      <c r="AB27" s="1709" t="s">
        <v>733</v>
      </c>
      <c r="AC27" s="1709">
        <v>0</v>
      </c>
      <c r="AD27" s="1709">
        <v>0</v>
      </c>
      <c r="AE27" s="1709">
        <v>0</v>
      </c>
      <c r="AF27" s="1709">
        <v>0</v>
      </c>
      <c r="AG27" s="1709">
        <v>0</v>
      </c>
      <c r="AH27" s="1709">
        <v>1</v>
      </c>
      <c r="AI27" s="1709">
        <v>70195</v>
      </c>
      <c r="AJ27" s="1709">
        <v>2195</v>
      </c>
      <c r="AK27" s="1709">
        <v>0</v>
      </c>
      <c r="AL27" s="1709">
        <v>0</v>
      </c>
      <c r="AM27" s="1709"/>
      <c r="AN27" s="1709"/>
      <c r="AO27" s="1710"/>
      <c r="AP27" s="1710"/>
      <c r="AQ27" s="1713" t="str">
        <f t="shared" si="0"/>
        <v/>
      </c>
      <c r="AS27" s="304" t="str">
        <f t="shared" si="1"/>
        <v>wci_corp</v>
      </c>
    </row>
    <row r="28" spans="2:45">
      <c r="B28" s="1708" t="s">
        <v>1393</v>
      </c>
      <c r="C28" s="1709">
        <v>44439</v>
      </c>
      <c r="D28" s="1672">
        <v>125</v>
      </c>
      <c r="E28" s="1672">
        <v>0</v>
      </c>
      <c r="F28" s="1673" t="s">
        <v>729</v>
      </c>
      <c r="G28" s="1709" t="s">
        <v>2297</v>
      </c>
      <c r="H28" s="1710" t="s">
        <v>730</v>
      </c>
      <c r="I28" s="1709" t="s">
        <v>2222</v>
      </c>
      <c r="J28" s="1709" t="s">
        <v>736</v>
      </c>
      <c r="K28" s="1709" t="s">
        <v>732</v>
      </c>
      <c r="L28" s="1711"/>
      <c r="M28" s="1711"/>
      <c r="N28" s="1711" t="s">
        <v>2531</v>
      </c>
      <c r="O28" s="1709"/>
      <c r="P28" s="1712"/>
      <c r="Q28" s="1711"/>
      <c r="R28" s="1709"/>
      <c r="S28" s="1709"/>
      <c r="T28" s="1709"/>
      <c r="U28" s="1709" t="s">
        <v>2292</v>
      </c>
      <c r="V28" s="1709" t="s">
        <v>2292</v>
      </c>
      <c r="W28" s="1709"/>
      <c r="X28" s="1709">
        <v>44446</v>
      </c>
      <c r="Y28" s="1709">
        <v>44447</v>
      </c>
      <c r="Z28" s="1709"/>
      <c r="AA28" s="1709"/>
      <c r="AB28" s="1709" t="s">
        <v>733</v>
      </c>
      <c r="AC28" s="1709">
        <v>0</v>
      </c>
      <c r="AD28" s="1709">
        <v>0</v>
      </c>
      <c r="AE28" s="1709">
        <v>0</v>
      </c>
      <c r="AF28" s="1709">
        <v>0</v>
      </c>
      <c r="AG28" s="1709">
        <v>0</v>
      </c>
      <c r="AH28" s="1709">
        <v>1</v>
      </c>
      <c r="AI28" s="1709">
        <v>70195</v>
      </c>
      <c r="AJ28" s="1709">
        <v>2195</v>
      </c>
      <c r="AK28" s="1709">
        <v>0</v>
      </c>
      <c r="AL28" s="1709">
        <v>0</v>
      </c>
      <c r="AM28" s="1709"/>
      <c r="AN28" s="1709"/>
      <c r="AO28" s="1710"/>
      <c r="AP28" s="1710"/>
      <c r="AQ28" s="1713" t="str">
        <f t="shared" si="0"/>
        <v/>
      </c>
      <c r="AS28" s="304" t="str">
        <f t="shared" si="1"/>
        <v>wci_corp</v>
      </c>
    </row>
    <row r="29" spans="2:45">
      <c r="B29" s="1708" t="s">
        <v>1393</v>
      </c>
      <c r="C29" s="1709">
        <v>44439</v>
      </c>
      <c r="D29" s="1672">
        <v>442.1</v>
      </c>
      <c r="E29" s="1672">
        <v>0</v>
      </c>
      <c r="F29" s="1673" t="s">
        <v>729</v>
      </c>
      <c r="G29" s="1709" t="s">
        <v>2609</v>
      </c>
      <c r="H29" s="1710" t="s">
        <v>730</v>
      </c>
      <c r="I29" s="1709" t="s">
        <v>2590</v>
      </c>
      <c r="J29" s="1709" t="s">
        <v>2106</v>
      </c>
      <c r="K29" s="1709" t="s">
        <v>732</v>
      </c>
      <c r="L29" s="1711"/>
      <c r="M29" s="1711"/>
      <c r="N29" s="1711" t="s">
        <v>1048</v>
      </c>
      <c r="O29" s="1709"/>
      <c r="P29" s="1712"/>
      <c r="Q29" s="1711"/>
      <c r="R29" s="1709"/>
      <c r="S29" s="1709"/>
      <c r="T29" s="1709"/>
      <c r="U29" s="1709" t="s">
        <v>2589</v>
      </c>
      <c r="V29" s="1709" t="s">
        <v>2589</v>
      </c>
      <c r="W29" s="1709"/>
      <c r="X29" s="1709">
        <v>44447</v>
      </c>
      <c r="Y29" s="1709">
        <v>44447</v>
      </c>
      <c r="Z29" s="1709"/>
      <c r="AA29" s="1709"/>
      <c r="AB29" s="1709" t="s">
        <v>733</v>
      </c>
      <c r="AC29" s="1709">
        <v>0</v>
      </c>
      <c r="AD29" s="1709">
        <v>0</v>
      </c>
      <c r="AE29" s="1709">
        <v>0</v>
      </c>
      <c r="AF29" s="1709">
        <v>0</v>
      </c>
      <c r="AG29" s="1709">
        <v>0</v>
      </c>
      <c r="AH29" s="1709">
        <v>1</v>
      </c>
      <c r="AI29" s="1709">
        <v>70195</v>
      </c>
      <c r="AJ29" s="1709">
        <v>2195</v>
      </c>
      <c r="AK29" s="1709">
        <v>0</v>
      </c>
      <c r="AL29" s="1709">
        <v>0</v>
      </c>
      <c r="AM29" s="1709"/>
      <c r="AN29" s="1709"/>
      <c r="AO29" s="1710"/>
      <c r="AP29" s="1710"/>
      <c r="AQ29" s="1713" t="str">
        <f t="shared" si="0"/>
        <v/>
      </c>
      <c r="AS29" s="304" t="str">
        <f t="shared" si="1"/>
        <v>wci_corp</v>
      </c>
    </row>
    <row r="30" spans="2:45">
      <c r="B30" s="1708" t="s">
        <v>1393</v>
      </c>
      <c r="C30" s="1709">
        <v>44439</v>
      </c>
      <c r="D30" s="1672">
        <v>442.1</v>
      </c>
      <c r="E30" s="1672">
        <v>0</v>
      </c>
      <c r="F30" s="1673" t="s">
        <v>729</v>
      </c>
      <c r="G30" s="1709" t="s">
        <v>2609</v>
      </c>
      <c r="H30" s="1710" t="s">
        <v>730</v>
      </c>
      <c r="I30" s="1709" t="s">
        <v>2590</v>
      </c>
      <c r="J30" s="1709" t="s">
        <v>2106</v>
      </c>
      <c r="K30" s="1709" t="s">
        <v>732</v>
      </c>
      <c r="L30" s="1711"/>
      <c r="M30" s="1711"/>
      <c r="N30" s="1711" t="s">
        <v>2530</v>
      </c>
      <c r="O30" s="1709"/>
      <c r="P30" s="1712"/>
      <c r="Q30" s="1711"/>
      <c r="R30" s="1709"/>
      <c r="S30" s="1709"/>
      <c r="T30" s="1709"/>
      <c r="U30" s="1709" t="s">
        <v>2589</v>
      </c>
      <c r="V30" s="1709" t="s">
        <v>2589</v>
      </c>
      <c r="W30" s="1709"/>
      <c r="X30" s="1709">
        <v>44447</v>
      </c>
      <c r="Y30" s="1709">
        <v>44447</v>
      </c>
      <c r="Z30" s="1709"/>
      <c r="AA30" s="1709"/>
      <c r="AB30" s="1709" t="s">
        <v>733</v>
      </c>
      <c r="AC30" s="1709">
        <v>0</v>
      </c>
      <c r="AD30" s="1709">
        <v>0</v>
      </c>
      <c r="AE30" s="1709">
        <v>0</v>
      </c>
      <c r="AF30" s="1709">
        <v>0</v>
      </c>
      <c r="AG30" s="1709">
        <v>0</v>
      </c>
      <c r="AH30" s="1709">
        <v>1</v>
      </c>
      <c r="AI30" s="1709">
        <v>70195</v>
      </c>
      <c r="AJ30" s="1709">
        <v>2195</v>
      </c>
      <c r="AK30" s="1709">
        <v>0</v>
      </c>
      <c r="AL30" s="1709">
        <v>0</v>
      </c>
      <c r="AM30" s="1709"/>
      <c r="AN30" s="1709"/>
      <c r="AO30" s="1710"/>
      <c r="AP30" s="1710"/>
      <c r="AQ30" s="1713" t="str">
        <f t="shared" si="0"/>
        <v/>
      </c>
      <c r="AS30" s="304" t="str">
        <f t="shared" si="1"/>
        <v>wci_corp</v>
      </c>
    </row>
    <row r="31" spans="2:45">
      <c r="B31" s="1708" t="s">
        <v>1393</v>
      </c>
      <c r="C31" s="1709">
        <v>44454</v>
      </c>
      <c r="D31" s="1672">
        <v>125</v>
      </c>
      <c r="E31" s="1672">
        <v>0</v>
      </c>
      <c r="F31" s="1673" t="s">
        <v>729</v>
      </c>
      <c r="G31" s="1709" t="s">
        <v>2608</v>
      </c>
      <c r="H31" s="1710" t="s">
        <v>730</v>
      </c>
      <c r="I31" s="1709" t="s">
        <v>1039</v>
      </c>
      <c r="J31" s="1709" t="s">
        <v>1042</v>
      </c>
      <c r="K31" s="1709" t="s">
        <v>732</v>
      </c>
      <c r="L31" s="1711" t="s">
        <v>2607</v>
      </c>
      <c r="M31" s="1711"/>
      <c r="N31" s="1711" t="s">
        <v>2529</v>
      </c>
      <c r="O31" s="1709">
        <v>44385</v>
      </c>
      <c r="P31" s="1712" t="s">
        <v>2531</v>
      </c>
      <c r="Q31" s="1711" t="s">
        <v>2606</v>
      </c>
      <c r="R31" s="1709" t="s">
        <v>2605</v>
      </c>
      <c r="S31" s="1709"/>
      <c r="T31" s="1709"/>
      <c r="U31" s="1709" t="s">
        <v>2604</v>
      </c>
      <c r="V31" s="1709" t="s">
        <v>2603</v>
      </c>
      <c r="W31" s="1709" t="s">
        <v>1287</v>
      </c>
      <c r="X31" s="1709">
        <v>44454</v>
      </c>
      <c r="Y31" s="1709">
        <v>44454</v>
      </c>
      <c r="Z31" s="1709">
        <v>125</v>
      </c>
      <c r="AA31" s="1709">
        <v>44450</v>
      </c>
      <c r="AB31" s="1709" t="s">
        <v>733</v>
      </c>
      <c r="AC31" s="1709">
        <v>0</v>
      </c>
      <c r="AD31" s="1709">
        <v>0</v>
      </c>
      <c r="AE31" s="1709">
        <v>0</v>
      </c>
      <c r="AF31" s="1709">
        <v>0</v>
      </c>
      <c r="AG31" s="1709">
        <v>0</v>
      </c>
      <c r="AH31" s="1709">
        <v>1</v>
      </c>
      <c r="AI31" s="1709">
        <v>70195</v>
      </c>
      <c r="AJ31" s="1709">
        <v>2195</v>
      </c>
      <c r="AK31" s="1709">
        <v>0</v>
      </c>
      <c r="AL31" s="1709">
        <v>0</v>
      </c>
      <c r="AM31" s="1709"/>
      <c r="AN31" s="1709"/>
      <c r="AO31" s="1710"/>
      <c r="AP31" s="1710"/>
      <c r="AQ31" s="1713" t="str">
        <f t="shared" si="0"/>
        <v>VO05923193</v>
      </c>
      <c r="AS31" s="304" t="str">
        <f t="shared" si="1"/>
        <v>wci_corp</v>
      </c>
    </row>
    <row r="32" spans="2:45">
      <c r="B32" s="1708" t="s">
        <v>1393</v>
      </c>
      <c r="C32" s="1709">
        <v>44454</v>
      </c>
      <c r="D32" s="1672">
        <v>500</v>
      </c>
      <c r="E32" s="1672">
        <v>0</v>
      </c>
      <c r="F32" s="1673" t="s">
        <v>729</v>
      </c>
      <c r="G32" s="1709" t="s">
        <v>2296</v>
      </c>
      <c r="H32" s="1710" t="s">
        <v>730</v>
      </c>
      <c r="I32" s="1709" t="s">
        <v>1039</v>
      </c>
      <c r="J32" s="1709" t="s">
        <v>1042</v>
      </c>
      <c r="K32" s="1709" t="s">
        <v>732</v>
      </c>
      <c r="L32" s="1711" t="s">
        <v>1396</v>
      </c>
      <c r="M32" s="1711"/>
      <c r="N32" s="1711" t="s">
        <v>1397</v>
      </c>
      <c r="O32" s="1709">
        <v>44440</v>
      </c>
      <c r="P32" s="1712" t="s">
        <v>1398</v>
      </c>
      <c r="Q32" s="1711">
        <v>1346</v>
      </c>
      <c r="R32" s="1709" t="s">
        <v>2602</v>
      </c>
      <c r="S32" s="1709"/>
      <c r="T32" s="1709"/>
      <c r="U32" s="1709" t="s">
        <v>2601</v>
      </c>
      <c r="V32" s="1709" t="s">
        <v>2294</v>
      </c>
      <c r="W32" s="1709">
        <v>2195</v>
      </c>
      <c r="X32" s="1709">
        <v>44454</v>
      </c>
      <c r="Y32" s="1709">
        <v>44454</v>
      </c>
      <c r="Z32" s="1709">
        <v>500</v>
      </c>
      <c r="AA32" s="1709">
        <v>44505</v>
      </c>
      <c r="AB32" s="1709" t="s">
        <v>733</v>
      </c>
      <c r="AC32" s="1709">
        <v>0</v>
      </c>
      <c r="AD32" s="1709">
        <v>0</v>
      </c>
      <c r="AE32" s="1709">
        <v>0</v>
      </c>
      <c r="AF32" s="1709">
        <v>0</v>
      </c>
      <c r="AG32" s="1709">
        <v>0</v>
      </c>
      <c r="AH32" s="1709">
        <v>1</v>
      </c>
      <c r="AI32" s="1709">
        <v>70195</v>
      </c>
      <c r="AJ32" s="1709">
        <v>2195</v>
      </c>
      <c r="AK32" s="1709">
        <v>0</v>
      </c>
      <c r="AL32" s="1709">
        <v>0</v>
      </c>
      <c r="AM32" s="1709"/>
      <c r="AN32" s="1709"/>
      <c r="AO32" s="1710"/>
      <c r="AP32" s="1710"/>
      <c r="AQ32" s="1713" t="str">
        <f t="shared" si="0"/>
        <v>VO05923360</v>
      </c>
      <c r="AS32" s="304" t="str">
        <f t="shared" si="1"/>
        <v>wci_corp</v>
      </c>
    </row>
    <row r="33" spans="2:45">
      <c r="B33" s="1708" t="s">
        <v>1393</v>
      </c>
      <c r="C33" s="1709">
        <v>44454</v>
      </c>
      <c r="D33" s="1672">
        <v>442.1</v>
      </c>
      <c r="E33" s="1672">
        <v>0</v>
      </c>
      <c r="F33" s="1673" t="s">
        <v>729</v>
      </c>
      <c r="G33" s="1709" t="s">
        <v>2596</v>
      </c>
      <c r="H33" s="1710" t="s">
        <v>730</v>
      </c>
      <c r="I33" s="1709" t="s">
        <v>1039</v>
      </c>
      <c r="J33" s="1709" t="s">
        <v>1042</v>
      </c>
      <c r="K33" s="1709" t="s">
        <v>732</v>
      </c>
      <c r="L33" s="1711" t="s">
        <v>1047</v>
      </c>
      <c r="M33" s="1711"/>
      <c r="N33" s="1711" t="s">
        <v>1045</v>
      </c>
      <c r="O33" s="1709">
        <v>44409</v>
      </c>
      <c r="P33" s="1712" t="s">
        <v>1048</v>
      </c>
      <c r="Q33" s="1711">
        <v>16217</v>
      </c>
      <c r="R33" s="1709" t="s">
        <v>2600</v>
      </c>
      <c r="S33" s="1709"/>
      <c r="T33" s="1709"/>
      <c r="U33" s="1709" t="s">
        <v>2599</v>
      </c>
      <c r="V33" s="1709" t="s">
        <v>2592</v>
      </c>
      <c r="W33" s="1709">
        <v>2000</v>
      </c>
      <c r="X33" s="1709">
        <v>44454</v>
      </c>
      <c r="Y33" s="1709">
        <v>44454</v>
      </c>
      <c r="Z33" s="1709">
        <v>9180</v>
      </c>
      <c r="AA33" s="1709">
        <v>44444</v>
      </c>
      <c r="AB33" s="1709" t="s">
        <v>733</v>
      </c>
      <c r="AC33" s="1709">
        <v>0</v>
      </c>
      <c r="AD33" s="1709">
        <v>0</v>
      </c>
      <c r="AE33" s="1709">
        <v>0</v>
      </c>
      <c r="AF33" s="1709">
        <v>0</v>
      </c>
      <c r="AG33" s="1709">
        <v>0</v>
      </c>
      <c r="AH33" s="1709">
        <v>1</v>
      </c>
      <c r="AI33" s="1709">
        <v>70195</v>
      </c>
      <c r="AJ33" s="1709">
        <v>2195</v>
      </c>
      <c r="AK33" s="1709">
        <v>0</v>
      </c>
      <c r="AL33" s="1709">
        <v>0</v>
      </c>
      <c r="AM33" s="1709"/>
      <c r="AN33" s="1709"/>
      <c r="AO33" s="1710"/>
      <c r="AP33" s="1710"/>
      <c r="AQ33" s="1713" t="str">
        <f t="shared" si="0"/>
        <v>VO05923549</v>
      </c>
      <c r="AS33" s="304" t="str">
        <f t="shared" si="1"/>
        <v>wci_corp</v>
      </c>
    </row>
    <row r="34" spans="2:45">
      <c r="B34" s="1708" t="s">
        <v>1393</v>
      </c>
      <c r="C34" s="1709">
        <v>44454</v>
      </c>
      <c r="D34" s="1672">
        <v>442.1</v>
      </c>
      <c r="E34" s="1672">
        <v>0</v>
      </c>
      <c r="F34" s="1673" t="s">
        <v>729</v>
      </c>
      <c r="G34" s="1709" t="s">
        <v>2596</v>
      </c>
      <c r="H34" s="1710" t="s">
        <v>730</v>
      </c>
      <c r="I34" s="1709" t="s">
        <v>1039</v>
      </c>
      <c r="J34" s="1709" t="s">
        <v>1042</v>
      </c>
      <c r="K34" s="1709" t="s">
        <v>732</v>
      </c>
      <c r="L34" s="1711" t="s">
        <v>1047</v>
      </c>
      <c r="M34" s="1711"/>
      <c r="N34" s="1711" t="s">
        <v>1045</v>
      </c>
      <c r="O34" s="1709">
        <v>44348</v>
      </c>
      <c r="P34" s="1712" t="s">
        <v>2530</v>
      </c>
      <c r="Q34" s="1711">
        <v>16121</v>
      </c>
      <c r="R34" s="1709" t="s">
        <v>2598</v>
      </c>
      <c r="S34" s="1709"/>
      <c r="T34" s="1709"/>
      <c r="U34" s="1709" t="s">
        <v>2597</v>
      </c>
      <c r="V34" s="1709" t="s">
        <v>2592</v>
      </c>
      <c r="W34" s="1709">
        <v>2000</v>
      </c>
      <c r="X34" s="1709">
        <v>44454</v>
      </c>
      <c r="Y34" s="1709">
        <v>44454</v>
      </c>
      <c r="Z34" s="1709">
        <v>9180</v>
      </c>
      <c r="AA34" s="1709">
        <v>44383</v>
      </c>
      <c r="AB34" s="1709" t="s">
        <v>733</v>
      </c>
      <c r="AC34" s="1709">
        <v>0</v>
      </c>
      <c r="AD34" s="1709">
        <v>0</v>
      </c>
      <c r="AE34" s="1709">
        <v>0</v>
      </c>
      <c r="AF34" s="1709">
        <v>0</v>
      </c>
      <c r="AG34" s="1709">
        <v>0</v>
      </c>
      <c r="AH34" s="1709">
        <v>1</v>
      </c>
      <c r="AI34" s="1709">
        <v>70195</v>
      </c>
      <c r="AJ34" s="1709">
        <v>2195</v>
      </c>
      <c r="AK34" s="1709">
        <v>0</v>
      </c>
      <c r="AL34" s="1709">
        <v>0</v>
      </c>
      <c r="AM34" s="1709"/>
      <c r="AN34" s="1709"/>
      <c r="AO34" s="1710"/>
      <c r="AP34" s="1710"/>
      <c r="AQ34" s="1713" t="str">
        <f t="shared" si="0"/>
        <v>VO05923553</v>
      </c>
      <c r="AS34" s="304" t="str">
        <f t="shared" si="1"/>
        <v>wci_corp</v>
      </c>
    </row>
    <row r="35" spans="2:45">
      <c r="B35" s="1708" t="s">
        <v>1393</v>
      </c>
      <c r="C35" s="1709">
        <v>44454</v>
      </c>
      <c r="D35" s="1672">
        <v>442.1</v>
      </c>
      <c r="E35" s="1672">
        <v>0</v>
      </c>
      <c r="F35" s="1673" t="s">
        <v>729</v>
      </c>
      <c r="G35" s="1709" t="s">
        <v>2596</v>
      </c>
      <c r="H35" s="1710" t="s">
        <v>730</v>
      </c>
      <c r="I35" s="1709" t="s">
        <v>1039</v>
      </c>
      <c r="J35" s="1709" t="s">
        <v>1042</v>
      </c>
      <c r="K35" s="1709" t="s">
        <v>732</v>
      </c>
      <c r="L35" s="1711" t="s">
        <v>1047</v>
      </c>
      <c r="M35" s="1711"/>
      <c r="N35" s="1711" t="s">
        <v>1045</v>
      </c>
      <c r="O35" s="1709">
        <v>44440</v>
      </c>
      <c r="P35" s="1712" t="s">
        <v>2595</v>
      </c>
      <c r="Q35" s="1711">
        <v>16247</v>
      </c>
      <c r="R35" s="1709" t="s">
        <v>2594</v>
      </c>
      <c r="S35" s="1709"/>
      <c r="T35" s="1709"/>
      <c r="U35" s="1709" t="s">
        <v>2593</v>
      </c>
      <c r="V35" s="1709" t="s">
        <v>2592</v>
      </c>
      <c r="W35" s="1709">
        <v>2000</v>
      </c>
      <c r="X35" s="1709">
        <v>44454</v>
      </c>
      <c r="Y35" s="1709">
        <v>44454</v>
      </c>
      <c r="Z35" s="1709">
        <v>9180</v>
      </c>
      <c r="AA35" s="1709">
        <v>44475</v>
      </c>
      <c r="AB35" s="1709" t="s">
        <v>733</v>
      </c>
      <c r="AC35" s="1709">
        <v>0</v>
      </c>
      <c r="AD35" s="1709">
        <v>0</v>
      </c>
      <c r="AE35" s="1709">
        <v>0</v>
      </c>
      <c r="AF35" s="1709">
        <v>0</v>
      </c>
      <c r="AG35" s="1709">
        <v>0</v>
      </c>
      <c r="AH35" s="1709">
        <v>1</v>
      </c>
      <c r="AI35" s="1709">
        <v>70195</v>
      </c>
      <c r="AJ35" s="1709">
        <v>2195</v>
      </c>
      <c r="AK35" s="1709">
        <v>0</v>
      </c>
      <c r="AL35" s="1709">
        <v>0</v>
      </c>
      <c r="AM35" s="1709"/>
      <c r="AN35" s="1709"/>
      <c r="AO35" s="1710"/>
      <c r="AP35" s="1710"/>
      <c r="AQ35" s="1713" t="str">
        <f t="shared" si="0"/>
        <v>VO05923558</v>
      </c>
      <c r="AS35" s="304" t="str">
        <f t="shared" si="1"/>
        <v>wci_corp</v>
      </c>
    </row>
    <row r="36" spans="2:45">
      <c r="B36" s="1708" t="s">
        <v>1393</v>
      </c>
      <c r="C36" s="1709">
        <v>44469</v>
      </c>
      <c r="D36" s="1672">
        <v>-331</v>
      </c>
      <c r="E36" s="1672">
        <v>0</v>
      </c>
      <c r="F36" s="1673" t="s">
        <v>729</v>
      </c>
      <c r="G36" s="1709" t="s">
        <v>2293</v>
      </c>
      <c r="H36" s="1710" t="s">
        <v>730</v>
      </c>
      <c r="I36" s="1709" t="s">
        <v>2222</v>
      </c>
      <c r="J36" s="1709" t="s">
        <v>736</v>
      </c>
      <c r="K36" s="1709" t="s">
        <v>732</v>
      </c>
      <c r="L36" s="1711"/>
      <c r="M36" s="1711"/>
      <c r="N36" s="1711" t="s">
        <v>2532</v>
      </c>
      <c r="O36" s="1709"/>
      <c r="P36" s="1712"/>
      <c r="Q36" s="1711"/>
      <c r="R36" s="1709"/>
      <c r="S36" s="1709"/>
      <c r="T36" s="1709"/>
      <c r="U36" s="1709" t="s">
        <v>2292</v>
      </c>
      <c r="V36" s="1709" t="s">
        <v>2291</v>
      </c>
      <c r="W36" s="1709"/>
      <c r="X36" s="1709">
        <v>44447</v>
      </c>
      <c r="Y36" s="1709">
        <v>44447</v>
      </c>
      <c r="Z36" s="1709"/>
      <c r="AA36" s="1709"/>
      <c r="AB36" s="1709" t="s">
        <v>733</v>
      </c>
      <c r="AC36" s="1709">
        <v>0</v>
      </c>
      <c r="AD36" s="1709">
        <v>0</v>
      </c>
      <c r="AE36" s="1709">
        <v>0</v>
      </c>
      <c r="AF36" s="1709">
        <v>0</v>
      </c>
      <c r="AG36" s="1709">
        <v>5</v>
      </c>
      <c r="AH36" s="1709">
        <v>1</v>
      </c>
      <c r="AI36" s="1709">
        <v>70195</v>
      </c>
      <c r="AJ36" s="1709">
        <v>2195</v>
      </c>
      <c r="AK36" s="1709">
        <v>0</v>
      </c>
      <c r="AL36" s="1709">
        <v>0</v>
      </c>
      <c r="AM36" s="1709"/>
      <c r="AN36" s="1709"/>
      <c r="AO36" s="1710"/>
      <c r="AP36" s="1710"/>
      <c r="AQ36" s="1713" t="str">
        <f t="shared" si="0"/>
        <v/>
      </c>
      <c r="AS36" s="304" t="str">
        <f t="shared" si="1"/>
        <v>wci_corp</v>
      </c>
    </row>
    <row r="37" spans="2:45">
      <c r="B37" s="1708" t="s">
        <v>1393</v>
      </c>
      <c r="C37" s="1709">
        <v>44469</v>
      </c>
      <c r="D37" s="1672">
        <v>-125</v>
      </c>
      <c r="E37" s="1672">
        <v>0</v>
      </c>
      <c r="F37" s="1673" t="s">
        <v>729</v>
      </c>
      <c r="G37" s="1709" t="s">
        <v>2293</v>
      </c>
      <c r="H37" s="1710" t="s">
        <v>730</v>
      </c>
      <c r="I37" s="1709" t="s">
        <v>2222</v>
      </c>
      <c r="J37" s="1709" t="s">
        <v>736</v>
      </c>
      <c r="K37" s="1709" t="s">
        <v>732</v>
      </c>
      <c r="L37" s="1711"/>
      <c r="M37" s="1711"/>
      <c r="N37" s="1711" t="s">
        <v>2531</v>
      </c>
      <c r="O37" s="1709"/>
      <c r="P37" s="1712"/>
      <c r="Q37" s="1711"/>
      <c r="R37" s="1709"/>
      <c r="S37" s="1709"/>
      <c r="T37" s="1709"/>
      <c r="U37" s="1709" t="s">
        <v>2292</v>
      </c>
      <c r="V37" s="1709" t="s">
        <v>2291</v>
      </c>
      <c r="W37" s="1709"/>
      <c r="X37" s="1709">
        <v>44447</v>
      </c>
      <c r="Y37" s="1709">
        <v>44447</v>
      </c>
      <c r="Z37" s="1709"/>
      <c r="AA37" s="1709"/>
      <c r="AB37" s="1709" t="s">
        <v>733</v>
      </c>
      <c r="AC37" s="1709">
        <v>0</v>
      </c>
      <c r="AD37" s="1709">
        <v>0</v>
      </c>
      <c r="AE37" s="1709">
        <v>0</v>
      </c>
      <c r="AF37" s="1709">
        <v>0</v>
      </c>
      <c r="AG37" s="1709">
        <v>5</v>
      </c>
      <c r="AH37" s="1709">
        <v>1</v>
      </c>
      <c r="AI37" s="1709">
        <v>70195</v>
      </c>
      <c r="AJ37" s="1709">
        <v>2195</v>
      </c>
      <c r="AK37" s="1709">
        <v>0</v>
      </c>
      <c r="AL37" s="1709">
        <v>0</v>
      </c>
      <c r="AM37" s="1709"/>
      <c r="AN37" s="1709"/>
      <c r="AO37" s="1710"/>
      <c r="AP37" s="1710"/>
      <c r="AQ37" s="1713" t="str">
        <f t="shared" si="0"/>
        <v/>
      </c>
      <c r="AS37" s="304" t="str">
        <f t="shared" si="1"/>
        <v>wci_corp</v>
      </c>
    </row>
    <row r="38" spans="2:45">
      <c r="B38" s="1708" t="s">
        <v>1393</v>
      </c>
      <c r="C38" s="1709">
        <v>44469</v>
      </c>
      <c r="D38" s="1672">
        <v>-442.1</v>
      </c>
      <c r="E38" s="1672">
        <v>0</v>
      </c>
      <c r="F38" s="1673" t="s">
        <v>729</v>
      </c>
      <c r="G38" s="1709" t="s">
        <v>2591</v>
      </c>
      <c r="H38" s="1710" t="s">
        <v>730</v>
      </c>
      <c r="I38" s="1709" t="s">
        <v>2590</v>
      </c>
      <c r="J38" s="1709" t="s">
        <v>731</v>
      </c>
      <c r="K38" s="1709" t="s">
        <v>732</v>
      </c>
      <c r="L38" s="1711"/>
      <c r="M38" s="1711"/>
      <c r="N38" s="1711" t="s">
        <v>1048</v>
      </c>
      <c r="O38" s="1709"/>
      <c r="P38" s="1712"/>
      <c r="Q38" s="1711"/>
      <c r="R38" s="1709"/>
      <c r="S38" s="1709"/>
      <c r="T38" s="1709"/>
      <c r="U38" s="1709" t="s">
        <v>2589</v>
      </c>
      <c r="V38" s="1709" t="s">
        <v>2588</v>
      </c>
      <c r="W38" s="1709"/>
      <c r="X38" s="1709">
        <v>44447</v>
      </c>
      <c r="Y38" s="1709">
        <v>44447</v>
      </c>
      <c r="Z38" s="1709"/>
      <c r="AA38" s="1709"/>
      <c r="AB38" s="1709" t="s">
        <v>733</v>
      </c>
      <c r="AC38" s="1709">
        <v>0</v>
      </c>
      <c r="AD38" s="1709">
        <v>0</v>
      </c>
      <c r="AE38" s="1709">
        <v>0</v>
      </c>
      <c r="AF38" s="1709">
        <v>0</v>
      </c>
      <c r="AG38" s="1709">
        <v>5</v>
      </c>
      <c r="AH38" s="1709">
        <v>1</v>
      </c>
      <c r="AI38" s="1709">
        <v>70195</v>
      </c>
      <c r="AJ38" s="1709">
        <v>2195</v>
      </c>
      <c r="AK38" s="1709">
        <v>0</v>
      </c>
      <c r="AL38" s="1709">
        <v>0</v>
      </c>
      <c r="AM38" s="1709"/>
      <c r="AN38" s="1709"/>
      <c r="AO38" s="1710"/>
      <c r="AP38" s="1710"/>
      <c r="AQ38" s="1713" t="str">
        <f t="shared" si="0"/>
        <v/>
      </c>
      <c r="AS38" s="304" t="str">
        <f t="shared" si="1"/>
        <v>wci_corp</v>
      </c>
    </row>
    <row r="39" spans="2:45">
      <c r="B39" s="1708" t="s">
        <v>1393</v>
      </c>
      <c r="C39" s="1709">
        <v>44469</v>
      </c>
      <c r="D39" s="1672">
        <v>-442.1</v>
      </c>
      <c r="E39" s="1672">
        <v>0</v>
      </c>
      <c r="F39" s="1673" t="s">
        <v>729</v>
      </c>
      <c r="G39" s="1709" t="s">
        <v>2591</v>
      </c>
      <c r="H39" s="1710" t="s">
        <v>730</v>
      </c>
      <c r="I39" s="1709" t="s">
        <v>2590</v>
      </c>
      <c r="J39" s="1709" t="s">
        <v>731</v>
      </c>
      <c r="K39" s="1709" t="s">
        <v>732</v>
      </c>
      <c r="L39" s="1711"/>
      <c r="M39" s="1711"/>
      <c r="N39" s="1711" t="s">
        <v>2530</v>
      </c>
      <c r="O39" s="1709"/>
      <c r="P39" s="1712"/>
      <c r="Q39" s="1711"/>
      <c r="R39" s="1709"/>
      <c r="S39" s="1709"/>
      <c r="T39" s="1709"/>
      <c r="U39" s="1709" t="s">
        <v>2589</v>
      </c>
      <c r="V39" s="1709" t="s">
        <v>2588</v>
      </c>
      <c r="W39" s="1709"/>
      <c r="X39" s="1709">
        <v>44447</v>
      </c>
      <c r="Y39" s="1709">
        <v>44447</v>
      </c>
      <c r="Z39" s="1709"/>
      <c r="AA39" s="1709"/>
      <c r="AB39" s="1709" t="s">
        <v>733</v>
      </c>
      <c r="AC39" s="1709">
        <v>0</v>
      </c>
      <c r="AD39" s="1709">
        <v>0</v>
      </c>
      <c r="AE39" s="1709">
        <v>0</v>
      </c>
      <c r="AF39" s="1709">
        <v>0</v>
      </c>
      <c r="AG39" s="1709">
        <v>5</v>
      </c>
      <c r="AH39" s="1709">
        <v>1</v>
      </c>
      <c r="AI39" s="1709">
        <v>70195</v>
      </c>
      <c r="AJ39" s="1709">
        <v>2195</v>
      </c>
      <c r="AK39" s="1709">
        <v>0</v>
      </c>
      <c r="AL39" s="1709">
        <v>0</v>
      </c>
      <c r="AM39" s="1709"/>
      <c r="AN39" s="1709"/>
      <c r="AO39" s="1710"/>
      <c r="AP39" s="1710"/>
      <c r="AQ39" s="1713" t="str">
        <f t="shared" si="0"/>
        <v/>
      </c>
      <c r="AS39" s="304" t="str">
        <f t="shared" si="1"/>
        <v>wci_corp</v>
      </c>
    </row>
    <row r="40" spans="2:45">
      <c r="B40" s="1708" t="s">
        <v>1393</v>
      </c>
      <c r="C40" s="1709">
        <v>44469</v>
      </c>
      <c r="D40" s="1672">
        <v>331</v>
      </c>
      <c r="E40" s="1672">
        <v>0</v>
      </c>
      <c r="F40" s="1673" t="s">
        <v>729</v>
      </c>
      <c r="G40" s="1709" t="s">
        <v>2587</v>
      </c>
      <c r="H40" s="1710" t="s">
        <v>730</v>
      </c>
      <c r="I40" s="1709" t="s">
        <v>2586</v>
      </c>
      <c r="J40" s="1709" t="s">
        <v>736</v>
      </c>
      <c r="K40" s="1709" t="s">
        <v>732</v>
      </c>
      <c r="L40" s="1711"/>
      <c r="M40" s="1711"/>
      <c r="N40" s="1711" t="s">
        <v>2528</v>
      </c>
      <c r="O40" s="1709"/>
      <c r="P40" s="1712"/>
      <c r="Q40" s="1711"/>
      <c r="R40" s="1709"/>
      <c r="S40" s="1709"/>
      <c r="T40" s="1709"/>
      <c r="U40" s="1709" t="s">
        <v>2585</v>
      </c>
      <c r="V40" s="1709" t="s">
        <v>2585</v>
      </c>
      <c r="W40" s="1709"/>
      <c r="X40" s="1709">
        <v>44473</v>
      </c>
      <c r="Y40" s="1709">
        <v>44473</v>
      </c>
      <c r="Z40" s="1709"/>
      <c r="AA40" s="1709"/>
      <c r="AB40" s="1709" t="s">
        <v>733</v>
      </c>
      <c r="AC40" s="1709">
        <v>0</v>
      </c>
      <c r="AD40" s="1709">
        <v>0</v>
      </c>
      <c r="AE40" s="1709">
        <v>0</v>
      </c>
      <c r="AF40" s="1709">
        <v>0</v>
      </c>
      <c r="AG40" s="1709">
        <v>0</v>
      </c>
      <c r="AH40" s="1709">
        <v>1</v>
      </c>
      <c r="AI40" s="1709">
        <v>70195</v>
      </c>
      <c r="AJ40" s="1709">
        <v>2195</v>
      </c>
      <c r="AK40" s="1709">
        <v>0</v>
      </c>
      <c r="AL40" s="1709">
        <v>0</v>
      </c>
      <c r="AM40" s="1709"/>
      <c r="AN40" s="1709"/>
      <c r="AO40" s="1710"/>
      <c r="AP40" s="1710"/>
      <c r="AQ40" s="1713" t="str">
        <f t="shared" si="0"/>
        <v/>
      </c>
      <c r="AS40" s="304" t="str">
        <f t="shared" si="1"/>
        <v>wci_corp</v>
      </c>
    </row>
    <row r="41" spans="2:45">
      <c r="B41" s="1708" t="s">
        <v>1393</v>
      </c>
      <c r="C41" s="1709">
        <v>44474</v>
      </c>
      <c r="D41" s="1672">
        <v>442.1</v>
      </c>
      <c r="E41" s="1672">
        <v>0</v>
      </c>
      <c r="F41" s="1673" t="s">
        <v>729</v>
      </c>
      <c r="G41" s="1709" t="s">
        <v>2584</v>
      </c>
      <c r="H41" s="1710" t="s">
        <v>730</v>
      </c>
      <c r="I41" s="1709" t="s">
        <v>1039</v>
      </c>
      <c r="J41" s="1709" t="s">
        <v>1038</v>
      </c>
      <c r="K41" s="1709" t="s">
        <v>732</v>
      </c>
      <c r="L41" s="1711" t="s">
        <v>1047</v>
      </c>
      <c r="M41" s="1711"/>
      <c r="N41" s="1711" t="s">
        <v>1045</v>
      </c>
      <c r="O41" s="1709">
        <v>44470</v>
      </c>
      <c r="P41" s="1712" t="s">
        <v>2583</v>
      </c>
      <c r="Q41" s="1711">
        <v>16277</v>
      </c>
      <c r="R41" s="1709" t="s">
        <v>2582</v>
      </c>
      <c r="S41" s="1709"/>
      <c r="T41" s="1709"/>
      <c r="U41" s="1709" t="s">
        <v>2581</v>
      </c>
      <c r="V41" s="1709" t="s">
        <v>2580</v>
      </c>
      <c r="W41" s="1709">
        <v>2000</v>
      </c>
      <c r="X41" s="1709">
        <v>44474</v>
      </c>
      <c r="Y41" s="1709">
        <v>44474</v>
      </c>
      <c r="Z41" s="1709">
        <v>9180</v>
      </c>
      <c r="AA41" s="1709">
        <v>44505</v>
      </c>
      <c r="AB41" s="1709" t="s">
        <v>733</v>
      </c>
      <c r="AC41" s="1709">
        <v>0</v>
      </c>
      <c r="AD41" s="1709">
        <v>0</v>
      </c>
      <c r="AE41" s="1709">
        <v>0</v>
      </c>
      <c r="AF41" s="1709">
        <v>0</v>
      </c>
      <c r="AG41" s="1709">
        <v>0</v>
      </c>
      <c r="AH41" s="1709">
        <v>1</v>
      </c>
      <c r="AI41" s="1709">
        <v>70195</v>
      </c>
      <c r="AJ41" s="1709">
        <v>2195</v>
      </c>
      <c r="AK41" s="1709">
        <v>0</v>
      </c>
      <c r="AL41" s="1709">
        <v>0</v>
      </c>
      <c r="AM41" s="1709"/>
      <c r="AN41" s="1709"/>
      <c r="AO41" s="1710"/>
      <c r="AP41" s="1710"/>
      <c r="AQ41" s="1713" t="str">
        <f t="shared" si="0"/>
        <v>VO05947972</v>
      </c>
      <c r="AS41" s="304" t="str">
        <f t="shared" si="1"/>
        <v>wci_corp</v>
      </c>
    </row>
    <row r="42" spans="2:45">
      <c r="B42" s="1708" t="s">
        <v>1393</v>
      </c>
      <c r="C42" s="1709">
        <v>44500</v>
      </c>
      <c r="D42" s="1672">
        <v>500</v>
      </c>
      <c r="E42" s="1672">
        <v>0</v>
      </c>
      <c r="F42" s="1673" t="s">
        <v>729</v>
      </c>
      <c r="G42" s="1709" t="s">
        <v>2283</v>
      </c>
      <c r="H42" s="1710" t="s">
        <v>730</v>
      </c>
      <c r="I42" s="1709" t="s">
        <v>2222</v>
      </c>
      <c r="J42" s="1709" t="s">
        <v>736</v>
      </c>
      <c r="K42" s="1709" t="s">
        <v>732</v>
      </c>
      <c r="L42" s="1711"/>
      <c r="M42" s="1711"/>
      <c r="N42" s="1711" t="s">
        <v>2527</v>
      </c>
      <c r="O42" s="1709"/>
      <c r="P42" s="1712"/>
      <c r="Q42" s="1711"/>
      <c r="R42" s="1709"/>
      <c r="S42" s="1709"/>
      <c r="T42" s="1709"/>
      <c r="U42" s="1709" t="s">
        <v>2278</v>
      </c>
      <c r="V42" s="1709" t="s">
        <v>2278</v>
      </c>
      <c r="W42" s="1709"/>
      <c r="X42" s="1709">
        <v>44504</v>
      </c>
      <c r="Y42" s="1709">
        <v>44505</v>
      </c>
      <c r="Z42" s="1709"/>
      <c r="AA42" s="1709"/>
      <c r="AB42" s="1709" t="s">
        <v>733</v>
      </c>
      <c r="AC42" s="1709">
        <v>0</v>
      </c>
      <c r="AD42" s="1709">
        <v>0</v>
      </c>
      <c r="AE42" s="1709">
        <v>0</v>
      </c>
      <c r="AF42" s="1709">
        <v>0</v>
      </c>
      <c r="AG42" s="1709">
        <v>0</v>
      </c>
      <c r="AH42" s="1709">
        <v>1</v>
      </c>
      <c r="AI42" s="1709">
        <v>70195</v>
      </c>
      <c r="AJ42" s="1709">
        <v>2195</v>
      </c>
      <c r="AK42" s="1709">
        <v>0</v>
      </c>
      <c r="AL42" s="1709">
        <v>0</v>
      </c>
      <c r="AM42" s="1709"/>
      <c r="AN42" s="1709"/>
      <c r="AO42" s="1710"/>
      <c r="AP42" s="1710"/>
      <c r="AQ42" s="1713" t="str">
        <f t="shared" si="0"/>
        <v/>
      </c>
      <c r="AS42" s="304" t="str">
        <f t="shared" si="1"/>
        <v>wci_corp</v>
      </c>
    </row>
    <row r="43" spans="2:45">
      <c r="B43" s="1708" t="s">
        <v>1393</v>
      </c>
      <c r="C43" s="1709">
        <v>44503</v>
      </c>
      <c r="D43" s="1672">
        <v>500</v>
      </c>
      <c r="E43" s="1672">
        <v>0</v>
      </c>
      <c r="F43" s="1673" t="s">
        <v>729</v>
      </c>
      <c r="G43" s="1709" t="s">
        <v>2579</v>
      </c>
      <c r="H43" s="1710" t="s">
        <v>730</v>
      </c>
      <c r="I43" s="1709" t="s">
        <v>1039</v>
      </c>
      <c r="J43" s="1709" t="s">
        <v>1042</v>
      </c>
      <c r="K43" s="1709" t="s">
        <v>732</v>
      </c>
      <c r="L43" s="1711" t="s">
        <v>2578</v>
      </c>
      <c r="M43" s="1711"/>
      <c r="N43" s="1711" t="s">
        <v>2526</v>
      </c>
      <c r="O43" s="1709">
        <v>44498</v>
      </c>
      <c r="P43" s="1712" t="s">
        <v>2527</v>
      </c>
      <c r="Q43" s="1711">
        <v>2022</v>
      </c>
      <c r="R43" s="1709" t="s">
        <v>2577</v>
      </c>
      <c r="S43" s="1709"/>
      <c r="T43" s="1709"/>
      <c r="U43" s="1709" t="s">
        <v>2576</v>
      </c>
      <c r="V43" s="1709" t="s">
        <v>2575</v>
      </c>
      <c r="W43" s="1709" t="s">
        <v>1287</v>
      </c>
      <c r="X43" s="1709">
        <v>44503</v>
      </c>
      <c r="Y43" s="1709">
        <v>44503</v>
      </c>
      <c r="Z43" s="1709">
        <v>500</v>
      </c>
      <c r="AA43" s="1709">
        <v>44508</v>
      </c>
      <c r="AB43" s="1709" t="s">
        <v>733</v>
      </c>
      <c r="AC43" s="1709">
        <v>0</v>
      </c>
      <c r="AD43" s="1709">
        <v>0</v>
      </c>
      <c r="AE43" s="1709">
        <v>0</v>
      </c>
      <c r="AF43" s="1709">
        <v>0</v>
      </c>
      <c r="AG43" s="1709">
        <v>0</v>
      </c>
      <c r="AH43" s="1709">
        <v>1</v>
      </c>
      <c r="AI43" s="1709">
        <v>70195</v>
      </c>
      <c r="AJ43" s="1709">
        <v>2195</v>
      </c>
      <c r="AK43" s="1709">
        <v>0</v>
      </c>
      <c r="AL43" s="1709">
        <v>0</v>
      </c>
      <c r="AM43" s="1709"/>
      <c r="AN43" s="1709"/>
      <c r="AO43" s="1710"/>
      <c r="AP43" s="1710"/>
      <c r="AQ43" s="1713" t="str">
        <f t="shared" si="0"/>
        <v>VO05984169</v>
      </c>
      <c r="AS43" s="304" t="str">
        <f t="shared" si="1"/>
        <v>wci_corp</v>
      </c>
    </row>
    <row r="44" spans="2:45">
      <c r="B44" s="1708" t="s">
        <v>1393</v>
      </c>
      <c r="C44" s="1709">
        <v>44530</v>
      </c>
      <c r="D44" s="1672">
        <v>-500</v>
      </c>
      <c r="E44" s="1672">
        <v>0</v>
      </c>
      <c r="F44" s="1673" t="s">
        <v>729</v>
      </c>
      <c r="G44" s="1709" t="s">
        <v>2279</v>
      </c>
      <c r="H44" s="1710" t="s">
        <v>730</v>
      </c>
      <c r="I44" s="1709" t="s">
        <v>2222</v>
      </c>
      <c r="J44" s="1709" t="s">
        <v>736</v>
      </c>
      <c r="K44" s="1709" t="s">
        <v>732</v>
      </c>
      <c r="L44" s="1711"/>
      <c r="M44" s="1711"/>
      <c r="N44" s="1711" t="s">
        <v>2527</v>
      </c>
      <c r="O44" s="1709"/>
      <c r="P44" s="1712"/>
      <c r="Q44" s="1711"/>
      <c r="R44" s="1709"/>
      <c r="S44" s="1709"/>
      <c r="T44" s="1709"/>
      <c r="U44" s="1709" t="s">
        <v>2278</v>
      </c>
      <c r="V44" s="1709" t="s">
        <v>2277</v>
      </c>
      <c r="W44" s="1709"/>
      <c r="X44" s="1709">
        <v>44505</v>
      </c>
      <c r="Y44" s="1709">
        <v>44505</v>
      </c>
      <c r="Z44" s="1709"/>
      <c r="AA44" s="1709"/>
      <c r="AB44" s="1709" t="s">
        <v>733</v>
      </c>
      <c r="AC44" s="1709">
        <v>0</v>
      </c>
      <c r="AD44" s="1709">
        <v>0</v>
      </c>
      <c r="AE44" s="1709">
        <v>0</v>
      </c>
      <c r="AF44" s="1709">
        <v>0</v>
      </c>
      <c r="AG44" s="1709">
        <v>5</v>
      </c>
      <c r="AH44" s="1709">
        <v>1</v>
      </c>
      <c r="AI44" s="1709">
        <v>70195</v>
      </c>
      <c r="AJ44" s="1709">
        <v>2195</v>
      </c>
      <c r="AK44" s="1709">
        <v>0</v>
      </c>
      <c r="AL44" s="1709">
        <v>0</v>
      </c>
      <c r="AM44" s="1709"/>
      <c r="AN44" s="1709"/>
      <c r="AO44" s="1710"/>
      <c r="AP44" s="1710"/>
      <c r="AQ44" s="1713" t="str">
        <f t="shared" si="0"/>
        <v/>
      </c>
      <c r="AS44" s="304" t="str">
        <f t="shared" si="1"/>
        <v>wci_corp</v>
      </c>
    </row>
    <row r="45" spans="2:45">
      <c r="B45" s="1708" t="s">
        <v>1393</v>
      </c>
      <c r="C45" s="1709">
        <v>44537</v>
      </c>
      <c r="D45" s="1672">
        <v>442.1</v>
      </c>
      <c r="E45" s="1672">
        <v>0</v>
      </c>
      <c r="F45" s="1673" t="s">
        <v>729</v>
      </c>
      <c r="G45" s="1709" t="s">
        <v>2574</v>
      </c>
      <c r="H45" s="1710" t="s">
        <v>730</v>
      </c>
      <c r="I45" s="1709" t="s">
        <v>1039</v>
      </c>
      <c r="J45" s="1709" t="s">
        <v>1038</v>
      </c>
      <c r="K45" s="1709" t="s">
        <v>732</v>
      </c>
      <c r="L45" s="1711" t="s">
        <v>1047</v>
      </c>
      <c r="M45" s="1711"/>
      <c r="N45" s="1711" t="s">
        <v>1045</v>
      </c>
      <c r="O45" s="1709">
        <v>44531</v>
      </c>
      <c r="P45" s="1712" t="s">
        <v>2573</v>
      </c>
      <c r="Q45" s="1711">
        <v>16346</v>
      </c>
      <c r="R45" s="1709" t="s">
        <v>2572</v>
      </c>
      <c r="S45" s="1709"/>
      <c r="T45" s="1709"/>
      <c r="U45" s="1709" t="s">
        <v>2571</v>
      </c>
      <c r="V45" s="1709" t="s">
        <v>2570</v>
      </c>
      <c r="W45" s="1709">
        <v>2000</v>
      </c>
      <c r="X45" s="1709">
        <v>44537</v>
      </c>
      <c r="Y45" s="1709">
        <v>44537</v>
      </c>
      <c r="Z45" s="1709">
        <v>9180</v>
      </c>
      <c r="AA45" s="1709">
        <v>44566</v>
      </c>
      <c r="AB45" s="1709" t="s">
        <v>733</v>
      </c>
      <c r="AC45" s="1709">
        <v>0</v>
      </c>
      <c r="AD45" s="1709">
        <v>0</v>
      </c>
      <c r="AE45" s="1709">
        <v>0</v>
      </c>
      <c r="AF45" s="1709">
        <v>0</v>
      </c>
      <c r="AG45" s="1709">
        <v>0</v>
      </c>
      <c r="AH45" s="1709">
        <v>1</v>
      </c>
      <c r="AI45" s="1709">
        <v>70195</v>
      </c>
      <c r="AJ45" s="1709">
        <v>2195</v>
      </c>
      <c r="AK45" s="1709">
        <v>0</v>
      </c>
      <c r="AL45" s="1709">
        <v>0</v>
      </c>
      <c r="AM45" s="1709"/>
      <c r="AN45" s="1709"/>
      <c r="AO45" s="1710"/>
      <c r="AP45" s="1710"/>
      <c r="AQ45" s="1713" t="str">
        <f t="shared" si="0"/>
        <v>VO06023651</v>
      </c>
      <c r="AS45" s="304" t="str">
        <f t="shared" si="1"/>
        <v>wci_corp</v>
      </c>
    </row>
    <row r="46" spans="2:45">
      <c r="B46" s="1708" t="s">
        <v>1393</v>
      </c>
      <c r="C46" s="1709">
        <v>44544</v>
      </c>
      <c r="D46" s="1672">
        <v>200</v>
      </c>
      <c r="E46" s="1672">
        <v>0</v>
      </c>
      <c r="F46" s="1673" t="s">
        <v>729</v>
      </c>
      <c r="G46" s="1709" t="s">
        <v>2569</v>
      </c>
      <c r="H46" s="1710" t="s">
        <v>730</v>
      </c>
      <c r="I46" s="1709" t="s">
        <v>1039</v>
      </c>
      <c r="J46" s="1709" t="s">
        <v>1040</v>
      </c>
      <c r="K46" s="1709" t="s">
        <v>732</v>
      </c>
      <c r="L46" s="1711" t="s">
        <v>1394</v>
      </c>
      <c r="M46" s="1711"/>
      <c r="N46" s="1711" t="s">
        <v>1395</v>
      </c>
      <c r="O46" s="1709">
        <v>44539</v>
      </c>
      <c r="P46" s="1712" t="s">
        <v>2568</v>
      </c>
      <c r="Q46" s="1711" t="s">
        <v>2568</v>
      </c>
      <c r="R46" s="1709" t="s">
        <v>2567</v>
      </c>
      <c r="S46" s="1709"/>
      <c r="T46" s="1709"/>
      <c r="U46" s="1709" t="s">
        <v>2566</v>
      </c>
      <c r="V46" s="1709" t="s">
        <v>2565</v>
      </c>
      <c r="W46" s="1709" t="s">
        <v>1287</v>
      </c>
      <c r="X46" s="1709">
        <v>44544</v>
      </c>
      <c r="Y46" s="1709">
        <v>44544</v>
      </c>
      <c r="Z46" s="1709">
        <v>200</v>
      </c>
      <c r="AA46" s="1709">
        <v>44540</v>
      </c>
      <c r="AB46" s="1709" t="s">
        <v>733</v>
      </c>
      <c r="AC46" s="1709">
        <v>0</v>
      </c>
      <c r="AD46" s="1709">
        <v>0</v>
      </c>
      <c r="AE46" s="1709">
        <v>0</v>
      </c>
      <c r="AF46" s="1709">
        <v>0</v>
      </c>
      <c r="AG46" s="1709">
        <v>0</v>
      </c>
      <c r="AH46" s="1709">
        <v>1</v>
      </c>
      <c r="AI46" s="1709">
        <v>70195</v>
      </c>
      <c r="AJ46" s="1709">
        <v>2195</v>
      </c>
      <c r="AK46" s="1709">
        <v>0</v>
      </c>
      <c r="AL46" s="1709">
        <v>0</v>
      </c>
      <c r="AM46" s="1709"/>
      <c r="AN46" s="1709"/>
      <c r="AO46" s="1710"/>
      <c r="AP46" s="1710"/>
      <c r="AQ46" s="1713" t="str">
        <f t="shared" si="0"/>
        <v>VO06031788</v>
      </c>
      <c r="AS46" s="304" t="str">
        <f t="shared" si="1"/>
        <v>wci_corp</v>
      </c>
    </row>
    <row r="47" spans="2:45">
      <c r="B47" s="1708" t="s">
        <v>1393</v>
      </c>
      <c r="C47" s="1709">
        <v>44561</v>
      </c>
      <c r="D47" s="1672">
        <v>10</v>
      </c>
      <c r="E47" s="1672">
        <v>0</v>
      </c>
      <c r="F47" s="1673" t="s">
        <v>729</v>
      </c>
      <c r="G47" s="1709" t="s">
        <v>2564</v>
      </c>
      <c r="H47" s="1710" t="s">
        <v>730</v>
      </c>
      <c r="I47" s="1709" t="s">
        <v>2563</v>
      </c>
      <c r="J47" s="1709" t="s">
        <v>2106</v>
      </c>
      <c r="K47" s="1709" t="s">
        <v>732</v>
      </c>
      <c r="L47" s="1711"/>
      <c r="M47" s="1711"/>
      <c r="N47" s="1711" t="s">
        <v>2525</v>
      </c>
      <c r="O47" s="1709"/>
      <c r="P47" s="1712"/>
      <c r="Q47" s="1711"/>
      <c r="R47" s="1709"/>
      <c r="S47" s="1709"/>
      <c r="T47" s="1709"/>
      <c r="U47" s="1709" t="s">
        <v>2562</v>
      </c>
      <c r="V47" s="1709" t="s">
        <v>2562</v>
      </c>
      <c r="W47" s="1709"/>
      <c r="X47" s="1709">
        <v>44565</v>
      </c>
      <c r="Y47" s="1709">
        <v>44565</v>
      </c>
      <c r="Z47" s="1709"/>
      <c r="AA47" s="1709"/>
      <c r="AB47" s="1709" t="s">
        <v>733</v>
      </c>
      <c r="AC47" s="1709">
        <v>0</v>
      </c>
      <c r="AD47" s="1709">
        <v>0</v>
      </c>
      <c r="AE47" s="1709">
        <v>0</v>
      </c>
      <c r="AF47" s="1709">
        <v>0</v>
      </c>
      <c r="AG47" s="1709">
        <v>0</v>
      </c>
      <c r="AH47" s="1709">
        <v>1</v>
      </c>
      <c r="AI47" s="1709">
        <v>70195</v>
      </c>
      <c r="AJ47" s="1709">
        <v>2195</v>
      </c>
      <c r="AK47" s="1709">
        <v>0</v>
      </c>
      <c r="AL47" s="1709">
        <v>0</v>
      </c>
      <c r="AM47" s="1709"/>
      <c r="AN47" s="1709"/>
      <c r="AO47" s="1710"/>
      <c r="AP47" s="1710"/>
      <c r="AQ47" s="1713" t="str">
        <f t="shared" si="0"/>
        <v/>
      </c>
      <c r="AS47" s="304" t="str">
        <f t="shared" si="1"/>
        <v>wci_corp</v>
      </c>
    </row>
    <row r="48" spans="2:45">
      <c r="B48" s="1708" t="s">
        <v>1393</v>
      </c>
      <c r="C48" s="1709">
        <v>44561</v>
      </c>
      <c r="D48" s="1672">
        <v>442.1</v>
      </c>
      <c r="E48" s="1672">
        <v>0</v>
      </c>
      <c r="F48" s="1673" t="s">
        <v>729</v>
      </c>
      <c r="G48" s="1709" t="s">
        <v>2561</v>
      </c>
      <c r="H48" s="1710" t="s">
        <v>730</v>
      </c>
      <c r="I48" s="1709" t="s">
        <v>2550</v>
      </c>
      <c r="J48" s="1709" t="s">
        <v>735</v>
      </c>
      <c r="K48" s="1709" t="s">
        <v>732</v>
      </c>
      <c r="L48" s="1711"/>
      <c r="M48" s="1711"/>
      <c r="N48" s="1711" t="s">
        <v>1046</v>
      </c>
      <c r="O48" s="1709"/>
      <c r="P48" s="1712"/>
      <c r="Q48" s="1711"/>
      <c r="R48" s="1709"/>
      <c r="S48" s="1709"/>
      <c r="T48" s="1709"/>
      <c r="U48" s="1709" t="s">
        <v>2549</v>
      </c>
      <c r="V48" s="1709" t="s">
        <v>2549</v>
      </c>
      <c r="W48" s="1709"/>
      <c r="X48" s="1709">
        <v>44567</v>
      </c>
      <c r="Y48" s="1709">
        <v>44567</v>
      </c>
      <c r="Z48" s="1709"/>
      <c r="AA48" s="1709"/>
      <c r="AB48" s="1709" t="s">
        <v>733</v>
      </c>
      <c r="AC48" s="1709">
        <v>0</v>
      </c>
      <c r="AD48" s="1709">
        <v>0</v>
      </c>
      <c r="AE48" s="1709">
        <v>0</v>
      </c>
      <c r="AF48" s="1709">
        <v>0</v>
      </c>
      <c r="AG48" s="1709">
        <v>0</v>
      </c>
      <c r="AH48" s="1709">
        <v>1</v>
      </c>
      <c r="AI48" s="1709">
        <v>70195</v>
      </c>
      <c r="AJ48" s="1709">
        <v>2195</v>
      </c>
      <c r="AK48" s="1709">
        <v>0</v>
      </c>
      <c r="AL48" s="1709">
        <v>0</v>
      </c>
      <c r="AM48" s="1709"/>
      <c r="AN48" s="1709"/>
      <c r="AO48" s="1710"/>
      <c r="AP48" s="1710"/>
      <c r="AQ48" s="1713" t="str">
        <f t="shared" si="0"/>
        <v/>
      </c>
      <c r="AS48" s="304" t="str">
        <f t="shared" si="1"/>
        <v>wci_corp</v>
      </c>
    </row>
    <row r="49" spans="2:45">
      <c r="B49" s="1708" t="s">
        <v>1393</v>
      </c>
      <c r="C49" s="1709">
        <v>44572</v>
      </c>
      <c r="D49" s="1672">
        <v>442.1</v>
      </c>
      <c r="E49" s="1672">
        <v>0</v>
      </c>
      <c r="F49" s="1673" t="s">
        <v>729</v>
      </c>
      <c r="G49" s="1709" t="s">
        <v>2560</v>
      </c>
      <c r="H49" s="1710" t="s">
        <v>730</v>
      </c>
      <c r="I49" s="1709" t="s">
        <v>1039</v>
      </c>
      <c r="J49" s="1709" t="s">
        <v>1042</v>
      </c>
      <c r="K49" s="1709" t="s">
        <v>732</v>
      </c>
      <c r="L49" s="1711" t="s">
        <v>1047</v>
      </c>
      <c r="M49" s="1711"/>
      <c r="N49" s="1711" t="s">
        <v>1045</v>
      </c>
      <c r="O49" s="1709">
        <v>44501</v>
      </c>
      <c r="P49" s="1712" t="s">
        <v>1046</v>
      </c>
      <c r="Q49" s="1711">
        <v>16305</v>
      </c>
      <c r="R49" s="1709" t="s">
        <v>2559</v>
      </c>
      <c r="S49" s="1709"/>
      <c r="T49" s="1709"/>
      <c r="U49" s="1709" t="s">
        <v>2558</v>
      </c>
      <c r="V49" s="1709" t="s">
        <v>2557</v>
      </c>
      <c r="W49" s="1709">
        <v>2000</v>
      </c>
      <c r="X49" s="1709">
        <v>44572</v>
      </c>
      <c r="Y49" s="1709">
        <v>44574</v>
      </c>
      <c r="Z49" s="1709">
        <v>9180</v>
      </c>
      <c r="AA49" s="1709">
        <v>44536</v>
      </c>
      <c r="AB49" s="1709" t="s">
        <v>733</v>
      </c>
      <c r="AC49" s="1709">
        <v>0</v>
      </c>
      <c r="AD49" s="1709">
        <v>0</v>
      </c>
      <c r="AE49" s="1709">
        <v>0</v>
      </c>
      <c r="AF49" s="1709">
        <v>0</v>
      </c>
      <c r="AG49" s="1709">
        <v>0</v>
      </c>
      <c r="AH49" s="1709">
        <v>1</v>
      </c>
      <c r="AI49" s="1709">
        <v>70195</v>
      </c>
      <c r="AJ49" s="1709">
        <v>2195</v>
      </c>
      <c r="AK49" s="1709">
        <v>0</v>
      </c>
      <c r="AL49" s="1709">
        <v>0</v>
      </c>
      <c r="AM49" s="1709"/>
      <c r="AN49" s="1709"/>
      <c r="AO49" s="1710"/>
      <c r="AP49" s="1710"/>
      <c r="AQ49" s="1713" t="str">
        <f t="shared" si="0"/>
        <v>VO06067403</v>
      </c>
      <c r="AS49" s="304" t="str">
        <f t="shared" si="1"/>
        <v>wci_corp</v>
      </c>
    </row>
    <row r="50" spans="2:45">
      <c r="B50" s="1708" t="s">
        <v>1393</v>
      </c>
      <c r="C50" s="1709">
        <v>44574</v>
      </c>
      <c r="D50" s="1672">
        <v>463.57</v>
      </c>
      <c r="E50" s="1672">
        <v>0</v>
      </c>
      <c r="F50" s="1673" t="s">
        <v>729</v>
      </c>
      <c r="G50" s="1709" t="s">
        <v>2556</v>
      </c>
      <c r="H50" s="1710" t="s">
        <v>730</v>
      </c>
      <c r="I50" s="1709" t="s">
        <v>1039</v>
      </c>
      <c r="J50" s="1709" t="s">
        <v>1042</v>
      </c>
      <c r="K50" s="1709" t="s">
        <v>732</v>
      </c>
      <c r="L50" s="1711" t="s">
        <v>1047</v>
      </c>
      <c r="M50" s="1711"/>
      <c r="N50" s="1711" t="s">
        <v>1045</v>
      </c>
      <c r="O50" s="1709">
        <v>44562</v>
      </c>
      <c r="P50" s="1712" t="s">
        <v>2555</v>
      </c>
      <c r="Q50" s="1711">
        <v>16442</v>
      </c>
      <c r="R50" s="1709" t="s">
        <v>2554</v>
      </c>
      <c r="S50" s="1709"/>
      <c r="T50" s="1709"/>
      <c r="U50" s="1709" t="s">
        <v>2553</v>
      </c>
      <c r="V50" s="1709" t="s">
        <v>2552</v>
      </c>
      <c r="W50" s="1709">
        <v>2000</v>
      </c>
      <c r="X50" s="1709">
        <v>44574</v>
      </c>
      <c r="Y50" s="1709">
        <v>44574</v>
      </c>
      <c r="Z50" s="1709">
        <v>9090</v>
      </c>
      <c r="AA50" s="1709">
        <v>44597</v>
      </c>
      <c r="AB50" s="1709" t="s">
        <v>733</v>
      </c>
      <c r="AC50" s="1709">
        <v>0</v>
      </c>
      <c r="AD50" s="1709">
        <v>0</v>
      </c>
      <c r="AE50" s="1709">
        <v>0</v>
      </c>
      <c r="AF50" s="1709">
        <v>0</v>
      </c>
      <c r="AG50" s="1709">
        <v>0</v>
      </c>
      <c r="AH50" s="1709">
        <v>1</v>
      </c>
      <c r="AI50" s="1709">
        <v>70195</v>
      </c>
      <c r="AJ50" s="1709">
        <v>2195</v>
      </c>
      <c r="AK50" s="1709">
        <v>0</v>
      </c>
      <c r="AL50" s="1709">
        <v>0</v>
      </c>
      <c r="AM50" s="1709"/>
      <c r="AN50" s="1709"/>
      <c r="AO50" s="1710"/>
      <c r="AP50" s="1710"/>
      <c r="AQ50" s="1713" t="str">
        <f t="shared" si="0"/>
        <v>VO06069900</v>
      </c>
      <c r="AS50" s="304" t="str">
        <f t="shared" si="1"/>
        <v>wci_corp</v>
      </c>
    </row>
    <row r="51" spans="2:45">
      <c r="B51" s="1708" t="s">
        <v>1393</v>
      </c>
      <c r="C51" s="1709">
        <v>44592</v>
      </c>
      <c r="D51" s="1672">
        <v>-442.1</v>
      </c>
      <c r="E51" s="1672">
        <v>0</v>
      </c>
      <c r="F51" s="1673" t="s">
        <v>729</v>
      </c>
      <c r="G51" s="1709" t="s">
        <v>2551</v>
      </c>
      <c r="H51" s="1710" t="s">
        <v>730</v>
      </c>
      <c r="I51" s="1709" t="s">
        <v>2550</v>
      </c>
      <c r="J51" s="1709" t="s">
        <v>735</v>
      </c>
      <c r="K51" s="1709" t="s">
        <v>732</v>
      </c>
      <c r="L51" s="1711"/>
      <c r="M51" s="1711"/>
      <c r="N51" s="1711" t="s">
        <v>1046</v>
      </c>
      <c r="O51" s="1709"/>
      <c r="P51" s="1712"/>
      <c r="Q51" s="1711"/>
      <c r="R51" s="1709"/>
      <c r="S51" s="1709"/>
      <c r="T51" s="1709"/>
      <c r="U51" s="1709" t="s">
        <v>2549</v>
      </c>
      <c r="V51" s="1709" t="s">
        <v>2548</v>
      </c>
      <c r="W51" s="1709"/>
      <c r="X51" s="1709">
        <v>44567</v>
      </c>
      <c r="Y51" s="1709">
        <v>44567</v>
      </c>
      <c r="Z51" s="1709"/>
      <c r="AA51" s="1709"/>
      <c r="AB51" s="1709" t="s">
        <v>733</v>
      </c>
      <c r="AC51" s="1709">
        <v>0</v>
      </c>
      <c r="AD51" s="1709">
        <v>0</v>
      </c>
      <c r="AE51" s="1709">
        <v>0</v>
      </c>
      <c r="AF51" s="1709">
        <v>0</v>
      </c>
      <c r="AG51" s="1709">
        <v>5</v>
      </c>
      <c r="AH51" s="1709">
        <v>1</v>
      </c>
      <c r="AI51" s="1709">
        <v>70195</v>
      </c>
      <c r="AJ51" s="1709">
        <v>2195</v>
      </c>
      <c r="AK51" s="1709">
        <v>0</v>
      </c>
      <c r="AL51" s="1709">
        <v>0</v>
      </c>
      <c r="AM51" s="1709"/>
      <c r="AN51" s="1709"/>
      <c r="AO51" s="1710"/>
      <c r="AP51" s="1710"/>
      <c r="AQ51" s="1713" t="str">
        <f t="shared" si="0"/>
        <v/>
      </c>
      <c r="AS51" s="304" t="str">
        <f t="shared" si="1"/>
        <v>wci_corp</v>
      </c>
    </row>
    <row r="52" spans="2:45">
      <c r="B52" s="1708" t="s">
        <v>1393</v>
      </c>
      <c r="C52" s="1709">
        <v>44595</v>
      </c>
      <c r="D52" s="1672">
        <v>463.57</v>
      </c>
      <c r="E52" s="1672">
        <v>0</v>
      </c>
      <c r="F52" s="1673" t="s">
        <v>729</v>
      </c>
      <c r="G52" s="1709" t="s">
        <v>2547</v>
      </c>
      <c r="H52" s="1710" t="s">
        <v>730</v>
      </c>
      <c r="I52" s="1709" t="s">
        <v>1039</v>
      </c>
      <c r="J52" s="1709" t="s">
        <v>1042</v>
      </c>
      <c r="K52" s="1709" t="s">
        <v>732</v>
      </c>
      <c r="L52" s="1711" t="s">
        <v>1047</v>
      </c>
      <c r="M52" s="1711"/>
      <c r="N52" s="1711" t="s">
        <v>1045</v>
      </c>
      <c r="O52" s="1709">
        <v>44593</v>
      </c>
      <c r="P52" s="1712" t="s">
        <v>2546</v>
      </c>
      <c r="Q52" s="1711">
        <v>16475</v>
      </c>
      <c r="R52" s="1709" t="s">
        <v>2545</v>
      </c>
      <c r="S52" s="1709"/>
      <c r="T52" s="1709"/>
      <c r="U52" s="1709" t="s">
        <v>2544</v>
      </c>
      <c r="V52" s="1709" t="s">
        <v>2543</v>
      </c>
      <c r="W52" s="1709">
        <v>2000</v>
      </c>
      <c r="X52" s="1709">
        <v>44595</v>
      </c>
      <c r="Y52" s="1709">
        <v>44595</v>
      </c>
      <c r="Z52" s="1709">
        <v>9090</v>
      </c>
      <c r="AA52" s="1709">
        <v>44628</v>
      </c>
      <c r="AB52" s="1709" t="s">
        <v>733</v>
      </c>
      <c r="AC52" s="1709">
        <v>0</v>
      </c>
      <c r="AD52" s="1709">
        <v>0</v>
      </c>
      <c r="AE52" s="1709">
        <v>0</v>
      </c>
      <c r="AF52" s="1709">
        <v>0</v>
      </c>
      <c r="AG52" s="1709">
        <v>0</v>
      </c>
      <c r="AH52" s="1709">
        <v>1</v>
      </c>
      <c r="AI52" s="1709">
        <v>70195</v>
      </c>
      <c r="AJ52" s="1709">
        <v>2195</v>
      </c>
      <c r="AK52" s="1709">
        <v>0</v>
      </c>
      <c r="AL52" s="1709">
        <v>0</v>
      </c>
      <c r="AM52" s="1709"/>
      <c r="AN52" s="1709"/>
      <c r="AO52" s="1710"/>
      <c r="AP52" s="1710"/>
      <c r="AQ52" s="1713" t="str">
        <f t="shared" si="0"/>
        <v>VO06096905</v>
      </c>
      <c r="AS52" s="304" t="str">
        <f t="shared" si="1"/>
        <v>wci_corp</v>
      </c>
    </row>
    <row r="53" spans="2:45">
      <c r="B53" s="1708" t="s">
        <v>1393</v>
      </c>
      <c r="C53" s="1709">
        <v>44623</v>
      </c>
      <c r="D53" s="1672">
        <v>463.57</v>
      </c>
      <c r="E53" s="1672">
        <v>0</v>
      </c>
      <c r="F53" s="1673" t="s">
        <v>729</v>
      </c>
      <c r="G53" s="1709" t="s">
        <v>2542</v>
      </c>
      <c r="H53" s="1710" t="s">
        <v>730</v>
      </c>
      <c r="I53" s="1709" t="s">
        <v>1039</v>
      </c>
      <c r="J53" s="1709" t="s">
        <v>1040</v>
      </c>
      <c r="K53" s="1709" t="s">
        <v>732</v>
      </c>
      <c r="L53" s="1711" t="s">
        <v>1047</v>
      </c>
      <c r="M53" s="1711"/>
      <c r="N53" s="1711" t="s">
        <v>1045</v>
      </c>
      <c r="O53" s="1709">
        <v>44621</v>
      </c>
      <c r="P53" s="1712" t="s">
        <v>2541</v>
      </c>
      <c r="Q53" s="1711">
        <v>16502</v>
      </c>
      <c r="R53" s="1709" t="s">
        <v>2540</v>
      </c>
      <c r="S53" s="1709"/>
      <c r="T53" s="1709"/>
      <c r="U53" s="1709" t="s">
        <v>2539</v>
      </c>
      <c r="V53" s="1709" t="s">
        <v>2538</v>
      </c>
      <c r="W53" s="1709">
        <v>2000</v>
      </c>
      <c r="X53" s="1709">
        <v>44623</v>
      </c>
      <c r="Y53" s="1709">
        <v>44623</v>
      </c>
      <c r="Z53" s="1709">
        <v>9090</v>
      </c>
      <c r="AA53" s="1709">
        <v>44656</v>
      </c>
      <c r="AB53" s="1709" t="s">
        <v>733</v>
      </c>
      <c r="AC53" s="1709">
        <v>0</v>
      </c>
      <c r="AD53" s="1709">
        <v>0</v>
      </c>
      <c r="AE53" s="1709">
        <v>0</v>
      </c>
      <c r="AF53" s="1709">
        <v>0</v>
      </c>
      <c r="AG53" s="1709">
        <v>0</v>
      </c>
      <c r="AH53" s="1709">
        <v>1</v>
      </c>
      <c r="AI53" s="1709">
        <v>70195</v>
      </c>
      <c r="AJ53" s="1709">
        <v>2195</v>
      </c>
      <c r="AK53" s="1709">
        <v>0</v>
      </c>
      <c r="AL53" s="1709">
        <v>0</v>
      </c>
      <c r="AM53" s="1709"/>
      <c r="AN53" s="1709"/>
      <c r="AO53" s="1710"/>
      <c r="AP53" s="1710"/>
      <c r="AQ53" s="1713" t="str">
        <f t="shared" si="0"/>
        <v>VO06130182</v>
      </c>
      <c r="AS53" s="304" t="str">
        <f t="shared" si="1"/>
        <v>wci_corp</v>
      </c>
    </row>
    <row r="54" spans="2:45">
      <c r="B54" s="1708" t="s">
        <v>1393</v>
      </c>
      <c r="C54" s="1709">
        <v>44651</v>
      </c>
      <c r="D54" s="1672">
        <v>200</v>
      </c>
      <c r="E54" s="1672">
        <v>0</v>
      </c>
      <c r="F54" s="1673" t="s">
        <v>729</v>
      </c>
      <c r="G54" s="1709" t="s">
        <v>2537</v>
      </c>
      <c r="H54" s="1710" t="s">
        <v>730</v>
      </c>
      <c r="I54" s="1709" t="s">
        <v>2536</v>
      </c>
      <c r="J54" s="1709" t="s">
        <v>2192</v>
      </c>
      <c r="K54" s="1709" t="s">
        <v>732</v>
      </c>
      <c r="L54" s="1711"/>
      <c r="M54" s="1711"/>
      <c r="N54" s="1711" t="s">
        <v>2524</v>
      </c>
      <c r="O54" s="1709"/>
      <c r="P54" s="1712"/>
      <c r="Q54" s="1711"/>
      <c r="R54" s="1709"/>
      <c r="S54" s="1709"/>
      <c r="T54" s="1709"/>
      <c r="U54" s="1709" t="s">
        <v>2535</v>
      </c>
      <c r="V54" s="1709" t="s">
        <v>2535</v>
      </c>
      <c r="W54" s="1709"/>
      <c r="X54" s="1709">
        <v>44655</v>
      </c>
      <c r="Y54" s="1709">
        <v>44655</v>
      </c>
      <c r="Z54" s="1709"/>
      <c r="AA54" s="1709"/>
      <c r="AB54" s="1709" t="s">
        <v>733</v>
      </c>
      <c r="AC54" s="1709">
        <v>0</v>
      </c>
      <c r="AD54" s="1709">
        <v>0</v>
      </c>
      <c r="AE54" s="1709">
        <v>0</v>
      </c>
      <c r="AF54" s="1709">
        <v>0</v>
      </c>
      <c r="AG54" s="1709">
        <v>0</v>
      </c>
      <c r="AH54" s="1709">
        <v>1</v>
      </c>
      <c r="AI54" s="1709">
        <v>70195</v>
      </c>
      <c r="AJ54" s="1709">
        <v>2195</v>
      </c>
      <c r="AK54" s="1709">
        <v>0</v>
      </c>
      <c r="AL54" s="1709">
        <v>0</v>
      </c>
      <c r="AM54" s="1709"/>
      <c r="AN54" s="1709"/>
      <c r="AO54" s="1710"/>
      <c r="AP54" s="1710"/>
      <c r="AQ54" s="1713" t="str">
        <f t="shared" si="0"/>
        <v/>
      </c>
      <c r="AS54" s="304" t="str">
        <f t="shared" si="1"/>
        <v>wci_corp</v>
      </c>
    </row>
    <row r="55" spans="2:45" ht="13.5" thickBot="1">
      <c r="B55" s="1714"/>
      <c r="C55" s="1715"/>
      <c r="D55" s="1716"/>
      <c r="E55" s="1716"/>
      <c r="F55" s="1716"/>
      <c r="G55" s="1715"/>
      <c r="H55" s="1717"/>
      <c r="I55" s="1715"/>
      <c r="J55" s="1715"/>
      <c r="K55" s="1715"/>
      <c r="L55" s="1715"/>
      <c r="M55" s="1715"/>
      <c r="N55" s="1715"/>
      <c r="O55" s="1715"/>
      <c r="P55" s="1718"/>
      <c r="Q55" s="1715"/>
      <c r="R55" s="1715"/>
      <c r="S55" s="1715"/>
      <c r="T55" s="1715"/>
      <c r="U55" s="1715"/>
      <c r="V55" s="1715"/>
      <c r="W55" s="1715"/>
      <c r="X55" s="1715"/>
      <c r="Y55" s="1715"/>
      <c r="Z55" s="1715"/>
      <c r="AA55" s="1715"/>
      <c r="AB55" s="1715"/>
      <c r="AC55" s="1715"/>
      <c r="AD55" s="1715"/>
      <c r="AE55" s="1715"/>
      <c r="AF55" s="1715"/>
      <c r="AG55" s="1715"/>
      <c r="AH55" s="1715"/>
      <c r="AI55" s="1715"/>
      <c r="AJ55" s="1715"/>
      <c r="AK55" s="1715"/>
      <c r="AL55" s="1715"/>
      <c r="AM55" s="1715"/>
      <c r="AN55" s="1715"/>
      <c r="AO55" s="1715"/>
      <c r="AP55" s="1715"/>
      <c r="AQ55" s="1718"/>
    </row>
    <row r="56" spans="2:45" ht="13.5" thickTop="1">
      <c r="B56" s="338" t="s">
        <v>738</v>
      </c>
      <c r="C56" s="338"/>
      <c r="D56" s="859"/>
      <c r="E56" s="859"/>
      <c r="F56" s="859"/>
      <c r="G56" s="338"/>
      <c r="H56" s="873"/>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row>
    <row r="57" spans="2:45">
      <c r="D57" s="859"/>
      <c r="E57" s="859"/>
      <c r="F57" s="859"/>
      <c r="H57" s="334"/>
    </row>
    <row r="58" spans="2:45" ht="13.5" thickBot="1">
      <c r="B58" s="391"/>
      <c r="H58" s="334"/>
    </row>
    <row r="59" spans="2:45" ht="13.5" thickTop="1">
      <c r="B59" s="1654" t="s">
        <v>739</v>
      </c>
      <c r="C59" s="1719" t="s">
        <v>740</v>
      </c>
      <c r="D59" s="1720" t="s">
        <v>1412</v>
      </c>
      <c r="E59" s="1684"/>
    </row>
    <row r="60" spans="2:45">
      <c r="B60" s="1686" t="s">
        <v>1045</v>
      </c>
      <c r="C60" s="1721">
        <v>5369.6099999999988</v>
      </c>
      <c r="D60" s="1721">
        <v>5369.6099999999988</v>
      </c>
      <c r="E60" s="1722" t="s">
        <v>2523</v>
      </c>
    </row>
    <row r="61" spans="2:45">
      <c r="B61" s="1686" t="s">
        <v>2534</v>
      </c>
      <c r="C61" s="1721">
        <v>25</v>
      </c>
      <c r="D61" s="1721">
        <v>25</v>
      </c>
      <c r="E61" s="1685"/>
    </row>
    <row r="62" spans="2:45">
      <c r="B62" s="1686" t="s">
        <v>2533</v>
      </c>
      <c r="C62" s="1721">
        <v>499</v>
      </c>
      <c r="D62" s="1721">
        <v>499</v>
      </c>
      <c r="E62" s="1685" t="s">
        <v>741</v>
      </c>
    </row>
    <row r="63" spans="2:45">
      <c r="B63" s="1686" t="s">
        <v>2532</v>
      </c>
      <c r="C63" s="1721">
        <v>0</v>
      </c>
      <c r="D63" s="1721">
        <v>0</v>
      </c>
      <c r="E63" s="1685"/>
    </row>
    <row r="64" spans="2:45">
      <c r="B64" s="1686" t="s">
        <v>2531</v>
      </c>
      <c r="C64" s="1721">
        <v>0</v>
      </c>
      <c r="D64" s="1721">
        <v>0</v>
      </c>
      <c r="E64" s="1685"/>
    </row>
    <row r="65" spans="2:5">
      <c r="B65" s="1686" t="s">
        <v>1048</v>
      </c>
      <c r="C65" s="1721">
        <v>0</v>
      </c>
      <c r="D65" s="1721">
        <v>0</v>
      </c>
      <c r="E65" s="1685"/>
    </row>
    <row r="66" spans="2:5">
      <c r="B66" s="1686" t="s">
        <v>2530</v>
      </c>
      <c r="C66" s="1721">
        <v>0</v>
      </c>
      <c r="D66" s="1721">
        <v>0</v>
      </c>
      <c r="E66" s="1685"/>
    </row>
    <row r="67" spans="2:5">
      <c r="B67" s="1686" t="s">
        <v>2529</v>
      </c>
      <c r="C67" s="1721">
        <v>125</v>
      </c>
      <c r="D67" s="1721">
        <v>125</v>
      </c>
      <c r="E67" s="1685" t="s">
        <v>741</v>
      </c>
    </row>
    <row r="68" spans="2:5">
      <c r="B68" s="1686" t="s">
        <v>1397</v>
      </c>
      <c r="C68" s="1721">
        <v>500</v>
      </c>
      <c r="D68" s="1721">
        <v>500</v>
      </c>
      <c r="E68" s="1685" t="s">
        <v>741</v>
      </c>
    </row>
    <row r="69" spans="2:5">
      <c r="B69" s="1686" t="s">
        <v>2528</v>
      </c>
      <c r="C69" s="1721">
        <v>331</v>
      </c>
      <c r="D69" s="1721">
        <v>331</v>
      </c>
      <c r="E69" s="1685"/>
    </row>
    <row r="70" spans="2:5">
      <c r="B70" s="1686" t="s">
        <v>2527</v>
      </c>
      <c r="C70" s="1721">
        <v>0</v>
      </c>
      <c r="D70" s="1721">
        <v>0</v>
      </c>
      <c r="E70" s="1685"/>
    </row>
    <row r="71" spans="2:5">
      <c r="B71" s="1686" t="s">
        <v>2526</v>
      </c>
      <c r="C71" s="1721">
        <v>500</v>
      </c>
      <c r="D71" s="1721">
        <v>500</v>
      </c>
      <c r="E71" s="1685" t="s">
        <v>741</v>
      </c>
    </row>
    <row r="72" spans="2:5">
      <c r="B72" s="1686" t="s">
        <v>1395</v>
      </c>
      <c r="C72" s="1721">
        <v>200</v>
      </c>
      <c r="D72" s="1721">
        <v>200</v>
      </c>
      <c r="E72" s="1685" t="s">
        <v>741</v>
      </c>
    </row>
    <row r="73" spans="2:5">
      <c r="B73" s="1686" t="s">
        <v>2525</v>
      </c>
      <c r="C73" s="1721">
        <v>10</v>
      </c>
      <c r="D73" s="1721">
        <v>10</v>
      </c>
      <c r="E73" s="1685"/>
    </row>
    <row r="74" spans="2:5">
      <c r="B74" s="1686" t="s">
        <v>1046</v>
      </c>
      <c r="C74" s="1721">
        <v>0</v>
      </c>
      <c r="D74" s="1721">
        <v>0</v>
      </c>
      <c r="E74" s="1685"/>
    </row>
    <row r="75" spans="2:5">
      <c r="B75" s="1686" t="s">
        <v>2524</v>
      </c>
      <c r="C75" s="1721">
        <v>200</v>
      </c>
      <c r="D75" s="1721">
        <v>200</v>
      </c>
      <c r="E75" s="1685"/>
    </row>
    <row r="76" spans="2:5">
      <c r="B76" s="1686" t="s">
        <v>742</v>
      </c>
      <c r="C76" s="1721">
        <v>7759.6099999999988</v>
      </c>
      <c r="D76" s="1723">
        <v>7759.6099999999988</v>
      </c>
      <c r="E76" s="1685"/>
    </row>
    <row r="77" spans="2:5">
      <c r="B77" s="1686"/>
      <c r="C77" s="1721"/>
      <c r="D77" s="1721"/>
      <c r="E77" s="1685"/>
    </row>
    <row r="78" spans="2:5" ht="15">
      <c r="B78" s="1724" t="s">
        <v>2523</v>
      </c>
      <c r="C78" s="1725" t="s">
        <v>1044</v>
      </c>
      <c r="D78" s="1694">
        <f>+SUMIF($E$60:$E$75,B78,$D$60:$D$75)</f>
        <v>5369.6099999999988</v>
      </c>
      <c r="E78" s="1685"/>
    </row>
    <row r="79" spans="2:5" ht="15">
      <c r="B79" s="1656"/>
      <c r="C79" s="1725" t="s">
        <v>1043</v>
      </c>
      <c r="D79" s="1694">
        <f>+D78*0.1133</f>
        <v>608.37681299999986</v>
      </c>
      <c r="E79" s="1685"/>
    </row>
    <row r="80" spans="2:5" ht="15">
      <c r="B80" s="1656"/>
      <c r="C80" s="1725" t="s">
        <v>1399</v>
      </c>
      <c r="D80" s="1726">
        <f>+SUMIF($E$60:$E$75,"x",$D$60:$D$75)</f>
        <v>1824</v>
      </c>
      <c r="E80" s="1685"/>
    </row>
    <row r="81" spans="2:5">
      <c r="B81" s="1656"/>
      <c r="C81" s="1657"/>
      <c r="D81" s="1721">
        <f>+D79+D80</f>
        <v>2432.3768129999999</v>
      </c>
      <c r="E81" s="1685"/>
    </row>
    <row r="82" spans="2:5" ht="13.5" thickBot="1">
      <c r="B82" s="1658"/>
      <c r="C82" s="1659"/>
      <c r="D82" s="1659"/>
      <c r="E82" s="1661"/>
    </row>
    <row r="83" spans="2:5" ht="13.5" thickTop="1"/>
  </sheetData>
  <autoFilter ref="B19:AQ19" xr:uid="{00000000-0009-0000-0000-000017000000}"/>
  <dataValidations disablePrompts="1" count="1">
    <dataValidation type="list" allowBlank="1" showInputMessage="1" showErrorMessage="1" sqref="P15" xr:uid="{00000000-0002-0000-1700-000000000000}">
      <formula1>"All,Posted/Unposted,Posted,Unposted,Staged"</formula1>
    </dataValidation>
  </dataValidations>
  <pageMargins left="0.27" right="0.28999999999999998" top="0.37" bottom="0.43" header="0.25" footer="0.25"/>
  <pageSetup scale="33" fitToHeight="0" orientation="landscape" r:id="rId2"/>
  <headerFooter alignWithMargins="0">
    <oddHeader>&amp;L&amp;8 &amp;C&amp;"-,Bold"&amp;16&amp;KFF0000TEXT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pageSetUpPr fitToPage="1"/>
  </sheetPr>
  <dimension ref="A1:AS131"/>
  <sheetViews>
    <sheetView showGridLines="0" view="pageBreakPreview" topLeftCell="A60" zoomScale="60" zoomScaleNormal="80" workbookViewId="0">
      <selection activeCell="B20" sqref="B20:AQ130"/>
    </sheetView>
  </sheetViews>
  <sheetFormatPr defaultColWidth="9.140625" defaultRowHeight="12.75" outlineLevelRow="1"/>
  <cols>
    <col min="1" max="1" width="2.7109375" style="304" customWidth="1"/>
    <col min="2" max="2" width="43.85546875" style="304" bestFit="1" customWidth="1"/>
    <col min="3" max="3" width="22.7109375" style="304" bestFit="1" customWidth="1"/>
    <col min="4" max="4" width="18.7109375" style="304" customWidth="1"/>
    <col min="5" max="5" width="25.855468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_xll.ReportDrill('[72]JE Lookup'!B1,,_xll.PairGroup(_xll.Pair(G20:G91,'[72]JE Lookup'!N8),_xll.Pair(AB20:AB91,'[72]JE Lookup'!N7)),"JE Lookup")</f>
        <v>OK!: ReportDrill 'JE Lookup' Formula OK [jAction{}]</v>
      </c>
      <c r="U4" s="304" t="str">
        <f ca="1">_xll.ReportDrill(,"APDrill",_xll.PairGroup(_xll.PairExt(AQ20:AQ91,"H8")),"AP Detail")</f>
        <v>OK!: ReportDrill 'AP Detail' Formula OK [jAction{}]</v>
      </c>
      <c r="Y4" s="304" t="str">
        <f ca="1">_xll.ReportDrill(,"JEStaged_DrillToDetail",_xll.PairGroup(_xll.PairExt(Q19:Q91,"dControlNum",TRUE),_xll.PairExt(AP19:AP91,"dDistrict",TRUE),_xll.PairExt(AO19:AO91,"dApplyMonth",TRUE)),"JE Staged Details")</f>
        <v>OK!: ReportDrill 'JE Staged Details' Formula OK [jAction{}]</v>
      </c>
    </row>
    <row r="5" spans="1:43" hidden="1" outlineLevel="1">
      <c r="B5" s="304" t="str">
        <f ca="1">_xll.ReportRange("JEQuery_WithStaged",B20:AS90,B2:AS2,,_xll.Param(DateFrom,DateTo,IF(M12="","all",M12),M13,M14,M15,P12,P13,P14,P15,EntrieShownLimit,IF(DateFrom="",DateFrom,),IF(DateTo="",DateTo,)),TRUE)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_xll.ReportDrill('[72]JE Lookup'!B1,,_xll.PairGroup(_xll.Pair(V20:V91,'[72]JE Lookup'!N8),_xll.Pair(AS20:AS91,'[72]JE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2819</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SUM(D19:D91)</f>
        <v>39767.939999999995</v>
      </c>
      <c r="E16" s="321">
        <f>SUM(E19:E91)</f>
        <v>0</v>
      </c>
      <c r="F16" s="304" t="s">
        <v>685</v>
      </c>
      <c r="N16" s="322"/>
      <c r="O16" s="322"/>
      <c r="P16" s="322"/>
      <c r="Q16" s="322"/>
    </row>
    <row r="17" spans="2:45">
      <c r="B17" s="319" t="s">
        <v>686</v>
      </c>
      <c r="C17" s="320"/>
      <c r="D17" s="323">
        <f>COUNT(D20:D93)</f>
        <v>70</v>
      </c>
      <c r="E17" s="323">
        <f>COUNT(E20:E93)</f>
        <v>70</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860" t="s">
        <v>703</v>
      </c>
      <c r="R19" s="860" t="s">
        <v>704</v>
      </c>
      <c r="S19" s="860" t="s">
        <v>705</v>
      </c>
      <c r="T19" s="860" t="s">
        <v>706</v>
      </c>
      <c r="U19" s="860" t="s">
        <v>707</v>
      </c>
      <c r="V19" s="860" t="s">
        <v>708</v>
      </c>
      <c r="W19" s="860" t="s">
        <v>709</v>
      </c>
      <c r="X19" s="860" t="s">
        <v>710</v>
      </c>
      <c r="Y19" s="860" t="s">
        <v>711</v>
      </c>
      <c r="Z19" s="860" t="s">
        <v>712</v>
      </c>
      <c r="AA19" s="860" t="s">
        <v>713</v>
      </c>
      <c r="AB19" s="860" t="s">
        <v>714</v>
      </c>
      <c r="AC19" s="865" t="s">
        <v>715</v>
      </c>
      <c r="AD19" s="865" t="s">
        <v>716</v>
      </c>
      <c r="AE19" s="865" t="s">
        <v>717</v>
      </c>
      <c r="AF19" s="865" t="s">
        <v>718</v>
      </c>
      <c r="AG19" s="865" t="s">
        <v>719</v>
      </c>
      <c r="AH19" s="865" t="s">
        <v>720</v>
      </c>
      <c r="AI19" s="861" t="s">
        <v>721</v>
      </c>
      <c r="AJ19" s="861" t="s">
        <v>722</v>
      </c>
      <c r="AK19" s="861" t="s">
        <v>723</v>
      </c>
      <c r="AL19" s="861" t="s">
        <v>724</v>
      </c>
      <c r="AM19" s="861" t="s">
        <v>725</v>
      </c>
      <c r="AN19" s="861" t="s">
        <v>663</v>
      </c>
      <c r="AO19" s="866" t="s">
        <v>726</v>
      </c>
      <c r="AP19" s="866" t="s">
        <v>727</v>
      </c>
      <c r="AQ19" s="866" t="s">
        <v>728</v>
      </c>
    </row>
    <row r="20" spans="2:45" ht="13.5" thickTop="1">
      <c r="B20" s="1735" t="s">
        <v>2666</v>
      </c>
      <c r="C20" s="1736">
        <v>44300</v>
      </c>
      <c r="D20" s="1664">
        <v>2000</v>
      </c>
      <c r="E20" s="1664">
        <v>0</v>
      </c>
      <c r="F20" s="1665" t="s">
        <v>729</v>
      </c>
      <c r="G20" s="1736" t="s">
        <v>2818</v>
      </c>
      <c r="H20" s="1737" t="s">
        <v>730</v>
      </c>
      <c r="I20" s="1736" t="s">
        <v>1039</v>
      </c>
      <c r="J20" s="1736" t="s">
        <v>1038</v>
      </c>
      <c r="K20" s="1736" t="s">
        <v>732</v>
      </c>
      <c r="L20" s="1738" t="s">
        <v>2677</v>
      </c>
      <c r="M20" s="1738"/>
      <c r="N20" s="1738" t="s">
        <v>2662</v>
      </c>
      <c r="O20" s="1736">
        <v>44286</v>
      </c>
      <c r="P20" s="1738" t="s">
        <v>2660</v>
      </c>
      <c r="Q20" s="1739">
        <v>980732</v>
      </c>
      <c r="R20" s="1736" t="s">
        <v>2698</v>
      </c>
      <c r="S20" s="1736"/>
      <c r="T20" s="1736"/>
      <c r="U20" s="1736" t="s">
        <v>2817</v>
      </c>
      <c r="V20" s="1736" t="s">
        <v>2816</v>
      </c>
      <c r="W20" s="1736">
        <v>2111</v>
      </c>
      <c r="X20" s="1736">
        <v>44300</v>
      </c>
      <c r="Y20" s="1736">
        <v>44305</v>
      </c>
      <c r="Z20" s="1736">
        <v>12000</v>
      </c>
      <c r="AA20" s="1736">
        <v>44296</v>
      </c>
      <c r="AB20" s="1736" t="s">
        <v>733</v>
      </c>
      <c r="AC20" s="1736">
        <v>0</v>
      </c>
      <c r="AD20" s="1736">
        <v>0</v>
      </c>
      <c r="AE20" s="1736">
        <v>0</v>
      </c>
      <c r="AF20" s="1736">
        <v>0</v>
      </c>
      <c r="AG20" s="1736">
        <v>0</v>
      </c>
      <c r="AH20" s="1736">
        <v>1</v>
      </c>
      <c r="AI20" s="1736">
        <v>70255</v>
      </c>
      <c r="AJ20" s="1736">
        <v>2195</v>
      </c>
      <c r="AK20" s="1736">
        <v>0</v>
      </c>
      <c r="AL20" s="1736">
        <v>0</v>
      </c>
      <c r="AM20" s="1736"/>
      <c r="AN20" s="1736"/>
      <c r="AO20" s="1737"/>
      <c r="AP20" s="1737"/>
      <c r="AQ20" s="1740" t="str">
        <f t="shared" ref="AQ20:AQ51" si="0">IF(LEFT(U20,2)="VO",U20,"")</f>
        <v>VO05751280</v>
      </c>
      <c r="AS20" s="304" t="str">
        <f t="shared" ref="AS20:AS51" si="1">IF(RIGHT(K20,2)="IC",IF(OR(AB20="wci_canada",AB20="wci_can_corp"),"wci_can_Corp","wci_corp"),AB20)</f>
        <v>wci_corp</v>
      </c>
    </row>
    <row r="21" spans="2:45">
      <c r="B21" s="1708" t="s">
        <v>2666</v>
      </c>
      <c r="C21" s="1709">
        <v>44315</v>
      </c>
      <c r="D21" s="1672">
        <v>173.37</v>
      </c>
      <c r="E21" s="1672">
        <v>0</v>
      </c>
      <c r="F21" s="1673" t="s">
        <v>729</v>
      </c>
      <c r="G21" s="1709" t="s">
        <v>2815</v>
      </c>
      <c r="H21" s="1710" t="s">
        <v>730</v>
      </c>
      <c r="I21" s="1709" t="s">
        <v>1039</v>
      </c>
      <c r="J21" s="1709" t="s">
        <v>1042</v>
      </c>
      <c r="K21" s="1709" t="s">
        <v>732</v>
      </c>
      <c r="L21" s="1711" t="s">
        <v>2814</v>
      </c>
      <c r="M21" s="1711" t="s">
        <v>2661</v>
      </c>
      <c r="N21" s="1711" t="s">
        <v>2661</v>
      </c>
      <c r="O21" s="1709">
        <v>44302</v>
      </c>
      <c r="P21" s="1711" t="s">
        <v>2813</v>
      </c>
      <c r="Q21" s="1712">
        <v>112384</v>
      </c>
      <c r="R21" s="1709" t="s">
        <v>2812</v>
      </c>
      <c r="S21" s="1709"/>
      <c r="T21" s="1709"/>
      <c r="U21" s="1709" t="s">
        <v>2811</v>
      </c>
      <c r="V21" s="1709" t="s">
        <v>2810</v>
      </c>
      <c r="W21" s="1709">
        <v>2000</v>
      </c>
      <c r="X21" s="1709">
        <v>44315</v>
      </c>
      <c r="Y21" s="1709">
        <v>44316</v>
      </c>
      <c r="Z21" s="1709">
        <v>3600</v>
      </c>
      <c r="AA21" s="1709">
        <v>44303</v>
      </c>
      <c r="AB21" s="1709" t="s">
        <v>733</v>
      </c>
      <c r="AC21" s="1709">
        <v>0</v>
      </c>
      <c r="AD21" s="1709">
        <v>0</v>
      </c>
      <c r="AE21" s="1709">
        <v>0</v>
      </c>
      <c r="AF21" s="1709">
        <v>0</v>
      </c>
      <c r="AG21" s="1709">
        <v>0</v>
      </c>
      <c r="AH21" s="1709">
        <v>1</v>
      </c>
      <c r="AI21" s="1709">
        <v>70255</v>
      </c>
      <c r="AJ21" s="1709">
        <v>2195</v>
      </c>
      <c r="AK21" s="1709">
        <v>0</v>
      </c>
      <c r="AL21" s="1709">
        <v>0</v>
      </c>
      <c r="AM21" s="1709"/>
      <c r="AN21" s="1709"/>
      <c r="AO21" s="1710"/>
      <c r="AP21" s="1710"/>
      <c r="AQ21" s="1713" t="str">
        <f t="shared" si="0"/>
        <v>VO05770027</v>
      </c>
      <c r="AS21" s="304" t="str">
        <f t="shared" si="1"/>
        <v>wci_corp</v>
      </c>
    </row>
    <row r="22" spans="2:45">
      <c r="B22" s="1708" t="s">
        <v>2666</v>
      </c>
      <c r="C22" s="1709">
        <v>44316</v>
      </c>
      <c r="D22" s="1672">
        <v>-2000</v>
      </c>
      <c r="E22" s="1672">
        <v>0</v>
      </c>
      <c r="F22" s="1673" t="s">
        <v>729</v>
      </c>
      <c r="G22" s="1709" t="s">
        <v>2809</v>
      </c>
      <c r="H22" s="1710" t="s">
        <v>730</v>
      </c>
      <c r="I22" s="1709" t="s">
        <v>2808</v>
      </c>
      <c r="J22" s="1709" t="s">
        <v>1285</v>
      </c>
      <c r="K22" s="1709" t="s">
        <v>732</v>
      </c>
      <c r="L22" s="1711"/>
      <c r="M22" s="1711"/>
      <c r="N22" s="1711" t="s">
        <v>2660</v>
      </c>
      <c r="O22" s="1709"/>
      <c r="P22" s="1711"/>
      <c r="Q22" s="1712"/>
      <c r="R22" s="1709"/>
      <c r="S22" s="1709"/>
      <c r="T22" s="1709"/>
      <c r="U22" s="1709" t="s">
        <v>2807</v>
      </c>
      <c r="V22" s="1709" t="s">
        <v>2806</v>
      </c>
      <c r="W22" s="1709"/>
      <c r="X22" s="1709">
        <v>44293</v>
      </c>
      <c r="Y22" s="1709">
        <v>44293</v>
      </c>
      <c r="Z22" s="1709"/>
      <c r="AA22" s="1709"/>
      <c r="AB22" s="1709" t="s">
        <v>733</v>
      </c>
      <c r="AC22" s="1709">
        <v>0</v>
      </c>
      <c r="AD22" s="1709">
        <v>0</v>
      </c>
      <c r="AE22" s="1709">
        <v>0</v>
      </c>
      <c r="AF22" s="1709">
        <v>0</v>
      </c>
      <c r="AG22" s="1709">
        <v>5</v>
      </c>
      <c r="AH22" s="1709">
        <v>1</v>
      </c>
      <c r="AI22" s="1709">
        <v>70255</v>
      </c>
      <c r="AJ22" s="1709">
        <v>2195</v>
      </c>
      <c r="AK22" s="1709">
        <v>0</v>
      </c>
      <c r="AL22" s="1709">
        <v>0</v>
      </c>
      <c r="AM22" s="1709"/>
      <c r="AN22" s="1709"/>
      <c r="AO22" s="1710"/>
      <c r="AP22" s="1710"/>
      <c r="AQ22" s="1713" t="str">
        <f t="shared" si="0"/>
        <v/>
      </c>
      <c r="AS22" s="304" t="str">
        <f t="shared" si="1"/>
        <v>wci_corp</v>
      </c>
    </row>
    <row r="23" spans="2:45">
      <c r="B23" s="1708" t="s">
        <v>2666</v>
      </c>
      <c r="C23" s="1709">
        <v>44316</v>
      </c>
      <c r="D23" s="1672">
        <v>-3300</v>
      </c>
      <c r="E23" s="1672">
        <v>0</v>
      </c>
      <c r="F23" s="1673" t="s">
        <v>729</v>
      </c>
      <c r="G23" s="1709" t="s">
        <v>2805</v>
      </c>
      <c r="H23" s="1710" t="s">
        <v>730</v>
      </c>
      <c r="I23" s="1709" t="s">
        <v>2659</v>
      </c>
      <c r="J23" s="1709" t="s">
        <v>731</v>
      </c>
      <c r="K23" s="1709" t="s">
        <v>732</v>
      </c>
      <c r="L23" s="1711"/>
      <c r="M23" s="1711"/>
      <c r="N23" s="1711" t="s">
        <v>2659</v>
      </c>
      <c r="O23" s="1709"/>
      <c r="P23" s="1711"/>
      <c r="Q23" s="1712"/>
      <c r="R23" s="1709"/>
      <c r="S23" s="1709"/>
      <c r="T23" s="1709"/>
      <c r="U23" s="1709" t="s">
        <v>2804</v>
      </c>
      <c r="V23" s="1709" t="s">
        <v>2803</v>
      </c>
      <c r="W23" s="1709"/>
      <c r="X23" s="1709">
        <v>44293</v>
      </c>
      <c r="Y23" s="1709">
        <v>44293</v>
      </c>
      <c r="Z23" s="1709"/>
      <c r="AA23" s="1709"/>
      <c r="AB23" s="1709" t="s">
        <v>733</v>
      </c>
      <c r="AC23" s="1709">
        <v>0</v>
      </c>
      <c r="AD23" s="1709">
        <v>0</v>
      </c>
      <c r="AE23" s="1709">
        <v>0</v>
      </c>
      <c r="AF23" s="1709">
        <v>0</v>
      </c>
      <c r="AG23" s="1709">
        <v>5</v>
      </c>
      <c r="AH23" s="1709">
        <v>1</v>
      </c>
      <c r="AI23" s="1709">
        <v>70255</v>
      </c>
      <c r="AJ23" s="1709">
        <v>2195</v>
      </c>
      <c r="AK23" s="1709">
        <v>0</v>
      </c>
      <c r="AL23" s="1709">
        <v>0</v>
      </c>
      <c r="AM23" s="1709"/>
      <c r="AN23" s="1709"/>
      <c r="AO23" s="1710"/>
      <c r="AP23" s="1710"/>
      <c r="AQ23" s="1713" t="str">
        <f t="shared" si="0"/>
        <v/>
      </c>
      <c r="AS23" s="304" t="str">
        <f t="shared" si="1"/>
        <v>wci_corp</v>
      </c>
    </row>
    <row r="24" spans="2:45">
      <c r="B24" s="1708" t="s">
        <v>2666</v>
      </c>
      <c r="C24" s="1709">
        <v>44316</v>
      </c>
      <c r="D24" s="1672">
        <v>333.33</v>
      </c>
      <c r="E24" s="1672">
        <v>0</v>
      </c>
      <c r="F24" s="1673" t="s">
        <v>729</v>
      </c>
      <c r="G24" s="1709" t="s">
        <v>2802</v>
      </c>
      <c r="H24" s="1710" t="s">
        <v>730</v>
      </c>
      <c r="I24" s="1709" t="s">
        <v>2762</v>
      </c>
      <c r="J24" s="1709" t="s">
        <v>731</v>
      </c>
      <c r="K24" s="1709" t="s">
        <v>732</v>
      </c>
      <c r="L24" s="1711"/>
      <c r="M24" s="1711"/>
      <c r="N24" s="1711" t="s">
        <v>2658</v>
      </c>
      <c r="O24" s="1709"/>
      <c r="P24" s="1711"/>
      <c r="Q24" s="1712"/>
      <c r="R24" s="1709"/>
      <c r="S24" s="1709"/>
      <c r="T24" s="1709"/>
      <c r="U24" s="1709" t="s">
        <v>2801</v>
      </c>
      <c r="V24" s="1709" t="s">
        <v>2801</v>
      </c>
      <c r="W24" s="1709"/>
      <c r="X24" s="1709">
        <v>44322</v>
      </c>
      <c r="Y24" s="1709">
        <v>44322</v>
      </c>
      <c r="Z24" s="1709"/>
      <c r="AA24" s="1709"/>
      <c r="AB24" s="1709" t="s">
        <v>733</v>
      </c>
      <c r="AC24" s="1709">
        <v>0</v>
      </c>
      <c r="AD24" s="1709">
        <v>0</v>
      </c>
      <c r="AE24" s="1709">
        <v>0</v>
      </c>
      <c r="AF24" s="1709">
        <v>0</v>
      </c>
      <c r="AG24" s="1709">
        <v>0</v>
      </c>
      <c r="AH24" s="1709">
        <v>1</v>
      </c>
      <c r="AI24" s="1709">
        <v>70255</v>
      </c>
      <c r="AJ24" s="1709">
        <v>2195</v>
      </c>
      <c r="AK24" s="1709">
        <v>0</v>
      </c>
      <c r="AL24" s="1709">
        <v>0</v>
      </c>
      <c r="AM24" s="1709"/>
      <c r="AN24" s="1709"/>
      <c r="AO24" s="1710"/>
      <c r="AP24" s="1710"/>
      <c r="AQ24" s="1713" t="str">
        <f t="shared" si="0"/>
        <v/>
      </c>
      <c r="AS24" s="304" t="str">
        <f t="shared" si="1"/>
        <v>wci_corp</v>
      </c>
    </row>
    <row r="25" spans="2:45">
      <c r="B25" s="1708" t="s">
        <v>2666</v>
      </c>
      <c r="C25" s="1709">
        <v>44316</v>
      </c>
      <c r="D25" s="1672">
        <v>4100</v>
      </c>
      <c r="E25" s="1672">
        <v>0</v>
      </c>
      <c r="F25" s="1673" t="s">
        <v>729</v>
      </c>
      <c r="G25" s="1709" t="s">
        <v>2062</v>
      </c>
      <c r="H25" s="1710" t="s">
        <v>730</v>
      </c>
      <c r="I25" s="1709" t="s">
        <v>2063</v>
      </c>
      <c r="J25" s="1709" t="s">
        <v>731</v>
      </c>
      <c r="K25" s="1709" t="s">
        <v>732</v>
      </c>
      <c r="L25" s="1711"/>
      <c r="M25" s="1711"/>
      <c r="N25" s="1711" t="s">
        <v>2657</v>
      </c>
      <c r="O25" s="1709"/>
      <c r="P25" s="1711"/>
      <c r="Q25" s="1712"/>
      <c r="R25" s="1709"/>
      <c r="S25" s="1709"/>
      <c r="T25" s="1709"/>
      <c r="U25" s="1709" t="s">
        <v>2065</v>
      </c>
      <c r="V25" s="1709" t="s">
        <v>2065</v>
      </c>
      <c r="W25" s="1709"/>
      <c r="X25" s="1709">
        <v>44322</v>
      </c>
      <c r="Y25" s="1709">
        <v>44322</v>
      </c>
      <c r="Z25" s="1709"/>
      <c r="AA25" s="1709"/>
      <c r="AB25" s="1709" t="s">
        <v>733</v>
      </c>
      <c r="AC25" s="1709">
        <v>0</v>
      </c>
      <c r="AD25" s="1709">
        <v>0</v>
      </c>
      <c r="AE25" s="1709">
        <v>0</v>
      </c>
      <c r="AF25" s="1709">
        <v>0</v>
      </c>
      <c r="AG25" s="1709">
        <v>0</v>
      </c>
      <c r="AH25" s="1709">
        <v>1</v>
      </c>
      <c r="AI25" s="1709">
        <v>70255</v>
      </c>
      <c r="AJ25" s="1709">
        <v>2195</v>
      </c>
      <c r="AK25" s="1709">
        <v>0</v>
      </c>
      <c r="AL25" s="1709">
        <v>0</v>
      </c>
      <c r="AM25" s="1709"/>
      <c r="AN25" s="1709"/>
      <c r="AO25" s="1710"/>
      <c r="AP25" s="1710"/>
      <c r="AQ25" s="1713" t="str">
        <f t="shared" si="0"/>
        <v/>
      </c>
      <c r="AS25" s="304" t="str">
        <f t="shared" si="1"/>
        <v>wci_corp</v>
      </c>
    </row>
    <row r="26" spans="2:45">
      <c r="B26" s="1708" t="s">
        <v>2666</v>
      </c>
      <c r="C26" s="1709">
        <v>44316</v>
      </c>
      <c r="D26" s="1672">
        <v>2000</v>
      </c>
      <c r="E26" s="1672">
        <v>0</v>
      </c>
      <c r="F26" s="1673" t="s">
        <v>729</v>
      </c>
      <c r="G26" s="1709" t="s">
        <v>2800</v>
      </c>
      <c r="H26" s="1710" t="s">
        <v>730</v>
      </c>
      <c r="I26" s="1709" t="s">
        <v>2798</v>
      </c>
      <c r="J26" s="1709" t="s">
        <v>736</v>
      </c>
      <c r="K26" s="1709" t="s">
        <v>732</v>
      </c>
      <c r="L26" s="1711"/>
      <c r="M26" s="1711"/>
      <c r="N26" s="1711" t="s">
        <v>2656</v>
      </c>
      <c r="O26" s="1709"/>
      <c r="P26" s="1711"/>
      <c r="Q26" s="1712"/>
      <c r="R26" s="1709"/>
      <c r="S26" s="1709"/>
      <c r="T26" s="1709"/>
      <c r="U26" s="1709" t="s">
        <v>2797</v>
      </c>
      <c r="V26" s="1709" t="s">
        <v>2797</v>
      </c>
      <c r="W26" s="1709"/>
      <c r="X26" s="1709">
        <v>44323</v>
      </c>
      <c r="Y26" s="1709">
        <v>44323</v>
      </c>
      <c r="Z26" s="1709"/>
      <c r="AA26" s="1709"/>
      <c r="AB26" s="1709" t="s">
        <v>733</v>
      </c>
      <c r="AC26" s="1709">
        <v>0</v>
      </c>
      <c r="AD26" s="1709">
        <v>0</v>
      </c>
      <c r="AE26" s="1709">
        <v>0</v>
      </c>
      <c r="AF26" s="1709">
        <v>0</v>
      </c>
      <c r="AG26" s="1709">
        <v>0</v>
      </c>
      <c r="AH26" s="1709">
        <v>1</v>
      </c>
      <c r="AI26" s="1709">
        <v>70255</v>
      </c>
      <c r="AJ26" s="1709">
        <v>2195</v>
      </c>
      <c r="AK26" s="1709">
        <v>0</v>
      </c>
      <c r="AL26" s="1709">
        <v>0</v>
      </c>
      <c r="AM26" s="1709"/>
      <c r="AN26" s="1709"/>
      <c r="AO26" s="1710"/>
      <c r="AP26" s="1710"/>
      <c r="AQ26" s="1713" t="str">
        <f t="shared" si="0"/>
        <v/>
      </c>
      <c r="AS26" s="304" t="str">
        <f t="shared" si="1"/>
        <v>wci_corp</v>
      </c>
    </row>
    <row r="27" spans="2:45">
      <c r="B27" s="1708" t="s">
        <v>2666</v>
      </c>
      <c r="C27" s="1709">
        <v>44347</v>
      </c>
      <c r="D27" s="1672">
        <v>-2000</v>
      </c>
      <c r="E27" s="1672">
        <v>0</v>
      </c>
      <c r="F27" s="1673" t="s">
        <v>729</v>
      </c>
      <c r="G27" s="1709" t="s">
        <v>2799</v>
      </c>
      <c r="H27" s="1710" t="s">
        <v>730</v>
      </c>
      <c r="I27" s="1709" t="s">
        <v>2798</v>
      </c>
      <c r="J27" s="1709" t="s">
        <v>731</v>
      </c>
      <c r="K27" s="1709" t="s">
        <v>732</v>
      </c>
      <c r="L27" s="1711"/>
      <c r="M27" s="1711"/>
      <c r="N27" s="1711" t="s">
        <v>2656</v>
      </c>
      <c r="O27" s="1709"/>
      <c r="P27" s="1711"/>
      <c r="Q27" s="1712"/>
      <c r="R27" s="1709"/>
      <c r="S27" s="1709"/>
      <c r="T27" s="1709"/>
      <c r="U27" s="1709" t="s">
        <v>2797</v>
      </c>
      <c r="V27" s="1709" t="s">
        <v>2796</v>
      </c>
      <c r="W27" s="1709"/>
      <c r="X27" s="1709">
        <v>44323</v>
      </c>
      <c r="Y27" s="1709">
        <v>44323</v>
      </c>
      <c r="Z27" s="1709"/>
      <c r="AA27" s="1709"/>
      <c r="AB27" s="1709" t="s">
        <v>733</v>
      </c>
      <c r="AC27" s="1709">
        <v>0</v>
      </c>
      <c r="AD27" s="1709">
        <v>0</v>
      </c>
      <c r="AE27" s="1709">
        <v>0</v>
      </c>
      <c r="AF27" s="1709">
        <v>0</v>
      </c>
      <c r="AG27" s="1709">
        <v>5</v>
      </c>
      <c r="AH27" s="1709">
        <v>1</v>
      </c>
      <c r="AI27" s="1709">
        <v>70255</v>
      </c>
      <c r="AJ27" s="1709">
        <v>2195</v>
      </c>
      <c r="AK27" s="1709">
        <v>0</v>
      </c>
      <c r="AL27" s="1709">
        <v>0</v>
      </c>
      <c r="AM27" s="1709"/>
      <c r="AN27" s="1709"/>
      <c r="AO27" s="1710"/>
      <c r="AP27" s="1710"/>
      <c r="AQ27" s="1713" t="str">
        <f t="shared" si="0"/>
        <v/>
      </c>
      <c r="AS27" s="304" t="str">
        <f t="shared" si="1"/>
        <v>wci_corp</v>
      </c>
    </row>
    <row r="28" spans="2:45">
      <c r="B28" s="1708" t="s">
        <v>2666</v>
      </c>
      <c r="C28" s="1709">
        <v>44347</v>
      </c>
      <c r="D28" s="1672">
        <v>333.33</v>
      </c>
      <c r="E28" s="1672">
        <v>0</v>
      </c>
      <c r="F28" s="1673" t="s">
        <v>729</v>
      </c>
      <c r="G28" s="1709" t="s">
        <v>2795</v>
      </c>
      <c r="H28" s="1710" t="s">
        <v>730</v>
      </c>
      <c r="I28" s="1709" t="s">
        <v>2762</v>
      </c>
      <c r="J28" s="1709" t="s">
        <v>1285</v>
      </c>
      <c r="K28" s="1709" t="s">
        <v>732</v>
      </c>
      <c r="L28" s="1711"/>
      <c r="M28" s="1711"/>
      <c r="N28" s="1711" t="s">
        <v>2658</v>
      </c>
      <c r="O28" s="1709"/>
      <c r="P28" s="1711"/>
      <c r="Q28" s="1712"/>
      <c r="R28" s="1709"/>
      <c r="S28" s="1709"/>
      <c r="T28" s="1709"/>
      <c r="U28" s="1709" t="s">
        <v>2794</v>
      </c>
      <c r="V28" s="1709" t="s">
        <v>2794</v>
      </c>
      <c r="W28" s="1709"/>
      <c r="X28" s="1709">
        <v>44351</v>
      </c>
      <c r="Y28" s="1709">
        <v>44354</v>
      </c>
      <c r="Z28" s="1709"/>
      <c r="AA28" s="1709"/>
      <c r="AB28" s="1709" t="s">
        <v>733</v>
      </c>
      <c r="AC28" s="1709">
        <v>0</v>
      </c>
      <c r="AD28" s="1709">
        <v>0</v>
      </c>
      <c r="AE28" s="1709">
        <v>0</v>
      </c>
      <c r="AF28" s="1709">
        <v>0</v>
      </c>
      <c r="AG28" s="1709">
        <v>0</v>
      </c>
      <c r="AH28" s="1709">
        <v>1</v>
      </c>
      <c r="AI28" s="1709">
        <v>70255</v>
      </c>
      <c r="AJ28" s="1709">
        <v>2195</v>
      </c>
      <c r="AK28" s="1709">
        <v>0</v>
      </c>
      <c r="AL28" s="1709">
        <v>0</v>
      </c>
      <c r="AM28" s="1709"/>
      <c r="AN28" s="1709"/>
      <c r="AO28" s="1710"/>
      <c r="AP28" s="1710"/>
      <c r="AQ28" s="1713" t="str">
        <f t="shared" si="0"/>
        <v/>
      </c>
      <c r="AS28" s="304" t="str">
        <f t="shared" si="1"/>
        <v>wci_corp</v>
      </c>
    </row>
    <row r="29" spans="2:45">
      <c r="B29" s="1708" t="s">
        <v>2666</v>
      </c>
      <c r="C29" s="1709">
        <v>44347</v>
      </c>
      <c r="D29" s="1672">
        <v>2000</v>
      </c>
      <c r="E29" s="1672">
        <v>0</v>
      </c>
      <c r="F29" s="1673" t="s">
        <v>729</v>
      </c>
      <c r="G29" s="1709" t="s">
        <v>2793</v>
      </c>
      <c r="H29" s="1710" t="s">
        <v>730</v>
      </c>
      <c r="I29" s="1709" t="s">
        <v>2787</v>
      </c>
      <c r="J29" s="1709" t="s">
        <v>1285</v>
      </c>
      <c r="K29" s="1709" t="s">
        <v>732</v>
      </c>
      <c r="L29" s="1711"/>
      <c r="M29" s="1711"/>
      <c r="N29" s="1711" t="s">
        <v>2656</v>
      </c>
      <c r="O29" s="1709"/>
      <c r="P29" s="1711"/>
      <c r="Q29" s="1712"/>
      <c r="R29" s="1709"/>
      <c r="S29" s="1709"/>
      <c r="T29" s="1709"/>
      <c r="U29" s="1709" t="s">
        <v>2786</v>
      </c>
      <c r="V29" s="1709" t="s">
        <v>2786</v>
      </c>
      <c r="W29" s="1709"/>
      <c r="X29" s="1709">
        <v>44351</v>
      </c>
      <c r="Y29" s="1709">
        <v>44354</v>
      </c>
      <c r="Z29" s="1709"/>
      <c r="AA29" s="1709"/>
      <c r="AB29" s="1709" t="s">
        <v>733</v>
      </c>
      <c r="AC29" s="1709">
        <v>0</v>
      </c>
      <c r="AD29" s="1709">
        <v>0</v>
      </c>
      <c r="AE29" s="1709">
        <v>0</v>
      </c>
      <c r="AF29" s="1709">
        <v>0</v>
      </c>
      <c r="AG29" s="1709">
        <v>0</v>
      </c>
      <c r="AH29" s="1709">
        <v>1</v>
      </c>
      <c r="AI29" s="1709">
        <v>70255</v>
      </c>
      <c r="AJ29" s="1709">
        <v>2195</v>
      </c>
      <c r="AK29" s="1709">
        <v>0</v>
      </c>
      <c r="AL29" s="1709">
        <v>0</v>
      </c>
      <c r="AM29" s="1709"/>
      <c r="AN29" s="1709"/>
      <c r="AO29" s="1710"/>
      <c r="AP29" s="1710"/>
      <c r="AQ29" s="1713" t="str">
        <f t="shared" si="0"/>
        <v/>
      </c>
      <c r="AS29" s="304" t="str">
        <f t="shared" si="1"/>
        <v>wci_corp</v>
      </c>
    </row>
    <row r="30" spans="2:45">
      <c r="B30" s="1708" t="s">
        <v>2666</v>
      </c>
      <c r="C30" s="1709">
        <v>44347</v>
      </c>
      <c r="D30" s="1672">
        <v>2000</v>
      </c>
      <c r="E30" s="1672">
        <v>0</v>
      </c>
      <c r="F30" s="1673" t="s">
        <v>729</v>
      </c>
      <c r="G30" s="1709" t="s">
        <v>2793</v>
      </c>
      <c r="H30" s="1710" t="s">
        <v>730</v>
      </c>
      <c r="I30" s="1709" t="s">
        <v>2787</v>
      </c>
      <c r="J30" s="1709" t="s">
        <v>1285</v>
      </c>
      <c r="K30" s="1709" t="s">
        <v>732</v>
      </c>
      <c r="L30" s="1711"/>
      <c r="M30" s="1711"/>
      <c r="N30" s="1711" t="s">
        <v>2660</v>
      </c>
      <c r="O30" s="1709"/>
      <c r="P30" s="1711"/>
      <c r="Q30" s="1712"/>
      <c r="R30" s="1709"/>
      <c r="S30" s="1709"/>
      <c r="T30" s="1709"/>
      <c r="U30" s="1709" t="s">
        <v>2786</v>
      </c>
      <c r="V30" s="1709" t="s">
        <v>2786</v>
      </c>
      <c r="W30" s="1709"/>
      <c r="X30" s="1709">
        <v>44351</v>
      </c>
      <c r="Y30" s="1709">
        <v>44354</v>
      </c>
      <c r="Z30" s="1709"/>
      <c r="AA30" s="1709"/>
      <c r="AB30" s="1709" t="s">
        <v>733</v>
      </c>
      <c r="AC30" s="1709">
        <v>0</v>
      </c>
      <c r="AD30" s="1709">
        <v>0</v>
      </c>
      <c r="AE30" s="1709">
        <v>0</v>
      </c>
      <c r="AF30" s="1709">
        <v>0</v>
      </c>
      <c r="AG30" s="1709">
        <v>0</v>
      </c>
      <c r="AH30" s="1709">
        <v>1</v>
      </c>
      <c r="AI30" s="1709">
        <v>70255</v>
      </c>
      <c r="AJ30" s="1709">
        <v>2195</v>
      </c>
      <c r="AK30" s="1709">
        <v>0</v>
      </c>
      <c r="AL30" s="1709">
        <v>0</v>
      </c>
      <c r="AM30" s="1709"/>
      <c r="AN30" s="1709"/>
      <c r="AO30" s="1710"/>
      <c r="AP30" s="1710"/>
      <c r="AQ30" s="1713" t="str">
        <f t="shared" si="0"/>
        <v/>
      </c>
      <c r="AS30" s="304" t="str">
        <f t="shared" si="1"/>
        <v>wci_corp</v>
      </c>
    </row>
    <row r="31" spans="2:45">
      <c r="B31" s="1708" t="s">
        <v>2666</v>
      </c>
      <c r="C31" s="1709">
        <v>44362</v>
      </c>
      <c r="D31" s="1672">
        <v>2000</v>
      </c>
      <c r="E31" s="1672">
        <v>0</v>
      </c>
      <c r="F31" s="1673" t="s">
        <v>729</v>
      </c>
      <c r="G31" s="1709" t="s">
        <v>2791</v>
      </c>
      <c r="H31" s="1710" t="s">
        <v>730</v>
      </c>
      <c r="I31" s="1709" t="s">
        <v>1039</v>
      </c>
      <c r="J31" s="1709" t="s">
        <v>1042</v>
      </c>
      <c r="K31" s="1709" t="s">
        <v>732</v>
      </c>
      <c r="L31" s="1711" t="s">
        <v>2677</v>
      </c>
      <c r="M31" s="1711"/>
      <c r="N31" s="1711" t="s">
        <v>2662</v>
      </c>
      <c r="O31" s="1709">
        <v>44317</v>
      </c>
      <c r="P31" s="1711" t="s">
        <v>2660</v>
      </c>
      <c r="Q31" s="1712">
        <v>980735</v>
      </c>
      <c r="R31" s="1709" t="s">
        <v>2698</v>
      </c>
      <c r="S31" s="1709"/>
      <c r="T31" s="1709"/>
      <c r="U31" s="1709" t="s">
        <v>2792</v>
      </c>
      <c r="V31" s="1709" t="s">
        <v>2789</v>
      </c>
      <c r="W31" s="1709">
        <v>2111</v>
      </c>
      <c r="X31" s="1709">
        <v>44362</v>
      </c>
      <c r="Y31" s="1709">
        <v>44362</v>
      </c>
      <c r="Z31" s="1709">
        <v>12000</v>
      </c>
      <c r="AA31" s="1709">
        <v>44327</v>
      </c>
      <c r="AB31" s="1709" t="s">
        <v>733</v>
      </c>
      <c r="AC31" s="1709">
        <v>0</v>
      </c>
      <c r="AD31" s="1709">
        <v>0</v>
      </c>
      <c r="AE31" s="1709">
        <v>0</v>
      </c>
      <c r="AF31" s="1709">
        <v>0</v>
      </c>
      <c r="AG31" s="1709">
        <v>0</v>
      </c>
      <c r="AH31" s="1709">
        <v>1</v>
      </c>
      <c r="AI31" s="1709">
        <v>70255</v>
      </c>
      <c r="AJ31" s="1709">
        <v>2195</v>
      </c>
      <c r="AK31" s="1709">
        <v>0</v>
      </c>
      <c r="AL31" s="1709">
        <v>0</v>
      </c>
      <c r="AM31" s="1709"/>
      <c r="AN31" s="1709"/>
      <c r="AO31" s="1710"/>
      <c r="AP31" s="1710"/>
      <c r="AQ31" s="1713" t="str">
        <f t="shared" si="0"/>
        <v>VO05818457</v>
      </c>
      <c r="AS31" s="304" t="str">
        <f t="shared" si="1"/>
        <v>wci_corp</v>
      </c>
    </row>
    <row r="32" spans="2:45">
      <c r="B32" s="1708" t="s">
        <v>2666</v>
      </c>
      <c r="C32" s="1709">
        <v>44362</v>
      </c>
      <c r="D32" s="1672">
        <v>2000</v>
      </c>
      <c r="E32" s="1672">
        <v>0</v>
      </c>
      <c r="F32" s="1673" t="s">
        <v>729</v>
      </c>
      <c r="G32" s="1709" t="s">
        <v>2791</v>
      </c>
      <c r="H32" s="1710" t="s">
        <v>730</v>
      </c>
      <c r="I32" s="1709" t="s">
        <v>1039</v>
      </c>
      <c r="J32" s="1709" t="s">
        <v>1042</v>
      </c>
      <c r="K32" s="1709" t="s">
        <v>732</v>
      </c>
      <c r="L32" s="1711" t="s">
        <v>2677</v>
      </c>
      <c r="M32" s="1711"/>
      <c r="N32" s="1711" t="s">
        <v>2662</v>
      </c>
      <c r="O32" s="1709">
        <v>44348</v>
      </c>
      <c r="P32" s="1711" t="s">
        <v>2660</v>
      </c>
      <c r="Q32" s="1712">
        <v>980738</v>
      </c>
      <c r="R32" s="1709" t="s">
        <v>2698</v>
      </c>
      <c r="S32" s="1709"/>
      <c r="T32" s="1709"/>
      <c r="U32" s="1709" t="s">
        <v>2790</v>
      </c>
      <c r="V32" s="1709" t="s">
        <v>2789</v>
      </c>
      <c r="W32" s="1709">
        <v>2111</v>
      </c>
      <c r="X32" s="1709">
        <v>44362</v>
      </c>
      <c r="Y32" s="1709">
        <v>44362</v>
      </c>
      <c r="Z32" s="1709">
        <v>12000</v>
      </c>
      <c r="AA32" s="1709">
        <v>44358</v>
      </c>
      <c r="AB32" s="1709" t="s">
        <v>733</v>
      </c>
      <c r="AC32" s="1709">
        <v>0</v>
      </c>
      <c r="AD32" s="1709">
        <v>0</v>
      </c>
      <c r="AE32" s="1709">
        <v>0</v>
      </c>
      <c r="AF32" s="1709">
        <v>0</v>
      </c>
      <c r="AG32" s="1709">
        <v>0</v>
      </c>
      <c r="AH32" s="1709">
        <v>1</v>
      </c>
      <c r="AI32" s="1709">
        <v>70255</v>
      </c>
      <c r="AJ32" s="1709">
        <v>2195</v>
      </c>
      <c r="AK32" s="1709">
        <v>0</v>
      </c>
      <c r="AL32" s="1709">
        <v>0</v>
      </c>
      <c r="AM32" s="1709"/>
      <c r="AN32" s="1709"/>
      <c r="AO32" s="1710"/>
      <c r="AP32" s="1710"/>
      <c r="AQ32" s="1713" t="str">
        <f t="shared" si="0"/>
        <v>VO05818458</v>
      </c>
      <c r="AS32" s="304" t="str">
        <f t="shared" si="1"/>
        <v>wci_corp</v>
      </c>
    </row>
    <row r="33" spans="2:45">
      <c r="B33" s="1708" t="s">
        <v>2666</v>
      </c>
      <c r="C33" s="1709">
        <v>44377</v>
      </c>
      <c r="D33" s="1672">
        <v>-2000</v>
      </c>
      <c r="E33" s="1672">
        <v>0</v>
      </c>
      <c r="F33" s="1673" t="s">
        <v>729</v>
      </c>
      <c r="G33" s="1709" t="s">
        <v>2788</v>
      </c>
      <c r="H33" s="1710" t="s">
        <v>730</v>
      </c>
      <c r="I33" s="1709" t="s">
        <v>2787</v>
      </c>
      <c r="J33" s="1709" t="s">
        <v>731</v>
      </c>
      <c r="K33" s="1709" t="s">
        <v>732</v>
      </c>
      <c r="L33" s="1711"/>
      <c r="M33" s="1711"/>
      <c r="N33" s="1711" t="s">
        <v>2656</v>
      </c>
      <c r="O33" s="1709"/>
      <c r="P33" s="1711"/>
      <c r="Q33" s="1712"/>
      <c r="R33" s="1709"/>
      <c r="S33" s="1709"/>
      <c r="T33" s="1709"/>
      <c r="U33" s="1709" t="s">
        <v>2786</v>
      </c>
      <c r="V33" s="1709" t="s">
        <v>2785</v>
      </c>
      <c r="W33" s="1709"/>
      <c r="X33" s="1709">
        <v>44352</v>
      </c>
      <c r="Y33" s="1709">
        <v>44354</v>
      </c>
      <c r="Z33" s="1709"/>
      <c r="AA33" s="1709"/>
      <c r="AB33" s="1709" t="s">
        <v>733</v>
      </c>
      <c r="AC33" s="1709">
        <v>0</v>
      </c>
      <c r="AD33" s="1709">
        <v>0</v>
      </c>
      <c r="AE33" s="1709">
        <v>0</v>
      </c>
      <c r="AF33" s="1709">
        <v>0</v>
      </c>
      <c r="AG33" s="1709">
        <v>5</v>
      </c>
      <c r="AH33" s="1709">
        <v>1</v>
      </c>
      <c r="AI33" s="1709">
        <v>70255</v>
      </c>
      <c r="AJ33" s="1709">
        <v>2195</v>
      </c>
      <c r="AK33" s="1709">
        <v>0</v>
      </c>
      <c r="AL33" s="1709">
        <v>0</v>
      </c>
      <c r="AM33" s="1709"/>
      <c r="AN33" s="1709"/>
      <c r="AO33" s="1710"/>
      <c r="AP33" s="1710"/>
      <c r="AQ33" s="1713" t="str">
        <f t="shared" si="0"/>
        <v/>
      </c>
      <c r="AS33" s="304" t="str">
        <f t="shared" si="1"/>
        <v>wci_corp</v>
      </c>
    </row>
    <row r="34" spans="2:45">
      <c r="B34" s="1708" t="s">
        <v>2666</v>
      </c>
      <c r="C34" s="1709">
        <v>44377</v>
      </c>
      <c r="D34" s="1672">
        <v>-2000</v>
      </c>
      <c r="E34" s="1672">
        <v>0</v>
      </c>
      <c r="F34" s="1673" t="s">
        <v>729</v>
      </c>
      <c r="G34" s="1709" t="s">
        <v>2788</v>
      </c>
      <c r="H34" s="1710" t="s">
        <v>730</v>
      </c>
      <c r="I34" s="1709" t="s">
        <v>2787</v>
      </c>
      <c r="J34" s="1709" t="s">
        <v>731</v>
      </c>
      <c r="K34" s="1709" t="s">
        <v>732</v>
      </c>
      <c r="L34" s="1711"/>
      <c r="M34" s="1711"/>
      <c r="N34" s="1711" t="s">
        <v>2660</v>
      </c>
      <c r="O34" s="1709"/>
      <c r="P34" s="1711"/>
      <c r="Q34" s="1712"/>
      <c r="R34" s="1709"/>
      <c r="S34" s="1709"/>
      <c r="T34" s="1709"/>
      <c r="U34" s="1709" t="s">
        <v>2786</v>
      </c>
      <c r="V34" s="1709" t="s">
        <v>2785</v>
      </c>
      <c r="W34" s="1709"/>
      <c r="X34" s="1709">
        <v>44352</v>
      </c>
      <c r="Y34" s="1709">
        <v>44354</v>
      </c>
      <c r="Z34" s="1709"/>
      <c r="AA34" s="1709"/>
      <c r="AB34" s="1709" t="s">
        <v>733</v>
      </c>
      <c r="AC34" s="1709">
        <v>0</v>
      </c>
      <c r="AD34" s="1709">
        <v>0</v>
      </c>
      <c r="AE34" s="1709">
        <v>0</v>
      </c>
      <c r="AF34" s="1709">
        <v>0</v>
      </c>
      <c r="AG34" s="1709">
        <v>5</v>
      </c>
      <c r="AH34" s="1709">
        <v>1</v>
      </c>
      <c r="AI34" s="1709">
        <v>70255</v>
      </c>
      <c r="AJ34" s="1709">
        <v>2195</v>
      </c>
      <c r="AK34" s="1709">
        <v>0</v>
      </c>
      <c r="AL34" s="1709">
        <v>0</v>
      </c>
      <c r="AM34" s="1709"/>
      <c r="AN34" s="1709"/>
      <c r="AO34" s="1710"/>
      <c r="AP34" s="1710"/>
      <c r="AQ34" s="1713" t="str">
        <f t="shared" si="0"/>
        <v/>
      </c>
      <c r="AS34" s="304" t="str">
        <f t="shared" si="1"/>
        <v>wci_corp</v>
      </c>
    </row>
    <row r="35" spans="2:45">
      <c r="B35" s="1708" t="s">
        <v>2666</v>
      </c>
      <c r="C35" s="1709">
        <v>44377</v>
      </c>
      <c r="D35" s="1672">
        <v>491.58</v>
      </c>
      <c r="E35" s="1672">
        <v>0</v>
      </c>
      <c r="F35" s="1673" t="s">
        <v>729</v>
      </c>
      <c r="G35" s="1709" t="s">
        <v>2784</v>
      </c>
      <c r="H35" s="1710" t="s">
        <v>730</v>
      </c>
      <c r="I35" s="1709" t="s">
        <v>2655</v>
      </c>
      <c r="J35" s="1709" t="s">
        <v>736</v>
      </c>
      <c r="K35" s="1709" t="s">
        <v>732</v>
      </c>
      <c r="L35" s="1711"/>
      <c r="M35" s="1711"/>
      <c r="N35" s="1711" t="s">
        <v>2655</v>
      </c>
      <c r="O35" s="1709"/>
      <c r="P35" s="1711"/>
      <c r="Q35" s="1712"/>
      <c r="R35" s="1709"/>
      <c r="S35" s="1709"/>
      <c r="T35" s="1709"/>
      <c r="U35" s="1709" t="s">
        <v>2783</v>
      </c>
      <c r="V35" s="1709" t="s">
        <v>2783</v>
      </c>
      <c r="W35" s="1709"/>
      <c r="X35" s="1709">
        <v>44384</v>
      </c>
      <c r="Y35" s="1709">
        <v>44384</v>
      </c>
      <c r="Z35" s="1709"/>
      <c r="AA35" s="1709"/>
      <c r="AB35" s="1709" t="s">
        <v>733</v>
      </c>
      <c r="AC35" s="1709">
        <v>0</v>
      </c>
      <c r="AD35" s="1709">
        <v>0</v>
      </c>
      <c r="AE35" s="1709">
        <v>0</v>
      </c>
      <c r="AF35" s="1709">
        <v>0</v>
      </c>
      <c r="AG35" s="1709">
        <v>0</v>
      </c>
      <c r="AH35" s="1709">
        <v>1</v>
      </c>
      <c r="AI35" s="1709">
        <v>70255</v>
      </c>
      <c r="AJ35" s="1709">
        <v>2195</v>
      </c>
      <c r="AK35" s="1709">
        <v>0</v>
      </c>
      <c r="AL35" s="1709">
        <v>0</v>
      </c>
      <c r="AM35" s="1709"/>
      <c r="AN35" s="1709"/>
      <c r="AO35" s="1710"/>
      <c r="AP35" s="1710"/>
      <c r="AQ35" s="1713" t="str">
        <f t="shared" si="0"/>
        <v/>
      </c>
      <c r="AS35" s="304" t="str">
        <f t="shared" si="1"/>
        <v>wci_corp</v>
      </c>
    </row>
    <row r="36" spans="2:45">
      <c r="B36" s="1708" t="s">
        <v>2666</v>
      </c>
      <c r="C36" s="1709">
        <v>44377</v>
      </c>
      <c r="D36" s="1672">
        <v>491.58</v>
      </c>
      <c r="E36" s="1672">
        <v>0</v>
      </c>
      <c r="F36" s="1673" t="s">
        <v>729</v>
      </c>
      <c r="G36" s="1709" t="s">
        <v>2782</v>
      </c>
      <c r="H36" s="1710" t="s">
        <v>730</v>
      </c>
      <c r="I36" s="1709" t="s">
        <v>2774</v>
      </c>
      <c r="J36" s="1709" t="s">
        <v>736</v>
      </c>
      <c r="K36" s="1709" t="s">
        <v>732</v>
      </c>
      <c r="L36" s="1711"/>
      <c r="M36" s="1711"/>
      <c r="N36" s="1711" t="s">
        <v>2654</v>
      </c>
      <c r="O36" s="1709"/>
      <c r="P36" s="1711"/>
      <c r="Q36" s="1712"/>
      <c r="R36" s="1709"/>
      <c r="S36" s="1709"/>
      <c r="T36" s="1709"/>
      <c r="U36" s="1709" t="s">
        <v>2773</v>
      </c>
      <c r="V36" s="1709" t="s">
        <v>2773</v>
      </c>
      <c r="W36" s="1709"/>
      <c r="X36" s="1709">
        <v>44384</v>
      </c>
      <c r="Y36" s="1709">
        <v>44384</v>
      </c>
      <c r="Z36" s="1709"/>
      <c r="AA36" s="1709"/>
      <c r="AB36" s="1709" t="s">
        <v>733</v>
      </c>
      <c r="AC36" s="1709">
        <v>0</v>
      </c>
      <c r="AD36" s="1709">
        <v>0</v>
      </c>
      <c r="AE36" s="1709">
        <v>0</v>
      </c>
      <c r="AF36" s="1709">
        <v>0</v>
      </c>
      <c r="AG36" s="1709">
        <v>0</v>
      </c>
      <c r="AH36" s="1709">
        <v>1</v>
      </c>
      <c r="AI36" s="1709">
        <v>70255</v>
      </c>
      <c r="AJ36" s="1709">
        <v>2195</v>
      </c>
      <c r="AK36" s="1709">
        <v>0</v>
      </c>
      <c r="AL36" s="1709">
        <v>0</v>
      </c>
      <c r="AM36" s="1709"/>
      <c r="AN36" s="1709"/>
      <c r="AO36" s="1710"/>
      <c r="AP36" s="1710"/>
      <c r="AQ36" s="1713" t="str">
        <f t="shared" si="0"/>
        <v/>
      </c>
      <c r="AS36" s="304" t="str">
        <f t="shared" si="1"/>
        <v>wci_corp</v>
      </c>
    </row>
    <row r="37" spans="2:45">
      <c r="B37" s="1708" t="s">
        <v>2666</v>
      </c>
      <c r="C37" s="1709">
        <v>44377</v>
      </c>
      <c r="D37" s="1672">
        <v>2000</v>
      </c>
      <c r="E37" s="1672">
        <v>0</v>
      </c>
      <c r="F37" s="1673" t="s">
        <v>729</v>
      </c>
      <c r="G37" s="1709" t="s">
        <v>2781</v>
      </c>
      <c r="H37" s="1710" t="s">
        <v>730</v>
      </c>
      <c r="I37" s="1709" t="s">
        <v>2770</v>
      </c>
      <c r="J37" s="1709" t="s">
        <v>735</v>
      </c>
      <c r="K37" s="1709" t="s">
        <v>732</v>
      </c>
      <c r="L37" s="1711"/>
      <c r="M37" s="1711"/>
      <c r="N37" s="1711" t="s">
        <v>2660</v>
      </c>
      <c r="O37" s="1709"/>
      <c r="P37" s="1711"/>
      <c r="Q37" s="1712"/>
      <c r="R37" s="1709"/>
      <c r="S37" s="1709"/>
      <c r="T37" s="1709"/>
      <c r="U37" s="1709" t="s">
        <v>2769</v>
      </c>
      <c r="V37" s="1709" t="s">
        <v>2769</v>
      </c>
      <c r="W37" s="1709"/>
      <c r="X37" s="1709">
        <v>44384</v>
      </c>
      <c r="Y37" s="1709">
        <v>44385</v>
      </c>
      <c r="Z37" s="1709"/>
      <c r="AA37" s="1709"/>
      <c r="AB37" s="1709" t="s">
        <v>733</v>
      </c>
      <c r="AC37" s="1709">
        <v>0</v>
      </c>
      <c r="AD37" s="1709">
        <v>0</v>
      </c>
      <c r="AE37" s="1709">
        <v>0</v>
      </c>
      <c r="AF37" s="1709">
        <v>0</v>
      </c>
      <c r="AG37" s="1709">
        <v>0</v>
      </c>
      <c r="AH37" s="1709">
        <v>1</v>
      </c>
      <c r="AI37" s="1709">
        <v>70255</v>
      </c>
      <c r="AJ37" s="1709">
        <v>2195</v>
      </c>
      <c r="AK37" s="1709">
        <v>0</v>
      </c>
      <c r="AL37" s="1709">
        <v>0</v>
      </c>
      <c r="AM37" s="1709"/>
      <c r="AN37" s="1709"/>
      <c r="AO37" s="1710"/>
      <c r="AP37" s="1710"/>
      <c r="AQ37" s="1713" t="str">
        <f t="shared" si="0"/>
        <v/>
      </c>
      <c r="AS37" s="304" t="str">
        <f t="shared" si="1"/>
        <v>wci_corp</v>
      </c>
    </row>
    <row r="38" spans="2:45">
      <c r="B38" s="1708" t="s">
        <v>2666</v>
      </c>
      <c r="C38" s="1709">
        <v>44377</v>
      </c>
      <c r="D38" s="1672">
        <v>333.33</v>
      </c>
      <c r="E38" s="1672">
        <v>0</v>
      </c>
      <c r="F38" s="1673" t="s">
        <v>729</v>
      </c>
      <c r="G38" s="1709" t="s">
        <v>2780</v>
      </c>
      <c r="H38" s="1710" t="s">
        <v>730</v>
      </c>
      <c r="I38" s="1709" t="s">
        <v>2762</v>
      </c>
      <c r="J38" s="1709" t="s">
        <v>736</v>
      </c>
      <c r="K38" s="1709" t="s">
        <v>732</v>
      </c>
      <c r="L38" s="1711"/>
      <c r="M38" s="1711"/>
      <c r="N38" s="1711" t="s">
        <v>2658</v>
      </c>
      <c r="O38" s="1709"/>
      <c r="P38" s="1711"/>
      <c r="Q38" s="1712"/>
      <c r="R38" s="1709"/>
      <c r="S38" s="1709"/>
      <c r="T38" s="1709"/>
      <c r="U38" s="1709" t="s">
        <v>2779</v>
      </c>
      <c r="V38" s="1709" t="s">
        <v>2779</v>
      </c>
      <c r="W38" s="1709"/>
      <c r="X38" s="1709">
        <v>44385</v>
      </c>
      <c r="Y38" s="1709">
        <v>44385</v>
      </c>
      <c r="Z38" s="1709"/>
      <c r="AA38" s="1709"/>
      <c r="AB38" s="1709" t="s">
        <v>733</v>
      </c>
      <c r="AC38" s="1709">
        <v>0</v>
      </c>
      <c r="AD38" s="1709">
        <v>0</v>
      </c>
      <c r="AE38" s="1709">
        <v>0</v>
      </c>
      <c r="AF38" s="1709">
        <v>0</v>
      </c>
      <c r="AG38" s="1709">
        <v>0</v>
      </c>
      <c r="AH38" s="1709">
        <v>1</v>
      </c>
      <c r="AI38" s="1709">
        <v>70255</v>
      </c>
      <c r="AJ38" s="1709">
        <v>2195</v>
      </c>
      <c r="AK38" s="1709">
        <v>0</v>
      </c>
      <c r="AL38" s="1709">
        <v>0</v>
      </c>
      <c r="AM38" s="1709"/>
      <c r="AN38" s="1709"/>
      <c r="AO38" s="1710"/>
      <c r="AP38" s="1710"/>
      <c r="AQ38" s="1713" t="str">
        <f t="shared" si="0"/>
        <v/>
      </c>
      <c r="AS38" s="304" t="str">
        <f t="shared" si="1"/>
        <v>wci_corp</v>
      </c>
    </row>
    <row r="39" spans="2:45">
      <c r="B39" s="1708" t="s">
        <v>2666</v>
      </c>
      <c r="C39" s="1709">
        <v>44377</v>
      </c>
      <c r="D39" s="1672">
        <v>3264.6</v>
      </c>
      <c r="E39" s="1672">
        <v>0</v>
      </c>
      <c r="F39" s="1673" t="s">
        <v>729</v>
      </c>
      <c r="G39" s="1709" t="s">
        <v>2100</v>
      </c>
      <c r="H39" s="1710" t="s">
        <v>730</v>
      </c>
      <c r="I39" s="1709" t="s">
        <v>2063</v>
      </c>
      <c r="J39" s="1709" t="s">
        <v>735</v>
      </c>
      <c r="K39" s="1709" t="s">
        <v>732</v>
      </c>
      <c r="L39" s="1711"/>
      <c r="M39" s="1711"/>
      <c r="N39" s="1711" t="s">
        <v>2653</v>
      </c>
      <c r="O39" s="1709"/>
      <c r="P39" s="1711"/>
      <c r="Q39" s="1712"/>
      <c r="R39" s="1709"/>
      <c r="S39" s="1709"/>
      <c r="T39" s="1709"/>
      <c r="U39" s="1709" t="s">
        <v>2101</v>
      </c>
      <c r="V39" s="1709" t="s">
        <v>2101</v>
      </c>
      <c r="W39" s="1709"/>
      <c r="X39" s="1709">
        <v>44385</v>
      </c>
      <c r="Y39" s="1709">
        <v>44385</v>
      </c>
      <c r="Z39" s="1709"/>
      <c r="AA39" s="1709"/>
      <c r="AB39" s="1709" t="s">
        <v>733</v>
      </c>
      <c r="AC39" s="1709">
        <v>0</v>
      </c>
      <c r="AD39" s="1709">
        <v>0</v>
      </c>
      <c r="AE39" s="1709">
        <v>0</v>
      </c>
      <c r="AF39" s="1709">
        <v>0</v>
      </c>
      <c r="AG39" s="1709">
        <v>0</v>
      </c>
      <c r="AH39" s="1709">
        <v>1</v>
      </c>
      <c r="AI39" s="1709">
        <v>70255</v>
      </c>
      <c r="AJ39" s="1709">
        <v>2195</v>
      </c>
      <c r="AK39" s="1709">
        <v>0</v>
      </c>
      <c r="AL39" s="1709">
        <v>0</v>
      </c>
      <c r="AM39" s="1709"/>
      <c r="AN39" s="1709"/>
      <c r="AO39" s="1710"/>
      <c r="AP39" s="1710"/>
      <c r="AQ39" s="1713" t="str">
        <f t="shared" si="0"/>
        <v/>
      </c>
      <c r="AS39" s="304" t="str">
        <f t="shared" si="1"/>
        <v>wci_corp</v>
      </c>
    </row>
    <row r="40" spans="2:45">
      <c r="B40" s="1708" t="s">
        <v>2666</v>
      </c>
      <c r="C40" s="1709">
        <v>44391</v>
      </c>
      <c r="D40" s="1672">
        <v>2000</v>
      </c>
      <c r="E40" s="1672">
        <v>0</v>
      </c>
      <c r="F40" s="1673" t="s">
        <v>729</v>
      </c>
      <c r="G40" s="1709" t="s">
        <v>2778</v>
      </c>
      <c r="H40" s="1710" t="s">
        <v>730</v>
      </c>
      <c r="I40" s="1709" t="s">
        <v>1039</v>
      </c>
      <c r="J40" s="1709" t="s">
        <v>1042</v>
      </c>
      <c r="K40" s="1709" t="s">
        <v>732</v>
      </c>
      <c r="L40" s="1711" t="s">
        <v>2677</v>
      </c>
      <c r="M40" s="1711"/>
      <c r="N40" s="1711" t="s">
        <v>2662</v>
      </c>
      <c r="O40" s="1709">
        <v>44377</v>
      </c>
      <c r="P40" s="1711" t="s">
        <v>2660</v>
      </c>
      <c r="Q40" s="1712">
        <v>980741</v>
      </c>
      <c r="R40" s="1709" t="s">
        <v>2698</v>
      </c>
      <c r="S40" s="1709"/>
      <c r="T40" s="1709"/>
      <c r="U40" s="1709" t="s">
        <v>2777</v>
      </c>
      <c r="V40" s="1709" t="s">
        <v>2776</v>
      </c>
      <c r="W40" s="1709">
        <v>2111</v>
      </c>
      <c r="X40" s="1709">
        <v>44391</v>
      </c>
      <c r="Y40" s="1709">
        <v>44392</v>
      </c>
      <c r="Z40" s="1709">
        <v>12000</v>
      </c>
      <c r="AA40" s="1709">
        <v>44387</v>
      </c>
      <c r="AB40" s="1709" t="s">
        <v>733</v>
      </c>
      <c r="AC40" s="1709">
        <v>0</v>
      </c>
      <c r="AD40" s="1709">
        <v>0</v>
      </c>
      <c r="AE40" s="1709">
        <v>0</v>
      </c>
      <c r="AF40" s="1709">
        <v>0</v>
      </c>
      <c r="AG40" s="1709">
        <v>0</v>
      </c>
      <c r="AH40" s="1709">
        <v>1</v>
      </c>
      <c r="AI40" s="1709">
        <v>70255</v>
      </c>
      <c r="AJ40" s="1709">
        <v>2195</v>
      </c>
      <c r="AK40" s="1709">
        <v>0</v>
      </c>
      <c r="AL40" s="1709">
        <v>0</v>
      </c>
      <c r="AM40" s="1709"/>
      <c r="AN40" s="1709"/>
      <c r="AO40" s="1710"/>
      <c r="AP40" s="1710"/>
      <c r="AQ40" s="1713" t="str">
        <f t="shared" si="0"/>
        <v>VO05850338</v>
      </c>
      <c r="AS40" s="304" t="str">
        <f t="shared" si="1"/>
        <v>wci_corp</v>
      </c>
    </row>
    <row r="41" spans="2:45">
      <c r="B41" s="1708" t="s">
        <v>2666</v>
      </c>
      <c r="C41" s="1709">
        <v>44408</v>
      </c>
      <c r="D41" s="1672">
        <v>-491.58</v>
      </c>
      <c r="E41" s="1672">
        <v>0</v>
      </c>
      <c r="F41" s="1673" t="s">
        <v>729</v>
      </c>
      <c r="G41" s="1709" t="s">
        <v>2775</v>
      </c>
      <c r="H41" s="1710" t="s">
        <v>730</v>
      </c>
      <c r="I41" s="1709" t="s">
        <v>2774</v>
      </c>
      <c r="J41" s="1709" t="s">
        <v>735</v>
      </c>
      <c r="K41" s="1709" t="s">
        <v>732</v>
      </c>
      <c r="L41" s="1711"/>
      <c r="M41" s="1711"/>
      <c r="N41" s="1711" t="s">
        <v>2654</v>
      </c>
      <c r="O41" s="1709"/>
      <c r="P41" s="1711"/>
      <c r="Q41" s="1712"/>
      <c r="R41" s="1709"/>
      <c r="S41" s="1709"/>
      <c r="T41" s="1709"/>
      <c r="U41" s="1709" t="s">
        <v>2773</v>
      </c>
      <c r="V41" s="1709" t="s">
        <v>2772</v>
      </c>
      <c r="W41" s="1709"/>
      <c r="X41" s="1709">
        <v>44384</v>
      </c>
      <c r="Y41" s="1709">
        <v>44384</v>
      </c>
      <c r="Z41" s="1709"/>
      <c r="AA41" s="1709"/>
      <c r="AB41" s="1709" t="s">
        <v>733</v>
      </c>
      <c r="AC41" s="1709">
        <v>0</v>
      </c>
      <c r="AD41" s="1709">
        <v>0</v>
      </c>
      <c r="AE41" s="1709">
        <v>0</v>
      </c>
      <c r="AF41" s="1709">
        <v>0</v>
      </c>
      <c r="AG41" s="1709">
        <v>5</v>
      </c>
      <c r="AH41" s="1709">
        <v>1</v>
      </c>
      <c r="AI41" s="1709">
        <v>70255</v>
      </c>
      <c r="AJ41" s="1709">
        <v>2195</v>
      </c>
      <c r="AK41" s="1709">
        <v>0</v>
      </c>
      <c r="AL41" s="1709">
        <v>0</v>
      </c>
      <c r="AM41" s="1709"/>
      <c r="AN41" s="1709"/>
      <c r="AO41" s="1710"/>
      <c r="AP41" s="1710"/>
      <c r="AQ41" s="1713" t="str">
        <f t="shared" si="0"/>
        <v/>
      </c>
      <c r="AS41" s="304" t="str">
        <f t="shared" si="1"/>
        <v>wci_corp</v>
      </c>
    </row>
    <row r="42" spans="2:45">
      <c r="B42" s="1708" t="s">
        <v>2666</v>
      </c>
      <c r="C42" s="1709">
        <v>44408</v>
      </c>
      <c r="D42" s="1672">
        <v>-2000</v>
      </c>
      <c r="E42" s="1672">
        <v>0</v>
      </c>
      <c r="F42" s="1673" t="s">
        <v>729</v>
      </c>
      <c r="G42" s="1709" t="s">
        <v>2771</v>
      </c>
      <c r="H42" s="1710" t="s">
        <v>730</v>
      </c>
      <c r="I42" s="1709" t="s">
        <v>2770</v>
      </c>
      <c r="J42" s="1709" t="s">
        <v>736</v>
      </c>
      <c r="K42" s="1709" t="s">
        <v>732</v>
      </c>
      <c r="L42" s="1711"/>
      <c r="M42" s="1711"/>
      <c r="N42" s="1711" t="s">
        <v>2660</v>
      </c>
      <c r="O42" s="1709"/>
      <c r="P42" s="1711"/>
      <c r="Q42" s="1712"/>
      <c r="R42" s="1709"/>
      <c r="S42" s="1709"/>
      <c r="T42" s="1709"/>
      <c r="U42" s="1709" t="s">
        <v>2769</v>
      </c>
      <c r="V42" s="1709" t="s">
        <v>2768</v>
      </c>
      <c r="W42" s="1709"/>
      <c r="X42" s="1709">
        <v>44384</v>
      </c>
      <c r="Y42" s="1709">
        <v>44385</v>
      </c>
      <c r="Z42" s="1709"/>
      <c r="AA42" s="1709"/>
      <c r="AB42" s="1709" t="s">
        <v>733</v>
      </c>
      <c r="AC42" s="1709">
        <v>0</v>
      </c>
      <c r="AD42" s="1709">
        <v>0</v>
      </c>
      <c r="AE42" s="1709">
        <v>0</v>
      </c>
      <c r="AF42" s="1709">
        <v>0</v>
      </c>
      <c r="AG42" s="1709">
        <v>5</v>
      </c>
      <c r="AH42" s="1709">
        <v>1</v>
      </c>
      <c r="AI42" s="1709">
        <v>70255</v>
      </c>
      <c r="AJ42" s="1709">
        <v>2195</v>
      </c>
      <c r="AK42" s="1709">
        <v>0</v>
      </c>
      <c r="AL42" s="1709">
        <v>0</v>
      </c>
      <c r="AM42" s="1709"/>
      <c r="AN42" s="1709"/>
      <c r="AO42" s="1710"/>
      <c r="AP42" s="1710"/>
      <c r="AQ42" s="1713" t="str">
        <f t="shared" si="0"/>
        <v/>
      </c>
      <c r="AS42" s="304" t="str">
        <f t="shared" si="1"/>
        <v>wci_corp</v>
      </c>
    </row>
    <row r="43" spans="2:45">
      <c r="B43" s="1708" t="s">
        <v>2666</v>
      </c>
      <c r="C43" s="1709">
        <v>44408</v>
      </c>
      <c r="D43" s="1672">
        <v>501.43</v>
      </c>
      <c r="E43" s="1672">
        <v>0</v>
      </c>
      <c r="F43" s="1673" t="s">
        <v>729</v>
      </c>
      <c r="G43" s="1709" t="s">
        <v>2767</v>
      </c>
      <c r="H43" s="1710" t="s">
        <v>730</v>
      </c>
      <c r="I43" s="1709" t="s">
        <v>2652</v>
      </c>
      <c r="J43" s="1709" t="s">
        <v>736</v>
      </c>
      <c r="K43" s="1709" t="s">
        <v>732</v>
      </c>
      <c r="L43" s="1711"/>
      <c r="M43" s="1711"/>
      <c r="N43" s="1711" t="s">
        <v>2652</v>
      </c>
      <c r="O43" s="1709"/>
      <c r="P43" s="1711"/>
      <c r="Q43" s="1712"/>
      <c r="R43" s="1709"/>
      <c r="S43" s="1709"/>
      <c r="T43" s="1709"/>
      <c r="U43" s="1709" t="s">
        <v>2766</v>
      </c>
      <c r="V43" s="1709" t="s">
        <v>2766</v>
      </c>
      <c r="W43" s="1709"/>
      <c r="X43" s="1709">
        <v>44413</v>
      </c>
      <c r="Y43" s="1709">
        <v>44413</v>
      </c>
      <c r="Z43" s="1709"/>
      <c r="AA43" s="1709"/>
      <c r="AB43" s="1709" t="s">
        <v>733</v>
      </c>
      <c r="AC43" s="1709">
        <v>0</v>
      </c>
      <c r="AD43" s="1709">
        <v>0</v>
      </c>
      <c r="AE43" s="1709">
        <v>0</v>
      </c>
      <c r="AF43" s="1709">
        <v>0</v>
      </c>
      <c r="AG43" s="1709">
        <v>0</v>
      </c>
      <c r="AH43" s="1709">
        <v>1</v>
      </c>
      <c r="AI43" s="1709">
        <v>70255</v>
      </c>
      <c r="AJ43" s="1709">
        <v>2195</v>
      </c>
      <c r="AK43" s="1709">
        <v>0</v>
      </c>
      <c r="AL43" s="1709">
        <v>0</v>
      </c>
      <c r="AM43" s="1709"/>
      <c r="AN43" s="1709"/>
      <c r="AO43" s="1710"/>
      <c r="AP43" s="1710"/>
      <c r="AQ43" s="1713" t="str">
        <f t="shared" si="0"/>
        <v/>
      </c>
      <c r="AS43" s="304" t="str">
        <f t="shared" si="1"/>
        <v>wci_corp</v>
      </c>
    </row>
    <row r="44" spans="2:45">
      <c r="B44" s="1708" t="s">
        <v>2666</v>
      </c>
      <c r="C44" s="1709">
        <v>44408</v>
      </c>
      <c r="D44" s="1672">
        <v>507.16</v>
      </c>
      <c r="E44" s="1672">
        <v>0</v>
      </c>
      <c r="F44" s="1673" t="s">
        <v>729</v>
      </c>
      <c r="G44" s="1709" t="s">
        <v>2765</v>
      </c>
      <c r="H44" s="1710" t="s">
        <v>730</v>
      </c>
      <c r="I44" s="1709" t="s">
        <v>2651</v>
      </c>
      <c r="J44" s="1709" t="s">
        <v>736</v>
      </c>
      <c r="K44" s="1709" t="s">
        <v>732</v>
      </c>
      <c r="L44" s="1711"/>
      <c r="M44" s="1711"/>
      <c r="N44" s="1711" t="s">
        <v>2651</v>
      </c>
      <c r="O44" s="1709"/>
      <c r="P44" s="1711"/>
      <c r="Q44" s="1712"/>
      <c r="R44" s="1709"/>
      <c r="S44" s="1709"/>
      <c r="T44" s="1709"/>
      <c r="U44" s="1709" t="s">
        <v>2764</v>
      </c>
      <c r="V44" s="1709" t="s">
        <v>2764</v>
      </c>
      <c r="W44" s="1709"/>
      <c r="X44" s="1709">
        <v>44413</v>
      </c>
      <c r="Y44" s="1709">
        <v>44413</v>
      </c>
      <c r="Z44" s="1709"/>
      <c r="AA44" s="1709"/>
      <c r="AB44" s="1709" t="s">
        <v>733</v>
      </c>
      <c r="AC44" s="1709">
        <v>0</v>
      </c>
      <c r="AD44" s="1709">
        <v>0</v>
      </c>
      <c r="AE44" s="1709">
        <v>0</v>
      </c>
      <c r="AF44" s="1709">
        <v>0</v>
      </c>
      <c r="AG44" s="1709">
        <v>0</v>
      </c>
      <c r="AH44" s="1709">
        <v>1</v>
      </c>
      <c r="AI44" s="1709">
        <v>70255</v>
      </c>
      <c r="AJ44" s="1709">
        <v>2195</v>
      </c>
      <c r="AK44" s="1709">
        <v>0</v>
      </c>
      <c r="AL44" s="1709">
        <v>0</v>
      </c>
      <c r="AM44" s="1709"/>
      <c r="AN44" s="1709"/>
      <c r="AO44" s="1710"/>
      <c r="AP44" s="1710"/>
      <c r="AQ44" s="1713" t="str">
        <f t="shared" si="0"/>
        <v/>
      </c>
      <c r="AS44" s="304" t="str">
        <f t="shared" si="1"/>
        <v>wci_corp</v>
      </c>
    </row>
    <row r="45" spans="2:45">
      <c r="B45" s="1708" t="s">
        <v>2666</v>
      </c>
      <c r="C45" s="1709">
        <v>44408</v>
      </c>
      <c r="D45" s="1672">
        <v>333.33</v>
      </c>
      <c r="E45" s="1672">
        <v>0</v>
      </c>
      <c r="F45" s="1673" t="s">
        <v>729</v>
      </c>
      <c r="G45" s="1709" t="s">
        <v>2763</v>
      </c>
      <c r="H45" s="1710" t="s">
        <v>730</v>
      </c>
      <c r="I45" s="1709" t="s">
        <v>2762</v>
      </c>
      <c r="J45" s="1709" t="s">
        <v>735</v>
      </c>
      <c r="K45" s="1709" t="s">
        <v>732</v>
      </c>
      <c r="L45" s="1711"/>
      <c r="M45" s="1711"/>
      <c r="N45" s="1711" t="s">
        <v>2658</v>
      </c>
      <c r="O45" s="1709"/>
      <c r="P45" s="1711"/>
      <c r="Q45" s="1712"/>
      <c r="R45" s="1709"/>
      <c r="S45" s="1709"/>
      <c r="T45" s="1709"/>
      <c r="U45" s="1709" t="s">
        <v>2761</v>
      </c>
      <c r="V45" s="1709" t="s">
        <v>2761</v>
      </c>
      <c r="W45" s="1709"/>
      <c r="X45" s="1709">
        <v>44413</v>
      </c>
      <c r="Y45" s="1709">
        <v>44414</v>
      </c>
      <c r="Z45" s="1709"/>
      <c r="AA45" s="1709"/>
      <c r="AB45" s="1709" t="s">
        <v>733</v>
      </c>
      <c r="AC45" s="1709">
        <v>0</v>
      </c>
      <c r="AD45" s="1709">
        <v>0</v>
      </c>
      <c r="AE45" s="1709">
        <v>0</v>
      </c>
      <c r="AF45" s="1709">
        <v>0</v>
      </c>
      <c r="AG45" s="1709">
        <v>0</v>
      </c>
      <c r="AH45" s="1709">
        <v>1</v>
      </c>
      <c r="AI45" s="1709">
        <v>70255</v>
      </c>
      <c r="AJ45" s="1709">
        <v>2195</v>
      </c>
      <c r="AK45" s="1709">
        <v>0</v>
      </c>
      <c r="AL45" s="1709">
        <v>0</v>
      </c>
      <c r="AM45" s="1709"/>
      <c r="AN45" s="1709"/>
      <c r="AO45" s="1710"/>
      <c r="AP45" s="1710"/>
      <c r="AQ45" s="1713" t="str">
        <f t="shared" si="0"/>
        <v/>
      </c>
      <c r="AS45" s="304" t="str">
        <f t="shared" si="1"/>
        <v>wci_corp</v>
      </c>
    </row>
    <row r="46" spans="2:45">
      <c r="B46" s="1708" t="s">
        <v>2666</v>
      </c>
      <c r="C46" s="1709">
        <v>44408</v>
      </c>
      <c r="D46" s="1672">
        <v>2000</v>
      </c>
      <c r="E46" s="1672">
        <v>0</v>
      </c>
      <c r="F46" s="1673" t="s">
        <v>729</v>
      </c>
      <c r="G46" s="1709" t="s">
        <v>2760</v>
      </c>
      <c r="H46" s="1710" t="s">
        <v>730</v>
      </c>
      <c r="I46" s="1709" t="s">
        <v>2756</v>
      </c>
      <c r="J46" s="1709" t="s">
        <v>735</v>
      </c>
      <c r="K46" s="1709" t="s">
        <v>732</v>
      </c>
      <c r="L46" s="1711"/>
      <c r="M46" s="1711"/>
      <c r="N46" s="1711" t="s">
        <v>2660</v>
      </c>
      <c r="O46" s="1709"/>
      <c r="P46" s="1711"/>
      <c r="Q46" s="1712"/>
      <c r="R46" s="1709"/>
      <c r="S46" s="1709"/>
      <c r="T46" s="1709"/>
      <c r="U46" s="1709" t="s">
        <v>2755</v>
      </c>
      <c r="V46" s="1709" t="s">
        <v>2755</v>
      </c>
      <c r="W46" s="1709"/>
      <c r="X46" s="1709">
        <v>44413</v>
      </c>
      <c r="Y46" s="1709">
        <v>44414</v>
      </c>
      <c r="Z46" s="1709"/>
      <c r="AA46" s="1709"/>
      <c r="AB46" s="1709" t="s">
        <v>733</v>
      </c>
      <c r="AC46" s="1709">
        <v>0</v>
      </c>
      <c r="AD46" s="1709">
        <v>0</v>
      </c>
      <c r="AE46" s="1709">
        <v>0</v>
      </c>
      <c r="AF46" s="1709">
        <v>0</v>
      </c>
      <c r="AG46" s="1709">
        <v>0</v>
      </c>
      <c r="AH46" s="1709">
        <v>1</v>
      </c>
      <c r="AI46" s="1709">
        <v>70255</v>
      </c>
      <c r="AJ46" s="1709">
        <v>2195</v>
      </c>
      <c r="AK46" s="1709">
        <v>0</v>
      </c>
      <c r="AL46" s="1709">
        <v>0</v>
      </c>
      <c r="AM46" s="1709"/>
      <c r="AN46" s="1709"/>
      <c r="AO46" s="1710"/>
      <c r="AP46" s="1710"/>
      <c r="AQ46" s="1713" t="str">
        <f t="shared" si="0"/>
        <v/>
      </c>
      <c r="AS46" s="304" t="str">
        <f t="shared" si="1"/>
        <v>wci_corp</v>
      </c>
    </row>
    <row r="47" spans="2:45">
      <c r="B47" s="1708" t="s">
        <v>2666</v>
      </c>
      <c r="C47" s="1709">
        <v>44420</v>
      </c>
      <c r="D47" s="1672">
        <v>2000</v>
      </c>
      <c r="E47" s="1672">
        <v>0</v>
      </c>
      <c r="F47" s="1673" t="s">
        <v>729</v>
      </c>
      <c r="G47" s="1709" t="s">
        <v>2303</v>
      </c>
      <c r="H47" s="1710" t="s">
        <v>730</v>
      </c>
      <c r="I47" s="1709" t="s">
        <v>1039</v>
      </c>
      <c r="J47" s="1709" t="s">
        <v>1038</v>
      </c>
      <c r="K47" s="1709" t="s">
        <v>732</v>
      </c>
      <c r="L47" s="1711" t="s">
        <v>2677</v>
      </c>
      <c r="M47" s="1711"/>
      <c r="N47" s="1711" t="s">
        <v>2662</v>
      </c>
      <c r="O47" s="1709">
        <v>44408</v>
      </c>
      <c r="P47" s="1711" t="s">
        <v>2660</v>
      </c>
      <c r="Q47" s="1712" t="s">
        <v>2759</v>
      </c>
      <c r="R47" s="1709" t="s">
        <v>2698</v>
      </c>
      <c r="S47" s="1709"/>
      <c r="T47" s="1709"/>
      <c r="U47" s="1709" t="s">
        <v>2758</v>
      </c>
      <c r="V47" s="1709" t="s">
        <v>2301</v>
      </c>
      <c r="W47" s="1709">
        <v>2111</v>
      </c>
      <c r="X47" s="1709">
        <v>44420</v>
      </c>
      <c r="Y47" s="1709">
        <v>44421</v>
      </c>
      <c r="Z47" s="1709">
        <v>16000</v>
      </c>
      <c r="AA47" s="1709">
        <v>44418</v>
      </c>
      <c r="AB47" s="1709" t="s">
        <v>733</v>
      </c>
      <c r="AC47" s="1709">
        <v>0</v>
      </c>
      <c r="AD47" s="1709">
        <v>0</v>
      </c>
      <c r="AE47" s="1709">
        <v>0</v>
      </c>
      <c r="AF47" s="1709">
        <v>0</v>
      </c>
      <c r="AG47" s="1709">
        <v>0</v>
      </c>
      <c r="AH47" s="1709">
        <v>1</v>
      </c>
      <c r="AI47" s="1709">
        <v>70255</v>
      </c>
      <c r="AJ47" s="1709">
        <v>2195</v>
      </c>
      <c r="AK47" s="1709">
        <v>0</v>
      </c>
      <c r="AL47" s="1709">
        <v>0</v>
      </c>
      <c r="AM47" s="1709"/>
      <c r="AN47" s="1709"/>
      <c r="AO47" s="1710"/>
      <c r="AP47" s="1710"/>
      <c r="AQ47" s="1713" t="str">
        <f t="shared" si="0"/>
        <v>VO05885383</v>
      </c>
      <c r="AS47" s="304" t="str">
        <f t="shared" si="1"/>
        <v>wci_corp</v>
      </c>
    </row>
    <row r="48" spans="2:45">
      <c r="B48" s="1708" t="s">
        <v>2666</v>
      </c>
      <c r="C48" s="1709">
        <v>44439</v>
      </c>
      <c r="D48" s="1672">
        <v>-2000</v>
      </c>
      <c r="E48" s="1672">
        <v>0</v>
      </c>
      <c r="F48" s="1673" t="s">
        <v>729</v>
      </c>
      <c r="G48" s="1709" t="s">
        <v>2757</v>
      </c>
      <c r="H48" s="1710" t="s">
        <v>730</v>
      </c>
      <c r="I48" s="1709" t="s">
        <v>2756</v>
      </c>
      <c r="J48" s="1709" t="s">
        <v>735</v>
      </c>
      <c r="K48" s="1709" t="s">
        <v>732</v>
      </c>
      <c r="L48" s="1711"/>
      <c r="M48" s="1711"/>
      <c r="N48" s="1711" t="s">
        <v>2660</v>
      </c>
      <c r="O48" s="1709"/>
      <c r="P48" s="1711"/>
      <c r="Q48" s="1712"/>
      <c r="R48" s="1709"/>
      <c r="S48" s="1709"/>
      <c r="T48" s="1709"/>
      <c r="U48" s="1709" t="s">
        <v>2755</v>
      </c>
      <c r="V48" s="1709" t="s">
        <v>2754</v>
      </c>
      <c r="W48" s="1709"/>
      <c r="X48" s="1709">
        <v>44413</v>
      </c>
      <c r="Y48" s="1709">
        <v>44414</v>
      </c>
      <c r="Z48" s="1709"/>
      <c r="AA48" s="1709"/>
      <c r="AB48" s="1709" t="s">
        <v>733</v>
      </c>
      <c r="AC48" s="1709">
        <v>0</v>
      </c>
      <c r="AD48" s="1709">
        <v>0</v>
      </c>
      <c r="AE48" s="1709">
        <v>0</v>
      </c>
      <c r="AF48" s="1709">
        <v>0</v>
      </c>
      <c r="AG48" s="1709">
        <v>5</v>
      </c>
      <c r="AH48" s="1709">
        <v>1</v>
      </c>
      <c r="AI48" s="1709">
        <v>70255</v>
      </c>
      <c r="AJ48" s="1709">
        <v>2195</v>
      </c>
      <c r="AK48" s="1709">
        <v>0</v>
      </c>
      <c r="AL48" s="1709">
        <v>0</v>
      </c>
      <c r="AM48" s="1709"/>
      <c r="AN48" s="1709"/>
      <c r="AO48" s="1710"/>
      <c r="AP48" s="1710"/>
      <c r="AQ48" s="1713" t="str">
        <f t="shared" si="0"/>
        <v/>
      </c>
      <c r="AS48" s="304" t="str">
        <f t="shared" si="1"/>
        <v>wci_corp</v>
      </c>
    </row>
    <row r="49" spans="2:45">
      <c r="B49" s="1708" t="s">
        <v>2666</v>
      </c>
      <c r="C49" s="1709">
        <v>44439</v>
      </c>
      <c r="D49" s="1672">
        <v>450.68</v>
      </c>
      <c r="E49" s="1672">
        <v>0</v>
      </c>
      <c r="F49" s="1673" t="s">
        <v>729</v>
      </c>
      <c r="G49" s="1709" t="s">
        <v>2753</v>
      </c>
      <c r="H49" s="1710" t="s">
        <v>730</v>
      </c>
      <c r="I49" s="1709" t="s">
        <v>2752</v>
      </c>
      <c r="J49" s="1709" t="s">
        <v>2106</v>
      </c>
      <c r="K49" s="1709" t="s">
        <v>732</v>
      </c>
      <c r="L49" s="1711"/>
      <c r="M49" s="1711"/>
      <c r="N49" s="1711" t="s">
        <v>2650</v>
      </c>
      <c r="O49" s="1709"/>
      <c r="P49" s="1711"/>
      <c r="Q49" s="1712"/>
      <c r="R49" s="1709"/>
      <c r="S49" s="1709"/>
      <c r="T49" s="1709"/>
      <c r="U49" s="1709" t="s">
        <v>2751</v>
      </c>
      <c r="V49" s="1709" t="s">
        <v>2751</v>
      </c>
      <c r="W49" s="1709"/>
      <c r="X49" s="1709">
        <v>44442</v>
      </c>
      <c r="Y49" s="1709">
        <v>44442</v>
      </c>
      <c r="Z49" s="1709"/>
      <c r="AA49" s="1709"/>
      <c r="AB49" s="1709" t="s">
        <v>733</v>
      </c>
      <c r="AC49" s="1709">
        <v>0</v>
      </c>
      <c r="AD49" s="1709">
        <v>0</v>
      </c>
      <c r="AE49" s="1709">
        <v>0</v>
      </c>
      <c r="AF49" s="1709">
        <v>0</v>
      </c>
      <c r="AG49" s="1709">
        <v>0</v>
      </c>
      <c r="AH49" s="1709">
        <v>1</v>
      </c>
      <c r="AI49" s="1709">
        <v>70255</v>
      </c>
      <c r="AJ49" s="1709">
        <v>2195</v>
      </c>
      <c r="AK49" s="1709">
        <v>0</v>
      </c>
      <c r="AL49" s="1709">
        <v>0</v>
      </c>
      <c r="AM49" s="1709"/>
      <c r="AN49" s="1709"/>
      <c r="AO49" s="1710"/>
      <c r="AP49" s="1710"/>
      <c r="AQ49" s="1713" t="str">
        <f t="shared" si="0"/>
        <v/>
      </c>
      <c r="AS49" s="304" t="str">
        <f t="shared" si="1"/>
        <v>wci_corp</v>
      </c>
    </row>
    <row r="50" spans="2:45">
      <c r="B50" s="1708" t="s">
        <v>2666</v>
      </c>
      <c r="C50" s="1709">
        <v>44439</v>
      </c>
      <c r="D50" s="1672">
        <v>2000</v>
      </c>
      <c r="E50" s="1672">
        <v>0</v>
      </c>
      <c r="F50" s="1673" t="s">
        <v>729</v>
      </c>
      <c r="G50" s="1709" t="s">
        <v>2750</v>
      </c>
      <c r="H50" s="1710" t="s">
        <v>730</v>
      </c>
      <c r="I50" s="1709" t="s">
        <v>2741</v>
      </c>
      <c r="J50" s="1709" t="s">
        <v>736</v>
      </c>
      <c r="K50" s="1709" t="s">
        <v>732</v>
      </c>
      <c r="L50" s="1711"/>
      <c r="M50" s="1711"/>
      <c r="N50" s="1711" t="s">
        <v>2660</v>
      </c>
      <c r="O50" s="1709"/>
      <c r="P50" s="1711"/>
      <c r="Q50" s="1712"/>
      <c r="R50" s="1709"/>
      <c r="S50" s="1709"/>
      <c r="T50" s="1709"/>
      <c r="U50" s="1709" t="s">
        <v>2740</v>
      </c>
      <c r="V50" s="1709" t="s">
        <v>2740</v>
      </c>
      <c r="W50" s="1709"/>
      <c r="X50" s="1709">
        <v>44446</v>
      </c>
      <c r="Y50" s="1709">
        <v>44446</v>
      </c>
      <c r="Z50" s="1709"/>
      <c r="AA50" s="1709"/>
      <c r="AB50" s="1709" t="s">
        <v>733</v>
      </c>
      <c r="AC50" s="1709">
        <v>0</v>
      </c>
      <c r="AD50" s="1709">
        <v>0</v>
      </c>
      <c r="AE50" s="1709">
        <v>0</v>
      </c>
      <c r="AF50" s="1709">
        <v>0</v>
      </c>
      <c r="AG50" s="1709">
        <v>0</v>
      </c>
      <c r="AH50" s="1709">
        <v>1</v>
      </c>
      <c r="AI50" s="1709">
        <v>70255</v>
      </c>
      <c r="AJ50" s="1709">
        <v>2195</v>
      </c>
      <c r="AK50" s="1709">
        <v>0</v>
      </c>
      <c r="AL50" s="1709">
        <v>0</v>
      </c>
      <c r="AM50" s="1709"/>
      <c r="AN50" s="1709"/>
      <c r="AO50" s="1710"/>
      <c r="AP50" s="1710"/>
      <c r="AQ50" s="1713" t="str">
        <f t="shared" si="0"/>
        <v/>
      </c>
      <c r="AS50" s="304" t="str">
        <f t="shared" si="1"/>
        <v>wci_corp</v>
      </c>
    </row>
    <row r="51" spans="2:45">
      <c r="B51" s="1708" t="s">
        <v>2666</v>
      </c>
      <c r="C51" s="1709">
        <v>44439</v>
      </c>
      <c r="D51" s="1672">
        <v>4000</v>
      </c>
      <c r="E51" s="1672">
        <v>0</v>
      </c>
      <c r="F51" s="1673" t="s">
        <v>729</v>
      </c>
      <c r="G51" s="1709" t="s">
        <v>2297</v>
      </c>
      <c r="H51" s="1710" t="s">
        <v>730</v>
      </c>
      <c r="I51" s="1709" t="s">
        <v>2222</v>
      </c>
      <c r="J51" s="1709" t="s">
        <v>736</v>
      </c>
      <c r="K51" s="1709" t="s">
        <v>732</v>
      </c>
      <c r="L51" s="1711"/>
      <c r="M51" s="1711"/>
      <c r="N51" s="1711" t="s">
        <v>2649</v>
      </c>
      <c r="O51" s="1709"/>
      <c r="P51" s="1711"/>
      <c r="Q51" s="1712"/>
      <c r="R51" s="1709"/>
      <c r="S51" s="1709"/>
      <c r="T51" s="1709"/>
      <c r="U51" s="1709" t="s">
        <v>2292</v>
      </c>
      <c r="V51" s="1709" t="s">
        <v>2292</v>
      </c>
      <c r="W51" s="1709"/>
      <c r="X51" s="1709">
        <v>44446</v>
      </c>
      <c r="Y51" s="1709">
        <v>44447</v>
      </c>
      <c r="Z51" s="1709"/>
      <c r="AA51" s="1709"/>
      <c r="AB51" s="1709" t="s">
        <v>733</v>
      </c>
      <c r="AC51" s="1709">
        <v>0</v>
      </c>
      <c r="AD51" s="1709">
        <v>0</v>
      </c>
      <c r="AE51" s="1709">
        <v>0</v>
      </c>
      <c r="AF51" s="1709">
        <v>0</v>
      </c>
      <c r="AG51" s="1709">
        <v>0</v>
      </c>
      <c r="AH51" s="1709">
        <v>1</v>
      </c>
      <c r="AI51" s="1709">
        <v>70255</v>
      </c>
      <c r="AJ51" s="1709">
        <v>2195</v>
      </c>
      <c r="AK51" s="1709">
        <v>0</v>
      </c>
      <c r="AL51" s="1709">
        <v>0</v>
      </c>
      <c r="AM51" s="1709"/>
      <c r="AN51" s="1709"/>
      <c r="AO51" s="1710"/>
      <c r="AP51" s="1710"/>
      <c r="AQ51" s="1713" t="str">
        <f t="shared" si="0"/>
        <v/>
      </c>
      <c r="AS51" s="304" t="str">
        <f t="shared" si="1"/>
        <v>wci_corp</v>
      </c>
    </row>
    <row r="52" spans="2:45">
      <c r="B52" s="1708" t="s">
        <v>2666</v>
      </c>
      <c r="C52" s="1709">
        <v>44454</v>
      </c>
      <c r="D52" s="1672">
        <v>4000</v>
      </c>
      <c r="E52" s="1672">
        <v>0</v>
      </c>
      <c r="F52" s="1673" t="s">
        <v>729</v>
      </c>
      <c r="G52" s="1709" t="s">
        <v>2608</v>
      </c>
      <c r="H52" s="1710" t="s">
        <v>730</v>
      </c>
      <c r="I52" s="1709" t="s">
        <v>1039</v>
      </c>
      <c r="J52" s="1709" t="s">
        <v>1042</v>
      </c>
      <c r="K52" s="1709" t="s">
        <v>732</v>
      </c>
      <c r="L52" s="1711" t="s">
        <v>2749</v>
      </c>
      <c r="M52" s="1711"/>
      <c r="N52" s="1711" t="s">
        <v>2648</v>
      </c>
      <c r="O52" s="1709">
        <v>44438</v>
      </c>
      <c r="P52" s="1711" t="s">
        <v>2649</v>
      </c>
      <c r="Q52" s="1712">
        <v>20710</v>
      </c>
      <c r="R52" s="1709" t="s">
        <v>2748</v>
      </c>
      <c r="S52" s="1709"/>
      <c r="T52" s="1709"/>
      <c r="U52" s="1709" t="s">
        <v>2747</v>
      </c>
      <c r="V52" s="1709" t="s">
        <v>2603</v>
      </c>
      <c r="W52" s="1709">
        <v>2195</v>
      </c>
      <c r="X52" s="1709">
        <v>44454</v>
      </c>
      <c r="Y52" s="1709">
        <v>44454</v>
      </c>
      <c r="Z52" s="1709">
        <v>4000</v>
      </c>
      <c r="AA52" s="1709">
        <v>44468</v>
      </c>
      <c r="AB52" s="1709" t="s">
        <v>733</v>
      </c>
      <c r="AC52" s="1709">
        <v>0</v>
      </c>
      <c r="AD52" s="1709">
        <v>0</v>
      </c>
      <c r="AE52" s="1709">
        <v>0</v>
      </c>
      <c r="AF52" s="1709">
        <v>0</v>
      </c>
      <c r="AG52" s="1709">
        <v>0</v>
      </c>
      <c r="AH52" s="1709">
        <v>1</v>
      </c>
      <c r="AI52" s="1709">
        <v>70255</v>
      </c>
      <c r="AJ52" s="1709">
        <v>2195</v>
      </c>
      <c r="AK52" s="1709">
        <v>0</v>
      </c>
      <c r="AL52" s="1709">
        <v>0</v>
      </c>
      <c r="AM52" s="1709"/>
      <c r="AN52" s="1709"/>
      <c r="AO52" s="1710"/>
      <c r="AP52" s="1710"/>
      <c r="AQ52" s="1713" t="str">
        <f t="shared" ref="AQ52:AQ83" si="2">IF(LEFT(U52,2)="VO",U52,"")</f>
        <v>VO05923186</v>
      </c>
      <c r="AS52" s="304" t="str">
        <f t="shared" ref="AS52:AS83" si="3">IF(RIGHT(K52,2)="IC",IF(OR(AB52="wci_canada",AB52="wci_can_corp"),"wci_can_Corp","wci_corp"),AB52)</f>
        <v>wci_corp</v>
      </c>
    </row>
    <row r="53" spans="2:45">
      <c r="B53" s="1708" t="s">
        <v>2666</v>
      </c>
      <c r="C53" s="1709">
        <v>44462</v>
      </c>
      <c r="D53" s="1672">
        <v>2000</v>
      </c>
      <c r="E53" s="1672">
        <v>0</v>
      </c>
      <c r="F53" s="1673" t="s">
        <v>729</v>
      </c>
      <c r="G53" s="1709" t="s">
        <v>2746</v>
      </c>
      <c r="H53" s="1710" t="s">
        <v>730</v>
      </c>
      <c r="I53" s="1709" t="s">
        <v>1039</v>
      </c>
      <c r="J53" s="1709" t="s">
        <v>1038</v>
      </c>
      <c r="K53" s="1709" t="s">
        <v>732</v>
      </c>
      <c r="L53" s="1711" t="s">
        <v>2677</v>
      </c>
      <c r="M53" s="1711"/>
      <c r="N53" s="1711" t="s">
        <v>2662</v>
      </c>
      <c r="O53" s="1709">
        <v>44439</v>
      </c>
      <c r="P53" s="1711" t="s">
        <v>2660</v>
      </c>
      <c r="Q53" s="1712" t="s">
        <v>2745</v>
      </c>
      <c r="R53" s="1709" t="s">
        <v>2698</v>
      </c>
      <c r="S53" s="1709"/>
      <c r="T53" s="1709"/>
      <c r="U53" s="1709" t="s">
        <v>2744</v>
      </c>
      <c r="V53" s="1709" t="s">
        <v>2743</v>
      </c>
      <c r="W53" s="1709">
        <v>2111</v>
      </c>
      <c r="X53" s="1709">
        <v>44462</v>
      </c>
      <c r="Y53" s="1709">
        <v>44462</v>
      </c>
      <c r="Z53" s="1709">
        <v>16000</v>
      </c>
      <c r="AA53" s="1709">
        <v>44449</v>
      </c>
      <c r="AB53" s="1709" t="s">
        <v>733</v>
      </c>
      <c r="AC53" s="1709">
        <v>0</v>
      </c>
      <c r="AD53" s="1709">
        <v>0</v>
      </c>
      <c r="AE53" s="1709">
        <v>0</v>
      </c>
      <c r="AF53" s="1709">
        <v>0</v>
      </c>
      <c r="AG53" s="1709">
        <v>0</v>
      </c>
      <c r="AH53" s="1709">
        <v>1</v>
      </c>
      <c r="AI53" s="1709">
        <v>70255</v>
      </c>
      <c r="AJ53" s="1709">
        <v>2195</v>
      </c>
      <c r="AK53" s="1709">
        <v>0</v>
      </c>
      <c r="AL53" s="1709">
        <v>0</v>
      </c>
      <c r="AM53" s="1709"/>
      <c r="AN53" s="1709"/>
      <c r="AO53" s="1710"/>
      <c r="AP53" s="1710"/>
      <c r="AQ53" s="1713" t="str">
        <f t="shared" si="2"/>
        <v>VO05931761</v>
      </c>
      <c r="AS53" s="304" t="str">
        <f t="shared" si="3"/>
        <v>wci_corp</v>
      </c>
    </row>
    <row r="54" spans="2:45">
      <c r="B54" s="1708" t="s">
        <v>2666</v>
      </c>
      <c r="C54" s="1709">
        <v>44469</v>
      </c>
      <c r="D54" s="1672">
        <v>-2000</v>
      </c>
      <c r="E54" s="1672">
        <v>0</v>
      </c>
      <c r="F54" s="1673" t="s">
        <v>729</v>
      </c>
      <c r="G54" s="1709" t="s">
        <v>2742</v>
      </c>
      <c r="H54" s="1710" t="s">
        <v>730</v>
      </c>
      <c r="I54" s="1709" t="s">
        <v>2741</v>
      </c>
      <c r="J54" s="1709" t="s">
        <v>736</v>
      </c>
      <c r="K54" s="1709" t="s">
        <v>732</v>
      </c>
      <c r="L54" s="1711"/>
      <c r="M54" s="1711"/>
      <c r="N54" s="1711" t="s">
        <v>2660</v>
      </c>
      <c r="O54" s="1709"/>
      <c r="P54" s="1711"/>
      <c r="Q54" s="1712"/>
      <c r="R54" s="1709"/>
      <c r="S54" s="1709"/>
      <c r="T54" s="1709"/>
      <c r="U54" s="1709" t="s">
        <v>2740</v>
      </c>
      <c r="V54" s="1709" t="s">
        <v>2739</v>
      </c>
      <c r="W54" s="1709"/>
      <c r="X54" s="1709">
        <v>44446</v>
      </c>
      <c r="Y54" s="1709">
        <v>44447</v>
      </c>
      <c r="Z54" s="1709"/>
      <c r="AA54" s="1709"/>
      <c r="AB54" s="1709" t="s">
        <v>733</v>
      </c>
      <c r="AC54" s="1709">
        <v>0</v>
      </c>
      <c r="AD54" s="1709">
        <v>0</v>
      </c>
      <c r="AE54" s="1709">
        <v>0</v>
      </c>
      <c r="AF54" s="1709">
        <v>0</v>
      </c>
      <c r="AG54" s="1709">
        <v>5</v>
      </c>
      <c r="AH54" s="1709">
        <v>1</v>
      </c>
      <c r="AI54" s="1709">
        <v>70255</v>
      </c>
      <c r="AJ54" s="1709">
        <v>2195</v>
      </c>
      <c r="AK54" s="1709">
        <v>0</v>
      </c>
      <c r="AL54" s="1709">
        <v>0</v>
      </c>
      <c r="AM54" s="1709"/>
      <c r="AN54" s="1709"/>
      <c r="AO54" s="1710"/>
      <c r="AP54" s="1710"/>
      <c r="AQ54" s="1713" t="str">
        <f t="shared" si="2"/>
        <v/>
      </c>
      <c r="AS54" s="304" t="str">
        <f t="shared" si="3"/>
        <v>wci_corp</v>
      </c>
    </row>
    <row r="55" spans="2:45">
      <c r="B55" s="1708" t="s">
        <v>2666</v>
      </c>
      <c r="C55" s="1709">
        <v>44469</v>
      </c>
      <c r="D55" s="1672">
        <v>-4000</v>
      </c>
      <c r="E55" s="1672">
        <v>0</v>
      </c>
      <c r="F55" s="1673" t="s">
        <v>729</v>
      </c>
      <c r="G55" s="1709" t="s">
        <v>2293</v>
      </c>
      <c r="H55" s="1710" t="s">
        <v>730</v>
      </c>
      <c r="I55" s="1709" t="s">
        <v>2222</v>
      </c>
      <c r="J55" s="1709" t="s">
        <v>736</v>
      </c>
      <c r="K55" s="1709" t="s">
        <v>732</v>
      </c>
      <c r="L55" s="1711"/>
      <c r="M55" s="1711"/>
      <c r="N55" s="1711" t="s">
        <v>2649</v>
      </c>
      <c r="O55" s="1709"/>
      <c r="P55" s="1711"/>
      <c r="Q55" s="1712"/>
      <c r="R55" s="1709"/>
      <c r="S55" s="1709"/>
      <c r="T55" s="1709"/>
      <c r="U55" s="1709" t="s">
        <v>2292</v>
      </c>
      <c r="V55" s="1709" t="s">
        <v>2291</v>
      </c>
      <c r="W55" s="1709"/>
      <c r="X55" s="1709">
        <v>44447</v>
      </c>
      <c r="Y55" s="1709">
        <v>44447</v>
      </c>
      <c r="Z55" s="1709"/>
      <c r="AA55" s="1709"/>
      <c r="AB55" s="1709" t="s">
        <v>733</v>
      </c>
      <c r="AC55" s="1709">
        <v>0</v>
      </c>
      <c r="AD55" s="1709">
        <v>0</v>
      </c>
      <c r="AE55" s="1709">
        <v>0</v>
      </c>
      <c r="AF55" s="1709">
        <v>0</v>
      </c>
      <c r="AG55" s="1709">
        <v>5</v>
      </c>
      <c r="AH55" s="1709">
        <v>1</v>
      </c>
      <c r="AI55" s="1709">
        <v>70255</v>
      </c>
      <c r="AJ55" s="1709">
        <v>2195</v>
      </c>
      <c r="AK55" s="1709">
        <v>0</v>
      </c>
      <c r="AL55" s="1709">
        <v>0</v>
      </c>
      <c r="AM55" s="1709"/>
      <c r="AN55" s="1709"/>
      <c r="AO55" s="1710"/>
      <c r="AP55" s="1710"/>
      <c r="AQ55" s="1713" t="str">
        <f t="shared" si="2"/>
        <v/>
      </c>
      <c r="AS55" s="304" t="str">
        <f t="shared" si="3"/>
        <v>wci_corp</v>
      </c>
    </row>
    <row r="56" spans="2:45">
      <c r="B56" s="1708" t="s">
        <v>2666</v>
      </c>
      <c r="C56" s="1709">
        <v>44469</v>
      </c>
      <c r="D56" s="1672">
        <v>2000</v>
      </c>
      <c r="E56" s="1672">
        <v>0</v>
      </c>
      <c r="F56" s="1673" t="s">
        <v>729</v>
      </c>
      <c r="G56" s="1709" t="s">
        <v>2738</v>
      </c>
      <c r="H56" s="1710" t="s">
        <v>730</v>
      </c>
      <c r="I56" s="1709" t="s">
        <v>1039</v>
      </c>
      <c r="J56" s="1709" t="s">
        <v>1040</v>
      </c>
      <c r="K56" s="1709" t="s">
        <v>732</v>
      </c>
      <c r="L56" s="1711" t="s">
        <v>2677</v>
      </c>
      <c r="M56" s="1711"/>
      <c r="N56" s="1711" t="s">
        <v>2662</v>
      </c>
      <c r="O56" s="1709">
        <v>44469</v>
      </c>
      <c r="P56" s="1711" t="s">
        <v>2660</v>
      </c>
      <c r="Q56" s="1712" t="s">
        <v>2737</v>
      </c>
      <c r="R56" s="1709" t="s">
        <v>2698</v>
      </c>
      <c r="S56" s="1709"/>
      <c r="T56" s="1709"/>
      <c r="U56" s="1709" t="s">
        <v>2736</v>
      </c>
      <c r="V56" s="1709" t="s">
        <v>2735</v>
      </c>
      <c r="W56" s="1709">
        <v>2111</v>
      </c>
      <c r="X56" s="1709">
        <v>44473</v>
      </c>
      <c r="Y56" s="1709">
        <v>44473</v>
      </c>
      <c r="Z56" s="1709">
        <v>16000</v>
      </c>
      <c r="AA56" s="1709">
        <v>44479</v>
      </c>
      <c r="AB56" s="1709" t="s">
        <v>733</v>
      </c>
      <c r="AC56" s="1709">
        <v>0</v>
      </c>
      <c r="AD56" s="1709">
        <v>0</v>
      </c>
      <c r="AE56" s="1709">
        <v>0</v>
      </c>
      <c r="AF56" s="1709">
        <v>0</v>
      </c>
      <c r="AG56" s="1709">
        <v>0</v>
      </c>
      <c r="AH56" s="1709">
        <v>1</v>
      </c>
      <c r="AI56" s="1709">
        <v>70255</v>
      </c>
      <c r="AJ56" s="1709">
        <v>2195</v>
      </c>
      <c r="AK56" s="1709">
        <v>0</v>
      </c>
      <c r="AL56" s="1709">
        <v>0</v>
      </c>
      <c r="AM56" s="1709"/>
      <c r="AN56" s="1709"/>
      <c r="AO56" s="1710"/>
      <c r="AP56" s="1710"/>
      <c r="AQ56" s="1713" t="str">
        <f t="shared" si="2"/>
        <v>VO05947595</v>
      </c>
      <c r="AS56" s="304" t="str">
        <f t="shared" si="3"/>
        <v>wci_corp</v>
      </c>
    </row>
    <row r="57" spans="2:45">
      <c r="B57" s="1708" t="s">
        <v>2666</v>
      </c>
      <c r="C57" s="1709">
        <v>44469</v>
      </c>
      <c r="D57" s="1672">
        <v>448</v>
      </c>
      <c r="E57" s="1672">
        <v>0</v>
      </c>
      <c r="F57" s="1673" t="s">
        <v>729</v>
      </c>
      <c r="G57" s="1709" t="s">
        <v>2734</v>
      </c>
      <c r="H57" s="1710" t="s">
        <v>730</v>
      </c>
      <c r="I57" s="1709" t="s">
        <v>2733</v>
      </c>
      <c r="J57" s="1709" t="s">
        <v>731</v>
      </c>
      <c r="K57" s="1709" t="s">
        <v>732</v>
      </c>
      <c r="L57" s="1711"/>
      <c r="M57" s="1711"/>
      <c r="N57" s="1711" t="s">
        <v>2647</v>
      </c>
      <c r="O57" s="1709"/>
      <c r="P57" s="1711"/>
      <c r="Q57" s="1712"/>
      <c r="R57" s="1709"/>
      <c r="S57" s="1709"/>
      <c r="T57" s="1709"/>
      <c r="U57" s="1709" t="s">
        <v>2732</v>
      </c>
      <c r="V57" s="1709" t="s">
        <v>2732</v>
      </c>
      <c r="W57" s="1709"/>
      <c r="X57" s="1709">
        <v>44474</v>
      </c>
      <c r="Y57" s="1709">
        <v>44474</v>
      </c>
      <c r="Z57" s="1709"/>
      <c r="AA57" s="1709"/>
      <c r="AB57" s="1709" t="s">
        <v>733</v>
      </c>
      <c r="AC57" s="1709">
        <v>0</v>
      </c>
      <c r="AD57" s="1709">
        <v>0</v>
      </c>
      <c r="AE57" s="1709">
        <v>0</v>
      </c>
      <c r="AF57" s="1709">
        <v>0</v>
      </c>
      <c r="AG57" s="1709">
        <v>0</v>
      </c>
      <c r="AH57" s="1709">
        <v>1</v>
      </c>
      <c r="AI57" s="1709">
        <v>70255</v>
      </c>
      <c r="AJ57" s="1709">
        <v>2195</v>
      </c>
      <c r="AK57" s="1709">
        <v>0</v>
      </c>
      <c r="AL57" s="1709">
        <v>0</v>
      </c>
      <c r="AM57" s="1709"/>
      <c r="AN57" s="1709"/>
      <c r="AO57" s="1710"/>
      <c r="AP57" s="1710"/>
      <c r="AQ57" s="1713" t="str">
        <f t="shared" si="2"/>
        <v/>
      </c>
      <c r="AS57" s="304" t="str">
        <f t="shared" si="3"/>
        <v>wci_corp</v>
      </c>
    </row>
    <row r="58" spans="2:45">
      <c r="B58" s="1708" t="s">
        <v>2666</v>
      </c>
      <c r="C58" s="1709">
        <v>44469</v>
      </c>
      <c r="D58" s="1672">
        <v>125</v>
      </c>
      <c r="E58" s="1672">
        <v>0</v>
      </c>
      <c r="F58" s="1673" t="s">
        <v>729</v>
      </c>
      <c r="G58" s="1709" t="s">
        <v>2478</v>
      </c>
      <c r="H58" s="1710" t="s">
        <v>730</v>
      </c>
      <c r="I58" s="1709" t="s">
        <v>2442</v>
      </c>
      <c r="J58" s="1709" t="s">
        <v>735</v>
      </c>
      <c r="K58" s="1709" t="s">
        <v>732</v>
      </c>
      <c r="L58" s="1711"/>
      <c r="M58" s="1711"/>
      <c r="N58" s="1711" t="s">
        <v>2646</v>
      </c>
      <c r="O58" s="1709"/>
      <c r="P58" s="1711"/>
      <c r="Q58" s="1712"/>
      <c r="R58" s="1709"/>
      <c r="S58" s="1709"/>
      <c r="T58" s="1709"/>
      <c r="U58" s="1709" t="s">
        <v>2476</v>
      </c>
      <c r="V58" s="1709" t="s">
        <v>2476</v>
      </c>
      <c r="W58" s="1709"/>
      <c r="X58" s="1709">
        <v>44475</v>
      </c>
      <c r="Y58" s="1709">
        <v>44475</v>
      </c>
      <c r="Z58" s="1709"/>
      <c r="AA58" s="1709"/>
      <c r="AB58" s="1709" t="s">
        <v>733</v>
      </c>
      <c r="AC58" s="1709">
        <v>0</v>
      </c>
      <c r="AD58" s="1709">
        <v>0</v>
      </c>
      <c r="AE58" s="1709">
        <v>0</v>
      </c>
      <c r="AF58" s="1709">
        <v>0</v>
      </c>
      <c r="AG58" s="1709">
        <v>0</v>
      </c>
      <c r="AH58" s="1709">
        <v>1</v>
      </c>
      <c r="AI58" s="1709">
        <v>70255</v>
      </c>
      <c r="AJ58" s="1709">
        <v>2195</v>
      </c>
      <c r="AK58" s="1709">
        <v>0</v>
      </c>
      <c r="AL58" s="1709">
        <v>0</v>
      </c>
      <c r="AM58" s="1709"/>
      <c r="AN58" s="1709"/>
      <c r="AO58" s="1710"/>
      <c r="AP58" s="1710"/>
      <c r="AQ58" s="1713" t="str">
        <f t="shared" si="2"/>
        <v/>
      </c>
      <c r="AS58" s="304" t="str">
        <f t="shared" si="3"/>
        <v>wci_corp</v>
      </c>
    </row>
    <row r="59" spans="2:45">
      <c r="B59" s="1708" t="s">
        <v>2666</v>
      </c>
      <c r="C59" s="1709">
        <v>44500</v>
      </c>
      <c r="D59" s="1672">
        <v>-125</v>
      </c>
      <c r="E59" s="1672">
        <v>0</v>
      </c>
      <c r="F59" s="1673" t="s">
        <v>729</v>
      </c>
      <c r="G59" s="1709" t="s">
        <v>2477</v>
      </c>
      <c r="H59" s="1710" t="s">
        <v>730</v>
      </c>
      <c r="I59" s="1709" t="s">
        <v>2442</v>
      </c>
      <c r="J59" s="1709" t="s">
        <v>731</v>
      </c>
      <c r="K59" s="1709" t="s">
        <v>732</v>
      </c>
      <c r="L59" s="1711"/>
      <c r="M59" s="1711"/>
      <c r="N59" s="1711" t="s">
        <v>2646</v>
      </c>
      <c r="O59" s="1709"/>
      <c r="P59" s="1711"/>
      <c r="Q59" s="1712"/>
      <c r="R59" s="1709"/>
      <c r="S59" s="1709"/>
      <c r="T59" s="1709"/>
      <c r="U59" s="1709" t="s">
        <v>2476</v>
      </c>
      <c r="V59" s="1709" t="s">
        <v>2475</v>
      </c>
      <c r="W59" s="1709"/>
      <c r="X59" s="1709">
        <v>44475</v>
      </c>
      <c r="Y59" s="1709">
        <v>44475</v>
      </c>
      <c r="Z59" s="1709"/>
      <c r="AA59" s="1709"/>
      <c r="AB59" s="1709" t="s">
        <v>733</v>
      </c>
      <c r="AC59" s="1709">
        <v>0</v>
      </c>
      <c r="AD59" s="1709">
        <v>0</v>
      </c>
      <c r="AE59" s="1709">
        <v>0</v>
      </c>
      <c r="AF59" s="1709">
        <v>0</v>
      </c>
      <c r="AG59" s="1709">
        <v>5</v>
      </c>
      <c r="AH59" s="1709">
        <v>1</v>
      </c>
      <c r="AI59" s="1709">
        <v>70255</v>
      </c>
      <c r="AJ59" s="1709">
        <v>2195</v>
      </c>
      <c r="AK59" s="1709">
        <v>0</v>
      </c>
      <c r="AL59" s="1709">
        <v>0</v>
      </c>
      <c r="AM59" s="1709"/>
      <c r="AN59" s="1709"/>
      <c r="AO59" s="1710"/>
      <c r="AP59" s="1710"/>
      <c r="AQ59" s="1713" t="str">
        <f t="shared" si="2"/>
        <v/>
      </c>
      <c r="AS59" s="304" t="str">
        <f t="shared" si="3"/>
        <v>wci_corp</v>
      </c>
    </row>
    <row r="60" spans="2:45">
      <c r="B60" s="1708" t="s">
        <v>2666</v>
      </c>
      <c r="C60" s="1709">
        <v>44500</v>
      </c>
      <c r="D60" s="1672">
        <v>125</v>
      </c>
      <c r="E60" s="1672">
        <v>0</v>
      </c>
      <c r="F60" s="1673" t="s">
        <v>729</v>
      </c>
      <c r="G60" s="1709" t="s">
        <v>2471</v>
      </c>
      <c r="H60" s="1710" t="s">
        <v>730</v>
      </c>
      <c r="I60" s="1709" t="s">
        <v>2470</v>
      </c>
      <c r="J60" s="1709" t="s">
        <v>736</v>
      </c>
      <c r="K60" s="1709" t="s">
        <v>732</v>
      </c>
      <c r="L60" s="1711"/>
      <c r="M60" s="1711"/>
      <c r="N60" s="1711" t="s">
        <v>2646</v>
      </c>
      <c r="O60" s="1709"/>
      <c r="P60" s="1711"/>
      <c r="Q60" s="1712"/>
      <c r="R60" s="1709"/>
      <c r="S60" s="1709"/>
      <c r="T60" s="1709"/>
      <c r="U60" s="1709" t="s">
        <v>2469</v>
      </c>
      <c r="V60" s="1709" t="s">
        <v>2469</v>
      </c>
      <c r="W60" s="1709"/>
      <c r="X60" s="1709">
        <v>44503</v>
      </c>
      <c r="Y60" s="1709">
        <v>44503</v>
      </c>
      <c r="Z60" s="1709"/>
      <c r="AA60" s="1709"/>
      <c r="AB60" s="1709" t="s">
        <v>733</v>
      </c>
      <c r="AC60" s="1709">
        <v>0</v>
      </c>
      <c r="AD60" s="1709">
        <v>0</v>
      </c>
      <c r="AE60" s="1709">
        <v>0</v>
      </c>
      <c r="AF60" s="1709">
        <v>0</v>
      </c>
      <c r="AG60" s="1709">
        <v>0</v>
      </c>
      <c r="AH60" s="1709">
        <v>1</v>
      </c>
      <c r="AI60" s="1709">
        <v>70255</v>
      </c>
      <c r="AJ60" s="1709">
        <v>2195</v>
      </c>
      <c r="AK60" s="1709">
        <v>0</v>
      </c>
      <c r="AL60" s="1709">
        <v>0</v>
      </c>
      <c r="AM60" s="1709"/>
      <c r="AN60" s="1709"/>
      <c r="AO60" s="1710"/>
      <c r="AP60" s="1710"/>
      <c r="AQ60" s="1713" t="str">
        <f t="shared" si="2"/>
        <v/>
      </c>
      <c r="AS60" s="304" t="str">
        <f t="shared" si="3"/>
        <v>wci_corp</v>
      </c>
    </row>
    <row r="61" spans="2:45">
      <c r="B61" s="1708" t="s">
        <v>2666</v>
      </c>
      <c r="C61" s="1709">
        <v>44500</v>
      </c>
      <c r="D61" s="1672">
        <v>467.8</v>
      </c>
      <c r="E61" s="1672">
        <v>0</v>
      </c>
      <c r="F61" s="1673" t="s">
        <v>729</v>
      </c>
      <c r="G61" s="1709" t="s">
        <v>2731</v>
      </c>
      <c r="H61" s="1710" t="s">
        <v>730</v>
      </c>
      <c r="I61" s="1709" t="s">
        <v>2730</v>
      </c>
      <c r="J61" s="1709" t="s">
        <v>2106</v>
      </c>
      <c r="K61" s="1709" t="s">
        <v>732</v>
      </c>
      <c r="L61" s="1711"/>
      <c r="M61" s="1711"/>
      <c r="N61" s="1711" t="s">
        <v>2645</v>
      </c>
      <c r="O61" s="1709"/>
      <c r="P61" s="1711"/>
      <c r="Q61" s="1712"/>
      <c r="R61" s="1709"/>
      <c r="S61" s="1709"/>
      <c r="T61" s="1709"/>
      <c r="U61" s="1709" t="s">
        <v>2729</v>
      </c>
      <c r="V61" s="1709" t="s">
        <v>2729</v>
      </c>
      <c r="W61" s="1709"/>
      <c r="X61" s="1709">
        <v>44504</v>
      </c>
      <c r="Y61" s="1709">
        <v>44504</v>
      </c>
      <c r="Z61" s="1709"/>
      <c r="AA61" s="1709"/>
      <c r="AB61" s="1709" t="s">
        <v>733</v>
      </c>
      <c r="AC61" s="1709">
        <v>0</v>
      </c>
      <c r="AD61" s="1709">
        <v>0</v>
      </c>
      <c r="AE61" s="1709">
        <v>0</v>
      </c>
      <c r="AF61" s="1709">
        <v>0</v>
      </c>
      <c r="AG61" s="1709">
        <v>0</v>
      </c>
      <c r="AH61" s="1709">
        <v>1</v>
      </c>
      <c r="AI61" s="1709">
        <v>70255</v>
      </c>
      <c r="AJ61" s="1709">
        <v>2195</v>
      </c>
      <c r="AK61" s="1709">
        <v>0</v>
      </c>
      <c r="AL61" s="1709">
        <v>0</v>
      </c>
      <c r="AM61" s="1709"/>
      <c r="AN61" s="1709"/>
      <c r="AO61" s="1710"/>
      <c r="AP61" s="1710"/>
      <c r="AQ61" s="1713" t="str">
        <f t="shared" si="2"/>
        <v/>
      </c>
      <c r="AS61" s="304" t="str">
        <f t="shared" si="3"/>
        <v>wci_corp</v>
      </c>
    </row>
    <row r="62" spans="2:45">
      <c r="B62" s="1708" t="s">
        <v>2666</v>
      </c>
      <c r="C62" s="1709">
        <v>44500</v>
      </c>
      <c r="D62" s="1672">
        <v>2000</v>
      </c>
      <c r="E62" s="1672">
        <v>0</v>
      </c>
      <c r="F62" s="1673" t="s">
        <v>729</v>
      </c>
      <c r="G62" s="1709" t="s">
        <v>2728</v>
      </c>
      <c r="H62" s="1710" t="s">
        <v>730</v>
      </c>
      <c r="I62" s="1709" t="s">
        <v>2717</v>
      </c>
      <c r="J62" s="1709" t="s">
        <v>736</v>
      </c>
      <c r="K62" s="1709" t="s">
        <v>732</v>
      </c>
      <c r="L62" s="1711"/>
      <c r="M62" s="1711"/>
      <c r="N62" s="1711" t="s">
        <v>2660</v>
      </c>
      <c r="O62" s="1709"/>
      <c r="P62" s="1711"/>
      <c r="Q62" s="1712"/>
      <c r="R62" s="1709"/>
      <c r="S62" s="1709"/>
      <c r="T62" s="1709"/>
      <c r="U62" s="1709" t="s">
        <v>2716</v>
      </c>
      <c r="V62" s="1709" t="s">
        <v>2716</v>
      </c>
      <c r="W62" s="1709"/>
      <c r="X62" s="1709">
        <v>44504</v>
      </c>
      <c r="Y62" s="1709">
        <v>44504</v>
      </c>
      <c r="Z62" s="1709"/>
      <c r="AA62" s="1709"/>
      <c r="AB62" s="1709" t="s">
        <v>733</v>
      </c>
      <c r="AC62" s="1709">
        <v>0</v>
      </c>
      <c r="AD62" s="1709">
        <v>0</v>
      </c>
      <c r="AE62" s="1709">
        <v>0</v>
      </c>
      <c r="AF62" s="1709">
        <v>0</v>
      </c>
      <c r="AG62" s="1709">
        <v>0</v>
      </c>
      <c r="AH62" s="1709">
        <v>1</v>
      </c>
      <c r="AI62" s="1709">
        <v>70255</v>
      </c>
      <c r="AJ62" s="1709">
        <v>2195</v>
      </c>
      <c r="AK62" s="1709">
        <v>0</v>
      </c>
      <c r="AL62" s="1709">
        <v>0</v>
      </c>
      <c r="AM62" s="1709"/>
      <c r="AN62" s="1709"/>
      <c r="AO62" s="1710"/>
      <c r="AP62" s="1710"/>
      <c r="AQ62" s="1713" t="str">
        <f t="shared" si="2"/>
        <v/>
      </c>
      <c r="AS62" s="304" t="str">
        <f t="shared" si="3"/>
        <v>wci_corp</v>
      </c>
    </row>
    <row r="63" spans="2:45">
      <c r="B63" s="1708" t="s">
        <v>2666</v>
      </c>
      <c r="C63" s="1709">
        <v>44517</v>
      </c>
      <c r="D63" s="1672">
        <v>2000</v>
      </c>
      <c r="E63" s="1672">
        <v>0</v>
      </c>
      <c r="F63" s="1673" t="s">
        <v>729</v>
      </c>
      <c r="G63" s="1709" t="s">
        <v>2727</v>
      </c>
      <c r="H63" s="1710" t="s">
        <v>730</v>
      </c>
      <c r="I63" s="1709" t="s">
        <v>1039</v>
      </c>
      <c r="J63" s="1709" t="s">
        <v>1038</v>
      </c>
      <c r="K63" s="1709" t="s">
        <v>732</v>
      </c>
      <c r="L63" s="1711" t="s">
        <v>2677</v>
      </c>
      <c r="M63" s="1711"/>
      <c r="N63" s="1711" t="s">
        <v>2662</v>
      </c>
      <c r="O63" s="1709">
        <v>44500</v>
      </c>
      <c r="P63" s="1711" t="s">
        <v>2660</v>
      </c>
      <c r="Q63" s="1712">
        <v>980753</v>
      </c>
      <c r="R63" s="1709" t="s">
        <v>2698</v>
      </c>
      <c r="S63" s="1709"/>
      <c r="T63" s="1709"/>
      <c r="U63" s="1709" t="s">
        <v>2726</v>
      </c>
      <c r="V63" s="1709" t="s">
        <v>2725</v>
      </c>
      <c r="W63" s="1709">
        <v>2111</v>
      </c>
      <c r="X63" s="1709">
        <v>44517</v>
      </c>
      <c r="Y63" s="1709">
        <v>44517</v>
      </c>
      <c r="Z63" s="1709">
        <v>16000</v>
      </c>
      <c r="AA63" s="1709">
        <v>44510</v>
      </c>
      <c r="AB63" s="1709" t="s">
        <v>733</v>
      </c>
      <c r="AC63" s="1709">
        <v>0</v>
      </c>
      <c r="AD63" s="1709">
        <v>0</v>
      </c>
      <c r="AE63" s="1709">
        <v>0</v>
      </c>
      <c r="AF63" s="1709">
        <v>0</v>
      </c>
      <c r="AG63" s="1709">
        <v>0</v>
      </c>
      <c r="AH63" s="1709">
        <v>1</v>
      </c>
      <c r="AI63" s="1709">
        <v>70255</v>
      </c>
      <c r="AJ63" s="1709">
        <v>2195</v>
      </c>
      <c r="AK63" s="1709">
        <v>0</v>
      </c>
      <c r="AL63" s="1709">
        <v>0</v>
      </c>
      <c r="AM63" s="1709"/>
      <c r="AN63" s="1709"/>
      <c r="AO63" s="1710"/>
      <c r="AP63" s="1710"/>
      <c r="AQ63" s="1713" t="str">
        <f t="shared" si="2"/>
        <v>VO06003166</v>
      </c>
      <c r="AS63" s="304" t="str">
        <f t="shared" si="3"/>
        <v>wci_corp</v>
      </c>
    </row>
    <row r="64" spans="2:45">
      <c r="B64" s="1708" t="s">
        <v>2666</v>
      </c>
      <c r="C64" s="1709">
        <v>44523</v>
      </c>
      <c r="D64" s="1672">
        <v>125</v>
      </c>
      <c r="E64" s="1672">
        <v>0</v>
      </c>
      <c r="F64" s="1673" t="s">
        <v>729</v>
      </c>
      <c r="G64" s="1709" t="s">
        <v>2724</v>
      </c>
      <c r="H64" s="1710" t="s">
        <v>730</v>
      </c>
      <c r="I64" s="1709" t="s">
        <v>1039</v>
      </c>
      <c r="J64" s="1709" t="s">
        <v>1042</v>
      </c>
      <c r="K64" s="1709" t="s">
        <v>732</v>
      </c>
      <c r="L64" s="1711" t="s">
        <v>2723</v>
      </c>
      <c r="M64" s="1711"/>
      <c r="N64" s="1711" t="s">
        <v>2644</v>
      </c>
      <c r="O64" s="1709">
        <v>44495</v>
      </c>
      <c r="P64" s="1711" t="s">
        <v>2722</v>
      </c>
      <c r="Q64" s="1712">
        <v>316242</v>
      </c>
      <c r="R64" s="1709" t="s">
        <v>2721</v>
      </c>
      <c r="S64" s="1709"/>
      <c r="T64" s="1709"/>
      <c r="U64" s="1709" t="s">
        <v>2720</v>
      </c>
      <c r="V64" s="1709" t="s">
        <v>2719</v>
      </c>
      <c r="W64" s="1709">
        <v>2195</v>
      </c>
      <c r="X64" s="1709">
        <v>44523</v>
      </c>
      <c r="Y64" s="1709">
        <v>44529</v>
      </c>
      <c r="Z64" s="1709">
        <v>125</v>
      </c>
      <c r="AA64" s="1709">
        <v>44505</v>
      </c>
      <c r="AB64" s="1709" t="s">
        <v>733</v>
      </c>
      <c r="AC64" s="1709">
        <v>0</v>
      </c>
      <c r="AD64" s="1709">
        <v>0</v>
      </c>
      <c r="AE64" s="1709">
        <v>0</v>
      </c>
      <c r="AF64" s="1709">
        <v>0</v>
      </c>
      <c r="AG64" s="1709">
        <v>0</v>
      </c>
      <c r="AH64" s="1709">
        <v>1</v>
      </c>
      <c r="AI64" s="1709">
        <v>70255</v>
      </c>
      <c r="AJ64" s="1709">
        <v>2195</v>
      </c>
      <c r="AK64" s="1709">
        <v>0</v>
      </c>
      <c r="AL64" s="1709">
        <v>0</v>
      </c>
      <c r="AM64" s="1709"/>
      <c r="AN64" s="1709"/>
      <c r="AO64" s="1710"/>
      <c r="AP64" s="1710"/>
      <c r="AQ64" s="1713" t="str">
        <f t="shared" si="2"/>
        <v>VO06010813</v>
      </c>
      <c r="AS64" s="304" t="str">
        <f t="shared" si="3"/>
        <v>wci_corp</v>
      </c>
    </row>
    <row r="65" spans="2:45">
      <c r="B65" s="1708" t="s">
        <v>2666</v>
      </c>
      <c r="C65" s="1709">
        <v>44530</v>
      </c>
      <c r="D65" s="1672">
        <v>-2000</v>
      </c>
      <c r="E65" s="1672">
        <v>0</v>
      </c>
      <c r="F65" s="1673" t="s">
        <v>729</v>
      </c>
      <c r="G65" s="1709" t="s">
        <v>2718</v>
      </c>
      <c r="H65" s="1710" t="s">
        <v>730</v>
      </c>
      <c r="I65" s="1709" t="s">
        <v>2717</v>
      </c>
      <c r="J65" s="1709" t="s">
        <v>736</v>
      </c>
      <c r="K65" s="1709" t="s">
        <v>732</v>
      </c>
      <c r="L65" s="1711"/>
      <c r="M65" s="1711"/>
      <c r="N65" s="1711" t="s">
        <v>2660</v>
      </c>
      <c r="O65" s="1709"/>
      <c r="P65" s="1711"/>
      <c r="Q65" s="1712"/>
      <c r="R65" s="1709"/>
      <c r="S65" s="1709"/>
      <c r="T65" s="1709"/>
      <c r="U65" s="1709" t="s">
        <v>2716</v>
      </c>
      <c r="V65" s="1709" t="s">
        <v>2715</v>
      </c>
      <c r="W65" s="1709"/>
      <c r="X65" s="1709">
        <v>44504</v>
      </c>
      <c r="Y65" s="1709">
        <v>44505</v>
      </c>
      <c r="Z65" s="1709"/>
      <c r="AA65" s="1709"/>
      <c r="AB65" s="1709" t="s">
        <v>733</v>
      </c>
      <c r="AC65" s="1709">
        <v>0</v>
      </c>
      <c r="AD65" s="1709">
        <v>0</v>
      </c>
      <c r="AE65" s="1709">
        <v>0</v>
      </c>
      <c r="AF65" s="1709">
        <v>0</v>
      </c>
      <c r="AG65" s="1709">
        <v>5</v>
      </c>
      <c r="AH65" s="1709">
        <v>1</v>
      </c>
      <c r="AI65" s="1709">
        <v>70255</v>
      </c>
      <c r="AJ65" s="1709">
        <v>2195</v>
      </c>
      <c r="AK65" s="1709">
        <v>0</v>
      </c>
      <c r="AL65" s="1709">
        <v>0</v>
      </c>
      <c r="AM65" s="1709"/>
      <c r="AN65" s="1709"/>
      <c r="AO65" s="1710"/>
      <c r="AP65" s="1710"/>
      <c r="AQ65" s="1713" t="str">
        <f t="shared" si="2"/>
        <v/>
      </c>
      <c r="AS65" s="304" t="str">
        <f t="shared" si="3"/>
        <v>wci_corp</v>
      </c>
    </row>
    <row r="66" spans="2:45">
      <c r="B66" s="1708" t="s">
        <v>2666</v>
      </c>
      <c r="C66" s="1709">
        <v>44530</v>
      </c>
      <c r="D66" s="1672">
        <v>472.3</v>
      </c>
      <c r="E66" s="1672">
        <v>0</v>
      </c>
      <c r="F66" s="1673" t="s">
        <v>729</v>
      </c>
      <c r="G66" s="1709" t="s">
        <v>2714</v>
      </c>
      <c r="H66" s="1710" t="s">
        <v>730</v>
      </c>
      <c r="I66" s="1709" t="s">
        <v>2713</v>
      </c>
      <c r="J66" s="1709" t="s">
        <v>2106</v>
      </c>
      <c r="K66" s="1709" t="s">
        <v>732</v>
      </c>
      <c r="L66" s="1711"/>
      <c r="M66" s="1711"/>
      <c r="N66" s="1711" t="s">
        <v>2643</v>
      </c>
      <c r="O66" s="1709"/>
      <c r="P66" s="1711"/>
      <c r="Q66" s="1712"/>
      <c r="R66" s="1709"/>
      <c r="S66" s="1709"/>
      <c r="T66" s="1709"/>
      <c r="U66" s="1709" t="s">
        <v>2712</v>
      </c>
      <c r="V66" s="1709" t="s">
        <v>2712</v>
      </c>
      <c r="W66" s="1709"/>
      <c r="X66" s="1709">
        <v>44532</v>
      </c>
      <c r="Y66" s="1709">
        <v>44532</v>
      </c>
      <c r="Z66" s="1709"/>
      <c r="AA66" s="1709"/>
      <c r="AB66" s="1709" t="s">
        <v>733</v>
      </c>
      <c r="AC66" s="1709">
        <v>0</v>
      </c>
      <c r="AD66" s="1709">
        <v>0</v>
      </c>
      <c r="AE66" s="1709">
        <v>0</v>
      </c>
      <c r="AF66" s="1709">
        <v>0</v>
      </c>
      <c r="AG66" s="1709">
        <v>0</v>
      </c>
      <c r="AH66" s="1709">
        <v>1</v>
      </c>
      <c r="AI66" s="1709">
        <v>70255</v>
      </c>
      <c r="AJ66" s="1709">
        <v>2195</v>
      </c>
      <c r="AK66" s="1709">
        <v>0</v>
      </c>
      <c r="AL66" s="1709">
        <v>0</v>
      </c>
      <c r="AM66" s="1709"/>
      <c r="AN66" s="1709"/>
      <c r="AO66" s="1710"/>
      <c r="AP66" s="1710"/>
      <c r="AQ66" s="1713" t="str">
        <f t="shared" si="2"/>
        <v/>
      </c>
      <c r="AS66" s="304" t="str">
        <f t="shared" si="3"/>
        <v>wci_corp</v>
      </c>
    </row>
    <row r="67" spans="2:45">
      <c r="B67" s="1708" t="s">
        <v>2666</v>
      </c>
      <c r="C67" s="1709">
        <v>44530</v>
      </c>
      <c r="D67" s="1672">
        <v>2000</v>
      </c>
      <c r="E67" s="1672">
        <v>0</v>
      </c>
      <c r="F67" s="1673" t="s">
        <v>729</v>
      </c>
      <c r="G67" s="1709" t="s">
        <v>2711</v>
      </c>
      <c r="H67" s="1710" t="s">
        <v>730</v>
      </c>
      <c r="I67" s="1709" t="s">
        <v>2706</v>
      </c>
      <c r="J67" s="1709" t="s">
        <v>736</v>
      </c>
      <c r="K67" s="1709" t="s">
        <v>732</v>
      </c>
      <c r="L67" s="1711"/>
      <c r="M67" s="1711"/>
      <c r="N67" s="1711" t="s">
        <v>2656</v>
      </c>
      <c r="O67" s="1709"/>
      <c r="P67" s="1711"/>
      <c r="Q67" s="1712"/>
      <c r="R67" s="1709"/>
      <c r="S67" s="1709"/>
      <c r="T67" s="1709"/>
      <c r="U67" s="1709" t="s">
        <v>2705</v>
      </c>
      <c r="V67" s="1709" t="s">
        <v>2705</v>
      </c>
      <c r="W67" s="1709"/>
      <c r="X67" s="1709">
        <v>44536</v>
      </c>
      <c r="Y67" s="1709">
        <v>44537</v>
      </c>
      <c r="Z67" s="1709"/>
      <c r="AA67" s="1709"/>
      <c r="AB67" s="1709" t="s">
        <v>733</v>
      </c>
      <c r="AC67" s="1709">
        <v>0</v>
      </c>
      <c r="AD67" s="1709">
        <v>0</v>
      </c>
      <c r="AE67" s="1709">
        <v>0</v>
      </c>
      <c r="AF67" s="1709">
        <v>0</v>
      </c>
      <c r="AG67" s="1709">
        <v>0</v>
      </c>
      <c r="AH67" s="1709">
        <v>1</v>
      </c>
      <c r="AI67" s="1709">
        <v>70255</v>
      </c>
      <c r="AJ67" s="1709">
        <v>2195</v>
      </c>
      <c r="AK67" s="1709">
        <v>0</v>
      </c>
      <c r="AL67" s="1709">
        <v>0</v>
      </c>
      <c r="AM67" s="1709"/>
      <c r="AN67" s="1709"/>
      <c r="AO67" s="1710"/>
      <c r="AP67" s="1710"/>
      <c r="AQ67" s="1713" t="str">
        <f t="shared" si="2"/>
        <v/>
      </c>
      <c r="AS67" s="304" t="str">
        <f t="shared" si="3"/>
        <v>wci_corp</v>
      </c>
    </row>
    <row r="68" spans="2:45">
      <c r="B68" s="1708" t="s">
        <v>2666</v>
      </c>
      <c r="C68" s="1709">
        <v>44551</v>
      </c>
      <c r="D68" s="1672">
        <v>2000</v>
      </c>
      <c r="E68" s="1672">
        <v>0</v>
      </c>
      <c r="F68" s="1673" t="s">
        <v>729</v>
      </c>
      <c r="G68" s="1709" t="s">
        <v>2710</v>
      </c>
      <c r="H68" s="1710" t="s">
        <v>730</v>
      </c>
      <c r="I68" s="1709" t="s">
        <v>1039</v>
      </c>
      <c r="J68" s="1709" t="s">
        <v>1040</v>
      </c>
      <c r="K68" s="1709" t="s">
        <v>732</v>
      </c>
      <c r="L68" s="1711" t="s">
        <v>2677</v>
      </c>
      <c r="M68" s="1711"/>
      <c r="N68" s="1711" t="s">
        <v>2662</v>
      </c>
      <c r="O68" s="1709">
        <v>44531</v>
      </c>
      <c r="P68" s="1711" t="s">
        <v>2660</v>
      </c>
      <c r="Q68" s="1712">
        <v>980756</v>
      </c>
      <c r="R68" s="1709" t="s">
        <v>2698</v>
      </c>
      <c r="S68" s="1709"/>
      <c r="T68" s="1709"/>
      <c r="U68" s="1709" t="s">
        <v>2709</v>
      </c>
      <c r="V68" s="1709" t="s">
        <v>2708</v>
      </c>
      <c r="W68" s="1709">
        <v>2111</v>
      </c>
      <c r="X68" s="1709">
        <v>44551</v>
      </c>
      <c r="Y68" s="1709">
        <v>44557</v>
      </c>
      <c r="Z68" s="1709">
        <v>16000</v>
      </c>
      <c r="AA68" s="1709">
        <v>44541</v>
      </c>
      <c r="AB68" s="1709" t="s">
        <v>733</v>
      </c>
      <c r="AC68" s="1709">
        <v>0</v>
      </c>
      <c r="AD68" s="1709">
        <v>0</v>
      </c>
      <c r="AE68" s="1709">
        <v>0</v>
      </c>
      <c r="AF68" s="1709">
        <v>0</v>
      </c>
      <c r="AG68" s="1709">
        <v>0</v>
      </c>
      <c r="AH68" s="1709">
        <v>1</v>
      </c>
      <c r="AI68" s="1709">
        <v>70255</v>
      </c>
      <c r="AJ68" s="1709">
        <v>2195</v>
      </c>
      <c r="AK68" s="1709">
        <v>0</v>
      </c>
      <c r="AL68" s="1709">
        <v>0</v>
      </c>
      <c r="AM68" s="1709"/>
      <c r="AN68" s="1709"/>
      <c r="AO68" s="1710"/>
      <c r="AP68" s="1710"/>
      <c r="AQ68" s="1713" t="str">
        <f t="shared" si="2"/>
        <v>VO06042456</v>
      </c>
      <c r="AS68" s="304" t="str">
        <f t="shared" si="3"/>
        <v>wci_corp</v>
      </c>
    </row>
    <row r="69" spans="2:45">
      <c r="B69" s="1708" t="s">
        <v>2666</v>
      </c>
      <c r="C69" s="1709">
        <v>44561</v>
      </c>
      <c r="D69" s="1672">
        <v>-2000</v>
      </c>
      <c r="E69" s="1672">
        <v>0</v>
      </c>
      <c r="F69" s="1673" t="s">
        <v>729</v>
      </c>
      <c r="G69" s="1709" t="s">
        <v>2707</v>
      </c>
      <c r="H69" s="1710" t="s">
        <v>730</v>
      </c>
      <c r="I69" s="1709" t="s">
        <v>2706</v>
      </c>
      <c r="J69" s="1709" t="s">
        <v>736</v>
      </c>
      <c r="K69" s="1709" t="s">
        <v>732</v>
      </c>
      <c r="L69" s="1711"/>
      <c r="M69" s="1711"/>
      <c r="N69" s="1711" t="s">
        <v>2656</v>
      </c>
      <c r="O69" s="1709"/>
      <c r="P69" s="1711"/>
      <c r="Q69" s="1712"/>
      <c r="R69" s="1709"/>
      <c r="S69" s="1709"/>
      <c r="T69" s="1709"/>
      <c r="U69" s="1709" t="s">
        <v>2705</v>
      </c>
      <c r="V69" s="1709" t="s">
        <v>2704</v>
      </c>
      <c r="W69" s="1709"/>
      <c r="X69" s="1709">
        <v>44537</v>
      </c>
      <c r="Y69" s="1709">
        <v>44537</v>
      </c>
      <c r="Z69" s="1709"/>
      <c r="AA69" s="1709"/>
      <c r="AB69" s="1709" t="s">
        <v>733</v>
      </c>
      <c r="AC69" s="1709">
        <v>0</v>
      </c>
      <c r="AD69" s="1709">
        <v>0</v>
      </c>
      <c r="AE69" s="1709">
        <v>0</v>
      </c>
      <c r="AF69" s="1709">
        <v>0</v>
      </c>
      <c r="AG69" s="1709">
        <v>5</v>
      </c>
      <c r="AH69" s="1709">
        <v>1</v>
      </c>
      <c r="AI69" s="1709">
        <v>70255</v>
      </c>
      <c r="AJ69" s="1709">
        <v>2195</v>
      </c>
      <c r="AK69" s="1709">
        <v>0</v>
      </c>
      <c r="AL69" s="1709">
        <v>0</v>
      </c>
      <c r="AM69" s="1709"/>
      <c r="AN69" s="1709"/>
      <c r="AO69" s="1710"/>
      <c r="AP69" s="1710"/>
      <c r="AQ69" s="1713" t="str">
        <f t="shared" si="2"/>
        <v/>
      </c>
      <c r="AS69" s="304" t="str">
        <f t="shared" si="3"/>
        <v>wci_corp</v>
      </c>
    </row>
    <row r="70" spans="2:45">
      <c r="B70" s="1708" t="s">
        <v>2666</v>
      </c>
      <c r="C70" s="1709">
        <v>44561</v>
      </c>
      <c r="D70" s="1672">
        <v>489.32</v>
      </c>
      <c r="E70" s="1672">
        <v>0</v>
      </c>
      <c r="F70" s="1673" t="s">
        <v>729</v>
      </c>
      <c r="G70" s="1709" t="s">
        <v>2703</v>
      </c>
      <c r="H70" s="1710" t="s">
        <v>730</v>
      </c>
      <c r="I70" s="1709" t="s">
        <v>2702</v>
      </c>
      <c r="J70" s="1709" t="s">
        <v>736</v>
      </c>
      <c r="K70" s="1709" t="s">
        <v>732</v>
      </c>
      <c r="L70" s="1711"/>
      <c r="M70" s="1711"/>
      <c r="N70" s="1711" t="s">
        <v>2642</v>
      </c>
      <c r="O70" s="1709"/>
      <c r="P70" s="1711"/>
      <c r="Q70" s="1712"/>
      <c r="R70" s="1709"/>
      <c r="S70" s="1709"/>
      <c r="T70" s="1709"/>
      <c r="U70" s="1709" t="s">
        <v>2701</v>
      </c>
      <c r="V70" s="1709" t="s">
        <v>2701</v>
      </c>
      <c r="W70" s="1709"/>
      <c r="X70" s="1709">
        <v>44566</v>
      </c>
      <c r="Y70" s="1709">
        <v>44566</v>
      </c>
      <c r="Z70" s="1709"/>
      <c r="AA70" s="1709"/>
      <c r="AB70" s="1709" t="s">
        <v>733</v>
      </c>
      <c r="AC70" s="1709">
        <v>0</v>
      </c>
      <c r="AD70" s="1709">
        <v>0</v>
      </c>
      <c r="AE70" s="1709">
        <v>0</v>
      </c>
      <c r="AF70" s="1709">
        <v>0</v>
      </c>
      <c r="AG70" s="1709">
        <v>0</v>
      </c>
      <c r="AH70" s="1709">
        <v>1</v>
      </c>
      <c r="AI70" s="1709">
        <v>70255</v>
      </c>
      <c r="AJ70" s="1709">
        <v>2195</v>
      </c>
      <c r="AK70" s="1709">
        <v>0</v>
      </c>
      <c r="AL70" s="1709">
        <v>0</v>
      </c>
      <c r="AM70" s="1709"/>
      <c r="AN70" s="1709"/>
      <c r="AO70" s="1710"/>
      <c r="AP70" s="1710"/>
      <c r="AQ70" s="1713" t="str">
        <f t="shared" si="2"/>
        <v/>
      </c>
      <c r="AS70" s="304" t="str">
        <f t="shared" si="3"/>
        <v>wci_corp</v>
      </c>
    </row>
    <row r="71" spans="2:45">
      <c r="B71" s="1708" t="s">
        <v>2666</v>
      </c>
      <c r="C71" s="1709">
        <v>44561</v>
      </c>
      <c r="D71" s="1672">
        <v>2000</v>
      </c>
      <c r="E71" s="1672">
        <v>0</v>
      </c>
      <c r="F71" s="1673" t="s">
        <v>729</v>
      </c>
      <c r="G71" s="1709" t="s">
        <v>2700</v>
      </c>
      <c r="H71" s="1710" t="s">
        <v>730</v>
      </c>
      <c r="I71" s="1709" t="s">
        <v>2694</v>
      </c>
      <c r="J71" s="1709" t="s">
        <v>735</v>
      </c>
      <c r="K71" s="1709" t="s">
        <v>732</v>
      </c>
      <c r="L71" s="1711"/>
      <c r="M71" s="1711"/>
      <c r="N71" s="1711" t="s">
        <v>2660</v>
      </c>
      <c r="O71" s="1709"/>
      <c r="P71" s="1711"/>
      <c r="Q71" s="1712"/>
      <c r="R71" s="1709"/>
      <c r="S71" s="1709"/>
      <c r="T71" s="1709"/>
      <c r="U71" s="1709" t="s">
        <v>2693</v>
      </c>
      <c r="V71" s="1709" t="s">
        <v>2693</v>
      </c>
      <c r="W71" s="1709"/>
      <c r="X71" s="1709">
        <v>44567</v>
      </c>
      <c r="Y71" s="1709">
        <v>44567</v>
      </c>
      <c r="Z71" s="1709"/>
      <c r="AA71" s="1709"/>
      <c r="AB71" s="1709" t="s">
        <v>733</v>
      </c>
      <c r="AC71" s="1709">
        <v>0</v>
      </c>
      <c r="AD71" s="1709">
        <v>0</v>
      </c>
      <c r="AE71" s="1709">
        <v>0</v>
      </c>
      <c r="AF71" s="1709">
        <v>0</v>
      </c>
      <c r="AG71" s="1709">
        <v>0</v>
      </c>
      <c r="AH71" s="1709">
        <v>1</v>
      </c>
      <c r="AI71" s="1709">
        <v>70255</v>
      </c>
      <c r="AJ71" s="1709">
        <v>2195</v>
      </c>
      <c r="AK71" s="1709">
        <v>0</v>
      </c>
      <c r="AL71" s="1709">
        <v>0</v>
      </c>
      <c r="AM71" s="1709"/>
      <c r="AN71" s="1709"/>
      <c r="AO71" s="1710"/>
      <c r="AP71" s="1710"/>
      <c r="AQ71" s="1713" t="str">
        <f t="shared" si="2"/>
        <v/>
      </c>
      <c r="AS71" s="304" t="str">
        <f t="shared" si="3"/>
        <v>wci_corp</v>
      </c>
    </row>
    <row r="72" spans="2:45">
      <c r="B72" s="1708" t="s">
        <v>2666</v>
      </c>
      <c r="C72" s="1709">
        <v>44565</v>
      </c>
      <c r="D72" s="1672">
        <v>2000</v>
      </c>
      <c r="E72" s="1672">
        <v>0</v>
      </c>
      <c r="F72" s="1673" t="s">
        <v>729</v>
      </c>
      <c r="G72" s="1709" t="s">
        <v>2699</v>
      </c>
      <c r="H72" s="1710" t="s">
        <v>730</v>
      </c>
      <c r="I72" s="1709" t="s">
        <v>1039</v>
      </c>
      <c r="J72" s="1709" t="s">
        <v>1042</v>
      </c>
      <c r="K72" s="1709" t="s">
        <v>732</v>
      </c>
      <c r="L72" s="1711" t="s">
        <v>2677</v>
      </c>
      <c r="M72" s="1711"/>
      <c r="N72" s="1711" t="s">
        <v>2662</v>
      </c>
      <c r="O72" s="1709">
        <v>44561</v>
      </c>
      <c r="P72" s="1711" t="s">
        <v>2660</v>
      </c>
      <c r="Q72" s="1712">
        <v>980759</v>
      </c>
      <c r="R72" s="1709" t="s">
        <v>2698</v>
      </c>
      <c r="S72" s="1709"/>
      <c r="T72" s="1709"/>
      <c r="U72" s="1709" t="s">
        <v>2697</v>
      </c>
      <c r="V72" s="1709" t="s">
        <v>2696</v>
      </c>
      <c r="W72" s="1709">
        <v>2111</v>
      </c>
      <c r="X72" s="1709">
        <v>44565</v>
      </c>
      <c r="Y72" s="1709">
        <v>44565</v>
      </c>
      <c r="Z72" s="1709">
        <v>16000</v>
      </c>
      <c r="AA72" s="1709">
        <v>44571</v>
      </c>
      <c r="AB72" s="1709" t="s">
        <v>733</v>
      </c>
      <c r="AC72" s="1709">
        <v>0</v>
      </c>
      <c r="AD72" s="1709">
        <v>0</v>
      </c>
      <c r="AE72" s="1709">
        <v>0</v>
      </c>
      <c r="AF72" s="1709">
        <v>0</v>
      </c>
      <c r="AG72" s="1709">
        <v>0</v>
      </c>
      <c r="AH72" s="1709">
        <v>1</v>
      </c>
      <c r="AI72" s="1709">
        <v>70255</v>
      </c>
      <c r="AJ72" s="1709">
        <v>2195</v>
      </c>
      <c r="AK72" s="1709">
        <v>0</v>
      </c>
      <c r="AL72" s="1709">
        <v>0</v>
      </c>
      <c r="AM72" s="1709"/>
      <c r="AN72" s="1709"/>
      <c r="AO72" s="1710"/>
      <c r="AP72" s="1710"/>
      <c r="AQ72" s="1713" t="str">
        <f t="shared" si="2"/>
        <v>VO06060864</v>
      </c>
      <c r="AS72" s="304" t="str">
        <f t="shared" si="3"/>
        <v>wci_corp</v>
      </c>
    </row>
    <row r="73" spans="2:45">
      <c r="B73" s="1708" t="s">
        <v>2666</v>
      </c>
      <c r="C73" s="1709">
        <v>44592</v>
      </c>
      <c r="D73" s="1672">
        <v>-2000</v>
      </c>
      <c r="E73" s="1672">
        <v>0</v>
      </c>
      <c r="F73" s="1673" t="s">
        <v>729</v>
      </c>
      <c r="G73" s="1709" t="s">
        <v>2695</v>
      </c>
      <c r="H73" s="1710" t="s">
        <v>730</v>
      </c>
      <c r="I73" s="1709" t="s">
        <v>2694</v>
      </c>
      <c r="J73" s="1709" t="s">
        <v>735</v>
      </c>
      <c r="K73" s="1709" t="s">
        <v>732</v>
      </c>
      <c r="L73" s="1711"/>
      <c r="M73" s="1711"/>
      <c r="N73" s="1711" t="s">
        <v>2660</v>
      </c>
      <c r="O73" s="1709"/>
      <c r="P73" s="1711"/>
      <c r="Q73" s="1712"/>
      <c r="R73" s="1709"/>
      <c r="S73" s="1709"/>
      <c r="T73" s="1709"/>
      <c r="U73" s="1709" t="s">
        <v>2693</v>
      </c>
      <c r="V73" s="1709" t="s">
        <v>2692</v>
      </c>
      <c r="W73" s="1709"/>
      <c r="X73" s="1709">
        <v>44567</v>
      </c>
      <c r="Y73" s="1709">
        <v>44567</v>
      </c>
      <c r="Z73" s="1709"/>
      <c r="AA73" s="1709"/>
      <c r="AB73" s="1709" t="s">
        <v>733</v>
      </c>
      <c r="AC73" s="1709">
        <v>0</v>
      </c>
      <c r="AD73" s="1709">
        <v>0</v>
      </c>
      <c r="AE73" s="1709">
        <v>0</v>
      </c>
      <c r="AF73" s="1709">
        <v>0</v>
      </c>
      <c r="AG73" s="1709">
        <v>5</v>
      </c>
      <c r="AH73" s="1709">
        <v>1</v>
      </c>
      <c r="AI73" s="1709">
        <v>70255</v>
      </c>
      <c r="AJ73" s="1709">
        <v>2195</v>
      </c>
      <c r="AK73" s="1709">
        <v>0</v>
      </c>
      <c r="AL73" s="1709">
        <v>0</v>
      </c>
      <c r="AM73" s="1709"/>
      <c r="AN73" s="1709"/>
      <c r="AO73" s="1710"/>
      <c r="AP73" s="1710"/>
      <c r="AQ73" s="1713" t="str">
        <f t="shared" si="2"/>
        <v/>
      </c>
      <c r="AS73" s="304" t="str">
        <f t="shared" si="3"/>
        <v>wci_corp</v>
      </c>
    </row>
    <row r="74" spans="2:45">
      <c r="B74" s="1708" t="s">
        <v>2666</v>
      </c>
      <c r="C74" s="1709">
        <v>44592</v>
      </c>
      <c r="D74" s="1672">
        <v>474.75</v>
      </c>
      <c r="E74" s="1672">
        <v>0</v>
      </c>
      <c r="F74" s="1673" t="s">
        <v>729</v>
      </c>
      <c r="G74" s="1709" t="s">
        <v>2691</v>
      </c>
      <c r="H74" s="1710" t="s">
        <v>730</v>
      </c>
      <c r="I74" s="1709" t="s">
        <v>2641</v>
      </c>
      <c r="J74" s="1709" t="s">
        <v>2106</v>
      </c>
      <c r="K74" s="1709" t="s">
        <v>732</v>
      </c>
      <c r="L74" s="1711"/>
      <c r="M74" s="1711"/>
      <c r="N74" s="1711" t="s">
        <v>2641</v>
      </c>
      <c r="O74" s="1709"/>
      <c r="P74" s="1711"/>
      <c r="Q74" s="1712"/>
      <c r="R74" s="1709"/>
      <c r="S74" s="1709"/>
      <c r="T74" s="1709"/>
      <c r="U74" s="1709" t="s">
        <v>2690</v>
      </c>
      <c r="V74" s="1709" t="s">
        <v>2690</v>
      </c>
      <c r="W74" s="1709"/>
      <c r="X74" s="1709">
        <v>44593</v>
      </c>
      <c r="Y74" s="1709">
        <v>44593</v>
      </c>
      <c r="Z74" s="1709"/>
      <c r="AA74" s="1709"/>
      <c r="AB74" s="1709" t="s">
        <v>733</v>
      </c>
      <c r="AC74" s="1709">
        <v>0</v>
      </c>
      <c r="AD74" s="1709">
        <v>0</v>
      </c>
      <c r="AE74" s="1709">
        <v>0</v>
      </c>
      <c r="AF74" s="1709">
        <v>0</v>
      </c>
      <c r="AG74" s="1709">
        <v>0</v>
      </c>
      <c r="AH74" s="1709">
        <v>1</v>
      </c>
      <c r="AI74" s="1709">
        <v>70255</v>
      </c>
      <c r="AJ74" s="1709">
        <v>2195</v>
      </c>
      <c r="AK74" s="1709">
        <v>0</v>
      </c>
      <c r="AL74" s="1709">
        <v>0</v>
      </c>
      <c r="AM74" s="1709"/>
      <c r="AN74" s="1709"/>
      <c r="AO74" s="1710"/>
      <c r="AP74" s="1710"/>
      <c r="AQ74" s="1713" t="str">
        <f t="shared" si="2"/>
        <v/>
      </c>
      <c r="AS74" s="304" t="str">
        <f t="shared" si="3"/>
        <v>wci_corp</v>
      </c>
    </row>
    <row r="75" spans="2:45">
      <c r="B75" s="1708" t="s">
        <v>2666</v>
      </c>
      <c r="C75" s="1709">
        <v>44592</v>
      </c>
      <c r="D75" s="1672">
        <v>2000</v>
      </c>
      <c r="E75" s="1672">
        <v>0</v>
      </c>
      <c r="F75" s="1673" t="s">
        <v>729</v>
      </c>
      <c r="G75" s="1709" t="s">
        <v>2689</v>
      </c>
      <c r="H75" s="1710" t="s">
        <v>730</v>
      </c>
      <c r="I75" s="1709" t="s">
        <v>2684</v>
      </c>
      <c r="J75" s="1709" t="s">
        <v>736</v>
      </c>
      <c r="K75" s="1709" t="s">
        <v>732</v>
      </c>
      <c r="L75" s="1711"/>
      <c r="M75" s="1711"/>
      <c r="N75" s="1711" t="s">
        <v>2640</v>
      </c>
      <c r="O75" s="1709"/>
      <c r="P75" s="1711"/>
      <c r="Q75" s="1712"/>
      <c r="R75" s="1709"/>
      <c r="S75" s="1709"/>
      <c r="T75" s="1709"/>
      <c r="U75" s="1709" t="s">
        <v>2683</v>
      </c>
      <c r="V75" s="1709" t="s">
        <v>2683</v>
      </c>
      <c r="W75" s="1709"/>
      <c r="X75" s="1709">
        <v>44596</v>
      </c>
      <c r="Y75" s="1709">
        <v>44597</v>
      </c>
      <c r="Z75" s="1709"/>
      <c r="AA75" s="1709"/>
      <c r="AB75" s="1709" t="s">
        <v>733</v>
      </c>
      <c r="AC75" s="1709">
        <v>0</v>
      </c>
      <c r="AD75" s="1709">
        <v>0</v>
      </c>
      <c r="AE75" s="1709">
        <v>0</v>
      </c>
      <c r="AF75" s="1709">
        <v>0</v>
      </c>
      <c r="AG75" s="1709">
        <v>0</v>
      </c>
      <c r="AH75" s="1709">
        <v>1</v>
      </c>
      <c r="AI75" s="1709">
        <v>70255</v>
      </c>
      <c r="AJ75" s="1709">
        <v>2195</v>
      </c>
      <c r="AK75" s="1709">
        <v>0</v>
      </c>
      <c r="AL75" s="1709">
        <v>0</v>
      </c>
      <c r="AM75" s="1709"/>
      <c r="AN75" s="1709"/>
      <c r="AO75" s="1710"/>
      <c r="AP75" s="1710"/>
      <c r="AQ75" s="1713" t="str">
        <f t="shared" si="2"/>
        <v/>
      </c>
      <c r="AS75" s="304" t="str">
        <f t="shared" si="3"/>
        <v>wci_corp</v>
      </c>
    </row>
    <row r="76" spans="2:45">
      <c r="B76" s="1708" t="s">
        <v>2666</v>
      </c>
      <c r="C76" s="1709">
        <v>44592</v>
      </c>
      <c r="D76" s="1672">
        <v>665.67</v>
      </c>
      <c r="E76" s="1672">
        <v>0</v>
      </c>
      <c r="F76" s="1673" t="s">
        <v>729</v>
      </c>
      <c r="G76" s="1709" t="s">
        <v>2261</v>
      </c>
      <c r="H76" s="1710" t="s">
        <v>730</v>
      </c>
      <c r="I76" s="1709" t="s">
        <v>2222</v>
      </c>
      <c r="J76" s="1709" t="s">
        <v>736</v>
      </c>
      <c r="K76" s="1709" t="s">
        <v>732</v>
      </c>
      <c r="L76" s="1711"/>
      <c r="M76" s="1711"/>
      <c r="N76" s="1711" t="s">
        <v>2639</v>
      </c>
      <c r="O76" s="1709"/>
      <c r="P76" s="1711"/>
      <c r="Q76" s="1712"/>
      <c r="R76" s="1709"/>
      <c r="S76" s="1709"/>
      <c r="T76" s="1709"/>
      <c r="U76" s="1709" t="s">
        <v>2256</v>
      </c>
      <c r="V76" s="1709" t="s">
        <v>2256</v>
      </c>
      <c r="W76" s="1709"/>
      <c r="X76" s="1709">
        <v>44596</v>
      </c>
      <c r="Y76" s="1709">
        <v>44597</v>
      </c>
      <c r="Z76" s="1709"/>
      <c r="AA76" s="1709"/>
      <c r="AB76" s="1709" t="s">
        <v>733</v>
      </c>
      <c r="AC76" s="1709">
        <v>0</v>
      </c>
      <c r="AD76" s="1709">
        <v>0</v>
      </c>
      <c r="AE76" s="1709">
        <v>0</v>
      </c>
      <c r="AF76" s="1709">
        <v>0</v>
      </c>
      <c r="AG76" s="1709">
        <v>0</v>
      </c>
      <c r="AH76" s="1709">
        <v>1</v>
      </c>
      <c r="AI76" s="1709">
        <v>70255</v>
      </c>
      <c r="AJ76" s="1709">
        <v>2195</v>
      </c>
      <c r="AK76" s="1709">
        <v>0</v>
      </c>
      <c r="AL76" s="1709">
        <v>0</v>
      </c>
      <c r="AM76" s="1709"/>
      <c r="AN76" s="1709"/>
      <c r="AO76" s="1710"/>
      <c r="AP76" s="1710"/>
      <c r="AQ76" s="1713" t="str">
        <f t="shared" si="2"/>
        <v/>
      </c>
      <c r="AS76" s="304" t="str">
        <f t="shared" si="3"/>
        <v>wci_corp</v>
      </c>
    </row>
    <row r="77" spans="2:45">
      <c r="B77" s="1708" t="s">
        <v>2666</v>
      </c>
      <c r="C77" s="1709">
        <v>44592</v>
      </c>
      <c r="D77" s="1672">
        <v>25</v>
      </c>
      <c r="E77" s="1672">
        <v>0</v>
      </c>
      <c r="F77" s="1673" t="s">
        <v>729</v>
      </c>
      <c r="G77" s="1709" t="s">
        <v>2261</v>
      </c>
      <c r="H77" s="1710" t="s">
        <v>730</v>
      </c>
      <c r="I77" s="1709" t="s">
        <v>2222</v>
      </c>
      <c r="J77" s="1709" t="s">
        <v>736</v>
      </c>
      <c r="K77" s="1709" t="s">
        <v>732</v>
      </c>
      <c r="L77" s="1711"/>
      <c r="M77" s="1711"/>
      <c r="N77" s="1711" t="s">
        <v>2638</v>
      </c>
      <c r="O77" s="1709"/>
      <c r="P77" s="1711"/>
      <c r="Q77" s="1712"/>
      <c r="R77" s="1709"/>
      <c r="S77" s="1709"/>
      <c r="T77" s="1709"/>
      <c r="U77" s="1709" t="s">
        <v>2256</v>
      </c>
      <c r="V77" s="1709" t="s">
        <v>2256</v>
      </c>
      <c r="W77" s="1709"/>
      <c r="X77" s="1709">
        <v>44596</v>
      </c>
      <c r="Y77" s="1709">
        <v>44597</v>
      </c>
      <c r="Z77" s="1709"/>
      <c r="AA77" s="1709"/>
      <c r="AB77" s="1709" t="s">
        <v>733</v>
      </c>
      <c r="AC77" s="1709">
        <v>0</v>
      </c>
      <c r="AD77" s="1709">
        <v>0</v>
      </c>
      <c r="AE77" s="1709">
        <v>0</v>
      </c>
      <c r="AF77" s="1709">
        <v>0</v>
      </c>
      <c r="AG77" s="1709">
        <v>0</v>
      </c>
      <c r="AH77" s="1709">
        <v>1</v>
      </c>
      <c r="AI77" s="1709">
        <v>70255</v>
      </c>
      <c r="AJ77" s="1709">
        <v>2195</v>
      </c>
      <c r="AK77" s="1709">
        <v>0</v>
      </c>
      <c r="AL77" s="1709">
        <v>0</v>
      </c>
      <c r="AM77" s="1709"/>
      <c r="AN77" s="1709"/>
      <c r="AO77" s="1710"/>
      <c r="AP77" s="1710"/>
      <c r="AQ77" s="1713" t="str">
        <f t="shared" si="2"/>
        <v/>
      </c>
      <c r="AS77" s="304" t="str">
        <f t="shared" si="3"/>
        <v>wci_corp</v>
      </c>
    </row>
    <row r="78" spans="2:45">
      <c r="B78" s="1708" t="s">
        <v>2666</v>
      </c>
      <c r="C78" s="1709">
        <v>44608</v>
      </c>
      <c r="D78" s="1672">
        <v>2000</v>
      </c>
      <c r="E78" s="1672">
        <v>0</v>
      </c>
      <c r="F78" s="1673" t="s">
        <v>729</v>
      </c>
      <c r="G78" s="1709" t="s">
        <v>2688</v>
      </c>
      <c r="H78" s="1710" t="s">
        <v>730</v>
      </c>
      <c r="I78" s="1709" t="s">
        <v>1039</v>
      </c>
      <c r="J78" s="1709" t="s">
        <v>1040</v>
      </c>
      <c r="K78" s="1709" t="s">
        <v>732</v>
      </c>
      <c r="L78" s="1711" t="s">
        <v>2677</v>
      </c>
      <c r="M78" s="1711"/>
      <c r="N78" s="1711" t="s">
        <v>2662</v>
      </c>
      <c r="O78" s="1709">
        <v>44592</v>
      </c>
      <c r="P78" s="1711" t="s">
        <v>2634</v>
      </c>
      <c r="Q78" s="1712">
        <v>980762</v>
      </c>
      <c r="R78" s="1709" t="s">
        <v>2676</v>
      </c>
      <c r="S78" s="1709"/>
      <c r="T78" s="1709"/>
      <c r="U78" s="1709" t="s">
        <v>2687</v>
      </c>
      <c r="V78" s="1709" t="s">
        <v>2686</v>
      </c>
      <c r="W78" s="1709">
        <v>2111</v>
      </c>
      <c r="X78" s="1709">
        <v>44608</v>
      </c>
      <c r="Y78" s="1709">
        <v>44610</v>
      </c>
      <c r="Z78" s="1709">
        <v>16000</v>
      </c>
      <c r="AA78" s="1709">
        <v>44602</v>
      </c>
      <c r="AB78" s="1709" t="s">
        <v>733</v>
      </c>
      <c r="AC78" s="1709">
        <v>0</v>
      </c>
      <c r="AD78" s="1709">
        <v>0</v>
      </c>
      <c r="AE78" s="1709">
        <v>0</v>
      </c>
      <c r="AF78" s="1709">
        <v>0</v>
      </c>
      <c r="AG78" s="1709">
        <v>0</v>
      </c>
      <c r="AH78" s="1709">
        <v>1</v>
      </c>
      <c r="AI78" s="1709">
        <v>70255</v>
      </c>
      <c r="AJ78" s="1709">
        <v>2195</v>
      </c>
      <c r="AK78" s="1709">
        <v>0</v>
      </c>
      <c r="AL78" s="1709">
        <v>0</v>
      </c>
      <c r="AM78" s="1709"/>
      <c r="AN78" s="1709"/>
      <c r="AO78" s="1710"/>
      <c r="AP78" s="1710"/>
      <c r="AQ78" s="1713" t="str">
        <f t="shared" si="2"/>
        <v>VO06110111</v>
      </c>
      <c r="AS78" s="304" t="str">
        <f t="shared" si="3"/>
        <v>wci_corp</v>
      </c>
    </row>
    <row r="79" spans="2:45">
      <c r="B79" s="1708" t="s">
        <v>2666</v>
      </c>
      <c r="C79" s="1709">
        <v>44620</v>
      </c>
      <c r="D79" s="1672">
        <v>-2000</v>
      </c>
      <c r="E79" s="1672">
        <v>0</v>
      </c>
      <c r="F79" s="1673" t="s">
        <v>729</v>
      </c>
      <c r="G79" s="1709" t="s">
        <v>2685</v>
      </c>
      <c r="H79" s="1710" t="s">
        <v>730</v>
      </c>
      <c r="I79" s="1709" t="s">
        <v>2684</v>
      </c>
      <c r="J79" s="1709" t="s">
        <v>736</v>
      </c>
      <c r="K79" s="1709" t="s">
        <v>732</v>
      </c>
      <c r="L79" s="1711"/>
      <c r="M79" s="1711"/>
      <c r="N79" s="1711" t="s">
        <v>2640</v>
      </c>
      <c r="O79" s="1709"/>
      <c r="P79" s="1711"/>
      <c r="Q79" s="1712"/>
      <c r="R79" s="1709"/>
      <c r="S79" s="1709"/>
      <c r="T79" s="1709"/>
      <c r="U79" s="1709" t="s">
        <v>2683</v>
      </c>
      <c r="V79" s="1709" t="s">
        <v>2682</v>
      </c>
      <c r="W79" s="1709"/>
      <c r="X79" s="1709">
        <v>44596</v>
      </c>
      <c r="Y79" s="1709">
        <v>44597</v>
      </c>
      <c r="Z79" s="1709"/>
      <c r="AA79" s="1709"/>
      <c r="AB79" s="1709" t="s">
        <v>733</v>
      </c>
      <c r="AC79" s="1709">
        <v>0</v>
      </c>
      <c r="AD79" s="1709">
        <v>0</v>
      </c>
      <c r="AE79" s="1709">
        <v>0</v>
      </c>
      <c r="AF79" s="1709">
        <v>0</v>
      </c>
      <c r="AG79" s="1709">
        <v>5</v>
      </c>
      <c r="AH79" s="1709">
        <v>1</v>
      </c>
      <c r="AI79" s="1709">
        <v>70255</v>
      </c>
      <c r="AJ79" s="1709">
        <v>2195</v>
      </c>
      <c r="AK79" s="1709">
        <v>0</v>
      </c>
      <c r="AL79" s="1709">
        <v>0</v>
      </c>
      <c r="AM79" s="1709"/>
      <c r="AN79" s="1709"/>
      <c r="AO79" s="1710"/>
      <c r="AP79" s="1710"/>
      <c r="AQ79" s="1713" t="str">
        <f t="shared" si="2"/>
        <v/>
      </c>
      <c r="AS79" s="304" t="str">
        <f t="shared" si="3"/>
        <v>wci_corp</v>
      </c>
    </row>
    <row r="80" spans="2:45">
      <c r="B80" s="1708" t="s">
        <v>2666</v>
      </c>
      <c r="C80" s="1709">
        <v>44620</v>
      </c>
      <c r="D80" s="1672">
        <v>-665.67</v>
      </c>
      <c r="E80" s="1672">
        <v>0</v>
      </c>
      <c r="F80" s="1673" t="s">
        <v>729</v>
      </c>
      <c r="G80" s="1709" t="s">
        <v>2257</v>
      </c>
      <c r="H80" s="1710" t="s">
        <v>730</v>
      </c>
      <c r="I80" s="1709" t="s">
        <v>2222</v>
      </c>
      <c r="J80" s="1709" t="s">
        <v>731</v>
      </c>
      <c r="K80" s="1709" t="s">
        <v>732</v>
      </c>
      <c r="L80" s="1711"/>
      <c r="M80" s="1711"/>
      <c r="N80" s="1711" t="s">
        <v>2639</v>
      </c>
      <c r="O80" s="1709"/>
      <c r="P80" s="1711"/>
      <c r="Q80" s="1712"/>
      <c r="R80" s="1709"/>
      <c r="S80" s="1709"/>
      <c r="T80" s="1709"/>
      <c r="U80" s="1709" t="s">
        <v>2256</v>
      </c>
      <c r="V80" s="1709" t="s">
        <v>2255</v>
      </c>
      <c r="W80" s="1709"/>
      <c r="X80" s="1709">
        <v>44597</v>
      </c>
      <c r="Y80" s="1709">
        <v>44599</v>
      </c>
      <c r="Z80" s="1709"/>
      <c r="AA80" s="1709"/>
      <c r="AB80" s="1709" t="s">
        <v>733</v>
      </c>
      <c r="AC80" s="1709">
        <v>0</v>
      </c>
      <c r="AD80" s="1709">
        <v>0</v>
      </c>
      <c r="AE80" s="1709">
        <v>0</v>
      </c>
      <c r="AF80" s="1709">
        <v>0</v>
      </c>
      <c r="AG80" s="1709">
        <v>5</v>
      </c>
      <c r="AH80" s="1709">
        <v>1</v>
      </c>
      <c r="AI80" s="1709">
        <v>70255</v>
      </c>
      <c r="AJ80" s="1709">
        <v>2195</v>
      </c>
      <c r="AK80" s="1709">
        <v>0</v>
      </c>
      <c r="AL80" s="1709">
        <v>0</v>
      </c>
      <c r="AM80" s="1709"/>
      <c r="AN80" s="1709"/>
      <c r="AO80" s="1710"/>
      <c r="AP80" s="1710"/>
      <c r="AQ80" s="1713" t="str">
        <f t="shared" si="2"/>
        <v/>
      </c>
      <c r="AS80" s="304" t="str">
        <f t="shared" si="3"/>
        <v>wci_corp</v>
      </c>
    </row>
    <row r="81" spans="2:45">
      <c r="B81" s="1708" t="s">
        <v>2666</v>
      </c>
      <c r="C81" s="1709">
        <v>44620</v>
      </c>
      <c r="D81" s="1672">
        <v>-25</v>
      </c>
      <c r="E81" s="1672">
        <v>0</v>
      </c>
      <c r="F81" s="1673" t="s">
        <v>729</v>
      </c>
      <c r="G81" s="1709" t="s">
        <v>2257</v>
      </c>
      <c r="H81" s="1710" t="s">
        <v>730</v>
      </c>
      <c r="I81" s="1709" t="s">
        <v>2222</v>
      </c>
      <c r="J81" s="1709" t="s">
        <v>731</v>
      </c>
      <c r="K81" s="1709" t="s">
        <v>732</v>
      </c>
      <c r="L81" s="1711"/>
      <c r="M81" s="1711"/>
      <c r="N81" s="1711" t="s">
        <v>2638</v>
      </c>
      <c r="O81" s="1709"/>
      <c r="P81" s="1711"/>
      <c r="Q81" s="1712"/>
      <c r="R81" s="1709"/>
      <c r="S81" s="1709"/>
      <c r="T81" s="1709"/>
      <c r="U81" s="1709" t="s">
        <v>2256</v>
      </c>
      <c r="V81" s="1709" t="s">
        <v>2255</v>
      </c>
      <c r="W81" s="1709"/>
      <c r="X81" s="1709">
        <v>44597</v>
      </c>
      <c r="Y81" s="1709">
        <v>44599</v>
      </c>
      <c r="Z81" s="1709"/>
      <c r="AA81" s="1709"/>
      <c r="AB81" s="1709" t="s">
        <v>733</v>
      </c>
      <c r="AC81" s="1709">
        <v>0</v>
      </c>
      <c r="AD81" s="1709">
        <v>0</v>
      </c>
      <c r="AE81" s="1709">
        <v>0</v>
      </c>
      <c r="AF81" s="1709">
        <v>0</v>
      </c>
      <c r="AG81" s="1709">
        <v>5</v>
      </c>
      <c r="AH81" s="1709">
        <v>1</v>
      </c>
      <c r="AI81" s="1709">
        <v>70255</v>
      </c>
      <c r="AJ81" s="1709">
        <v>2195</v>
      </c>
      <c r="AK81" s="1709">
        <v>0</v>
      </c>
      <c r="AL81" s="1709">
        <v>0</v>
      </c>
      <c r="AM81" s="1709"/>
      <c r="AN81" s="1709"/>
      <c r="AO81" s="1710"/>
      <c r="AP81" s="1710"/>
      <c r="AQ81" s="1713" t="str">
        <f t="shared" si="2"/>
        <v/>
      </c>
      <c r="AS81" s="304" t="str">
        <f t="shared" si="3"/>
        <v>wci_corp</v>
      </c>
    </row>
    <row r="82" spans="2:45">
      <c r="B82" s="1708" t="s">
        <v>2666</v>
      </c>
      <c r="C82" s="1709">
        <v>44620</v>
      </c>
      <c r="D82" s="1672">
        <v>476.33</v>
      </c>
      <c r="E82" s="1672">
        <v>0</v>
      </c>
      <c r="F82" s="1673" t="s">
        <v>729</v>
      </c>
      <c r="G82" s="1709" t="s">
        <v>2681</v>
      </c>
      <c r="H82" s="1710" t="s">
        <v>730</v>
      </c>
      <c r="I82" s="1709" t="s">
        <v>2637</v>
      </c>
      <c r="J82" s="1709" t="s">
        <v>2192</v>
      </c>
      <c r="K82" s="1709" t="s">
        <v>732</v>
      </c>
      <c r="L82" s="1711"/>
      <c r="M82" s="1711"/>
      <c r="N82" s="1711" t="s">
        <v>2637</v>
      </c>
      <c r="O82" s="1709"/>
      <c r="P82" s="1711"/>
      <c r="Q82" s="1712"/>
      <c r="R82" s="1709"/>
      <c r="S82" s="1709"/>
      <c r="T82" s="1709"/>
      <c r="U82" s="1709" t="s">
        <v>2680</v>
      </c>
      <c r="V82" s="1709" t="s">
        <v>2680</v>
      </c>
      <c r="W82" s="1709"/>
      <c r="X82" s="1709">
        <v>44620</v>
      </c>
      <c r="Y82" s="1709">
        <v>44620</v>
      </c>
      <c r="Z82" s="1709"/>
      <c r="AA82" s="1709"/>
      <c r="AB82" s="1709" t="s">
        <v>733</v>
      </c>
      <c r="AC82" s="1709">
        <v>0</v>
      </c>
      <c r="AD82" s="1709">
        <v>0</v>
      </c>
      <c r="AE82" s="1709">
        <v>0</v>
      </c>
      <c r="AF82" s="1709">
        <v>0</v>
      </c>
      <c r="AG82" s="1709">
        <v>0</v>
      </c>
      <c r="AH82" s="1709">
        <v>1</v>
      </c>
      <c r="AI82" s="1709">
        <v>70255</v>
      </c>
      <c r="AJ82" s="1709">
        <v>2195</v>
      </c>
      <c r="AK82" s="1709">
        <v>0</v>
      </c>
      <c r="AL82" s="1709">
        <v>0</v>
      </c>
      <c r="AM82" s="1709"/>
      <c r="AN82" s="1709"/>
      <c r="AO82" s="1710"/>
      <c r="AP82" s="1710"/>
      <c r="AQ82" s="1713" t="str">
        <f t="shared" si="2"/>
        <v/>
      </c>
      <c r="AS82" s="304" t="str">
        <f t="shared" si="3"/>
        <v>wci_corp</v>
      </c>
    </row>
    <row r="83" spans="2:45">
      <c r="B83" s="1708" t="s">
        <v>2666</v>
      </c>
      <c r="C83" s="1709">
        <v>44620</v>
      </c>
      <c r="D83" s="1672">
        <v>665.67</v>
      </c>
      <c r="E83" s="1672">
        <v>0</v>
      </c>
      <c r="F83" s="1673" t="s">
        <v>729</v>
      </c>
      <c r="G83" s="1709" t="s">
        <v>2436</v>
      </c>
      <c r="H83" s="1710" t="s">
        <v>730</v>
      </c>
      <c r="I83" s="1709" t="s">
        <v>2435</v>
      </c>
      <c r="J83" s="1709" t="s">
        <v>736</v>
      </c>
      <c r="K83" s="1709" t="s">
        <v>732</v>
      </c>
      <c r="L83" s="1711"/>
      <c r="M83" s="1711"/>
      <c r="N83" s="1711" t="s">
        <v>2636</v>
      </c>
      <c r="O83" s="1709"/>
      <c r="P83" s="1711"/>
      <c r="Q83" s="1712"/>
      <c r="R83" s="1709"/>
      <c r="S83" s="1709"/>
      <c r="T83" s="1709"/>
      <c r="U83" s="1709" t="s">
        <v>2434</v>
      </c>
      <c r="V83" s="1709" t="s">
        <v>2434</v>
      </c>
      <c r="W83" s="1709"/>
      <c r="X83" s="1709">
        <v>44623</v>
      </c>
      <c r="Y83" s="1709">
        <v>44623</v>
      </c>
      <c r="Z83" s="1709"/>
      <c r="AA83" s="1709"/>
      <c r="AB83" s="1709" t="s">
        <v>733</v>
      </c>
      <c r="AC83" s="1709">
        <v>0</v>
      </c>
      <c r="AD83" s="1709">
        <v>0</v>
      </c>
      <c r="AE83" s="1709">
        <v>0</v>
      </c>
      <c r="AF83" s="1709">
        <v>0</v>
      </c>
      <c r="AG83" s="1709">
        <v>0</v>
      </c>
      <c r="AH83" s="1709">
        <v>1</v>
      </c>
      <c r="AI83" s="1709">
        <v>70255</v>
      </c>
      <c r="AJ83" s="1709">
        <v>2195</v>
      </c>
      <c r="AK83" s="1709">
        <v>0</v>
      </c>
      <c r="AL83" s="1709">
        <v>0</v>
      </c>
      <c r="AM83" s="1709"/>
      <c r="AN83" s="1709"/>
      <c r="AO83" s="1710"/>
      <c r="AP83" s="1710"/>
      <c r="AQ83" s="1713" t="str">
        <f t="shared" si="2"/>
        <v/>
      </c>
      <c r="AS83" s="304" t="str">
        <f t="shared" si="3"/>
        <v>wci_corp</v>
      </c>
    </row>
    <row r="84" spans="2:45">
      <c r="B84" s="1708" t="s">
        <v>2666</v>
      </c>
      <c r="C84" s="1709">
        <v>44620</v>
      </c>
      <c r="D84" s="1672">
        <v>25</v>
      </c>
      <c r="E84" s="1672">
        <v>0</v>
      </c>
      <c r="F84" s="1673" t="s">
        <v>729</v>
      </c>
      <c r="G84" s="1709" t="s">
        <v>2436</v>
      </c>
      <c r="H84" s="1710" t="s">
        <v>730</v>
      </c>
      <c r="I84" s="1709" t="s">
        <v>2435</v>
      </c>
      <c r="J84" s="1709" t="s">
        <v>736</v>
      </c>
      <c r="K84" s="1709" t="s">
        <v>732</v>
      </c>
      <c r="L84" s="1711"/>
      <c r="M84" s="1711"/>
      <c r="N84" s="1711" t="s">
        <v>2635</v>
      </c>
      <c r="O84" s="1709"/>
      <c r="P84" s="1711"/>
      <c r="Q84" s="1712"/>
      <c r="R84" s="1709"/>
      <c r="S84" s="1709"/>
      <c r="T84" s="1709"/>
      <c r="U84" s="1709" t="s">
        <v>2434</v>
      </c>
      <c r="V84" s="1709" t="s">
        <v>2434</v>
      </c>
      <c r="W84" s="1709"/>
      <c r="X84" s="1709">
        <v>44623</v>
      </c>
      <c r="Y84" s="1709">
        <v>44623</v>
      </c>
      <c r="Z84" s="1709"/>
      <c r="AA84" s="1709"/>
      <c r="AB84" s="1709" t="s">
        <v>733</v>
      </c>
      <c r="AC84" s="1709">
        <v>0</v>
      </c>
      <c r="AD84" s="1709">
        <v>0</v>
      </c>
      <c r="AE84" s="1709">
        <v>0</v>
      </c>
      <c r="AF84" s="1709">
        <v>0</v>
      </c>
      <c r="AG84" s="1709">
        <v>0</v>
      </c>
      <c r="AH84" s="1709">
        <v>1</v>
      </c>
      <c r="AI84" s="1709">
        <v>70255</v>
      </c>
      <c r="AJ84" s="1709">
        <v>2195</v>
      </c>
      <c r="AK84" s="1709">
        <v>0</v>
      </c>
      <c r="AL84" s="1709">
        <v>0</v>
      </c>
      <c r="AM84" s="1709"/>
      <c r="AN84" s="1709"/>
      <c r="AO84" s="1710"/>
      <c r="AP84" s="1710"/>
      <c r="AQ84" s="1713" t="str">
        <f t="shared" ref="AQ84:AQ89" si="4">IF(LEFT(U84,2)="VO",U84,"")</f>
        <v/>
      </c>
      <c r="AS84" s="304" t="str">
        <f t="shared" ref="AS84:AS89" si="5">IF(RIGHT(K84,2)="IC",IF(OR(AB84="wci_canada",AB84="wci_can_corp"),"wci_can_Corp","wci_corp"),AB84)</f>
        <v>wci_corp</v>
      </c>
    </row>
    <row r="85" spans="2:45">
      <c r="B85" s="1708" t="s">
        <v>2666</v>
      </c>
      <c r="C85" s="1709">
        <v>44620</v>
      </c>
      <c r="D85" s="1672">
        <v>2000</v>
      </c>
      <c r="E85" s="1672">
        <v>0</v>
      </c>
      <c r="F85" s="1673" t="s">
        <v>729</v>
      </c>
      <c r="G85" s="1709" t="s">
        <v>2679</v>
      </c>
      <c r="H85" s="1710" t="s">
        <v>730</v>
      </c>
      <c r="I85" s="1709" t="s">
        <v>2672</v>
      </c>
      <c r="J85" s="1709" t="s">
        <v>2192</v>
      </c>
      <c r="K85" s="1709" t="s">
        <v>732</v>
      </c>
      <c r="L85" s="1711"/>
      <c r="M85" s="1711"/>
      <c r="N85" s="1711" t="s">
        <v>2634</v>
      </c>
      <c r="O85" s="1709"/>
      <c r="P85" s="1711"/>
      <c r="Q85" s="1712"/>
      <c r="R85" s="1709"/>
      <c r="S85" s="1709"/>
      <c r="T85" s="1709"/>
      <c r="U85" s="1709" t="s">
        <v>2671</v>
      </c>
      <c r="V85" s="1709" t="s">
        <v>2671</v>
      </c>
      <c r="W85" s="1709"/>
      <c r="X85" s="1709">
        <v>44627</v>
      </c>
      <c r="Y85" s="1709">
        <v>44627</v>
      </c>
      <c r="Z85" s="1709"/>
      <c r="AA85" s="1709"/>
      <c r="AB85" s="1709" t="s">
        <v>733</v>
      </c>
      <c r="AC85" s="1709">
        <v>0</v>
      </c>
      <c r="AD85" s="1709">
        <v>0</v>
      </c>
      <c r="AE85" s="1709">
        <v>0</v>
      </c>
      <c r="AF85" s="1709">
        <v>0</v>
      </c>
      <c r="AG85" s="1709">
        <v>0</v>
      </c>
      <c r="AH85" s="1709">
        <v>1</v>
      </c>
      <c r="AI85" s="1709">
        <v>70255</v>
      </c>
      <c r="AJ85" s="1709">
        <v>2195</v>
      </c>
      <c r="AK85" s="1709">
        <v>0</v>
      </c>
      <c r="AL85" s="1709">
        <v>0</v>
      </c>
      <c r="AM85" s="1709"/>
      <c r="AN85" s="1709"/>
      <c r="AO85" s="1710"/>
      <c r="AP85" s="1710"/>
      <c r="AQ85" s="1713" t="str">
        <f t="shared" si="4"/>
        <v/>
      </c>
      <c r="AS85" s="304" t="str">
        <f t="shared" si="5"/>
        <v>wci_corp</v>
      </c>
    </row>
    <row r="86" spans="2:45">
      <c r="B86" s="1708" t="s">
        <v>2666</v>
      </c>
      <c r="C86" s="1709">
        <v>44623</v>
      </c>
      <c r="D86" s="1672">
        <v>2000</v>
      </c>
      <c r="E86" s="1672">
        <v>0</v>
      </c>
      <c r="F86" s="1673" t="s">
        <v>729</v>
      </c>
      <c r="G86" s="1709" t="s">
        <v>2678</v>
      </c>
      <c r="H86" s="1710" t="s">
        <v>730</v>
      </c>
      <c r="I86" s="1709" t="s">
        <v>1039</v>
      </c>
      <c r="J86" s="1709" t="s">
        <v>1040</v>
      </c>
      <c r="K86" s="1709" t="s">
        <v>732</v>
      </c>
      <c r="L86" s="1711" t="s">
        <v>2677</v>
      </c>
      <c r="M86" s="1711"/>
      <c r="N86" s="1711" t="s">
        <v>2662</v>
      </c>
      <c r="O86" s="1709">
        <v>44620</v>
      </c>
      <c r="P86" s="1711" t="s">
        <v>2634</v>
      </c>
      <c r="Q86" s="1712">
        <v>980765</v>
      </c>
      <c r="R86" s="1709" t="s">
        <v>2676</v>
      </c>
      <c r="S86" s="1709"/>
      <c r="T86" s="1709"/>
      <c r="U86" s="1709" t="s">
        <v>2675</v>
      </c>
      <c r="V86" s="1709" t="s">
        <v>2674</v>
      </c>
      <c r="W86" s="1709">
        <v>2111</v>
      </c>
      <c r="X86" s="1709">
        <v>44623</v>
      </c>
      <c r="Y86" s="1709">
        <v>44623</v>
      </c>
      <c r="Z86" s="1709">
        <v>16000</v>
      </c>
      <c r="AA86" s="1709">
        <v>44630</v>
      </c>
      <c r="AB86" s="1709" t="s">
        <v>733</v>
      </c>
      <c r="AC86" s="1709">
        <v>0</v>
      </c>
      <c r="AD86" s="1709">
        <v>0</v>
      </c>
      <c r="AE86" s="1709">
        <v>0</v>
      </c>
      <c r="AF86" s="1709">
        <v>0</v>
      </c>
      <c r="AG86" s="1709">
        <v>0</v>
      </c>
      <c r="AH86" s="1709">
        <v>1</v>
      </c>
      <c r="AI86" s="1709">
        <v>70255</v>
      </c>
      <c r="AJ86" s="1709">
        <v>2195</v>
      </c>
      <c r="AK86" s="1709">
        <v>0</v>
      </c>
      <c r="AL86" s="1709">
        <v>0</v>
      </c>
      <c r="AM86" s="1709"/>
      <c r="AN86" s="1709"/>
      <c r="AO86" s="1710"/>
      <c r="AP86" s="1710"/>
      <c r="AQ86" s="1713" t="str">
        <f t="shared" si="4"/>
        <v>VO06130082</v>
      </c>
      <c r="AS86" s="304" t="str">
        <f t="shared" si="5"/>
        <v>wci_corp</v>
      </c>
    </row>
    <row r="87" spans="2:45">
      <c r="B87" s="1708" t="s">
        <v>2666</v>
      </c>
      <c r="C87" s="1709">
        <v>44651</v>
      </c>
      <c r="D87" s="1672">
        <v>-2000</v>
      </c>
      <c r="E87" s="1672">
        <v>0</v>
      </c>
      <c r="F87" s="1673" t="s">
        <v>729</v>
      </c>
      <c r="G87" s="1709" t="s">
        <v>2673</v>
      </c>
      <c r="H87" s="1710" t="s">
        <v>730</v>
      </c>
      <c r="I87" s="1709" t="s">
        <v>2672</v>
      </c>
      <c r="J87" s="1709" t="s">
        <v>731</v>
      </c>
      <c r="K87" s="1709" t="s">
        <v>732</v>
      </c>
      <c r="L87" s="1711"/>
      <c r="M87" s="1711"/>
      <c r="N87" s="1711" t="s">
        <v>2634</v>
      </c>
      <c r="O87" s="1709"/>
      <c r="P87" s="1711"/>
      <c r="Q87" s="1712"/>
      <c r="R87" s="1709"/>
      <c r="S87" s="1709"/>
      <c r="T87" s="1709"/>
      <c r="U87" s="1709" t="s">
        <v>2671</v>
      </c>
      <c r="V87" s="1709" t="s">
        <v>2670</v>
      </c>
      <c r="W87" s="1709"/>
      <c r="X87" s="1709">
        <v>44627</v>
      </c>
      <c r="Y87" s="1709">
        <v>44627</v>
      </c>
      <c r="Z87" s="1709"/>
      <c r="AA87" s="1709"/>
      <c r="AB87" s="1709" t="s">
        <v>733</v>
      </c>
      <c r="AC87" s="1709">
        <v>0</v>
      </c>
      <c r="AD87" s="1709">
        <v>0</v>
      </c>
      <c r="AE87" s="1709">
        <v>0</v>
      </c>
      <c r="AF87" s="1709">
        <v>0</v>
      </c>
      <c r="AG87" s="1709">
        <v>5</v>
      </c>
      <c r="AH87" s="1709">
        <v>1</v>
      </c>
      <c r="AI87" s="1709">
        <v>70255</v>
      </c>
      <c r="AJ87" s="1709">
        <v>2195</v>
      </c>
      <c r="AK87" s="1709">
        <v>0</v>
      </c>
      <c r="AL87" s="1709">
        <v>0</v>
      </c>
      <c r="AM87" s="1709"/>
      <c r="AN87" s="1709"/>
      <c r="AO87" s="1710"/>
      <c r="AP87" s="1710"/>
      <c r="AQ87" s="1713" t="str">
        <f t="shared" si="4"/>
        <v/>
      </c>
      <c r="AS87" s="304" t="str">
        <f t="shared" si="5"/>
        <v>wci_corp</v>
      </c>
    </row>
    <row r="88" spans="2:45">
      <c r="B88" s="1708" t="s">
        <v>2666</v>
      </c>
      <c r="C88" s="1709">
        <v>44651</v>
      </c>
      <c r="D88" s="1672">
        <v>476.63</v>
      </c>
      <c r="E88" s="1672">
        <v>0</v>
      </c>
      <c r="F88" s="1673" t="s">
        <v>729</v>
      </c>
      <c r="G88" s="1709" t="s">
        <v>2669</v>
      </c>
      <c r="H88" s="1710" t="s">
        <v>730</v>
      </c>
      <c r="I88" s="1709" t="s">
        <v>2668</v>
      </c>
      <c r="J88" s="1709" t="s">
        <v>2106</v>
      </c>
      <c r="K88" s="1709" t="s">
        <v>732</v>
      </c>
      <c r="L88" s="1711"/>
      <c r="M88" s="1711"/>
      <c r="N88" s="1711" t="s">
        <v>2633</v>
      </c>
      <c r="O88" s="1709"/>
      <c r="P88" s="1711"/>
      <c r="Q88" s="1712"/>
      <c r="R88" s="1709"/>
      <c r="S88" s="1709"/>
      <c r="T88" s="1709"/>
      <c r="U88" s="1709" t="s">
        <v>2667</v>
      </c>
      <c r="V88" s="1709" t="s">
        <v>2667</v>
      </c>
      <c r="W88" s="1709"/>
      <c r="X88" s="1709">
        <v>44655</v>
      </c>
      <c r="Y88" s="1709">
        <v>44655</v>
      </c>
      <c r="Z88" s="1709"/>
      <c r="AA88" s="1709"/>
      <c r="AB88" s="1709" t="s">
        <v>733</v>
      </c>
      <c r="AC88" s="1709">
        <v>0</v>
      </c>
      <c r="AD88" s="1709">
        <v>0</v>
      </c>
      <c r="AE88" s="1709">
        <v>0</v>
      </c>
      <c r="AF88" s="1709">
        <v>0</v>
      </c>
      <c r="AG88" s="1709">
        <v>0</v>
      </c>
      <c r="AH88" s="1709">
        <v>1</v>
      </c>
      <c r="AI88" s="1709">
        <v>70255</v>
      </c>
      <c r="AJ88" s="1709">
        <v>2195</v>
      </c>
      <c r="AK88" s="1709">
        <v>0</v>
      </c>
      <c r="AL88" s="1709">
        <v>0</v>
      </c>
      <c r="AM88" s="1709"/>
      <c r="AN88" s="1709"/>
      <c r="AO88" s="1710"/>
      <c r="AP88" s="1710"/>
      <c r="AQ88" s="1713" t="str">
        <f t="shared" si="4"/>
        <v/>
      </c>
      <c r="AS88" s="304" t="str">
        <f t="shared" si="5"/>
        <v>wci_corp</v>
      </c>
    </row>
    <row r="89" spans="2:45">
      <c r="B89" s="1708" t="s">
        <v>2666</v>
      </c>
      <c r="C89" s="1709">
        <v>44651</v>
      </c>
      <c r="D89" s="1672">
        <v>2000</v>
      </c>
      <c r="E89" s="1672">
        <v>0</v>
      </c>
      <c r="F89" s="1673" t="s">
        <v>729</v>
      </c>
      <c r="G89" s="1709" t="s">
        <v>2665</v>
      </c>
      <c r="H89" s="1710" t="s">
        <v>730</v>
      </c>
      <c r="I89" s="1709" t="s">
        <v>2664</v>
      </c>
      <c r="J89" s="1709" t="s">
        <v>736</v>
      </c>
      <c r="K89" s="1709" t="s">
        <v>732</v>
      </c>
      <c r="L89" s="1711"/>
      <c r="M89" s="1711"/>
      <c r="N89" s="1711" t="s">
        <v>2634</v>
      </c>
      <c r="O89" s="1709"/>
      <c r="P89" s="1711"/>
      <c r="Q89" s="1712"/>
      <c r="R89" s="1709"/>
      <c r="S89" s="1709"/>
      <c r="T89" s="1709"/>
      <c r="U89" s="1709" t="s">
        <v>2663</v>
      </c>
      <c r="V89" s="1709" t="s">
        <v>2663</v>
      </c>
      <c r="W89" s="1709"/>
      <c r="X89" s="1709">
        <v>44658</v>
      </c>
      <c r="Y89" s="1709">
        <v>44658</v>
      </c>
      <c r="Z89" s="1709"/>
      <c r="AA89" s="1709"/>
      <c r="AB89" s="1709" t="s">
        <v>733</v>
      </c>
      <c r="AC89" s="1709">
        <v>0</v>
      </c>
      <c r="AD89" s="1709">
        <v>0</v>
      </c>
      <c r="AE89" s="1709">
        <v>0</v>
      </c>
      <c r="AF89" s="1709">
        <v>0</v>
      </c>
      <c r="AG89" s="1709">
        <v>0</v>
      </c>
      <c r="AH89" s="1709">
        <v>1</v>
      </c>
      <c r="AI89" s="1709">
        <v>70255</v>
      </c>
      <c r="AJ89" s="1709">
        <v>2195</v>
      </c>
      <c r="AK89" s="1709">
        <v>0</v>
      </c>
      <c r="AL89" s="1709">
        <v>0</v>
      </c>
      <c r="AM89" s="1709"/>
      <c r="AN89" s="1709"/>
      <c r="AO89" s="1710"/>
      <c r="AP89" s="1710"/>
      <c r="AQ89" s="1713" t="str">
        <f t="shared" si="4"/>
        <v/>
      </c>
      <c r="AS89" s="304" t="str">
        <f t="shared" si="5"/>
        <v>wci_corp</v>
      </c>
    </row>
    <row r="90" spans="2:45">
      <c r="B90" s="1708"/>
      <c r="C90" s="1709"/>
      <c r="D90" s="1741"/>
      <c r="E90" s="1741"/>
      <c r="F90" s="1741"/>
      <c r="G90" s="1709"/>
      <c r="H90" s="1742"/>
      <c r="I90" s="1709"/>
      <c r="J90" s="1709"/>
      <c r="K90" s="1709"/>
      <c r="L90" s="1709"/>
      <c r="M90" s="1709"/>
      <c r="N90" s="1709"/>
      <c r="O90" s="1709"/>
      <c r="P90" s="1709"/>
      <c r="Q90" s="1713"/>
      <c r="R90" s="1709"/>
      <c r="S90" s="1709"/>
      <c r="T90" s="1709"/>
      <c r="U90" s="1709"/>
      <c r="V90" s="1709"/>
      <c r="W90" s="1709"/>
      <c r="X90" s="1709"/>
      <c r="Y90" s="1709"/>
      <c r="Z90" s="1709"/>
      <c r="AA90" s="1709"/>
      <c r="AB90" s="1709"/>
      <c r="AC90" s="1709"/>
      <c r="AD90" s="1709"/>
      <c r="AE90" s="1709"/>
      <c r="AF90" s="1709"/>
      <c r="AG90" s="1709"/>
      <c r="AH90" s="1709"/>
      <c r="AI90" s="1709"/>
      <c r="AJ90" s="1709"/>
      <c r="AK90" s="1709"/>
      <c r="AL90" s="1709"/>
      <c r="AM90" s="1709"/>
      <c r="AN90" s="1709"/>
      <c r="AO90" s="1709"/>
      <c r="AP90" s="1709"/>
      <c r="AQ90" s="1713"/>
    </row>
    <row r="91" spans="2:45">
      <c r="B91" s="1743" t="s">
        <v>738</v>
      </c>
      <c r="C91" s="1744"/>
      <c r="D91" s="1745"/>
      <c r="E91" s="1745"/>
      <c r="F91" s="1745"/>
      <c r="G91" s="1744"/>
      <c r="H91" s="1746"/>
      <c r="I91" s="1744"/>
      <c r="J91" s="1744"/>
      <c r="K91" s="1744"/>
      <c r="L91" s="1744"/>
      <c r="M91" s="1744"/>
      <c r="N91" s="1744"/>
      <c r="O91" s="1744"/>
      <c r="P91" s="1744"/>
      <c r="Q91" s="1747"/>
      <c r="R91" s="1744"/>
      <c r="S91" s="1744"/>
      <c r="T91" s="1744"/>
      <c r="U91" s="1744"/>
      <c r="V91" s="1744"/>
      <c r="W91" s="1744"/>
      <c r="X91" s="1744"/>
      <c r="Y91" s="1744"/>
      <c r="Z91" s="1744"/>
      <c r="AA91" s="1744"/>
      <c r="AB91" s="1744"/>
      <c r="AC91" s="1744"/>
      <c r="AD91" s="1744"/>
      <c r="AE91" s="1744"/>
      <c r="AF91" s="1744"/>
      <c r="AG91" s="1744"/>
      <c r="AH91" s="1744"/>
      <c r="AI91" s="1744"/>
      <c r="AJ91" s="1744"/>
      <c r="AK91" s="1744"/>
      <c r="AL91" s="1744"/>
      <c r="AM91" s="1744"/>
      <c r="AN91" s="1744"/>
      <c r="AO91" s="1744"/>
      <c r="AP91" s="1709"/>
      <c r="AQ91" s="1713"/>
    </row>
    <row r="92" spans="2:45">
      <c r="B92" s="1708"/>
      <c r="C92" s="1709"/>
      <c r="D92" s="1741"/>
      <c r="E92" s="1741"/>
      <c r="F92" s="1741"/>
      <c r="G92" s="1709"/>
      <c r="H92" s="1742"/>
      <c r="I92" s="1709"/>
      <c r="J92" s="1709"/>
      <c r="K92" s="1709"/>
      <c r="L92" s="1709"/>
      <c r="M92" s="1709"/>
      <c r="N92" s="1709"/>
      <c r="O92" s="1709"/>
      <c r="P92" s="1709"/>
      <c r="Q92" s="1713"/>
      <c r="R92" s="1709"/>
      <c r="S92" s="1709"/>
      <c r="T92" s="1709"/>
      <c r="U92" s="1709"/>
      <c r="V92" s="1709"/>
      <c r="W92" s="1709"/>
      <c r="X92" s="1709"/>
      <c r="Y92" s="1709"/>
      <c r="Z92" s="1709"/>
      <c r="AA92" s="1709"/>
      <c r="AB92" s="1709"/>
      <c r="AC92" s="1709"/>
      <c r="AD92" s="1709"/>
      <c r="AE92" s="1709"/>
      <c r="AF92" s="1709"/>
      <c r="AG92" s="1709"/>
      <c r="AH92" s="1709"/>
      <c r="AI92" s="1709"/>
      <c r="AJ92" s="1709"/>
      <c r="AK92" s="1709"/>
      <c r="AL92" s="1709"/>
      <c r="AM92" s="1709"/>
      <c r="AN92" s="1709"/>
      <c r="AO92" s="1709"/>
      <c r="AP92" s="1709"/>
      <c r="AQ92" s="1713"/>
    </row>
    <row r="93" spans="2:45">
      <c r="B93" s="1748"/>
      <c r="C93" s="1709"/>
      <c r="D93" s="1709"/>
      <c r="E93" s="1709"/>
      <c r="F93" s="1709"/>
      <c r="G93" s="1709"/>
      <c r="H93" s="1742"/>
      <c r="I93" s="1709"/>
      <c r="J93" s="1709"/>
      <c r="K93" s="1709"/>
      <c r="L93" s="1709"/>
      <c r="M93" s="1709"/>
      <c r="N93" s="1709"/>
      <c r="O93" s="1709"/>
      <c r="P93" s="1709"/>
      <c r="Q93" s="1713"/>
      <c r="R93" s="1709"/>
      <c r="S93" s="1709"/>
      <c r="T93" s="1709"/>
      <c r="U93" s="1709"/>
      <c r="V93" s="1709"/>
      <c r="W93" s="1709"/>
      <c r="X93" s="1709"/>
      <c r="Y93" s="1709"/>
      <c r="Z93" s="1709"/>
      <c r="AA93" s="1709"/>
      <c r="AB93" s="1709"/>
      <c r="AC93" s="1709"/>
      <c r="AD93" s="1709"/>
      <c r="AE93" s="1709"/>
      <c r="AF93" s="1709"/>
      <c r="AG93" s="1709"/>
      <c r="AH93" s="1709"/>
      <c r="AI93" s="1709"/>
      <c r="AJ93" s="1709"/>
      <c r="AK93" s="1709"/>
      <c r="AL93" s="1709"/>
      <c r="AM93" s="1709"/>
      <c r="AN93" s="1709"/>
      <c r="AO93" s="1709"/>
      <c r="AP93" s="1709"/>
      <c r="AQ93" s="1713"/>
    </row>
    <row r="94" spans="2:45">
      <c r="B94" s="1708" t="s">
        <v>739</v>
      </c>
      <c r="C94" s="1709" t="s">
        <v>740</v>
      </c>
      <c r="D94" s="1749" t="s">
        <v>740</v>
      </c>
      <c r="E94" s="1709"/>
      <c r="F94" s="1709"/>
      <c r="G94" s="1709"/>
      <c r="H94" s="1709"/>
      <c r="I94" s="1709"/>
      <c r="J94" s="1709"/>
      <c r="K94" s="1709"/>
      <c r="L94" s="1709"/>
      <c r="M94" s="1709"/>
      <c r="N94" s="1709"/>
      <c r="O94" s="1709"/>
      <c r="P94" s="1709"/>
      <c r="Q94" s="1713"/>
      <c r="R94" s="1709"/>
      <c r="S94" s="1709"/>
      <c r="T94" s="1709"/>
      <c r="U94" s="1709"/>
      <c r="V94" s="1709"/>
      <c r="W94" s="1709"/>
      <c r="X94" s="1709"/>
      <c r="Y94" s="1709"/>
      <c r="Z94" s="1709"/>
      <c r="AA94" s="1709"/>
      <c r="AB94" s="1709"/>
      <c r="AC94" s="1709"/>
      <c r="AD94" s="1709"/>
      <c r="AE94" s="1709"/>
      <c r="AF94" s="1709"/>
      <c r="AG94" s="1709"/>
      <c r="AH94" s="1709"/>
      <c r="AI94" s="1709"/>
      <c r="AJ94" s="1709"/>
      <c r="AK94" s="1709"/>
      <c r="AL94" s="1709"/>
      <c r="AM94" s="1709"/>
      <c r="AN94" s="1709"/>
      <c r="AO94" s="1709"/>
      <c r="AP94" s="1709"/>
      <c r="AQ94" s="1713"/>
    </row>
    <row r="95" spans="2:45">
      <c r="B95" s="1750" t="s">
        <v>2662</v>
      </c>
      <c r="C95" s="1709">
        <v>24000</v>
      </c>
      <c r="D95" s="1709">
        <v>24000</v>
      </c>
      <c r="E95" s="1709" t="s">
        <v>741</v>
      </c>
      <c r="F95" s="1709"/>
      <c r="G95" s="1709"/>
      <c r="H95" s="1709"/>
      <c r="I95" s="1709"/>
      <c r="J95" s="1709"/>
      <c r="K95" s="1709"/>
      <c r="L95" s="1709"/>
      <c r="M95" s="1709"/>
      <c r="N95" s="1709"/>
      <c r="O95" s="1709"/>
      <c r="P95" s="1709"/>
      <c r="Q95" s="1713"/>
      <c r="R95" s="1709"/>
      <c r="S95" s="1709"/>
      <c r="T95" s="1709"/>
      <c r="U95" s="1709"/>
      <c r="V95" s="1709"/>
      <c r="W95" s="1709"/>
      <c r="X95" s="1709"/>
      <c r="Y95" s="1709"/>
      <c r="Z95" s="1709"/>
      <c r="AA95" s="1709"/>
      <c r="AB95" s="1709"/>
      <c r="AC95" s="1709"/>
      <c r="AD95" s="1709"/>
      <c r="AE95" s="1709"/>
      <c r="AF95" s="1709"/>
      <c r="AG95" s="1709"/>
      <c r="AH95" s="1709"/>
      <c r="AI95" s="1709"/>
      <c r="AJ95" s="1709"/>
      <c r="AK95" s="1709"/>
      <c r="AL95" s="1709"/>
      <c r="AM95" s="1709"/>
      <c r="AN95" s="1709"/>
      <c r="AO95" s="1709"/>
      <c r="AP95" s="1709"/>
      <c r="AQ95" s="1713"/>
    </row>
    <row r="96" spans="2:45">
      <c r="B96" s="1750" t="s">
        <v>2661</v>
      </c>
      <c r="C96" s="1709">
        <v>173.37</v>
      </c>
      <c r="D96" s="1709">
        <v>173.37</v>
      </c>
      <c r="E96" s="1709"/>
      <c r="F96" s="1709"/>
      <c r="G96" s="1709"/>
      <c r="H96" s="1709"/>
      <c r="I96" s="1709"/>
      <c r="J96" s="1709"/>
      <c r="K96" s="1709"/>
      <c r="L96" s="1709"/>
      <c r="M96" s="1709"/>
      <c r="N96" s="1709"/>
      <c r="O96" s="1709"/>
      <c r="P96" s="1709"/>
      <c r="Q96" s="1713"/>
      <c r="R96" s="1709"/>
      <c r="S96" s="1709"/>
      <c r="T96" s="1709"/>
      <c r="U96" s="1709"/>
      <c r="V96" s="1709"/>
      <c r="W96" s="1709"/>
      <c r="X96" s="1709"/>
      <c r="Y96" s="1709"/>
      <c r="Z96" s="1709"/>
      <c r="AA96" s="1709"/>
      <c r="AB96" s="1709"/>
      <c r="AC96" s="1709"/>
      <c r="AD96" s="1709"/>
      <c r="AE96" s="1709"/>
      <c r="AF96" s="1709"/>
      <c r="AG96" s="1709"/>
      <c r="AH96" s="1709"/>
      <c r="AI96" s="1709"/>
      <c r="AJ96" s="1709"/>
      <c r="AK96" s="1709"/>
      <c r="AL96" s="1709"/>
      <c r="AM96" s="1709"/>
      <c r="AN96" s="1709"/>
      <c r="AO96" s="1709"/>
      <c r="AP96" s="1709"/>
      <c r="AQ96" s="1713"/>
    </row>
    <row r="97" spans="2:43">
      <c r="B97" s="1750" t="s">
        <v>2660</v>
      </c>
      <c r="C97" s="1709">
        <v>-2000</v>
      </c>
      <c r="D97" s="1709">
        <v>-2000</v>
      </c>
      <c r="E97" s="1709" t="s">
        <v>741</v>
      </c>
      <c r="F97" s="1709"/>
      <c r="G97" s="1709"/>
      <c r="H97" s="1742"/>
      <c r="I97" s="1709"/>
      <c r="J97" s="1709"/>
      <c r="K97" s="1709"/>
      <c r="L97" s="1709"/>
      <c r="M97" s="1709"/>
      <c r="N97" s="1709"/>
      <c r="O97" s="1709"/>
      <c r="P97" s="1709"/>
      <c r="Q97" s="1713"/>
      <c r="R97" s="1709"/>
      <c r="S97" s="1709"/>
      <c r="T97" s="1709"/>
      <c r="U97" s="1709"/>
      <c r="V97" s="1709"/>
      <c r="W97" s="1709"/>
      <c r="X97" s="1709"/>
      <c r="Y97" s="1709"/>
      <c r="Z97" s="1709"/>
      <c r="AA97" s="1709"/>
      <c r="AB97" s="1709"/>
      <c r="AC97" s="1709"/>
      <c r="AD97" s="1709"/>
      <c r="AE97" s="1709"/>
      <c r="AF97" s="1709"/>
      <c r="AG97" s="1709"/>
      <c r="AH97" s="1709"/>
      <c r="AI97" s="1709"/>
      <c r="AJ97" s="1709"/>
      <c r="AK97" s="1709"/>
      <c r="AL97" s="1709"/>
      <c r="AM97" s="1709"/>
      <c r="AN97" s="1709"/>
      <c r="AO97" s="1709"/>
      <c r="AP97" s="1709"/>
      <c r="AQ97" s="1713"/>
    </row>
    <row r="98" spans="2:43">
      <c r="B98" s="1750" t="s">
        <v>2659</v>
      </c>
      <c r="C98" s="1709">
        <v>-3300</v>
      </c>
      <c r="D98" s="1709">
        <v>-3300</v>
      </c>
      <c r="E98" s="1709" t="s">
        <v>741</v>
      </c>
      <c r="F98" s="1709"/>
      <c r="G98" s="1709"/>
      <c r="H98" s="1742"/>
      <c r="I98" s="1709"/>
      <c r="J98" s="1709"/>
      <c r="K98" s="1709"/>
      <c r="L98" s="1709"/>
      <c r="M98" s="1709"/>
      <c r="N98" s="1709"/>
      <c r="O98" s="1709"/>
      <c r="P98" s="1709"/>
      <c r="Q98" s="1713"/>
      <c r="R98" s="1709"/>
      <c r="S98" s="1709"/>
      <c r="T98" s="1709"/>
      <c r="U98" s="1709"/>
      <c r="V98" s="1709"/>
      <c r="W98" s="1709"/>
      <c r="X98" s="1709"/>
      <c r="Y98" s="1709"/>
      <c r="Z98" s="1709"/>
      <c r="AA98" s="1709"/>
      <c r="AB98" s="1709"/>
      <c r="AC98" s="1709"/>
      <c r="AD98" s="1709"/>
      <c r="AE98" s="1709"/>
      <c r="AF98" s="1709"/>
      <c r="AG98" s="1709"/>
      <c r="AH98" s="1709"/>
      <c r="AI98" s="1709"/>
      <c r="AJ98" s="1709"/>
      <c r="AK98" s="1709"/>
      <c r="AL98" s="1709"/>
      <c r="AM98" s="1709"/>
      <c r="AN98" s="1709"/>
      <c r="AO98" s="1709"/>
      <c r="AP98" s="1709"/>
      <c r="AQ98" s="1713"/>
    </row>
    <row r="99" spans="2:43">
      <c r="B99" s="1750" t="s">
        <v>2658</v>
      </c>
      <c r="C99" s="1709">
        <v>1333.32</v>
      </c>
      <c r="D99" s="1709">
        <v>1333.32</v>
      </c>
      <c r="E99" s="1709"/>
      <c r="F99" s="1709"/>
      <c r="G99" s="1709"/>
      <c r="H99" s="1742"/>
      <c r="I99" s="1709"/>
      <c r="J99" s="1709"/>
      <c r="K99" s="1709"/>
      <c r="L99" s="1709"/>
      <c r="M99" s="1709"/>
      <c r="N99" s="1709"/>
      <c r="O99" s="1709"/>
      <c r="P99" s="1709"/>
      <c r="Q99" s="1713"/>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1709"/>
      <c r="AM99" s="1709"/>
      <c r="AN99" s="1709"/>
      <c r="AO99" s="1709"/>
      <c r="AP99" s="1709"/>
      <c r="AQ99" s="1713"/>
    </row>
    <row r="100" spans="2:43">
      <c r="B100" s="1750" t="s">
        <v>2657</v>
      </c>
      <c r="C100" s="1709">
        <v>4100</v>
      </c>
      <c r="D100" s="1709">
        <v>4100</v>
      </c>
      <c r="E100" s="1709" t="s">
        <v>741</v>
      </c>
      <c r="F100" s="1709"/>
      <c r="G100" s="1709"/>
      <c r="H100" s="1742"/>
      <c r="I100" s="1709"/>
      <c r="J100" s="1709"/>
      <c r="K100" s="1709"/>
      <c r="L100" s="1709"/>
      <c r="M100" s="1709"/>
      <c r="N100" s="1709"/>
      <c r="O100" s="1709"/>
      <c r="P100" s="1709"/>
      <c r="Q100" s="1713"/>
      <c r="R100" s="1709"/>
      <c r="S100" s="1709"/>
      <c r="T100" s="1709"/>
      <c r="U100" s="1709"/>
      <c r="V100" s="1709"/>
      <c r="W100" s="1709"/>
      <c r="X100" s="1709"/>
      <c r="Y100" s="1709"/>
      <c r="Z100" s="1709"/>
      <c r="AA100" s="1709"/>
      <c r="AB100" s="1709"/>
      <c r="AC100" s="1709"/>
      <c r="AD100" s="1709"/>
      <c r="AE100" s="1709"/>
      <c r="AF100" s="1709"/>
      <c r="AG100" s="1709"/>
      <c r="AH100" s="1709"/>
      <c r="AI100" s="1709"/>
      <c r="AJ100" s="1709"/>
      <c r="AK100" s="1709"/>
      <c r="AL100" s="1709"/>
      <c r="AM100" s="1709"/>
      <c r="AN100" s="1709"/>
      <c r="AO100" s="1709"/>
      <c r="AP100" s="1709"/>
      <c r="AQ100" s="1713"/>
    </row>
    <row r="101" spans="2:43">
      <c r="B101" s="1750" t="s">
        <v>2656</v>
      </c>
      <c r="C101" s="1709">
        <v>0</v>
      </c>
      <c r="D101" s="1709">
        <v>0</v>
      </c>
      <c r="E101" s="1709" t="s">
        <v>741</v>
      </c>
      <c r="F101" s="1709"/>
      <c r="G101" s="1709"/>
      <c r="H101" s="1742"/>
      <c r="I101" s="1709"/>
      <c r="J101" s="1709"/>
      <c r="K101" s="1709"/>
      <c r="L101" s="1709"/>
      <c r="M101" s="1709"/>
      <c r="N101" s="1709"/>
      <c r="O101" s="1709"/>
      <c r="P101" s="1709"/>
      <c r="Q101" s="1713"/>
      <c r="R101" s="1709"/>
      <c r="S101" s="1709"/>
      <c r="T101" s="1709"/>
      <c r="U101" s="1709"/>
      <c r="V101" s="1709"/>
      <c r="W101" s="1709"/>
      <c r="X101" s="1709"/>
      <c r="Y101" s="1709"/>
      <c r="Z101" s="1709"/>
      <c r="AA101" s="1709"/>
      <c r="AB101" s="1709"/>
      <c r="AC101" s="1709"/>
      <c r="AD101" s="1709"/>
      <c r="AE101" s="1709"/>
      <c r="AF101" s="1709"/>
      <c r="AG101" s="1709"/>
      <c r="AH101" s="1709"/>
      <c r="AI101" s="1709"/>
      <c r="AJ101" s="1709"/>
      <c r="AK101" s="1709"/>
      <c r="AL101" s="1709"/>
      <c r="AM101" s="1709"/>
      <c r="AN101" s="1709"/>
      <c r="AO101" s="1709"/>
      <c r="AP101" s="1709"/>
      <c r="AQ101" s="1713"/>
    </row>
    <row r="102" spans="2:43">
      <c r="B102" s="1750" t="s">
        <v>2655</v>
      </c>
      <c r="C102" s="1709">
        <v>491.58</v>
      </c>
      <c r="D102" s="1709">
        <v>491.58</v>
      </c>
      <c r="E102" s="1709"/>
      <c r="F102" s="1709"/>
      <c r="G102" s="1709"/>
      <c r="H102" s="1742"/>
      <c r="I102" s="1709"/>
      <c r="J102" s="1709"/>
      <c r="K102" s="1709"/>
      <c r="L102" s="1709"/>
      <c r="M102" s="1709"/>
      <c r="N102" s="1709"/>
      <c r="O102" s="1709"/>
      <c r="P102" s="1709"/>
      <c r="Q102" s="1713"/>
      <c r="R102" s="1709"/>
      <c r="S102" s="1709"/>
      <c r="T102" s="1709"/>
      <c r="U102" s="1709"/>
      <c r="V102" s="1709"/>
      <c r="W102" s="1709"/>
      <c r="X102" s="1709"/>
      <c r="Y102" s="1709"/>
      <c r="Z102" s="1709"/>
      <c r="AA102" s="1709"/>
      <c r="AB102" s="1709"/>
      <c r="AC102" s="1709"/>
      <c r="AD102" s="1709"/>
      <c r="AE102" s="1709"/>
      <c r="AF102" s="1709"/>
      <c r="AG102" s="1709"/>
      <c r="AH102" s="1709"/>
      <c r="AI102" s="1709"/>
      <c r="AJ102" s="1709"/>
      <c r="AK102" s="1709"/>
      <c r="AL102" s="1709"/>
      <c r="AM102" s="1709"/>
      <c r="AN102" s="1709"/>
      <c r="AO102" s="1709"/>
      <c r="AP102" s="1709"/>
      <c r="AQ102" s="1713"/>
    </row>
    <row r="103" spans="2:43">
      <c r="B103" s="1750" t="s">
        <v>2654</v>
      </c>
      <c r="C103" s="1709">
        <v>0</v>
      </c>
      <c r="D103" s="1709">
        <v>0</v>
      </c>
      <c r="E103" s="1709"/>
      <c r="F103" s="1709"/>
      <c r="G103" s="1709"/>
      <c r="H103" s="1742"/>
      <c r="I103" s="1709"/>
      <c r="J103" s="1709"/>
      <c r="K103" s="1709"/>
      <c r="L103" s="1709"/>
      <c r="M103" s="1709"/>
      <c r="N103" s="1709"/>
      <c r="O103" s="1709"/>
      <c r="P103" s="1709"/>
      <c r="Q103" s="1713"/>
      <c r="R103" s="1709"/>
      <c r="S103" s="1709"/>
      <c r="T103" s="1709"/>
      <c r="U103" s="1709"/>
      <c r="V103" s="1709"/>
      <c r="W103" s="1709"/>
      <c r="X103" s="1709"/>
      <c r="Y103" s="1709"/>
      <c r="Z103" s="1709"/>
      <c r="AA103" s="1709"/>
      <c r="AB103" s="1709"/>
      <c r="AC103" s="1709"/>
      <c r="AD103" s="1709"/>
      <c r="AE103" s="1709"/>
      <c r="AF103" s="1709"/>
      <c r="AG103" s="1709"/>
      <c r="AH103" s="1709"/>
      <c r="AI103" s="1709"/>
      <c r="AJ103" s="1709"/>
      <c r="AK103" s="1709"/>
      <c r="AL103" s="1709"/>
      <c r="AM103" s="1709"/>
      <c r="AN103" s="1709"/>
      <c r="AO103" s="1709"/>
      <c r="AP103" s="1709"/>
      <c r="AQ103" s="1713"/>
    </row>
    <row r="104" spans="2:43">
      <c r="B104" s="1750" t="s">
        <v>2653</v>
      </c>
      <c r="C104" s="1709">
        <v>3264.6</v>
      </c>
      <c r="D104" s="1709">
        <v>3264.6</v>
      </c>
      <c r="E104" s="1709" t="s">
        <v>741</v>
      </c>
      <c r="F104" s="1709"/>
      <c r="G104" s="1709"/>
      <c r="H104" s="1742"/>
      <c r="I104" s="1709"/>
      <c r="J104" s="1709"/>
      <c r="K104" s="1709"/>
      <c r="L104" s="1709"/>
      <c r="M104" s="1709"/>
      <c r="N104" s="1709"/>
      <c r="O104" s="1709"/>
      <c r="P104" s="1709"/>
      <c r="Q104" s="1713"/>
      <c r="R104" s="1709"/>
      <c r="S104" s="1709"/>
      <c r="T104" s="1709"/>
      <c r="U104" s="1709"/>
      <c r="V104" s="1709"/>
      <c r="W104" s="1709"/>
      <c r="X104" s="1709"/>
      <c r="Y104" s="1709"/>
      <c r="Z104" s="1709"/>
      <c r="AA104" s="1709"/>
      <c r="AB104" s="1709"/>
      <c r="AC104" s="1709"/>
      <c r="AD104" s="1709"/>
      <c r="AE104" s="1709"/>
      <c r="AF104" s="1709"/>
      <c r="AG104" s="1709"/>
      <c r="AH104" s="1709"/>
      <c r="AI104" s="1709"/>
      <c r="AJ104" s="1709"/>
      <c r="AK104" s="1709"/>
      <c r="AL104" s="1709"/>
      <c r="AM104" s="1709"/>
      <c r="AN104" s="1709"/>
      <c r="AO104" s="1709"/>
      <c r="AP104" s="1709"/>
      <c r="AQ104" s="1713"/>
    </row>
    <row r="105" spans="2:43">
      <c r="B105" s="1750" t="s">
        <v>2652</v>
      </c>
      <c r="C105" s="1709">
        <v>501.43</v>
      </c>
      <c r="D105" s="1709">
        <v>501.43</v>
      </c>
      <c r="E105" s="1709"/>
      <c r="F105" s="1709"/>
      <c r="G105" s="1709"/>
      <c r="H105" s="1742"/>
      <c r="I105" s="1709"/>
      <c r="J105" s="1709"/>
      <c r="K105" s="1709"/>
      <c r="L105" s="1709"/>
      <c r="M105" s="1709"/>
      <c r="N105" s="1709"/>
      <c r="O105" s="1709"/>
      <c r="P105" s="1709"/>
      <c r="Q105" s="1713"/>
      <c r="R105" s="1709"/>
      <c r="S105" s="1709"/>
      <c r="T105" s="1709"/>
      <c r="U105" s="1709"/>
      <c r="V105" s="1709"/>
      <c r="W105" s="1709"/>
      <c r="X105" s="1709"/>
      <c r="Y105" s="1709"/>
      <c r="Z105" s="1709"/>
      <c r="AA105" s="1709"/>
      <c r="AB105" s="1709"/>
      <c r="AC105" s="1709"/>
      <c r="AD105" s="1709"/>
      <c r="AE105" s="1709"/>
      <c r="AF105" s="1709"/>
      <c r="AG105" s="1709"/>
      <c r="AH105" s="1709"/>
      <c r="AI105" s="1709"/>
      <c r="AJ105" s="1709"/>
      <c r="AK105" s="1709"/>
      <c r="AL105" s="1709"/>
      <c r="AM105" s="1709"/>
      <c r="AN105" s="1709"/>
      <c r="AO105" s="1709"/>
      <c r="AP105" s="1709"/>
      <c r="AQ105" s="1713"/>
    </row>
    <row r="106" spans="2:43">
      <c r="B106" s="1750" t="s">
        <v>2651</v>
      </c>
      <c r="C106" s="1709">
        <v>507.16</v>
      </c>
      <c r="D106" s="1709">
        <v>507.16</v>
      </c>
      <c r="E106" s="1709"/>
      <c r="F106" s="1709"/>
      <c r="G106" s="1709"/>
      <c r="H106" s="1742"/>
      <c r="I106" s="1709"/>
      <c r="J106" s="1709"/>
      <c r="K106" s="1709"/>
      <c r="L106" s="1709"/>
      <c r="M106" s="1709"/>
      <c r="N106" s="1709"/>
      <c r="O106" s="1709"/>
      <c r="P106" s="1709"/>
      <c r="Q106" s="1713"/>
      <c r="R106" s="1709"/>
      <c r="S106" s="1709"/>
      <c r="T106" s="1709"/>
      <c r="U106" s="1709"/>
      <c r="V106" s="1709"/>
      <c r="W106" s="1709"/>
      <c r="X106" s="1709"/>
      <c r="Y106" s="1709"/>
      <c r="Z106" s="1709"/>
      <c r="AA106" s="1709"/>
      <c r="AB106" s="1709"/>
      <c r="AC106" s="1709"/>
      <c r="AD106" s="1709"/>
      <c r="AE106" s="1709"/>
      <c r="AF106" s="1709"/>
      <c r="AG106" s="1709"/>
      <c r="AH106" s="1709"/>
      <c r="AI106" s="1709"/>
      <c r="AJ106" s="1709"/>
      <c r="AK106" s="1709"/>
      <c r="AL106" s="1709"/>
      <c r="AM106" s="1709"/>
      <c r="AN106" s="1709"/>
      <c r="AO106" s="1709"/>
      <c r="AP106" s="1709"/>
      <c r="AQ106" s="1713"/>
    </row>
    <row r="107" spans="2:43">
      <c r="B107" s="1750" t="s">
        <v>2650</v>
      </c>
      <c r="C107" s="1709">
        <v>450.68</v>
      </c>
      <c r="D107" s="1709">
        <v>450.68</v>
      </c>
      <c r="E107" s="1709"/>
      <c r="F107" s="1709"/>
      <c r="G107" s="1709"/>
      <c r="H107" s="1742"/>
      <c r="I107" s="1709"/>
      <c r="J107" s="1709"/>
      <c r="K107" s="1709"/>
      <c r="L107" s="1709"/>
      <c r="M107" s="1709"/>
      <c r="N107" s="1709"/>
      <c r="O107" s="1709"/>
      <c r="P107" s="1709"/>
      <c r="Q107" s="1713"/>
      <c r="R107" s="1709"/>
      <c r="S107" s="1709"/>
      <c r="T107" s="1709"/>
      <c r="U107" s="1709"/>
      <c r="V107" s="1709"/>
      <c r="W107" s="1709"/>
      <c r="X107" s="1709"/>
      <c r="Y107" s="1709"/>
      <c r="Z107" s="1709"/>
      <c r="AA107" s="1709"/>
      <c r="AB107" s="1709"/>
      <c r="AC107" s="1709"/>
      <c r="AD107" s="1709"/>
      <c r="AE107" s="1709"/>
      <c r="AF107" s="1709"/>
      <c r="AG107" s="1709"/>
      <c r="AH107" s="1709"/>
      <c r="AI107" s="1709"/>
      <c r="AJ107" s="1709"/>
      <c r="AK107" s="1709"/>
      <c r="AL107" s="1709"/>
      <c r="AM107" s="1709"/>
      <c r="AN107" s="1709"/>
      <c r="AO107" s="1709"/>
      <c r="AP107" s="1709"/>
      <c r="AQ107" s="1713"/>
    </row>
    <row r="108" spans="2:43">
      <c r="B108" s="1750" t="s">
        <v>2649</v>
      </c>
      <c r="C108" s="1709">
        <v>0</v>
      </c>
      <c r="D108" s="1709">
        <v>0</v>
      </c>
      <c r="E108" s="1709"/>
      <c r="F108" s="1709"/>
      <c r="G108" s="1709"/>
      <c r="H108" s="1742"/>
      <c r="I108" s="1709"/>
      <c r="J108" s="1709"/>
      <c r="K108" s="1709"/>
      <c r="L108" s="1709"/>
      <c r="M108" s="1709"/>
      <c r="N108" s="1709"/>
      <c r="O108" s="1709"/>
      <c r="P108" s="1709"/>
      <c r="Q108" s="1713"/>
      <c r="R108" s="1709"/>
      <c r="S108" s="1709"/>
      <c r="T108" s="1709"/>
      <c r="U108" s="1709"/>
      <c r="V108" s="1709"/>
      <c r="W108" s="1709"/>
      <c r="X108" s="1709"/>
      <c r="Y108" s="1709"/>
      <c r="Z108" s="1709"/>
      <c r="AA108" s="1709"/>
      <c r="AB108" s="1709"/>
      <c r="AC108" s="1709"/>
      <c r="AD108" s="1709"/>
      <c r="AE108" s="1709"/>
      <c r="AF108" s="1709"/>
      <c r="AG108" s="1709"/>
      <c r="AH108" s="1709"/>
      <c r="AI108" s="1709"/>
      <c r="AJ108" s="1709"/>
      <c r="AK108" s="1709"/>
      <c r="AL108" s="1709"/>
      <c r="AM108" s="1709"/>
      <c r="AN108" s="1709"/>
      <c r="AO108" s="1709"/>
      <c r="AP108" s="1709"/>
      <c r="AQ108" s="1713"/>
    </row>
    <row r="109" spans="2:43">
      <c r="B109" s="1750" t="s">
        <v>2648</v>
      </c>
      <c r="C109" s="1709">
        <v>4000</v>
      </c>
      <c r="D109" s="1709">
        <v>4000</v>
      </c>
      <c r="E109" s="1709"/>
      <c r="F109" s="1709"/>
      <c r="G109" s="1709"/>
      <c r="H109" s="1742"/>
      <c r="I109" s="1709"/>
      <c r="J109" s="1709"/>
      <c r="K109" s="1709"/>
      <c r="L109" s="1709"/>
      <c r="M109" s="1709"/>
      <c r="N109" s="1709"/>
      <c r="O109" s="1709"/>
      <c r="P109" s="1709"/>
      <c r="Q109" s="1713"/>
      <c r="R109" s="1709"/>
      <c r="S109" s="1709"/>
      <c r="T109" s="1709"/>
      <c r="U109" s="1709"/>
      <c r="V109" s="1709"/>
      <c r="W109" s="1709"/>
      <c r="X109" s="1709"/>
      <c r="Y109" s="1709"/>
      <c r="Z109" s="1709"/>
      <c r="AA109" s="1709"/>
      <c r="AB109" s="1709"/>
      <c r="AC109" s="1709"/>
      <c r="AD109" s="1709"/>
      <c r="AE109" s="1709"/>
      <c r="AF109" s="1709"/>
      <c r="AG109" s="1709"/>
      <c r="AH109" s="1709"/>
      <c r="AI109" s="1709"/>
      <c r="AJ109" s="1709"/>
      <c r="AK109" s="1709"/>
      <c r="AL109" s="1709"/>
      <c r="AM109" s="1709"/>
      <c r="AN109" s="1709"/>
      <c r="AO109" s="1709"/>
      <c r="AP109" s="1709"/>
      <c r="AQ109" s="1713"/>
    </row>
    <row r="110" spans="2:43">
      <c r="B110" s="1750" t="s">
        <v>2647</v>
      </c>
      <c r="C110" s="1709">
        <v>448</v>
      </c>
      <c r="D110" s="1709">
        <v>448</v>
      </c>
      <c r="E110" s="1709"/>
      <c r="F110" s="1709"/>
      <c r="G110" s="1709"/>
      <c r="H110" s="1742"/>
      <c r="I110" s="1709"/>
      <c r="J110" s="1709"/>
      <c r="K110" s="1709"/>
      <c r="L110" s="1709"/>
      <c r="M110" s="1709"/>
      <c r="N110" s="1709"/>
      <c r="O110" s="1709"/>
      <c r="P110" s="1709"/>
      <c r="Q110" s="1713"/>
      <c r="R110" s="1709"/>
      <c r="S110" s="1709"/>
      <c r="T110" s="1709"/>
      <c r="U110" s="1709"/>
      <c r="V110" s="1709"/>
      <c r="W110" s="1709"/>
      <c r="X110" s="1709"/>
      <c r="Y110" s="1709"/>
      <c r="Z110" s="1709"/>
      <c r="AA110" s="1709"/>
      <c r="AB110" s="1709"/>
      <c r="AC110" s="1709"/>
      <c r="AD110" s="1709"/>
      <c r="AE110" s="1709"/>
      <c r="AF110" s="1709"/>
      <c r="AG110" s="1709"/>
      <c r="AH110" s="1709"/>
      <c r="AI110" s="1709"/>
      <c r="AJ110" s="1709"/>
      <c r="AK110" s="1709"/>
      <c r="AL110" s="1709"/>
      <c r="AM110" s="1709"/>
      <c r="AN110" s="1709"/>
      <c r="AO110" s="1709"/>
      <c r="AP110" s="1709"/>
      <c r="AQ110" s="1713"/>
    </row>
    <row r="111" spans="2:43">
      <c r="B111" s="1750" t="s">
        <v>2646</v>
      </c>
      <c r="C111" s="1709">
        <v>125</v>
      </c>
      <c r="D111" s="1709">
        <v>125</v>
      </c>
      <c r="E111" s="1709"/>
      <c r="F111" s="1709"/>
      <c r="G111" s="1709"/>
      <c r="H111" s="1709"/>
      <c r="I111" s="1709"/>
      <c r="J111" s="1709"/>
      <c r="K111" s="1709"/>
      <c r="L111" s="1709"/>
      <c r="M111" s="1709"/>
      <c r="N111" s="1709"/>
      <c r="O111" s="1709"/>
      <c r="P111" s="1709"/>
      <c r="Q111" s="1713"/>
      <c r="R111" s="1709"/>
      <c r="S111" s="1709"/>
      <c r="T111" s="1709"/>
      <c r="U111" s="1709"/>
      <c r="V111" s="1709"/>
      <c r="W111" s="1709"/>
      <c r="X111" s="1709"/>
      <c r="Y111" s="1709"/>
      <c r="Z111" s="1709"/>
      <c r="AA111" s="1709"/>
      <c r="AB111" s="1709"/>
      <c r="AC111" s="1709"/>
      <c r="AD111" s="1709"/>
      <c r="AE111" s="1709"/>
      <c r="AF111" s="1709"/>
      <c r="AG111" s="1709"/>
      <c r="AH111" s="1709"/>
      <c r="AI111" s="1709"/>
      <c r="AJ111" s="1709"/>
      <c r="AK111" s="1709"/>
      <c r="AL111" s="1709"/>
      <c r="AM111" s="1709"/>
      <c r="AN111" s="1709"/>
      <c r="AO111" s="1709"/>
      <c r="AP111" s="1709"/>
      <c r="AQ111" s="1713"/>
    </row>
    <row r="112" spans="2:43">
      <c r="B112" s="1750" t="s">
        <v>2645</v>
      </c>
      <c r="C112" s="1709">
        <v>467.8</v>
      </c>
      <c r="D112" s="1709">
        <v>467.8</v>
      </c>
      <c r="E112" s="1709"/>
      <c r="F112" s="1709"/>
      <c r="G112" s="1709"/>
      <c r="H112" s="1709"/>
      <c r="I112" s="1709"/>
      <c r="J112" s="1709"/>
      <c r="K112" s="1709"/>
      <c r="L112" s="1709"/>
      <c r="M112" s="1709"/>
      <c r="N112" s="1709"/>
      <c r="O112" s="1709"/>
      <c r="P112" s="1709"/>
      <c r="Q112" s="1713"/>
      <c r="R112" s="1709"/>
      <c r="S112" s="1709"/>
      <c r="T112" s="1709"/>
      <c r="U112" s="1709"/>
      <c r="V112" s="1709"/>
      <c r="W112" s="1709"/>
      <c r="X112" s="1709"/>
      <c r="Y112" s="1709"/>
      <c r="Z112" s="1709"/>
      <c r="AA112" s="1709"/>
      <c r="AB112" s="1709"/>
      <c r="AC112" s="1709"/>
      <c r="AD112" s="1709"/>
      <c r="AE112" s="1709"/>
      <c r="AF112" s="1709"/>
      <c r="AG112" s="1709"/>
      <c r="AH112" s="1709"/>
      <c r="AI112" s="1709"/>
      <c r="AJ112" s="1709"/>
      <c r="AK112" s="1709"/>
      <c r="AL112" s="1709"/>
      <c r="AM112" s="1709"/>
      <c r="AN112" s="1709"/>
      <c r="AO112" s="1709"/>
      <c r="AP112" s="1709"/>
      <c r="AQ112" s="1713"/>
    </row>
    <row r="113" spans="2:43">
      <c r="B113" s="1750" t="s">
        <v>2644</v>
      </c>
      <c r="C113" s="1709">
        <v>125</v>
      </c>
      <c r="D113" s="1709">
        <v>125</v>
      </c>
      <c r="E113" s="1709"/>
      <c r="F113" s="1709"/>
      <c r="G113" s="1709"/>
      <c r="H113" s="1709"/>
      <c r="I113" s="1709"/>
      <c r="J113" s="1709"/>
      <c r="K113" s="1709"/>
      <c r="L113" s="1709"/>
      <c r="M113" s="1709"/>
      <c r="N113" s="1709"/>
      <c r="O113" s="1709"/>
      <c r="P113" s="1709"/>
      <c r="Q113" s="1713"/>
      <c r="R113" s="1709"/>
      <c r="S113" s="1709"/>
      <c r="T113" s="1709"/>
      <c r="U113" s="1709"/>
      <c r="V113" s="1709"/>
      <c r="W113" s="1709"/>
      <c r="X113" s="1709"/>
      <c r="Y113" s="1709"/>
      <c r="Z113" s="1709"/>
      <c r="AA113" s="1709"/>
      <c r="AB113" s="1709"/>
      <c r="AC113" s="1709"/>
      <c r="AD113" s="1709"/>
      <c r="AE113" s="1709"/>
      <c r="AF113" s="1709"/>
      <c r="AG113" s="1709"/>
      <c r="AH113" s="1709"/>
      <c r="AI113" s="1709"/>
      <c r="AJ113" s="1709"/>
      <c r="AK113" s="1709"/>
      <c r="AL113" s="1709"/>
      <c r="AM113" s="1709"/>
      <c r="AN113" s="1709"/>
      <c r="AO113" s="1709"/>
      <c r="AP113" s="1709"/>
      <c r="AQ113" s="1713"/>
    </row>
    <row r="114" spans="2:43">
      <c r="B114" s="1750" t="s">
        <v>2643</v>
      </c>
      <c r="C114" s="1709">
        <v>472.3</v>
      </c>
      <c r="D114" s="1709">
        <v>472.3</v>
      </c>
      <c r="E114" s="1709"/>
      <c r="F114" s="1709"/>
      <c r="G114" s="1709"/>
      <c r="H114" s="1709"/>
      <c r="I114" s="1709"/>
      <c r="J114" s="1709"/>
      <c r="K114" s="1709"/>
      <c r="L114" s="1709"/>
      <c r="M114" s="1709"/>
      <c r="N114" s="1709"/>
      <c r="O114" s="1709"/>
      <c r="P114" s="1709"/>
      <c r="Q114" s="1713"/>
      <c r="R114" s="1709"/>
      <c r="S114" s="1709"/>
      <c r="T114" s="1709"/>
      <c r="U114" s="1709"/>
      <c r="V114" s="1709"/>
      <c r="W114" s="1709"/>
      <c r="X114" s="1709"/>
      <c r="Y114" s="1709"/>
      <c r="Z114" s="1709"/>
      <c r="AA114" s="1709"/>
      <c r="AB114" s="1709"/>
      <c r="AC114" s="1709"/>
      <c r="AD114" s="1709"/>
      <c r="AE114" s="1709"/>
      <c r="AF114" s="1709"/>
      <c r="AG114" s="1709"/>
      <c r="AH114" s="1709"/>
      <c r="AI114" s="1709"/>
      <c r="AJ114" s="1709"/>
      <c r="AK114" s="1709"/>
      <c r="AL114" s="1709"/>
      <c r="AM114" s="1709"/>
      <c r="AN114" s="1709"/>
      <c r="AO114" s="1709"/>
      <c r="AP114" s="1709"/>
      <c r="AQ114" s="1713"/>
    </row>
    <row r="115" spans="2:43">
      <c r="B115" s="1750" t="s">
        <v>2642</v>
      </c>
      <c r="C115" s="1709">
        <v>489.32</v>
      </c>
      <c r="D115" s="1709">
        <v>489.32</v>
      </c>
      <c r="E115" s="1709"/>
      <c r="F115" s="1709"/>
      <c r="G115" s="1709"/>
      <c r="H115" s="1709"/>
      <c r="I115" s="1709"/>
      <c r="J115" s="1709"/>
      <c r="K115" s="1709"/>
      <c r="L115" s="1709"/>
      <c r="M115" s="1709"/>
      <c r="N115" s="1709"/>
      <c r="O115" s="1709"/>
      <c r="P115" s="1709"/>
      <c r="Q115" s="1713"/>
      <c r="R115" s="1709"/>
      <c r="S115" s="1709"/>
      <c r="T115" s="1709"/>
      <c r="U115" s="1709"/>
      <c r="V115" s="1709"/>
      <c r="W115" s="1709"/>
      <c r="X115" s="1709"/>
      <c r="Y115" s="1709"/>
      <c r="Z115" s="1709"/>
      <c r="AA115" s="1709"/>
      <c r="AB115" s="1709"/>
      <c r="AC115" s="1709"/>
      <c r="AD115" s="1709"/>
      <c r="AE115" s="1709"/>
      <c r="AF115" s="1709"/>
      <c r="AG115" s="1709"/>
      <c r="AH115" s="1709"/>
      <c r="AI115" s="1709"/>
      <c r="AJ115" s="1709"/>
      <c r="AK115" s="1709"/>
      <c r="AL115" s="1709"/>
      <c r="AM115" s="1709"/>
      <c r="AN115" s="1709"/>
      <c r="AO115" s="1709"/>
      <c r="AP115" s="1709"/>
      <c r="AQ115" s="1713"/>
    </row>
    <row r="116" spans="2:43">
      <c r="B116" s="1750" t="s">
        <v>2641</v>
      </c>
      <c r="C116" s="1709">
        <v>474.75</v>
      </c>
      <c r="D116" s="1709">
        <v>474.75</v>
      </c>
      <c r="E116" s="1709"/>
      <c r="F116" s="1709"/>
      <c r="G116" s="1709"/>
      <c r="H116" s="1709"/>
      <c r="I116" s="1709"/>
      <c r="J116" s="1709"/>
      <c r="K116" s="1709"/>
      <c r="L116" s="1709"/>
      <c r="M116" s="1709"/>
      <c r="N116" s="1709"/>
      <c r="O116" s="1709"/>
      <c r="P116" s="1709"/>
      <c r="Q116" s="1713"/>
      <c r="R116" s="1709"/>
      <c r="S116" s="1709"/>
      <c r="T116" s="1709"/>
      <c r="U116" s="1709"/>
      <c r="V116" s="1709"/>
      <c r="W116" s="1709"/>
      <c r="X116" s="1709"/>
      <c r="Y116" s="1709"/>
      <c r="Z116" s="1709"/>
      <c r="AA116" s="1709"/>
      <c r="AB116" s="1709"/>
      <c r="AC116" s="1709"/>
      <c r="AD116" s="1709"/>
      <c r="AE116" s="1709"/>
      <c r="AF116" s="1709"/>
      <c r="AG116" s="1709"/>
      <c r="AH116" s="1709"/>
      <c r="AI116" s="1709"/>
      <c r="AJ116" s="1709"/>
      <c r="AK116" s="1709"/>
      <c r="AL116" s="1709"/>
      <c r="AM116" s="1709"/>
      <c r="AN116" s="1709"/>
      <c r="AO116" s="1709"/>
      <c r="AP116" s="1709"/>
      <c r="AQ116" s="1713"/>
    </row>
    <row r="117" spans="2:43">
      <c r="B117" s="1750" t="s">
        <v>2640</v>
      </c>
      <c r="C117" s="1709">
        <v>0</v>
      </c>
      <c r="D117" s="1709">
        <v>0</v>
      </c>
      <c r="E117" s="1709"/>
      <c r="F117" s="1709"/>
      <c r="G117" s="1709"/>
      <c r="H117" s="1709"/>
      <c r="I117" s="1709"/>
      <c r="J117" s="1709"/>
      <c r="K117" s="1709"/>
      <c r="L117" s="1709"/>
      <c r="M117" s="1709"/>
      <c r="N117" s="1709"/>
      <c r="O117" s="1709"/>
      <c r="P117" s="1709"/>
      <c r="Q117" s="1713"/>
      <c r="R117" s="1709"/>
      <c r="S117" s="1709"/>
      <c r="T117" s="1709"/>
      <c r="U117" s="1709"/>
      <c r="V117" s="1709"/>
      <c r="W117" s="1709"/>
      <c r="X117" s="1709"/>
      <c r="Y117" s="1709"/>
      <c r="Z117" s="1709"/>
      <c r="AA117" s="1709"/>
      <c r="AB117" s="1709"/>
      <c r="AC117" s="1709"/>
      <c r="AD117" s="1709"/>
      <c r="AE117" s="1709"/>
      <c r="AF117" s="1709"/>
      <c r="AG117" s="1709"/>
      <c r="AH117" s="1709"/>
      <c r="AI117" s="1709"/>
      <c r="AJ117" s="1709"/>
      <c r="AK117" s="1709"/>
      <c r="AL117" s="1709"/>
      <c r="AM117" s="1709"/>
      <c r="AN117" s="1709"/>
      <c r="AO117" s="1709"/>
      <c r="AP117" s="1709"/>
      <c r="AQ117" s="1713"/>
    </row>
    <row r="118" spans="2:43">
      <c r="B118" s="1750" t="s">
        <v>2639</v>
      </c>
      <c r="C118" s="1709">
        <v>0</v>
      </c>
      <c r="D118" s="1709">
        <v>0</v>
      </c>
      <c r="E118" s="1709"/>
      <c r="F118" s="1709"/>
      <c r="G118" s="1709"/>
      <c r="H118" s="1709"/>
      <c r="I118" s="1709"/>
      <c r="J118" s="1709"/>
      <c r="K118" s="1709"/>
      <c r="L118" s="1709"/>
      <c r="M118" s="1709"/>
      <c r="N118" s="1709"/>
      <c r="O118" s="1709"/>
      <c r="P118" s="1709"/>
      <c r="Q118" s="1713"/>
      <c r="R118" s="1709"/>
      <c r="S118" s="1709"/>
      <c r="T118" s="1709"/>
      <c r="U118" s="1709"/>
      <c r="V118" s="1709"/>
      <c r="W118" s="1709"/>
      <c r="X118" s="1709"/>
      <c r="Y118" s="1709"/>
      <c r="Z118" s="1709"/>
      <c r="AA118" s="1709"/>
      <c r="AB118" s="1709"/>
      <c r="AC118" s="1709"/>
      <c r="AD118" s="1709"/>
      <c r="AE118" s="1709"/>
      <c r="AF118" s="1709"/>
      <c r="AG118" s="1709"/>
      <c r="AH118" s="1709"/>
      <c r="AI118" s="1709"/>
      <c r="AJ118" s="1709"/>
      <c r="AK118" s="1709"/>
      <c r="AL118" s="1709"/>
      <c r="AM118" s="1709"/>
      <c r="AN118" s="1709"/>
      <c r="AO118" s="1709"/>
      <c r="AP118" s="1709"/>
      <c r="AQ118" s="1713"/>
    </row>
    <row r="119" spans="2:43">
      <c r="B119" s="1750" t="s">
        <v>2638</v>
      </c>
      <c r="C119" s="1709">
        <v>0</v>
      </c>
      <c r="D119" s="1709">
        <v>0</v>
      </c>
      <c r="E119" s="1709"/>
      <c r="F119" s="1709"/>
      <c r="G119" s="1709"/>
      <c r="H119" s="1709"/>
      <c r="I119" s="1709"/>
      <c r="J119" s="1709"/>
      <c r="K119" s="1709"/>
      <c r="L119" s="1709"/>
      <c r="M119" s="1709"/>
      <c r="N119" s="1709"/>
      <c r="O119" s="1709"/>
      <c r="P119" s="1709"/>
      <c r="Q119" s="1713"/>
      <c r="R119" s="1709"/>
      <c r="S119" s="1709"/>
      <c r="T119" s="1709"/>
      <c r="U119" s="1709"/>
      <c r="V119" s="1709"/>
      <c r="W119" s="1709"/>
      <c r="X119" s="1709"/>
      <c r="Y119" s="1709"/>
      <c r="Z119" s="1709"/>
      <c r="AA119" s="1709"/>
      <c r="AB119" s="1709"/>
      <c r="AC119" s="1709"/>
      <c r="AD119" s="1709"/>
      <c r="AE119" s="1709"/>
      <c r="AF119" s="1709"/>
      <c r="AG119" s="1709"/>
      <c r="AH119" s="1709"/>
      <c r="AI119" s="1709"/>
      <c r="AJ119" s="1709"/>
      <c r="AK119" s="1709"/>
      <c r="AL119" s="1709"/>
      <c r="AM119" s="1709"/>
      <c r="AN119" s="1709"/>
      <c r="AO119" s="1709"/>
      <c r="AP119" s="1709"/>
      <c r="AQ119" s="1713"/>
    </row>
    <row r="120" spans="2:43">
      <c r="B120" s="1750" t="s">
        <v>2637</v>
      </c>
      <c r="C120" s="1709">
        <v>476.33</v>
      </c>
      <c r="D120" s="1709">
        <v>476.33</v>
      </c>
      <c r="E120" s="1709"/>
      <c r="F120" s="1709"/>
      <c r="G120" s="1709"/>
      <c r="H120" s="1709"/>
      <c r="I120" s="1709"/>
      <c r="J120" s="1709"/>
      <c r="K120" s="1709"/>
      <c r="L120" s="1709"/>
      <c r="M120" s="1709"/>
      <c r="N120" s="1709"/>
      <c r="O120" s="1709"/>
      <c r="P120" s="1709"/>
      <c r="Q120" s="1713"/>
      <c r="R120" s="1709"/>
      <c r="S120" s="1709"/>
      <c r="T120" s="1709"/>
      <c r="U120" s="1709"/>
      <c r="V120" s="1709"/>
      <c r="W120" s="1709"/>
      <c r="X120" s="1709"/>
      <c r="Y120" s="1709"/>
      <c r="Z120" s="1709"/>
      <c r="AA120" s="1709"/>
      <c r="AB120" s="1709"/>
      <c r="AC120" s="1709"/>
      <c r="AD120" s="1709"/>
      <c r="AE120" s="1709"/>
      <c r="AF120" s="1709"/>
      <c r="AG120" s="1709"/>
      <c r="AH120" s="1709"/>
      <c r="AI120" s="1709"/>
      <c r="AJ120" s="1709"/>
      <c r="AK120" s="1709"/>
      <c r="AL120" s="1709"/>
      <c r="AM120" s="1709"/>
      <c r="AN120" s="1709"/>
      <c r="AO120" s="1709"/>
      <c r="AP120" s="1709"/>
      <c r="AQ120" s="1713"/>
    </row>
    <row r="121" spans="2:43">
      <c r="B121" s="1750" t="s">
        <v>2636</v>
      </c>
      <c r="C121" s="1709">
        <v>665.67</v>
      </c>
      <c r="D121" s="1709">
        <v>665.67</v>
      </c>
      <c r="E121" s="1751"/>
      <c r="F121" s="1709"/>
      <c r="G121" s="1709"/>
      <c r="H121" s="1709"/>
      <c r="I121" s="1709"/>
      <c r="J121" s="1709"/>
      <c r="K121" s="1709"/>
      <c r="L121" s="1709"/>
      <c r="M121" s="1709"/>
      <c r="N121" s="1709"/>
      <c r="O121" s="1709"/>
      <c r="P121" s="1709"/>
      <c r="Q121" s="1713"/>
      <c r="R121" s="1709"/>
      <c r="S121" s="1709"/>
      <c r="T121" s="1709"/>
      <c r="U121" s="1709"/>
      <c r="V121" s="1709"/>
      <c r="W121" s="1709"/>
      <c r="X121" s="1709"/>
      <c r="Y121" s="1709"/>
      <c r="Z121" s="1709"/>
      <c r="AA121" s="1709"/>
      <c r="AB121" s="1709"/>
      <c r="AC121" s="1709"/>
      <c r="AD121" s="1709"/>
      <c r="AE121" s="1709"/>
      <c r="AF121" s="1709"/>
      <c r="AG121" s="1709"/>
      <c r="AH121" s="1709"/>
      <c r="AI121" s="1709"/>
      <c r="AJ121" s="1709"/>
      <c r="AK121" s="1709"/>
      <c r="AL121" s="1709"/>
      <c r="AM121" s="1709"/>
      <c r="AN121" s="1709"/>
      <c r="AO121" s="1709"/>
      <c r="AP121" s="1709"/>
      <c r="AQ121" s="1713"/>
    </row>
    <row r="122" spans="2:43">
      <c r="B122" s="1750" t="s">
        <v>2635</v>
      </c>
      <c r="C122" s="1709">
        <v>25</v>
      </c>
      <c r="D122" s="1709">
        <v>25</v>
      </c>
      <c r="E122" s="1751"/>
      <c r="F122" s="1709"/>
      <c r="G122" s="1709"/>
      <c r="H122" s="1709"/>
      <c r="I122" s="1709"/>
      <c r="J122" s="1709"/>
      <c r="K122" s="1709"/>
      <c r="L122" s="1709"/>
      <c r="M122" s="1709"/>
      <c r="N122" s="1709"/>
      <c r="O122" s="1709"/>
      <c r="P122" s="1709"/>
      <c r="Q122" s="1713"/>
      <c r="R122" s="1709"/>
      <c r="S122" s="1709"/>
      <c r="T122" s="1709"/>
      <c r="U122" s="1709"/>
      <c r="V122" s="1709"/>
      <c r="W122" s="1709"/>
      <c r="X122" s="1709"/>
      <c r="Y122" s="1709"/>
      <c r="Z122" s="1709"/>
      <c r="AA122" s="1709"/>
      <c r="AB122" s="1709"/>
      <c r="AC122" s="1709"/>
      <c r="AD122" s="1709"/>
      <c r="AE122" s="1709"/>
      <c r="AF122" s="1709"/>
      <c r="AG122" s="1709"/>
      <c r="AH122" s="1709"/>
      <c r="AI122" s="1709"/>
      <c r="AJ122" s="1709"/>
      <c r="AK122" s="1709"/>
      <c r="AL122" s="1709"/>
      <c r="AM122" s="1709"/>
      <c r="AN122" s="1709"/>
      <c r="AO122" s="1709"/>
      <c r="AP122" s="1709"/>
      <c r="AQ122" s="1713"/>
    </row>
    <row r="123" spans="2:43">
      <c r="B123" s="1750" t="s">
        <v>2634</v>
      </c>
      <c r="C123" s="1709">
        <v>2000</v>
      </c>
      <c r="D123" s="1709">
        <v>2000</v>
      </c>
      <c r="E123" s="1709" t="s">
        <v>741</v>
      </c>
      <c r="F123" s="1709"/>
      <c r="G123" s="1709"/>
      <c r="H123" s="1709"/>
      <c r="I123" s="1709"/>
      <c r="J123" s="1709"/>
      <c r="K123" s="1709"/>
      <c r="L123" s="1709"/>
      <c r="M123" s="1709"/>
      <c r="N123" s="1709"/>
      <c r="O123" s="1709"/>
      <c r="P123" s="1709"/>
      <c r="Q123" s="1713"/>
      <c r="R123" s="1709"/>
      <c r="S123" s="1709"/>
      <c r="T123" s="1709"/>
      <c r="U123" s="1709"/>
      <c r="V123" s="1709"/>
      <c r="W123" s="1709"/>
      <c r="X123" s="1709"/>
      <c r="Y123" s="1709"/>
      <c r="Z123" s="1709"/>
      <c r="AA123" s="1709"/>
      <c r="AB123" s="1709"/>
      <c r="AC123" s="1709"/>
      <c r="AD123" s="1709"/>
      <c r="AE123" s="1709"/>
      <c r="AF123" s="1709"/>
      <c r="AG123" s="1709"/>
      <c r="AH123" s="1709"/>
      <c r="AI123" s="1709"/>
      <c r="AJ123" s="1709"/>
      <c r="AK123" s="1709"/>
      <c r="AL123" s="1709"/>
      <c r="AM123" s="1709"/>
      <c r="AN123" s="1709"/>
      <c r="AO123" s="1709"/>
      <c r="AP123" s="1709"/>
      <c r="AQ123" s="1713"/>
    </row>
    <row r="124" spans="2:43">
      <c r="B124" s="1750" t="s">
        <v>2633</v>
      </c>
      <c r="C124" s="1709">
        <v>476.63</v>
      </c>
      <c r="D124" s="1709">
        <v>476.63</v>
      </c>
      <c r="E124" s="1709"/>
      <c r="F124" s="1709"/>
      <c r="G124" s="1709"/>
      <c r="H124" s="1709"/>
      <c r="I124" s="1709"/>
      <c r="J124" s="1709"/>
      <c r="K124" s="1709"/>
      <c r="L124" s="1709"/>
      <c r="M124" s="1709"/>
      <c r="N124" s="1709"/>
      <c r="O124" s="1709"/>
      <c r="P124" s="1709"/>
      <c r="Q124" s="1713"/>
      <c r="R124" s="1709"/>
      <c r="S124" s="1709"/>
      <c r="T124" s="1709"/>
      <c r="U124" s="1709"/>
      <c r="V124" s="1709"/>
      <c r="W124" s="1709"/>
      <c r="X124" s="1709"/>
      <c r="Y124" s="1709"/>
      <c r="Z124" s="1709"/>
      <c r="AA124" s="1709"/>
      <c r="AB124" s="1709"/>
      <c r="AC124" s="1709"/>
      <c r="AD124" s="1709"/>
      <c r="AE124" s="1709"/>
      <c r="AF124" s="1709"/>
      <c r="AG124" s="1709"/>
      <c r="AH124" s="1709"/>
      <c r="AI124" s="1709"/>
      <c r="AJ124" s="1709"/>
      <c r="AK124" s="1709"/>
      <c r="AL124" s="1709"/>
      <c r="AM124" s="1709"/>
      <c r="AN124" s="1709"/>
      <c r="AO124" s="1709"/>
      <c r="AP124" s="1709"/>
      <c r="AQ124" s="1713"/>
    </row>
    <row r="125" spans="2:43">
      <c r="B125" s="1750" t="s">
        <v>742</v>
      </c>
      <c r="C125" s="1709">
        <v>39767.94</v>
      </c>
      <c r="D125" s="1752">
        <v>39767.94</v>
      </c>
      <c r="E125" s="1709"/>
      <c r="F125" s="1709"/>
      <c r="G125" s="1709"/>
      <c r="H125" s="1709"/>
      <c r="I125" s="1709"/>
      <c r="J125" s="1709"/>
      <c r="K125" s="1709"/>
      <c r="L125" s="1709"/>
      <c r="M125" s="1709"/>
      <c r="N125" s="1709"/>
      <c r="O125" s="1709"/>
      <c r="P125" s="1709"/>
      <c r="Q125" s="1713"/>
      <c r="R125" s="1709"/>
      <c r="S125" s="1709"/>
      <c r="T125" s="1709"/>
      <c r="U125" s="1709"/>
      <c r="V125" s="1709"/>
      <c r="W125" s="1709"/>
      <c r="X125" s="1709"/>
      <c r="Y125" s="1709"/>
      <c r="Z125" s="1709"/>
      <c r="AA125" s="1709"/>
      <c r="AB125" s="1709"/>
      <c r="AC125" s="1709"/>
      <c r="AD125" s="1709"/>
      <c r="AE125" s="1709"/>
      <c r="AF125" s="1709"/>
      <c r="AG125" s="1709"/>
      <c r="AH125" s="1709"/>
      <c r="AI125" s="1709"/>
      <c r="AJ125" s="1709"/>
      <c r="AK125" s="1709"/>
      <c r="AL125" s="1709"/>
      <c r="AM125" s="1709"/>
      <c r="AN125" s="1709"/>
      <c r="AO125" s="1709"/>
      <c r="AP125" s="1709"/>
      <c r="AQ125" s="1713"/>
    </row>
    <row r="126" spans="2:43">
      <c r="B126" s="1708"/>
      <c r="C126" s="1709"/>
      <c r="D126" s="1709"/>
      <c r="E126" s="1709"/>
      <c r="F126" s="1709"/>
      <c r="G126" s="1709"/>
      <c r="H126" s="1709"/>
      <c r="I126" s="1709"/>
      <c r="J126" s="1709"/>
      <c r="K126" s="1709"/>
      <c r="L126" s="1709"/>
      <c r="M126" s="1709"/>
      <c r="N126" s="1709"/>
      <c r="O126" s="1709"/>
      <c r="P126" s="1709"/>
      <c r="Q126" s="1713"/>
      <c r="R126" s="1709"/>
      <c r="S126" s="1709"/>
      <c r="T126" s="1709"/>
      <c r="U126" s="1709"/>
      <c r="V126" s="1709"/>
      <c r="W126" s="1709"/>
      <c r="X126" s="1709"/>
      <c r="Y126" s="1709"/>
      <c r="Z126" s="1709"/>
      <c r="AA126" s="1709"/>
      <c r="AB126" s="1709"/>
      <c r="AC126" s="1709"/>
      <c r="AD126" s="1709"/>
      <c r="AE126" s="1709"/>
      <c r="AF126" s="1709"/>
      <c r="AG126" s="1709"/>
      <c r="AH126" s="1709"/>
      <c r="AI126" s="1709"/>
      <c r="AJ126" s="1709"/>
      <c r="AK126" s="1709"/>
      <c r="AL126" s="1709"/>
      <c r="AM126" s="1709"/>
      <c r="AN126" s="1709"/>
      <c r="AO126" s="1709"/>
      <c r="AP126" s="1709"/>
      <c r="AQ126" s="1713"/>
    </row>
    <row r="127" spans="2:43">
      <c r="B127" s="1708"/>
      <c r="C127" s="1753" t="s">
        <v>549</v>
      </c>
      <c r="D127" s="1754">
        <f>+SUMIF($E$95:$E$124,"x",$D$95:$D$124)</f>
        <v>28064.6</v>
      </c>
      <c r="E127" s="1709"/>
      <c r="F127" s="1709"/>
      <c r="G127" s="1709"/>
      <c r="H127" s="1709"/>
      <c r="I127" s="1709"/>
      <c r="J127" s="1709"/>
      <c r="K127" s="1709"/>
      <c r="L127" s="1709"/>
      <c r="M127" s="1709"/>
      <c r="N127" s="1709"/>
      <c r="O127" s="1709"/>
      <c r="P127" s="1709"/>
      <c r="Q127" s="1713"/>
      <c r="R127" s="1709"/>
      <c r="S127" s="1709"/>
      <c r="T127" s="1709"/>
      <c r="U127" s="1709"/>
      <c r="V127" s="1709"/>
      <c r="W127" s="1709"/>
      <c r="X127" s="1709"/>
      <c r="Y127" s="1709"/>
      <c r="Z127" s="1709"/>
      <c r="AA127" s="1709"/>
      <c r="AB127" s="1709"/>
      <c r="AC127" s="1709"/>
      <c r="AD127" s="1709"/>
      <c r="AE127" s="1709"/>
      <c r="AF127" s="1709"/>
      <c r="AG127" s="1709"/>
      <c r="AH127" s="1709"/>
      <c r="AI127" s="1709"/>
      <c r="AJ127" s="1709"/>
      <c r="AK127" s="1709"/>
      <c r="AL127" s="1709"/>
      <c r="AM127" s="1709"/>
      <c r="AN127" s="1709"/>
      <c r="AO127" s="1709"/>
      <c r="AP127" s="1709"/>
      <c r="AQ127" s="1713"/>
    </row>
    <row r="128" spans="2:43">
      <c r="B128" s="1708"/>
      <c r="C128" s="1709"/>
      <c r="D128" s="1709"/>
      <c r="E128" s="1709"/>
      <c r="F128" s="1709"/>
      <c r="G128" s="1709"/>
      <c r="H128" s="1709"/>
      <c r="I128" s="1709"/>
      <c r="J128" s="1709"/>
      <c r="K128" s="1709"/>
      <c r="L128" s="1709"/>
      <c r="M128" s="1709"/>
      <c r="N128" s="1709"/>
      <c r="O128" s="1709"/>
      <c r="P128" s="1709"/>
      <c r="Q128" s="1713"/>
      <c r="R128" s="1709"/>
      <c r="S128" s="1709"/>
      <c r="T128" s="1709"/>
      <c r="U128" s="1709"/>
      <c r="V128" s="1709"/>
      <c r="W128" s="1709"/>
      <c r="X128" s="1709"/>
      <c r="Y128" s="1709"/>
      <c r="Z128" s="1709"/>
      <c r="AA128" s="1709"/>
      <c r="AB128" s="1709"/>
      <c r="AC128" s="1709"/>
      <c r="AD128" s="1709"/>
      <c r="AE128" s="1709"/>
      <c r="AF128" s="1709"/>
      <c r="AG128" s="1709"/>
      <c r="AH128" s="1709"/>
      <c r="AI128" s="1709"/>
      <c r="AJ128" s="1709"/>
      <c r="AK128" s="1709"/>
      <c r="AL128" s="1709"/>
      <c r="AM128" s="1709"/>
      <c r="AN128" s="1709"/>
      <c r="AO128" s="1709"/>
      <c r="AP128" s="1709"/>
      <c r="AQ128" s="1713"/>
    </row>
    <row r="129" spans="2:43">
      <c r="B129" s="1708"/>
      <c r="C129" s="1709"/>
      <c r="D129" s="1709"/>
      <c r="E129" s="1709"/>
      <c r="F129" s="1709"/>
      <c r="G129" s="1709"/>
      <c r="H129" s="1709"/>
      <c r="I129" s="1709"/>
      <c r="J129" s="1709"/>
      <c r="K129" s="1709"/>
      <c r="L129" s="1709"/>
      <c r="M129" s="1709"/>
      <c r="N129" s="1709"/>
      <c r="O129" s="1709"/>
      <c r="P129" s="1709"/>
      <c r="Q129" s="1713"/>
      <c r="R129" s="1709"/>
      <c r="S129" s="1709"/>
      <c r="T129" s="1709"/>
      <c r="U129" s="1709"/>
      <c r="V129" s="1709"/>
      <c r="W129" s="1709"/>
      <c r="X129" s="1709"/>
      <c r="Y129" s="1709"/>
      <c r="Z129" s="1709"/>
      <c r="AA129" s="1709"/>
      <c r="AB129" s="1709"/>
      <c r="AC129" s="1709"/>
      <c r="AD129" s="1709"/>
      <c r="AE129" s="1709"/>
      <c r="AF129" s="1709"/>
      <c r="AG129" s="1709"/>
      <c r="AH129" s="1709"/>
      <c r="AI129" s="1709"/>
      <c r="AJ129" s="1709"/>
      <c r="AK129" s="1709"/>
      <c r="AL129" s="1709"/>
      <c r="AM129" s="1709"/>
      <c r="AN129" s="1709"/>
      <c r="AO129" s="1709"/>
      <c r="AP129" s="1709"/>
      <c r="AQ129" s="1713"/>
    </row>
    <row r="130" spans="2:43" ht="13.5" thickBot="1">
      <c r="B130" s="1714"/>
      <c r="C130" s="1715"/>
      <c r="D130" s="1715"/>
      <c r="E130" s="1715"/>
      <c r="F130" s="1715"/>
      <c r="G130" s="1715"/>
      <c r="H130" s="1715"/>
      <c r="I130" s="1715"/>
      <c r="J130" s="1715"/>
      <c r="K130" s="1715"/>
      <c r="L130" s="1715"/>
      <c r="M130" s="1715"/>
      <c r="N130" s="1715"/>
      <c r="O130" s="1715"/>
      <c r="P130" s="1715"/>
      <c r="Q130" s="1718"/>
      <c r="R130" s="1715"/>
      <c r="S130" s="1715"/>
      <c r="T130" s="1715"/>
      <c r="U130" s="1715"/>
      <c r="V130" s="1715"/>
      <c r="W130" s="1715"/>
      <c r="X130" s="1715"/>
      <c r="Y130" s="1715"/>
      <c r="Z130" s="1715"/>
      <c r="AA130" s="1715"/>
      <c r="AB130" s="1715"/>
      <c r="AC130" s="1715"/>
      <c r="AD130" s="1715"/>
      <c r="AE130" s="1715"/>
      <c r="AF130" s="1715"/>
      <c r="AG130" s="1715"/>
      <c r="AH130" s="1715"/>
      <c r="AI130" s="1715"/>
      <c r="AJ130" s="1715"/>
      <c r="AK130" s="1715"/>
      <c r="AL130" s="1715"/>
      <c r="AM130" s="1715"/>
      <c r="AN130" s="1715"/>
      <c r="AO130" s="1715"/>
      <c r="AP130" s="1715"/>
      <c r="AQ130" s="1718"/>
    </row>
    <row r="131" spans="2:43" ht="13.5" thickTop="1"/>
  </sheetData>
  <autoFilter ref="B19:AQ19" xr:uid="{00000000-0009-0000-0000-000018000000}"/>
  <dataValidations count="1">
    <dataValidation type="list" allowBlank="1" showInputMessage="1" showErrorMessage="1" sqref="P15" xr:uid="{00000000-0002-0000-1800-000000000000}">
      <formula1>"All,Posted/Unposted,Posted,Unposted,Staged"</formula1>
    </dataValidation>
  </dataValidations>
  <pageMargins left="0.27" right="0.28999999999999998" top="0.37" bottom="0.43" header="0.25" footer="0.25"/>
  <pageSetup scale="33" fitToHeight="0" orientation="landscape" r:id="rId2"/>
  <headerFooter alignWithMargins="0">
    <oddHeader>&amp;L&amp;8 &amp;C&amp;"-,Bold"&amp;14&amp;KFF0000TEXT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pageSetUpPr fitToPage="1"/>
  </sheetPr>
  <dimension ref="A1:AS86"/>
  <sheetViews>
    <sheetView showGridLines="0" view="pageBreakPreview" topLeftCell="A26" zoomScale="60" zoomScaleNormal="80" workbookViewId="0">
      <selection activeCell="B85" sqref="B66:Q85"/>
    </sheetView>
  </sheetViews>
  <sheetFormatPr defaultColWidth="9.140625" defaultRowHeight="12.75" outlineLevelRow="1"/>
  <cols>
    <col min="1" max="1" width="2.7109375" style="304" customWidth="1"/>
    <col min="2" max="2" width="38.7109375" style="304" bestFit="1" customWidth="1"/>
    <col min="3" max="3" width="22.7109375" style="304" bestFit="1" customWidth="1"/>
    <col min="4" max="5" width="18.7109375" style="304" customWidth="1"/>
    <col min="6" max="6" width="14.42578125" style="304" customWidth="1"/>
    <col min="7" max="7" width="19" style="304" customWidth="1"/>
    <col min="8" max="8" width="7.85546875" style="304" customWidth="1"/>
    <col min="9" max="9" width="30.28515625" style="304" customWidth="1"/>
    <col min="10" max="10" width="10.28515625" style="304" customWidth="1"/>
    <col min="11" max="11" width="13.5703125" style="304" customWidth="1"/>
    <col min="12" max="12" width="15.140625" style="304" customWidth="1"/>
    <col min="13" max="13" width="29.85546875" style="304" customWidth="1"/>
    <col min="14" max="14" width="38.5703125" style="304" customWidth="1"/>
    <col min="15" max="15" width="11.42578125" style="304"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_xll.ReportDrill('[72]JE Lookup'!B1,,_xll.PairGroup(_xll.Pair(G20:G66,'[72]JE Lookup'!N8),_xll.Pair(AB20:AB66,'[72]JE Lookup'!N7)),"JE Lookup")</f>
        <v>OK!: ReportDrill 'JE Lookup' Formula OK [jAction{}]</v>
      </c>
      <c r="U4" s="304" t="str">
        <f ca="1">_xll.ReportDrill(,"APDrill",_xll.PairGroup(_xll.PairExt(AQ20:AQ66,"H8")),"AP Detail")</f>
        <v>OK!: ReportDrill 'AP Detail' Formula OK [jAction{}]</v>
      </c>
      <c r="Y4" s="304" t="str">
        <f ca="1">_xll.ReportDrill(,"JEStaged_DrillToDetail",_xll.PairGroup(_xll.PairExt(Q19:Q66,"dControlNum",TRUE),_xll.PairExt(AP19:AP66,"dDistrict",TRUE),_xll.PairExt(AO19:AO66,"dApplyMonth",TRUE)),"JE Staged Details")</f>
        <v>OK!: ReportDrill 'JE Staged Details' Formula OK [jAction{}]</v>
      </c>
    </row>
    <row r="5" spans="1:43" hidden="1" outlineLevel="1">
      <c r="B5" s="304" t="str">
        <f ca="1">_xll.ReportRange("JEQuery_WithStaged",B20:AS65,B2:AS2,,_xll.Param(DateFrom,DateTo,IF(M12="","all",M12),M13,M14,M15,P12,P13,P14,P15,EntrieShownLimit,IF(DateFrom="",DateFrom,),IF(DateTo="",DateTo,)),TRUE)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_xll.ReportDrill('[72]JE Lookup'!B1,,_xll.PairGroup(_xll.Pair(V20:V66,'[72]JE Lookup'!N8),_xll.Pair(AS20:AS66,'[72]JE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1400</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SUM(D19:D66)</f>
        <v>46392.959999999999</v>
      </c>
      <c r="E16" s="321">
        <f>SUM(E19:E66)</f>
        <v>0</v>
      </c>
      <c r="F16" s="304" t="s">
        <v>685</v>
      </c>
      <c r="N16" s="322"/>
      <c r="O16" s="322"/>
      <c r="P16" s="322"/>
      <c r="Q16" s="322"/>
    </row>
    <row r="17" spans="2:45">
      <c r="B17" s="319" t="s">
        <v>686</v>
      </c>
      <c r="C17" s="320"/>
      <c r="D17" s="323">
        <f>COUNT(D20:D68)</f>
        <v>45</v>
      </c>
      <c r="E17" s="323">
        <f>COUNT(E20:E68)</f>
        <v>45</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860" t="s">
        <v>689</v>
      </c>
      <c r="C19" s="861" t="s">
        <v>690</v>
      </c>
      <c r="D19" s="862" t="s">
        <v>691</v>
      </c>
      <c r="E19" s="862" t="s">
        <v>692</v>
      </c>
      <c r="F19" s="862" t="s">
        <v>693</v>
      </c>
      <c r="G19" s="863" t="s">
        <v>694</v>
      </c>
      <c r="H19" s="860" t="s">
        <v>695</v>
      </c>
      <c r="I19" s="860" t="s">
        <v>696</v>
      </c>
      <c r="J19" s="860" t="s">
        <v>634</v>
      </c>
      <c r="K19" s="860" t="s">
        <v>697</v>
      </c>
      <c r="L19" s="860" t="s">
        <v>698</v>
      </c>
      <c r="M19" s="860" t="s">
        <v>699</v>
      </c>
      <c r="N19" s="860" t="s">
        <v>700</v>
      </c>
      <c r="O19" s="864" t="s">
        <v>701</v>
      </c>
      <c r="P19" s="860" t="s">
        <v>702</v>
      </c>
      <c r="Q19" s="860" t="s">
        <v>703</v>
      </c>
      <c r="R19" s="325" t="s">
        <v>704</v>
      </c>
      <c r="S19" s="325" t="s">
        <v>705</v>
      </c>
      <c r="T19" s="325" t="s">
        <v>706</v>
      </c>
      <c r="U19" s="325" t="s">
        <v>707</v>
      </c>
      <c r="V19" s="325" t="s">
        <v>708</v>
      </c>
      <c r="W19" s="325" t="s">
        <v>709</v>
      </c>
      <c r="X19" s="325" t="s">
        <v>710</v>
      </c>
      <c r="Y19" s="325" t="s">
        <v>711</v>
      </c>
      <c r="Z19" s="325" t="s">
        <v>712</v>
      </c>
      <c r="AA19" s="325" t="s">
        <v>713</v>
      </c>
      <c r="AB19" s="325" t="s">
        <v>714</v>
      </c>
      <c r="AC19" s="327" t="s">
        <v>715</v>
      </c>
      <c r="AD19" s="327" t="s">
        <v>716</v>
      </c>
      <c r="AE19" s="327" t="s">
        <v>717</v>
      </c>
      <c r="AF19" s="327" t="s">
        <v>718</v>
      </c>
      <c r="AG19" s="327" t="s">
        <v>719</v>
      </c>
      <c r="AH19" s="327" t="s">
        <v>720</v>
      </c>
      <c r="AI19" s="326" t="s">
        <v>721</v>
      </c>
      <c r="AJ19" s="326" t="s">
        <v>722</v>
      </c>
      <c r="AK19" s="326" t="s">
        <v>723</v>
      </c>
      <c r="AL19" s="326" t="s">
        <v>724</v>
      </c>
      <c r="AM19" s="326" t="s">
        <v>725</v>
      </c>
      <c r="AN19" s="326" t="s">
        <v>663</v>
      </c>
      <c r="AO19" s="713" t="s">
        <v>726</v>
      </c>
      <c r="AP19" s="713" t="s">
        <v>727</v>
      </c>
      <c r="AQ19" s="713" t="s">
        <v>728</v>
      </c>
    </row>
    <row r="20" spans="2:45" ht="13.5" thickTop="1">
      <c r="B20" s="1735" t="s">
        <v>1401</v>
      </c>
      <c r="C20" s="1736">
        <v>44316</v>
      </c>
      <c r="D20" s="1664">
        <v>-20430.25</v>
      </c>
      <c r="E20" s="1664">
        <v>0</v>
      </c>
      <c r="F20" s="1665" t="s">
        <v>729</v>
      </c>
      <c r="G20" s="1736" t="s">
        <v>2821</v>
      </c>
      <c r="H20" s="1737" t="s">
        <v>730</v>
      </c>
      <c r="I20" s="1736" t="s">
        <v>1406</v>
      </c>
      <c r="J20" s="1736" t="s">
        <v>1285</v>
      </c>
      <c r="K20" s="1736" t="s">
        <v>732</v>
      </c>
      <c r="L20" s="1738"/>
      <c r="M20" s="1738"/>
      <c r="N20" s="1738" t="s">
        <v>1405</v>
      </c>
      <c r="O20" s="1736"/>
      <c r="P20" s="1738"/>
      <c r="Q20" s="1739"/>
      <c r="R20" s="1755"/>
      <c r="S20" s="1755"/>
      <c r="T20" s="1755"/>
      <c r="U20" s="1755" t="s">
        <v>2822</v>
      </c>
      <c r="V20" s="1755" t="s">
        <v>2823</v>
      </c>
      <c r="W20" s="1755"/>
      <c r="X20" s="1755">
        <v>44293</v>
      </c>
      <c r="Y20" s="1755">
        <v>44293</v>
      </c>
      <c r="Z20" s="1755"/>
      <c r="AA20" s="1755"/>
      <c r="AB20" s="1755" t="s">
        <v>733</v>
      </c>
      <c r="AC20" s="1755">
        <v>0</v>
      </c>
      <c r="AD20" s="1755">
        <v>0</v>
      </c>
      <c r="AE20" s="1755">
        <v>0</v>
      </c>
      <c r="AF20" s="1755">
        <v>0</v>
      </c>
      <c r="AG20" s="1755">
        <v>5</v>
      </c>
      <c r="AH20" s="1755">
        <v>1</v>
      </c>
      <c r="AI20" s="1755">
        <v>70235</v>
      </c>
      <c r="AJ20" s="1755">
        <v>2195</v>
      </c>
      <c r="AK20" s="1755">
        <v>0</v>
      </c>
      <c r="AL20" s="1755">
        <v>0</v>
      </c>
      <c r="AM20" s="1755"/>
      <c r="AN20" s="1755"/>
      <c r="AO20" s="1756"/>
      <c r="AP20" s="1756"/>
      <c r="AQ20" s="1755" t="str">
        <f>IF(LEFT(U20,2)="VO",U20,"")</f>
        <v/>
      </c>
      <c r="AS20" s="304" t="str">
        <f>IF(RIGHT(K20,2)="IC",IF(OR(AB20="wci_canada",AB20="wci_can_corp"),"wci_can_Corp","wci_corp"),AB20)</f>
        <v>wci_corp</v>
      </c>
    </row>
    <row r="21" spans="2:45">
      <c r="B21" s="1708" t="s">
        <v>1401</v>
      </c>
      <c r="C21" s="1709">
        <v>44316</v>
      </c>
      <c r="D21" s="1672">
        <v>3300</v>
      </c>
      <c r="E21" s="1672">
        <v>0</v>
      </c>
      <c r="F21" s="1673" t="s">
        <v>729</v>
      </c>
      <c r="G21" s="1709" t="s">
        <v>2805</v>
      </c>
      <c r="H21" s="1710" t="s">
        <v>730</v>
      </c>
      <c r="I21" s="1709" t="s">
        <v>2659</v>
      </c>
      <c r="J21" s="1709" t="s">
        <v>731</v>
      </c>
      <c r="K21" s="1709" t="s">
        <v>732</v>
      </c>
      <c r="L21" s="1711"/>
      <c r="M21" s="1711"/>
      <c r="N21" s="1711" t="s">
        <v>2659</v>
      </c>
      <c r="O21" s="1709"/>
      <c r="P21" s="1711"/>
      <c r="Q21" s="1712"/>
      <c r="R21" s="1755"/>
      <c r="S21" s="1755"/>
      <c r="T21" s="1755"/>
      <c r="U21" s="1755" t="s">
        <v>2804</v>
      </c>
      <c r="V21" s="1755" t="s">
        <v>2803</v>
      </c>
      <c r="W21" s="1755"/>
      <c r="X21" s="1755">
        <v>44293</v>
      </c>
      <c r="Y21" s="1755">
        <v>44293</v>
      </c>
      <c r="Z21" s="1755"/>
      <c r="AA21" s="1755"/>
      <c r="AB21" s="1755" t="s">
        <v>733</v>
      </c>
      <c r="AC21" s="1755">
        <v>0</v>
      </c>
      <c r="AD21" s="1755">
        <v>0</v>
      </c>
      <c r="AE21" s="1755">
        <v>0</v>
      </c>
      <c r="AF21" s="1755">
        <v>0</v>
      </c>
      <c r="AG21" s="1755">
        <v>5</v>
      </c>
      <c r="AH21" s="1755">
        <v>1</v>
      </c>
      <c r="AI21" s="1755">
        <v>70235</v>
      </c>
      <c r="AJ21" s="1755">
        <v>2195</v>
      </c>
      <c r="AK21" s="1755">
        <v>0</v>
      </c>
      <c r="AL21" s="1755">
        <v>0</v>
      </c>
      <c r="AM21" s="1755"/>
      <c r="AN21" s="1755"/>
      <c r="AO21" s="1756"/>
      <c r="AP21" s="1756"/>
      <c r="AQ21" s="1755" t="str">
        <f t="shared" ref="AQ21:AQ64" si="0">IF(LEFT(U21,2)="VO",U21,"")</f>
        <v/>
      </c>
      <c r="AS21" s="304" t="str">
        <f t="shared" ref="AS21:AS64" si="1">IF(RIGHT(K21,2)="IC",IF(OR(AB21="wci_canada",AB21="wci_can_corp"),"wci_can_Corp","wci_corp"),AB21)</f>
        <v>wci_corp</v>
      </c>
    </row>
    <row r="22" spans="2:45">
      <c r="B22" s="1708" t="s">
        <v>1401</v>
      </c>
      <c r="C22" s="1709">
        <v>44316</v>
      </c>
      <c r="D22" s="1672">
        <v>800</v>
      </c>
      <c r="E22" s="1672">
        <v>0</v>
      </c>
      <c r="F22" s="1673" t="s">
        <v>729</v>
      </c>
      <c r="G22" s="1709" t="s">
        <v>2824</v>
      </c>
      <c r="H22" s="1710" t="s">
        <v>730</v>
      </c>
      <c r="I22" s="1709" t="s">
        <v>1039</v>
      </c>
      <c r="J22" s="1709" t="s">
        <v>1042</v>
      </c>
      <c r="K22" s="1709" t="s">
        <v>732</v>
      </c>
      <c r="L22" s="1711" t="s">
        <v>2825</v>
      </c>
      <c r="M22" s="1711"/>
      <c r="N22" s="1711" t="s">
        <v>2826</v>
      </c>
      <c r="O22" s="1709">
        <v>44248</v>
      </c>
      <c r="P22" s="1711" t="s">
        <v>2827</v>
      </c>
      <c r="Q22" s="1712" t="s">
        <v>2828</v>
      </c>
      <c r="R22" s="1755" t="s">
        <v>2828</v>
      </c>
      <c r="S22" s="1755"/>
      <c r="T22" s="1755"/>
      <c r="U22" s="1755" t="s">
        <v>2829</v>
      </c>
      <c r="V22" s="1755" t="s">
        <v>2830</v>
      </c>
      <c r="W22" s="1755">
        <v>1010</v>
      </c>
      <c r="X22" s="1755">
        <v>44313</v>
      </c>
      <c r="Y22" s="1755">
        <v>44314</v>
      </c>
      <c r="Z22" s="1755">
        <v>4000</v>
      </c>
      <c r="AA22" s="1755">
        <v>44268</v>
      </c>
      <c r="AB22" s="1755" t="s">
        <v>733</v>
      </c>
      <c r="AC22" s="1755">
        <v>0</v>
      </c>
      <c r="AD22" s="1755">
        <v>0</v>
      </c>
      <c r="AE22" s="1755">
        <v>0</v>
      </c>
      <c r="AF22" s="1755">
        <v>0</v>
      </c>
      <c r="AG22" s="1755">
        <v>0</v>
      </c>
      <c r="AH22" s="1755">
        <v>1</v>
      </c>
      <c r="AI22" s="1755">
        <v>70235</v>
      </c>
      <c r="AJ22" s="1755">
        <v>2195</v>
      </c>
      <c r="AK22" s="1755">
        <v>0</v>
      </c>
      <c r="AL22" s="1755">
        <v>0</v>
      </c>
      <c r="AM22" s="1755"/>
      <c r="AN22" s="1755"/>
      <c r="AO22" s="1756"/>
      <c r="AP22" s="1756"/>
      <c r="AQ22" s="1755" t="str">
        <f t="shared" si="0"/>
        <v>VO05765531</v>
      </c>
      <c r="AS22" s="304" t="str">
        <f t="shared" si="1"/>
        <v>wci_corp</v>
      </c>
    </row>
    <row r="23" spans="2:45">
      <c r="B23" s="1708" t="s">
        <v>1401</v>
      </c>
      <c r="C23" s="1709">
        <v>44316</v>
      </c>
      <c r="D23" s="1672">
        <v>800</v>
      </c>
      <c r="E23" s="1672">
        <v>0</v>
      </c>
      <c r="F23" s="1673" t="s">
        <v>729</v>
      </c>
      <c r="G23" s="1709" t="s">
        <v>2824</v>
      </c>
      <c r="H23" s="1710" t="s">
        <v>730</v>
      </c>
      <c r="I23" s="1709" t="s">
        <v>1039</v>
      </c>
      <c r="J23" s="1709" t="s">
        <v>1042</v>
      </c>
      <c r="K23" s="1709" t="s">
        <v>732</v>
      </c>
      <c r="L23" s="1711" t="s">
        <v>2825</v>
      </c>
      <c r="M23" s="1711"/>
      <c r="N23" s="1711" t="s">
        <v>2826</v>
      </c>
      <c r="O23" s="1709">
        <v>44248</v>
      </c>
      <c r="P23" s="1711" t="s">
        <v>2827</v>
      </c>
      <c r="Q23" s="1712" t="s">
        <v>2831</v>
      </c>
      <c r="R23" s="1755" t="s">
        <v>2831</v>
      </c>
      <c r="S23" s="1755"/>
      <c r="T23" s="1755"/>
      <c r="U23" s="1755" t="s">
        <v>2832</v>
      </c>
      <c r="V23" s="1755" t="s">
        <v>2830</v>
      </c>
      <c r="W23" s="1755">
        <v>1010</v>
      </c>
      <c r="X23" s="1755">
        <v>44313</v>
      </c>
      <c r="Y23" s="1755">
        <v>44314</v>
      </c>
      <c r="Z23" s="1755">
        <v>4000</v>
      </c>
      <c r="AA23" s="1755">
        <v>44268</v>
      </c>
      <c r="AB23" s="1755" t="s">
        <v>733</v>
      </c>
      <c r="AC23" s="1755">
        <v>0</v>
      </c>
      <c r="AD23" s="1755">
        <v>0</v>
      </c>
      <c r="AE23" s="1755">
        <v>0</v>
      </c>
      <c r="AF23" s="1755">
        <v>0</v>
      </c>
      <c r="AG23" s="1755">
        <v>0</v>
      </c>
      <c r="AH23" s="1755">
        <v>1</v>
      </c>
      <c r="AI23" s="1755">
        <v>70235</v>
      </c>
      <c r="AJ23" s="1755">
        <v>2195</v>
      </c>
      <c r="AK23" s="1755">
        <v>0</v>
      </c>
      <c r="AL23" s="1755">
        <v>0</v>
      </c>
      <c r="AM23" s="1755"/>
      <c r="AN23" s="1755"/>
      <c r="AO23" s="1756"/>
      <c r="AP23" s="1756"/>
      <c r="AQ23" s="1755" t="str">
        <f t="shared" si="0"/>
        <v>VO05765532</v>
      </c>
      <c r="AS23" s="304" t="str">
        <f t="shared" si="1"/>
        <v>wci_corp</v>
      </c>
    </row>
    <row r="24" spans="2:45">
      <c r="B24" s="1708" t="s">
        <v>1401</v>
      </c>
      <c r="C24" s="1709">
        <v>44316</v>
      </c>
      <c r="D24" s="1672">
        <v>900</v>
      </c>
      <c r="E24" s="1672">
        <v>0</v>
      </c>
      <c r="F24" s="1673" t="s">
        <v>729</v>
      </c>
      <c r="G24" s="1709" t="s">
        <v>2824</v>
      </c>
      <c r="H24" s="1710" t="s">
        <v>730</v>
      </c>
      <c r="I24" s="1709" t="s">
        <v>1039</v>
      </c>
      <c r="J24" s="1709" t="s">
        <v>1042</v>
      </c>
      <c r="K24" s="1709" t="s">
        <v>732</v>
      </c>
      <c r="L24" s="1711" t="s">
        <v>2825</v>
      </c>
      <c r="M24" s="1711"/>
      <c r="N24" s="1711" t="s">
        <v>2826</v>
      </c>
      <c r="O24" s="1709">
        <v>44275</v>
      </c>
      <c r="P24" s="1711" t="s">
        <v>2827</v>
      </c>
      <c r="Q24" s="1712" t="s">
        <v>2833</v>
      </c>
      <c r="R24" s="1755" t="s">
        <v>2833</v>
      </c>
      <c r="S24" s="1755"/>
      <c r="T24" s="1755"/>
      <c r="U24" s="1755" t="s">
        <v>2834</v>
      </c>
      <c r="V24" s="1755" t="s">
        <v>2830</v>
      </c>
      <c r="W24" s="1755">
        <v>1010</v>
      </c>
      <c r="X24" s="1755">
        <v>44313</v>
      </c>
      <c r="Y24" s="1755">
        <v>44314</v>
      </c>
      <c r="Z24" s="1755">
        <v>4500</v>
      </c>
      <c r="AA24" s="1755">
        <v>44295</v>
      </c>
      <c r="AB24" s="1755" t="s">
        <v>733</v>
      </c>
      <c r="AC24" s="1755">
        <v>0</v>
      </c>
      <c r="AD24" s="1755">
        <v>0</v>
      </c>
      <c r="AE24" s="1755">
        <v>0</v>
      </c>
      <c r="AF24" s="1755">
        <v>0</v>
      </c>
      <c r="AG24" s="1755">
        <v>0</v>
      </c>
      <c r="AH24" s="1755">
        <v>1</v>
      </c>
      <c r="AI24" s="1755">
        <v>70235</v>
      </c>
      <c r="AJ24" s="1755">
        <v>2195</v>
      </c>
      <c r="AK24" s="1755">
        <v>0</v>
      </c>
      <c r="AL24" s="1755">
        <v>0</v>
      </c>
      <c r="AM24" s="1755"/>
      <c r="AN24" s="1755"/>
      <c r="AO24" s="1756"/>
      <c r="AP24" s="1756"/>
      <c r="AQ24" s="1755" t="str">
        <f t="shared" si="0"/>
        <v>VO05765533</v>
      </c>
      <c r="AS24" s="304" t="str">
        <f t="shared" si="1"/>
        <v>wci_corp</v>
      </c>
    </row>
    <row r="25" spans="2:45">
      <c r="B25" s="1708" t="s">
        <v>1401</v>
      </c>
      <c r="C25" s="1709">
        <v>44316</v>
      </c>
      <c r="D25" s="1672">
        <v>800</v>
      </c>
      <c r="E25" s="1672">
        <v>0</v>
      </c>
      <c r="F25" s="1673" t="s">
        <v>729</v>
      </c>
      <c r="G25" s="1709" t="s">
        <v>2824</v>
      </c>
      <c r="H25" s="1710" t="s">
        <v>730</v>
      </c>
      <c r="I25" s="1709" t="s">
        <v>1039</v>
      </c>
      <c r="J25" s="1709" t="s">
        <v>1042</v>
      </c>
      <c r="K25" s="1709" t="s">
        <v>732</v>
      </c>
      <c r="L25" s="1711" t="s">
        <v>2825</v>
      </c>
      <c r="M25" s="1711"/>
      <c r="N25" s="1711" t="s">
        <v>2826</v>
      </c>
      <c r="O25" s="1709">
        <v>44275</v>
      </c>
      <c r="P25" s="1711" t="s">
        <v>2827</v>
      </c>
      <c r="Q25" s="1712" t="s">
        <v>2835</v>
      </c>
      <c r="R25" s="1755" t="s">
        <v>2835</v>
      </c>
      <c r="S25" s="1755"/>
      <c r="T25" s="1755"/>
      <c r="U25" s="1755" t="s">
        <v>2836</v>
      </c>
      <c r="V25" s="1755" t="s">
        <v>2830</v>
      </c>
      <c r="W25" s="1755">
        <v>1010</v>
      </c>
      <c r="X25" s="1755">
        <v>44313</v>
      </c>
      <c r="Y25" s="1755">
        <v>44314</v>
      </c>
      <c r="Z25" s="1755">
        <v>4000</v>
      </c>
      <c r="AA25" s="1755">
        <v>44295</v>
      </c>
      <c r="AB25" s="1755" t="s">
        <v>733</v>
      </c>
      <c r="AC25" s="1755">
        <v>0</v>
      </c>
      <c r="AD25" s="1755">
        <v>0</v>
      </c>
      <c r="AE25" s="1755">
        <v>0</v>
      </c>
      <c r="AF25" s="1755">
        <v>0</v>
      </c>
      <c r="AG25" s="1755">
        <v>0</v>
      </c>
      <c r="AH25" s="1755">
        <v>1</v>
      </c>
      <c r="AI25" s="1755">
        <v>70235</v>
      </c>
      <c r="AJ25" s="1755">
        <v>2195</v>
      </c>
      <c r="AK25" s="1755">
        <v>0</v>
      </c>
      <c r="AL25" s="1755">
        <v>0</v>
      </c>
      <c r="AM25" s="1755"/>
      <c r="AN25" s="1755"/>
      <c r="AO25" s="1756"/>
      <c r="AP25" s="1756"/>
      <c r="AQ25" s="1755" t="str">
        <f t="shared" si="0"/>
        <v>VO05765534</v>
      </c>
      <c r="AS25" s="304" t="str">
        <f t="shared" si="1"/>
        <v>wci_corp</v>
      </c>
    </row>
    <row r="26" spans="2:45">
      <c r="B26" s="1708" t="s">
        <v>1401</v>
      </c>
      <c r="C26" s="1709">
        <v>44316</v>
      </c>
      <c r="D26" s="1672">
        <v>800</v>
      </c>
      <c r="E26" s="1672">
        <v>0</v>
      </c>
      <c r="F26" s="1673" t="s">
        <v>729</v>
      </c>
      <c r="G26" s="1709" t="s">
        <v>2824</v>
      </c>
      <c r="H26" s="1710" t="s">
        <v>730</v>
      </c>
      <c r="I26" s="1709" t="s">
        <v>1039</v>
      </c>
      <c r="J26" s="1709" t="s">
        <v>1042</v>
      </c>
      <c r="K26" s="1709" t="s">
        <v>732</v>
      </c>
      <c r="L26" s="1711" t="s">
        <v>2825</v>
      </c>
      <c r="M26" s="1711"/>
      <c r="N26" s="1711" t="s">
        <v>2826</v>
      </c>
      <c r="O26" s="1709">
        <v>44305</v>
      </c>
      <c r="P26" s="1711" t="s">
        <v>2827</v>
      </c>
      <c r="Q26" s="1712">
        <v>1266</v>
      </c>
      <c r="R26" s="1755">
        <v>1266</v>
      </c>
      <c r="S26" s="1755"/>
      <c r="T26" s="1755"/>
      <c r="U26" s="1755" t="s">
        <v>2837</v>
      </c>
      <c r="V26" s="1755" t="s">
        <v>2830</v>
      </c>
      <c r="W26" s="1755">
        <v>1010</v>
      </c>
      <c r="X26" s="1755">
        <v>44313</v>
      </c>
      <c r="Y26" s="1755">
        <v>44314</v>
      </c>
      <c r="Z26" s="1755">
        <v>4000</v>
      </c>
      <c r="AA26" s="1755">
        <v>44325</v>
      </c>
      <c r="AB26" s="1755" t="s">
        <v>733</v>
      </c>
      <c r="AC26" s="1755">
        <v>0</v>
      </c>
      <c r="AD26" s="1755">
        <v>0</v>
      </c>
      <c r="AE26" s="1755">
        <v>0</v>
      </c>
      <c r="AF26" s="1755">
        <v>0</v>
      </c>
      <c r="AG26" s="1755">
        <v>0</v>
      </c>
      <c r="AH26" s="1755">
        <v>1</v>
      </c>
      <c r="AI26" s="1755">
        <v>70235</v>
      </c>
      <c r="AJ26" s="1755">
        <v>2195</v>
      </c>
      <c r="AK26" s="1755">
        <v>0</v>
      </c>
      <c r="AL26" s="1755">
        <v>0</v>
      </c>
      <c r="AM26" s="1755"/>
      <c r="AN26" s="1755"/>
      <c r="AO26" s="1756"/>
      <c r="AP26" s="1756"/>
      <c r="AQ26" s="1755" t="str">
        <f t="shared" si="0"/>
        <v>VO05765535</v>
      </c>
      <c r="AS26" s="304" t="str">
        <f t="shared" si="1"/>
        <v>wci_corp</v>
      </c>
    </row>
    <row r="27" spans="2:45">
      <c r="B27" s="1708" t="s">
        <v>1401</v>
      </c>
      <c r="C27" s="1709">
        <v>44316</v>
      </c>
      <c r="D27" s="1672">
        <v>148</v>
      </c>
      <c r="E27" s="1672">
        <v>0</v>
      </c>
      <c r="F27" s="1673" t="s">
        <v>729</v>
      </c>
      <c r="G27" s="1709" t="s">
        <v>2824</v>
      </c>
      <c r="H27" s="1710" t="s">
        <v>730</v>
      </c>
      <c r="I27" s="1709" t="s">
        <v>1039</v>
      </c>
      <c r="J27" s="1709" t="s">
        <v>1042</v>
      </c>
      <c r="K27" s="1709" t="s">
        <v>732</v>
      </c>
      <c r="L27" s="1711" t="s">
        <v>1402</v>
      </c>
      <c r="M27" s="1711"/>
      <c r="N27" s="1711" t="s">
        <v>1403</v>
      </c>
      <c r="O27" s="1709">
        <v>44271</v>
      </c>
      <c r="P27" s="1711" t="s">
        <v>2827</v>
      </c>
      <c r="Q27" s="1712">
        <v>4253412</v>
      </c>
      <c r="R27" s="1755">
        <v>4253412</v>
      </c>
      <c r="S27" s="1755"/>
      <c r="T27" s="1755"/>
      <c r="U27" s="1755" t="s">
        <v>2838</v>
      </c>
      <c r="V27" s="1755" t="s">
        <v>2830</v>
      </c>
      <c r="W27" s="1755">
        <v>1010</v>
      </c>
      <c r="X27" s="1755">
        <v>44313</v>
      </c>
      <c r="Y27" s="1755">
        <v>44314</v>
      </c>
      <c r="Z27" s="1755">
        <v>148</v>
      </c>
      <c r="AA27" s="1755">
        <v>44336</v>
      </c>
      <c r="AB27" s="1755" t="s">
        <v>733</v>
      </c>
      <c r="AC27" s="1755">
        <v>0</v>
      </c>
      <c r="AD27" s="1755">
        <v>0</v>
      </c>
      <c r="AE27" s="1755">
        <v>0</v>
      </c>
      <c r="AF27" s="1755">
        <v>0</v>
      </c>
      <c r="AG27" s="1755">
        <v>0</v>
      </c>
      <c r="AH27" s="1755">
        <v>1</v>
      </c>
      <c r="AI27" s="1755">
        <v>70235</v>
      </c>
      <c r="AJ27" s="1755">
        <v>2195</v>
      </c>
      <c r="AK27" s="1755">
        <v>0</v>
      </c>
      <c r="AL27" s="1755">
        <v>0</v>
      </c>
      <c r="AM27" s="1755"/>
      <c r="AN27" s="1755"/>
      <c r="AO27" s="1756"/>
      <c r="AP27" s="1756"/>
      <c r="AQ27" s="1755" t="str">
        <f t="shared" si="0"/>
        <v>VO05765557</v>
      </c>
      <c r="AS27" s="304" t="str">
        <f t="shared" si="1"/>
        <v>wci_corp</v>
      </c>
    </row>
    <row r="28" spans="2:45">
      <c r="B28" s="1708" t="s">
        <v>1401</v>
      </c>
      <c r="C28" s="1709">
        <v>44316</v>
      </c>
      <c r="D28" s="1672">
        <v>16532.25</v>
      </c>
      <c r="E28" s="1672">
        <v>0</v>
      </c>
      <c r="F28" s="1673" t="s">
        <v>729</v>
      </c>
      <c r="G28" s="1709" t="s">
        <v>2839</v>
      </c>
      <c r="H28" s="1710" t="s">
        <v>730</v>
      </c>
      <c r="I28" s="1709" t="s">
        <v>1039</v>
      </c>
      <c r="J28" s="1709" t="s">
        <v>1038</v>
      </c>
      <c r="K28" s="1709" t="s">
        <v>732</v>
      </c>
      <c r="L28" s="1711" t="s">
        <v>2840</v>
      </c>
      <c r="M28" s="1711"/>
      <c r="N28" s="1711" t="s">
        <v>2841</v>
      </c>
      <c r="O28" s="1709">
        <v>44286</v>
      </c>
      <c r="P28" s="1711" t="s">
        <v>2842</v>
      </c>
      <c r="Q28" s="1712">
        <v>50558</v>
      </c>
      <c r="R28" s="1755">
        <v>50558</v>
      </c>
      <c r="S28" s="1755"/>
      <c r="T28" s="1755"/>
      <c r="U28" s="1755" t="s">
        <v>2843</v>
      </c>
      <c r="V28" s="1755" t="s">
        <v>2844</v>
      </c>
      <c r="W28" s="1755">
        <v>1010</v>
      </c>
      <c r="X28" s="1755">
        <v>44320</v>
      </c>
      <c r="Y28" s="1755">
        <v>44320</v>
      </c>
      <c r="Z28" s="1755">
        <v>16532.3</v>
      </c>
      <c r="AA28" s="1755">
        <v>44351</v>
      </c>
      <c r="AB28" s="1755" t="s">
        <v>733</v>
      </c>
      <c r="AC28" s="1755">
        <v>0</v>
      </c>
      <c r="AD28" s="1755">
        <v>0</v>
      </c>
      <c r="AE28" s="1755">
        <v>0</v>
      </c>
      <c r="AF28" s="1755">
        <v>0</v>
      </c>
      <c r="AG28" s="1755">
        <v>0</v>
      </c>
      <c r="AH28" s="1755">
        <v>1</v>
      </c>
      <c r="AI28" s="1755">
        <v>70235</v>
      </c>
      <c r="AJ28" s="1755">
        <v>2195</v>
      </c>
      <c r="AK28" s="1755">
        <v>0</v>
      </c>
      <c r="AL28" s="1755">
        <v>0</v>
      </c>
      <c r="AM28" s="1755"/>
      <c r="AN28" s="1755"/>
      <c r="AO28" s="1756"/>
      <c r="AP28" s="1756"/>
      <c r="AQ28" s="1755" t="str">
        <f t="shared" si="0"/>
        <v>VO05773982</v>
      </c>
      <c r="AS28" s="304" t="str">
        <f t="shared" si="1"/>
        <v>wci_corp</v>
      </c>
    </row>
    <row r="29" spans="2:45">
      <c r="B29" s="1708" t="s">
        <v>1401</v>
      </c>
      <c r="C29" s="1709">
        <v>44316</v>
      </c>
      <c r="D29" s="1672">
        <v>-4100</v>
      </c>
      <c r="E29" s="1672">
        <v>0</v>
      </c>
      <c r="F29" s="1673" t="s">
        <v>729</v>
      </c>
      <c r="G29" s="1709" t="s">
        <v>2062</v>
      </c>
      <c r="H29" s="1710" t="s">
        <v>730</v>
      </c>
      <c r="I29" s="1709" t="s">
        <v>2063</v>
      </c>
      <c r="J29" s="1709" t="s">
        <v>731</v>
      </c>
      <c r="K29" s="1709" t="s">
        <v>732</v>
      </c>
      <c r="L29" s="1711"/>
      <c r="M29" s="1711"/>
      <c r="N29" s="1711" t="s">
        <v>2657</v>
      </c>
      <c r="O29" s="1709"/>
      <c r="P29" s="1711"/>
      <c r="Q29" s="1712"/>
      <c r="R29" s="1755"/>
      <c r="S29" s="1755"/>
      <c r="T29" s="1755"/>
      <c r="U29" s="1755" t="s">
        <v>2065</v>
      </c>
      <c r="V29" s="1755" t="s">
        <v>2065</v>
      </c>
      <c r="W29" s="1755"/>
      <c r="X29" s="1755">
        <v>44322</v>
      </c>
      <c r="Y29" s="1755">
        <v>44322</v>
      </c>
      <c r="Z29" s="1755"/>
      <c r="AA29" s="1755"/>
      <c r="AB29" s="1755" t="s">
        <v>733</v>
      </c>
      <c r="AC29" s="1755">
        <v>0</v>
      </c>
      <c r="AD29" s="1755">
        <v>0</v>
      </c>
      <c r="AE29" s="1755">
        <v>0</v>
      </c>
      <c r="AF29" s="1755">
        <v>0</v>
      </c>
      <c r="AG29" s="1755">
        <v>0</v>
      </c>
      <c r="AH29" s="1755">
        <v>1</v>
      </c>
      <c r="AI29" s="1755">
        <v>70235</v>
      </c>
      <c r="AJ29" s="1755">
        <v>2195</v>
      </c>
      <c r="AK29" s="1755">
        <v>0</v>
      </c>
      <c r="AL29" s="1755">
        <v>0</v>
      </c>
      <c r="AM29" s="1755"/>
      <c r="AN29" s="1755"/>
      <c r="AO29" s="1756"/>
      <c r="AP29" s="1756"/>
      <c r="AQ29" s="1755" t="str">
        <f t="shared" si="0"/>
        <v/>
      </c>
      <c r="AS29" s="304" t="str">
        <f t="shared" si="1"/>
        <v>wci_corp</v>
      </c>
    </row>
    <row r="30" spans="2:45">
      <c r="B30" s="1708" t="s">
        <v>1401</v>
      </c>
      <c r="C30" s="1709">
        <v>44347</v>
      </c>
      <c r="D30" s="1672">
        <v>1794.5</v>
      </c>
      <c r="E30" s="1672">
        <v>0</v>
      </c>
      <c r="F30" s="1673" t="s">
        <v>729</v>
      </c>
      <c r="G30" s="1709" t="s">
        <v>2845</v>
      </c>
      <c r="H30" s="1710" t="s">
        <v>730</v>
      </c>
      <c r="I30" s="1709" t="s">
        <v>1039</v>
      </c>
      <c r="J30" s="1709" t="s">
        <v>1042</v>
      </c>
      <c r="K30" s="1709" t="s">
        <v>732</v>
      </c>
      <c r="L30" s="1711" t="s">
        <v>2846</v>
      </c>
      <c r="M30" s="1711"/>
      <c r="N30" s="1711" t="s">
        <v>2847</v>
      </c>
      <c r="O30" s="1709">
        <v>44316</v>
      </c>
      <c r="P30" s="1711" t="s">
        <v>2848</v>
      </c>
      <c r="Q30" s="1712" t="s">
        <v>2849</v>
      </c>
      <c r="R30" s="1755" t="s">
        <v>2849</v>
      </c>
      <c r="S30" s="1755"/>
      <c r="T30" s="1755"/>
      <c r="U30" s="1755" t="s">
        <v>2850</v>
      </c>
      <c r="V30" s="1755" t="s">
        <v>2851</v>
      </c>
      <c r="W30" s="1755">
        <v>1010</v>
      </c>
      <c r="X30" s="1755">
        <v>44327</v>
      </c>
      <c r="Y30" s="1755">
        <v>44330</v>
      </c>
      <c r="Z30" s="1755">
        <v>1794.5</v>
      </c>
      <c r="AA30" s="1755">
        <v>44381</v>
      </c>
      <c r="AB30" s="1755" t="s">
        <v>733</v>
      </c>
      <c r="AC30" s="1755">
        <v>0</v>
      </c>
      <c r="AD30" s="1755">
        <v>0</v>
      </c>
      <c r="AE30" s="1755">
        <v>0</v>
      </c>
      <c r="AF30" s="1755">
        <v>0</v>
      </c>
      <c r="AG30" s="1755">
        <v>0</v>
      </c>
      <c r="AH30" s="1755">
        <v>1</v>
      </c>
      <c r="AI30" s="1755">
        <v>70235</v>
      </c>
      <c r="AJ30" s="1755">
        <v>2195</v>
      </c>
      <c r="AK30" s="1755">
        <v>0</v>
      </c>
      <c r="AL30" s="1755">
        <v>0</v>
      </c>
      <c r="AM30" s="1755"/>
      <c r="AN30" s="1755"/>
      <c r="AO30" s="1756"/>
      <c r="AP30" s="1756"/>
      <c r="AQ30" s="1755" t="str">
        <f t="shared" si="0"/>
        <v>VO05779089</v>
      </c>
      <c r="AS30" s="304" t="str">
        <f t="shared" si="1"/>
        <v>wci_corp</v>
      </c>
    </row>
    <row r="31" spans="2:45">
      <c r="B31" s="1708" t="s">
        <v>2852</v>
      </c>
      <c r="C31" s="1709">
        <v>44347</v>
      </c>
      <c r="D31" s="1672">
        <v>409</v>
      </c>
      <c r="E31" s="1672">
        <v>0</v>
      </c>
      <c r="F31" s="1673" t="s">
        <v>729</v>
      </c>
      <c r="G31" s="1709" t="s">
        <v>2845</v>
      </c>
      <c r="H31" s="1710" t="s">
        <v>730</v>
      </c>
      <c r="I31" s="1709" t="s">
        <v>1039</v>
      </c>
      <c r="J31" s="1709" t="s">
        <v>1042</v>
      </c>
      <c r="K31" s="1709" t="s">
        <v>732</v>
      </c>
      <c r="L31" s="1711" t="s">
        <v>1409</v>
      </c>
      <c r="M31" s="1711"/>
      <c r="N31" s="1711" t="s">
        <v>1410</v>
      </c>
      <c r="O31" s="1709">
        <v>44299</v>
      </c>
      <c r="P31" s="1711" t="s">
        <v>2848</v>
      </c>
      <c r="Q31" s="1712">
        <v>618943</v>
      </c>
      <c r="R31" s="1755">
        <v>618943</v>
      </c>
      <c r="S31" s="1755"/>
      <c r="T31" s="1755"/>
      <c r="U31" s="1755" t="s">
        <v>2853</v>
      </c>
      <c r="V31" s="1755" t="s">
        <v>2851</v>
      </c>
      <c r="W31" s="1755">
        <v>1010</v>
      </c>
      <c r="X31" s="1755">
        <v>44327</v>
      </c>
      <c r="Y31" s="1755">
        <v>44330</v>
      </c>
      <c r="Z31" s="1755">
        <v>409</v>
      </c>
      <c r="AA31" s="1755">
        <v>44364</v>
      </c>
      <c r="AB31" s="1755" t="s">
        <v>733</v>
      </c>
      <c r="AC31" s="1755">
        <v>0</v>
      </c>
      <c r="AD31" s="1755">
        <v>0</v>
      </c>
      <c r="AE31" s="1755">
        <v>0</v>
      </c>
      <c r="AF31" s="1755">
        <v>0</v>
      </c>
      <c r="AG31" s="1755">
        <v>0</v>
      </c>
      <c r="AH31" s="1755">
        <v>1</v>
      </c>
      <c r="AI31" s="1755">
        <v>70235</v>
      </c>
      <c r="AJ31" s="1755">
        <v>2195</v>
      </c>
      <c r="AK31" s="1755">
        <v>100</v>
      </c>
      <c r="AL31" s="1755">
        <v>0</v>
      </c>
      <c r="AM31" s="1755"/>
      <c r="AN31" s="1755"/>
      <c r="AO31" s="1756"/>
      <c r="AP31" s="1756"/>
      <c r="AQ31" s="1755" t="str">
        <f t="shared" si="0"/>
        <v>VO05779144</v>
      </c>
      <c r="AS31" s="304" t="str">
        <f t="shared" si="1"/>
        <v>wci_corp</v>
      </c>
    </row>
    <row r="32" spans="2:45">
      <c r="B32" s="1708" t="s">
        <v>1401</v>
      </c>
      <c r="C32" s="1709">
        <v>44347</v>
      </c>
      <c r="D32" s="1672">
        <v>800</v>
      </c>
      <c r="E32" s="1672">
        <v>0</v>
      </c>
      <c r="F32" s="1673" t="s">
        <v>729</v>
      </c>
      <c r="G32" s="1709" t="s">
        <v>2854</v>
      </c>
      <c r="H32" s="1710" t="s">
        <v>730</v>
      </c>
      <c r="I32" s="1709" t="s">
        <v>1039</v>
      </c>
      <c r="J32" s="1709" t="s">
        <v>1042</v>
      </c>
      <c r="K32" s="1709" t="s">
        <v>732</v>
      </c>
      <c r="L32" s="1711" t="s">
        <v>2825</v>
      </c>
      <c r="M32" s="1711"/>
      <c r="N32" s="1711" t="s">
        <v>2826</v>
      </c>
      <c r="O32" s="1709">
        <v>44333</v>
      </c>
      <c r="P32" s="1711" t="s">
        <v>2855</v>
      </c>
      <c r="Q32" s="1712" t="s">
        <v>2856</v>
      </c>
      <c r="R32" s="1755" t="s">
        <v>2856</v>
      </c>
      <c r="S32" s="1755"/>
      <c r="T32" s="1755"/>
      <c r="U32" s="1755" t="s">
        <v>2857</v>
      </c>
      <c r="V32" s="1755" t="s">
        <v>2858</v>
      </c>
      <c r="W32" s="1755">
        <v>1010</v>
      </c>
      <c r="X32" s="1755">
        <v>44341</v>
      </c>
      <c r="Y32" s="1755">
        <v>44344</v>
      </c>
      <c r="Z32" s="1755">
        <v>4000</v>
      </c>
      <c r="AA32" s="1755">
        <v>44353</v>
      </c>
      <c r="AB32" s="1755" t="s">
        <v>733</v>
      </c>
      <c r="AC32" s="1755">
        <v>0</v>
      </c>
      <c r="AD32" s="1755">
        <v>0</v>
      </c>
      <c r="AE32" s="1755">
        <v>0</v>
      </c>
      <c r="AF32" s="1755">
        <v>0</v>
      </c>
      <c r="AG32" s="1755">
        <v>0</v>
      </c>
      <c r="AH32" s="1755">
        <v>1</v>
      </c>
      <c r="AI32" s="1755">
        <v>70235</v>
      </c>
      <c r="AJ32" s="1755">
        <v>2195</v>
      </c>
      <c r="AK32" s="1755">
        <v>0</v>
      </c>
      <c r="AL32" s="1755">
        <v>0</v>
      </c>
      <c r="AM32" s="1755"/>
      <c r="AN32" s="1755"/>
      <c r="AO32" s="1756"/>
      <c r="AP32" s="1756"/>
      <c r="AQ32" s="1755" t="str">
        <f t="shared" si="0"/>
        <v>VO05796169</v>
      </c>
      <c r="AS32" s="304" t="str">
        <f t="shared" si="1"/>
        <v>wci_corp</v>
      </c>
    </row>
    <row r="33" spans="2:45">
      <c r="B33" s="1708" t="s">
        <v>1401</v>
      </c>
      <c r="C33" s="1709">
        <v>44347</v>
      </c>
      <c r="D33" s="1672">
        <v>24217.7</v>
      </c>
      <c r="E33" s="1672">
        <v>0</v>
      </c>
      <c r="F33" s="1673" t="s">
        <v>729</v>
      </c>
      <c r="G33" s="1709" t="s">
        <v>2859</v>
      </c>
      <c r="H33" s="1710" t="s">
        <v>730</v>
      </c>
      <c r="I33" s="1709" t="s">
        <v>2860</v>
      </c>
      <c r="J33" s="1709" t="s">
        <v>1285</v>
      </c>
      <c r="K33" s="1709" t="s">
        <v>732</v>
      </c>
      <c r="L33" s="1711"/>
      <c r="M33" s="1711"/>
      <c r="N33" s="1711" t="s">
        <v>2861</v>
      </c>
      <c r="O33" s="1709"/>
      <c r="P33" s="1711"/>
      <c r="Q33" s="1712"/>
      <c r="R33" s="1755"/>
      <c r="S33" s="1755"/>
      <c r="T33" s="1755"/>
      <c r="U33" s="1755" t="s">
        <v>2862</v>
      </c>
      <c r="V33" s="1755" t="s">
        <v>2862</v>
      </c>
      <c r="W33" s="1755"/>
      <c r="X33" s="1755">
        <v>44351</v>
      </c>
      <c r="Y33" s="1755">
        <v>44354</v>
      </c>
      <c r="Z33" s="1755"/>
      <c r="AA33" s="1755"/>
      <c r="AB33" s="1755" t="s">
        <v>733</v>
      </c>
      <c r="AC33" s="1755">
        <v>0</v>
      </c>
      <c r="AD33" s="1755">
        <v>0</v>
      </c>
      <c r="AE33" s="1755">
        <v>0</v>
      </c>
      <c r="AF33" s="1755">
        <v>0</v>
      </c>
      <c r="AG33" s="1755">
        <v>0</v>
      </c>
      <c r="AH33" s="1755">
        <v>1</v>
      </c>
      <c r="AI33" s="1755">
        <v>70235</v>
      </c>
      <c r="AJ33" s="1755">
        <v>2195</v>
      </c>
      <c r="AK33" s="1755">
        <v>0</v>
      </c>
      <c r="AL33" s="1755">
        <v>0</v>
      </c>
      <c r="AM33" s="1755"/>
      <c r="AN33" s="1755"/>
      <c r="AO33" s="1756"/>
      <c r="AP33" s="1756"/>
      <c r="AQ33" s="1755" t="str">
        <f t="shared" si="0"/>
        <v/>
      </c>
      <c r="AS33" s="304" t="str">
        <f t="shared" si="1"/>
        <v>wci_corp</v>
      </c>
    </row>
    <row r="34" spans="2:45">
      <c r="B34" s="1708" t="s">
        <v>1401</v>
      </c>
      <c r="C34" s="1709">
        <v>44377</v>
      </c>
      <c r="D34" s="1672">
        <v>-24217.7</v>
      </c>
      <c r="E34" s="1672">
        <v>0</v>
      </c>
      <c r="F34" s="1673" t="s">
        <v>729</v>
      </c>
      <c r="G34" s="1709" t="s">
        <v>2863</v>
      </c>
      <c r="H34" s="1710" t="s">
        <v>730</v>
      </c>
      <c r="I34" s="1709" t="s">
        <v>2860</v>
      </c>
      <c r="J34" s="1709" t="s">
        <v>731</v>
      </c>
      <c r="K34" s="1709" t="s">
        <v>732</v>
      </c>
      <c r="L34" s="1711"/>
      <c r="M34" s="1711"/>
      <c r="N34" s="1711" t="s">
        <v>2861</v>
      </c>
      <c r="O34" s="1709"/>
      <c r="P34" s="1711"/>
      <c r="Q34" s="1712"/>
      <c r="R34" s="1755"/>
      <c r="S34" s="1755"/>
      <c r="T34" s="1755"/>
      <c r="U34" s="1755" t="s">
        <v>2862</v>
      </c>
      <c r="V34" s="1755" t="s">
        <v>2864</v>
      </c>
      <c r="W34" s="1755"/>
      <c r="X34" s="1755">
        <v>44352</v>
      </c>
      <c r="Y34" s="1755">
        <v>44354</v>
      </c>
      <c r="Z34" s="1755"/>
      <c r="AA34" s="1755"/>
      <c r="AB34" s="1755" t="s">
        <v>733</v>
      </c>
      <c r="AC34" s="1755">
        <v>0</v>
      </c>
      <c r="AD34" s="1755">
        <v>0</v>
      </c>
      <c r="AE34" s="1755">
        <v>0</v>
      </c>
      <c r="AF34" s="1755">
        <v>0</v>
      </c>
      <c r="AG34" s="1755">
        <v>5</v>
      </c>
      <c r="AH34" s="1755">
        <v>1</v>
      </c>
      <c r="AI34" s="1755">
        <v>70235</v>
      </c>
      <c r="AJ34" s="1755">
        <v>2195</v>
      </c>
      <c r="AK34" s="1755">
        <v>0</v>
      </c>
      <c r="AL34" s="1755">
        <v>0</v>
      </c>
      <c r="AM34" s="1755"/>
      <c r="AN34" s="1755"/>
      <c r="AO34" s="1756"/>
      <c r="AP34" s="1756"/>
      <c r="AQ34" s="1755" t="str">
        <f t="shared" si="0"/>
        <v/>
      </c>
      <c r="AS34" s="304" t="str">
        <f t="shared" si="1"/>
        <v>wci_corp</v>
      </c>
    </row>
    <row r="35" spans="2:45">
      <c r="B35" s="1708" t="s">
        <v>1401</v>
      </c>
      <c r="C35" s="1709">
        <v>44377</v>
      </c>
      <c r="D35" s="1672">
        <v>813</v>
      </c>
      <c r="E35" s="1672">
        <v>0</v>
      </c>
      <c r="F35" s="1673" t="s">
        <v>729</v>
      </c>
      <c r="G35" s="1709" t="s">
        <v>2865</v>
      </c>
      <c r="H35" s="1710" t="s">
        <v>730</v>
      </c>
      <c r="I35" s="1709" t="s">
        <v>1039</v>
      </c>
      <c r="J35" s="1709" t="s">
        <v>1042</v>
      </c>
      <c r="K35" s="1709" t="s">
        <v>732</v>
      </c>
      <c r="L35" s="1711" t="s">
        <v>2825</v>
      </c>
      <c r="M35" s="1711"/>
      <c r="N35" s="1711" t="s">
        <v>2826</v>
      </c>
      <c r="O35" s="1709">
        <v>44305</v>
      </c>
      <c r="P35" s="1711" t="s">
        <v>2866</v>
      </c>
      <c r="Q35" s="1712" t="s">
        <v>2867</v>
      </c>
      <c r="R35" s="1755" t="s">
        <v>2867</v>
      </c>
      <c r="S35" s="1755"/>
      <c r="T35" s="1755"/>
      <c r="U35" s="1755" t="s">
        <v>2868</v>
      </c>
      <c r="V35" s="1755" t="s">
        <v>2869</v>
      </c>
      <c r="W35" s="1755">
        <v>1010</v>
      </c>
      <c r="X35" s="1755">
        <v>44376</v>
      </c>
      <c r="Y35" s="1755">
        <v>44377</v>
      </c>
      <c r="Z35" s="1755">
        <v>4065</v>
      </c>
      <c r="AA35" s="1755">
        <v>44325</v>
      </c>
      <c r="AB35" s="1755" t="s">
        <v>733</v>
      </c>
      <c r="AC35" s="1755">
        <v>0</v>
      </c>
      <c r="AD35" s="1755">
        <v>0</v>
      </c>
      <c r="AE35" s="1755">
        <v>0</v>
      </c>
      <c r="AF35" s="1755">
        <v>0</v>
      </c>
      <c r="AG35" s="1755">
        <v>0</v>
      </c>
      <c r="AH35" s="1755">
        <v>1</v>
      </c>
      <c r="AI35" s="1755">
        <v>70235</v>
      </c>
      <c r="AJ35" s="1755">
        <v>2195</v>
      </c>
      <c r="AK35" s="1755">
        <v>0</v>
      </c>
      <c r="AL35" s="1755">
        <v>0</v>
      </c>
      <c r="AM35" s="1755"/>
      <c r="AN35" s="1755"/>
      <c r="AO35" s="1756"/>
      <c r="AP35" s="1756"/>
      <c r="AQ35" s="1755" t="str">
        <f t="shared" si="0"/>
        <v>VO05833328</v>
      </c>
      <c r="AS35" s="304" t="str">
        <f t="shared" si="1"/>
        <v>wci_corp</v>
      </c>
    </row>
    <row r="36" spans="2:45">
      <c r="B36" s="1708" t="s">
        <v>1401</v>
      </c>
      <c r="C36" s="1709">
        <v>44377</v>
      </c>
      <c r="D36" s="1672">
        <v>851.6</v>
      </c>
      <c r="E36" s="1672">
        <v>0</v>
      </c>
      <c r="F36" s="1673" t="s">
        <v>729</v>
      </c>
      <c r="G36" s="1709" t="s">
        <v>2865</v>
      </c>
      <c r="H36" s="1710" t="s">
        <v>730</v>
      </c>
      <c r="I36" s="1709" t="s">
        <v>1039</v>
      </c>
      <c r="J36" s="1709" t="s">
        <v>1042</v>
      </c>
      <c r="K36" s="1709" t="s">
        <v>732</v>
      </c>
      <c r="L36" s="1711" t="s">
        <v>2825</v>
      </c>
      <c r="M36" s="1711"/>
      <c r="N36" s="1711" t="s">
        <v>2826</v>
      </c>
      <c r="O36" s="1709">
        <v>44333</v>
      </c>
      <c r="P36" s="1711" t="s">
        <v>2866</v>
      </c>
      <c r="Q36" s="1712" t="s">
        <v>2870</v>
      </c>
      <c r="R36" s="1755" t="s">
        <v>2870</v>
      </c>
      <c r="S36" s="1755"/>
      <c r="T36" s="1755"/>
      <c r="U36" s="1755" t="s">
        <v>2871</v>
      </c>
      <c r="V36" s="1755" t="s">
        <v>2869</v>
      </c>
      <c r="W36" s="1755">
        <v>1010</v>
      </c>
      <c r="X36" s="1755">
        <v>44376</v>
      </c>
      <c r="Y36" s="1755">
        <v>44377</v>
      </c>
      <c r="Z36" s="1755">
        <v>4258</v>
      </c>
      <c r="AA36" s="1755">
        <v>44353</v>
      </c>
      <c r="AB36" s="1755" t="s">
        <v>733</v>
      </c>
      <c r="AC36" s="1755">
        <v>0</v>
      </c>
      <c r="AD36" s="1755">
        <v>0</v>
      </c>
      <c r="AE36" s="1755">
        <v>0</v>
      </c>
      <c r="AF36" s="1755">
        <v>0</v>
      </c>
      <c r="AG36" s="1755">
        <v>0</v>
      </c>
      <c r="AH36" s="1755">
        <v>1</v>
      </c>
      <c r="AI36" s="1755">
        <v>70235</v>
      </c>
      <c r="AJ36" s="1755">
        <v>2195</v>
      </c>
      <c r="AK36" s="1755">
        <v>0</v>
      </c>
      <c r="AL36" s="1755">
        <v>0</v>
      </c>
      <c r="AM36" s="1755"/>
      <c r="AN36" s="1755"/>
      <c r="AO36" s="1756"/>
      <c r="AP36" s="1756"/>
      <c r="AQ36" s="1755" t="str">
        <f t="shared" si="0"/>
        <v>VO05833329</v>
      </c>
      <c r="AS36" s="304" t="str">
        <f t="shared" si="1"/>
        <v>wci_corp</v>
      </c>
    </row>
    <row r="37" spans="2:45">
      <c r="B37" s="1708" t="s">
        <v>1401</v>
      </c>
      <c r="C37" s="1709">
        <v>44377</v>
      </c>
      <c r="D37" s="1672">
        <v>1600</v>
      </c>
      <c r="E37" s="1672">
        <v>0</v>
      </c>
      <c r="F37" s="1673" t="s">
        <v>729</v>
      </c>
      <c r="G37" s="1709" t="s">
        <v>2865</v>
      </c>
      <c r="H37" s="1710" t="s">
        <v>730</v>
      </c>
      <c r="I37" s="1709" t="s">
        <v>1039</v>
      </c>
      <c r="J37" s="1709" t="s">
        <v>1042</v>
      </c>
      <c r="K37" s="1709" t="s">
        <v>732</v>
      </c>
      <c r="L37" s="1711" t="s">
        <v>2825</v>
      </c>
      <c r="M37" s="1711"/>
      <c r="N37" s="1711" t="s">
        <v>2826</v>
      </c>
      <c r="O37" s="1709">
        <v>44364</v>
      </c>
      <c r="P37" s="1711" t="s">
        <v>2866</v>
      </c>
      <c r="Q37" s="1712" t="s">
        <v>2872</v>
      </c>
      <c r="R37" s="1755" t="s">
        <v>2872</v>
      </c>
      <c r="S37" s="1755"/>
      <c r="T37" s="1755"/>
      <c r="U37" s="1755" t="s">
        <v>2873</v>
      </c>
      <c r="V37" s="1755" t="s">
        <v>2869</v>
      </c>
      <c r="W37" s="1755">
        <v>1010</v>
      </c>
      <c r="X37" s="1755">
        <v>44376</v>
      </c>
      <c r="Y37" s="1755">
        <v>44377</v>
      </c>
      <c r="Z37" s="1755">
        <v>8000</v>
      </c>
      <c r="AA37" s="1755">
        <v>44384</v>
      </c>
      <c r="AB37" s="1755" t="s">
        <v>733</v>
      </c>
      <c r="AC37" s="1755">
        <v>0</v>
      </c>
      <c r="AD37" s="1755">
        <v>0</v>
      </c>
      <c r="AE37" s="1755">
        <v>0</v>
      </c>
      <c r="AF37" s="1755">
        <v>0</v>
      </c>
      <c r="AG37" s="1755">
        <v>0</v>
      </c>
      <c r="AH37" s="1755">
        <v>1</v>
      </c>
      <c r="AI37" s="1755">
        <v>70235</v>
      </c>
      <c r="AJ37" s="1755">
        <v>2195</v>
      </c>
      <c r="AK37" s="1755">
        <v>0</v>
      </c>
      <c r="AL37" s="1755">
        <v>0</v>
      </c>
      <c r="AM37" s="1755"/>
      <c r="AN37" s="1755"/>
      <c r="AO37" s="1756"/>
      <c r="AP37" s="1756"/>
      <c r="AQ37" s="1755" t="str">
        <f t="shared" si="0"/>
        <v>VO05833330</v>
      </c>
      <c r="AS37" s="304" t="str">
        <f t="shared" si="1"/>
        <v>wci_corp</v>
      </c>
    </row>
    <row r="38" spans="2:45">
      <c r="B38" s="1708" t="s">
        <v>1401</v>
      </c>
      <c r="C38" s="1709">
        <v>44377</v>
      </c>
      <c r="D38" s="1672">
        <v>194</v>
      </c>
      <c r="E38" s="1672">
        <v>0</v>
      </c>
      <c r="F38" s="1673" t="s">
        <v>729</v>
      </c>
      <c r="G38" s="1709" t="s">
        <v>2865</v>
      </c>
      <c r="H38" s="1710" t="s">
        <v>730</v>
      </c>
      <c r="I38" s="1709" t="s">
        <v>1039</v>
      </c>
      <c r="J38" s="1709" t="s">
        <v>1042</v>
      </c>
      <c r="K38" s="1709" t="s">
        <v>732</v>
      </c>
      <c r="L38" s="1711" t="s">
        <v>2846</v>
      </c>
      <c r="M38" s="1711"/>
      <c r="N38" s="1711" t="s">
        <v>2847</v>
      </c>
      <c r="O38" s="1709">
        <v>44347</v>
      </c>
      <c r="P38" s="1711" t="s">
        <v>2866</v>
      </c>
      <c r="Q38" s="1712" t="s">
        <v>2874</v>
      </c>
      <c r="R38" s="1755" t="s">
        <v>2874</v>
      </c>
      <c r="S38" s="1755"/>
      <c r="T38" s="1755"/>
      <c r="U38" s="1755" t="s">
        <v>2875</v>
      </c>
      <c r="V38" s="1755" t="s">
        <v>2869</v>
      </c>
      <c r="W38" s="1755">
        <v>1010</v>
      </c>
      <c r="X38" s="1755">
        <v>44376</v>
      </c>
      <c r="Y38" s="1755">
        <v>44377</v>
      </c>
      <c r="Z38" s="1755">
        <v>194</v>
      </c>
      <c r="AA38" s="1755">
        <v>44412</v>
      </c>
      <c r="AB38" s="1755" t="s">
        <v>733</v>
      </c>
      <c r="AC38" s="1755">
        <v>0</v>
      </c>
      <c r="AD38" s="1755">
        <v>0</v>
      </c>
      <c r="AE38" s="1755">
        <v>0</v>
      </c>
      <c r="AF38" s="1755">
        <v>0</v>
      </c>
      <c r="AG38" s="1755">
        <v>0</v>
      </c>
      <c r="AH38" s="1755">
        <v>1</v>
      </c>
      <c r="AI38" s="1755">
        <v>70235</v>
      </c>
      <c r="AJ38" s="1755">
        <v>2195</v>
      </c>
      <c r="AK38" s="1755">
        <v>0</v>
      </c>
      <c r="AL38" s="1755">
        <v>0</v>
      </c>
      <c r="AM38" s="1755"/>
      <c r="AN38" s="1755"/>
      <c r="AO38" s="1756"/>
      <c r="AP38" s="1756"/>
      <c r="AQ38" s="1755" t="str">
        <f t="shared" si="0"/>
        <v>VO05833339</v>
      </c>
      <c r="AS38" s="304" t="str">
        <f t="shared" si="1"/>
        <v>wci_corp</v>
      </c>
    </row>
    <row r="39" spans="2:45">
      <c r="B39" s="1708" t="s">
        <v>1401</v>
      </c>
      <c r="C39" s="1709">
        <v>44377</v>
      </c>
      <c r="D39" s="1672">
        <v>24217.7</v>
      </c>
      <c r="E39" s="1672">
        <v>0</v>
      </c>
      <c r="F39" s="1673" t="s">
        <v>729</v>
      </c>
      <c r="G39" s="1709" t="s">
        <v>2865</v>
      </c>
      <c r="H39" s="1710" t="s">
        <v>730</v>
      </c>
      <c r="I39" s="1709" t="s">
        <v>1039</v>
      </c>
      <c r="J39" s="1709" t="s">
        <v>1042</v>
      </c>
      <c r="K39" s="1709" t="s">
        <v>732</v>
      </c>
      <c r="L39" s="1711" t="s">
        <v>2840</v>
      </c>
      <c r="M39" s="1711"/>
      <c r="N39" s="1711" t="s">
        <v>2841</v>
      </c>
      <c r="O39" s="1709">
        <v>44316</v>
      </c>
      <c r="P39" s="1711" t="s">
        <v>2866</v>
      </c>
      <c r="Q39" s="1712" t="s">
        <v>2876</v>
      </c>
      <c r="R39" s="1755" t="s">
        <v>2876</v>
      </c>
      <c r="S39" s="1755"/>
      <c r="T39" s="1755"/>
      <c r="U39" s="1755" t="s">
        <v>2877</v>
      </c>
      <c r="V39" s="1755" t="s">
        <v>2869</v>
      </c>
      <c r="W39" s="1755">
        <v>1010</v>
      </c>
      <c r="X39" s="1755">
        <v>44376</v>
      </c>
      <c r="Y39" s="1755">
        <v>44377</v>
      </c>
      <c r="Z39" s="1755">
        <v>24217.7</v>
      </c>
      <c r="AA39" s="1755">
        <v>44381</v>
      </c>
      <c r="AB39" s="1755" t="s">
        <v>733</v>
      </c>
      <c r="AC39" s="1755">
        <v>0</v>
      </c>
      <c r="AD39" s="1755">
        <v>0</v>
      </c>
      <c r="AE39" s="1755">
        <v>0</v>
      </c>
      <c r="AF39" s="1755">
        <v>0</v>
      </c>
      <c r="AG39" s="1755">
        <v>0</v>
      </c>
      <c r="AH39" s="1755">
        <v>1</v>
      </c>
      <c r="AI39" s="1755">
        <v>70235</v>
      </c>
      <c r="AJ39" s="1755">
        <v>2195</v>
      </c>
      <c r="AK39" s="1755">
        <v>0</v>
      </c>
      <c r="AL39" s="1755">
        <v>0</v>
      </c>
      <c r="AM39" s="1755"/>
      <c r="AN39" s="1755"/>
      <c r="AO39" s="1756"/>
      <c r="AP39" s="1756"/>
      <c r="AQ39" s="1755" t="str">
        <f t="shared" si="0"/>
        <v>VO05833398</v>
      </c>
      <c r="AS39" s="304" t="str">
        <f t="shared" si="1"/>
        <v>wci_corp</v>
      </c>
    </row>
    <row r="40" spans="2:45">
      <c r="B40" s="1708" t="s">
        <v>1401</v>
      </c>
      <c r="C40" s="1709">
        <v>44377</v>
      </c>
      <c r="D40" s="1672">
        <v>1340</v>
      </c>
      <c r="E40" s="1672">
        <v>0</v>
      </c>
      <c r="F40" s="1673" t="s">
        <v>729</v>
      </c>
      <c r="G40" s="1709" t="s">
        <v>2878</v>
      </c>
      <c r="H40" s="1710" t="s">
        <v>730</v>
      </c>
      <c r="I40" s="1709" t="s">
        <v>1407</v>
      </c>
      <c r="J40" s="1709" t="s">
        <v>737</v>
      </c>
      <c r="K40" s="1709" t="s">
        <v>732</v>
      </c>
      <c r="L40" s="1711"/>
      <c r="M40" s="1711"/>
      <c r="N40" s="1711" t="s">
        <v>1405</v>
      </c>
      <c r="O40" s="1709"/>
      <c r="P40" s="1711"/>
      <c r="Q40" s="1712"/>
      <c r="R40" s="1755"/>
      <c r="S40" s="1755"/>
      <c r="T40" s="1755"/>
      <c r="U40" s="1755" t="s">
        <v>2879</v>
      </c>
      <c r="V40" s="1755" t="s">
        <v>2879</v>
      </c>
      <c r="W40" s="1755"/>
      <c r="X40" s="1755">
        <v>44385</v>
      </c>
      <c r="Y40" s="1755">
        <v>44385</v>
      </c>
      <c r="Z40" s="1755"/>
      <c r="AA40" s="1755"/>
      <c r="AB40" s="1755" t="s">
        <v>733</v>
      </c>
      <c r="AC40" s="1755">
        <v>0</v>
      </c>
      <c r="AD40" s="1755">
        <v>0</v>
      </c>
      <c r="AE40" s="1755">
        <v>0</v>
      </c>
      <c r="AF40" s="1755">
        <v>0</v>
      </c>
      <c r="AG40" s="1755">
        <v>0</v>
      </c>
      <c r="AH40" s="1755">
        <v>1</v>
      </c>
      <c r="AI40" s="1755">
        <v>70235</v>
      </c>
      <c r="AJ40" s="1755">
        <v>2195</v>
      </c>
      <c r="AK40" s="1755">
        <v>0</v>
      </c>
      <c r="AL40" s="1755">
        <v>0</v>
      </c>
      <c r="AM40" s="1755"/>
      <c r="AN40" s="1755"/>
      <c r="AO40" s="1756"/>
      <c r="AP40" s="1756"/>
      <c r="AQ40" s="1755" t="str">
        <f t="shared" si="0"/>
        <v/>
      </c>
      <c r="AS40" s="304" t="str">
        <f t="shared" si="1"/>
        <v>wci_corp</v>
      </c>
    </row>
    <row r="41" spans="2:45">
      <c r="B41" s="1708" t="s">
        <v>1401</v>
      </c>
      <c r="C41" s="1709">
        <v>44377</v>
      </c>
      <c r="D41" s="1672">
        <v>-3264.6</v>
      </c>
      <c r="E41" s="1672">
        <v>0</v>
      </c>
      <c r="F41" s="1673" t="s">
        <v>729</v>
      </c>
      <c r="G41" s="1709" t="s">
        <v>2100</v>
      </c>
      <c r="H41" s="1710" t="s">
        <v>730</v>
      </c>
      <c r="I41" s="1709" t="s">
        <v>2063</v>
      </c>
      <c r="J41" s="1709" t="s">
        <v>735</v>
      </c>
      <c r="K41" s="1709" t="s">
        <v>732</v>
      </c>
      <c r="L41" s="1711"/>
      <c r="M41" s="1711"/>
      <c r="N41" s="1711" t="s">
        <v>2653</v>
      </c>
      <c r="O41" s="1709"/>
      <c r="P41" s="1711"/>
      <c r="Q41" s="1712"/>
      <c r="R41" s="1755"/>
      <c r="S41" s="1755"/>
      <c r="T41" s="1755"/>
      <c r="U41" s="1755" t="s">
        <v>2101</v>
      </c>
      <c r="V41" s="1755" t="s">
        <v>2101</v>
      </c>
      <c r="W41" s="1755"/>
      <c r="X41" s="1755">
        <v>44385</v>
      </c>
      <c r="Y41" s="1755">
        <v>44385</v>
      </c>
      <c r="Z41" s="1755"/>
      <c r="AA41" s="1755"/>
      <c r="AB41" s="1755" t="s">
        <v>733</v>
      </c>
      <c r="AC41" s="1755">
        <v>0</v>
      </c>
      <c r="AD41" s="1755">
        <v>0</v>
      </c>
      <c r="AE41" s="1755">
        <v>0</v>
      </c>
      <c r="AF41" s="1755">
        <v>0</v>
      </c>
      <c r="AG41" s="1755">
        <v>0</v>
      </c>
      <c r="AH41" s="1755">
        <v>1</v>
      </c>
      <c r="AI41" s="1755">
        <v>70235</v>
      </c>
      <c r="AJ41" s="1755">
        <v>2195</v>
      </c>
      <c r="AK41" s="1755">
        <v>0</v>
      </c>
      <c r="AL41" s="1755">
        <v>0</v>
      </c>
      <c r="AM41" s="1755"/>
      <c r="AN41" s="1755"/>
      <c r="AO41" s="1756"/>
      <c r="AP41" s="1756"/>
      <c r="AQ41" s="1755" t="str">
        <f t="shared" si="0"/>
        <v/>
      </c>
      <c r="AS41" s="304" t="str">
        <f t="shared" si="1"/>
        <v>wci_corp</v>
      </c>
    </row>
    <row r="42" spans="2:45">
      <c r="B42" s="1708" t="s">
        <v>1401</v>
      </c>
      <c r="C42" s="1709">
        <v>44408</v>
      </c>
      <c r="D42" s="1672">
        <v>-1340</v>
      </c>
      <c r="E42" s="1672">
        <v>0</v>
      </c>
      <c r="F42" s="1673" t="s">
        <v>729</v>
      </c>
      <c r="G42" s="1709" t="s">
        <v>2880</v>
      </c>
      <c r="H42" s="1710" t="s">
        <v>730</v>
      </c>
      <c r="I42" s="1709" t="s">
        <v>1407</v>
      </c>
      <c r="J42" s="1709" t="s">
        <v>735</v>
      </c>
      <c r="K42" s="1709" t="s">
        <v>732</v>
      </c>
      <c r="L42" s="1711"/>
      <c r="M42" s="1711"/>
      <c r="N42" s="1711" t="s">
        <v>1405</v>
      </c>
      <c r="O42" s="1709"/>
      <c r="P42" s="1711"/>
      <c r="Q42" s="1712"/>
      <c r="R42" s="1755"/>
      <c r="S42" s="1755"/>
      <c r="T42" s="1755"/>
      <c r="U42" s="1755" t="s">
        <v>2879</v>
      </c>
      <c r="V42" s="1755" t="s">
        <v>2881</v>
      </c>
      <c r="W42" s="1755"/>
      <c r="X42" s="1755">
        <v>44385</v>
      </c>
      <c r="Y42" s="1755">
        <v>44385</v>
      </c>
      <c r="Z42" s="1755"/>
      <c r="AA42" s="1755"/>
      <c r="AB42" s="1755" t="s">
        <v>733</v>
      </c>
      <c r="AC42" s="1755">
        <v>0</v>
      </c>
      <c r="AD42" s="1755">
        <v>0</v>
      </c>
      <c r="AE42" s="1755">
        <v>0</v>
      </c>
      <c r="AF42" s="1755">
        <v>0</v>
      </c>
      <c r="AG42" s="1755">
        <v>5</v>
      </c>
      <c r="AH42" s="1755">
        <v>1</v>
      </c>
      <c r="AI42" s="1755">
        <v>70235</v>
      </c>
      <c r="AJ42" s="1755">
        <v>2195</v>
      </c>
      <c r="AK42" s="1755">
        <v>0</v>
      </c>
      <c r="AL42" s="1755">
        <v>0</v>
      </c>
      <c r="AM42" s="1755"/>
      <c r="AN42" s="1755"/>
      <c r="AO42" s="1756"/>
      <c r="AP42" s="1756"/>
      <c r="AQ42" s="1755" t="str">
        <f t="shared" si="0"/>
        <v/>
      </c>
      <c r="AS42" s="304" t="str">
        <f t="shared" si="1"/>
        <v>wci_corp</v>
      </c>
    </row>
    <row r="43" spans="2:45">
      <c r="B43" s="1708" t="s">
        <v>1401</v>
      </c>
      <c r="C43" s="1709">
        <v>44408</v>
      </c>
      <c r="D43" s="1672">
        <v>855.6</v>
      </c>
      <c r="E43" s="1672">
        <v>0</v>
      </c>
      <c r="F43" s="1673" t="s">
        <v>729</v>
      </c>
      <c r="G43" s="1709" t="s">
        <v>2882</v>
      </c>
      <c r="H43" s="1710" t="s">
        <v>730</v>
      </c>
      <c r="I43" s="1709" t="s">
        <v>1039</v>
      </c>
      <c r="J43" s="1709" t="s">
        <v>1038</v>
      </c>
      <c r="K43" s="1709" t="s">
        <v>732</v>
      </c>
      <c r="L43" s="1711" t="s">
        <v>2825</v>
      </c>
      <c r="M43" s="1711"/>
      <c r="N43" s="1711" t="s">
        <v>2826</v>
      </c>
      <c r="O43" s="1709">
        <v>44364</v>
      </c>
      <c r="P43" s="1711" t="s">
        <v>2883</v>
      </c>
      <c r="Q43" s="1712" t="s">
        <v>2884</v>
      </c>
      <c r="R43" s="1755" t="s">
        <v>2884</v>
      </c>
      <c r="S43" s="1755"/>
      <c r="T43" s="1755"/>
      <c r="U43" s="1755" t="s">
        <v>2885</v>
      </c>
      <c r="V43" s="1755" t="s">
        <v>2886</v>
      </c>
      <c r="W43" s="1755">
        <v>1010</v>
      </c>
      <c r="X43" s="1755">
        <v>44397</v>
      </c>
      <c r="Y43" s="1755">
        <v>44397</v>
      </c>
      <c r="Z43" s="1755">
        <v>4278</v>
      </c>
      <c r="AA43" s="1755">
        <v>44384</v>
      </c>
      <c r="AB43" s="1755" t="s">
        <v>733</v>
      </c>
      <c r="AC43" s="1755">
        <v>0</v>
      </c>
      <c r="AD43" s="1755">
        <v>0</v>
      </c>
      <c r="AE43" s="1755">
        <v>0</v>
      </c>
      <c r="AF43" s="1755">
        <v>0</v>
      </c>
      <c r="AG43" s="1755">
        <v>0</v>
      </c>
      <c r="AH43" s="1755">
        <v>1</v>
      </c>
      <c r="AI43" s="1755">
        <v>70235</v>
      </c>
      <c r="AJ43" s="1755">
        <v>2195</v>
      </c>
      <c r="AK43" s="1755">
        <v>0</v>
      </c>
      <c r="AL43" s="1755">
        <v>0</v>
      </c>
      <c r="AM43" s="1755"/>
      <c r="AN43" s="1755"/>
      <c r="AO43" s="1756"/>
      <c r="AP43" s="1756"/>
      <c r="AQ43" s="1755" t="str">
        <f t="shared" si="0"/>
        <v>VO05855928</v>
      </c>
      <c r="AS43" s="304" t="str">
        <f t="shared" si="1"/>
        <v>wci_corp</v>
      </c>
    </row>
    <row r="44" spans="2:45">
      <c r="B44" s="1708" t="s">
        <v>1401</v>
      </c>
      <c r="C44" s="1709">
        <v>44408</v>
      </c>
      <c r="D44" s="1672">
        <v>339.5</v>
      </c>
      <c r="E44" s="1672">
        <v>0</v>
      </c>
      <c r="F44" s="1673" t="s">
        <v>729</v>
      </c>
      <c r="G44" s="1709" t="s">
        <v>2882</v>
      </c>
      <c r="H44" s="1710" t="s">
        <v>730</v>
      </c>
      <c r="I44" s="1709" t="s">
        <v>1039</v>
      </c>
      <c r="J44" s="1709" t="s">
        <v>1038</v>
      </c>
      <c r="K44" s="1709" t="s">
        <v>732</v>
      </c>
      <c r="L44" s="1711" t="s">
        <v>2846</v>
      </c>
      <c r="M44" s="1711"/>
      <c r="N44" s="1711" t="s">
        <v>2847</v>
      </c>
      <c r="O44" s="1709">
        <v>44377</v>
      </c>
      <c r="P44" s="1711" t="s">
        <v>2883</v>
      </c>
      <c r="Q44" s="1712" t="s">
        <v>2887</v>
      </c>
      <c r="R44" s="1755" t="s">
        <v>2887</v>
      </c>
      <c r="S44" s="1755"/>
      <c r="T44" s="1755"/>
      <c r="U44" s="1755" t="s">
        <v>2888</v>
      </c>
      <c r="V44" s="1755" t="s">
        <v>2886</v>
      </c>
      <c r="W44" s="1755">
        <v>1010</v>
      </c>
      <c r="X44" s="1755">
        <v>44397</v>
      </c>
      <c r="Y44" s="1755">
        <v>44397</v>
      </c>
      <c r="Z44" s="1755">
        <v>339.5</v>
      </c>
      <c r="AA44" s="1755">
        <v>44442</v>
      </c>
      <c r="AB44" s="1755" t="s">
        <v>733</v>
      </c>
      <c r="AC44" s="1755">
        <v>0</v>
      </c>
      <c r="AD44" s="1755">
        <v>0</v>
      </c>
      <c r="AE44" s="1755">
        <v>0</v>
      </c>
      <c r="AF44" s="1755">
        <v>0</v>
      </c>
      <c r="AG44" s="1755">
        <v>0</v>
      </c>
      <c r="AH44" s="1755">
        <v>1</v>
      </c>
      <c r="AI44" s="1755">
        <v>70235</v>
      </c>
      <c r="AJ44" s="1755">
        <v>2195</v>
      </c>
      <c r="AK44" s="1755">
        <v>0</v>
      </c>
      <c r="AL44" s="1755">
        <v>0</v>
      </c>
      <c r="AM44" s="1755"/>
      <c r="AN44" s="1755"/>
      <c r="AO44" s="1756"/>
      <c r="AP44" s="1756"/>
      <c r="AQ44" s="1755" t="str">
        <f t="shared" si="0"/>
        <v>VO05855942</v>
      </c>
      <c r="AS44" s="304" t="str">
        <f t="shared" si="1"/>
        <v>wci_corp</v>
      </c>
    </row>
    <row r="45" spans="2:45">
      <c r="B45" s="1708" t="s">
        <v>1401</v>
      </c>
      <c r="C45" s="1709">
        <v>44408</v>
      </c>
      <c r="D45" s="1672">
        <v>55.6</v>
      </c>
      <c r="E45" s="1672">
        <v>0</v>
      </c>
      <c r="F45" s="1673" t="s">
        <v>729</v>
      </c>
      <c r="G45" s="1709" t="s">
        <v>2889</v>
      </c>
      <c r="H45" s="1710" t="s">
        <v>730</v>
      </c>
      <c r="I45" s="1709" t="s">
        <v>1039</v>
      </c>
      <c r="J45" s="1709" t="s">
        <v>1040</v>
      </c>
      <c r="K45" s="1709" t="s">
        <v>732</v>
      </c>
      <c r="L45" s="1711" t="s">
        <v>2825</v>
      </c>
      <c r="M45" s="1711"/>
      <c r="N45" s="1711" t="s">
        <v>2826</v>
      </c>
      <c r="O45" s="1709">
        <v>44364</v>
      </c>
      <c r="P45" s="1711" t="s">
        <v>2890</v>
      </c>
      <c r="Q45" s="1712" t="s">
        <v>2891</v>
      </c>
      <c r="R45" s="1755" t="s">
        <v>2891</v>
      </c>
      <c r="S45" s="1755"/>
      <c r="T45" s="1755"/>
      <c r="U45" s="1755" t="s">
        <v>2892</v>
      </c>
      <c r="V45" s="1755" t="s">
        <v>2893</v>
      </c>
      <c r="W45" s="1755">
        <v>1010</v>
      </c>
      <c r="X45" s="1755">
        <v>44411</v>
      </c>
      <c r="Y45" s="1755">
        <v>44411</v>
      </c>
      <c r="Z45" s="1755">
        <v>278</v>
      </c>
      <c r="AA45" s="1755">
        <v>44365</v>
      </c>
      <c r="AB45" s="1755" t="s">
        <v>733</v>
      </c>
      <c r="AC45" s="1755">
        <v>0</v>
      </c>
      <c r="AD45" s="1755">
        <v>0</v>
      </c>
      <c r="AE45" s="1755">
        <v>0</v>
      </c>
      <c r="AF45" s="1755">
        <v>0</v>
      </c>
      <c r="AG45" s="1755">
        <v>0</v>
      </c>
      <c r="AH45" s="1755">
        <v>1</v>
      </c>
      <c r="AI45" s="1755">
        <v>70235</v>
      </c>
      <c r="AJ45" s="1755">
        <v>2195</v>
      </c>
      <c r="AK45" s="1755">
        <v>0</v>
      </c>
      <c r="AL45" s="1755">
        <v>0</v>
      </c>
      <c r="AM45" s="1755"/>
      <c r="AN45" s="1755"/>
      <c r="AO45" s="1756"/>
      <c r="AP45" s="1756"/>
      <c r="AQ45" s="1755" t="str">
        <f t="shared" si="0"/>
        <v>VO05873499</v>
      </c>
      <c r="AS45" s="304" t="str">
        <f t="shared" si="1"/>
        <v>wci_corp</v>
      </c>
    </row>
    <row r="46" spans="2:45">
      <c r="B46" s="1708" t="s">
        <v>1401</v>
      </c>
      <c r="C46" s="1709">
        <v>44408</v>
      </c>
      <c r="D46" s="1672">
        <v>444</v>
      </c>
      <c r="E46" s="1672">
        <v>0</v>
      </c>
      <c r="F46" s="1673" t="s">
        <v>729</v>
      </c>
      <c r="G46" s="1709" t="s">
        <v>2889</v>
      </c>
      <c r="H46" s="1710" t="s">
        <v>730</v>
      </c>
      <c r="I46" s="1709" t="s">
        <v>1039</v>
      </c>
      <c r="J46" s="1709" t="s">
        <v>1040</v>
      </c>
      <c r="K46" s="1709" t="s">
        <v>732</v>
      </c>
      <c r="L46" s="1711" t="s">
        <v>1402</v>
      </c>
      <c r="M46" s="1711"/>
      <c r="N46" s="1711" t="s">
        <v>1403</v>
      </c>
      <c r="O46" s="1709">
        <v>44397</v>
      </c>
      <c r="P46" s="1711" t="s">
        <v>2890</v>
      </c>
      <c r="Q46" s="1712">
        <v>4276754</v>
      </c>
      <c r="R46" s="1755">
        <v>4276754</v>
      </c>
      <c r="S46" s="1755"/>
      <c r="T46" s="1755"/>
      <c r="U46" s="1755" t="s">
        <v>2894</v>
      </c>
      <c r="V46" s="1755" t="s">
        <v>2893</v>
      </c>
      <c r="W46" s="1755">
        <v>1010</v>
      </c>
      <c r="X46" s="1755">
        <v>44411</v>
      </c>
      <c r="Y46" s="1755">
        <v>44411</v>
      </c>
      <c r="Z46" s="1755">
        <v>444</v>
      </c>
      <c r="AA46" s="1755">
        <v>44462</v>
      </c>
      <c r="AB46" s="1755" t="s">
        <v>733</v>
      </c>
      <c r="AC46" s="1755">
        <v>0</v>
      </c>
      <c r="AD46" s="1755">
        <v>0</v>
      </c>
      <c r="AE46" s="1755">
        <v>0</v>
      </c>
      <c r="AF46" s="1755">
        <v>0</v>
      </c>
      <c r="AG46" s="1755">
        <v>0</v>
      </c>
      <c r="AH46" s="1755">
        <v>1</v>
      </c>
      <c r="AI46" s="1755">
        <v>70235</v>
      </c>
      <c r="AJ46" s="1755">
        <v>2195</v>
      </c>
      <c r="AK46" s="1755">
        <v>0</v>
      </c>
      <c r="AL46" s="1755">
        <v>0</v>
      </c>
      <c r="AM46" s="1755"/>
      <c r="AN46" s="1755"/>
      <c r="AO46" s="1756"/>
      <c r="AP46" s="1756"/>
      <c r="AQ46" s="1755" t="str">
        <f t="shared" si="0"/>
        <v>VO05873510</v>
      </c>
      <c r="AS46" s="304" t="str">
        <f t="shared" si="1"/>
        <v>wci_corp</v>
      </c>
    </row>
    <row r="47" spans="2:45">
      <c r="B47" s="1708" t="s">
        <v>1401</v>
      </c>
      <c r="C47" s="1709">
        <v>44439</v>
      </c>
      <c r="D47" s="1672">
        <v>824.5</v>
      </c>
      <c r="E47" s="1672">
        <v>0</v>
      </c>
      <c r="F47" s="1673" t="s">
        <v>729</v>
      </c>
      <c r="G47" s="1709" t="s">
        <v>2895</v>
      </c>
      <c r="H47" s="1710" t="s">
        <v>730</v>
      </c>
      <c r="I47" s="1709" t="s">
        <v>1039</v>
      </c>
      <c r="J47" s="1709" t="s">
        <v>1040</v>
      </c>
      <c r="K47" s="1709" t="s">
        <v>732</v>
      </c>
      <c r="L47" s="1711" t="s">
        <v>2846</v>
      </c>
      <c r="M47" s="1711"/>
      <c r="N47" s="1711" t="s">
        <v>2847</v>
      </c>
      <c r="O47" s="1709">
        <v>44408</v>
      </c>
      <c r="P47" s="1711" t="s">
        <v>2896</v>
      </c>
      <c r="Q47" s="1712" t="s">
        <v>2897</v>
      </c>
      <c r="R47" s="1755" t="s">
        <v>2897</v>
      </c>
      <c r="S47" s="1755"/>
      <c r="T47" s="1755"/>
      <c r="U47" s="1755" t="s">
        <v>2898</v>
      </c>
      <c r="V47" s="1755" t="s">
        <v>2899</v>
      </c>
      <c r="W47" s="1755">
        <v>1010</v>
      </c>
      <c r="X47" s="1755">
        <v>44439</v>
      </c>
      <c r="Y47" s="1755">
        <v>44439</v>
      </c>
      <c r="Z47" s="1755">
        <v>824.5</v>
      </c>
      <c r="AA47" s="1755">
        <v>44473</v>
      </c>
      <c r="AB47" s="1755" t="s">
        <v>733</v>
      </c>
      <c r="AC47" s="1755">
        <v>0</v>
      </c>
      <c r="AD47" s="1755">
        <v>0</v>
      </c>
      <c r="AE47" s="1755">
        <v>0</v>
      </c>
      <c r="AF47" s="1755">
        <v>0</v>
      </c>
      <c r="AG47" s="1755">
        <v>0</v>
      </c>
      <c r="AH47" s="1755">
        <v>1</v>
      </c>
      <c r="AI47" s="1755">
        <v>70235</v>
      </c>
      <c r="AJ47" s="1755">
        <v>2195</v>
      </c>
      <c r="AK47" s="1755">
        <v>0</v>
      </c>
      <c r="AL47" s="1755">
        <v>0</v>
      </c>
      <c r="AM47" s="1755"/>
      <c r="AN47" s="1755"/>
      <c r="AO47" s="1756"/>
      <c r="AP47" s="1756"/>
      <c r="AQ47" s="1755" t="str">
        <f t="shared" si="0"/>
        <v>VO05905863</v>
      </c>
      <c r="AS47" s="304" t="str">
        <f t="shared" si="1"/>
        <v>wci_corp</v>
      </c>
    </row>
    <row r="48" spans="2:45">
      <c r="B48" s="1708" t="s">
        <v>1401</v>
      </c>
      <c r="C48" s="1709">
        <v>44439</v>
      </c>
      <c r="D48" s="1672">
        <v>259</v>
      </c>
      <c r="E48" s="1672">
        <v>0</v>
      </c>
      <c r="F48" s="1673" t="s">
        <v>729</v>
      </c>
      <c r="G48" s="1709" t="s">
        <v>2895</v>
      </c>
      <c r="H48" s="1710" t="s">
        <v>730</v>
      </c>
      <c r="I48" s="1709" t="s">
        <v>1039</v>
      </c>
      <c r="J48" s="1709" t="s">
        <v>1040</v>
      </c>
      <c r="K48" s="1709" t="s">
        <v>732</v>
      </c>
      <c r="L48" s="1711" t="s">
        <v>1402</v>
      </c>
      <c r="M48" s="1711"/>
      <c r="N48" s="1711" t="s">
        <v>1403</v>
      </c>
      <c r="O48" s="1709">
        <v>44426</v>
      </c>
      <c r="P48" s="1711" t="s">
        <v>2896</v>
      </c>
      <c r="Q48" s="1712">
        <v>4282304</v>
      </c>
      <c r="R48" s="1755">
        <v>4282304</v>
      </c>
      <c r="S48" s="1755"/>
      <c r="T48" s="1755"/>
      <c r="U48" s="1755" t="s">
        <v>2900</v>
      </c>
      <c r="V48" s="1755" t="s">
        <v>2899</v>
      </c>
      <c r="W48" s="1755">
        <v>1010</v>
      </c>
      <c r="X48" s="1755">
        <v>44439</v>
      </c>
      <c r="Y48" s="1755">
        <v>44439</v>
      </c>
      <c r="Z48" s="1755">
        <v>259</v>
      </c>
      <c r="AA48" s="1755">
        <v>44491</v>
      </c>
      <c r="AB48" s="1755" t="s">
        <v>733</v>
      </c>
      <c r="AC48" s="1755">
        <v>0</v>
      </c>
      <c r="AD48" s="1755">
        <v>0</v>
      </c>
      <c r="AE48" s="1755">
        <v>0</v>
      </c>
      <c r="AF48" s="1755">
        <v>0</v>
      </c>
      <c r="AG48" s="1755">
        <v>0</v>
      </c>
      <c r="AH48" s="1755">
        <v>1</v>
      </c>
      <c r="AI48" s="1755">
        <v>70235</v>
      </c>
      <c r="AJ48" s="1755">
        <v>2195</v>
      </c>
      <c r="AK48" s="1755">
        <v>0</v>
      </c>
      <c r="AL48" s="1755">
        <v>0</v>
      </c>
      <c r="AM48" s="1755"/>
      <c r="AN48" s="1755"/>
      <c r="AO48" s="1756"/>
      <c r="AP48" s="1756"/>
      <c r="AQ48" s="1755" t="str">
        <f t="shared" si="0"/>
        <v>VO05905864</v>
      </c>
      <c r="AS48" s="304" t="str">
        <f t="shared" si="1"/>
        <v>wci_corp</v>
      </c>
    </row>
    <row r="49" spans="2:45">
      <c r="B49" s="1708" t="s">
        <v>1401</v>
      </c>
      <c r="C49" s="1709">
        <v>44469</v>
      </c>
      <c r="D49" s="1672">
        <v>1104.5999999999999</v>
      </c>
      <c r="E49" s="1672">
        <v>0</v>
      </c>
      <c r="F49" s="1673" t="s">
        <v>729</v>
      </c>
      <c r="G49" s="1709" t="s">
        <v>2901</v>
      </c>
      <c r="H49" s="1710" t="s">
        <v>730</v>
      </c>
      <c r="I49" s="1709" t="s">
        <v>1039</v>
      </c>
      <c r="J49" s="1709" t="s">
        <v>1041</v>
      </c>
      <c r="K49" s="1709" t="s">
        <v>732</v>
      </c>
      <c r="L49" s="1711" t="s">
        <v>2825</v>
      </c>
      <c r="M49" s="1711"/>
      <c r="N49" s="1711" t="s">
        <v>2826</v>
      </c>
      <c r="O49" s="1709">
        <v>44403</v>
      </c>
      <c r="P49" s="1711" t="s">
        <v>2902</v>
      </c>
      <c r="Q49" s="1712" t="s">
        <v>2903</v>
      </c>
      <c r="R49" s="1755" t="s">
        <v>2903</v>
      </c>
      <c r="S49" s="1755"/>
      <c r="T49" s="1755"/>
      <c r="U49" s="1755" t="s">
        <v>2904</v>
      </c>
      <c r="V49" s="1755" t="s">
        <v>2905</v>
      </c>
      <c r="W49" s="1755">
        <v>1010</v>
      </c>
      <c r="X49" s="1755">
        <v>44446</v>
      </c>
      <c r="Y49" s="1755">
        <v>44446</v>
      </c>
      <c r="Z49" s="1755">
        <v>5523</v>
      </c>
      <c r="AA49" s="1755">
        <v>44404</v>
      </c>
      <c r="AB49" s="1755" t="s">
        <v>733</v>
      </c>
      <c r="AC49" s="1755">
        <v>0</v>
      </c>
      <c r="AD49" s="1755">
        <v>0</v>
      </c>
      <c r="AE49" s="1755">
        <v>0</v>
      </c>
      <c r="AF49" s="1755">
        <v>0</v>
      </c>
      <c r="AG49" s="1755">
        <v>0</v>
      </c>
      <c r="AH49" s="1755">
        <v>1</v>
      </c>
      <c r="AI49" s="1755">
        <v>70235</v>
      </c>
      <c r="AJ49" s="1755">
        <v>2195</v>
      </c>
      <c r="AK49" s="1755">
        <v>0</v>
      </c>
      <c r="AL49" s="1755">
        <v>0</v>
      </c>
      <c r="AM49" s="1755"/>
      <c r="AN49" s="1755"/>
      <c r="AO49" s="1756"/>
      <c r="AP49" s="1756"/>
      <c r="AQ49" s="1755" t="str">
        <f t="shared" si="0"/>
        <v>VO05911050</v>
      </c>
      <c r="AS49" s="304" t="str">
        <f t="shared" si="1"/>
        <v>wci_corp</v>
      </c>
    </row>
    <row r="50" spans="2:45">
      <c r="B50" s="1708" t="s">
        <v>1401</v>
      </c>
      <c r="C50" s="1709">
        <v>44469</v>
      </c>
      <c r="D50" s="1672">
        <v>1786.87</v>
      </c>
      <c r="E50" s="1672">
        <v>0</v>
      </c>
      <c r="F50" s="1673" t="s">
        <v>729</v>
      </c>
      <c r="G50" s="1709" t="s">
        <v>2906</v>
      </c>
      <c r="H50" s="1710" t="s">
        <v>730</v>
      </c>
      <c r="I50" s="1709" t="s">
        <v>1039</v>
      </c>
      <c r="J50" s="1709" t="s">
        <v>1040</v>
      </c>
      <c r="K50" s="1709" t="s">
        <v>732</v>
      </c>
      <c r="L50" s="1711" t="s">
        <v>2825</v>
      </c>
      <c r="M50" s="1711"/>
      <c r="N50" s="1711" t="s">
        <v>2826</v>
      </c>
      <c r="O50" s="1709">
        <v>44426</v>
      </c>
      <c r="P50" s="1711" t="s">
        <v>2907</v>
      </c>
      <c r="Q50" s="1712" t="s">
        <v>2908</v>
      </c>
      <c r="R50" s="1755" t="s">
        <v>2908</v>
      </c>
      <c r="S50" s="1755"/>
      <c r="T50" s="1755"/>
      <c r="U50" s="1755" t="s">
        <v>2909</v>
      </c>
      <c r="V50" s="1755" t="s">
        <v>2910</v>
      </c>
      <c r="W50" s="1755">
        <v>1010</v>
      </c>
      <c r="X50" s="1755">
        <v>44453</v>
      </c>
      <c r="Y50" s="1755">
        <v>44454</v>
      </c>
      <c r="Z50" s="1755">
        <v>8934.31</v>
      </c>
      <c r="AA50" s="1755">
        <v>44427</v>
      </c>
      <c r="AB50" s="1755" t="s">
        <v>733</v>
      </c>
      <c r="AC50" s="1755">
        <v>0</v>
      </c>
      <c r="AD50" s="1755">
        <v>0</v>
      </c>
      <c r="AE50" s="1755">
        <v>0</v>
      </c>
      <c r="AF50" s="1755">
        <v>0</v>
      </c>
      <c r="AG50" s="1755">
        <v>0</v>
      </c>
      <c r="AH50" s="1755">
        <v>1</v>
      </c>
      <c r="AI50" s="1755">
        <v>70235</v>
      </c>
      <c r="AJ50" s="1755">
        <v>2195</v>
      </c>
      <c r="AK50" s="1755">
        <v>0</v>
      </c>
      <c r="AL50" s="1755">
        <v>0</v>
      </c>
      <c r="AM50" s="1755"/>
      <c r="AN50" s="1755"/>
      <c r="AO50" s="1756"/>
      <c r="AP50" s="1756"/>
      <c r="AQ50" s="1755" t="str">
        <f t="shared" si="0"/>
        <v>VO05920017</v>
      </c>
      <c r="AS50" s="304" t="str">
        <f t="shared" si="1"/>
        <v>wci_corp</v>
      </c>
    </row>
    <row r="51" spans="2:45">
      <c r="B51" s="1708" t="s">
        <v>1401</v>
      </c>
      <c r="C51" s="1709">
        <v>44469</v>
      </c>
      <c r="D51" s="1672">
        <v>919.46</v>
      </c>
      <c r="E51" s="1672">
        <v>0</v>
      </c>
      <c r="F51" s="1673" t="s">
        <v>729</v>
      </c>
      <c r="G51" s="1709" t="s">
        <v>2906</v>
      </c>
      <c r="H51" s="1710" t="s">
        <v>730</v>
      </c>
      <c r="I51" s="1709" t="s">
        <v>1039</v>
      </c>
      <c r="J51" s="1709" t="s">
        <v>1040</v>
      </c>
      <c r="K51" s="1709" t="s">
        <v>732</v>
      </c>
      <c r="L51" s="1711" t="s">
        <v>1409</v>
      </c>
      <c r="M51" s="1711"/>
      <c r="N51" s="1711" t="s">
        <v>1410</v>
      </c>
      <c r="O51" s="1709">
        <v>44421</v>
      </c>
      <c r="P51" s="1711" t="s">
        <v>2907</v>
      </c>
      <c r="Q51" s="1712">
        <v>624742</v>
      </c>
      <c r="R51" s="1755">
        <v>624742</v>
      </c>
      <c r="S51" s="1755"/>
      <c r="T51" s="1755"/>
      <c r="U51" s="1755" t="s">
        <v>2911</v>
      </c>
      <c r="V51" s="1755" t="s">
        <v>2910</v>
      </c>
      <c r="W51" s="1755">
        <v>1010</v>
      </c>
      <c r="X51" s="1755">
        <v>44453</v>
      </c>
      <c r="Y51" s="1755">
        <v>44454</v>
      </c>
      <c r="Z51" s="1755">
        <v>919.46</v>
      </c>
      <c r="AA51" s="1755">
        <v>44486</v>
      </c>
      <c r="AB51" s="1755" t="s">
        <v>733</v>
      </c>
      <c r="AC51" s="1755">
        <v>0</v>
      </c>
      <c r="AD51" s="1755">
        <v>0</v>
      </c>
      <c r="AE51" s="1755">
        <v>0</v>
      </c>
      <c r="AF51" s="1755">
        <v>0</v>
      </c>
      <c r="AG51" s="1755">
        <v>0</v>
      </c>
      <c r="AH51" s="1755">
        <v>1</v>
      </c>
      <c r="AI51" s="1755">
        <v>70235</v>
      </c>
      <c r="AJ51" s="1755">
        <v>2195</v>
      </c>
      <c r="AK51" s="1755">
        <v>0</v>
      </c>
      <c r="AL51" s="1755">
        <v>0</v>
      </c>
      <c r="AM51" s="1755"/>
      <c r="AN51" s="1755"/>
      <c r="AO51" s="1756"/>
      <c r="AP51" s="1756"/>
      <c r="AQ51" s="1755" t="str">
        <f t="shared" si="0"/>
        <v>VO05920052</v>
      </c>
      <c r="AS51" s="304" t="str">
        <f t="shared" si="1"/>
        <v>wci_corp</v>
      </c>
    </row>
    <row r="52" spans="2:45">
      <c r="B52" s="1708" t="s">
        <v>1401</v>
      </c>
      <c r="C52" s="1709">
        <v>44469</v>
      </c>
      <c r="D52" s="1672">
        <v>259</v>
      </c>
      <c r="E52" s="1672">
        <v>0</v>
      </c>
      <c r="F52" s="1673" t="s">
        <v>729</v>
      </c>
      <c r="G52" s="1709" t="s">
        <v>2912</v>
      </c>
      <c r="H52" s="1710" t="s">
        <v>730</v>
      </c>
      <c r="I52" s="1709" t="s">
        <v>1039</v>
      </c>
      <c r="J52" s="1709" t="s">
        <v>1040</v>
      </c>
      <c r="K52" s="1709" t="s">
        <v>732</v>
      </c>
      <c r="L52" s="1711" t="s">
        <v>1402</v>
      </c>
      <c r="M52" s="1711"/>
      <c r="N52" s="1711" t="s">
        <v>1403</v>
      </c>
      <c r="O52" s="1709">
        <v>44459</v>
      </c>
      <c r="P52" s="1711" t="s">
        <v>2913</v>
      </c>
      <c r="Q52" s="1712">
        <v>4288313</v>
      </c>
      <c r="R52" s="1755">
        <v>4288313</v>
      </c>
      <c r="S52" s="1755"/>
      <c r="T52" s="1755"/>
      <c r="U52" s="1755" t="s">
        <v>2914</v>
      </c>
      <c r="V52" s="1755" t="s">
        <v>2915</v>
      </c>
      <c r="W52" s="1755">
        <v>1010</v>
      </c>
      <c r="X52" s="1755">
        <v>44470</v>
      </c>
      <c r="Y52" s="1755">
        <v>44470</v>
      </c>
      <c r="Z52" s="1755">
        <v>259</v>
      </c>
      <c r="AA52" s="1755">
        <v>44524</v>
      </c>
      <c r="AB52" s="1755" t="s">
        <v>733</v>
      </c>
      <c r="AC52" s="1755">
        <v>0</v>
      </c>
      <c r="AD52" s="1755">
        <v>0</v>
      </c>
      <c r="AE52" s="1755">
        <v>0</v>
      </c>
      <c r="AF52" s="1755">
        <v>0</v>
      </c>
      <c r="AG52" s="1755">
        <v>0</v>
      </c>
      <c r="AH52" s="1755">
        <v>1</v>
      </c>
      <c r="AI52" s="1755">
        <v>70235</v>
      </c>
      <c r="AJ52" s="1755">
        <v>2195</v>
      </c>
      <c r="AK52" s="1755">
        <v>0</v>
      </c>
      <c r="AL52" s="1755">
        <v>0</v>
      </c>
      <c r="AM52" s="1755"/>
      <c r="AN52" s="1755"/>
      <c r="AO52" s="1756"/>
      <c r="AP52" s="1756"/>
      <c r="AQ52" s="1755" t="str">
        <f t="shared" si="0"/>
        <v>VO05945267</v>
      </c>
      <c r="AS52" s="304" t="str">
        <f t="shared" si="1"/>
        <v>wci_corp</v>
      </c>
    </row>
    <row r="53" spans="2:45">
      <c r="B53" s="1708" t="s">
        <v>1401</v>
      </c>
      <c r="C53" s="1709">
        <v>44469</v>
      </c>
      <c r="D53" s="1672">
        <v>1697</v>
      </c>
      <c r="E53" s="1672">
        <v>0</v>
      </c>
      <c r="F53" s="1673" t="s">
        <v>729</v>
      </c>
      <c r="G53" s="1709" t="s">
        <v>2916</v>
      </c>
      <c r="H53" s="1710" t="s">
        <v>730</v>
      </c>
      <c r="I53" s="1709" t="s">
        <v>1408</v>
      </c>
      <c r="J53" s="1709" t="s">
        <v>736</v>
      </c>
      <c r="K53" s="1709" t="s">
        <v>732</v>
      </c>
      <c r="L53" s="1711"/>
      <c r="M53" s="1711"/>
      <c r="N53" s="1711" t="s">
        <v>1405</v>
      </c>
      <c r="O53" s="1709"/>
      <c r="P53" s="1711"/>
      <c r="Q53" s="1712"/>
      <c r="R53" s="1755"/>
      <c r="S53" s="1755"/>
      <c r="T53" s="1755"/>
      <c r="U53" s="1755" t="s">
        <v>2917</v>
      </c>
      <c r="V53" s="1755" t="s">
        <v>2917</v>
      </c>
      <c r="W53" s="1755"/>
      <c r="X53" s="1755">
        <v>44476</v>
      </c>
      <c r="Y53" s="1755">
        <v>44476</v>
      </c>
      <c r="Z53" s="1755"/>
      <c r="AA53" s="1755"/>
      <c r="AB53" s="1755" t="s">
        <v>733</v>
      </c>
      <c r="AC53" s="1755">
        <v>0</v>
      </c>
      <c r="AD53" s="1755">
        <v>0</v>
      </c>
      <c r="AE53" s="1755">
        <v>0</v>
      </c>
      <c r="AF53" s="1755">
        <v>0</v>
      </c>
      <c r="AG53" s="1755">
        <v>0</v>
      </c>
      <c r="AH53" s="1755">
        <v>1</v>
      </c>
      <c r="AI53" s="1755">
        <v>70235</v>
      </c>
      <c r="AJ53" s="1755">
        <v>2195</v>
      </c>
      <c r="AK53" s="1755">
        <v>0</v>
      </c>
      <c r="AL53" s="1755">
        <v>0</v>
      </c>
      <c r="AM53" s="1755"/>
      <c r="AN53" s="1755"/>
      <c r="AO53" s="1756"/>
      <c r="AP53" s="1756"/>
      <c r="AQ53" s="1755" t="str">
        <f t="shared" si="0"/>
        <v/>
      </c>
      <c r="AS53" s="304" t="str">
        <f t="shared" si="1"/>
        <v>wci_corp</v>
      </c>
    </row>
    <row r="54" spans="2:45">
      <c r="B54" s="1708" t="s">
        <v>1401</v>
      </c>
      <c r="C54" s="1709">
        <v>44500</v>
      </c>
      <c r="D54" s="1672">
        <v>142.5</v>
      </c>
      <c r="E54" s="1672">
        <v>0</v>
      </c>
      <c r="F54" s="1673" t="s">
        <v>729</v>
      </c>
      <c r="G54" s="1709" t="s">
        <v>2918</v>
      </c>
      <c r="H54" s="1710" t="s">
        <v>730</v>
      </c>
      <c r="I54" s="1709" t="s">
        <v>1039</v>
      </c>
      <c r="J54" s="1709" t="s">
        <v>1040</v>
      </c>
      <c r="K54" s="1709" t="s">
        <v>732</v>
      </c>
      <c r="L54" s="1711" t="s">
        <v>1409</v>
      </c>
      <c r="M54" s="1711"/>
      <c r="N54" s="1711" t="s">
        <v>1410</v>
      </c>
      <c r="O54" s="1709">
        <v>44454</v>
      </c>
      <c r="P54" s="1711" t="s">
        <v>2919</v>
      </c>
      <c r="Q54" s="1712">
        <v>625934</v>
      </c>
      <c r="R54" s="1755">
        <v>625934</v>
      </c>
      <c r="S54" s="1755"/>
      <c r="T54" s="1755"/>
      <c r="U54" s="1755" t="s">
        <v>2920</v>
      </c>
      <c r="V54" s="1755" t="s">
        <v>2921</v>
      </c>
      <c r="W54" s="1755">
        <v>1010</v>
      </c>
      <c r="X54" s="1755">
        <v>44474</v>
      </c>
      <c r="Y54" s="1755">
        <v>44474</v>
      </c>
      <c r="Z54" s="1755">
        <v>142.5</v>
      </c>
      <c r="AA54" s="1755">
        <v>44519</v>
      </c>
      <c r="AB54" s="1755" t="s">
        <v>733</v>
      </c>
      <c r="AC54" s="1755">
        <v>0</v>
      </c>
      <c r="AD54" s="1755">
        <v>0</v>
      </c>
      <c r="AE54" s="1755">
        <v>0</v>
      </c>
      <c r="AF54" s="1755">
        <v>0</v>
      </c>
      <c r="AG54" s="1755">
        <v>0</v>
      </c>
      <c r="AH54" s="1755">
        <v>1</v>
      </c>
      <c r="AI54" s="1755">
        <v>70235</v>
      </c>
      <c r="AJ54" s="1755">
        <v>2195</v>
      </c>
      <c r="AK54" s="1755">
        <v>0</v>
      </c>
      <c r="AL54" s="1755">
        <v>0</v>
      </c>
      <c r="AM54" s="1755"/>
      <c r="AN54" s="1755"/>
      <c r="AO54" s="1756"/>
      <c r="AP54" s="1756"/>
      <c r="AQ54" s="1755" t="str">
        <f t="shared" si="0"/>
        <v>VO05947901</v>
      </c>
      <c r="AS54" s="304" t="str">
        <f t="shared" si="1"/>
        <v>wci_corp</v>
      </c>
    </row>
    <row r="55" spans="2:45">
      <c r="B55" s="1708" t="s">
        <v>1401</v>
      </c>
      <c r="C55" s="1709">
        <v>44500</v>
      </c>
      <c r="D55" s="1672">
        <v>-1697</v>
      </c>
      <c r="E55" s="1672">
        <v>0</v>
      </c>
      <c r="F55" s="1673" t="s">
        <v>729</v>
      </c>
      <c r="G55" s="1709" t="s">
        <v>2922</v>
      </c>
      <c r="H55" s="1710" t="s">
        <v>730</v>
      </c>
      <c r="I55" s="1709" t="s">
        <v>1408</v>
      </c>
      <c r="J55" s="1709" t="s">
        <v>2135</v>
      </c>
      <c r="K55" s="1709" t="s">
        <v>732</v>
      </c>
      <c r="L55" s="1711"/>
      <c r="M55" s="1711"/>
      <c r="N55" s="1711" t="s">
        <v>1405</v>
      </c>
      <c r="O55" s="1709"/>
      <c r="P55" s="1711"/>
      <c r="Q55" s="1712"/>
      <c r="R55" s="1755"/>
      <c r="S55" s="1755"/>
      <c r="T55" s="1755"/>
      <c r="U55" s="1755" t="s">
        <v>2917</v>
      </c>
      <c r="V55" s="1755" t="s">
        <v>2923</v>
      </c>
      <c r="W55" s="1755"/>
      <c r="X55" s="1755">
        <v>44476</v>
      </c>
      <c r="Y55" s="1755">
        <v>44476</v>
      </c>
      <c r="Z55" s="1755"/>
      <c r="AA55" s="1755"/>
      <c r="AB55" s="1755" t="s">
        <v>733</v>
      </c>
      <c r="AC55" s="1755">
        <v>0</v>
      </c>
      <c r="AD55" s="1755">
        <v>0</v>
      </c>
      <c r="AE55" s="1755">
        <v>0</v>
      </c>
      <c r="AF55" s="1755">
        <v>0</v>
      </c>
      <c r="AG55" s="1755">
        <v>5</v>
      </c>
      <c r="AH55" s="1755">
        <v>1</v>
      </c>
      <c r="AI55" s="1755">
        <v>70235</v>
      </c>
      <c r="AJ55" s="1755">
        <v>2195</v>
      </c>
      <c r="AK55" s="1755">
        <v>0</v>
      </c>
      <c r="AL55" s="1755">
        <v>0</v>
      </c>
      <c r="AM55" s="1755"/>
      <c r="AN55" s="1755"/>
      <c r="AO55" s="1756"/>
      <c r="AP55" s="1756"/>
      <c r="AQ55" s="1755" t="str">
        <f t="shared" si="0"/>
        <v/>
      </c>
      <c r="AS55" s="304" t="str">
        <f t="shared" si="1"/>
        <v>wci_corp</v>
      </c>
    </row>
    <row r="56" spans="2:45">
      <c r="B56" s="1708" t="s">
        <v>1401</v>
      </c>
      <c r="C56" s="1709">
        <v>44500</v>
      </c>
      <c r="D56" s="1672">
        <v>1697</v>
      </c>
      <c r="E56" s="1672">
        <v>0</v>
      </c>
      <c r="F56" s="1673" t="s">
        <v>729</v>
      </c>
      <c r="G56" s="1709" t="s">
        <v>2924</v>
      </c>
      <c r="H56" s="1710" t="s">
        <v>730</v>
      </c>
      <c r="I56" s="1709" t="s">
        <v>1039</v>
      </c>
      <c r="J56" s="1709" t="s">
        <v>1038</v>
      </c>
      <c r="K56" s="1709" t="s">
        <v>732</v>
      </c>
      <c r="L56" s="1711" t="s">
        <v>2825</v>
      </c>
      <c r="M56" s="1711"/>
      <c r="N56" s="1711" t="s">
        <v>2826</v>
      </c>
      <c r="O56" s="1709">
        <v>44457</v>
      </c>
      <c r="P56" s="1711" t="s">
        <v>2925</v>
      </c>
      <c r="Q56" s="1712" t="s">
        <v>2926</v>
      </c>
      <c r="R56" s="1755" t="s">
        <v>2926</v>
      </c>
      <c r="S56" s="1755"/>
      <c r="T56" s="1755"/>
      <c r="U56" s="1755" t="s">
        <v>2927</v>
      </c>
      <c r="V56" s="1755" t="s">
        <v>2928</v>
      </c>
      <c r="W56" s="1755">
        <v>1010</v>
      </c>
      <c r="X56" s="1755">
        <v>44488</v>
      </c>
      <c r="Y56" s="1755">
        <v>44488</v>
      </c>
      <c r="Z56" s="1755">
        <v>8485</v>
      </c>
      <c r="AA56" s="1755">
        <v>44458</v>
      </c>
      <c r="AB56" s="1755" t="s">
        <v>733</v>
      </c>
      <c r="AC56" s="1755">
        <v>0</v>
      </c>
      <c r="AD56" s="1755">
        <v>0</v>
      </c>
      <c r="AE56" s="1755">
        <v>0</v>
      </c>
      <c r="AF56" s="1755">
        <v>0</v>
      </c>
      <c r="AG56" s="1755">
        <v>0</v>
      </c>
      <c r="AH56" s="1755">
        <v>1</v>
      </c>
      <c r="AI56" s="1755">
        <v>70235</v>
      </c>
      <c r="AJ56" s="1755">
        <v>2195</v>
      </c>
      <c r="AK56" s="1755">
        <v>0</v>
      </c>
      <c r="AL56" s="1755">
        <v>0</v>
      </c>
      <c r="AM56" s="1755"/>
      <c r="AN56" s="1755"/>
      <c r="AO56" s="1756"/>
      <c r="AP56" s="1756"/>
      <c r="AQ56" s="1755" t="str">
        <f t="shared" si="0"/>
        <v>VO05963742</v>
      </c>
      <c r="AS56" s="304" t="str">
        <f t="shared" si="1"/>
        <v>wci_corp</v>
      </c>
    </row>
    <row r="57" spans="2:45">
      <c r="B57" s="1708" t="s">
        <v>1401</v>
      </c>
      <c r="C57" s="1709">
        <v>44561</v>
      </c>
      <c r="D57" s="1672">
        <v>1636.6</v>
      </c>
      <c r="E57" s="1672">
        <v>0</v>
      </c>
      <c r="F57" s="1673" t="s">
        <v>729</v>
      </c>
      <c r="G57" s="1709" t="s">
        <v>2929</v>
      </c>
      <c r="H57" s="1710" t="s">
        <v>730</v>
      </c>
      <c r="I57" s="1709" t="s">
        <v>1039</v>
      </c>
      <c r="J57" s="1709" t="s">
        <v>1040</v>
      </c>
      <c r="K57" s="1709" t="s">
        <v>732</v>
      </c>
      <c r="L57" s="1711" t="s">
        <v>2825</v>
      </c>
      <c r="M57" s="1711"/>
      <c r="N57" s="1711" t="s">
        <v>2826</v>
      </c>
      <c r="O57" s="1709">
        <v>44487</v>
      </c>
      <c r="P57" s="1711" t="s">
        <v>2930</v>
      </c>
      <c r="Q57" s="1712" t="s">
        <v>2931</v>
      </c>
      <c r="R57" s="1755" t="s">
        <v>2931</v>
      </c>
      <c r="S57" s="1755"/>
      <c r="T57" s="1755"/>
      <c r="U57" s="1755" t="s">
        <v>2932</v>
      </c>
      <c r="V57" s="1755" t="s">
        <v>2933</v>
      </c>
      <c r="W57" s="1755">
        <v>1010</v>
      </c>
      <c r="X57" s="1755">
        <v>44551</v>
      </c>
      <c r="Y57" s="1755">
        <v>44557</v>
      </c>
      <c r="Z57" s="1755">
        <v>8183</v>
      </c>
      <c r="AA57" s="1755">
        <v>44488</v>
      </c>
      <c r="AB57" s="1755" t="s">
        <v>733</v>
      </c>
      <c r="AC57" s="1755">
        <v>0</v>
      </c>
      <c r="AD57" s="1755">
        <v>0</v>
      </c>
      <c r="AE57" s="1755">
        <v>0</v>
      </c>
      <c r="AF57" s="1755">
        <v>0</v>
      </c>
      <c r="AG57" s="1755">
        <v>0</v>
      </c>
      <c r="AH57" s="1755">
        <v>1</v>
      </c>
      <c r="AI57" s="1755">
        <v>70235</v>
      </c>
      <c r="AJ57" s="1755">
        <v>2195</v>
      </c>
      <c r="AK57" s="1755">
        <v>0</v>
      </c>
      <c r="AL57" s="1755">
        <v>0</v>
      </c>
      <c r="AM57" s="1755"/>
      <c r="AN57" s="1755"/>
      <c r="AO57" s="1756"/>
      <c r="AP57" s="1756"/>
      <c r="AQ57" s="1755" t="str">
        <f t="shared" si="0"/>
        <v>VO06042389</v>
      </c>
      <c r="AS57" s="304" t="str">
        <f t="shared" si="1"/>
        <v>wci_corp</v>
      </c>
    </row>
    <row r="58" spans="2:45">
      <c r="B58" s="1708" t="s">
        <v>1401</v>
      </c>
      <c r="C58" s="1709">
        <v>44561</v>
      </c>
      <c r="D58" s="1672">
        <v>1734.2</v>
      </c>
      <c r="E58" s="1672">
        <v>0</v>
      </c>
      <c r="F58" s="1673" t="s">
        <v>729</v>
      </c>
      <c r="G58" s="1709" t="s">
        <v>2934</v>
      </c>
      <c r="H58" s="1710" t="s">
        <v>730</v>
      </c>
      <c r="I58" s="1709" t="s">
        <v>1039</v>
      </c>
      <c r="J58" s="1709" t="s">
        <v>1038</v>
      </c>
      <c r="K58" s="1709" t="s">
        <v>732</v>
      </c>
      <c r="L58" s="1711" t="s">
        <v>2825</v>
      </c>
      <c r="M58" s="1711"/>
      <c r="N58" s="1711" t="s">
        <v>2826</v>
      </c>
      <c r="O58" s="1709">
        <v>44515</v>
      </c>
      <c r="P58" s="1711" t="s">
        <v>2935</v>
      </c>
      <c r="Q58" s="1712" t="s">
        <v>2936</v>
      </c>
      <c r="R58" s="1755" t="s">
        <v>2936</v>
      </c>
      <c r="S58" s="1755"/>
      <c r="T58" s="1755"/>
      <c r="U58" s="1755" t="s">
        <v>2937</v>
      </c>
      <c r="V58" s="1755" t="s">
        <v>2938</v>
      </c>
      <c r="W58" s="1755">
        <v>1010</v>
      </c>
      <c r="X58" s="1755">
        <v>44558</v>
      </c>
      <c r="Y58" s="1755">
        <v>44562</v>
      </c>
      <c r="Z58" s="1755">
        <v>8671</v>
      </c>
      <c r="AA58" s="1755">
        <v>44516</v>
      </c>
      <c r="AB58" s="1755" t="s">
        <v>733</v>
      </c>
      <c r="AC58" s="1755">
        <v>0</v>
      </c>
      <c r="AD58" s="1755">
        <v>0</v>
      </c>
      <c r="AE58" s="1755">
        <v>0</v>
      </c>
      <c r="AF58" s="1755">
        <v>0</v>
      </c>
      <c r="AG58" s="1755">
        <v>0</v>
      </c>
      <c r="AH58" s="1755">
        <v>1</v>
      </c>
      <c r="AI58" s="1755">
        <v>70235</v>
      </c>
      <c r="AJ58" s="1755">
        <v>2195</v>
      </c>
      <c r="AK58" s="1755">
        <v>0</v>
      </c>
      <c r="AL58" s="1755">
        <v>0</v>
      </c>
      <c r="AM58" s="1755"/>
      <c r="AN58" s="1755"/>
      <c r="AO58" s="1756"/>
      <c r="AP58" s="1756"/>
      <c r="AQ58" s="1755" t="str">
        <f t="shared" si="0"/>
        <v>VO06050210</v>
      </c>
      <c r="AS58" s="304" t="str">
        <f t="shared" si="1"/>
        <v>wci_corp</v>
      </c>
    </row>
    <row r="59" spans="2:45">
      <c r="B59" s="1708" t="s">
        <v>1401</v>
      </c>
      <c r="C59" s="1709">
        <v>44561</v>
      </c>
      <c r="D59" s="1672">
        <v>379.05</v>
      </c>
      <c r="E59" s="1672">
        <v>0</v>
      </c>
      <c r="F59" s="1673" t="s">
        <v>729</v>
      </c>
      <c r="G59" s="1709" t="s">
        <v>2939</v>
      </c>
      <c r="H59" s="1710" t="s">
        <v>730</v>
      </c>
      <c r="I59" s="1709" t="s">
        <v>1404</v>
      </c>
      <c r="J59" s="1709" t="s">
        <v>736</v>
      </c>
      <c r="K59" s="1709" t="s">
        <v>732</v>
      </c>
      <c r="L59" s="1711"/>
      <c r="M59" s="1711"/>
      <c r="N59" s="1711" t="s">
        <v>1405</v>
      </c>
      <c r="O59" s="1709"/>
      <c r="P59" s="1711"/>
      <c r="Q59" s="1712"/>
      <c r="R59" s="1755"/>
      <c r="S59" s="1755"/>
      <c r="T59" s="1755"/>
      <c r="U59" s="1755" t="s">
        <v>2940</v>
      </c>
      <c r="V59" s="1755" t="s">
        <v>2940</v>
      </c>
      <c r="W59" s="1755"/>
      <c r="X59" s="1755">
        <v>44568</v>
      </c>
      <c r="Y59" s="1755">
        <v>44568</v>
      </c>
      <c r="Z59" s="1755"/>
      <c r="AA59" s="1755"/>
      <c r="AB59" s="1755" t="s">
        <v>733</v>
      </c>
      <c r="AC59" s="1755">
        <v>0</v>
      </c>
      <c r="AD59" s="1755">
        <v>0</v>
      </c>
      <c r="AE59" s="1755">
        <v>0</v>
      </c>
      <c r="AF59" s="1755">
        <v>0</v>
      </c>
      <c r="AG59" s="1755">
        <v>0</v>
      </c>
      <c r="AH59" s="1755">
        <v>1</v>
      </c>
      <c r="AI59" s="1755">
        <v>70235</v>
      </c>
      <c r="AJ59" s="1755">
        <v>2195</v>
      </c>
      <c r="AK59" s="1755">
        <v>0</v>
      </c>
      <c r="AL59" s="1755">
        <v>0</v>
      </c>
      <c r="AM59" s="1755"/>
      <c r="AN59" s="1755"/>
      <c r="AO59" s="1756"/>
      <c r="AP59" s="1756"/>
      <c r="AQ59" s="1755" t="str">
        <f t="shared" si="0"/>
        <v/>
      </c>
      <c r="AS59" s="304" t="str">
        <f t="shared" si="1"/>
        <v>wci_corp</v>
      </c>
    </row>
    <row r="60" spans="2:45">
      <c r="B60" s="1708" t="s">
        <v>1401</v>
      </c>
      <c r="C60" s="1709">
        <v>44592</v>
      </c>
      <c r="D60" s="1672">
        <v>-379.05</v>
      </c>
      <c r="E60" s="1672">
        <v>0</v>
      </c>
      <c r="F60" s="1673" t="s">
        <v>729</v>
      </c>
      <c r="G60" s="1709" t="s">
        <v>2941</v>
      </c>
      <c r="H60" s="1710" t="s">
        <v>730</v>
      </c>
      <c r="I60" s="1709" t="s">
        <v>1404</v>
      </c>
      <c r="J60" s="1709" t="s">
        <v>736</v>
      </c>
      <c r="K60" s="1709" t="s">
        <v>732</v>
      </c>
      <c r="L60" s="1711"/>
      <c r="M60" s="1711"/>
      <c r="N60" s="1711" t="s">
        <v>1405</v>
      </c>
      <c r="O60" s="1709"/>
      <c r="P60" s="1711"/>
      <c r="Q60" s="1712"/>
      <c r="R60" s="1755"/>
      <c r="S60" s="1755"/>
      <c r="T60" s="1755"/>
      <c r="U60" s="1755" t="s">
        <v>2940</v>
      </c>
      <c r="V60" s="1755" t="s">
        <v>2942</v>
      </c>
      <c r="W60" s="1755"/>
      <c r="X60" s="1755">
        <v>44568</v>
      </c>
      <c r="Y60" s="1755">
        <v>44568</v>
      </c>
      <c r="Z60" s="1755"/>
      <c r="AA60" s="1755"/>
      <c r="AB60" s="1755" t="s">
        <v>733</v>
      </c>
      <c r="AC60" s="1755">
        <v>0</v>
      </c>
      <c r="AD60" s="1755">
        <v>0</v>
      </c>
      <c r="AE60" s="1755">
        <v>0</v>
      </c>
      <c r="AF60" s="1755">
        <v>0</v>
      </c>
      <c r="AG60" s="1755">
        <v>5</v>
      </c>
      <c r="AH60" s="1755">
        <v>1</v>
      </c>
      <c r="AI60" s="1755">
        <v>70235</v>
      </c>
      <c r="AJ60" s="1755">
        <v>2195</v>
      </c>
      <c r="AK60" s="1755">
        <v>0</v>
      </c>
      <c r="AL60" s="1755">
        <v>0</v>
      </c>
      <c r="AM60" s="1755"/>
      <c r="AN60" s="1755"/>
      <c r="AO60" s="1756"/>
      <c r="AP60" s="1756"/>
      <c r="AQ60" s="1755" t="str">
        <f t="shared" si="0"/>
        <v/>
      </c>
      <c r="AS60" s="304" t="str">
        <f t="shared" si="1"/>
        <v>wci_corp</v>
      </c>
    </row>
    <row r="61" spans="2:45">
      <c r="B61" s="1708" t="s">
        <v>1401</v>
      </c>
      <c r="C61" s="1709">
        <v>44592</v>
      </c>
      <c r="D61" s="1672">
        <v>1730</v>
      </c>
      <c r="E61" s="1672">
        <v>0</v>
      </c>
      <c r="F61" s="1673" t="s">
        <v>729</v>
      </c>
      <c r="G61" s="1709" t="s">
        <v>2943</v>
      </c>
      <c r="H61" s="1710" t="s">
        <v>730</v>
      </c>
      <c r="I61" s="1709" t="s">
        <v>1039</v>
      </c>
      <c r="J61" s="1709" t="s">
        <v>1040</v>
      </c>
      <c r="K61" s="1709" t="s">
        <v>732</v>
      </c>
      <c r="L61" s="1711" t="s">
        <v>2825</v>
      </c>
      <c r="M61" s="1711"/>
      <c r="N61" s="1711" t="s">
        <v>2826</v>
      </c>
      <c r="O61" s="1709">
        <v>44547</v>
      </c>
      <c r="P61" s="1711" t="s">
        <v>2944</v>
      </c>
      <c r="Q61" s="1712" t="s">
        <v>2945</v>
      </c>
      <c r="R61" s="1755" t="s">
        <v>2945</v>
      </c>
      <c r="S61" s="1755"/>
      <c r="T61" s="1755"/>
      <c r="U61" s="1755" t="s">
        <v>2946</v>
      </c>
      <c r="V61" s="1755" t="s">
        <v>2947</v>
      </c>
      <c r="W61" s="1755">
        <v>1010</v>
      </c>
      <c r="X61" s="1755">
        <v>44572</v>
      </c>
      <c r="Y61" s="1755">
        <v>44574</v>
      </c>
      <c r="Z61" s="1755">
        <v>8650</v>
      </c>
      <c r="AA61" s="1755">
        <v>44548</v>
      </c>
      <c r="AB61" s="1755" t="s">
        <v>733</v>
      </c>
      <c r="AC61" s="1755">
        <v>0</v>
      </c>
      <c r="AD61" s="1755">
        <v>0</v>
      </c>
      <c r="AE61" s="1755">
        <v>0</v>
      </c>
      <c r="AF61" s="1755">
        <v>0</v>
      </c>
      <c r="AG61" s="1755">
        <v>0</v>
      </c>
      <c r="AH61" s="1755">
        <v>1</v>
      </c>
      <c r="AI61" s="1755">
        <v>70235</v>
      </c>
      <c r="AJ61" s="1755">
        <v>2195</v>
      </c>
      <c r="AK61" s="1755">
        <v>0</v>
      </c>
      <c r="AL61" s="1755">
        <v>0</v>
      </c>
      <c r="AM61" s="1755"/>
      <c r="AN61" s="1755"/>
      <c r="AO61" s="1756"/>
      <c r="AP61" s="1756"/>
      <c r="AQ61" s="1755" t="str">
        <f t="shared" si="0"/>
        <v>VO06065677</v>
      </c>
      <c r="AS61" s="304" t="str">
        <f t="shared" si="1"/>
        <v>wci_corp</v>
      </c>
    </row>
    <row r="62" spans="2:45">
      <c r="B62" s="1708" t="s">
        <v>1401</v>
      </c>
      <c r="C62" s="1709">
        <v>44592</v>
      </c>
      <c r="D62" s="1672">
        <v>379.05</v>
      </c>
      <c r="E62" s="1672">
        <v>0</v>
      </c>
      <c r="F62" s="1673" t="s">
        <v>729</v>
      </c>
      <c r="G62" s="1709" t="s">
        <v>2943</v>
      </c>
      <c r="H62" s="1710" t="s">
        <v>730</v>
      </c>
      <c r="I62" s="1709" t="s">
        <v>1039</v>
      </c>
      <c r="J62" s="1709" t="s">
        <v>1040</v>
      </c>
      <c r="K62" s="1709" t="s">
        <v>732</v>
      </c>
      <c r="L62" s="1711" t="s">
        <v>1402</v>
      </c>
      <c r="M62" s="1711"/>
      <c r="N62" s="1711" t="s">
        <v>1403</v>
      </c>
      <c r="O62" s="1709">
        <v>44538</v>
      </c>
      <c r="P62" s="1711" t="s">
        <v>2944</v>
      </c>
      <c r="Q62" s="1712">
        <v>4304163</v>
      </c>
      <c r="R62" s="1755">
        <v>4304163</v>
      </c>
      <c r="S62" s="1755"/>
      <c r="T62" s="1755"/>
      <c r="U62" s="1755" t="s">
        <v>2948</v>
      </c>
      <c r="V62" s="1755" t="s">
        <v>2947</v>
      </c>
      <c r="W62" s="1755">
        <v>1010</v>
      </c>
      <c r="X62" s="1755">
        <v>44572</v>
      </c>
      <c r="Y62" s="1755">
        <v>44574</v>
      </c>
      <c r="Z62" s="1755">
        <v>379.05</v>
      </c>
      <c r="AA62" s="1755">
        <v>44603</v>
      </c>
      <c r="AB62" s="1755" t="s">
        <v>733</v>
      </c>
      <c r="AC62" s="1755">
        <v>0</v>
      </c>
      <c r="AD62" s="1755">
        <v>0</v>
      </c>
      <c r="AE62" s="1755">
        <v>0</v>
      </c>
      <c r="AF62" s="1755">
        <v>0</v>
      </c>
      <c r="AG62" s="1755">
        <v>0</v>
      </c>
      <c r="AH62" s="1755">
        <v>1</v>
      </c>
      <c r="AI62" s="1755">
        <v>70235</v>
      </c>
      <c r="AJ62" s="1755">
        <v>2195</v>
      </c>
      <c r="AK62" s="1755">
        <v>0</v>
      </c>
      <c r="AL62" s="1755">
        <v>0</v>
      </c>
      <c r="AM62" s="1755"/>
      <c r="AN62" s="1755"/>
      <c r="AO62" s="1756"/>
      <c r="AP62" s="1756"/>
      <c r="AQ62" s="1755" t="str">
        <f t="shared" si="0"/>
        <v>VO06065728</v>
      </c>
      <c r="AS62" s="304" t="str">
        <f t="shared" si="1"/>
        <v>wci_corp</v>
      </c>
    </row>
    <row r="63" spans="2:45">
      <c r="B63" s="1708" t="s">
        <v>1401</v>
      </c>
      <c r="C63" s="1709">
        <v>44592</v>
      </c>
      <c r="D63" s="1672">
        <v>1610.6</v>
      </c>
      <c r="E63" s="1672">
        <v>0</v>
      </c>
      <c r="F63" s="1673" t="s">
        <v>729</v>
      </c>
      <c r="G63" s="1709" t="s">
        <v>2949</v>
      </c>
      <c r="H63" s="1710" t="s">
        <v>730</v>
      </c>
      <c r="I63" s="1709" t="s">
        <v>1039</v>
      </c>
      <c r="J63" s="1709" t="s">
        <v>2950</v>
      </c>
      <c r="K63" s="1709" t="s">
        <v>732</v>
      </c>
      <c r="L63" s="1711" t="s">
        <v>2825</v>
      </c>
      <c r="M63" s="1711"/>
      <c r="N63" s="1711" t="s">
        <v>2826</v>
      </c>
      <c r="O63" s="1709">
        <v>44578</v>
      </c>
      <c r="P63" s="1711" t="s">
        <v>2951</v>
      </c>
      <c r="Q63" s="1712" t="s">
        <v>2952</v>
      </c>
      <c r="R63" s="1755" t="s">
        <v>2952</v>
      </c>
      <c r="S63" s="1755"/>
      <c r="T63" s="1755"/>
      <c r="U63" s="1755" t="s">
        <v>2953</v>
      </c>
      <c r="V63" s="1755" t="s">
        <v>2954</v>
      </c>
      <c r="W63" s="1755">
        <v>1010</v>
      </c>
      <c r="X63" s="1755">
        <v>44586</v>
      </c>
      <c r="Y63" s="1755">
        <v>44588</v>
      </c>
      <c r="Z63" s="1755">
        <v>8053</v>
      </c>
      <c r="AA63" s="1755">
        <v>44579</v>
      </c>
      <c r="AB63" s="1755" t="s">
        <v>733</v>
      </c>
      <c r="AC63" s="1755">
        <v>0</v>
      </c>
      <c r="AD63" s="1755">
        <v>0</v>
      </c>
      <c r="AE63" s="1755">
        <v>0</v>
      </c>
      <c r="AF63" s="1755">
        <v>0</v>
      </c>
      <c r="AG63" s="1755">
        <v>0</v>
      </c>
      <c r="AH63" s="1755">
        <v>1</v>
      </c>
      <c r="AI63" s="1755">
        <v>70235</v>
      </c>
      <c r="AJ63" s="1755">
        <v>2195</v>
      </c>
      <c r="AK63" s="1755">
        <v>0</v>
      </c>
      <c r="AL63" s="1755">
        <v>0</v>
      </c>
      <c r="AM63" s="1755"/>
      <c r="AN63" s="1755"/>
      <c r="AO63" s="1756"/>
      <c r="AP63" s="1756"/>
      <c r="AQ63" s="1755" t="str">
        <f t="shared" si="0"/>
        <v>VO06082683</v>
      </c>
      <c r="AS63" s="304" t="str">
        <f t="shared" si="1"/>
        <v>wci_corp</v>
      </c>
    </row>
    <row r="64" spans="2:45">
      <c r="B64" s="1708" t="s">
        <v>1401</v>
      </c>
      <c r="C64" s="1709">
        <v>44651</v>
      </c>
      <c r="D64" s="1672">
        <v>3649.68</v>
      </c>
      <c r="E64" s="1672">
        <v>0</v>
      </c>
      <c r="F64" s="1673" t="s">
        <v>729</v>
      </c>
      <c r="G64" s="1709" t="s">
        <v>2955</v>
      </c>
      <c r="H64" s="1710" t="s">
        <v>730</v>
      </c>
      <c r="I64" s="1709" t="s">
        <v>1406</v>
      </c>
      <c r="J64" s="1709" t="s">
        <v>2135</v>
      </c>
      <c r="K64" s="1709" t="s">
        <v>732</v>
      </c>
      <c r="L64" s="1711"/>
      <c r="M64" s="1711"/>
      <c r="N64" s="1711" t="s">
        <v>1405</v>
      </c>
      <c r="O64" s="1709"/>
      <c r="P64" s="1711"/>
      <c r="Q64" s="1712"/>
      <c r="R64" s="1755"/>
      <c r="S64" s="1755"/>
      <c r="T64" s="1755"/>
      <c r="U64" s="1755" t="s">
        <v>2956</v>
      </c>
      <c r="V64" s="1755" t="s">
        <v>2956</v>
      </c>
      <c r="W64" s="1755"/>
      <c r="X64" s="1755">
        <v>44658</v>
      </c>
      <c r="Y64" s="1755">
        <v>44658</v>
      </c>
      <c r="Z64" s="1755"/>
      <c r="AA64" s="1755"/>
      <c r="AB64" s="1755" t="s">
        <v>733</v>
      </c>
      <c r="AC64" s="1755">
        <v>0</v>
      </c>
      <c r="AD64" s="1755">
        <v>0</v>
      </c>
      <c r="AE64" s="1755">
        <v>0</v>
      </c>
      <c r="AF64" s="1755">
        <v>0</v>
      </c>
      <c r="AG64" s="1755">
        <v>0</v>
      </c>
      <c r="AH64" s="1755">
        <v>1</v>
      </c>
      <c r="AI64" s="1755">
        <v>70235</v>
      </c>
      <c r="AJ64" s="1755">
        <v>2195</v>
      </c>
      <c r="AK64" s="1755">
        <v>0</v>
      </c>
      <c r="AL64" s="1755">
        <v>0</v>
      </c>
      <c r="AM64" s="1755"/>
      <c r="AN64" s="1755"/>
      <c r="AO64" s="1756"/>
      <c r="AP64" s="1756"/>
      <c r="AQ64" s="1755" t="str">
        <f t="shared" si="0"/>
        <v/>
      </c>
      <c r="AS64" s="304" t="str">
        <f t="shared" si="1"/>
        <v>wci_corp</v>
      </c>
    </row>
    <row r="65" spans="2:43">
      <c r="B65" s="1708"/>
      <c r="C65" s="1709"/>
      <c r="D65" s="1741"/>
      <c r="E65" s="1741"/>
      <c r="F65" s="1741"/>
      <c r="G65" s="1709"/>
      <c r="H65" s="1742"/>
      <c r="I65" s="1709"/>
      <c r="J65" s="1709"/>
      <c r="K65" s="1709"/>
      <c r="L65" s="1709"/>
      <c r="M65" s="1709"/>
      <c r="N65" s="1709"/>
      <c r="O65" s="1709"/>
      <c r="P65" s="1709"/>
      <c r="Q65" s="1713"/>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row>
    <row r="66" spans="2:43">
      <c r="B66" s="1728" t="s">
        <v>738</v>
      </c>
      <c r="C66" s="1729"/>
      <c r="D66" s="1730"/>
      <c r="E66" s="1730"/>
      <c r="F66" s="1730"/>
      <c r="G66" s="1729"/>
      <c r="H66" s="1731"/>
      <c r="I66" s="1729"/>
      <c r="J66" s="1729"/>
      <c r="K66" s="1729"/>
      <c r="L66" s="1729"/>
      <c r="M66" s="1729"/>
      <c r="N66" s="1729"/>
      <c r="O66" s="1729"/>
      <c r="P66" s="1729"/>
      <c r="Q66" s="1732"/>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row>
    <row r="67" spans="2:43">
      <c r="B67" s="1656"/>
      <c r="C67" s="1657"/>
      <c r="D67" s="1727"/>
      <c r="E67" s="1727"/>
      <c r="F67" s="1727"/>
      <c r="G67" s="1657"/>
      <c r="H67" s="1687"/>
      <c r="I67" s="1657"/>
      <c r="J67" s="1657"/>
      <c r="K67" s="1657"/>
      <c r="L67" s="1657"/>
      <c r="M67" s="1657"/>
      <c r="N67" s="1657"/>
      <c r="O67" s="1657"/>
      <c r="P67" s="1657"/>
      <c r="Q67" s="1685"/>
    </row>
    <row r="68" spans="2:43">
      <c r="B68" s="1733"/>
      <c r="C68" s="1657"/>
      <c r="D68" s="1657"/>
      <c r="E68" s="1657"/>
      <c r="F68" s="1657"/>
      <c r="G68" s="1657"/>
      <c r="H68" s="1687"/>
      <c r="I68" s="1657"/>
      <c r="J68" s="1657"/>
      <c r="K68" s="1657"/>
      <c r="L68" s="1657"/>
      <c r="M68" s="1657"/>
      <c r="N68" s="1657"/>
      <c r="O68" s="1657"/>
      <c r="P68" s="1657"/>
      <c r="Q68" s="1685"/>
    </row>
    <row r="69" spans="2:43">
      <c r="B69" s="1656" t="s">
        <v>739</v>
      </c>
      <c r="C69" s="1721" t="s">
        <v>740</v>
      </c>
      <c r="D69" s="1734" t="s">
        <v>740</v>
      </c>
      <c r="E69" s="1657"/>
      <c r="F69" s="1657"/>
      <c r="G69" s="1657"/>
      <c r="H69" s="1657"/>
      <c r="I69" s="1657"/>
      <c r="J69" s="1657"/>
      <c r="K69" s="1657"/>
      <c r="L69" s="1657"/>
      <c r="M69" s="1657"/>
      <c r="N69" s="1657"/>
      <c r="O69" s="1657"/>
      <c r="P69" s="1657"/>
      <c r="Q69" s="1685"/>
    </row>
    <row r="70" spans="2:43">
      <c r="B70" s="1686" t="s">
        <v>1405</v>
      </c>
      <c r="C70" s="1721">
        <v>-16780.57</v>
      </c>
      <c r="D70" s="1721">
        <v>-16780.57</v>
      </c>
      <c r="E70" s="1657"/>
      <c r="F70" s="1657"/>
      <c r="G70" s="1657"/>
      <c r="H70" s="1657"/>
      <c r="I70" s="1657"/>
      <c r="J70" s="1657"/>
      <c r="K70" s="1657"/>
      <c r="L70" s="1657"/>
      <c r="M70" s="1657"/>
      <c r="N70" s="1657"/>
      <c r="O70" s="1657"/>
      <c r="P70" s="1657"/>
      <c r="Q70" s="1685"/>
    </row>
    <row r="71" spans="2:43">
      <c r="B71" s="1686" t="s">
        <v>2659</v>
      </c>
      <c r="C71" s="1721">
        <v>3300</v>
      </c>
      <c r="D71" s="1721">
        <v>3300</v>
      </c>
      <c r="E71" s="1657" t="s">
        <v>741</v>
      </c>
      <c r="F71" s="1657"/>
      <c r="G71" s="1657"/>
      <c r="H71" s="1657"/>
      <c r="I71" s="1657"/>
      <c r="J71" s="1657"/>
      <c r="K71" s="1657"/>
      <c r="L71" s="1657"/>
      <c r="M71" s="1657"/>
      <c r="N71" s="1657"/>
      <c r="O71" s="1657"/>
      <c r="P71" s="1657"/>
      <c r="Q71" s="1685"/>
    </row>
    <row r="72" spans="2:43">
      <c r="B72" s="1686" t="s">
        <v>2826</v>
      </c>
      <c r="C72" s="1721">
        <v>20375.669999999998</v>
      </c>
      <c r="D72" s="1721">
        <v>20375.669999999998</v>
      </c>
      <c r="E72" s="1657" t="s">
        <v>741</v>
      </c>
      <c r="F72" s="1657"/>
      <c r="G72" s="1657"/>
      <c r="H72" s="1687"/>
      <c r="I72" s="1657"/>
      <c r="J72" s="1657"/>
      <c r="K72" s="1657"/>
      <c r="L72" s="1657"/>
      <c r="M72" s="1657"/>
      <c r="N72" s="1657"/>
      <c r="O72" s="1657"/>
      <c r="P72" s="1657"/>
      <c r="Q72" s="1685"/>
    </row>
    <row r="73" spans="2:43">
      <c r="B73" s="1686" t="s">
        <v>1403</v>
      </c>
      <c r="C73" s="1721">
        <v>1489.05</v>
      </c>
      <c r="D73" s="1721">
        <v>1489.05</v>
      </c>
      <c r="E73" s="1657"/>
      <c r="F73" s="1657"/>
      <c r="G73" s="1657"/>
      <c r="H73" s="1687"/>
      <c r="I73" s="1657"/>
      <c r="J73" s="1657"/>
      <c r="K73" s="1657"/>
      <c r="L73" s="1657"/>
      <c r="M73" s="1657"/>
      <c r="N73" s="1657"/>
      <c r="O73" s="1657"/>
      <c r="P73" s="1657"/>
      <c r="Q73" s="1685"/>
    </row>
    <row r="74" spans="2:43">
      <c r="B74" s="1686" t="s">
        <v>2841</v>
      </c>
      <c r="C74" s="1721">
        <v>40749.949999999997</v>
      </c>
      <c r="D74" s="1721">
        <v>40749.949999999997</v>
      </c>
      <c r="E74" s="1657"/>
      <c r="F74" s="1657"/>
      <c r="G74" s="1657"/>
      <c r="H74" s="1687"/>
      <c r="I74" s="1657"/>
      <c r="J74" s="1657"/>
      <c r="K74" s="1657"/>
      <c r="L74" s="1657"/>
      <c r="M74" s="1657"/>
      <c r="N74" s="1657"/>
      <c r="O74" s="1657"/>
      <c r="P74" s="1657"/>
      <c r="Q74" s="1685"/>
    </row>
    <row r="75" spans="2:43">
      <c r="B75" s="1686" t="s">
        <v>2657</v>
      </c>
      <c r="C75" s="1721">
        <v>-4100</v>
      </c>
      <c r="D75" s="1721">
        <v>-4100</v>
      </c>
      <c r="E75" s="1657" t="s">
        <v>741</v>
      </c>
      <c r="F75" s="1657"/>
      <c r="G75" s="1657"/>
      <c r="H75" s="1687"/>
      <c r="I75" s="1657"/>
      <c r="J75" s="1657"/>
      <c r="K75" s="1657"/>
      <c r="L75" s="1657"/>
      <c r="M75" s="1657"/>
      <c r="N75" s="1657"/>
      <c r="O75" s="1657"/>
      <c r="P75" s="1657"/>
      <c r="Q75" s="1685"/>
    </row>
    <row r="76" spans="2:43">
      <c r="B76" s="1686" t="s">
        <v>2847</v>
      </c>
      <c r="C76" s="1721">
        <v>3152.5</v>
      </c>
      <c r="D76" s="1721">
        <v>3152.5</v>
      </c>
      <c r="E76" s="1657" t="s">
        <v>916</v>
      </c>
      <c r="F76" s="1657"/>
      <c r="G76" s="1657"/>
      <c r="H76" s="1687"/>
      <c r="I76" s="1657"/>
      <c r="J76" s="1657"/>
      <c r="K76" s="1657"/>
      <c r="L76" s="1657"/>
      <c r="M76" s="1657"/>
      <c r="N76" s="1657"/>
      <c r="O76" s="1657"/>
      <c r="P76" s="1657"/>
      <c r="Q76" s="1685"/>
    </row>
    <row r="77" spans="2:43">
      <c r="B77" s="1686" t="s">
        <v>1410</v>
      </c>
      <c r="C77" s="1721">
        <v>1470.96</v>
      </c>
      <c r="D77" s="1721">
        <v>1470.96</v>
      </c>
      <c r="E77" s="1657" t="s">
        <v>916</v>
      </c>
      <c r="F77" s="1657"/>
      <c r="G77" s="1657"/>
      <c r="H77" s="1687"/>
      <c r="I77" s="1657"/>
      <c r="J77" s="1657"/>
      <c r="K77" s="1657"/>
      <c r="L77" s="1657"/>
      <c r="M77" s="1657"/>
      <c r="N77" s="1657"/>
      <c r="O77" s="1657"/>
      <c r="P77" s="1657"/>
      <c r="Q77" s="1685"/>
    </row>
    <row r="78" spans="2:43">
      <c r="B78" s="1686" t="s">
        <v>2861</v>
      </c>
      <c r="C78" s="1721">
        <v>0</v>
      </c>
      <c r="D78" s="1721">
        <v>0</v>
      </c>
      <c r="E78" s="1657"/>
      <c r="F78" s="1657"/>
      <c r="G78" s="1657"/>
      <c r="H78" s="1687"/>
      <c r="I78" s="1657"/>
      <c r="J78" s="1657"/>
      <c r="K78" s="1657"/>
      <c r="L78" s="1657"/>
      <c r="M78" s="1657"/>
      <c r="N78" s="1657"/>
      <c r="O78" s="1657"/>
      <c r="P78" s="1657"/>
      <c r="Q78" s="1685"/>
    </row>
    <row r="79" spans="2:43">
      <c r="B79" s="1686" t="s">
        <v>2653</v>
      </c>
      <c r="C79" s="1721">
        <v>-3264.6</v>
      </c>
      <c r="D79" s="1721">
        <v>-3264.6</v>
      </c>
      <c r="E79" s="1657" t="s">
        <v>741</v>
      </c>
      <c r="F79" s="1657"/>
      <c r="G79" s="1657"/>
      <c r="H79" s="1687"/>
      <c r="I79" s="1657"/>
      <c r="J79" s="1657"/>
      <c r="K79" s="1657"/>
      <c r="L79" s="1657"/>
      <c r="M79" s="1657"/>
      <c r="N79" s="1657"/>
      <c r="O79" s="1657"/>
      <c r="P79" s="1657"/>
      <c r="Q79" s="1685"/>
    </row>
    <row r="80" spans="2:43">
      <c r="B80" s="1686" t="s">
        <v>742</v>
      </c>
      <c r="C80" s="1721">
        <v>46392.959999999992</v>
      </c>
      <c r="D80" s="1723">
        <v>46392.959999999992</v>
      </c>
      <c r="E80" s="1657"/>
      <c r="F80" s="1657"/>
      <c r="G80" s="1657"/>
      <c r="H80" s="1687"/>
      <c r="I80" s="1657"/>
      <c r="J80" s="1657"/>
      <c r="K80" s="1657"/>
      <c r="L80" s="1657"/>
      <c r="M80" s="1657"/>
      <c r="N80" s="1657"/>
      <c r="O80" s="1657"/>
      <c r="P80" s="1657"/>
      <c r="Q80" s="1685"/>
    </row>
    <row r="81" spans="2:17">
      <c r="B81" s="1656"/>
      <c r="C81" s="1657"/>
      <c r="D81" s="1657"/>
      <c r="E81" s="1657"/>
      <c r="F81" s="1657" t="s">
        <v>2958</v>
      </c>
      <c r="G81" s="1657"/>
      <c r="H81" s="1687"/>
      <c r="I81" s="1657"/>
      <c r="J81" s="1657"/>
      <c r="K81" s="1657"/>
      <c r="L81" s="1657"/>
      <c r="M81" s="1657"/>
      <c r="N81" s="1657"/>
      <c r="O81" s="1657"/>
      <c r="P81" s="1657"/>
      <c r="Q81" s="1685"/>
    </row>
    <row r="82" spans="2:17">
      <c r="B82" s="1656"/>
      <c r="C82" s="1657"/>
      <c r="D82" s="1657" t="s">
        <v>2957</v>
      </c>
      <c r="E82" s="1721">
        <f>+D76+D77</f>
        <v>4623.46</v>
      </c>
      <c r="F82" s="1249">
        <f>+E82</f>
        <v>4623.46</v>
      </c>
      <c r="G82" s="1657"/>
      <c r="H82" s="1687"/>
      <c r="I82" s="1657"/>
      <c r="J82" s="1657"/>
      <c r="K82" s="1657"/>
      <c r="L82" s="1657"/>
      <c r="M82" s="1657"/>
      <c r="N82" s="1657"/>
      <c r="O82" s="1657"/>
      <c r="P82" s="1657"/>
      <c r="Q82" s="1685"/>
    </row>
    <row r="83" spans="2:17">
      <c r="B83" s="1656"/>
      <c r="C83" s="1657"/>
      <c r="D83" s="1657" t="s">
        <v>1392</v>
      </c>
      <c r="E83" s="1721">
        <f>+D80-E82-E84</f>
        <v>25458.429999999993</v>
      </c>
      <c r="F83" s="1249">
        <f>+E83*'Master IS (C)'!L10</f>
        <v>18087.628147483403</v>
      </c>
      <c r="G83" s="1657"/>
      <c r="H83" s="1687"/>
      <c r="I83" s="1657"/>
      <c r="J83" s="1657"/>
      <c r="K83" s="1657"/>
      <c r="L83" s="1657"/>
      <c r="M83" s="1657"/>
      <c r="N83" s="1657"/>
      <c r="O83" s="1657"/>
      <c r="P83" s="1657"/>
      <c r="Q83" s="1685"/>
    </row>
    <row r="84" spans="2:17">
      <c r="B84" s="1656"/>
      <c r="C84" s="1657"/>
      <c r="D84" s="1657" t="s">
        <v>549</v>
      </c>
      <c r="E84" s="1757">
        <f>+SUMIF($E$70:$E$79,"x",$D$70:$D$79)</f>
        <v>16311.069999999998</v>
      </c>
      <c r="F84" s="1758">
        <v>0</v>
      </c>
      <c r="G84" s="1657"/>
      <c r="H84" s="1687"/>
      <c r="I84" s="1657"/>
      <c r="J84" s="1657"/>
      <c r="K84" s="1657"/>
      <c r="L84" s="1657"/>
      <c r="M84" s="1657"/>
      <c r="N84" s="1657"/>
      <c r="O84" s="1657"/>
      <c r="P84" s="1657"/>
      <c r="Q84" s="1685"/>
    </row>
    <row r="85" spans="2:17" ht="13.5" thickBot="1">
      <c r="B85" s="1658"/>
      <c r="C85" s="1659"/>
      <c r="D85" s="1659"/>
      <c r="E85" s="1759">
        <f>+SUM(E82:E84)</f>
        <v>46392.959999999992</v>
      </c>
      <c r="F85" s="1759">
        <f>+SUM(F82:F84)</f>
        <v>22711.088147483402</v>
      </c>
      <c r="G85" s="1659"/>
      <c r="H85" s="1660"/>
      <c r="I85" s="1659"/>
      <c r="J85" s="1659"/>
      <c r="K85" s="1659"/>
      <c r="L85" s="1659"/>
      <c r="M85" s="1659"/>
      <c r="N85" s="1659"/>
      <c r="O85" s="1659"/>
      <c r="P85" s="1659"/>
      <c r="Q85" s="1661"/>
    </row>
    <row r="86" spans="2:17" ht="13.5" thickTop="1"/>
  </sheetData>
  <autoFilter ref="B19:AQ19" xr:uid="{00000000-0009-0000-0000-000019000000}"/>
  <dataValidations count="1">
    <dataValidation type="list" allowBlank="1" showInputMessage="1" showErrorMessage="1" sqref="P15" xr:uid="{00000000-0002-0000-1900-000000000000}">
      <formula1>"All,Posted/Unposted,Posted,Unposted,Staged"</formula1>
    </dataValidation>
  </dataValidations>
  <pageMargins left="0.27" right="0.28999999999999998" top="0.37" bottom="0.43" header="0.25" footer="0.25"/>
  <pageSetup scale="35" fitToHeight="0" orientation="landscape" r:id="rId2"/>
  <headerFooter alignWithMargins="0">
    <oddHeader>&amp;L&amp;8 &amp;C&amp;"-,Bold"&amp;14&amp;KFF0000TEXT IN RED BOX CONFIDENTIAL PER WAC 480-07-160&amp;R&amp;8 &amp;D-&amp;T-Jeff Honsowetz</oddHeader>
    <oddFooter>&amp;L&amp;"Arial"&amp;L&amp;08 Path:D:\Data_WCNX\Financials\MidMonths\BrentProject\\&amp;F-&amp;A&amp;R&amp;"Arial"&amp;R&amp;08  Page &amp;P</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59999389629810485"/>
    <pageSetUpPr fitToPage="1"/>
  </sheetPr>
  <dimension ref="A1:AS62"/>
  <sheetViews>
    <sheetView showGridLines="0" view="pageBreakPreview" topLeftCell="A9" zoomScale="60" zoomScaleNormal="80" workbookViewId="0">
      <pane xSplit="1" ySplit="11" topLeftCell="B20" activePane="bottomRight" state="frozen"/>
      <selection activeCell="AL35" sqref="AL35"/>
      <selection pane="topRight" activeCell="AL35" sqref="AL35"/>
      <selection pane="bottomLeft" activeCell="AL35" sqref="AL35"/>
      <selection pane="bottomRight" activeCell="AL35" sqref="AL35"/>
    </sheetView>
  </sheetViews>
  <sheetFormatPr defaultColWidth="9.140625" defaultRowHeight="12.75" outlineLevelRow="1"/>
  <cols>
    <col min="1" max="1" width="2.7109375" style="304" customWidth="1"/>
    <col min="2" max="2" width="17" style="304" bestFit="1" customWidth="1"/>
    <col min="3" max="3" width="22.7109375" style="304" bestFit="1" customWidth="1"/>
    <col min="4" max="4" width="17" style="304" bestFit="1" customWidth="1"/>
    <col min="5" max="5" width="10.85546875" style="304" bestFit="1" customWidth="1"/>
    <col min="6" max="7" width="9.85546875" style="304" bestFit="1" customWidth="1"/>
    <col min="8" max="8" width="10.85546875" style="304" bestFit="1" customWidth="1"/>
    <col min="9" max="9" width="12.42578125" style="304" bestFit="1" customWidth="1"/>
    <col min="10" max="14" width="11.28515625" style="304" bestFit="1" customWidth="1"/>
    <col min="15" max="15" width="12.42578125" style="304" bestFit="1" customWidth="1"/>
    <col min="16" max="16" width="35.140625" style="304" customWidth="1"/>
    <col min="17" max="17" width="18" style="304" customWidth="1"/>
    <col min="18" max="18" width="14.140625" style="304" customWidth="1"/>
    <col min="19" max="19" width="17.7109375" style="304" customWidth="1"/>
    <col min="20" max="20" width="12.7109375" style="304" customWidth="1"/>
    <col min="21" max="21" width="15.85546875" style="304" customWidth="1"/>
    <col min="22" max="22" width="13.7109375" style="304" bestFit="1" customWidth="1"/>
    <col min="23" max="23" width="13.28515625" style="304" customWidth="1"/>
    <col min="24" max="24" width="12.28515625" style="304" customWidth="1"/>
    <col min="25" max="25" width="11.5703125" style="304" customWidth="1"/>
    <col min="26" max="26" width="9.85546875" style="304" customWidth="1"/>
    <col min="27" max="27" width="11.42578125" style="304" customWidth="1"/>
    <col min="28" max="28" width="11" style="304" customWidth="1"/>
    <col min="29" max="29" width="11.5703125" style="304" customWidth="1"/>
    <col min="30" max="30" width="8.42578125" style="304" customWidth="1"/>
    <col min="31" max="31" width="11.140625" style="304" customWidth="1"/>
    <col min="32" max="32" width="11" style="304" customWidth="1"/>
    <col min="33" max="33" width="8.5703125" style="304" customWidth="1"/>
    <col min="34" max="34" width="8.42578125" style="304" customWidth="1"/>
    <col min="35" max="36" width="10.28515625" style="304" customWidth="1"/>
    <col min="37" max="37" width="10.140625" style="304" customWidth="1"/>
    <col min="38" max="38" width="10.42578125" style="304" customWidth="1"/>
    <col min="39" max="39" width="21.140625" style="304" customWidth="1"/>
    <col min="40" max="42" width="18.85546875" style="304" customWidth="1"/>
    <col min="43" max="43" width="20.42578125" style="304" customWidth="1"/>
    <col min="44" max="44" width="9.140625" style="304" customWidth="1"/>
    <col min="45" max="45" width="9.140625" style="304" hidden="1" customWidth="1"/>
    <col min="46" max="46" width="9.140625" style="304" customWidth="1"/>
    <col min="47" max="16384" width="9.140625" style="304"/>
  </cols>
  <sheetData>
    <row r="1" spans="1:43" hidden="1" outlineLevel="1">
      <c r="A1" s="303" t="b">
        <v>1</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row>
    <row r="2" spans="1:43" hidden="1" outlineLevel="1">
      <c r="B2" s="304" t="s">
        <v>626</v>
      </c>
      <c r="C2" s="304" t="s">
        <v>627</v>
      </c>
      <c r="D2" s="304" t="s">
        <v>628</v>
      </c>
      <c r="E2" s="304" t="s">
        <v>629</v>
      </c>
      <c r="F2" s="304" t="s">
        <v>630</v>
      </c>
      <c r="G2" s="304" t="s">
        <v>631</v>
      </c>
      <c r="H2" s="304" t="s">
        <v>632</v>
      </c>
      <c r="I2" s="304" t="s">
        <v>633</v>
      </c>
      <c r="J2" s="304" t="s">
        <v>634</v>
      </c>
      <c r="K2" s="304" t="s">
        <v>635</v>
      </c>
      <c r="L2" s="304" t="s">
        <v>636</v>
      </c>
      <c r="M2" s="304" t="s">
        <v>637</v>
      </c>
      <c r="N2" s="304" t="s">
        <v>185</v>
      </c>
      <c r="O2" s="304" t="s">
        <v>638</v>
      </c>
      <c r="P2" s="304" t="s">
        <v>639</v>
      </c>
      <c r="Q2" s="304" t="s">
        <v>640</v>
      </c>
      <c r="R2" s="304" t="s">
        <v>641</v>
      </c>
      <c r="S2" s="304" t="s">
        <v>642</v>
      </c>
      <c r="T2" s="304" t="s">
        <v>643</v>
      </c>
      <c r="U2" s="304" t="s">
        <v>644</v>
      </c>
      <c r="V2" s="304" t="s">
        <v>645</v>
      </c>
      <c r="W2" s="304" t="s">
        <v>646</v>
      </c>
      <c r="X2" s="304" t="s">
        <v>647</v>
      </c>
      <c r="Y2" s="304" t="s">
        <v>648</v>
      </c>
      <c r="Z2" s="304" t="s">
        <v>649</v>
      </c>
      <c r="AA2" s="304" t="s">
        <v>650</v>
      </c>
      <c r="AB2" s="304" t="s">
        <v>651</v>
      </c>
      <c r="AC2" s="304" t="s">
        <v>652</v>
      </c>
      <c r="AD2" s="304" t="s">
        <v>653</v>
      </c>
      <c r="AE2" s="304" t="s">
        <v>654</v>
      </c>
      <c r="AF2" s="304" t="s">
        <v>655</v>
      </c>
      <c r="AG2" s="304" t="s">
        <v>656</v>
      </c>
      <c r="AH2" s="304" t="s">
        <v>657</v>
      </c>
      <c r="AI2" s="304" t="s">
        <v>658</v>
      </c>
      <c r="AJ2" s="304" t="s">
        <v>659</v>
      </c>
      <c r="AK2" s="304" t="s">
        <v>660</v>
      </c>
      <c r="AL2" s="304" t="s">
        <v>661</v>
      </c>
      <c r="AM2" s="304" t="s">
        <v>662</v>
      </c>
      <c r="AN2" s="304" t="s">
        <v>663</v>
      </c>
      <c r="AO2" s="304" t="s">
        <v>664</v>
      </c>
      <c r="AP2" s="304" t="s">
        <v>665</v>
      </c>
    </row>
    <row r="3" spans="1:43" hidden="1" outlineLevel="1">
      <c r="A3" s="303" t="s">
        <v>666</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row>
    <row r="4" spans="1:43" hidden="1" outlineLevel="1">
      <c r="Q4" s="304" t="str">
        <f ca="1">_xll.ReportDrill('[71]JE Lookup'!B1,,_xll.PairGroup(_xll.Pair(G20:G44,'[71]JE Lookup'!N8),_xll.Pair(AB20:AB44,'[71]JE Lookup'!N7)),"JE Lookup")</f>
        <v>OK!: ReportDrill 'JE Lookup' Formula OK [jAction{}]</v>
      </c>
      <c r="U4" s="304" t="str">
        <f ca="1">_xll.ReportDrill(,"APDrill",_xll.PairGroup(_xll.PairExt(AQ20:AQ44,"H8")),"AP Detail")</f>
        <v>OK!: ReportDrill 'AP Detail' Formula OK [jAction{}]</v>
      </c>
      <c r="Y4" s="304" t="str">
        <f ca="1">_xll.ReportDrill(,"JEStaged_DrillToDetail",_xll.PairGroup(_xll.PairExt(Q19:Q44,"dControlNum",TRUE),_xll.PairExt(AP19:AP44,"dDistrict",TRUE),_xll.PairExt(AO19:AO44,"dApplyMonth",TRUE)),"JE Staged Details")</f>
        <v>OK!: ReportDrill 'JE Staged Details' Formula OK [jAction{}]</v>
      </c>
    </row>
    <row r="5" spans="1:43" hidden="1" outlineLevel="1">
      <c r="B5" s="304" t="str">
        <f ca="1">_xll.ReportRange("JEQuery_WithStaged",B20:AS43,B2:AS2,,_xll.Param(DateFrom,DateTo,IF(M12="","all",M12),M13,M14,M15,P12,P13,P14,P15,EntrieShownLimit,IF(DateFrom="",DateFrom,),IF(DateTo="",DateTo,)),TRUE)</f>
        <v>OK!: ReportRange Formula OK [jAction{}]</v>
      </c>
      <c r="E5" s="304" t="str" cm="1">
        <f t="array" aca="1" ref="E5" ca="1">_xll.jFreezePanes(B20,A9)</f>
        <v xml:space="preserve">&gt; jFreezePanes is ready. </v>
      </c>
      <c r="Q5" s="304" t="str">
        <f ca="1">_xll.ReportDrill('[71]JE Lookup'!B1,,_xll.PairGroup(_xll.Pair(V20:V44,'[71]JE Lookup'!N8),_xll.Pair(AS20:AS44,'[71]JE Lookup'!N7)),"I/C Originating JE")</f>
        <v>OK!: ReportDrill 'I/C Originating JE' Formula OK [jAction{}]</v>
      </c>
    </row>
    <row r="6" spans="1:43" hidden="1" outlineLevel="1">
      <c r="B6" s="305" t="s">
        <v>667</v>
      </c>
      <c r="D6" s="304">
        <v>10000</v>
      </c>
    </row>
    <row r="7" spans="1:43" hidden="1" outlineLevel="1">
      <c r="A7" s="303" t="s">
        <v>668</v>
      </c>
      <c r="B7" s="303"/>
      <c r="C7" s="303"/>
      <c r="D7" s="303"/>
      <c r="E7" s="30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row>
    <row r="8" spans="1:43" hidden="1" outlineLevel="1">
      <c r="J8" s="306"/>
    </row>
    <row r="9" spans="1:43" ht="18" collapsed="1">
      <c r="B9" s="307" t="s">
        <v>669</v>
      </c>
      <c r="G9" s="308" t="s">
        <v>670</v>
      </c>
      <c r="P9" s="309"/>
      <c r="U9" s="305"/>
    </row>
    <row r="10" spans="1:43" ht="14.25">
      <c r="B10" s="304" t="s">
        <v>671</v>
      </c>
      <c r="G10" s="310"/>
      <c r="P10" s="309"/>
      <c r="U10" s="305"/>
    </row>
    <row r="11" spans="1:43">
      <c r="G11" s="311" t="s">
        <v>672</v>
      </c>
      <c r="H11" s="312"/>
      <c r="I11" s="313"/>
      <c r="L11" s="312" t="s">
        <v>673</v>
      </c>
      <c r="M11" s="312"/>
      <c r="N11" s="312"/>
      <c r="O11" s="312"/>
      <c r="P11" s="312"/>
    </row>
    <row r="12" spans="1:43" s="305" customFormat="1">
      <c r="H12" s="314" t="s">
        <v>674</v>
      </c>
      <c r="I12" s="315" t="s">
        <v>2051</v>
      </c>
      <c r="K12" s="334"/>
      <c r="L12" s="305" t="s">
        <v>675</v>
      </c>
      <c r="M12" s="315" t="s">
        <v>1112</v>
      </c>
      <c r="O12" s="314" t="s">
        <v>676</v>
      </c>
      <c r="P12" s="316"/>
      <c r="Z12" s="304"/>
      <c r="AA12" s="304"/>
      <c r="AB12" s="304"/>
      <c r="AH12" s="304"/>
      <c r="AI12" s="304"/>
      <c r="AJ12" s="304"/>
      <c r="AK12" s="304"/>
      <c r="AL12" s="304"/>
    </row>
    <row r="13" spans="1:43" s="305" customFormat="1">
      <c r="H13" s="314" t="s">
        <v>677</v>
      </c>
      <c r="I13" s="315" t="s">
        <v>2009</v>
      </c>
      <c r="K13" s="334"/>
      <c r="L13" s="305" t="s">
        <v>678</v>
      </c>
      <c r="M13" s="315" t="s">
        <v>1275</v>
      </c>
      <c r="N13" s="304"/>
      <c r="O13" s="314" t="s">
        <v>679</v>
      </c>
      <c r="P13" s="317"/>
      <c r="Q13" s="304"/>
      <c r="Z13" s="304"/>
      <c r="AA13" s="304"/>
      <c r="AB13" s="304"/>
      <c r="AH13" s="304"/>
      <c r="AI13" s="304"/>
      <c r="AJ13" s="304"/>
      <c r="AK13" s="304"/>
      <c r="AL13" s="304"/>
    </row>
    <row r="14" spans="1:43">
      <c r="L14" s="305" t="s">
        <v>18</v>
      </c>
      <c r="M14" s="315" t="s">
        <v>17</v>
      </c>
      <c r="O14" s="314" t="s">
        <v>680</v>
      </c>
      <c r="P14" s="317"/>
    </row>
    <row r="15" spans="1:43">
      <c r="L15" s="305" t="s">
        <v>681</v>
      </c>
      <c r="M15" s="315" t="s">
        <v>17</v>
      </c>
      <c r="O15" s="314" t="s">
        <v>682</v>
      </c>
      <c r="P15" s="318" t="s">
        <v>683</v>
      </c>
    </row>
    <row r="16" spans="1:43">
      <c r="B16" s="319" t="s">
        <v>684</v>
      </c>
      <c r="C16" s="320"/>
      <c r="D16" s="321">
        <f>SUM(D19:D44)</f>
        <v>-7235.5499999999993</v>
      </c>
      <c r="E16" s="321">
        <f>SUM(E19:E44)</f>
        <v>0</v>
      </c>
      <c r="F16" s="304" t="s">
        <v>685</v>
      </c>
      <c r="N16" s="322"/>
      <c r="O16" s="322"/>
      <c r="P16" s="322"/>
      <c r="Q16" s="322"/>
    </row>
    <row r="17" spans="2:45">
      <c r="B17" s="319" t="s">
        <v>686</v>
      </c>
      <c r="C17" s="320"/>
      <c r="D17" s="323">
        <f>COUNT(D20:D45)</f>
        <v>23</v>
      </c>
      <c r="E17" s="323">
        <f>COUNT(E20:E45)</f>
        <v>23</v>
      </c>
      <c r="F17" s="304" t="s">
        <v>687</v>
      </c>
      <c r="G17" s="306" t="str">
        <f>""&amp;EntrieShownLimit</f>
        <v>10000</v>
      </c>
    </row>
    <row r="18" spans="2:45">
      <c r="O18" s="324"/>
      <c r="R18" s="722" t="s">
        <v>688</v>
      </c>
      <c r="S18" s="721"/>
      <c r="T18" s="721"/>
      <c r="U18" s="721"/>
      <c r="V18" s="721"/>
      <c r="W18" s="721"/>
      <c r="X18" s="721"/>
      <c r="Y18" s="721"/>
      <c r="Z18" s="720"/>
      <c r="AA18" s="720"/>
      <c r="AB18" s="720"/>
      <c r="AC18" s="720"/>
      <c r="AD18" s="720"/>
      <c r="AE18" s="720"/>
      <c r="AF18" s="720"/>
      <c r="AG18" s="720"/>
      <c r="AH18" s="720"/>
      <c r="AI18" s="720"/>
      <c r="AJ18" s="720"/>
      <c r="AK18" s="720"/>
      <c r="AL18" s="720"/>
      <c r="AM18" s="720"/>
      <c r="AN18" s="720"/>
      <c r="AO18" s="720"/>
      <c r="AP18" s="720"/>
      <c r="AQ18" s="720"/>
    </row>
    <row r="19" spans="2:45" s="328" customFormat="1" ht="29.25" customHeight="1" thickBot="1">
      <c r="B19" s="716" t="s">
        <v>689</v>
      </c>
      <c r="C19" s="714" t="s">
        <v>690</v>
      </c>
      <c r="D19" s="719" t="s">
        <v>691</v>
      </c>
      <c r="E19" s="719" t="s">
        <v>692</v>
      </c>
      <c r="F19" s="719" t="s">
        <v>693</v>
      </c>
      <c r="G19" s="718" t="s">
        <v>694</v>
      </c>
      <c r="H19" s="716" t="s">
        <v>695</v>
      </c>
      <c r="I19" s="716" t="s">
        <v>696</v>
      </c>
      <c r="J19" s="716" t="s">
        <v>634</v>
      </c>
      <c r="K19" s="716" t="s">
        <v>697</v>
      </c>
      <c r="L19" s="716" t="s">
        <v>698</v>
      </c>
      <c r="M19" s="716" t="s">
        <v>699</v>
      </c>
      <c r="N19" s="716" t="s">
        <v>700</v>
      </c>
      <c r="O19" s="717" t="s">
        <v>701</v>
      </c>
      <c r="P19" s="785" t="s">
        <v>2401</v>
      </c>
      <c r="Q19" s="784" t="s">
        <v>2400</v>
      </c>
      <c r="R19" s="716" t="s">
        <v>704</v>
      </c>
      <c r="S19" s="716" t="s">
        <v>705</v>
      </c>
      <c r="T19" s="716" t="s">
        <v>706</v>
      </c>
      <c r="U19" s="716" t="s">
        <v>707</v>
      </c>
      <c r="V19" s="716" t="s">
        <v>708</v>
      </c>
      <c r="W19" s="716" t="s">
        <v>709</v>
      </c>
      <c r="X19" s="716" t="s">
        <v>710</v>
      </c>
      <c r="Y19" s="716" t="s">
        <v>711</v>
      </c>
      <c r="Z19" s="716" t="s">
        <v>712</v>
      </c>
      <c r="AA19" s="716" t="s">
        <v>713</v>
      </c>
      <c r="AB19" s="716" t="s">
        <v>714</v>
      </c>
      <c r="AC19" s="715" t="s">
        <v>715</v>
      </c>
      <c r="AD19" s="715" t="s">
        <v>716</v>
      </c>
      <c r="AE19" s="715" t="s">
        <v>717</v>
      </c>
      <c r="AF19" s="715" t="s">
        <v>718</v>
      </c>
      <c r="AG19" s="715" t="s">
        <v>719</v>
      </c>
      <c r="AH19" s="715" t="s">
        <v>720</v>
      </c>
      <c r="AI19" s="714" t="s">
        <v>721</v>
      </c>
      <c r="AJ19" s="714" t="s">
        <v>722</v>
      </c>
      <c r="AK19" s="714" t="s">
        <v>723</v>
      </c>
      <c r="AL19" s="714" t="s">
        <v>724</v>
      </c>
      <c r="AM19" s="714" t="s">
        <v>725</v>
      </c>
      <c r="AN19" s="714" t="s">
        <v>663</v>
      </c>
      <c r="AO19" s="713" t="s">
        <v>726</v>
      </c>
      <c r="AP19" s="713" t="s">
        <v>727</v>
      </c>
      <c r="AQ19" s="713" t="s">
        <v>728</v>
      </c>
    </row>
    <row r="20" spans="2:45">
      <c r="B20" s="304" t="s">
        <v>1274</v>
      </c>
      <c r="C20" s="329">
        <v>44408</v>
      </c>
      <c r="D20" s="330">
        <v>-496.8</v>
      </c>
      <c r="E20" s="330">
        <v>0</v>
      </c>
      <c r="F20" s="331" t="s">
        <v>729</v>
      </c>
      <c r="G20" s="304" t="s">
        <v>2399</v>
      </c>
      <c r="H20" s="332" t="s">
        <v>730</v>
      </c>
      <c r="I20" s="304" t="s">
        <v>2398</v>
      </c>
      <c r="J20" s="304" t="s">
        <v>731</v>
      </c>
      <c r="K20" s="304" t="s">
        <v>732</v>
      </c>
      <c r="L20" s="306"/>
      <c r="M20" s="306"/>
      <c r="N20" s="306" t="s">
        <v>2397</v>
      </c>
      <c r="O20" s="324"/>
      <c r="P20" s="783" t="s">
        <v>2378</v>
      </c>
      <c r="Q20" s="712" t="s">
        <v>906</v>
      </c>
      <c r="U20" s="304" t="s">
        <v>2395</v>
      </c>
      <c r="V20" s="304" t="s">
        <v>2395</v>
      </c>
      <c r="X20" s="329">
        <v>44413</v>
      </c>
      <c r="Y20" s="329">
        <v>44413</v>
      </c>
      <c r="AA20" s="329"/>
      <c r="AB20" s="304" t="s">
        <v>733</v>
      </c>
      <c r="AC20" s="304">
        <v>0</v>
      </c>
      <c r="AD20" s="304">
        <v>0</v>
      </c>
      <c r="AE20" s="304">
        <v>0</v>
      </c>
      <c r="AF20" s="304">
        <v>0</v>
      </c>
      <c r="AG20" s="304">
        <v>0</v>
      </c>
      <c r="AH20" s="304">
        <v>1</v>
      </c>
      <c r="AI20" s="304">
        <v>91010</v>
      </c>
      <c r="AJ20" s="304">
        <v>2195</v>
      </c>
      <c r="AK20" s="304">
        <v>0</v>
      </c>
      <c r="AL20" s="304">
        <v>0</v>
      </c>
      <c r="AO20" s="332"/>
      <c r="AP20" s="332"/>
      <c r="AQ20" s="304" t="str">
        <f t="shared" ref="AQ20:AQ42" si="0">IF(LEFT(U20,2)="VO",U20,"")</f>
        <v/>
      </c>
      <c r="AS20" s="304" t="str">
        <f t="shared" ref="AS20:AS42" si="1">IF(RIGHT(K20,2)="IC",IF(OR(AB20="wci_canada",AB20="wci_can_corp"),"wci_can_Corp","wci_corp"),AB20)</f>
        <v>wci_corp</v>
      </c>
    </row>
    <row r="21" spans="2:45">
      <c r="B21" s="304" t="s">
        <v>1274</v>
      </c>
      <c r="C21" s="329">
        <v>44408</v>
      </c>
      <c r="D21" s="330">
        <v>-500</v>
      </c>
      <c r="E21" s="330">
        <v>0</v>
      </c>
      <c r="F21" s="331" t="s">
        <v>729</v>
      </c>
      <c r="G21" s="304" t="s">
        <v>2399</v>
      </c>
      <c r="H21" s="332" t="s">
        <v>730</v>
      </c>
      <c r="I21" s="304" t="s">
        <v>2398</v>
      </c>
      <c r="J21" s="304" t="s">
        <v>731</v>
      </c>
      <c r="K21" s="304" t="s">
        <v>732</v>
      </c>
      <c r="L21" s="306"/>
      <c r="M21" s="306"/>
      <c r="N21" s="306" t="s">
        <v>2397</v>
      </c>
      <c r="O21" s="324"/>
      <c r="P21" s="783" t="s">
        <v>2389</v>
      </c>
      <c r="Q21" s="712" t="s">
        <v>2368</v>
      </c>
      <c r="U21" s="304" t="s">
        <v>2395</v>
      </c>
      <c r="V21" s="304" t="s">
        <v>2395</v>
      </c>
      <c r="X21" s="329">
        <v>44413</v>
      </c>
      <c r="Y21" s="329">
        <v>44413</v>
      </c>
      <c r="AA21" s="329"/>
      <c r="AB21" s="304" t="s">
        <v>733</v>
      </c>
      <c r="AC21" s="304">
        <v>0</v>
      </c>
      <c r="AD21" s="304">
        <v>0</v>
      </c>
      <c r="AE21" s="304">
        <v>0</v>
      </c>
      <c r="AF21" s="304">
        <v>0</v>
      </c>
      <c r="AG21" s="304">
        <v>0</v>
      </c>
      <c r="AH21" s="304">
        <v>1</v>
      </c>
      <c r="AI21" s="304">
        <v>91010</v>
      </c>
      <c r="AJ21" s="304">
        <v>2195</v>
      </c>
      <c r="AK21" s="304">
        <v>0</v>
      </c>
      <c r="AL21" s="304">
        <v>0</v>
      </c>
      <c r="AO21" s="332"/>
      <c r="AP21" s="332"/>
      <c r="AQ21" s="304" t="str">
        <f t="shared" si="0"/>
        <v/>
      </c>
      <c r="AS21" s="304" t="str">
        <f t="shared" si="1"/>
        <v>wci_corp</v>
      </c>
    </row>
    <row r="22" spans="2:45">
      <c r="B22" s="304" t="s">
        <v>1274</v>
      </c>
      <c r="C22" s="329">
        <v>44408</v>
      </c>
      <c r="D22" s="330">
        <v>-216</v>
      </c>
      <c r="E22" s="330">
        <v>0</v>
      </c>
      <c r="F22" s="331" t="s">
        <v>729</v>
      </c>
      <c r="G22" s="304" t="s">
        <v>2399</v>
      </c>
      <c r="H22" s="332" t="s">
        <v>730</v>
      </c>
      <c r="I22" s="304" t="s">
        <v>2398</v>
      </c>
      <c r="J22" s="304" t="s">
        <v>731</v>
      </c>
      <c r="K22" s="304" t="s">
        <v>732</v>
      </c>
      <c r="L22" s="306"/>
      <c r="M22" s="306"/>
      <c r="N22" s="306" t="s">
        <v>2397</v>
      </c>
      <c r="O22" s="324"/>
      <c r="P22" s="783" t="s">
        <v>2390</v>
      </c>
      <c r="Q22" s="712" t="s">
        <v>906</v>
      </c>
      <c r="U22" s="304" t="s">
        <v>2395</v>
      </c>
      <c r="V22" s="304" t="s">
        <v>2395</v>
      </c>
      <c r="X22" s="329">
        <v>44413</v>
      </c>
      <c r="Y22" s="329">
        <v>44413</v>
      </c>
      <c r="AA22" s="329"/>
      <c r="AB22" s="304" t="s">
        <v>733</v>
      </c>
      <c r="AC22" s="304">
        <v>0</v>
      </c>
      <c r="AD22" s="304">
        <v>0</v>
      </c>
      <c r="AE22" s="304">
        <v>0</v>
      </c>
      <c r="AF22" s="304">
        <v>0</v>
      </c>
      <c r="AG22" s="304">
        <v>0</v>
      </c>
      <c r="AH22" s="304">
        <v>1</v>
      </c>
      <c r="AI22" s="304">
        <v>91010</v>
      </c>
      <c r="AJ22" s="304">
        <v>2195</v>
      </c>
      <c r="AK22" s="304">
        <v>0</v>
      </c>
      <c r="AL22" s="304">
        <v>0</v>
      </c>
      <c r="AO22" s="332"/>
      <c r="AP22" s="332"/>
      <c r="AQ22" s="304" t="str">
        <f t="shared" si="0"/>
        <v/>
      </c>
      <c r="AS22" s="304" t="str">
        <f t="shared" si="1"/>
        <v>wci_corp</v>
      </c>
    </row>
    <row r="23" spans="2:45">
      <c r="B23" s="304" t="s">
        <v>1274</v>
      </c>
      <c r="C23" s="329">
        <v>44408</v>
      </c>
      <c r="D23" s="330">
        <v>-327.2</v>
      </c>
      <c r="E23" s="330">
        <v>0</v>
      </c>
      <c r="F23" s="331" t="s">
        <v>729</v>
      </c>
      <c r="G23" s="304" t="s">
        <v>2399</v>
      </c>
      <c r="H23" s="332" t="s">
        <v>730</v>
      </c>
      <c r="I23" s="304" t="s">
        <v>2398</v>
      </c>
      <c r="J23" s="304" t="s">
        <v>731</v>
      </c>
      <c r="K23" s="304" t="s">
        <v>732</v>
      </c>
      <c r="L23" s="306"/>
      <c r="M23" s="306"/>
      <c r="N23" s="306" t="s">
        <v>2397</v>
      </c>
      <c r="O23" s="324"/>
      <c r="P23" s="783" t="s">
        <v>2376</v>
      </c>
      <c r="Q23" s="712" t="s">
        <v>2368</v>
      </c>
      <c r="U23" s="304" t="s">
        <v>2395</v>
      </c>
      <c r="V23" s="304" t="s">
        <v>2395</v>
      </c>
      <c r="X23" s="329">
        <v>44413</v>
      </c>
      <c r="Y23" s="329">
        <v>44413</v>
      </c>
      <c r="AA23" s="329"/>
      <c r="AB23" s="304" t="s">
        <v>733</v>
      </c>
      <c r="AC23" s="304">
        <v>0</v>
      </c>
      <c r="AD23" s="304">
        <v>0</v>
      </c>
      <c r="AE23" s="304">
        <v>0</v>
      </c>
      <c r="AF23" s="304">
        <v>0</v>
      </c>
      <c r="AG23" s="304">
        <v>0</v>
      </c>
      <c r="AH23" s="304">
        <v>1</v>
      </c>
      <c r="AI23" s="304">
        <v>91010</v>
      </c>
      <c r="AJ23" s="304">
        <v>2195</v>
      </c>
      <c r="AK23" s="304">
        <v>0</v>
      </c>
      <c r="AL23" s="304">
        <v>0</v>
      </c>
      <c r="AO23" s="332"/>
      <c r="AP23" s="332"/>
      <c r="AQ23" s="304" t="str">
        <f t="shared" si="0"/>
        <v/>
      </c>
      <c r="AS23" s="304" t="str">
        <f t="shared" si="1"/>
        <v>wci_corp</v>
      </c>
    </row>
    <row r="24" spans="2:45">
      <c r="B24" s="304" t="s">
        <v>1274</v>
      </c>
      <c r="C24" s="329">
        <v>44408</v>
      </c>
      <c r="D24" s="330">
        <v>-332</v>
      </c>
      <c r="E24" s="330">
        <v>0</v>
      </c>
      <c r="F24" s="331" t="s">
        <v>729</v>
      </c>
      <c r="G24" s="304" t="s">
        <v>2399</v>
      </c>
      <c r="H24" s="332" t="s">
        <v>730</v>
      </c>
      <c r="I24" s="304" t="s">
        <v>2398</v>
      </c>
      <c r="J24" s="304" t="s">
        <v>731</v>
      </c>
      <c r="K24" s="304" t="s">
        <v>732</v>
      </c>
      <c r="L24" s="306"/>
      <c r="M24" s="306"/>
      <c r="N24" s="306" t="s">
        <v>2397</v>
      </c>
      <c r="O24" s="324"/>
      <c r="P24" s="783" t="s">
        <v>2378</v>
      </c>
      <c r="Q24" s="712" t="s">
        <v>906</v>
      </c>
      <c r="U24" s="304" t="s">
        <v>2395</v>
      </c>
      <c r="V24" s="304" t="s">
        <v>2395</v>
      </c>
      <c r="X24" s="329">
        <v>44413</v>
      </c>
      <c r="Y24" s="329">
        <v>44413</v>
      </c>
      <c r="AA24" s="329"/>
      <c r="AB24" s="304" t="s">
        <v>733</v>
      </c>
      <c r="AC24" s="304">
        <v>0</v>
      </c>
      <c r="AD24" s="304">
        <v>0</v>
      </c>
      <c r="AE24" s="304">
        <v>0</v>
      </c>
      <c r="AF24" s="304">
        <v>0</v>
      </c>
      <c r="AG24" s="304">
        <v>0</v>
      </c>
      <c r="AH24" s="304">
        <v>1</v>
      </c>
      <c r="AI24" s="304">
        <v>91010</v>
      </c>
      <c r="AJ24" s="304">
        <v>2195</v>
      </c>
      <c r="AK24" s="304">
        <v>0</v>
      </c>
      <c r="AL24" s="304">
        <v>0</v>
      </c>
      <c r="AO24" s="332"/>
      <c r="AP24" s="332"/>
      <c r="AQ24" s="304" t="str">
        <f t="shared" si="0"/>
        <v/>
      </c>
      <c r="AS24" s="304" t="str">
        <f t="shared" si="1"/>
        <v>wci_corp</v>
      </c>
    </row>
    <row r="25" spans="2:45">
      <c r="B25" s="304" t="s">
        <v>1274</v>
      </c>
      <c r="C25" s="329">
        <v>44408</v>
      </c>
      <c r="D25" s="330">
        <v>-210</v>
      </c>
      <c r="E25" s="330">
        <v>0</v>
      </c>
      <c r="F25" s="331" t="s">
        <v>729</v>
      </c>
      <c r="G25" s="304" t="s">
        <v>2399</v>
      </c>
      <c r="H25" s="332" t="s">
        <v>730</v>
      </c>
      <c r="I25" s="304" t="s">
        <v>2398</v>
      </c>
      <c r="J25" s="304" t="s">
        <v>731</v>
      </c>
      <c r="K25" s="304" t="s">
        <v>732</v>
      </c>
      <c r="L25" s="306"/>
      <c r="M25" s="306"/>
      <c r="N25" s="306" t="s">
        <v>2397</v>
      </c>
      <c r="O25" s="324"/>
      <c r="P25" s="783" t="s">
        <v>2389</v>
      </c>
      <c r="Q25" s="712" t="s">
        <v>2368</v>
      </c>
      <c r="U25" s="304" t="s">
        <v>2395</v>
      </c>
      <c r="V25" s="304" t="s">
        <v>2395</v>
      </c>
      <c r="X25" s="329">
        <v>44413</v>
      </c>
      <c r="Y25" s="329">
        <v>44413</v>
      </c>
      <c r="AA25" s="329"/>
      <c r="AB25" s="304" t="s">
        <v>733</v>
      </c>
      <c r="AC25" s="304">
        <v>0</v>
      </c>
      <c r="AD25" s="304">
        <v>0</v>
      </c>
      <c r="AE25" s="304">
        <v>0</v>
      </c>
      <c r="AF25" s="304">
        <v>0</v>
      </c>
      <c r="AG25" s="304">
        <v>0</v>
      </c>
      <c r="AH25" s="304">
        <v>1</v>
      </c>
      <c r="AI25" s="304">
        <v>91010</v>
      </c>
      <c r="AJ25" s="304">
        <v>2195</v>
      </c>
      <c r="AK25" s="304">
        <v>0</v>
      </c>
      <c r="AL25" s="304">
        <v>0</v>
      </c>
      <c r="AO25" s="332"/>
      <c r="AP25" s="332"/>
      <c r="AQ25" s="304" t="str">
        <f t="shared" si="0"/>
        <v/>
      </c>
      <c r="AS25" s="304" t="str">
        <f t="shared" si="1"/>
        <v>wci_corp</v>
      </c>
    </row>
    <row r="26" spans="2:45">
      <c r="B26" s="304" t="s">
        <v>1274</v>
      </c>
      <c r="C26" s="329">
        <v>44408</v>
      </c>
      <c r="D26" s="330">
        <v>-24.4</v>
      </c>
      <c r="E26" s="330">
        <v>0</v>
      </c>
      <c r="F26" s="331" t="s">
        <v>729</v>
      </c>
      <c r="G26" s="304" t="s">
        <v>2399</v>
      </c>
      <c r="H26" s="332" t="s">
        <v>730</v>
      </c>
      <c r="I26" s="304" t="s">
        <v>2398</v>
      </c>
      <c r="J26" s="304" t="s">
        <v>731</v>
      </c>
      <c r="K26" s="304" t="s">
        <v>732</v>
      </c>
      <c r="L26" s="306"/>
      <c r="M26" s="306"/>
      <c r="N26" s="306" t="s">
        <v>2397</v>
      </c>
      <c r="O26" s="324"/>
      <c r="P26" s="783" t="s">
        <v>2396</v>
      </c>
      <c r="Q26" s="712" t="s">
        <v>906</v>
      </c>
      <c r="U26" s="304" t="s">
        <v>2395</v>
      </c>
      <c r="V26" s="304" t="s">
        <v>2395</v>
      </c>
      <c r="X26" s="329">
        <v>44413</v>
      </c>
      <c r="Y26" s="329">
        <v>44413</v>
      </c>
      <c r="AA26" s="329"/>
      <c r="AB26" s="304" t="s">
        <v>733</v>
      </c>
      <c r="AC26" s="304">
        <v>0</v>
      </c>
      <c r="AD26" s="304">
        <v>0</v>
      </c>
      <c r="AE26" s="304">
        <v>0</v>
      </c>
      <c r="AF26" s="304">
        <v>0</v>
      </c>
      <c r="AG26" s="304">
        <v>0</v>
      </c>
      <c r="AH26" s="304">
        <v>1</v>
      </c>
      <c r="AI26" s="304">
        <v>91010</v>
      </c>
      <c r="AJ26" s="304">
        <v>2195</v>
      </c>
      <c r="AK26" s="304">
        <v>0</v>
      </c>
      <c r="AL26" s="304">
        <v>0</v>
      </c>
      <c r="AO26" s="332"/>
      <c r="AP26" s="332"/>
      <c r="AQ26" s="304" t="str">
        <f t="shared" si="0"/>
        <v/>
      </c>
      <c r="AS26" s="304" t="str">
        <f t="shared" si="1"/>
        <v>wci_corp</v>
      </c>
    </row>
    <row r="27" spans="2:45">
      <c r="B27" s="304" t="s">
        <v>1274</v>
      </c>
      <c r="C27" s="329">
        <v>44500</v>
      </c>
      <c r="D27" s="330">
        <v>-1000</v>
      </c>
      <c r="E27" s="330">
        <v>0</v>
      </c>
      <c r="F27" s="331" t="s">
        <v>729</v>
      </c>
      <c r="G27" s="304" t="s">
        <v>2394</v>
      </c>
      <c r="H27" s="332" t="s">
        <v>730</v>
      </c>
      <c r="I27" s="304" t="s">
        <v>2393</v>
      </c>
      <c r="J27" s="304" t="s">
        <v>736</v>
      </c>
      <c r="K27" s="304" t="s">
        <v>732</v>
      </c>
      <c r="L27" s="306"/>
      <c r="M27" s="306"/>
      <c r="N27" s="306" t="s">
        <v>1050</v>
      </c>
      <c r="O27" s="324"/>
      <c r="P27" s="783" t="s">
        <v>2392</v>
      </c>
      <c r="Q27" s="712" t="s">
        <v>2367</v>
      </c>
      <c r="U27" s="304" t="s">
        <v>2391</v>
      </c>
      <c r="V27" s="304" t="s">
        <v>2391</v>
      </c>
      <c r="X27" s="329">
        <v>44504</v>
      </c>
      <c r="Y27" s="329">
        <v>44504</v>
      </c>
      <c r="AA27" s="329"/>
      <c r="AB27" s="304" t="s">
        <v>733</v>
      </c>
      <c r="AC27" s="304">
        <v>0</v>
      </c>
      <c r="AD27" s="304">
        <v>0</v>
      </c>
      <c r="AE27" s="304">
        <v>0</v>
      </c>
      <c r="AF27" s="304">
        <v>0</v>
      </c>
      <c r="AG27" s="304">
        <v>0</v>
      </c>
      <c r="AH27" s="304">
        <v>1</v>
      </c>
      <c r="AI27" s="304">
        <v>91010</v>
      </c>
      <c r="AJ27" s="304">
        <v>2195</v>
      </c>
      <c r="AK27" s="304">
        <v>0</v>
      </c>
      <c r="AL27" s="304">
        <v>0</v>
      </c>
      <c r="AO27" s="332"/>
      <c r="AP27" s="332"/>
      <c r="AQ27" s="304" t="str">
        <f t="shared" si="0"/>
        <v/>
      </c>
      <c r="AS27" s="304" t="str">
        <f t="shared" si="1"/>
        <v>wci_corp</v>
      </c>
    </row>
    <row r="28" spans="2:45">
      <c r="B28" s="304" t="s">
        <v>1274</v>
      </c>
      <c r="C28" s="329">
        <v>44561</v>
      </c>
      <c r="D28" s="330">
        <v>-50</v>
      </c>
      <c r="E28" s="330">
        <v>0</v>
      </c>
      <c r="F28" s="331" t="s">
        <v>729</v>
      </c>
      <c r="G28" s="304" t="s">
        <v>2388</v>
      </c>
      <c r="H28" s="332" t="s">
        <v>730</v>
      </c>
      <c r="I28" s="304" t="s">
        <v>2387</v>
      </c>
      <c r="J28" s="304" t="s">
        <v>2135</v>
      </c>
      <c r="K28" s="304" t="s">
        <v>732</v>
      </c>
      <c r="L28" s="306"/>
      <c r="M28" s="306"/>
      <c r="N28" s="306" t="s">
        <v>1050</v>
      </c>
      <c r="O28" s="324"/>
      <c r="P28" s="783" t="s">
        <v>2390</v>
      </c>
      <c r="Q28" s="712" t="s">
        <v>906</v>
      </c>
      <c r="U28" s="304" t="s">
        <v>2386</v>
      </c>
      <c r="V28" s="304" t="s">
        <v>2386</v>
      </c>
      <c r="X28" s="329">
        <v>44567</v>
      </c>
      <c r="Y28" s="329">
        <v>44567</v>
      </c>
      <c r="AA28" s="329"/>
      <c r="AB28" s="304" t="s">
        <v>733</v>
      </c>
      <c r="AC28" s="304">
        <v>0</v>
      </c>
      <c r="AD28" s="304">
        <v>0</v>
      </c>
      <c r="AE28" s="304">
        <v>0</v>
      </c>
      <c r="AF28" s="304">
        <v>0</v>
      </c>
      <c r="AG28" s="304">
        <v>0</v>
      </c>
      <c r="AH28" s="304">
        <v>1</v>
      </c>
      <c r="AI28" s="304">
        <v>91010</v>
      </c>
      <c r="AJ28" s="304">
        <v>2195</v>
      </c>
      <c r="AK28" s="304">
        <v>0</v>
      </c>
      <c r="AL28" s="304">
        <v>0</v>
      </c>
      <c r="AO28" s="332"/>
      <c r="AP28" s="332"/>
      <c r="AQ28" s="304" t="str">
        <f t="shared" si="0"/>
        <v/>
      </c>
      <c r="AS28" s="304" t="str">
        <f t="shared" si="1"/>
        <v>wci_corp</v>
      </c>
    </row>
    <row r="29" spans="2:45">
      <c r="B29" s="304" t="s">
        <v>1274</v>
      </c>
      <c r="C29" s="329">
        <v>44561</v>
      </c>
      <c r="D29" s="330">
        <v>-150</v>
      </c>
      <c r="E29" s="330">
        <v>0</v>
      </c>
      <c r="F29" s="331" t="s">
        <v>729</v>
      </c>
      <c r="G29" s="304" t="s">
        <v>2388</v>
      </c>
      <c r="H29" s="332" t="s">
        <v>730</v>
      </c>
      <c r="I29" s="304" t="s">
        <v>2387</v>
      </c>
      <c r="J29" s="304" t="s">
        <v>2135</v>
      </c>
      <c r="K29" s="304" t="s">
        <v>732</v>
      </c>
      <c r="L29" s="306"/>
      <c r="M29" s="306"/>
      <c r="N29" s="306" t="s">
        <v>1050</v>
      </c>
      <c r="O29" s="324"/>
      <c r="P29" s="783" t="s">
        <v>2376</v>
      </c>
      <c r="Q29" s="712" t="s">
        <v>2368</v>
      </c>
      <c r="U29" s="304" t="s">
        <v>2386</v>
      </c>
      <c r="V29" s="304" t="s">
        <v>2386</v>
      </c>
      <c r="X29" s="329">
        <v>44567</v>
      </c>
      <c r="Y29" s="329">
        <v>44567</v>
      </c>
      <c r="AA29" s="329"/>
      <c r="AB29" s="304" t="s">
        <v>733</v>
      </c>
      <c r="AC29" s="304">
        <v>0</v>
      </c>
      <c r="AD29" s="304">
        <v>0</v>
      </c>
      <c r="AE29" s="304">
        <v>0</v>
      </c>
      <c r="AF29" s="304">
        <v>0</v>
      </c>
      <c r="AG29" s="304">
        <v>0</v>
      </c>
      <c r="AH29" s="304">
        <v>1</v>
      </c>
      <c r="AI29" s="304">
        <v>91010</v>
      </c>
      <c r="AJ29" s="304">
        <v>2195</v>
      </c>
      <c r="AK29" s="304">
        <v>0</v>
      </c>
      <c r="AL29" s="304">
        <v>0</v>
      </c>
      <c r="AO29" s="332"/>
      <c r="AP29" s="332"/>
      <c r="AQ29" s="304" t="str">
        <f t="shared" si="0"/>
        <v/>
      </c>
      <c r="AS29" s="304" t="str">
        <f t="shared" si="1"/>
        <v>wci_corp</v>
      </c>
    </row>
    <row r="30" spans="2:45">
      <c r="B30" s="304" t="s">
        <v>1274</v>
      </c>
      <c r="C30" s="329">
        <v>44561</v>
      </c>
      <c r="D30" s="330">
        <v>-150</v>
      </c>
      <c r="E30" s="330">
        <v>0</v>
      </c>
      <c r="F30" s="331" t="s">
        <v>729</v>
      </c>
      <c r="G30" s="304" t="s">
        <v>2388</v>
      </c>
      <c r="H30" s="332" t="s">
        <v>730</v>
      </c>
      <c r="I30" s="304" t="s">
        <v>2387</v>
      </c>
      <c r="J30" s="304" t="s">
        <v>2135</v>
      </c>
      <c r="K30" s="304" t="s">
        <v>732</v>
      </c>
      <c r="L30" s="306"/>
      <c r="M30" s="306"/>
      <c r="N30" s="306" t="s">
        <v>1050</v>
      </c>
      <c r="O30" s="324"/>
      <c r="P30" s="783" t="s">
        <v>2389</v>
      </c>
      <c r="Q30" s="712" t="s">
        <v>2368</v>
      </c>
      <c r="U30" s="304" t="s">
        <v>2386</v>
      </c>
      <c r="V30" s="304" t="s">
        <v>2386</v>
      </c>
      <c r="X30" s="329">
        <v>44567</v>
      </c>
      <c r="Y30" s="329">
        <v>44567</v>
      </c>
      <c r="AA30" s="329"/>
      <c r="AB30" s="304" t="s">
        <v>733</v>
      </c>
      <c r="AC30" s="304">
        <v>0</v>
      </c>
      <c r="AD30" s="304">
        <v>0</v>
      </c>
      <c r="AE30" s="304">
        <v>0</v>
      </c>
      <c r="AF30" s="304">
        <v>0</v>
      </c>
      <c r="AG30" s="304">
        <v>0</v>
      </c>
      <c r="AH30" s="304">
        <v>1</v>
      </c>
      <c r="AI30" s="304">
        <v>91010</v>
      </c>
      <c r="AJ30" s="304">
        <v>2195</v>
      </c>
      <c r="AK30" s="304">
        <v>0</v>
      </c>
      <c r="AL30" s="304">
        <v>0</v>
      </c>
      <c r="AO30" s="332"/>
      <c r="AP30" s="332"/>
      <c r="AQ30" s="304" t="str">
        <f t="shared" si="0"/>
        <v/>
      </c>
      <c r="AS30" s="304" t="str">
        <f t="shared" si="1"/>
        <v>wci_corp</v>
      </c>
    </row>
    <row r="31" spans="2:45">
      <c r="B31" s="304" t="s">
        <v>1274</v>
      </c>
      <c r="C31" s="329">
        <v>44561</v>
      </c>
      <c r="D31" s="330">
        <v>-1072.75</v>
      </c>
      <c r="E31" s="330">
        <v>0</v>
      </c>
      <c r="F31" s="331" t="s">
        <v>729</v>
      </c>
      <c r="G31" s="304" t="s">
        <v>2388</v>
      </c>
      <c r="H31" s="332" t="s">
        <v>730</v>
      </c>
      <c r="I31" s="304" t="s">
        <v>2387</v>
      </c>
      <c r="J31" s="304" t="s">
        <v>2135</v>
      </c>
      <c r="K31" s="304" t="s">
        <v>732</v>
      </c>
      <c r="L31" s="306"/>
      <c r="M31" s="306"/>
      <c r="N31" s="306" t="s">
        <v>1050</v>
      </c>
      <c r="O31" s="324"/>
      <c r="P31" s="783" t="s">
        <v>2378</v>
      </c>
      <c r="Q31" s="712" t="s">
        <v>906</v>
      </c>
      <c r="U31" s="304" t="s">
        <v>2386</v>
      </c>
      <c r="V31" s="304" t="s">
        <v>2386</v>
      </c>
      <c r="X31" s="329">
        <v>44567</v>
      </c>
      <c r="Y31" s="329">
        <v>44567</v>
      </c>
      <c r="AA31" s="329"/>
      <c r="AB31" s="304" t="s">
        <v>733</v>
      </c>
      <c r="AC31" s="304">
        <v>0</v>
      </c>
      <c r="AD31" s="304">
        <v>0</v>
      </c>
      <c r="AE31" s="304">
        <v>0</v>
      </c>
      <c r="AF31" s="304">
        <v>0</v>
      </c>
      <c r="AG31" s="304">
        <v>0</v>
      </c>
      <c r="AH31" s="304">
        <v>1</v>
      </c>
      <c r="AI31" s="304">
        <v>91010</v>
      </c>
      <c r="AJ31" s="304">
        <v>2195</v>
      </c>
      <c r="AK31" s="304">
        <v>0</v>
      </c>
      <c r="AL31" s="304">
        <v>0</v>
      </c>
      <c r="AO31" s="332"/>
      <c r="AP31" s="332"/>
      <c r="AQ31" s="304" t="str">
        <f t="shared" si="0"/>
        <v/>
      </c>
      <c r="AS31" s="304" t="str">
        <f t="shared" si="1"/>
        <v>wci_corp</v>
      </c>
    </row>
    <row r="32" spans="2:45">
      <c r="B32" s="304" t="s">
        <v>1274</v>
      </c>
      <c r="C32" s="329">
        <v>44592</v>
      </c>
      <c r="D32" s="330">
        <v>-342</v>
      </c>
      <c r="E32" s="330">
        <v>0</v>
      </c>
      <c r="F32" s="331" t="s">
        <v>729</v>
      </c>
      <c r="G32" s="304" t="s">
        <v>2385</v>
      </c>
      <c r="H32" s="332" t="s">
        <v>730</v>
      </c>
      <c r="I32" s="304" t="s">
        <v>2384</v>
      </c>
      <c r="J32" s="304" t="s">
        <v>2192</v>
      </c>
      <c r="K32" s="304" t="s">
        <v>732</v>
      </c>
      <c r="L32" s="306"/>
      <c r="M32" s="306"/>
      <c r="N32" s="306" t="s">
        <v>1050</v>
      </c>
      <c r="O32" s="324"/>
      <c r="P32" s="783" t="s">
        <v>2378</v>
      </c>
      <c r="Q32" s="712" t="s">
        <v>906</v>
      </c>
      <c r="U32" s="304" t="s">
        <v>2383</v>
      </c>
      <c r="V32" s="304" t="s">
        <v>2383</v>
      </c>
      <c r="X32" s="329">
        <v>44596</v>
      </c>
      <c r="Y32" s="329">
        <v>44596</v>
      </c>
      <c r="AA32" s="329"/>
      <c r="AB32" s="304" t="s">
        <v>733</v>
      </c>
      <c r="AC32" s="304">
        <v>0</v>
      </c>
      <c r="AD32" s="304">
        <v>0</v>
      </c>
      <c r="AE32" s="304">
        <v>0</v>
      </c>
      <c r="AF32" s="304">
        <v>0</v>
      </c>
      <c r="AG32" s="304">
        <v>0</v>
      </c>
      <c r="AH32" s="304">
        <v>1</v>
      </c>
      <c r="AI32" s="304">
        <v>91010</v>
      </c>
      <c r="AJ32" s="304">
        <v>2195</v>
      </c>
      <c r="AK32" s="304">
        <v>0</v>
      </c>
      <c r="AL32" s="304">
        <v>0</v>
      </c>
      <c r="AO32" s="332"/>
      <c r="AP32" s="332"/>
      <c r="AQ32" s="304" t="str">
        <f t="shared" si="0"/>
        <v/>
      </c>
      <c r="AS32" s="304" t="str">
        <f t="shared" si="1"/>
        <v>wci_corp</v>
      </c>
    </row>
    <row r="33" spans="2:45">
      <c r="B33" s="304" t="s">
        <v>1274</v>
      </c>
      <c r="C33" s="329">
        <v>44620</v>
      </c>
      <c r="D33" s="330">
        <v>-57.2</v>
      </c>
      <c r="E33" s="330">
        <v>0</v>
      </c>
      <c r="F33" s="331" t="s">
        <v>729</v>
      </c>
      <c r="G33" s="304" t="s">
        <v>2382</v>
      </c>
      <c r="H33" s="332" t="s">
        <v>730</v>
      </c>
      <c r="I33" s="304" t="s">
        <v>2381</v>
      </c>
      <c r="J33" s="304" t="s">
        <v>2192</v>
      </c>
      <c r="K33" s="304" t="s">
        <v>732</v>
      </c>
      <c r="L33" s="306"/>
      <c r="M33" s="306"/>
      <c r="N33" s="306" t="s">
        <v>1050</v>
      </c>
      <c r="O33" s="324"/>
      <c r="P33" s="783" t="s">
        <v>2377</v>
      </c>
      <c r="Q33" s="712" t="s">
        <v>906</v>
      </c>
      <c r="U33" s="304" t="s">
        <v>2379</v>
      </c>
      <c r="V33" s="304" t="s">
        <v>2379</v>
      </c>
      <c r="X33" s="329">
        <v>44624</v>
      </c>
      <c r="Y33" s="329">
        <v>44624</v>
      </c>
      <c r="AA33" s="329"/>
      <c r="AB33" s="304" t="s">
        <v>733</v>
      </c>
      <c r="AC33" s="304">
        <v>0</v>
      </c>
      <c r="AD33" s="304">
        <v>0</v>
      </c>
      <c r="AE33" s="304">
        <v>0</v>
      </c>
      <c r="AF33" s="304">
        <v>0</v>
      </c>
      <c r="AG33" s="304">
        <v>0</v>
      </c>
      <c r="AH33" s="304">
        <v>1</v>
      </c>
      <c r="AI33" s="304">
        <v>91010</v>
      </c>
      <c r="AJ33" s="304">
        <v>2195</v>
      </c>
      <c r="AK33" s="304">
        <v>0</v>
      </c>
      <c r="AL33" s="304">
        <v>0</v>
      </c>
      <c r="AO33" s="332"/>
      <c r="AP33" s="332"/>
      <c r="AQ33" s="304" t="str">
        <f t="shared" si="0"/>
        <v/>
      </c>
      <c r="AS33" s="304" t="str">
        <f t="shared" si="1"/>
        <v>wci_corp</v>
      </c>
    </row>
    <row r="34" spans="2:45">
      <c r="B34" s="304" t="s">
        <v>1274</v>
      </c>
      <c r="C34" s="329">
        <v>44620</v>
      </c>
      <c r="D34" s="330">
        <v>-130</v>
      </c>
      <c r="E34" s="330">
        <v>0</v>
      </c>
      <c r="F34" s="331" t="s">
        <v>729</v>
      </c>
      <c r="G34" s="304" t="s">
        <v>2382</v>
      </c>
      <c r="H34" s="332" t="s">
        <v>730</v>
      </c>
      <c r="I34" s="304" t="s">
        <v>2381</v>
      </c>
      <c r="J34" s="304" t="s">
        <v>2192</v>
      </c>
      <c r="K34" s="304" t="s">
        <v>732</v>
      </c>
      <c r="L34" s="306"/>
      <c r="M34" s="306"/>
      <c r="N34" s="306" t="s">
        <v>1050</v>
      </c>
      <c r="O34" s="324"/>
      <c r="P34" s="783" t="s">
        <v>2380</v>
      </c>
      <c r="Q34" s="712" t="s">
        <v>906</v>
      </c>
      <c r="U34" s="304" t="s">
        <v>2379</v>
      </c>
      <c r="V34" s="304" t="s">
        <v>2379</v>
      </c>
      <c r="X34" s="329">
        <v>44624</v>
      </c>
      <c r="Y34" s="329">
        <v>44624</v>
      </c>
      <c r="AA34" s="329"/>
      <c r="AB34" s="304" t="s">
        <v>733</v>
      </c>
      <c r="AC34" s="304">
        <v>0</v>
      </c>
      <c r="AD34" s="304">
        <v>0</v>
      </c>
      <c r="AE34" s="304">
        <v>0</v>
      </c>
      <c r="AF34" s="304">
        <v>0</v>
      </c>
      <c r="AG34" s="304">
        <v>0</v>
      </c>
      <c r="AH34" s="304">
        <v>1</v>
      </c>
      <c r="AI34" s="304">
        <v>91010</v>
      </c>
      <c r="AJ34" s="304">
        <v>2195</v>
      </c>
      <c r="AK34" s="304">
        <v>0</v>
      </c>
      <c r="AL34" s="304">
        <v>0</v>
      </c>
      <c r="AO34" s="332"/>
      <c r="AP34" s="332"/>
      <c r="AQ34" s="304" t="str">
        <f t="shared" si="0"/>
        <v/>
      </c>
      <c r="AS34" s="304" t="str">
        <f t="shared" si="1"/>
        <v>wci_corp</v>
      </c>
    </row>
    <row r="35" spans="2:45">
      <c r="B35" s="304" t="s">
        <v>1274</v>
      </c>
      <c r="C35" s="329">
        <v>44651</v>
      </c>
      <c r="D35" s="330">
        <v>-300</v>
      </c>
      <c r="E35" s="330">
        <v>0</v>
      </c>
      <c r="F35" s="331" t="s">
        <v>729</v>
      </c>
      <c r="G35" s="304" t="s">
        <v>2372</v>
      </c>
      <c r="H35" s="332" t="s">
        <v>730</v>
      </c>
      <c r="I35" s="304" t="s">
        <v>2371</v>
      </c>
      <c r="J35" s="304" t="s">
        <v>2192</v>
      </c>
      <c r="K35" s="304" t="s">
        <v>732</v>
      </c>
      <c r="L35" s="306"/>
      <c r="M35" s="306"/>
      <c r="N35" s="306" t="s">
        <v>1050</v>
      </c>
      <c r="O35" s="324"/>
      <c r="P35" s="783" t="s">
        <v>2378</v>
      </c>
      <c r="Q35" s="712" t="s">
        <v>906</v>
      </c>
      <c r="U35" s="304" t="s">
        <v>2369</v>
      </c>
      <c r="V35" s="304" t="s">
        <v>2369</v>
      </c>
      <c r="X35" s="329">
        <v>44657</v>
      </c>
      <c r="Y35" s="329">
        <v>44657</v>
      </c>
      <c r="AA35" s="329"/>
      <c r="AB35" s="304" t="s">
        <v>733</v>
      </c>
      <c r="AC35" s="304">
        <v>0</v>
      </c>
      <c r="AD35" s="304">
        <v>0</v>
      </c>
      <c r="AE35" s="304">
        <v>0</v>
      </c>
      <c r="AF35" s="304">
        <v>0</v>
      </c>
      <c r="AG35" s="304">
        <v>0</v>
      </c>
      <c r="AH35" s="304">
        <v>1</v>
      </c>
      <c r="AI35" s="304">
        <v>91010</v>
      </c>
      <c r="AJ35" s="304">
        <v>2195</v>
      </c>
      <c r="AK35" s="304">
        <v>0</v>
      </c>
      <c r="AL35" s="304">
        <v>0</v>
      </c>
      <c r="AO35" s="332"/>
      <c r="AP35" s="332"/>
      <c r="AQ35" s="304" t="str">
        <f t="shared" si="0"/>
        <v/>
      </c>
      <c r="AS35" s="304" t="str">
        <f t="shared" si="1"/>
        <v>wci_corp</v>
      </c>
    </row>
    <row r="36" spans="2:45">
      <c r="B36" s="304" t="s">
        <v>1274</v>
      </c>
      <c r="C36" s="329">
        <v>44651</v>
      </c>
      <c r="D36" s="330">
        <v>-300</v>
      </c>
      <c r="E36" s="330">
        <v>0</v>
      </c>
      <c r="F36" s="331" t="s">
        <v>729</v>
      </c>
      <c r="G36" s="304" t="s">
        <v>2372</v>
      </c>
      <c r="H36" s="332" t="s">
        <v>730</v>
      </c>
      <c r="I36" s="304" t="s">
        <v>2371</v>
      </c>
      <c r="J36" s="304" t="s">
        <v>2192</v>
      </c>
      <c r="K36" s="304" t="s">
        <v>732</v>
      </c>
      <c r="L36" s="306"/>
      <c r="M36" s="306"/>
      <c r="N36" s="306" t="s">
        <v>1050</v>
      </c>
      <c r="O36" s="324"/>
      <c r="P36" s="783" t="s">
        <v>2378</v>
      </c>
      <c r="Q36" s="712" t="s">
        <v>906</v>
      </c>
      <c r="U36" s="304" t="s">
        <v>2369</v>
      </c>
      <c r="V36" s="304" t="s">
        <v>2369</v>
      </c>
      <c r="X36" s="329">
        <v>44657</v>
      </c>
      <c r="Y36" s="329">
        <v>44657</v>
      </c>
      <c r="AA36" s="329"/>
      <c r="AB36" s="304" t="s">
        <v>733</v>
      </c>
      <c r="AC36" s="304">
        <v>0</v>
      </c>
      <c r="AD36" s="304">
        <v>0</v>
      </c>
      <c r="AE36" s="304">
        <v>0</v>
      </c>
      <c r="AF36" s="304">
        <v>0</v>
      </c>
      <c r="AG36" s="304">
        <v>0</v>
      </c>
      <c r="AH36" s="304">
        <v>1</v>
      </c>
      <c r="AI36" s="304">
        <v>91010</v>
      </c>
      <c r="AJ36" s="304">
        <v>2195</v>
      </c>
      <c r="AK36" s="304">
        <v>0</v>
      </c>
      <c r="AL36" s="304">
        <v>0</v>
      </c>
      <c r="AO36" s="332"/>
      <c r="AP36" s="332"/>
      <c r="AQ36" s="304" t="str">
        <f t="shared" si="0"/>
        <v/>
      </c>
      <c r="AS36" s="304" t="str">
        <f t="shared" si="1"/>
        <v>wci_corp</v>
      </c>
    </row>
    <row r="37" spans="2:45">
      <c r="B37" s="304" t="s">
        <v>1274</v>
      </c>
      <c r="C37" s="329">
        <v>44651</v>
      </c>
      <c r="D37" s="330">
        <v>-49.2</v>
      </c>
      <c r="E37" s="330">
        <v>0</v>
      </c>
      <c r="F37" s="331" t="s">
        <v>729</v>
      </c>
      <c r="G37" s="304" t="s">
        <v>2372</v>
      </c>
      <c r="H37" s="332" t="s">
        <v>730</v>
      </c>
      <c r="I37" s="304" t="s">
        <v>2371</v>
      </c>
      <c r="J37" s="304" t="s">
        <v>2192</v>
      </c>
      <c r="K37" s="304" t="s">
        <v>732</v>
      </c>
      <c r="L37" s="306"/>
      <c r="M37" s="306"/>
      <c r="N37" s="306" t="s">
        <v>1050</v>
      </c>
      <c r="O37" s="324"/>
      <c r="P37" s="783" t="s">
        <v>2377</v>
      </c>
      <c r="Q37" s="712" t="s">
        <v>906</v>
      </c>
      <c r="U37" s="304" t="s">
        <v>2369</v>
      </c>
      <c r="V37" s="304" t="s">
        <v>2369</v>
      </c>
      <c r="X37" s="329">
        <v>44657</v>
      </c>
      <c r="Y37" s="329">
        <v>44657</v>
      </c>
      <c r="AA37" s="329"/>
      <c r="AB37" s="304" t="s">
        <v>733</v>
      </c>
      <c r="AC37" s="304">
        <v>0</v>
      </c>
      <c r="AD37" s="304">
        <v>0</v>
      </c>
      <c r="AE37" s="304">
        <v>0</v>
      </c>
      <c r="AF37" s="304">
        <v>0</v>
      </c>
      <c r="AG37" s="304">
        <v>0</v>
      </c>
      <c r="AH37" s="304">
        <v>1</v>
      </c>
      <c r="AI37" s="304">
        <v>91010</v>
      </c>
      <c r="AJ37" s="304">
        <v>2195</v>
      </c>
      <c r="AK37" s="304">
        <v>0</v>
      </c>
      <c r="AL37" s="304">
        <v>0</v>
      </c>
      <c r="AO37" s="332"/>
      <c r="AP37" s="332"/>
      <c r="AQ37" s="304" t="str">
        <f t="shared" si="0"/>
        <v/>
      </c>
      <c r="AS37" s="304" t="str">
        <f t="shared" si="1"/>
        <v>wci_corp</v>
      </c>
    </row>
    <row r="38" spans="2:45">
      <c r="B38" s="304" t="s">
        <v>1274</v>
      </c>
      <c r="C38" s="329">
        <v>44651</v>
      </c>
      <c r="D38" s="330">
        <v>-200</v>
      </c>
      <c r="E38" s="330">
        <v>0</v>
      </c>
      <c r="F38" s="331" t="s">
        <v>729</v>
      </c>
      <c r="G38" s="304" t="s">
        <v>2372</v>
      </c>
      <c r="H38" s="332" t="s">
        <v>730</v>
      </c>
      <c r="I38" s="304" t="s">
        <v>2371</v>
      </c>
      <c r="J38" s="304" t="s">
        <v>2192</v>
      </c>
      <c r="K38" s="304" t="s">
        <v>732</v>
      </c>
      <c r="L38" s="306"/>
      <c r="M38" s="306"/>
      <c r="N38" s="306" t="s">
        <v>1050</v>
      </c>
      <c r="O38" s="324"/>
      <c r="P38" s="783" t="s">
        <v>2376</v>
      </c>
      <c r="Q38" s="712" t="s">
        <v>2368</v>
      </c>
      <c r="U38" s="304" t="s">
        <v>2369</v>
      </c>
      <c r="V38" s="304" t="s">
        <v>2369</v>
      </c>
      <c r="X38" s="329">
        <v>44657</v>
      </c>
      <c r="Y38" s="329">
        <v>44657</v>
      </c>
      <c r="AA38" s="329"/>
      <c r="AB38" s="304" t="s">
        <v>733</v>
      </c>
      <c r="AC38" s="304">
        <v>0</v>
      </c>
      <c r="AD38" s="304">
        <v>0</v>
      </c>
      <c r="AE38" s="304">
        <v>0</v>
      </c>
      <c r="AF38" s="304">
        <v>0</v>
      </c>
      <c r="AG38" s="304">
        <v>0</v>
      </c>
      <c r="AH38" s="304">
        <v>1</v>
      </c>
      <c r="AI38" s="304">
        <v>91010</v>
      </c>
      <c r="AJ38" s="304">
        <v>2195</v>
      </c>
      <c r="AK38" s="304">
        <v>0</v>
      </c>
      <c r="AL38" s="304">
        <v>0</v>
      </c>
      <c r="AO38" s="332"/>
      <c r="AP38" s="332"/>
      <c r="AQ38" s="304" t="str">
        <f t="shared" si="0"/>
        <v/>
      </c>
      <c r="AS38" s="304" t="str">
        <f t="shared" si="1"/>
        <v>wci_corp</v>
      </c>
    </row>
    <row r="39" spans="2:45">
      <c r="B39" s="304" t="s">
        <v>1274</v>
      </c>
      <c r="C39" s="329">
        <v>44651</v>
      </c>
      <c r="D39" s="330">
        <v>-500</v>
      </c>
      <c r="E39" s="330">
        <v>0</v>
      </c>
      <c r="F39" s="331" t="s">
        <v>729</v>
      </c>
      <c r="G39" s="304" t="s">
        <v>2372</v>
      </c>
      <c r="H39" s="332" t="s">
        <v>730</v>
      </c>
      <c r="I39" s="304" t="s">
        <v>2371</v>
      </c>
      <c r="J39" s="304" t="s">
        <v>2192</v>
      </c>
      <c r="K39" s="304" t="s">
        <v>732</v>
      </c>
      <c r="L39" s="306"/>
      <c r="M39" s="306"/>
      <c r="N39" s="306" t="s">
        <v>1050</v>
      </c>
      <c r="O39" s="324"/>
      <c r="P39" s="783" t="s">
        <v>2375</v>
      </c>
      <c r="Q39" s="712" t="s">
        <v>906</v>
      </c>
      <c r="U39" s="304" t="s">
        <v>2369</v>
      </c>
      <c r="V39" s="304" t="s">
        <v>2369</v>
      </c>
      <c r="X39" s="329">
        <v>44657</v>
      </c>
      <c r="Y39" s="329">
        <v>44657</v>
      </c>
      <c r="AA39" s="329"/>
      <c r="AB39" s="304" t="s">
        <v>733</v>
      </c>
      <c r="AC39" s="304">
        <v>0</v>
      </c>
      <c r="AD39" s="304">
        <v>0</v>
      </c>
      <c r="AE39" s="304">
        <v>0</v>
      </c>
      <c r="AF39" s="304">
        <v>0</v>
      </c>
      <c r="AG39" s="304">
        <v>0</v>
      </c>
      <c r="AH39" s="304">
        <v>1</v>
      </c>
      <c r="AI39" s="304">
        <v>91010</v>
      </c>
      <c r="AJ39" s="304">
        <v>2195</v>
      </c>
      <c r="AK39" s="304">
        <v>0</v>
      </c>
      <c r="AL39" s="304">
        <v>0</v>
      </c>
      <c r="AO39" s="332"/>
      <c r="AP39" s="332"/>
      <c r="AQ39" s="304" t="str">
        <f t="shared" si="0"/>
        <v/>
      </c>
      <c r="AS39" s="304" t="str">
        <f t="shared" si="1"/>
        <v>wci_corp</v>
      </c>
    </row>
    <row r="40" spans="2:45">
      <c r="B40" s="304" t="s">
        <v>1274</v>
      </c>
      <c r="C40" s="329">
        <v>44651</v>
      </c>
      <c r="D40" s="330">
        <v>-700</v>
      </c>
      <c r="E40" s="330">
        <v>0</v>
      </c>
      <c r="F40" s="331" t="s">
        <v>729</v>
      </c>
      <c r="G40" s="304" t="s">
        <v>2372</v>
      </c>
      <c r="H40" s="332" t="s">
        <v>730</v>
      </c>
      <c r="I40" s="304" t="s">
        <v>2371</v>
      </c>
      <c r="J40" s="304" t="s">
        <v>2192</v>
      </c>
      <c r="K40" s="304" t="s">
        <v>732</v>
      </c>
      <c r="L40" s="306"/>
      <c r="M40" s="306"/>
      <c r="N40" s="306" t="s">
        <v>1050</v>
      </c>
      <c r="O40" s="324"/>
      <c r="P40" s="783" t="s">
        <v>2374</v>
      </c>
      <c r="Q40" s="712" t="s">
        <v>285</v>
      </c>
      <c r="U40" s="304" t="s">
        <v>2369</v>
      </c>
      <c r="V40" s="304" t="s">
        <v>2369</v>
      </c>
      <c r="X40" s="329">
        <v>44657</v>
      </c>
      <c r="Y40" s="329">
        <v>44657</v>
      </c>
      <c r="AA40" s="329"/>
      <c r="AB40" s="304" t="s">
        <v>733</v>
      </c>
      <c r="AC40" s="304">
        <v>0</v>
      </c>
      <c r="AD40" s="304">
        <v>0</v>
      </c>
      <c r="AE40" s="304">
        <v>0</v>
      </c>
      <c r="AF40" s="304">
        <v>0</v>
      </c>
      <c r="AG40" s="304">
        <v>0</v>
      </c>
      <c r="AH40" s="304">
        <v>1</v>
      </c>
      <c r="AI40" s="304">
        <v>91010</v>
      </c>
      <c r="AJ40" s="304">
        <v>2195</v>
      </c>
      <c r="AK40" s="304">
        <v>0</v>
      </c>
      <c r="AL40" s="304">
        <v>0</v>
      </c>
      <c r="AO40" s="332"/>
      <c r="AP40" s="332"/>
      <c r="AQ40" s="304" t="str">
        <f t="shared" si="0"/>
        <v/>
      </c>
      <c r="AS40" s="304" t="str">
        <f t="shared" si="1"/>
        <v>wci_corp</v>
      </c>
    </row>
    <row r="41" spans="2:45">
      <c r="B41" s="304" t="s">
        <v>1274</v>
      </c>
      <c r="C41" s="329">
        <v>44651</v>
      </c>
      <c r="D41" s="330">
        <v>-78</v>
      </c>
      <c r="E41" s="330">
        <v>0</v>
      </c>
      <c r="F41" s="331" t="s">
        <v>729</v>
      </c>
      <c r="G41" s="304" t="s">
        <v>2372</v>
      </c>
      <c r="H41" s="332" t="s">
        <v>730</v>
      </c>
      <c r="I41" s="304" t="s">
        <v>2371</v>
      </c>
      <c r="J41" s="304" t="s">
        <v>2192</v>
      </c>
      <c r="K41" s="304" t="s">
        <v>732</v>
      </c>
      <c r="L41" s="306"/>
      <c r="M41" s="306"/>
      <c r="N41" s="306" t="s">
        <v>1050</v>
      </c>
      <c r="O41" s="324"/>
      <c r="P41" s="783" t="s">
        <v>2373</v>
      </c>
      <c r="Q41" s="712" t="s">
        <v>906</v>
      </c>
      <c r="U41" s="304" t="s">
        <v>2369</v>
      </c>
      <c r="V41" s="304" t="s">
        <v>2369</v>
      </c>
      <c r="X41" s="329">
        <v>44657</v>
      </c>
      <c r="Y41" s="329">
        <v>44657</v>
      </c>
      <c r="AA41" s="329"/>
      <c r="AB41" s="304" t="s">
        <v>733</v>
      </c>
      <c r="AC41" s="304">
        <v>0</v>
      </c>
      <c r="AD41" s="304">
        <v>0</v>
      </c>
      <c r="AE41" s="304">
        <v>0</v>
      </c>
      <c r="AF41" s="304">
        <v>0</v>
      </c>
      <c r="AG41" s="304">
        <v>0</v>
      </c>
      <c r="AH41" s="304">
        <v>1</v>
      </c>
      <c r="AI41" s="304">
        <v>91010</v>
      </c>
      <c r="AJ41" s="304">
        <v>2195</v>
      </c>
      <c r="AK41" s="304">
        <v>0</v>
      </c>
      <c r="AL41" s="304">
        <v>0</v>
      </c>
      <c r="AO41" s="332"/>
      <c r="AP41" s="332"/>
      <c r="AQ41" s="304" t="str">
        <f t="shared" si="0"/>
        <v/>
      </c>
      <c r="AS41" s="304" t="str">
        <f t="shared" si="1"/>
        <v>wci_corp</v>
      </c>
    </row>
    <row r="42" spans="2:45">
      <c r="B42" s="304" t="s">
        <v>1274</v>
      </c>
      <c r="C42" s="329">
        <v>44651</v>
      </c>
      <c r="D42" s="330">
        <v>-50</v>
      </c>
      <c r="E42" s="330">
        <v>0</v>
      </c>
      <c r="F42" s="331" t="s">
        <v>729</v>
      </c>
      <c r="G42" s="304" t="s">
        <v>2372</v>
      </c>
      <c r="H42" s="332" t="s">
        <v>730</v>
      </c>
      <c r="I42" s="304" t="s">
        <v>2371</v>
      </c>
      <c r="J42" s="304" t="s">
        <v>2192</v>
      </c>
      <c r="K42" s="304" t="s">
        <v>732</v>
      </c>
      <c r="L42" s="306"/>
      <c r="M42" s="306"/>
      <c r="N42" s="306" t="s">
        <v>1050</v>
      </c>
      <c r="O42" s="324"/>
      <c r="P42" s="783" t="s">
        <v>2370</v>
      </c>
      <c r="Q42" s="712" t="s">
        <v>906</v>
      </c>
      <c r="U42" s="304" t="s">
        <v>2369</v>
      </c>
      <c r="V42" s="304" t="s">
        <v>2369</v>
      </c>
      <c r="X42" s="329">
        <v>44657</v>
      </c>
      <c r="Y42" s="329">
        <v>44657</v>
      </c>
      <c r="AA42" s="329"/>
      <c r="AB42" s="304" t="s">
        <v>733</v>
      </c>
      <c r="AC42" s="304">
        <v>0</v>
      </c>
      <c r="AD42" s="304">
        <v>0</v>
      </c>
      <c r="AE42" s="304">
        <v>0</v>
      </c>
      <c r="AF42" s="304">
        <v>0</v>
      </c>
      <c r="AG42" s="304">
        <v>0</v>
      </c>
      <c r="AH42" s="304">
        <v>1</v>
      </c>
      <c r="AI42" s="304">
        <v>91010</v>
      </c>
      <c r="AJ42" s="304">
        <v>2195</v>
      </c>
      <c r="AK42" s="304">
        <v>0</v>
      </c>
      <c r="AL42" s="304">
        <v>0</v>
      </c>
      <c r="AO42" s="332"/>
      <c r="AP42" s="332"/>
      <c r="AQ42" s="304" t="str">
        <f t="shared" si="0"/>
        <v/>
      </c>
      <c r="AS42" s="304" t="str">
        <f t="shared" si="1"/>
        <v>wci_corp</v>
      </c>
    </row>
    <row r="43" spans="2:45">
      <c r="C43" s="329"/>
      <c r="D43" s="333"/>
      <c r="E43" s="333"/>
      <c r="F43" s="333"/>
      <c r="H43" s="334"/>
    </row>
    <row r="44" spans="2:45">
      <c r="B44" s="335" t="s">
        <v>738</v>
      </c>
      <c r="C44" s="335"/>
      <c r="D44" s="336"/>
      <c r="E44" s="336"/>
      <c r="F44" s="336"/>
      <c r="G44" s="335"/>
      <c r="H44" s="337"/>
      <c r="I44" s="335"/>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row>
    <row r="45" spans="2:45">
      <c r="H45" s="334"/>
    </row>
    <row r="46" spans="2:45">
      <c r="H46" s="334"/>
    </row>
    <row r="47" spans="2:45">
      <c r="B47" s="388" t="s">
        <v>739</v>
      </c>
      <c r="C47" s="389" t="s">
        <v>740</v>
      </c>
      <c r="D47" s="600" t="s">
        <v>1412</v>
      </c>
      <c r="E47" s="305" t="s">
        <v>436</v>
      </c>
      <c r="F47" s="304" t="s">
        <v>1273</v>
      </c>
      <c r="G47" s="304" t="s">
        <v>231</v>
      </c>
      <c r="J47" s="391"/>
    </row>
    <row r="48" spans="2:45">
      <c r="B48" s="306" t="s">
        <v>906</v>
      </c>
      <c r="C48" s="389">
        <v>-3998.3499999999995</v>
      </c>
      <c r="D48" s="389">
        <v>-3998.3499999999995</v>
      </c>
      <c r="E48" s="304" t="s">
        <v>2402</v>
      </c>
      <c r="F48" s="786">
        <f>+D48*'Allocators (C)'!C123</f>
        <v>-2925.6844527501166</v>
      </c>
      <c r="G48" s="786">
        <f>+D48*'Allocators (C)'!D123</f>
        <v>-1072.6655472498824</v>
      </c>
    </row>
    <row r="49" spans="2:8">
      <c r="B49" s="306" t="s">
        <v>2368</v>
      </c>
      <c r="C49" s="389">
        <v>-1537.2</v>
      </c>
      <c r="D49" s="389">
        <v>-1537.2</v>
      </c>
      <c r="E49" s="304" t="s">
        <v>2403</v>
      </c>
      <c r="F49" s="786">
        <f>+$D49*'Allocators (C)'!C124</f>
        <v>-1064.7281820318888</v>
      </c>
      <c r="G49" s="786">
        <f>+$D49*'Allocators (C)'!D124</f>
        <v>-472.47181796811128</v>
      </c>
    </row>
    <row r="50" spans="2:8">
      <c r="B50" s="306" t="s">
        <v>285</v>
      </c>
      <c r="C50" s="389">
        <v>-700</v>
      </c>
      <c r="D50" s="389">
        <v>-700</v>
      </c>
      <c r="E50" s="304" t="s">
        <v>187</v>
      </c>
      <c r="F50" s="786">
        <f>+$D50*'Allocators (C)'!C70</f>
        <v>-497.33387735372469</v>
      </c>
      <c r="G50" s="786">
        <f>+$D50*'Allocators (C)'!D70</f>
        <v>-202.66612264627531</v>
      </c>
    </row>
    <row r="51" spans="2:8">
      <c r="B51" s="306" t="s">
        <v>2367</v>
      </c>
      <c r="C51" s="389">
        <v>-1000</v>
      </c>
      <c r="D51" s="389">
        <v>-1000</v>
      </c>
      <c r="E51" s="304" t="s">
        <v>13</v>
      </c>
      <c r="F51" s="606">
        <v>0</v>
      </c>
      <c r="G51" s="606">
        <f>+D51</f>
        <v>-1000</v>
      </c>
    </row>
    <row r="52" spans="2:8">
      <c r="B52" s="306" t="s">
        <v>742</v>
      </c>
      <c r="C52" s="389">
        <v>-7235.5499999999993</v>
      </c>
      <c r="D52" s="601">
        <v>-7235.5499999999993</v>
      </c>
      <c r="F52" s="603">
        <f>+SUM(F48:F51)</f>
        <v>-4487.74651213573</v>
      </c>
      <c r="G52" s="603">
        <f>+SUM(G48:G51)</f>
        <v>-2747.8034878642688</v>
      </c>
      <c r="H52" s="603">
        <f>+D52-F52-G52</f>
        <v>0</v>
      </c>
    </row>
    <row r="54" spans="2:8">
      <c r="E54" s="1075" t="s">
        <v>916</v>
      </c>
      <c r="F54" s="1075"/>
      <c r="G54" s="1075"/>
    </row>
    <row r="55" spans="2:8">
      <c r="E55" s="304" t="s">
        <v>598</v>
      </c>
      <c r="F55" s="304" t="s">
        <v>1767</v>
      </c>
      <c r="G55" s="304" t="s">
        <v>223</v>
      </c>
      <c r="H55" s="334"/>
    </row>
    <row r="56" spans="2:8">
      <c r="D56" s="304" t="s">
        <v>2402</v>
      </c>
      <c r="E56" s="603">
        <f>+F48</f>
        <v>-2925.6844527501166</v>
      </c>
      <c r="H56" s="334"/>
    </row>
    <row r="57" spans="2:8">
      <c r="D57" s="304" t="s">
        <v>2403</v>
      </c>
      <c r="E57" s="603">
        <f>+F49</f>
        <v>-1064.7281820318888</v>
      </c>
      <c r="H57" s="334"/>
    </row>
    <row r="58" spans="2:8">
      <c r="D58" s="304" t="s">
        <v>187</v>
      </c>
      <c r="E58" s="606">
        <f>+$F$50*('Allocators (C)'!C53+'Allocators (C)'!C59)/'Allocators (C)'!C60</f>
        <v>-473.82807224923545</v>
      </c>
      <c r="F58" s="606">
        <f>+$F$50*('Allocators (C)'!C54/'Allocators (C)'!C60)</f>
        <v>-20.906578734031548</v>
      </c>
      <c r="G58" s="606">
        <f>+$F$50*('Allocators (C)'!C58/'Allocators (C)'!C60)</f>
        <v>-2.5992263704577425</v>
      </c>
      <c r="H58" s="334"/>
    </row>
    <row r="59" spans="2:8">
      <c r="E59" s="603">
        <f>+SUM(E56:E58)</f>
        <v>-4464.2407070312411</v>
      </c>
      <c r="F59" s="603">
        <f>+SUM(F56:F58)</f>
        <v>-20.906578734031548</v>
      </c>
      <c r="G59" s="603">
        <f>+SUM(G56:G58)</f>
        <v>-2.5992263704577425</v>
      </c>
      <c r="H59" s="334"/>
    </row>
    <row r="60" spans="2:8">
      <c r="H60" s="334"/>
    </row>
    <row r="61" spans="2:8">
      <c r="H61" s="334"/>
    </row>
    <row r="62" spans="2:8">
      <c r="H62" s="334"/>
    </row>
  </sheetData>
  <autoFilter ref="B19:AQ19" xr:uid="{00000000-0009-0000-0000-00001A000000}"/>
  <mergeCells count="1">
    <mergeCell ref="E54:G54"/>
  </mergeCells>
  <dataValidations count="1">
    <dataValidation type="list" allowBlank="1" showInputMessage="1" showErrorMessage="1" sqref="P15" xr:uid="{00000000-0002-0000-1A00-000000000000}">
      <formula1>"All,Posted/Unposted,Posted,Unposted,Staged"</formula1>
    </dataValidation>
  </dataValidations>
  <pageMargins left="0.27" right="0.28999999999999998" top="0.37" bottom="0.43" header="0.25" footer="0.25"/>
  <pageSetup scale="53"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sheetPr>
  <dimension ref="A1:XFD57"/>
  <sheetViews>
    <sheetView view="pageBreakPreview" topLeftCell="A13" zoomScale="60" zoomScaleNormal="100" workbookViewId="0">
      <selection activeCell="A14" sqref="A14:R51"/>
    </sheetView>
  </sheetViews>
  <sheetFormatPr defaultRowHeight="15" outlineLevelRow="1"/>
  <cols>
    <col min="1" max="2" width="9.140625" style="300"/>
    <col min="3" max="3" width="17.7109375" style="300" customWidth="1"/>
    <col min="4" max="4" width="12.28515625" style="300" customWidth="1"/>
    <col min="5" max="5" width="18.28515625" style="300" bestFit="1" customWidth="1"/>
    <col min="6" max="6" width="10.5703125" style="300" bestFit="1" customWidth="1"/>
    <col min="7" max="7" width="12.28515625" style="300" customWidth="1"/>
    <col min="8" max="8" width="10.5703125" style="300" bestFit="1" customWidth="1"/>
    <col min="9" max="9" width="3.140625" style="300" customWidth="1"/>
    <col min="10" max="10" width="2.5703125" style="300" customWidth="1"/>
    <col min="11" max="11" width="6.28515625" style="300" customWidth="1"/>
    <col min="12" max="12" width="9.140625" style="300"/>
    <col min="13" max="13" width="17.85546875" style="300" customWidth="1"/>
    <col min="14" max="14" width="13.5703125" style="300" customWidth="1"/>
    <col min="15" max="15" width="15.7109375" style="300" customWidth="1"/>
    <col min="16" max="16" width="14.7109375" style="300" customWidth="1"/>
    <col min="17" max="17" width="13.5703125" style="300" customWidth="1"/>
    <col min="18" max="18" width="33.7109375" style="300" customWidth="1"/>
    <col min="19" max="258" width="9.140625" style="300"/>
    <col min="259" max="259" width="20.140625" style="300" customWidth="1"/>
    <col min="260" max="260" width="12.28515625" style="300" customWidth="1"/>
    <col min="261" max="261" width="11.28515625" style="300" bestFit="1" customWidth="1"/>
    <col min="262" max="514" width="9.140625" style="300"/>
    <col min="515" max="515" width="20.140625" style="300" customWidth="1"/>
    <col min="516" max="516" width="12.28515625" style="300" customWidth="1"/>
    <col min="517" max="517" width="11.28515625" style="300" bestFit="1" customWidth="1"/>
    <col min="518" max="770" width="9.140625" style="300"/>
    <col min="771" max="771" width="20.140625" style="300" customWidth="1"/>
    <col min="772" max="772" width="12.28515625" style="300" customWidth="1"/>
    <col min="773" max="773" width="11.28515625" style="300" bestFit="1" customWidth="1"/>
    <col min="774" max="1026" width="9.140625" style="300"/>
    <col min="1027" max="1027" width="20.140625" style="300" customWidth="1"/>
    <col min="1028" max="1028" width="12.28515625" style="300" customWidth="1"/>
    <col min="1029" max="1029" width="11.28515625" style="300" bestFit="1" customWidth="1"/>
    <col min="1030" max="1282" width="9.140625" style="300"/>
    <col min="1283" max="1283" width="20.140625" style="300" customWidth="1"/>
    <col min="1284" max="1284" width="12.28515625" style="300" customWidth="1"/>
    <col min="1285" max="1285" width="11.28515625" style="300" bestFit="1" customWidth="1"/>
    <col min="1286" max="1538" width="9.140625" style="300"/>
    <col min="1539" max="1539" width="20.140625" style="300" customWidth="1"/>
    <col min="1540" max="1540" width="12.28515625" style="300" customWidth="1"/>
    <col min="1541" max="1541" width="11.28515625" style="300" bestFit="1" customWidth="1"/>
    <col min="1542" max="1794" width="9.140625" style="300"/>
    <col min="1795" max="1795" width="20.140625" style="300" customWidth="1"/>
    <col min="1796" max="1796" width="12.28515625" style="300" customWidth="1"/>
    <col min="1797" max="1797" width="11.28515625" style="300" bestFit="1" customWidth="1"/>
    <col min="1798" max="2050" width="9.140625" style="300"/>
    <col min="2051" max="2051" width="20.140625" style="300" customWidth="1"/>
    <col min="2052" max="2052" width="12.28515625" style="300" customWidth="1"/>
    <col min="2053" max="2053" width="11.28515625" style="300" bestFit="1" customWidth="1"/>
    <col min="2054" max="2306" width="9.140625" style="300"/>
    <col min="2307" max="2307" width="20.140625" style="300" customWidth="1"/>
    <col min="2308" max="2308" width="12.28515625" style="300" customWidth="1"/>
    <col min="2309" max="2309" width="11.28515625" style="300" bestFit="1" customWidth="1"/>
    <col min="2310" max="2562" width="9.140625" style="300"/>
    <col min="2563" max="2563" width="20.140625" style="300" customWidth="1"/>
    <col min="2564" max="2564" width="12.28515625" style="300" customWidth="1"/>
    <col min="2565" max="2565" width="11.28515625" style="300" bestFit="1" customWidth="1"/>
    <col min="2566" max="2818" width="9.140625" style="300"/>
    <col min="2819" max="2819" width="20.140625" style="300" customWidth="1"/>
    <col min="2820" max="2820" width="12.28515625" style="300" customWidth="1"/>
    <col min="2821" max="2821" width="11.28515625" style="300" bestFit="1" customWidth="1"/>
    <col min="2822" max="3074" width="9.140625" style="300"/>
    <col min="3075" max="3075" width="20.140625" style="300" customWidth="1"/>
    <col min="3076" max="3076" width="12.28515625" style="300" customWidth="1"/>
    <col min="3077" max="3077" width="11.28515625" style="300" bestFit="1" customWidth="1"/>
    <col min="3078" max="3330" width="9.140625" style="300"/>
    <col min="3331" max="3331" width="20.140625" style="300" customWidth="1"/>
    <col min="3332" max="3332" width="12.28515625" style="300" customWidth="1"/>
    <col min="3333" max="3333" width="11.28515625" style="300" bestFit="1" customWidth="1"/>
    <col min="3334" max="3586" width="9.140625" style="300"/>
    <col min="3587" max="3587" width="20.140625" style="300" customWidth="1"/>
    <col min="3588" max="3588" width="12.28515625" style="300" customWidth="1"/>
    <col min="3589" max="3589" width="11.28515625" style="300" bestFit="1" customWidth="1"/>
    <col min="3590" max="3842" width="9.140625" style="300"/>
    <col min="3843" max="3843" width="20.140625" style="300" customWidth="1"/>
    <col min="3844" max="3844" width="12.28515625" style="300" customWidth="1"/>
    <col min="3845" max="3845" width="11.28515625" style="300" bestFit="1" customWidth="1"/>
    <col min="3846" max="4098" width="9.140625" style="300"/>
    <col min="4099" max="4099" width="20.140625" style="300" customWidth="1"/>
    <col min="4100" max="4100" width="12.28515625" style="300" customWidth="1"/>
    <col min="4101" max="4101" width="11.28515625" style="300" bestFit="1" customWidth="1"/>
    <col min="4102" max="4354" width="9.140625" style="300"/>
    <col min="4355" max="4355" width="20.140625" style="300" customWidth="1"/>
    <col min="4356" max="4356" width="12.28515625" style="300" customWidth="1"/>
    <col min="4357" max="4357" width="11.28515625" style="300" bestFit="1" customWidth="1"/>
    <col min="4358" max="4610" width="9.140625" style="300"/>
    <col min="4611" max="4611" width="20.140625" style="300" customWidth="1"/>
    <col min="4612" max="4612" width="12.28515625" style="300" customWidth="1"/>
    <col min="4613" max="4613" width="11.28515625" style="300" bestFit="1" customWidth="1"/>
    <col min="4614" max="4866" width="9.140625" style="300"/>
    <col min="4867" max="4867" width="20.140625" style="300" customWidth="1"/>
    <col min="4868" max="4868" width="12.28515625" style="300" customWidth="1"/>
    <col min="4869" max="4869" width="11.28515625" style="300" bestFit="1" customWidth="1"/>
    <col min="4870" max="5122" width="9.140625" style="300"/>
    <col min="5123" max="5123" width="20.140625" style="300" customWidth="1"/>
    <col min="5124" max="5124" width="12.28515625" style="300" customWidth="1"/>
    <col min="5125" max="5125" width="11.28515625" style="300" bestFit="1" customWidth="1"/>
    <col min="5126" max="5378" width="9.140625" style="300"/>
    <col min="5379" max="5379" width="20.140625" style="300" customWidth="1"/>
    <col min="5380" max="5380" width="12.28515625" style="300" customWidth="1"/>
    <col min="5381" max="5381" width="11.28515625" style="300" bestFit="1" customWidth="1"/>
    <col min="5382" max="5634" width="9.140625" style="300"/>
    <col min="5635" max="5635" width="20.140625" style="300" customWidth="1"/>
    <col min="5636" max="5636" width="12.28515625" style="300" customWidth="1"/>
    <col min="5637" max="5637" width="11.28515625" style="300" bestFit="1" customWidth="1"/>
    <col min="5638" max="5890" width="9.140625" style="300"/>
    <col min="5891" max="5891" width="20.140625" style="300" customWidth="1"/>
    <col min="5892" max="5892" width="12.28515625" style="300" customWidth="1"/>
    <col min="5893" max="5893" width="11.28515625" style="300" bestFit="1" customWidth="1"/>
    <col min="5894" max="6146" width="9.140625" style="300"/>
    <col min="6147" max="6147" width="20.140625" style="300" customWidth="1"/>
    <col min="6148" max="6148" width="12.28515625" style="300" customWidth="1"/>
    <col min="6149" max="6149" width="11.28515625" style="300" bestFit="1" customWidth="1"/>
    <col min="6150" max="6402" width="9.140625" style="300"/>
    <col min="6403" max="6403" width="20.140625" style="300" customWidth="1"/>
    <col min="6404" max="6404" width="12.28515625" style="300" customWidth="1"/>
    <col min="6405" max="6405" width="11.28515625" style="300" bestFit="1" customWidth="1"/>
    <col min="6406" max="6658" width="9.140625" style="300"/>
    <col min="6659" max="6659" width="20.140625" style="300" customWidth="1"/>
    <col min="6660" max="6660" width="12.28515625" style="300" customWidth="1"/>
    <col min="6661" max="6661" width="11.28515625" style="300" bestFit="1" customWidth="1"/>
    <col min="6662" max="6914" width="9.140625" style="300"/>
    <col min="6915" max="6915" width="20.140625" style="300" customWidth="1"/>
    <col min="6916" max="6916" width="12.28515625" style="300" customWidth="1"/>
    <col min="6917" max="6917" width="11.28515625" style="300" bestFit="1" customWidth="1"/>
    <col min="6918" max="7170" width="9.140625" style="300"/>
    <col min="7171" max="7171" width="20.140625" style="300" customWidth="1"/>
    <col min="7172" max="7172" width="12.28515625" style="300" customWidth="1"/>
    <col min="7173" max="7173" width="11.28515625" style="300" bestFit="1" customWidth="1"/>
    <col min="7174" max="7426" width="9.140625" style="300"/>
    <col min="7427" max="7427" width="20.140625" style="300" customWidth="1"/>
    <col min="7428" max="7428" width="12.28515625" style="300" customWidth="1"/>
    <col min="7429" max="7429" width="11.28515625" style="300" bestFit="1" customWidth="1"/>
    <col min="7430" max="7682" width="9.140625" style="300"/>
    <col min="7683" max="7683" width="20.140625" style="300" customWidth="1"/>
    <col min="7684" max="7684" width="12.28515625" style="300" customWidth="1"/>
    <col min="7685" max="7685" width="11.28515625" style="300" bestFit="1" customWidth="1"/>
    <col min="7686" max="7938" width="9.140625" style="300"/>
    <col min="7939" max="7939" width="20.140625" style="300" customWidth="1"/>
    <col min="7940" max="7940" width="12.28515625" style="300" customWidth="1"/>
    <col min="7941" max="7941" width="11.28515625" style="300" bestFit="1" customWidth="1"/>
    <col min="7942" max="8194" width="9.140625" style="300"/>
    <col min="8195" max="8195" width="20.140625" style="300" customWidth="1"/>
    <col min="8196" max="8196" width="12.28515625" style="300" customWidth="1"/>
    <col min="8197" max="8197" width="11.28515625" style="300" bestFit="1" customWidth="1"/>
    <col min="8198" max="8450" width="9.140625" style="300"/>
    <col min="8451" max="8451" width="20.140625" style="300" customWidth="1"/>
    <col min="8452" max="8452" width="12.28515625" style="300" customWidth="1"/>
    <col min="8453" max="8453" width="11.28515625" style="300" bestFit="1" customWidth="1"/>
    <col min="8454" max="8706" width="9.140625" style="300"/>
    <col min="8707" max="8707" width="20.140625" style="300" customWidth="1"/>
    <col min="8708" max="8708" width="12.28515625" style="300" customWidth="1"/>
    <col min="8709" max="8709" width="11.28515625" style="300" bestFit="1" customWidth="1"/>
    <col min="8710" max="8962" width="9.140625" style="300"/>
    <col min="8963" max="8963" width="20.140625" style="300" customWidth="1"/>
    <col min="8964" max="8964" width="12.28515625" style="300" customWidth="1"/>
    <col min="8965" max="8965" width="11.28515625" style="300" bestFit="1" customWidth="1"/>
    <col min="8966" max="9218" width="9.140625" style="300"/>
    <col min="9219" max="9219" width="20.140625" style="300" customWidth="1"/>
    <col min="9220" max="9220" width="12.28515625" style="300" customWidth="1"/>
    <col min="9221" max="9221" width="11.28515625" style="300" bestFit="1" customWidth="1"/>
    <col min="9222" max="9474" width="9.140625" style="300"/>
    <col min="9475" max="9475" width="20.140625" style="300" customWidth="1"/>
    <col min="9476" max="9476" width="12.28515625" style="300" customWidth="1"/>
    <col min="9477" max="9477" width="11.28515625" style="300" bestFit="1" customWidth="1"/>
    <col min="9478" max="9730" width="9.140625" style="300"/>
    <col min="9731" max="9731" width="20.140625" style="300" customWidth="1"/>
    <col min="9732" max="9732" width="12.28515625" style="300" customWidth="1"/>
    <col min="9733" max="9733" width="11.28515625" style="300" bestFit="1" customWidth="1"/>
    <col min="9734" max="9986" width="9.140625" style="300"/>
    <col min="9987" max="9987" width="20.140625" style="300" customWidth="1"/>
    <col min="9988" max="9988" width="12.28515625" style="300" customWidth="1"/>
    <col min="9989" max="9989" width="11.28515625" style="300" bestFit="1" customWidth="1"/>
    <col min="9990" max="10242" width="9.140625" style="300"/>
    <col min="10243" max="10243" width="20.140625" style="300" customWidth="1"/>
    <col min="10244" max="10244" width="12.28515625" style="300" customWidth="1"/>
    <col min="10245" max="10245" width="11.28515625" style="300" bestFit="1" customWidth="1"/>
    <col min="10246" max="10498" width="9.140625" style="300"/>
    <col min="10499" max="10499" width="20.140625" style="300" customWidth="1"/>
    <col min="10500" max="10500" width="12.28515625" style="300" customWidth="1"/>
    <col min="10501" max="10501" width="11.28515625" style="300" bestFit="1" customWidth="1"/>
    <col min="10502" max="10754" width="9.140625" style="300"/>
    <col min="10755" max="10755" width="20.140625" style="300" customWidth="1"/>
    <col min="10756" max="10756" width="12.28515625" style="300" customWidth="1"/>
    <col min="10757" max="10757" width="11.28515625" style="300" bestFit="1" customWidth="1"/>
    <col min="10758" max="11010" width="9.140625" style="300"/>
    <col min="11011" max="11011" width="20.140625" style="300" customWidth="1"/>
    <col min="11012" max="11012" width="12.28515625" style="300" customWidth="1"/>
    <col min="11013" max="11013" width="11.28515625" style="300" bestFit="1" customWidth="1"/>
    <col min="11014" max="11266" width="9.140625" style="300"/>
    <col min="11267" max="11267" width="20.140625" style="300" customWidth="1"/>
    <col min="11268" max="11268" width="12.28515625" style="300" customWidth="1"/>
    <col min="11269" max="11269" width="11.28515625" style="300" bestFit="1" customWidth="1"/>
    <col min="11270" max="11522" width="9.140625" style="300"/>
    <col min="11523" max="11523" width="20.140625" style="300" customWidth="1"/>
    <col min="11524" max="11524" width="12.28515625" style="300" customWidth="1"/>
    <col min="11525" max="11525" width="11.28515625" style="300" bestFit="1" customWidth="1"/>
    <col min="11526" max="11778" width="9.140625" style="300"/>
    <col min="11779" max="11779" width="20.140625" style="300" customWidth="1"/>
    <col min="11780" max="11780" width="12.28515625" style="300" customWidth="1"/>
    <col min="11781" max="11781" width="11.28515625" style="300" bestFit="1" customWidth="1"/>
    <col min="11782" max="12034" width="9.140625" style="300"/>
    <col min="12035" max="12035" width="20.140625" style="300" customWidth="1"/>
    <col min="12036" max="12036" width="12.28515625" style="300" customWidth="1"/>
    <col min="12037" max="12037" width="11.28515625" style="300" bestFit="1" customWidth="1"/>
    <col min="12038" max="12290" width="9.140625" style="300"/>
    <col min="12291" max="12291" width="20.140625" style="300" customWidth="1"/>
    <col min="12292" max="12292" width="12.28515625" style="300" customWidth="1"/>
    <col min="12293" max="12293" width="11.28515625" style="300" bestFit="1" customWidth="1"/>
    <col min="12294" max="12546" width="9.140625" style="300"/>
    <col min="12547" max="12547" width="20.140625" style="300" customWidth="1"/>
    <col min="12548" max="12548" width="12.28515625" style="300" customWidth="1"/>
    <col min="12549" max="12549" width="11.28515625" style="300" bestFit="1" customWidth="1"/>
    <col min="12550" max="12802" width="9.140625" style="300"/>
    <col min="12803" max="12803" width="20.140625" style="300" customWidth="1"/>
    <col min="12804" max="12804" width="12.28515625" style="300" customWidth="1"/>
    <col min="12805" max="12805" width="11.28515625" style="300" bestFit="1" customWidth="1"/>
    <col min="12806" max="13058" width="9.140625" style="300"/>
    <col min="13059" max="13059" width="20.140625" style="300" customWidth="1"/>
    <col min="13060" max="13060" width="12.28515625" style="300" customWidth="1"/>
    <col min="13061" max="13061" width="11.28515625" style="300" bestFit="1" customWidth="1"/>
    <col min="13062" max="13314" width="9.140625" style="300"/>
    <col min="13315" max="13315" width="20.140625" style="300" customWidth="1"/>
    <col min="13316" max="13316" width="12.28515625" style="300" customWidth="1"/>
    <col min="13317" max="13317" width="11.28515625" style="300" bestFit="1" customWidth="1"/>
    <col min="13318" max="13570" width="9.140625" style="300"/>
    <col min="13571" max="13571" width="20.140625" style="300" customWidth="1"/>
    <col min="13572" max="13572" width="12.28515625" style="300" customWidth="1"/>
    <col min="13573" max="13573" width="11.28515625" style="300" bestFit="1" customWidth="1"/>
    <col min="13574" max="13826" width="9.140625" style="300"/>
    <col min="13827" max="13827" width="20.140625" style="300" customWidth="1"/>
    <col min="13828" max="13828" width="12.28515625" style="300" customWidth="1"/>
    <col min="13829" max="13829" width="11.28515625" style="300" bestFit="1" customWidth="1"/>
    <col min="13830" max="14082" width="9.140625" style="300"/>
    <col min="14083" max="14083" width="20.140625" style="300" customWidth="1"/>
    <col min="14084" max="14084" width="12.28515625" style="300" customWidth="1"/>
    <col min="14085" max="14085" width="11.28515625" style="300" bestFit="1" customWidth="1"/>
    <col min="14086" max="14338" width="9.140625" style="300"/>
    <col min="14339" max="14339" width="20.140625" style="300" customWidth="1"/>
    <col min="14340" max="14340" width="12.28515625" style="300" customWidth="1"/>
    <col min="14341" max="14341" width="11.28515625" style="300" bestFit="1" customWidth="1"/>
    <col min="14342" max="14594" width="9.140625" style="300"/>
    <col min="14595" max="14595" width="20.140625" style="300" customWidth="1"/>
    <col min="14596" max="14596" width="12.28515625" style="300" customWidth="1"/>
    <col min="14597" max="14597" width="11.28515625" style="300" bestFit="1" customWidth="1"/>
    <col min="14598" max="14850" width="9.140625" style="300"/>
    <col min="14851" max="14851" width="20.140625" style="300" customWidth="1"/>
    <col min="14852" max="14852" width="12.28515625" style="300" customWidth="1"/>
    <col min="14853" max="14853" width="11.28515625" style="300" bestFit="1" customWidth="1"/>
    <col min="14854" max="15106" width="9.140625" style="300"/>
    <col min="15107" max="15107" width="20.140625" style="300" customWidth="1"/>
    <col min="15108" max="15108" width="12.28515625" style="300" customWidth="1"/>
    <col min="15109" max="15109" width="11.28515625" style="300" bestFit="1" customWidth="1"/>
    <col min="15110" max="15362" width="9.140625" style="300"/>
    <col min="15363" max="15363" width="20.140625" style="300" customWidth="1"/>
    <col min="15364" max="15364" width="12.28515625" style="300" customWidth="1"/>
    <col min="15365" max="15365" width="11.28515625" style="300" bestFit="1" customWidth="1"/>
    <col min="15366" max="15618" width="9.140625" style="300"/>
    <col min="15619" max="15619" width="20.140625" style="300" customWidth="1"/>
    <col min="15620" max="15620" width="12.28515625" style="300" customWidth="1"/>
    <col min="15621" max="15621" width="11.28515625" style="300" bestFit="1" customWidth="1"/>
    <col min="15622" max="15874" width="9.140625" style="300"/>
    <col min="15875" max="15875" width="20.140625" style="300" customWidth="1"/>
    <col min="15876" max="15876" width="12.28515625" style="300" customWidth="1"/>
    <col min="15877" max="15877" width="11.28515625" style="300" bestFit="1" customWidth="1"/>
    <col min="15878" max="16130" width="9.140625" style="300"/>
    <col min="16131" max="16131" width="20.140625" style="300" customWidth="1"/>
    <col min="16132" max="16132" width="12.28515625" style="300" customWidth="1"/>
    <col min="16133" max="16133" width="11.28515625" style="300" bestFit="1" customWidth="1"/>
    <col min="16134" max="16384" width="9.140625" style="300"/>
  </cols>
  <sheetData>
    <row r="1" spans="1:18" hidden="1" outlineLevel="1">
      <c r="B1" s="723" t="s">
        <v>1016</v>
      </c>
      <c r="C1" s="724" t="s">
        <v>1019</v>
      </c>
    </row>
    <row r="2" spans="1:18" hidden="1" outlineLevel="1">
      <c r="B2" s="723" t="s">
        <v>18</v>
      </c>
      <c r="C2" s="725" t="s">
        <v>556</v>
      </c>
    </row>
    <row r="3" spans="1:18" hidden="1" outlineLevel="1">
      <c r="B3" s="723" t="s">
        <v>747</v>
      </c>
      <c r="C3" s="725" t="s">
        <v>556</v>
      </c>
    </row>
    <row r="4" spans="1:18" hidden="1" outlineLevel="1">
      <c r="B4" s="723" t="s">
        <v>180</v>
      </c>
      <c r="C4" s="724" t="s">
        <v>1020</v>
      </c>
    </row>
    <row r="5" spans="1:18" hidden="1" outlineLevel="1">
      <c r="B5" s="723" t="s">
        <v>182</v>
      </c>
      <c r="C5" s="724">
        <v>2021</v>
      </c>
      <c r="D5" s="726"/>
      <c r="E5" s="727"/>
      <c r="F5" s="727"/>
      <c r="G5" s="727"/>
      <c r="H5" s="727"/>
      <c r="I5" s="727"/>
      <c r="J5" s="727"/>
      <c r="K5" s="727"/>
      <c r="L5" s="727"/>
      <c r="M5" s="727"/>
    </row>
    <row r="6" spans="1:18" hidden="1" outlineLevel="1">
      <c r="B6" s="723" t="s">
        <v>1017</v>
      </c>
      <c r="C6" s="725" t="s">
        <v>205</v>
      </c>
    </row>
    <row r="7" spans="1:18" hidden="1" outlineLevel="1">
      <c r="B7" s="723" t="s">
        <v>1018</v>
      </c>
      <c r="C7" s="725" t="s">
        <v>557</v>
      </c>
    </row>
    <row r="8" spans="1:18" hidden="1" outlineLevel="1"/>
    <row r="9" spans="1:18" hidden="1" outlineLevel="1"/>
    <row r="10" spans="1:18" hidden="1" outlineLevel="1"/>
    <row r="11" spans="1:18" hidden="1" outlineLevel="1"/>
    <row r="12" spans="1:18" hidden="1" outlineLevel="1">
      <c r="G12" s="726"/>
    </row>
    <row r="13" spans="1:18" ht="15.75" collapsed="1" thickBot="1"/>
    <row r="14" spans="1:18" ht="15.75" thickTop="1">
      <c r="A14" s="1760"/>
      <c r="B14" s="1761"/>
      <c r="C14" s="1761"/>
      <c r="D14" s="1761"/>
      <c r="E14" s="1761"/>
      <c r="F14" s="1761"/>
      <c r="G14" s="1761"/>
      <c r="H14" s="1761"/>
      <c r="I14" s="1761"/>
      <c r="J14" s="1761"/>
      <c r="K14" s="1761"/>
      <c r="L14" s="1761"/>
      <c r="M14" s="1761"/>
      <c r="N14" s="1761"/>
      <c r="O14" s="1761"/>
      <c r="P14" s="1761"/>
      <c r="Q14" s="1761"/>
      <c r="R14" s="1762"/>
    </row>
    <row r="15" spans="1:18" ht="13.5" customHeight="1">
      <c r="A15" s="1763" t="s">
        <v>590</v>
      </c>
      <c r="B15" s="1764"/>
      <c r="C15" s="1764"/>
      <c r="D15" s="1764"/>
      <c r="E15" s="1764"/>
      <c r="F15" s="1764"/>
      <c r="G15" s="1764"/>
      <c r="H15" s="1764"/>
      <c r="I15" s="1764"/>
      <c r="J15" s="1764"/>
      <c r="K15" s="1764"/>
      <c r="L15" s="1764"/>
      <c r="M15" s="1764"/>
      <c r="N15" s="1764"/>
      <c r="O15" s="1764"/>
      <c r="P15" s="1764"/>
      <c r="Q15" s="1764"/>
      <c r="R15" s="1765"/>
    </row>
    <row r="16" spans="1:18" ht="13.5" customHeight="1">
      <c r="A16" s="1766"/>
      <c r="B16" s="1764"/>
      <c r="C16" s="1764"/>
      <c r="D16" s="1764"/>
      <c r="E16" s="1764"/>
      <c r="F16" s="1764"/>
      <c r="G16" s="1764"/>
      <c r="H16" s="1764"/>
      <c r="I16" s="1764"/>
      <c r="J16" s="1764"/>
      <c r="K16" s="1764"/>
      <c r="L16" s="1764"/>
      <c r="M16" s="1764"/>
      <c r="N16" s="1764"/>
      <c r="O16" s="1764"/>
      <c r="P16" s="1764"/>
      <c r="Q16" s="1764"/>
      <c r="R16" s="1765"/>
    </row>
    <row r="17" spans="1:18 16384:16384">
      <c r="A17" s="1767"/>
      <c r="B17" s="1764"/>
      <c r="C17" s="1764"/>
      <c r="D17" s="1764"/>
      <c r="E17" s="1764"/>
      <c r="F17" s="1764"/>
      <c r="G17" s="1764"/>
      <c r="H17" s="1764"/>
      <c r="I17" s="1764"/>
      <c r="J17" s="1764"/>
      <c r="K17" s="1764"/>
      <c r="L17" s="1764"/>
      <c r="M17" s="1764"/>
      <c r="N17" s="1764"/>
      <c r="O17" s="1764"/>
      <c r="P17" s="1764"/>
      <c r="Q17" s="1764"/>
      <c r="R17" s="1765"/>
    </row>
    <row r="18" spans="1:18 16384:16384" ht="58.5" customHeight="1">
      <c r="A18" s="1768" t="s">
        <v>1769</v>
      </c>
      <c r="B18" s="1769"/>
      <c r="C18" s="1769"/>
      <c r="D18" s="1769"/>
      <c r="E18" s="1769"/>
      <c r="F18" s="1769"/>
      <c r="G18" s="1769"/>
      <c r="H18" s="1764"/>
      <c r="I18" s="1764"/>
      <c r="J18" s="1764"/>
      <c r="K18" s="1769" t="s">
        <v>1770</v>
      </c>
      <c r="L18" s="1769"/>
      <c r="M18" s="1769"/>
      <c r="N18" s="1769"/>
      <c r="O18" s="1769"/>
      <c r="P18" s="1769"/>
      <c r="Q18" s="1769"/>
      <c r="R18" s="1765"/>
    </row>
    <row r="19" spans="1:18 16384:16384">
      <c r="A19" s="1767"/>
      <c r="B19" s="1764"/>
      <c r="C19" s="1770"/>
      <c r="D19" s="1771"/>
      <c r="E19" s="1764"/>
      <c r="F19" s="1764"/>
      <c r="G19" s="1764"/>
      <c r="H19" s="1764"/>
      <c r="I19" s="1764"/>
      <c r="J19" s="1764"/>
      <c r="K19" s="1764"/>
      <c r="L19" s="1764"/>
      <c r="M19" s="1764"/>
      <c r="N19" s="1764"/>
      <c r="O19" s="1764"/>
      <c r="P19" s="1764"/>
      <c r="Q19" s="1764"/>
      <c r="R19" s="1765"/>
    </row>
    <row r="20" spans="1:18 16384:16384">
      <c r="A20" s="1767"/>
      <c r="B20" s="1764"/>
      <c r="C20" s="1770"/>
      <c r="D20" s="1764"/>
      <c r="E20" s="1764"/>
      <c r="F20" s="1764"/>
      <c r="G20" s="1764"/>
      <c r="H20" s="1764"/>
      <c r="I20" s="1764"/>
      <c r="J20" s="1764"/>
      <c r="K20" s="1764"/>
      <c r="L20" s="1764"/>
      <c r="M20" s="1764"/>
      <c r="N20" s="1764"/>
      <c r="O20" s="1764"/>
      <c r="P20" s="1764"/>
      <c r="Q20" s="1764"/>
      <c r="R20" s="1765"/>
    </row>
    <row r="21" spans="1:18 16384:16384">
      <c r="A21" s="1767"/>
      <c r="B21" s="1764"/>
      <c r="C21" s="1772"/>
      <c r="D21" s="1773"/>
      <c r="E21" s="1774"/>
      <c r="F21" s="1764"/>
      <c r="G21" s="1764"/>
      <c r="H21" s="1764"/>
      <c r="I21" s="1764"/>
      <c r="J21" s="1764"/>
      <c r="K21" s="1764"/>
      <c r="L21" s="1764"/>
      <c r="M21" s="1764"/>
      <c r="N21" s="1773"/>
      <c r="O21" s="1774"/>
      <c r="P21" s="1764"/>
      <c r="Q21" s="1764"/>
      <c r="R21" s="1765"/>
    </row>
    <row r="22" spans="1:18 16384:16384">
      <c r="A22" s="1767"/>
      <c r="B22" s="1764"/>
      <c r="C22" s="1764"/>
      <c r="D22" s="1773"/>
      <c r="E22" s="1774"/>
      <c r="F22" s="1764"/>
      <c r="G22" s="1764"/>
      <c r="H22" s="1764"/>
      <c r="I22" s="1764"/>
      <c r="J22" s="1764"/>
      <c r="K22" s="1764"/>
      <c r="L22" s="1764"/>
      <c r="M22" s="1764"/>
      <c r="N22" s="1764"/>
      <c r="O22" s="1764"/>
      <c r="P22" s="1764"/>
      <c r="Q22" s="1764"/>
      <c r="R22" s="1765"/>
    </row>
    <row r="23" spans="1:18 16384:16384" ht="30">
      <c r="A23" s="1767"/>
      <c r="B23" s="1775" t="s">
        <v>928</v>
      </c>
      <c r="C23" s="1776" t="s">
        <v>2333</v>
      </c>
      <c r="D23" s="1794"/>
      <c r="E23" s="1300" t="s">
        <v>591</v>
      </c>
      <c r="F23" s="1300" t="s">
        <v>172</v>
      </c>
      <c r="G23" s="1300" t="s">
        <v>592</v>
      </c>
      <c r="H23" s="1300" t="s">
        <v>593</v>
      </c>
      <c r="I23" s="1764"/>
      <c r="J23" s="1764"/>
      <c r="K23" s="1764"/>
      <c r="L23" s="1775" t="s">
        <v>928</v>
      </c>
      <c r="M23" s="1776" t="s">
        <v>2333</v>
      </c>
      <c r="N23" s="1794"/>
      <c r="O23" s="1300" t="s">
        <v>591</v>
      </c>
      <c r="P23" s="1300" t="s">
        <v>172</v>
      </c>
      <c r="Q23" s="1300" t="s">
        <v>592</v>
      </c>
      <c r="R23" s="1795" t="s">
        <v>593</v>
      </c>
    </row>
    <row r="24" spans="1:18 16384:16384">
      <c r="A24" s="1796"/>
      <c r="B24" s="1797">
        <v>2010</v>
      </c>
      <c r="C24" s="1778">
        <v>91885473.409999996</v>
      </c>
      <c r="D24" s="1779">
        <f>C24/$C$47</f>
        <v>0.25692311302115783</v>
      </c>
      <c r="E24" s="1042">
        <f>[73]CRC!$J$12*D24</f>
        <v>71698.423242966266</v>
      </c>
      <c r="F24" s="1042">
        <f>E24*0.0765</f>
        <v>5484.9293780869193</v>
      </c>
      <c r="G24" s="1780"/>
      <c r="H24" s="1780"/>
      <c r="I24" s="1764"/>
      <c r="J24" s="1764"/>
      <c r="K24" s="1764"/>
      <c r="L24" s="1797">
        <v>2010</v>
      </c>
      <c r="M24" s="1778">
        <f>+C24</f>
        <v>91885473.409999996</v>
      </c>
      <c r="N24" s="1779">
        <f>M24/$C$47</f>
        <v>0.25692311302115783</v>
      </c>
      <c r="O24" s="1042">
        <f>[73]CRC!$J$14*N24</f>
        <v>20665.10702655531</v>
      </c>
      <c r="P24" s="1042">
        <f t="shared" ref="P24:P45" si="0">O24*0.0765</f>
        <v>1580.8806875314813</v>
      </c>
      <c r="Q24" s="1781"/>
      <c r="R24" s="1765"/>
    </row>
    <row r="25" spans="1:18 16384:16384">
      <c r="A25" s="1796"/>
      <c r="B25" s="1797">
        <v>2011</v>
      </c>
      <c r="C25" s="1778">
        <v>32303242.23</v>
      </c>
      <c r="D25" s="1779">
        <f>C25/$C$47</f>
        <v>9.0323848225446368E-2</v>
      </c>
      <c r="E25" s="1042">
        <f>[73]CRC!$J$12*D25</f>
        <v>25206.286125250983</v>
      </c>
      <c r="F25" s="1042">
        <f t="shared" ref="F25:F45" si="1">E25*0.0765</f>
        <v>1928.2808885817001</v>
      </c>
      <c r="G25" s="1780"/>
      <c r="H25" s="1780"/>
      <c r="I25" s="1764"/>
      <c r="J25" s="1764"/>
      <c r="K25" s="1764"/>
      <c r="L25" s="1797">
        <v>2011</v>
      </c>
      <c r="M25" s="1778">
        <f t="shared" ref="M25:M45" si="2">+C25</f>
        <v>32303242.23</v>
      </c>
      <c r="N25" s="1779">
        <f>M25/$C$47</f>
        <v>9.0323848225446368E-2</v>
      </c>
      <c r="O25" s="1042">
        <f>[73]CRC!$J$14*N25</f>
        <v>7265.0216972712578</v>
      </c>
      <c r="P25" s="1042">
        <f t="shared" si="0"/>
        <v>555.77415984125116</v>
      </c>
      <c r="Q25" s="1042"/>
      <c r="R25" s="1782"/>
    </row>
    <row r="26" spans="1:18 16384:16384">
      <c r="A26" s="1796"/>
      <c r="B26" s="1797">
        <v>2021</v>
      </c>
      <c r="C26" s="1778">
        <v>6598953.9500000002</v>
      </c>
      <c r="D26" s="1779">
        <f t="shared" ref="D26:D36" si="3">C26/$C$47</f>
        <v>1.8451488887173226E-2</v>
      </c>
      <c r="E26" s="1042">
        <f>[73]CRC!$J$12*D26</f>
        <v>5149.1772933114398</v>
      </c>
      <c r="F26" s="1042">
        <f t="shared" si="1"/>
        <v>393.91206293832516</v>
      </c>
      <c r="G26" s="1780"/>
      <c r="H26" s="1780"/>
      <c r="I26" s="1764"/>
      <c r="J26" s="1764"/>
      <c r="K26" s="1764"/>
      <c r="L26" s="1797">
        <v>2021</v>
      </c>
      <c r="M26" s="1778">
        <f t="shared" si="2"/>
        <v>6598953.9500000002</v>
      </c>
      <c r="N26" s="1779">
        <f t="shared" ref="N26:N37" si="4">M26/$C$47</f>
        <v>1.8451488887173226E-2</v>
      </c>
      <c r="O26" s="1042">
        <f>[73]CRC!$J$14*N26</f>
        <v>1484.1093437215598</v>
      </c>
      <c r="P26" s="1042">
        <f t="shared" si="0"/>
        <v>113.53436479469931</v>
      </c>
      <c r="Q26" s="1042"/>
      <c r="R26" s="1782"/>
    </row>
    <row r="27" spans="1:18 16384:16384">
      <c r="A27" s="1796"/>
      <c r="B27" s="1797">
        <v>2025</v>
      </c>
      <c r="C27" s="1778">
        <v>1604106.91</v>
      </c>
      <c r="D27" s="1779">
        <f t="shared" si="3"/>
        <v>4.4852807047854578E-3</v>
      </c>
      <c r="E27" s="1042">
        <f>[73]CRC!$J$12*D27</f>
        <v>1251.687909871833</v>
      </c>
      <c r="F27" s="1042">
        <f t="shared" si="1"/>
        <v>95.754125105195214</v>
      </c>
      <c r="G27" s="1780"/>
      <c r="H27" s="1780"/>
      <c r="I27" s="1764"/>
      <c r="J27" s="1764"/>
      <c r="K27" s="1764"/>
      <c r="L27" s="1797">
        <v>2025</v>
      </c>
      <c r="M27" s="1778">
        <f t="shared" si="2"/>
        <v>1604106.91</v>
      </c>
      <c r="N27" s="1779">
        <f t="shared" si="4"/>
        <v>4.4852807047854578E-3</v>
      </c>
      <c r="O27" s="1042">
        <f>[73]CRC!$J$14*N27</f>
        <v>360.76476233923694</v>
      </c>
      <c r="P27" s="1042">
        <f t="shared" si="0"/>
        <v>27.598504318951626</v>
      </c>
      <c r="Q27" s="1042"/>
      <c r="R27" s="1782"/>
    </row>
    <row r="28" spans="1:18 16384:16384">
      <c r="A28" s="1796"/>
      <c r="B28" s="1797">
        <v>2031</v>
      </c>
      <c r="C28" s="1778">
        <v>18925535.780000001</v>
      </c>
      <c r="D28" s="1779">
        <f t="shared" si="3"/>
        <v>5.2918131536358014E-2</v>
      </c>
      <c r="E28" s="1042">
        <f>[73]CRC!$J$12*D28</f>
        <v>14767.634361523193</v>
      </c>
      <c r="F28" s="1042">
        <f t="shared" si="1"/>
        <v>1129.7240286565243</v>
      </c>
      <c r="G28" s="1780"/>
      <c r="H28" s="1780"/>
      <c r="I28" s="1764"/>
      <c r="J28" s="1764"/>
      <c r="K28" s="1764"/>
      <c r="L28" s="1797">
        <v>2031</v>
      </c>
      <c r="M28" s="1778">
        <f t="shared" si="2"/>
        <v>18925535.780000001</v>
      </c>
      <c r="N28" s="1779">
        <f t="shared" si="4"/>
        <v>5.2918131536358014E-2</v>
      </c>
      <c r="O28" s="1042">
        <f>[73]CRC!$J$14*N28</f>
        <v>4256.3661905891458</v>
      </c>
      <c r="P28" s="1042">
        <f t="shared" si="0"/>
        <v>325.61201358006963</v>
      </c>
      <c r="Q28" s="1042"/>
      <c r="R28" s="1782"/>
    </row>
    <row r="29" spans="1:18 16384:16384">
      <c r="A29" s="1796"/>
      <c r="B29" s="1797">
        <v>2032</v>
      </c>
      <c r="C29" s="1778">
        <v>11880404.48</v>
      </c>
      <c r="D29" s="1779">
        <f t="shared" si="3"/>
        <v>3.3219075765461736E-2</v>
      </c>
      <c r="E29" s="1042">
        <f>[73]CRC!$J$12*D29</f>
        <v>9270.3039674601005</v>
      </c>
      <c r="F29" s="1042">
        <f t="shared" si="1"/>
        <v>709.17825351069769</v>
      </c>
      <c r="G29" s="1780"/>
      <c r="H29" s="1780"/>
      <c r="I29" s="1764"/>
      <c r="J29" s="1764"/>
      <c r="K29" s="1764"/>
      <c r="L29" s="1797">
        <v>2032</v>
      </c>
      <c r="M29" s="1778">
        <f t="shared" si="2"/>
        <v>11880404.48</v>
      </c>
      <c r="N29" s="1779">
        <f t="shared" si="4"/>
        <v>3.3219075765461736E-2</v>
      </c>
      <c r="O29" s="1042">
        <f>[73]CRC!$J$14*N29</f>
        <v>2671.9112498064146</v>
      </c>
      <c r="P29" s="1042">
        <f t="shared" si="0"/>
        <v>204.4012106101907</v>
      </c>
      <c r="Q29" s="1042"/>
      <c r="R29" s="1782"/>
    </row>
    <row r="30" spans="1:18 16384:16384">
      <c r="A30" s="1796"/>
      <c r="B30" s="1797">
        <v>2042</v>
      </c>
      <c r="C30" s="1778">
        <v>27246700.140000001</v>
      </c>
      <c r="D30" s="1779">
        <f t="shared" si="3"/>
        <v>7.6185133076334191E-2</v>
      </c>
      <c r="E30" s="1042">
        <f>[73]CRC!$J$12*D30</f>
        <v>21260.655967837691</v>
      </c>
      <c r="F30" s="1042">
        <f t="shared" si="1"/>
        <v>1626.4401815395834</v>
      </c>
      <c r="G30" s="1780"/>
      <c r="H30" s="1780"/>
      <c r="I30" s="1764"/>
      <c r="J30" s="1764"/>
      <c r="K30" s="1764"/>
      <c r="L30" s="1797">
        <v>2042</v>
      </c>
      <c r="M30" s="1778">
        <f t="shared" si="2"/>
        <v>27246700.140000001</v>
      </c>
      <c r="N30" s="1779">
        <f t="shared" si="4"/>
        <v>7.6185133076334191E-2</v>
      </c>
      <c r="O30" s="1042">
        <f>[73]CRC!$J$14*N30</f>
        <v>6127.8018561341114</v>
      </c>
      <c r="P30" s="1042">
        <f t="shared" si="0"/>
        <v>468.77684199425954</v>
      </c>
      <c r="Q30" s="1042"/>
      <c r="R30" s="1782"/>
    </row>
    <row r="31" spans="1:18 16384:16384">
      <c r="A31" s="1796"/>
      <c r="B31" s="1797">
        <v>2044</v>
      </c>
      <c r="C31" s="1778">
        <v>6991542.2800000003</v>
      </c>
      <c r="D31" s="1779">
        <f t="shared" si="3"/>
        <v>1.9549214263515472E-2</v>
      </c>
      <c r="E31" s="1042">
        <f>[73]CRC!$J$12*D31</f>
        <v>5455.5147719136439</v>
      </c>
      <c r="F31" s="1042">
        <f t="shared" si="1"/>
        <v>417.34688005139373</v>
      </c>
      <c r="G31" s="1780"/>
      <c r="H31" s="1780"/>
      <c r="I31" s="1764"/>
      <c r="J31" s="1764"/>
      <c r="K31" s="1764"/>
      <c r="L31" s="1797">
        <v>2044</v>
      </c>
      <c r="M31" s="1778">
        <f t="shared" si="2"/>
        <v>6991542.2800000003</v>
      </c>
      <c r="N31" s="1779">
        <f t="shared" si="4"/>
        <v>1.9549214263515472E-2</v>
      </c>
      <c r="O31" s="1042">
        <f>[73]CRC!$J$14*N31</f>
        <v>1572.4027328259106</v>
      </c>
      <c r="P31" s="1042">
        <f t="shared" si="0"/>
        <v>120.28880906118215</v>
      </c>
      <c r="Q31" s="1042"/>
      <c r="R31" s="1782"/>
    </row>
    <row r="32" spans="1:18 16384:16384">
      <c r="A32" s="1796"/>
      <c r="B32" s="1797">
        <v>2045</v>
      </c>
      <c r="C32" s="1778">
        <v>5883522.9699999997</v>
      </c>
      <c r="D32" s="1779">
        <f t="shared" si="3"/>
        <v>1.6451055655326008E-2</v>
      </c>
      <c r="E32" s="1042">
        <f>[73]CRC!$J$12*D32</f>
        <v>4590.9250331713974</v>
      </c>
      <c r="F32" s="1042">
        <f t="shared" si="1"/>
        <v>351.20576503761191</v>
      </c>
      <c r="G32" s="1780"/>
      <c r="H32" s="1780"/>
      <c r="I32" s="1764"/>
      <c r="J32" s="1764"/>
      <c r="K32" s="1764"/>
      <c r="L32" s="1797">
        <v>2045</v>
      </c>
      <c r="M32" s="1778">
        <f t="shared" si="2"/>
        <v>5883522.9699999997</v>
      </c>
      <c r="N32" s="1779">
        <f t="shared" si="4"/>
        <v>1.6451055655326008E-2</v>
      </c>
      <c r="O32" s="1042">
        <f>[73]CRC!$J$14*N32</f>
        <v>1323.2084175670632</v>
      </c>
      <c r="P32" s="1042">
        <f t="shared" si="0"/>
        <v>101.22544394388034</v>
      </c>
      <c r="Q32" s="1042"/>
      <c r="R32" s="1782"/>
      <c r="XFD32" s="728"/>
    </row>
    <row r="33" spans="1:18">
      <c r="A33" s="1796"/>
      <c r="B33" s="1797">
        <v>2046</v>
      </c>
      <c r="C33" s="1778">
        <v>7791623.9800000004</v>
      </c>
      <c r="D33" s="1779">
        <f t="shared" si="3"/>
        <v>2.1786341345813216E-2</v>
      </c>
      <c r="E33" s="1042">
        <f>[73]CRC!$J$12*D33</f>
        <v>6079.8201623814803</v>
      </c>
      <c r="F33" s="1042">
        <f t="shared" si="1"/>
        <v>465.10624242218324</v>
      </c>
      <c r="G33" s="1780"/>
      <c r="H33" s="1780"/>
      <c r="I33" s="1764"/>
      <c r="J33" s="1764"/>
      <c r="K33" s="1764"/>
      <c r="L33" s="1797">
        <v>2046</v>
      </c>
      <c r="M33" s="1778">
        <f t="shared" si="2"/>
        <v>7791623.9800000004</v>
      </c>
      <c r="N33" s="1779">
        <f t="shared" si="4"/>
        <v>2.1786341345813216E-2</v>
      </c>
      <c r="O33" s="1042">
        <f>[73]CRC!$J$14*N33</f>
        <v>1752.3416649214485</v>
      </c>
      <c r="P33" s="1042">
        <f t="shared" si="0"/>
        <v>134.05413736649081</v>
      </c>
      <c r="Q33" s="1042"/>
      <c r="R33" s="1782"/>
    </row>
    <row r="34" spans="1:18">
      <c r="A34" s="1796"/>
      <c r="B34" s="1797">
        <v>2048</v>
      </c>
      <c r="C34" s="1778">
        <v>20704386.23</v>
      </c>
      <c r="D34" s="1779">
        <f t="shared" si="3"/>
        <v>5.7892016724648818E-2</v>
      </c>
      <c r="E34" s="1042">
        <f>[73]CRC!$J$12*D34</f>
        <v>16155.675013835495</v>
      </c>
      <c r="F34" s="1042">
        <f t="shared" si="1"/>
        <v>1235.9091385584154</v>
      </c>
      <c r="G34" s="1780"/>
      <c r="H34" s="1780"/>
      <c r="I34" s="1764"/>
      <c r="J34" s="1764"/>
      <c r="K34" s="1764"/>
      <c r="L34" s="1797">
        <v>2048</v>
      </c>
      <c r="M34" s="1778">
        <f t="shared" si="2"/>
        <v>20704386.23</v>
      </c>
      <c r="N34" s="1779">
        <f t="shared" si="4"/>
        <v>5.7892016724648818E-2</v>
      </c>
      <c r="O34" s="1042">
        <f>[73]CRC!$J$14*N34</f>
        <v>4656.4308968943478</v>
      </c>
      <c r="P34" s="1042">
        <f t="shared" si="0"/>
        <v>356.2169636124176</v>
      </c>
      <c r="Q34" s="1042"/>
      <c r="R34" s="1782"/>
    </row>
    <row r="35" spans="1:18">
      <c r="A35" s="1796"/>
      <c r="B35" s="1797">
        <v>2049</v>
      </c>
      <c r="C35" s="1778">
        <v>605847.98</v>
      </c>
      <c r="D35" s="1779">
        <f t="shared" si="3"/>
        <v>1.6940256523969752E-3</v>
      </c>
      <c r="E35" s="1042">
        <f>[73]CRC!$J$12*D35</f>
        <v>472.74442062360549</v>
      </c>
      <c r="F35" s="1042">
        <f t="shared" si="1"/>
        <v>36.164948177705817</v>
      </c>
      <c r="G35" s="1780"/>
      <c r="H35" s="1780"/>
      <c r="I35" s="1764"/>
      <c r="J35" s="1764"/>
      <c r="K35" s="1764"/>
      <c r="L35" s="1797">
        <v>2049</v>
      </c>
      <c r="M35" s="1778">
        <f t="shared" si="2"/>
        <v>605847.98</v>
      </c>
      <c r="N35" s="1779">
        <f t="shared" si="4"/>
        <v>1.6940256523969752E-3</v>
      </c>
      <c r="O35" s="1042">
        <f>[73]CRC!$J$14*N35</f>
        <v>136.25563306027203</v>
      </c>
      <c r="P35" s="1042">
        <f t="shared" si="0"/>
        <v>10.42355592911081</v>
      </c>
      <c r="Q35" s="1042"/>
      <c r="R35" s="1782"/>
    </row>
    <row r="36" spans="1:18">
      <c r="A36" s="1796"/>
      <c r="B36" s="1797">
        <v>2050</v>
      </c>
      <c r="C36" s="1778">
        <v>24643730.75</v>
      </c>
      <c r="D36" s="1779">
        <f t="shared" si="3"/>
        <v>6.8906909718943268E-2</v>
      </c>
      <c r="E36" s="1042">
        <f>[73]CRC!$J$12*D36</f>
        <v>19229.553617415513</v>
      </c>
      <c r="F36" s="1042">
        <f t="shared" si="1"/>
        <v>1471.0608517322867</v>
      </c>
      <c r="G36" s="1780"/>
      <c r="H36" s="1780"/>
      <c r="I36" s="1764"/>
      <c r="J36" s="1764"/>
      <c r="K36" s="1764"/>
      <c r="L36" s="1797">
        <v>2050</v>
      </c>
      <c r="M36" s="1778">
        <f t="shared" si="2"/>
        <v>24643730.75</v>
      </c>
      <c r="N36" s="1779">
        <f t="shared" si="4"/>
        <v>6.8906909718943268E-2</v>
      </c>
      <c r="O36" s="1042">
        <f>[73]CRC!$J$14*N36</f>
        <v>5542.3922257001532</v>
      </c>
      <c r="P36" s="1042">
        <f t="shared" si="0"/>
        <v>423.99300526606169</v>
      </c>
      <c r="Q36" s="1042"/>
      <c r="R36" s="1782"/>
    </row>
    <row r="37" spans="1:18">
      <c r="A37" s="1796"/>
      <c r="B37" s="1797">
        <v>2051</v>
      </c>
      <c r="C37" s="1778">
        <v>54684495.210000001</v>
      </c>
      <c r="D37" s="1779">
        <f>C37/$C$47</f>
        <v>0.15290459113872018</v>
      </c>
      <c r="E37" s="1042">
        <f>[73]CRC!$J$12*D37</f>
        <v>42670.423701248917</v>
      </c>
      <c r="F37" s="1042">
        <f t="shared" si="1"/>
        <v>3264.2874131455419</v>
      </c>
      <c r="G37" s="1780"/>
      <c r="H37" s="1780"/>
      <c r="I37" s="1764"/>
      <c r="J37" s="1764"/>
      <c r="K37" s="1764"/>
      <c r="L37" s="1797">
        <v>2051</v>
      </c>
      <c r="M37" s="1778">
        <f t="shared" si="2"/>
        <v>54684495.210000001</v>
      </c>
      <c r="N37" s="1779">
        <f t="shared" si="4"/>
        <v>0.15290459113872018</v>
      </c>
      <c r="O37" s="1042">
        <f>[73]CRC!$J$14*N37</f>
        <v>12298.581095244326</v>
      </c>
      <c r="P37" s="1042">
        <f t="shared" si="0"/>
        <v>940.84145378619098</v>
      </c>
      <c r="Q37" s="1042"/>
      <c r="R37" s="1782"/>
    </row>
    <row r="38" spans="1:18">
      <c r="A38" s="1796"/>
      <c r="B38" s="1797">
        <v>2053</v>
      </c>
      <c r="C38" s="1778">
        <v>1056310.95</v>
      </c>
      <c r="D38" s="1779">
        <f>C38/$C$47</f>
        <v>2.953575658051742E-3</v>
      </c>
      <c r="E38" s="1042">
        <f>[73]CRC!$J$12*D38</f>
        <v>824.24159944565679</v>
      </c>
      <c r="F38" s="1042">
        <f t="shared" si="1"/>
        <v>63.054482357592747</v>
      </c>
      <c r="G38" s="1780"/>
      <c r="H38" s="1780"/>
      <c r="I38" s="1764"/>
      <c r="J38" s="1764"/>
      <c r="K38" s="1764"/>
      <c r="L38" s="1797">
        <v>2053</v>
      </c>
      <c r="M38" s="1778">
        <f t="shared" si="2"/>
        <v>1056310.95</v>
      </c>
      <c r="N38" s="1779">
        <f>M38/$C$47</f>
        <v>2.953575658051742E-3</v>
      </c>
      <c r="O38" s="1042">
        <f>[73]CRC!$J$14*N38</f>
        <v>237.5650690471021</v>
      </c>
      <c r="P38" s="1042">
        <f t="shared" si="0"/>
        <v>18.17372778210331</v>
      </c>
      <c r="Q38" s="1042"/>
      <c r="R38" s="1782"/>
    </row>
    <row r="39" spans="1:18">
      <c r="A39" s="1796"/>
      <c r="B39" s="1797">
        <v>2054</v>
      </c>
      <c r="C39" s="1778">
        <v>742298.64</v>
      </c>
      <c r="D39" s="1779">
        <f t="shared" ref="D39:D44" si="5">C39/$C$47</f>
        <v>2.0755585219569229E-3</v>
      </c>
      <c r="E39" s="1042">
        <f>[73]CRC!$J$12*D39</f>
        <v>579.21715030970358</v>
      </c>
      <c r="F39" s="1042">
        <f t="shared" si="1"/>
        <v>44.310111998692321</v>
      </c>
      <c r="G39" s="1780"/>
      <c r="H39" s="1780"/>
      <c r="I39" s="1764"/>
      <c r="J39" s="1764"/>
      <c r="K39" s="1764"/>
      <c r="L39" s="1797">
        <v>2054</v>
      </c>
      <c r="M39" s="1778">
        <f t="shared" si="2"/>
        <v>742298.64</v>
      </c>
      <c r="N39" s="1779">
        <f t="shared" ref="N39:N44" si="6">M39/$C$47</f>
        <v>2.0755585219569229E-3</v>
      </c>
      <c r="O39" s="1042">
        <f>[73]CRC!$J$14*N39</f>
        <v>166.94348161890207</v>
      </c>
      <c r="P39" s="1042">
        <f t="shared" si="0"/>
        <v>12.771176343846008</v>
      </c>
      <c r="Q39" s="1042"/>
      <c r="R39" s="1782"/>
    </row>
    <row r="40" spans="1:18">
      <c r="A40" s="1796"/>
      <c r="B40" s="1797">
        <v>2120</v>
      </c>
      <c r="C40" s="1778">
        <v>4351806.25</v>
      </c>
      <c r="D40" s="1779">
        <f t="shared" si="5"/>
        <v>1.2168186847402684E-2</v>
      </c>
      <c r="E40" s="1042">
        <f>[73]CRC!$J$12*D40</f>
        <v>3395.7233369374862</v>
      </c>
      <c r="F40" s="1042">
        <f t="shared" si="1"/>
        <v>259.77283527571768</v>
      </c>
      <c r="G40" s="1780"/>
      <c r="H40" s="1780"/>
      <c r="I40" s="1764"/>
      <c r="J40" s="1764"/>
      <c r="K40" s="1764"/>
      <c r="L40" s="1797">
        <v>2120</v>
      </c>
      <c r="M40" s="1778">
        <f t="shared" si="2"/>
        <v>4351806.25</v>
      </c>
      <c r="N40" s="1779">
        <f t="shared" si="6"/>
        <v>1.2168186847402684E-2</v>
      </c>
      <c r="O40" s="1042">
        <f>[73]CRC!$J$14*N40</f>
        <v>978.72425942461405</v>
      </c>
      <c r="P40" s="1042">
        <f t="shared" si="0"/>
        <v>74.872405845982968</v>
      </c>
      <c r="Q40" s="1042"/>
      <c r="R40" s="1782"/>
    </row>
    <row r="41" spans="1:18">
      <c r="A41" s="1796"/>
      <c r="B41" s="1797">
        <v>2125</v>
      </c>
      <c r="C41" s="1778">
        <v>6566355.9699999997</v>
      </c>
      <c r="D41" s="1779">
        <f t="shared" si="5"/>
        <v>1.8360340915802052E-2</v>
      </c>
      <c r="E41" s="1042">
        <f>[73]CRC!$J$12*D41</f>
        <v>5123.7410227001219</v>
      </c>
      <c r="F41" s="1042">
        <f t="shared" si="1"/>
        <v>391.96618823655933</v>
      </c>
      <c r="G41" s="1780"/>
      <c r="H41" s="1780"/>
      <c r="I41" s="1764"/>
      <c r="J41" s="1764"/>
      <c r="K41" s="1764"/>
      <c r="L41" s="1797">
        <v>2125</v>
      </c>
      <c r="M41" s="1778">
        <f t="shared" si="2"/>
        <v>6566355.9699999997</v>
      </c>
      <c r="N41" s="1779">
        <f t="shared" si="6"/>
        <v>1.8360340915802052E-2</v>
      </c>
      <c r="O41" s="1042">
        <f>[73]CRC!$J$14*N41</f>
        <v>1476.7780352943432</v>
      </c>
      <c r="P41" s="1042">
        <f t="shared" si="0"/>
        <v>112.97351970001725</v>
      </c>
      <c r="Q41" s="1042"/>
      <c r="R41" s="1782"/>
    </row>
    <row r="42" spans="1:18">
      <c r="A42" s="1796"/>
      <c r="B42" s="1797">
        <v>2146</v>
      </c>
      <c r="C42" s="1778">
        <v>3260049.84</v>
      </c>
      <c r="D42" s="1779">
        <f t="shared" si="5"/>
        <v>9.1155013128089556E-3</v>
      </c>
      <c r="E42" s="1042">
        <f>[73]CRC!$J$12*D42</f>
        <v>2543.8235723999237</v>
      </c>
      <c r="F42" s="1042">
        <f t="shared" si="1"/>
        <v>194.60250328859416</v>
      </c>
      <c r="G42" s="1780"/>
      <c r="H42" s="1780"/>
      <c r="I42" s="1764"/>
      <c r="J42" s="1764"/>
      <c r="K42" s="1764"/>
      <c r="L42" s="1797">
        <v>2146</v>
      </c>
      <c r="M42" s="1778">
        <f t="shared" si="2"/>
        <v>3260049.84</v>
      </c>
      <c r="N42" s="1779">
        <f t="shared" si="6"/>
        <v>9.1155013128089556E-3</v>
      </c>
      <c r="O42" s="1042">
        <f>[73]CRC!$J$14*N42</f>
        <v>733.18748171321533</v>
      </c>
      <c r="P42" s="1042">
        <f t="shared" si="0"/>
        <v>56.088842351060975</v>
      </c>
      <c r="Q42" s="1042"/>
      <c r="R42" s="1782"/>
    </row>
    <row r="43" spans="1:18">
      <c r="A43" s="1796"/>
      <c r="B43" s="1797">
        <v>2171</v>
      </c>
      <c r="C43" s="1778">
        <v>5166390.88</v>
      </c>
      <c r="D43" s="1779">
        <f t="shared" si="5"/>
        <v>1.4445865910174006E-2</v>
      </c>
      <c r="E43" s="1042">
        <f>[73]CRC!$J$12*D43</f>
        <v>4031.3453934115278</v>
      </c>
      <c r="F43" s="1042">
        <f t="shared" si="1"/>
        <v>308.39792259598187</v>
      </c>
      <c r="G43" s="1780"/>
      <c r="H43" s="1780"/>
      <c r="I43" s="1764"/>
      <c r="J43" s="1764"/>
      <c r="K43" s="1764"/>
      <c r="L43" s="1797">
        <v>2171</v>
      </c>
      <c r="M43" s="1778">
        <f t="shared" si="2"/>
        <v>5166390.88</v>
      </c>
      <c r="N43" s="1779">
        <f t="shared" si="6"/>
        <v>1.4445865910174006E-2</v>
      </c>
      <c r="O43" s="1042">
        <f>[73]CRC!$J$14*N43</f>
        <v>1161.9249105876625</v>
      </c>
      <c r="P43" s="1042">
        <f t="shared" si="0"/>
        <v>88.887255659956182</v>
      </c>
      <c r="Q43" s="1042"/>
      <c r="R43" s="1782"/>
    </row>
    <row r="44" spans="1:18">
      <c r="A44" s="1796"/>
      <c r="B44" s="1797">
        <v>2173</v>
      </c>
      <c r="C44" s="1778">
        <v>4893079.9400000004</v>
      </c>
      <c r="D44" s="1779">
        <f t="shared" si="5"/>
        <v>1.3681654823028465E-2</v>
      </c>
      <c r="E44" s="1042">
        <f>[73]CRC!$J$12*D44</f>
        <v>3818.0803067137181</v>
      </c>
      <c r="F44" s="1042">
        <f t="shared" si="1"/>
        <v>292.08314346359941</v>
      </c>
      <c r="G44" s="1780"/>
      <c r="H44" s="1780"/>
      <c r="I44" s="1764"/>
      <c r="J44" s="1764"/>
      <c r="K44" s="1764"/>
      <c r="L44" s="1797">
        <v>2173</v>
      </c>
      <c r="M44" s="1778">
        <f t="shared" si="2"/>
        <v>4893079.9400000004</v>
      </c>
      <c r="N44" s="1779">
        <f t="shared" si="6"/>
        <v>1.3681654823028465E-2</v>
      </c>
      <c r="O44" s="1042">
        <f>[73]CRC!$J$14*N44</f>
        <v>1100.4570896468415</v>
      </c>
      <c r="P44" s="1042">
        <f t="shared" si="0"/>
        <v>84.184967357983368</v>
      </c>
      <c r="Q44" s="1042"/>
      <c r="R44" s="1782"/>
    </row>
    <row r="45" spans="1:18">
      <c r="A45" s="1796"/>
      <c r="B45" s="1797">
        <v>2195</v>
      </c>
      <c r="C45" s="1778">
        <v>19852161.140000001</v>
      </c>
      <c r="D45" s="1783">
        <f>C45/$C$47</f>
        <v>5.5509090294694682E-2</v>
      </c>
      <c r="E45" s="1784">
        <f>[73]CRC!$J$12*D45</f>
        <v>15490.682029270372</v>
      </c>
      <c r="F45" s="1784">
        <f t="shared" si="1"/>
        <v>1185.0371752391834</v>
      </c>
      <c r="G45" s="1780">
        <f>E45</f>
        <v>15490.682029270372</v>
      </c>
      <c r="H45" s="1780">
        <f>F45</f>
        <v>1185.0371752391834</v>
      </c>
      <c r="I45" s="1764"/>
      <c r="J45" s="1764"/>
      <c r="K45" s="1764"/>
      <c r="L45" s="1797">
        <v>2195</v>
      </c>
      <c r="M45" s="1785">
        <f t="shared" si="2"/>
        <v>19852161.140000001</v>
      </c>
      <c r="N45" s="1783">
        <f>M45/$C$47</f>
        <v>5.5509090294694682E-2</v>
      </c>
      <c r="O45" s="1784">
        <f>[73]CRC!$J$14*N45</f>
        <v>4464.7648800367897</v>
      </c>
      <c r="P45" s="1784">
        <f t="shared" si="0"/>
        <v>341.55451332281439</v>
      </c>
      <c r="Q45" s="1042">
        <f>O45</f>
        <v>4464.7648800367897</v>
      </c>
      <c r="R45" s="1782">
        <f>P45</f>
        <v>341.55451332281439</v>
      </c>
    </row>
    <row r="46" spans="1:18">
      <c r="A46" s="1767"/>
      <c r="B46" s="1798"/>
      <c r="C46" s="1786"/>
      <c r="D46" s="1764"/>
      <c r="E46" s="1764"/>
      <c r="F46" s="1764"/>
      <c r="G46" s="1764"/>
      <c r="H46" s="1764"/>
      <c r="I46" s="1764"/>
      <c r="J46" s="1764"/>
      <c r="K46" s="1764"/>
      <c r="L46" s="1764"/>
      <c r="M46" s="1764"/>
      <c r="N46" s="1764"/>
      <c r="O46" s="1764"/>
      <c r="P46" s="1764"/>
      <c r="Q46" s="1764"/>
      <c r="R46" s="1765"/>
    </row>
    <row r="47" spans="1:18">
      <c r="A47" s="1767"/>
      <c r="B47" s="1799"/>
      <c r="C47" s="1787">
        <f t="shared" ref="C47:H47" si="7">SUM(C24:C45)</f>
        <v>357638019.90999991</v>
      </c>
      <c r="D47" s="1788">
        <f t="shared" si="7"/>
        <v>1.0000000000000004</v>
      </c>
      <c r="E47" s="1800">
        <f t="shared" si="7"/>
        <v>279065.68000000005</v>
      </c>
      <c r="F47" s="1800">
        <f t="shared" si="7"/>
        <v>21348.524520000003</v>
      </c>
      <c r="G47" s="1800">
        <f t="shared" si="7"/>
        <v>15490.682029270372</v>
      </c>
      <c r="H47" s="1800">
        <f t="shared" si="7"/>
        <v>1185.0371752391834</v>
      </c>
      <c r="I47" s="1764"/>
      <c r="J47" s="1764"/>
      <c r="K47" s="1764"/>
      <c r="L47" s="1798"/>
      <c r="M47" s="1787">
        <f t="shared" ref="M47:R47" si="8">SUM(M24:M45)</f>
        <v>357638019.90999991</v>
      </c>
      <c r="N47" s="1788">
        <f t="shared" si="8"/>
        <v>1.0000000000000004</v>
      </c>
      <c r="O47" s="1800">
        <f t="shared" si="8"/>
        <v>80433.040000000037</v>
      </c>
      <c r="P47" s="1800">
        <f t="shared" si="8"/>
        <v>6153.1275600000017</v>
      </c>
      <c r="Q47" s="1800">
        <f t="shared" si="8"/>
        <v>4464.7648800367897</v>
      </c>
      <c r="R47" s="1801">
        <f t="shared" si="8"/>
        <v>341.55451332281439</v>
      </c>
    </row>
    <row r="48" spans="1:18">
      <c r="A48" s="1767"/>
      <c r="B48" s="1799"/>
      <c r="C48" s="1764"/>
      <c r="D48" s="1802"/>
      <c r="E48" s="1803"/>
      <c r="F48" s="1764"/>
      <c r="G48" s="1780"/>
      <c r="H48" s="1764"/>
      <c r="I48" s="1764"/>
      <c r="J48" s="1764"/>
      <c r="K48" s="1764"/>
      <c r="L48" s="1799"/>
      <c r="M48" s="1804"/>
      <c r="N48" s="1802"/>
      <c r="O48" s="1803"/>
      <c r="P48" s="1764"/>
      <c r="Q48" s="1780"/>
      <c r="R48" s="1765"/>
    </row>
    <row r="49" spans="1:18" ht="15.75" thickBot="1">
      <c r="A49" s="1767"/>
      <c r="B49" s="1799"/>
      <c r="C49" s="1804"/>
      <c r="D49" s="1802"/>
      <c r="E49" s="1803"/>
      <c r="F49" s="1764"/>
      <c r="G49" s="1805">
        <f>+G47+H47</f>
        <v>16675.719204509554</v>
      </c>
      <c r="H49" s="1806" t="s">
        <v>2363</v>
      </c>
      <c r="I49" s="1789"/>
      <c r="J49" s="1789"/>
      <c r="K49" s="1764"/>
      <c r="L49" s="1799"/>
      <c r="M49" s="1804"/>
      <c r="N49" s="1802"/>
      <c r="O49" s="1803"/>
      <c r="P49" s="1764"/>
      <c r="Q49" s="1805">
        <f>Q47+R47</f>
        <v>4806.319393359604</v>
      </c>
      <c r="R49" s="1807" t="s">
        <v>2363</v>
      </c>
    </row>
    <row r="50" spans="1:18">
      <c r="A50" s="1767"/>
      <c r="B50" s="1799"/>
      <c r="C50" s="1808"/>
      <c r="D50" s="1802"/>
      <c r="E50" s="1803"/>
      <c r="F50" s="1764"/>
      <c r="G50" s="1042"/>
      <c r="H50" s="1764"/>
      <c r="I50" s="1764"/>
      <c r="J50" s="1764"/>
      <c r="K50" s="1764"/>
      <c r="L50" s="1764"/>
      <c r="M50" s="1764"/>
      <c r="N50" s="1764"/>
      <c r="O50" s="1764"/>
      <c r="P50" s="1764"/>
      <c r="Q50" s="1764"/>
      <c r="R50" s="1765"/>
    </row>
    <row r="51" spans="1:18" ht="15.75" thickBot="1">
      <c r="A51" s="1790"/>
      <c r="B51" s="1809"/>
      <c r="C51" s="1810"/>
      <c r="D51" s="1811"/>
      <c r="E51" s="1812"/>
      <c r="F51" s="1791"/>
      <c r="G51" s="1792"/>
      <c r="H51" s="1791"/>
      <c r="I51" s="1791"/>
      <c r="J51" s="1791"/>
      <c r="K51" s="1791"/>
      <c r="L51" s="1791"/>
      <c r="M51" s="1791"/>
      <c r="N51" s="1791"/>
      <c r="O51" s="1791"/>
      <c r="P51" s="1791"/>
      <c r="Q51" s="1791"/>
      <c r="R51" s="1793"/>
    </row>
    <row r="52" spans="1:18" ht="15.75" thickTop="1">
      <c r="B52" s="262"/>
      <c r="C52" s="700"/>
      <c r="D52" s="729"/>
      <c r="E52" s="301"/>
    </row>
    <row r="54" spans="1:18">
      <c r="N54" s="730"/>
    </row>
    <row r="57" spans="1:18">
      <c r="M57" s="730"/>
    </row>
  </sheetData>
  <mergeCells count="2">
    <mergeCell ref="A18:G18"/>
    <mergeCell ref="K18:Q18"/>
  </mergeCells>
  <dataValidations count="1">
    <dataValidation type="list" allowBlank="1" showInputMessage="1" showErrorMessage="1" sqref="C6" xr:uid="{00000000-0002-0000-1B00-000000000000}">
      <formula1>"Actual,Budget,Fcast1,Fcast2,Fcast3,Fcast4,Fcast5,Fcast6,Fcast7,Fcast8,Fcast9,Fcast10,Fcast11,Fcast12"</formula1>
    </dataValidation>
  </dataValidations>
  <pageMargins left="0.25" right="0.25" top="0.27" bottom="0.4" header="0.18" footer="0.25"/>
  <pageSetup scale="55" orientation="landscape" errors="blank" r:id="rId1"/>
  <headerFooter alignWithMargins="0">
    <oddHeader>&amp;C&amp;"-,Bold"&amp;KFF0000TEXT IN RED BOX CONFIDENTIAL PER WAC 480-07-160&amp;R&amp;F
&amp;A
&amp;P</oddHeader>
    <oddFooter>&amp;L&amp;F - &amp;A&amp;RPage &amp;P of &amp;N</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pageSetUpPr fitToPage="1"/>
  </sheetPr>
  <dimension ref="A1:AP208"/>
  <sheetViews>
    <sheetView view="pageBreakPreview" zoomScale="60" zoomScaleNormal="100" workbookViewId="0">
      <selection activeCell="AJ3" sqref="AJ3:AP124"/>
    </sheetView>
  </sheetViews>
  <sheetFormatPr defaultColWidth="13.85546875" defaultRowHeight="12.75"/>
  <cols>
    <col min="1" max="1" width="7.85546875" style="1" customWidth="1"/>
    <col min="2" max="3" width="2.28515625" style="1" customWidth="1"/>
    <col min="4" max="4" width="26.85546875" style="1" customWidth="1"/>
    <col min="5" max="5" width="2.28515625" style="1" customWidth="1"/>
    <col min="6" max="6" width="2.140625" style="1" customWidth="1"/>
    <col min="7" max="7" width="12.28515625" style="48" customWidth="1"/>
    <col min="8" max="8" width="1.5703125" style="1" customWidth="1"/>
    <col min="9" max="9" width="12.28515625" style="48" customWidth="1"/>
    <col min="10" max="10" width="1.5703125" style="1" customWidth="1"/>
    <col min="11" max="11" width="12.28515625" style="48" customWidth="1"/>
    <col min="12" max="12" width="1.5703125" style="1" customWidth="1"/>
    <col min="13" max="13" width="13.5703125" style="48" customWidth="1"/>
    <col min="14" max="14" width="0.85546875" style="1" customWidth="1"/>
    <col min="15" max="15" width="12.28515625" style="48" customWidth="1"/>
    <col min="16" max="16" width="1.5703125" style="1" customWidth="1"/>
    <col min="17" max="17" width="12.28515625" style="48" customWidth="1"/>
    <col min="18" max="18" width="1.5703125" style="1" customWidth="1"/>
    <col min="19" max="19" width="12.28515625" style="48" customWidth="1"/>
    <col min="20" max="20" width="0.85546875" style="1" customWidth="1"/>
    <col min="21" max="21" width="12.28515625" style="48" customWidth="1"/>
    <col min="22" max="22" width="1.5703125" style="1" customWidth="1"/>
    <col min="23" max="23" width="12.28515625" style="48" customWidth="1"/>
    <col min="24" max="24" width="1.5703125" style="1" customWidth="1"/>
    <col min="25" max="25" width="12.28515625" style="48" customWidth="1"/>
    <col min="26" max="26" width="0.85546875" style="1" customWidth="1"/>
    <col min="27" max="27" width="12.28515625" style="48" customWidth="1"/>
    <col min="28" max="28" width="1.5703125" style="1" customWidth="1"/>
    <col min="29" max="29" width="12.28515625" style="48" customWidth="1"/>
    <col min="30" max="30" width="1.5703125" style="1" customWidth="1"/>
    <col min="31" max="31" width="12.28515625" style="48" customWidth="1"/>
    <col min="32" max="32" width="19.42578125" style="1" bestFit="1" customWidth="1"/>
    <col min="33" max="249" width="13.85546875" style="1"/>
    <col min="250" max="250" width="7.85546875" style="1" customWidth="1"/>
    <col min="251" max="252" width="2.28515625" style="1" customWidth="1"/>
    <col min="253" max="253" width="31.42578125" style="1" customWidth="1"/>
    <col min="254" max="254" width="2.28515625" style="1" customWidth="1"/>
    <col min="255" max="255" width="2.140625" style="1" customWidth="1"/>
    <col min="256" max="256" width="12.28515625" style="1" customWidth="1"/>
    <col min="257" max="257" width="1.5703125" style="1" customWidth="1"/>
    <col min="258" max="258" width="12.28515625" style="1" customWidth="1"/>
    <col min="259" max="259" width="1.5703125" style="1" customWidth="1"/>
    <col min="260" max="260" width="12.28515625" style="1" customWidth="1"/>
    <col min="261" max="261" width="1.5703125" style="1" customWidth="1"/>
    <col min="262" max="262" width="13.5703125" style="1" customWidth="1"/>
    <col min="263" max="263" width="0.85546875" style="1" customWidth="1"/>
    <col min="264" max="264" width="12.28515625" style="1" customWidth="1"/>
    <col min="265" max="265" width="1.5703125" style="1" customWidth="1"/>
    <col min="266" max="266" width="12.28515625" style="1" customWidth="1"/>
    <col min="267" max="267" width="1.5703125" style="1" customWidth="1"/>
    <col min="268" max="268" width="12.28515625" style="1" customWidth="1"/>
    <col min="269" max="269" width="0.85546875" style="1" customWidth="1"/>
    <col min="270" max="270" width="12.28515625" style="1" customWidth="1"/>
    <col min="271" max="271" width="1.5703125" style="1" customWidth="1"/>
    <col min="272" max="272" width="12.28515625" style="1" customWidth="1"/>
    <col min="273" max="273" width="1.5703125" style="1" customWidth="1"/>
    <col min="274" max="274" width="12.28515625" style="1" customWidth="1"/>
    <col min="275" max="275" width="0.85546875" style="1" customWidth="1"/>
    <col min="276" max="276" width="12.28515625" style="1" customWidth="1"/>
    <col min="277" max="277" width="1.5703125" style="1" customWidth="1"/>
    <col min="278" max="278" width="12.28515625" style="1" customWidth="1"/>
    <col min="279" max="279" width="1.5703125" style="1" customWidth="1"/>
    <col min="280" max="280" width="12.28515625" style="1" customWidth="1"/>
    <col min="281" max="281" width="4.5703125" style="1" customWidth="1"/>
    <col min="282" max="282" width="1.42578125" style="1" customWidth="1"/>
    <col min="283" max="505" width="13.85546875" style="1"/>
    <col min="506" max="506" width="7.85546875" style="1" customWidth="1"/>
    <col min="507" max="508" width="2.28515625" style="1" customWidth="1"/>
    <col min="509" max="509" width="31.42578125" style="1" customWidth="1"/>
    <col min="510" max="510" width="2.28515625" style="1" customWidth="1"/>
    <col min="511" max="511" width="2.140625" style="1" customWidth="1"/>
    <col min="512" max="512" width="12.28515625" style="1" customWidth="1"/>
    <col min="513" max="513" width="1.5703125" style="1" customWidth="1"/>
    <col min="514" max="514" width="12.28515625" style="1" customWidth="1"/>
    <col min="515" max="515" width="1.5703125" style="1" customWidth="1"/>
    <col min="516" max="516" width="12.28515625" style="1" customWidth="1"/>
    <col min="517" max="517" width="1.5703125" style="1" customWidth="1"/>
    <col min="518" max="518" width="13.5703125" style="1" customWidth="1"/>
    <col min="519" max="519" width="0.85546875" style="1" customWidth="1"/>
    <col min="520" max="520" width="12.28515625" style="1" customWidth="1"/>
    <col min="521" max="521" width="1.5703125" style="1" customWidth="1"/>
    <col min="522" max="522" width="12.28515625" style="1" customWidth="1"/>
    <col min="523" max="523" width="1.5703125" style="1" customWidth="1"/>
    <col min="524" max="524" width="12.28515625" style="1" customWidth="1"/>
    <col min="525" max="525" width="0.85546875" style="1" customWidth="1"/>
    <col min="526" max="526" width="12.28515625" style="1" customWidth="1"/>
    <col min="527" max="527" width="1.5703125" style="1" customWidth="1"/>
    <col min="528" max="528" width="12.28515625" style="1" customWidth="1"/>
    <col min="529" max="529" width="1.5703125" style="1" customWidth="1"/>
    <col min="530" max="530" width="12.28515625" style="1" customWidth="1"/>
    <col min="531" max="531" width="0.85546875" style="1" customWidth="1"/>
    <col min="532" max="532" width="12.28515625" style="1" customWidth="1"/>
    <col min="533" max="533" width="1.5703125" style="1" customWidth="1"/>
    <col min="534" max="534" width="12.28515625" style="1" customWidth="1"/>
    <col min="535" max="535" width="1.5703125" style="1" customWidth="1"/>
    <col min="536" max="536" width="12.28515625" style="1" customWidth="1"/>
    <col min="537" max="537" width="4.5703125" style="1" customWidth="1"/>
    <col min="538" max="538" width="1.42578125" style="1" customWidth="1"/>
    <col min="539" max="761" width="13.85546875" style="1"/>
    <col min="762" max="762" width="7.85546875" style="1" customWidth="1"/>
    <col min="763" max="764" width="2.28515625" style="1" customWidth="1"/>
    <col min="765" max="765" width="31.42578125" style="1" customWidth="1"/>
    <col min="766" max="766" width="2.28515625" style="1" customWidth="1"/>
    <col min="767" max="767" width="2.140625" style="1" customWidth="1"/>
    <col min="768" max="768" width="12.28515625" style="1" customWidth="1"/>
    <col min="769" max="769" width="1.5703125" style="1" customWidth="1"/>
    <col min="770" max="770" width="12.28515625" style="1" customWidth="1"/>
    <col min="771" max="771" width="1.5703125" style="1" customWidth="1"/>
    <col min="772" max="772" width="12.28515625" style="1" customWidth="1"/>
    <col min="773" max="773" width="1.5703125" style="1" customWidth="1"/>
    <col min="774" max="774" width="13.5703125" style="1" customWidth="1"/>
    <col min="775" max="775" width="0.85546875" style="1" customWidth="1"/>
    <col min="776" max="776" width="12.28515625" style="1" customWidth="1"/>
    <col min="777" max="777" width="1.5703125" style="1" customWidth="1"/>
    <col min="778" max="778" width="12.28515625" style="1" customWidth="1"/>
    <col min="779" max="779" width="1.5703125" style="1" customWidth="1"/>
    <col min="780" max="780" width="12.28515625" style="1" customWidth="1"/>
    <col min="781" max="781" width="0.85546875" style="1" customWidth="1"/>
    <col min="782" max="782" width="12.28515625" style="1" customWidth="1"/>
    <col min="783" max="783" width="1.5703125" style="1" customWidth="1"/>
    <col min="784" max="784" width="12.28515625" style="1" customWidth="1"/>
    <col min="785" max="785" width="1.5703125" style="1" customWidth="1"/>
    <col min="786" max="786" width="12.28515625" style="1" customWidth="1"/>
    <col min="787" max="787" width="0.85546875" style="1" customWidth="1"/>
    <col min="788" max="788" width="12.28515625" style="1" customWidth="1"/>
    <col min="789" max="789" width="1.5703125" style="1" customWidth="1"/>
    <col min="790" max="790" width="12.28515625" style="1" customWidth="1"/>
    <col min="791" max="791" width="1.5703125" style="1" customWidth="1"/>
    <col min="792" max="792" width="12.28515625" style="1" customWidth="1"/>
    <col min="793" max="793" width="4.5703125" style="1" customWidth="1"/>
    <col min="794" max="794" width="1.42578125" style="1" customWidth="1"/>
    <col min="795" max="1017" width="13.85546875" style="1"/>
    <col min="1018" max="1018" width="7.85546875" style="1" customWidth="1"/>
    <col min="1019" max="1020" width="2.28515625" style="1" customWidth="1"/>
    <col min="1021" max="1021" width="31.42578125" style="1" customWidth="1"/>
    <col min="1022" max="1022" width="2.28515625" style="1" customWidth="1"/>
    <col min="1023" max="1023" width="2.140625" style="1" customWidth="1"/>
    <col min="1024" max="1024" width="12.28515625" style="1" customWidth="1"/>
    <col min="1025" max="1025" width="1.5703125" style="1" customWidth="1"/>
    <col min="1026" max="1026" width="12.28515625" style="1" customWidth="1"/>
    <col min="1027" max="1027" width="1.5703125" style="1" customWidth="1"/>
    <col min="1028" max="1028" width="12.28515625" style="1" customWidth="1"/>
    <col min="1029" max="1029" width="1.5703125" style="1" customWidth="1"/>
    <col min="1030" max="1030" width="13.5703125" style="1" customWidth="1"/>
    <col min="1031" max="1031" width="0.85546875" style="1" customWidth="1"/>
    <col min="1032" max="1032" width="12.28515625" style="1" customWidth="1"/>
    <col min="1033" max="1033" width="1.5703125" style="1" customWidth="1"/>
    <col min="1034" max="1034" width="12.28515625" style="1" customWidth="1"/>
    <col min="1035" max="1035" width="1.5703125" style="1" customWidth="1"/>
    <col min="1036" max="1036" width="12.28515625" style="1" customWidth="1"/>
    <col min="1037" max="1037" width="0.85546875" style="1" customWidth="1"/>
    <col min="1038" max="1038" width="12.28515625" style="1" customWidth="1"/>
    <col min="1039" max="1039" width="1.5703125" style="1" customWidth="1"/>
    <col min="1040" max="1040" width="12.28515625" style="1" customWidth="1"/>
    <col min="1041" max="1041" width="1.5703125" style="1" customWidth="1"/>
    <col min="1042" max="1042" width="12.28515625" style="1" customWidth="1"/>
    <col min="1043" max="1043" width="0.85546875" style="1" customWidth="1"/>
    <col min="1044" max="1044" width="12.28515625" style="1" customWidth="1"/>
    <col min="1045" max="1045" width="1.5703125" style="1" customWidth="1"/>
    <col min="1046" max="1046" width="12.28515625" style="1" customWidth="1"/>
    <col min="1047" max="1047" width="1.5703125" style="1" customWidth="1"/>
    <col min="1048" max="1048" width="12.28515625" style="1" customWidth="1"/>
    <col min="1049" max="1049" width="4.5703125" style="1" customWidth="1"/>
    <col min="1050" max="1050" width="1.42578125" style="1" customWidth="1"/>
    <col min="1051" max="1273" width="13.85546875" style="1"/>
    <col min="1274" max="1274" width="7.85546875" style="1" customWidth="1"/>
    <col min="1275" max="1276" width="2.28515625" style="1" customWidth="1"/>
    <col min="1277" max="1277" width="31.42578125" style="1" customWidth="1"/>
    <col min="1278" max="1278" width="2.28515625" style="1" customWidth="1"/>
    <col min="1279" max="1279" width="2.140625" style="1" customWidth="1"/>
    <col min="1280" max="1280" width="12.28515625" style="1" customWidth="1"/>
    <col min="1281" max="1281" width="1.5703125" style="1" customWidth="1"/>
    <col min="1282" max="1282" width="12.28515625" style="1" customWidth="1"/>
    <col min="1283" max="1283" width="1.5703125" style="1" customWidth="1"/>
    <col min="1284" max="1284" width="12.28515625" style="1" customWidth="1"/>
    <col min="1285" max="1285" width="1.5703125" style="1" customWidth="1"/>
    <col min="1286" max="1286" width="13.5703125" style="1" customWidth="1"/>
    <col min="1287" max="1287" width="0.85546875" style="1" customWidth="1"/>
    <col min="1288" max="1288" width="12.28515625" style="1" customWidth="1"/>
    <col min="1289" max="1289" width="1.5703125" style="1" customWidth="1"/>
    <col min="1290" max="1290" width="12.28515625" style="1" customWidth="1"/>
    <col min="1291" max="1291" width="1.5703125" style="1" customWidth="1"/>
    <col min="1292" max="1292" width="12.28515625" style="1" customWidth="1"/>
    <col min="1293" max="1293" width="0.85546875" style="1" customWidth="1"/>
    <col min="1294" max="1294" width="12.28515625" style="1" customWidth="1"/>
    <col min="1295" max="1295" width="1.5703125" style="1" customWidth="1"/>
    <col min="1296" max="1296" width="12.28515625" style="1" customWidth="1"/>
    <col min="1297" max="1297" width="1.5703125" style="1" customWidth="1"/>
    <col min="1298" max="1298" width="12.28515625" style="1" customWidth="1"/>
    <col min="1299" max="1299" width="0.85546875" style="1" customWidth="1"/>
    <col min="1300" max="1300" width="12.28515625" style="1" customWidth="1"/>
    <col min="1301" max="1301" width="1.5703125" style="1" customWidth="1"/>
    <col min="1302" max="1302" width="12.28515625" style="1" customWidth="1"/>
    <col min="1303" max="1303" width="1.5703125" style="1" customWidth="1"/>
    <col min="1304" max="1304" width="12.28515625" style="1" customWidth="1"/>
    <col min="1305" max="1305" width="4.5703125" style="1" customWidth="1"/>
    <col min="1306" max="1306" width="1.42578125" style="1" customWidth="1"/>
    <col min="1307" max="1529" width="13.85546875" style="1"/>
    <col min="1530" max="1530" width="7.85546875" style="1" customWidth="1"/>
    <col min="1531" max="1532" width="2.28515625" style="1" customWidth="1"/>
    <col min="1533" max="1533" width="31.42578125" style="1" customWidth="1"/>
    <col min="1534" max="1534" width="2.28515625" style="1" customWidth="1"/>
    <col min="1535" max="1535" width="2.140625" style="1" customWidth="1"/>
    <col min="1536" max="1536" width="12.28515625" style="1" customWidth="1"/>
    <col min="1537" max="1537" width="1.5703125" style="1" customWidth="1"/>
    <col min="1538" max="1538" width="12.28515625" style="1" customWidth="1"/>
    <col min="1539" max="1539" width="1.5703125" style="1" customWidth="1"/>
    <col min="1540" max="1540" width="12.28515625" style="1" customWidth="1"/>
    <col min="1541" max="1541" width="1.5703125" style="1" customWidth="1"/>
    <col min="1542" max="1542" width="13.5703125" style="1" customWidth="1"/>
    <col min="1543" max="1543" width="0.85546875" style="1" customWidth="1"/>
    <col min="1544" max="1544" width="12.28515625" style="1" customWidth="1"/>
    <col min="1545" max="1545" width="1.5703125" style="1" customWidth="1"/>
    <col min="1546" max="1546" width="12.28515625" style="1" customWidth="1"/>
    <col min="1547" max="1547" width="1.5703125" style="1" customWidth="1"/>
    <col min="1548" max="1548" width="12.28515625" style="1" customWidth="1"/>
    <col min="1549" max="1549" width="0.85546875" style="1" customWidth="1"/>
    <col min="1550" max="1550" width="12.28515625" style="1" customWidth="1"/>
    <col min="1551" max="1551" width="1.5703125" style="1" customWidth="1"/>
    <col min="1552" max="1552" width="12.28515625" style="1" customWidth="1"/>
    <col min="1553" max="1553" width="1.5703125" style="1" customWidth="1"/>
    <col min="1554" max="1554" width="12.28515625" style="1" customWidth="1"/>
    <col min="1555" max="1555" width="0.85546875" style="1" customWidth="1"/>
    <col min="1556" max="1556" width="12.28515625" style="1" customWidth="1"/>
    <col min="1557" max="1557" width="1.5703125" style="1" customWidth="1"/>
    <col min="1558" max="1558" width="12.28515625" style="1" customWidth="1"/>
    <col min="1559" max="1559" width="1.5703125" style="1" customWidth="1"/>
    <col min="1560" max="1560" width="12.28515625" style="1" customWidth="1"/>
    <col min="1561" max="1561" width="4.5703125" style="1" customWidth="1"/>
    <col min="1562" max="1562" width="1.42578125" style="1" customWidth="1"/>
    <col min="1563" max="1785" width="13.85546875" style="1"/>
    <col min="1786" max="1786" width="7.85546875" style="1" customWidth="1"/>
    <col min="1787" max="1788" width="2.28515625" style="1" customWidth="1"/>
    <col min="1789" max="1789" width="31.42578125" style="1" customWidth="1"/>
    <col min="1790" max="1790" width="2.28515625" style="1" customWidth="1"/>
    <col min="1791" max="1791" width="2.140625" style="1" customWidth="1"/>
    <col min="1792" max="1792" width="12.28515625" style="1" customWidth="1"/>
    <col min="1793" max="1793" width="1.5703125" style="1" customWidth="1"/>
    <col min="1794" max="1794" width="12.28515625" style="1" customWidth="1"/>
    <col min="1795" max="1795" width="1.5703125" style="1" customWidth="1"/>
    <col min="1796" max="1796" width="12.28515625" style="1" customWidth="1"/>
    <col min="1797" max="1797" width="1.5703125" style="1" customWidth="1"/>
    <col min="1798" max="1798" width="13.5703125" style="1" customWidth="1"/>
    <col min="1799" max="1799" width="0.85546875" style="1" customWidth="1"/>
    <col min="1800" max="1800" width="12.28515625" style="1" customWidth="1"/>
    <col min="1801" max="1801" width="1.5703125" style="1" customWidth="1"/>
    <col min="1802" max="1802" width="12.28515625" style="1" customWidth="1"/>
    <col min="1803" max="1803" width="1.5703125" style="1" customWidth="1"/>
    <col min="1804" max="1804" width="12.28515625" style="1" customWidth="1"/>
    <col min="1805" max="1805" width="0.85546875" style="1" customWidth="1"/>
    <col min="1806" max="1806" width="12.28515625" style="1" customWidth="1"/>
    <col min="1807" max="1807" width="1.5703125" style="1" customWidth="1"/>
    <col min="1808" max="1808" width="12.28515625" style="1" customWidth="1"/>
    <col min="1809" max="1809" width="1.5703125" style="1" customWidth="1"/>
    <col min="1810" max="1810" width="12.28515625" style="1" customWidth="1"/>
    <col min="1811" max="1811" width="0.85546875" style="1" customWidth="1"/>
    <col min="1812" max="1812" width="12.28515625" style="1" customWidth="1"/>
    <col min="1813" max="1813" width="1.5703125" style="1" customWidth="1"/>
    <col min="1814" max="1814" width="12.28515625" style="1" customWidth="1"/>
    <col min="1815" max="1815" width="1.5703125" style="1" customWidth="1"/>
    <col min="1816" max="1816" width="12.28515625" style="1" customWidth="1"/>
    <col min="1817" max="1817" width="4.5703125" style="1" customWidth="1"/>
    <col min="1818" max="1818" width="1.42578125" style="1" customWidth="1"/>
    <col min="1819" max="2041" width="13.85546875" style="1"/>
    <col min="2042" max="2042" width="7.85546875" style="1" customWidth="1"/>
    <col min="2043" max="2044" width="2.28515625" style="1" customWidth="1"/>
    <col min="2045" max="2045" width="31.42578125" style="1" customWidth="1"/>
    <col min="2046" max="2046" width="2.28515625" style="1" customWidth="1"/>
    <col min="2047" max="2047" width="2.140625" style="1" customWidth="1"/>
    <col min="2048" max="2048" width="12.28515625" style="1" customWidth="1"/>
    <col min="2049" max="2049" width="1.5703125" style="1" customWidth="1"/>
    <col min="2050" max="2050" width="12.28515625" style="1" customWidth="1"/>
    <col min="2051" max="2051" width="1.5703125" style="1" customWidth="1"/>
    <col min="2052" max="2052" width="12.28515625" style="1" customWidth="1"/>
    <col min="2053" max="2053" width="1.5703125" style="1" customWidth="1"/>
    <col min="2054" max="2054" width="13.5703125" style="1" customWidth="1"/>
    <col min="2055" max="2055" width="0.85546875" style="1" customWidth="1"/>
    <col min="2056" max="2056" width="12.28515625" style="1" customWidth="1"/>
    <col min="2057" max="2057" width="1.5703125" style="1" customWidth="1"/>
    <col min="2058" max="2058" width="12.28515625" style="1" customWidth="1"/>
    <col min="2059" max="2059" width="1.5703125" style="1" customWidth="1"/>
    <col min="2060" max="2060" width="12.28515625" style="1" customWidth="1"/>
    <col min="2061" max="2061" width="0.85546875" style="1" customWidth="1"/>
    <col min="2062" max="2062" width="12.28515625" style="1" customWidth="1"/>
    <col min="2063" max="2063" width="1.5703125" style="1" customWidth="1"/>
    <col min="2064" max="2064" width="12.28515625" style="1" customWidth="1"/>
    <col min="2065" max="2065" width="1.5703125" style="1" customWidth="1"/>
    <col min="2066" max="2066" width="12.28515625" style="1" customWidth="1"/>
    <col min="2067" max="2067" width="0.85546875" style="1" customWidth="1"/>
    <col min="2068" max="2068" width="12.28515625" style="1" customWidth="1"/>
    <col min="2069" max="2069" width="1.5703125" style="1" customWidth="1"/>
    <col min="2070" max="2070" width="12.28515625" style="1" customWidth="1"/>
    <col min="2071" max="2071" width="1.5703125" style="1" customWidth="1"/>
    <col min="2072" max="2072" width="12.28515625" style="1" customWidth="1"/>
    <col min="2073" max="2073" width="4.5703125" style="1" customWidth="1"/>
    <col min="2074" max="2074" width="1.42578125" style="1" customWidth="1"/>
    <col min="2075" max="2297" width="13.85546875" style="1"/>
    <col min="2298" max="2298" width="7.85546875" style="1" customWidth="1"/>
    <col min="2299" max="2300" width="2.28515625" style="1" customWidth="1"/>
    <col min="2301" max="2301" width="31.42578125" style="1" customWidth="1"/>
    <col min="2302" max="2302" width="2.28515625" style="1" customWidth="1"/>
    <col min="2303" max="2303" width="2.140625" style="1" customWidth="1"/>
    <col min="2304" max="2304" width="12.28515625" style="1" customWidth="1"/>
    <col min="2305" max="2305" width="1.5703125" style="1" customWidth="1"/>
    <col min="2306" max="2306" width="12.28515625" style="1" customWidth="1"/>
    <col min="2307" max="2307" width="1.5703125" style="1" customWidth="1"/>
    <col min="2308" max="2308" width="12.28515625" style="1" customWidth="1"/>
    <col min="2309" max="2309" width="1.5703125" style="1" customWidth="1"/>
    <col min="2310" max="2310" width="13.5703125" style="1" customWidth="1"/>
    <col min="2311" max="2311" width="0.85546875" style="1" customWidth="1"/>
    <col min="2312" max="2312" width="12.28515625" style="1" customWidth="1"/>
    <col min="2313" max="2313" width="1.5703125" style="1" customWidth="1"/>
    <col min="2314" max="2314" width="12.28515625" style="1" customWidth="1"/>
    <col min="2315" max="2315" width="1.5703125" style="1" customWidth="1"/>
    <col min="2316" max="2316" width="12.28515625" style="1" customWidth="1"/>
    <col min="2317" max="2317" width="0.85546875" style="1" customWidth="1"/>
    <col min="2318" max="2318" width="12.28515625" style="1" customWidth="1"/>
    <col min="2319" max="2319" width="1.5703125" style="1" customWidth="1"/>
    <col min="2320" max="2320" width="12.28515625" style="1" customWidth="1"/>
    <col min="2321" max="2321" width="1.5703125" style="1" customWidth="1"/>
    <col min="2322" max="2322" width="12.28515625" style="1" customWidth="1"/>
    <col min="2323" max="2323" width="0.85546875" style="1" customWidth="1"/>
    <col min="2324" max="2324" width="12.28515625" style="1" customWidth="1"/>
    <col min="2325" max="2325" width="1.5703125" style="1" customWidth="1"/>
    <col min="2326" max="2326" width="12.28515625" style="1" customWidth="1"/>
    <col min="2327" max="2327" width="1.5703125" style="1" customWidth="1"/>
    <col min="2328" max="2328" width="12.28515625" style="1" customWidth="1"/>
    <col min="2329" max="2329" width="4.5703125" style="1" customWidth="1"/>
    <col min="2330" max="2330" width="1.42578125" style="1" customWidth="1"/>
    <col min="2331" max="2553" width="13.85546875" style="1"/>
    <col min="2554" max="2554" width="7.85546875" style="1" customWidth="1"/>
    <col min="2555" max="2556" width="2.28515625" style="1" customWidth="1"/>
    <col min="2557" max="2557" width="31.42578125" style="1" customWidth="1"/>
    <col min="2558" max="2558" width="2.28515625" style="1" customWidth="1"/>
    <col min="2559" max="2559" width="2.140625" style="1" customWidth="1"/>
    <col min="2560" max="2560" width="12.28515625" style="1" customWidth="1"/>
    <col min="2561" max="2561" width="1.5703125" style="1" customWidth="1"/>
    <col min="2562" max="2562" width="12.28515625" style="1" customWidth="1"/>
    <col min="2563" max="2563" width="1.5703125" style="1" customWidth="1"/>
    <col min="2564" max="2564" width="12.28515625" style="1" customWidth="1"/>
    <col min="2565" max="2565" width="1.5703125" style="1" customWidth="1"/>
    <col min="2566" max="2566" width="13.5703125" style="1" customWidth="1"/>
    <col min="2567" max="2567" width="0.85546875" style="1" customWidth="1"/>
    <col min="2568" max="2568" width="12.28515625" style="1" customWidth="1"/>
    <col min="2569" max="2569" width="1.5703125" style="1" customWidth="1"/>
    <col min="2570" max="2570" width="12.28515625" style="1" customWidth="1"/>
    <col min="2571" max="2571" width="1.5703125" style="1" customWidth="1"/>
    <col min="2572" max="2572" width="12.28515625" style="1" customWidth="1"/>
    <col min="2573" max="2573" width="0.85546875" style="1" customWidth="1"/>
    <col min="2574" max="2574" width="12.28515625" style="1" customWidth="1"/>
    <col min="2575" max="2575" width="1.5703125" style="1" customWidth="1"/>
    <col min="2576" max="2576" width="12.28515625" style="1" customWidth="1"/>
    <col min="2577" max="2577" width="1.5703125" style="1" customWidth="1"/>
    <col min="2578" max="2578" width="12.28515625" style="1" customWidth="1"/>
    <col min="2579" max="2579" width="0.85546875" style="1" customWidth="1"/>
    <col min="2580" max="2580" width="12.28515625" style="1" customWidth="1"/>
    <col min="2581" max="2581" width="1.5703125" style="1" customWidth="1"/>
    <col min="2582" max="2582" width="12.28515625" style="1" customWidth="1"/>
    <col min="2583" max="2583" width="1.5703125" style="1" customWidth="1"/>
    <col min="2584" max="2584" width="12.28515625" style="1" customWidth="1"/>
    <col min="2585" max="2585" width="4.5703125" style="1" customWidth="1"/>
    <col min="2586" max="2586" width="1.42578125" style="1" customWidth="1"/>
    <col min="2587" max="2809" width="13.85546875" style="1"/>
    <col min="2810" max="2810" width="7.85546875" style="1" customWidth="1"/>
    <col min="2811" max="2812" width="2.28515625" style="1" customWidth="1"/>
    <col min="2813" max="2813" width="31.42578125" style="1" customWidth="1"/>
    <col min="2814" max="2814" width="2.28515625" style="1" customWidth="1"/>
    <col min="2815" max="2815" width="2.140625" style="1" customWidth="1"/>
    <col min="2816" max="2816" width="12.28515625" style="1" customWidth="1"/>
    <col min="2817" max="2817" width="1.5703125" style="1" customWidth="1"/>
    <col min="2818" max="2818" width="12.28515625" style="1" customWidth="1"/>
    <col min="2819" max="2819" width="1.5703125" style="1" customWidth="1"/>
    <col min="2820" max="2820" width="12.28515625" style="1" customWidth="1"/>
    <col min="2821" max="2821" width="1.5703125" style="1" customWidth="1"/>
    <col min="2822" max="2822" width="13.5703125" style="1" customWidth="1"/>
    <col min="2823" max="2823" width="0.85546875" style="1" customWidth="1"/>
    <col min="2824" max="2824" width="12.28515625" style="1" customWidth="1"/>
    <col min="2825" max="2825" width="1.5703125" style="1" customWidth="1"/>
    <col min="2826" max="2826" width="12.28515625" style="1" customWidth="1"/>
    <col min="2827" max="2827" width="1.5703125" style="1" customWidth="1"/>
    <col min="2828" max="2828" width="12.28515625" style="1" customWidth="1"/>
    <col min="2829" max="2829" width="0.85546875" style="1" customWidth="1"/>
    <col min="2830" max="2830" width="12.28515625" style="1" customWidth="1"/>
    <col min="2831" max="2831" width="1.5703125" style="1" customWidth="1"/>
    <col min="2832" max="2832" width="12.28515625" style="1" customWidth="1"/>
    <col min="2833" max="2833" width="1.5703125" style="1" customWidth="1"/>
    <col min="2834" max="2834" width="12.28515625" style="1" customWidth="1"/>
    <col min="2835" max="2835" width="0.85546875" style="1" customWidth="1"/>
    <col min="2836" max="2836" width="12.28515625" style="1" customWidth="1"/>
    <col min="2837" max="2837" width="1.5703125" style="1" customWidth="1"/>
    <col min="2838" max="2838" width="12.28515625" style="1" customWidth="1"/>
    <col min="2839" max="2839" width="1.5703125" style="1" customWidth="1"/>
    <col min="2840" max="2840" width="12.28515625" style="1" customWidth="1"/>
    <col min="2841" max="2841" width="4.5703125" style="1" customWidth="1"/>
    <col min="2842" max="2842" width="1.42578125" style="1" customWidth="1"/>
    <col min="2843" max="3065" width="13.85546875" style="1"/>
    <col min="3066" max="3066" width="7.85546875" style="1" customWidth="1"/>
    <col min="3067" max="3068" width="2.28515625" style="1" customWidth="1"/>
    <col min="3069" max="3069" width="31.42578125" style="1" customWidth="1"/>
    <col min="3070" max="3070" width="2.28515625" style="1" customWidth="1"/>
    <col min="3071" max="3071" width="2.140625" style="1" customWidth="1"/>
    <col min="3072" max="3072" width="12.28515625" style="1" customWidth="1"/>
    <col min="3073" max="3073" width="1.5703125" style="1" customWidth="1"/>
    <col min="3074" max="3074" width="12.28515625" style="1" customWidth="1"/>
    <col min="3075" max="3075" width="1.5703125" style="1" customWidth="1"/>
    <col min="3076" max="3076" width="12.28515625" style="1" customWidth="1"/>
    <col min="3077" max="3077" width="1.5703125" style="1" customWidth="1"/>
    <col min="3078" max="3078" width="13.5703125" style="1" customWidth="1"/>
    <col min="3079" max="3079" width="0.85546875" style="1" customWidth="1"/>
    <col min="3080" max="3080" width="12.28515625" style="1" customWidth="1"/>
    <col min="3081" max="3081" width="1.5703125" style="1" customWidth="1"/>
    <col min="3082" max="3082" width="12.28515625" style="1" customWidth="1"/>
    <col min="3083" max="3083" width="1.5703125" style="1" customWidth="1"/>
    <col min="3084" max="3084" width="12.28515625" style="1" customWidth="1"/>
    <col min="3085" max="3085" width="0.85546875" style="1" customWidth="1"/>
    <col min="3086" max="3086" width="12.28515625" style="1" customWidth="1"/>
    <col min="3087" max="3087" width="1.5703125" style="1" customWidth="1"/>
    <col min="3088" max="3088" width="12.28515625" style="1" customWidth="1"/>
    <col min="3089" max="3089" width="1.5703125" style="1" customWidth="1"/>
    <col min="3090" max="3090" width="12.28515625" style="1" customWidth="1"/>
    <col min="3091" max="3091" width="0.85546875" style="1" customWidth="1"/>
    <col min="3092" max="3092" width="12.28515625" style="1" customWidth="1"/>
    <col min="3093" max="3093" width="1.5703125" style="1" customWidth="1"/>
    <col min="3094" max="3094" width="12.28515625" style="1" customWidth="1"/>
    <col min="3095" max="3095" width="1.5703125" style="1" customWidth="1"/>
    <col min="3096" max="3096" width="12.28515625" style="1" customWidth="1"/>
    <col min="3097" max="3097" width="4.5703125" style="1" customWidth="1"/>
    <col min="3098" max="3098" width="1.42578125" style="1" customWidth="1"/>
    <col min="3099" max="3321" width="13.85546875" style="1"/>
    <col min="3322" max="3322" width="7.85546875" style="1" customWidth="1"/>
    <col min="3323" max="3324" width="2.28515625" style="1" customWidth="1"/>
    <col min="3325" max="3325" width="31.42578125" style="1" customWidth="1"/>
    <col min="3326" max="3326" width="2.28515625" style="1" customWidth="1"/>
    <col min="3327" max="3327" width="2.140625" style="1" customWidth="1"/>
    <col min="3328" max="3328" width="12.28515625" style="1" customWidth="1"/>
    <col min="3329" max="3329" width="1.5703125" style="1" customWidth="1"/>
    <col min="3330" max="3330" width="12.28515625" style="1" customWidth="1"/>
    <col min="3331" max="3331" width="1.5703125" style="1" customWidth="1"/>
    <col min="3332" max="3332" width="12.28515625" style="1" customWidth="1"/>
    <col min="3333" max="3333" width="1.5703125" style="1" customWidth="1"/>
    <col min="3334" max="3334" width="13.5703125" style="1" customWidth="1"/>
    <col min="3335" max="3335" width="0.85546875" style="1" customWidth="1"/>
    <col min="3336" max="3336" width="12.28515625" style="1" customWidth="1"/>
    <col min="3337" max="3337" width="1.5703125" style="1" customWidth="1"/>
    <col min="3338" max="3338" width="12.28515625" style="1" customWidth="1"/>
    <col min="3339" max="3339" width="1.5703125" style="1" customWidth="1"/>
    <col min="3340" max="3340" width="12.28515625" style="1" customWidth="1"/>
    <col min="3341" max="3341" width="0.85546875" style="1" customWidth="1"/>
    <col min="3342" max="3342" width="12.28515625" style="1" customWidth="1"/>
    <col min="3343" max="3343" width="1.5703125" style="1" customWidth="1"/>
    <col min="3344" max="3344" width="12.28515625" style="1" customWidth="1"/>
    <col min="3345" max="3345" width="1.5703125" style="1" customWidth="1"/>
    <col min="3346" max="3346" width="12.28515625" style="1" customWidth="1"/>
    <col min="3347" max="3347" width="0.85546875" style="1" customWidth="1"/>
    <col min="3348" max="3348" width="12.28515625" style="1" customWidth="1"/>
    <col min="3349" max="3349" width="1.5703125" style="1" customWidth="1"/>
    <col min="3350" max="3350" width="12.28515625" style="1" customWidth="1"/>
    <col min="3351" max="3351" width="1.5703125" style="1" customWidth="1"/>
    <col min="3352" max="3352" width="12.28515625" style="1" customWidth="1"/>
    <col min="3353" max="3353" width="4.5703125" style="1" customWidth="1"/>
    <col min="3354" max="3354" width="1.42578125" style="1" customWidth="1"/>
    <col min="3355" max="3577" width="13.85546875" style="1"/>
    <col min="3578" max="3578" width="7.85546875" style="1" customWidth="1"/>
    <col min="3579" max="3580" width="2.28515625" style="1" customWidth="1"/>
    <col min="3581" max="3581" width="31.42578125" style="1" customWidth="1"/>
    <col min="3582" max="3582" width="2.28515625" style="1" customWidth="1"/>
    <col min="3583" max="3583" width="2.140625" style="1" customWidth="1"/>
    <col min="3584" max="3584" width="12.28515625" style="1" customWidth="1"/>
    <col min="3585" max="3585" width="1.5703125" style="1" customWidth="1"/>
    <col min="3586" max="3586" width="12.28515625" style="1" customWidth="1"/>
    <col min="3587" max="3587" width="1.5703125" style="1" customWidth="1"/>
    <col min="3588" max="3588" width="12.28515625" style="1" customWidth="1"/>
    <col min="3589" max="3589" width="1.5703125" style="1" customWidth="1"/>
    <col min="3590" max="3590" width="13.5703125" style="1" customWidth="1"/>
    <col min="3591" max="3591" width="0.85546875" style="1" customWidth="1"/>
    <col min="3592" max="3592" width="12.28515625" style="1" customWidth="1"/>
    <col min="3593" max="3593" width="1.5703125" style="1" customWidth="1"/>
    <col min="3594" max="3594" width="12.28515625" style="1" customWidth="1"/>
    <col min="3595" max="3595" width="1.5703125" style="1" customWidth="1"/>
    <col min="3596" max="3596" width="12.28515625" style="1" customWidth="1"/>
    <col min="3597" max="3597" width="0.85546875" style="1" customWidth="1"/>
    <col min="3598" max="3598" width="12.28515625" style="1" customWidth="1"/>
    <col min="3599" max="3599" width="1.5703125" style="1" customWidth="1"/>
    <col min="3600" max="3600" width="12.28515625" style="1" customWidth="1"/>
    <col min="3601" max="3601" width="1.5703125" style="1" customWidth="1"/>
    <col min="3602" max="3602" width="12.28515625" style="1" customWidth="1"/>
    <col min="3603" max="3603" width="0.85546875" style="1" customWidth="1"/>
    <col min="3604" max="3604" width="12.28515625" style="1" customWidth="1"/>
    <col min="3605" max="3605" width="1.5703125" style="1" customWidth="1"/>
    <col min="3606" max="3606" width="12.28515625" style="1" customWidth="1"/>
    <col min="3607" max="3607" width="1.5703125" style="1" customWidth="1"/>
    <col min="3608" max="3608" width="12.28515625" style="1" customWidth="1"/>
    <col min="3609" max="3609" width="4.5703125" style="1" customWidth="1"/>
    <col min="3610" max="3610" width="1.42578125" style="1" customWidth="1"/>
    <col min="3611" max="3833" width="13.85546875" style="1"/>
    <col min="3834" max="3834" width="7.85546875" style="1" customWidth="1"/>
    <col min="3835" max="3836" width="2.28515625" style="1" customWidth="1"/>
    <col min="3837" max="3837" width="31.42578125" style="1" customWidth="1"/>
    <col min="3838" max="3838" width="2.28515625" style="1" customWidth="1"/>
    <col min="3839" max="3839" width="2.140625" style="1" customWidth="1"/>
    <col min="3840" max="3840" width="12.28515625" style="1" customWidth="1"/>
    <col min="3841" max="3841" width="1.5703125" style="1" customWidth="1"/>
    <col min="3842" max="3842" width="12.28515625" style="1" customWidth="1"/>
    <col min="3843" max="3843" width="1.5703125" style="1" customWidth="1"/>
    <col min="3844" max="3844" width="12.28515625" style="1" customWidth="1"/>
    <col min="3845" max="3845" width="1.5703125" style="1" customWidth="1"/>
    <col min="3846" max="3846" width="13.5703125" style="1" customWidth="1"/>
    <col min="3847" max="3847" width="0.85546875" style="1" customWidth="1"/>
    <col min="3848" max="3848" width="12.28515625" style="1" customWidth="1"/>
    <col min="3849" max="3849" width="1.5703125" style="1" customWidth="1"/>
    <col min="3850" max="3850" width="12.28515625" style="1" customWidth="1"/>
    <col min="3851" max="3851" width="1.5703125" style="1" customWidth="1"/>
    <col min="3852" max="3852" width="12.28515625" style="1" customWidth="1"/>
    <col min="3853" max="3853" width="0.85546875" style="1" customWidth="1"/>
    <col min="3854" max="3854" width="12.28515625" style="1" customWidth="1"/>
    <col min="3855" max="3855" width="1.5703125" style="1" customWidth="1"/>
    <col min="3856" max="3856" width="12.28515625" style="1" customWidth="1"/>
    <col min="3857" max="3857" width="1.5703125" style="1" customWidth="1"/>
    <col min="3858" max="3858" width="12.28515625" style="1" customWidth="1"/>
    <col min="3859" max="3859" width="0.85546875" style="1" customWidth="1"/>
    <col min="3860" max="3860" width="12.28515625" style="1" customWidth="1"/>
    <col min="3861" max="3861" width="1.5703125" style="1" customWidth="1"/>
    <col min="3862" max="3862" width="12.28515625" style="1" customWidth="1"/>
    <col min="3863" max="3863" width="1.5703125" style="1" customWidth="1"/>
    <col min="3864" max="3864" width="12.28515625" style="1" customWidth="1"/>
    <col min="3865" max="3865" width="4.5703125" style="1" customWidth="1"/>
    <col min="3866" max="3866" width="1.42578125" style="1" customWidth="1"/>
    <col min="3867" max="4089" width="13.85546875" style="1"/>
    <col min="4090" max="4090" width="7.85546875" style="1" customWidth="1"/>
    <col min="4091" max="4092" width="2.28515625" style="1" customWidth="1"/>
    <col min="4093" max="4093" width="31.42578125" style="1" customWidth="1"/>
    <col min="4094" max="4094" width="2.28515625" style="1" customWidth="1"/>
    <col min="4095" max="4095" width="2.140625" style="1" customWidth="1"/>
    <col min="4096" max="4096" width="12.28515625" style="1" customWidth="1"/>
    <col min="4097" max="4097" width="1.5703125" style="1" customWidth="1"/>
    <col min="4098" max="4098" width="12.28515625" style="1" customWidth="1"/>
    <col min="4099" max="4099" width="1.5703125" style="1" customWidth="1"/>
    <col min="4100" max="4100" width="12.28515625" style="1" customWidth="1"/>
    <col min="4101" max="4101" width="1.5703125" style="1" customWidth="1"/>
    <col min="4102" max="4102" width="13.5703125" style="1" customWidth="1"/>
    <col min="4103" max="4103" width="0.85546875" style="1" customWidth="1"/>
    <col min="4104" max="4104" width="12.28515625" style="1" customWidth="1"/>
    <col min="4105" max="4105" width="1.5703125" style="1" customWidth="1"/>
    <col min="4106" max="4106" width="12.28515625" style="1" customWidth="1"/>
    <col min="4107" max="4107" width="1.5703125" style="1" customWidth="1"/>
    <col min="4108" max="4108" width="12.28515625" style="1" customWidth="1"/>
    <col min="4109" max="4109" width="0.85546875" style="1" customWidth="1"/>
    <col min="4110" max="4110" width="12.28515625" style="1" customWidth="1"/>
    <col min="4111" max="4111" width="1.5703125" style="1" customWidth="1"/>
    <col min="4112" max="4112" width="12.28515625" style="1" customWidth="1"/>
    <col min="4113" max="4113" width="1.5703125" style="1" customWidth="1"/>
    <col min="4114" max="4114" width="12.28515625" style="1" customWidth="1"/>
    <col min="4115" max="4115" width="0.85546875" style="1" customWidth="1"/>
    <col min="4116" max="4116" width="12.28515625" style="1" customWidth="1"/>
    <col min="4117" max="4117" width="1.5703125" style="1" customWidth="1"/>
    <col min="4118" max="4118" width="12.28515625" style="1" customWidth="1"/>
    <col min="4119" max="4119" width="1.5703125" style="1" customWidth="1"/>
    <col min="4120" max="4120" width="12.28515625" style="1" customWidth="1"/>
    <col min="4121" max="4121" width="4.5703125" style="1" customWidth="1"/>
    <col min="4122" max="4122" width="1.42578125" style="1" customWidth="1"/>
    <col min="4123" max="4345" width="13.85546875" style="1"/>
    <col min="4346" max="4346" width="7.85546875" style="1" customWidth="1"/>
    <col min="4347" max="4348" width="2.28515625" style="1" customWidth="1"/>
    <col min="4349" max="4349" width="31.42578125" style="1" customWidth="1"/>
    <col min="4350" max="4350" width="2.28515625" style="1" customWidth="1"/>
    <col min="4351" max="4351" width="2.140625" style="1" customWidth="1"/>
    <col min="4352" max="4352" width="12.28515625" style="1" customWidth="1"/>
    <col min="4353" max="4353" width="1.5703125" style="1" customWidth="1"/>
    <col min="4354" max="4354" width="12.28515625" style="1" customWidth="1"/>
    <col min="4355" max="4355" width="1.5703125" style="1" customWidth="1"/>
    <col min="4356" max="4356" width="12.28515625" style="1" customWidth="1"/>
    <col min="4357" max="4357" width="1.5703125" style="1" customWidth="1"/>
    <col min="4358" max="4358" width="13.5703125" style="1" customWidth="1"/>
    <col min="4359" max="4359" width="0.85546875" style="1" customWidth="1"/>
    <col min="4360" max="4360" width="12.28515625" style="1" customWidth="1"/>
    <col min="4361" max="4361" width="1.5703125" style="1" customWidth="1"/>
    <col min="4362" max="4362" width="12.28515625" style="1" customWidth="1"/>
    <col min="4363" max="4363" width="1.5703125" style="1" customWidth="1"/>
    <col min="4364" max="4364" width="12.28515625" style="1" customWidth="1"/>
    <col min="4365" max="4365" width="0.85546875" style="1" customWidth="1"/>
    <col min="4366" max="4366" width="12.28515625" style="1" customWidth="1"/>
    <col min="4367" max="4367" width="1.5703125" style="1" customWidth="1"/>
    <col min="4368" max="4368" width="12.28515625" style="1" customWidth="1"/>
    <col min="4369" max="4369" width="1.5703125" style="1" customWidth="1"/>
    <col min="4370" max="4370" width="12.28515625" style="1" customWidth="1"/>
    <col min="4371" max="4371" width="0.85546875" style="1" customWidth="1"/>
    <col min="4372" max="4372" width="12.28515625" style="1" customWidth="1"/>
    <col min="4373" max="4373" width="1.5703125" style="1" customWidth="1"/>
    <col min="4374" max="4374" width="12.28515625" style="1" customWidth="1"/>
    <col min="4375" max="4375" width="1.5703125" style="1" customWidth="1"/>
    <col min="4376" max="4376" width="12.28515625" style="1" customWidth="1"/>
    <col min="4377" max="4377" width="4.5703125" style="1" customWidth="1"/>
    <col min="4378" max="4378" width="1.42578125" style="1" customWidth="1"/>
    <col min="4379" max="4601" width="13.85546875" style="1"/>
    <col min="4602" max="4602" width="7.85546875" style="1" customWidth="1"/>
    <col min="4603" max="4604" width="2.28515625" style="1" customWidth="1"/>
    <col min="4605" max="4605" width="31.42578125" style="1" customWidth="1"/>
    <col min="4606" max="4606" width="2.28515625" style="1" customWidth="1"/>
    <col min="4607" max="4607" width="2.140625" style="1" customWidth="1"/>
    <col min="4608" max="4608" width="12.28515625" style="1" customWidth="1"/>
    <col min="4609" max="4609" width="1.5703125" style="1" customWidth="1"/>
    <col min="4610" max="4610" width="12.28515625" style="1" customWidth="1"/>
    <col min="4611" max="4611" width="1.5703125" style="1" customWidth="1"/>
    <col min="4612" max="4612" width="12.28515625" style="1" customWidth="1"/>
    <col min="4613" max="4613" width="1.5703125" style="1" customWidth="1"/>
    <col min="4614" max="4614" width="13.5703125" style="1" customWidth="1"/>
    <col min="4615" max="4615" width="0.85546875" style="1" customWidth="1"/>
    <col min="4616" max="4616" width="12.28515625" style="1" customWidth="1"/>
    <col min="4617" max="4617" width="1.5703125" style="1" customWidth="1"/>
    <col min="4618" max="4618" width="12.28515625" style="1" customWidth="1"/>
    <col min="4619" max="4619" width="1.5703125" style="1" customWidth="1"/>
    <col min="4620" max="4620" width="12.28515625" style="1" customWidth="1"/>
    <col min="4621" max="4621" width="0.85546875" style="1" customWidth="1"/>
    <col min="4622" max="4622" width="12.28515625" style="1" customWidth="1"/>
    <col min="4623" max="4623" width="1.5703125" style="1" customWidth="1"/>
    <col min="4624" max="4624" width="12.28515625" style="1" customWidth="1"/>
    <col min="4625" max="4625" width="1.5703125" style="1" customWidth="1"/>
    <col min="4626" max="4626" width="12.28515625" style="1" customWidth="1"/>
    <col min="4627" max="4627" width="0.85546875" style="1" customWidth="1"/>
    <col min="4628" max="4628" width="12.28515625" style="1" customWidth="1"/>
    <col min="4629" max="4629" width="1.5703125" style="1" customWidth="1"/>
    <col min="4630" max="4630" width="12.28515625" style="1" customWidth="1"/>
    <col min="4631" max="4631" width="1.5703125" style="1" customWidth="1"/>
    <col min="4632" max="4632" width="12.28515625" style="1" customWidth="1"/>
    <col min="4633" max="4633" width="4.5703125" style="1" customWidth="1"/>
    <col min="4634" max="4634" width="1.42578125" style="1" customWidth="1"/>
    <col min="4635" max="4857" width="13.85546875" style="1"/>
    <col min="4858" max="4858" width="7.85546875" style="1" customWidth="1"/>
    <col min="4859" max="4860" width="2.28515625" style="1" customWidth="1"/>
    <col min="4861" max="4861" width="31.42578125" style="1" customWidth="1"/>
    <col min="4862" max="4862" width="2.28515625" style="1" customWidth="1"/>
    <col min="4863" max="4863" width="2.140625" style="1" customWidth="1"/>
    <col min="4864" max="4864" width="12.28515625" style="1" customWidth="1"/>
    <col min="4865" max="4865" width="1.5703125" style="1" customWidth="1"/>
    <col min="4866" max="4866" width="12.28515625" style="1" customWidth="1"/>
    <col min="4867" max="4867" width="1.5703125" style="1" customWidth="1"/>
    <col min="4868" max="4868" width="12.28515625" style="1" customWidth="1"/>
    <col min="4869" max="4869" width="1.5703125" style="1" customWidth="1"/>
    <col min="4870" max="4870" width="13.5703125" style="1" customWidth="1"/>
    <col min="4871" max="4871" width="0.85546875" style="1" customWidth="1"/>
    <col min="4872" max="4872" width="12.28515625" style="1" customWidth="1"/>
    <col min="4873" max="4873" width="1.5703125" style="1" customWidth="1"/>
    <col min="4874" max="4874" width="12.28515625" style="1" customWidth="1"/>
    <col min="4875" max="4875" width="1.5703125" style="1" customWidth="1"/>
    <col min="4876" max="4876" width="12.28515625" style="1" customWidth="1"/>
    <col min="4877" max="4877" width="0.85546875" style="1" customWidth="1"/>
    <col min="4878" max="4878" width="12.28515625" style="1" customWidth="1"/>
    <col min="4879" max="4879" width="1.5703125" style="1" customWidth="1"/>
    <col min="4880" max="4880" width="12.28515625" style="1" customWidth="1"/>
    <col min="4881" max="4881" width="1.5703125" style="1" customWidth="1"/>
    <col min="4882" max="4882" width="12.28515625" style="1" customWidth="1"/>
    <col min="4883" max="4883" width="0.85546875" style="1" customWidth="1"/>
    <col min="4884" max="4884" width="12.28515625" style="1" customWidth="1"/>
    <col min="4885" max="4885" width="1.5703125" style="1" customWidth="1"/>
    <col min="4886" max="4886" width="12.28515625" style="1" customWidth="1"/>
    <col min="4887" max="4887" width="1.5703125" style="1" customWidth="1"/>
    <col min="4888" max="4888" width="12.28515625" style="1" customWidth="1"/>
    <col min="4889" max="4889" width="4.5703125" style="1" customWidth="1"/>
    <col min="4890" max="4890" width="1.42578125" style="1" customWidth="1"/>
    <col min="4891" max="5113" width="13.85546875" style="1"/>
    <col min="5114" max="5114" width="7.85546875" style="1" customWidth="1"/>
    <col min="5115" max="5116" width="2.28515625" style="1" customWidth="1"/>
    <col min="5117" max="5117" width="31.42578125" style="1" customWidth="1"/>
    <col min="5118" max="5118" width="2.28515625" style="1" customWidth="1"/>
    <col min="5119" max="5119" width="2.140625" style="1" customWidth="1"/>
    <col min="5120" max="5120" width="12.28515625" style="1" customWidth="1"/>
    <col min="5121" max="5121" width="1.5703125" style="1" customWidth="1"/>
    <col min="5122" max="5122" width="12.28515625" style="1" customWidth="1"/>
    <col min="5123" max="5123" width="1.5703125" style="1" customWidth="1"/>
    <col min="5124" max="5124" width="12.28515625" style="1" customWidth="1"/>
    <col min="5125" max="5125" width="1.5703125" style="1" customWidth="1"/>
    <col min="5126" max="5126" width="13.5703125" style="1" customWidth="1"/>
    <col min="5127" max="5127" width="0.85546875" style="1" customWidth="1"/>
    <col min="5128" max="5128" width="12.28515625" style="1" customWidth="1"/>
    <col min="5129" max="5129" width="1.5703125" style="1" customWidth="1"/>
    <col min="5130" max="5130" width="12.28515625" style="1" customWidth="1"/>
    <col min="5131" max="5131" width="1.5703125" style="1" customWidth="1"/>
    <col min="5132" max="5132" width="12.28515625" style="1" customWidth="1"/>
    <col min="5133" max="5133" width="0.85546875" style="1" customWidth="1"/>
    <col min="5134" max="5134" width="12.28515625" style="1" customWidth="1"/>
    <col min="5135" max="5135" width="1.5703125" style="1" customWidth="1"/>
    <col min="5136" max="5136" width="12.28515625" style="1" customWidth="1"/>
    <col min="5137" max="5137" width="1.5703125" style="1" customWidth="1"/>
    <col min="5138" max="5138" width="12.28515625" style="1" customWidth="1"/>
    <col min="5139" max="5139" width="0.85546875" style="1" customWidth="1"/>
    <col min="5140" max="5140" width="12.28515625" style="1" customWidth="1"/>
    <col min="5141" max="5141" width="1.5703125" style="1" customWidth="1"/>
    <col min="5142" max="5142" width="12.28515625" style="1" customWidth="1"/>
    <col min="5143" max="5143" width="1.5703125" style="1" customWidth="1"/>
    <col min="5144" max="5144" width="12.28515625" style="1" customWidth="1"/>
    <col min="5145" max="5145" width="4.5703125" style="1" customWidth="1"/>
    <col min="5146" max="5146" width="1.42578125" style="1" customWidth="1"/>
    <col min="5147" max="5369" width="13.85546875" style="1"/>
    <col min="5370" max="5370" width="7.85546875" style="1" customWidth="1"/>
    <col min="5371" max="5372" width="2.28515625" style="1" customWidth="1"/>
    <col min="5373" max="5373" width="31.42578125" style="1" customWidth="1"/>
    <col min="5374" max="5374" width="2.28515625" style="1" customWidth="1"/>
    <col min="5375" max="5375" width="2.140625" style="1" customWidth="1"/>
    <col min="5376" max="5376" width="12.28515625" style="1" customWidth="1"/>
    <col min="5377" max="5377" width="1.5703125" style="1" customWidth="1"/>
    <col min="5378" max="5378" width="12.28515625" style="1" customWidth="1"/>
    <col min="5379" max="5379" width="1.5703125" style="1" customWidth="1"/>
    <col min="5380" max="5380" width="12.28515625" style="1" customWidth="1"/>
    <col min="5381" max="5381" width="1.5703125" style="1" customWidth="1"/>
    <col min="5382" max="5382" width="13.5703125" style="1" customWidth="1"/>
    <col min="5383" max="5383" width="0.85546875" style="1" customWidth="1"/>
    <col min="5384" max="5384" width="12.28515625" style="1" customWidth="1"/>
    <col min="5385" max="5385" width="1.5703125" style="1" customWidth="1"/>
    <col min="5386" max="5386" width="12.28515625" style="1" customWidth="1"/>
    <col min="5387" max="5387" width="1.5703125" style="1" customWidth="1"/>
    <col min="5388" max="5388" width="12.28515625" style="1" customWidth="1"/>
    <col min="5389" max="5389" width="0.85546875" style="1" customWidth="1"/>
    <col min="5390" max="5390" width="12.28515625" style="1" customWidth="1"/>
    <col min="5391" max="5391" width="1.5703125" style="1" customWidth="1"/>
    <col min="5392" max="5392" width="12.28515625" style="1" customWidth="1"/>
    <col min="5393" max="5393" width="1.5703125" style="1" customWidth="1"/>
    <col min="5394" max="5394" width="12.28515625" style="1" customWidth="1"/>
    <col min="5395" max="5395" width="0.85546875" style="1" customWidth="1"/>
    <col min="5396" max="5396" width="12.28515625" style="1" customWidth="1"/>
    <col min="5397" max="5397" width="1.5703125" style="1" customWidth="1"/>
    <col min="5398" max="5398" width="12.28515625" style="1" customWidth="1"/>
    <col min="5399" max="5399" width="1.5703125" style="1" customWidth="1"/>
    <col min="5400" max="5400" width="12.28515625" style="1" customWidth="1"/>
    <col min="5401" max="5401" width="4.5703125" style="1" customWidth="1"/>
    <col min="5402" max="5402" width="1.42578125" style="1" customWidth="1"/>
    <col min="5403" max="5625" width="13.85546875" style="1"/>
    <col min="5626" max="5626" width="7.85546875" style="1" customWidth="1"/>
    <col min="5627" max="5628" width="2.28515625" style="1" customWidth="1"/>
    <col min="5629" max="5629" width="31.42578125" style="1" customWidth="1"/>
    <col min="5630" max="5630" width="2.28515625" style="1" customWidth="1"/>
    <col min="5631" max="5631" width="2.140625" style="1" customWidth="1"/>
    <col min="5632" max="5632" width="12.28515625" style="1" customWidth="1"/>
    <col min="5633" max="5633" width="1.5703125" style="1" customWidth="1"/>
    <col min="5634" max="5634" width="12.28515625" style="1" customWidth="1"/>
    <col min="5635" max="5635" width="1.5703125" style="1" customWidth="1"/>
    <col min="5636" max="5636" width="12.28515625" style="1" customWidth="1"/>
    <col min="5637" max="5637" width="1.5703125" style="1" customWidth="1"/>
    <col min="5638" max="5638" width="13.5703125" style="1" customWidth="1"/>
    <col min="5639" max="5639" width="0.85546875" style="1" customWidth="1"/>
    <col min="5640" max="5640" width="12.28515625" style="1" customWidth="1"/>
    <col min="5641" max="5641" width="1.5703125" style="1" customWidth="1"/>
    <col min="5642" max="5642" width="12.28515625" style="1" customWidth="1"/>
    <col min="5643" max="5643" width="1.5703125" style="1" customWidth="1"/>
    <col min="5644" max="5644" width="12.28515625" style="1" customWidth="1"/>
    <col min="5645" max="5645" width="0.85546875" style="1" customWidth="1"/>
    <col min="5646" max="5646" width="12.28515625" style="1" customWidth="1"/>
    <col min="5647" max="5647" width="1.5703125" style="1" customWidth="1"/>
    <col min="5648" max="5648" width="12.28515625" style="1" customWidth="1"/>
    <col min="5649" max="5649" width="1.5703125" style="1" customWidth="1"/>
    <col min="5650" max="5650" width="12.28515625" style="1" customWidth="1"/>
    <col min="5651" max="5651" width="0.85546875" style="1" customWidth="1"/>
    <col min="5652" max="5652" width="12.28515625" style="1" customWidth="1"/>
    <col min="5653" max="5653" width="1.5703125" style="1" customWidth="1"/>
    <col min="5654" max="5654" width="12.28515625" style="1" customWidth="1"/>
    <col min="5655" max="5655" width="1.5703125" style="1" customWidth="1"/>
    <col min="5656" max="5656" width="12.28515625" style="1" customWidth="1"/>
    <col min="5657" max="5657" width="4.5703125" style="1" customWidth="1"/>
    <col min="5658" max="5658" width="1.42578125" style="1" customWidth="1"/>
    <col min="5659" max="5881" width="13.85546875" style="1"/>
    <col min="5882" max="5882" width="7.85546875" style="1" customWidth="1"/>
    <col min="5883" max="5884" width="2.28515625" style="1" customWidth="1"/>
    <col min="5885" max="5885" width="31.42578125" style="1" customWidth="1"/>
    <col min="5886" max="5886" width="2.28515625" style="1" customWidth="1"/>
    <col min="5887" max="5887" width="2.140625" style="1" customWidth="1"/>
    <col min="5888" max="5888" width="12.28515625" style="1" customWidth="1"/>
    <col min="5889" max="5889" width="1.5703125" style="1" customWidth="1"/>
    <col min="5890" max="5890" width="12.28515625" style="1" customWidth="1"/>
    <col min="5891" max="5891" width="1.5703125" style="1" customWidth="1"/>
    <col min="5892" max="5892" width="12.28515625" style="1" customWidth="1"/>
    <col min="5893" max="5893" width="1.5703125" style="1" customWidth="1"/>
    <col min="5894" max="5894" width="13.5703125" style="1" customWidth="1"/>
    <col min="5895" max="5895" width="0.85546875" style="1" customWidth="1"/>
    <col min="5896" max="5896" width="12.28515625" style="1" customWidth="1"/>
    <col min="5897" max="5897" width="1.5703125" style="1" customWidth="1"/>
    <col min="5898" max="5898" width="12.28515625" style="1" customWidth="1"/>
    <col min="5899" max="5899" width="1.5703125" style="1" customWidth="1"/>
    <col min="5900" max="5900" width="12.28515625" style="1" customWidth="1"/>
    <col min="5901" max="5901" width="0.85546875" style="1" customWidth="1"/>
    <col min="5902" max="5902" width="12.28515625" style="1" customWidth="1"/>
    <col min="5903" max="5903" width="1.5703125" style="1" customWidth="1"/>
    <col min="5904" max="5904" width="12.28515625" style="1" customWidth="1"/>
    <col min="5905" max="5905" width="1.5703125" style="1" customWidth="1"/>
    <col min="5906" max="5906" width="12.28515625" style="1" customWidth="1"/>
    <col min="5907" max="5907" width="0.85546875" style="1" customWidth="1"/>
    <col min="5908" max="5908" width="12.28515625" style="1" customWidth="1"/>
    <col min="5909" max="5909" width="1.5703125" style="1" customWidth="1"/>
    <col min="5910" max="5910" width="12.28515625" style="1" customWidth="1"/>
    <col min="5911" max="5911" width="1.5703125" style="1" customWidth="1"/>
    <col min="5912" max="5912" width="12.28515625" style="1" customWidth="1"/>
    <col min="5913" max="5913" width="4.5703125" style="1" customWidth="1"/>
    <col min="5914" max="5914" width="1.42578125" style="1" customWidth="1"/>
    <col min="5915" max="6137" width="13.85546875" style="1"/>
    <col min="6138" max="6138" width="7.85546875" style="1" customWidth="1"/>
    <col min="6139" max="6140" width="2.28515625" style="1" customWidth="1"/>
    <col min="6141" max="6141" width="31.42578125" style="1" customWidth="1"/>
    <col min="6142" max="6142" width="2.28515625" style="1" customWidth="1"/>
    <col min="6143" max="6143" width="2.140625" style="1" customWidth="1"/>
    <col min="6144" max="6144" width="12.28515625" style="1" customWidth="1"/>
    <col min="6145" max="6145" width="1.5703125" style="1" customWidth="1"/>
    <col min="6146" max="6146" width="12.28515625" style="1" customWidth="1"/>
    <col min="6147" max="6147" width="1.5703125" style="1" customWidth="1"/>
    <col min="6148" max="6148" width="12.28515625" style="1" customWidth="1"/>
    <col min="6149" max="6149" width="1.5703125" style="1" customWidth="1"/>
    <col min="6150" max="6150" width="13.5703125" style="1" customWidth="1"/>
    <col min="6151" max="6151" width="0.85546875" style="1" customWidth="1"/>
    <col min="6152" max="6152" width="12.28515625" style="1" customWidth="1"/>
    <col min="6153" max="6153" width="1.5703125" style="1" customWidth="1"/>
    <col min="6154" max="6154" width="12.28515625" style="1" customWidth="1"/>
    <col min="6155" max="6155" width="1.5703125" style="1" customWidth="1"/>
    <col min="6156" max="6156" width="12.28515625" style="1" customWidth="1"/>
    <col min="6157" max="6157" width="0.85546875" style="1" customWidth="1"/>
    <col min="6158" max="6158" width="12.28515625" style="1" customWidth="1"/>
    <col min="6159" max="6159" width="1.5703125" style="1" customWidth="1"/>
    <col min="6160" max="6160" width="12.28515625" style="1" customWidth="1"/>
    <col min="6161" max="6161" width="1.5703125" style="1" customWidth="1"/>
    <col min="6162" max="6162" width="12.28515625" style="1" customWidth="1"/>
    <col min="6163" max="6163" width="0.85546875" style="1" customWidth="1"/>
    <col min="6164" max="6164" width="12.28515625" style="1" customWidth="1"/>
    <col min="6165" max="6165" width="1.5703125" style="1" customWidth="1"/>
    <col min="6166" max="6166" width="12.28515625" style="1" customWidth="1"/>
    <col min="6167" max="6167" width="1.5703125" style="1" customWidth="1"/>
    <col min="6168" max="6168" width="12.28515625" style="1" customWidth="1"/>
    <col min="6169" max="6169" width="4.5703125" style="1" customWidth="1"/>
    <col min="6170" max="6170" width="1.42578125" style="1" customWidth="1"/>
    <col min="6171" max="6393" width="13.85546875" style="1"/>
    <col min="6394" max="6394" width="7.85546875" style="1" customWidth="1"/>
    <col min="6395" max="6396" width="2.28515625" style="1" customWidth="1"/>
    <col min="6397" max="6397" width="31.42578125" style="1" customWidth="1"/>
    <col min="6398" max="6398" width="2.28515625" style="1" customWidth="1"/>
    <col min="6399" max="6399" width="2.140625" style="1" customWidth="1"/>
    <col min="6400" max="6400" width="12.28515625" style="1" customWidth="1"/>
    <col min="6401" max="6401" width="1.5703125" style="1" customWidth="1"/>
    <col min="6402" max="6402" width="12.28515625" style="1" customWidth="1"/>
    <col min="6403" max="6403" width="1.5703125" style="1" customWidth="1"/>
    <col min="6404" max="6404" width="12.28515625" style="1" customWidth="1"/>
    <col min="6405" max="6405" width="1.5703125" style="1" customWidth="1"/>
    <col min="6406" max="6406" width="13.5703125" style="1" customWidth="1"/>
    <col min="6407" max="6407" width="0.85546875" style="1" customWidth="1"/>
    <col min="6408" max="6408" width="12.28515625" style="1" customWidth="1"/>
    <col min="6409" max="6409" width="1.5703125" style="1" customWidth="1"/>
    <col min="6410" max="6410" width="12.28515625" style="1" customWidth="1"/>
    <col min="6411" max="6411" width="1.5703125" style="1" customWidth="1"/>
    <col min="6412" max="6412" width="12.28515625" style="1" customWidth="1"/>
    <col min="6413" max="6413" width="0.85546875" style="1" customWidth="1"/>
    <col min="6414" max="6414" width="12.28515625" style="1" customWidth="1"/>
    <col min="6415" max="6415" width="1.5703125" style="1" customWidth="1"/>
    <col min="6416" max="6416" width="12.28515625" style="1" customWidth="1"/>
    <col min="6417" max="6417" width="1.5703125" style="1" customWidth="1"/>
    <col min="6418" max="6418" width="12.28515625" style="1" customWidth="1"/>
    <col min="6419" max="6419" width="0.85546875" style="1" customWidth="1"/>
    <col min="6420" max="6420" width="12.28515625" style="1" customWidth="1"/>
    <col min="6421" max="6421" width="1.5703125" style="1" customWidth="1"/>
    <col min="6422" max="6422" width="12.28515625" style="1" customWidth="1"/>
    <col min="6423" max="6423" width="1.5703125" style="1" customWidth="1"/>
    <col min="6424" max="6424" width="12.28515625" style="1" customWidth="1"/>
    <col min="6425" max="6425" width="4.5703125" style="1" customWidth="1"/>
    <col min="6426" max="6426" width="1.42578125" style="1" customWidth="1"/>
    <col min="6427" max="6649" width="13.85546875" style="1"/>
    <col min="6650" max="6650" width="7.85546875" style="1" customWidth="1"/>
    <col min="6651" max="6652" width="2.28515625" style="1" customWidth="1"/>
    <col min="6653" max="6653" width="31.42578125" style="1" customWidth="1"/>
    <col min="6654" max="6654" width="2.28515625" style="1" customWidth="1"/>
    <col min="6655" max="6655" width="2.140625" style="1" customWidth="1"/>
    <col min="6656" max="6656" width="12.28515625" style="1" customWidth="1"/>
    <col min="6657" max="6657" width="1.5703125" style="1" customWidth="1"/>
    <col min="6658" max="6658" width="12.28515625" style="1" customWidth="1"/>
    <col min="6659" max="6659" width="1.5703125" style="1" customWidth="1"/>
    <col min="6660" max="6660" width="12.28515625" style="1" customWidth="1"/>
    <col min="6661" max="6661" width="1.5703125" style="1" customWidth="1"/>
    <col min="6662" max="6662" width="13.5703125" style="1" customWidth="1"/>
    <col min="6663" max="6663" width="0.85546875" style="1" customWidth="1"/>
    <col min="6664" max="6664" width="12.28515625" style="1" customWidth="1"/>
    <col min="6665" max="6665" width="1.5703125" style="1" customWidth="1"/>
    <col min="6666" max="6666" width="12.28515625" style="1" customWidth="1"/>
    <col min="6667" max="6667" width="1.5703125" style="1" customWidth="1"/>
    <col min="6668" max="6668" width="12.28515625" style="1" customWidth="1"/>
    <col min="6669" max="6669" width="0.85546875" style="1" customWidth="1"/>
    <col min="6670" max="6670" width="12.28515625" style="1" customWidth="1"/>
    <col min="6671" max="6671" width="1.5703125" style="1" customWidth="1"/>
    <col min="6672" max="6672" width="12.28515625" style="1" customWidth="1"/>
    <col min="6673" max="6673" width="1.5703125" style="1" customWidth="1"/>
    <col min="6674" max="6674" width="12.28515625" style="1" customWidth="1"/>
    <col min="6675" max="6675" width="0.85546875" style="1" customWidth="1"/>
    <col min="6676" max="6676" width="12.28515625" style="1" customWidth="1"/>
    <col min="6677" max="6677" width="1.5703125" style="1" customWidth="1"/>
    <col min="6678" max="6678" width="12.28515625" style="1" customWidth="1"/>
    <col min="6679" max="6679" width="1.5703125" style="1" customWidth="1"/>
    <col min="6680" max="6680" width="12.28515625" style="1" customWidth="1"/>
    <col min="6681" max="6681" width="4.5703125" style="1" customWidth="1"/>
    <col min="6682" max="6682" width="1.42578125" style="1" customWidth="1"/>
    <col min="6683" max="6905" width="13.85546875" style="1"/>
    <col min="6906" max="6906" width="7.85546875" style="1" customWidth="1"/>
    <col min="6907" max="6908" width="2.28515625" style="1" customWidth="1"/>
    <col min="6909" max="6909" width="31.42578125" style="1" customWidth="1"/>
    <col min="6910" max="6910" width="2.28515625" style="1" customWidth="1"/>
    <col min="6911" max="6911" width="2.140625" style="1" customWidth="1"/>
    <col min="6912" max="6912" width="12.28515625" style="1" customWidth="1"/>
    <col min="6913" max="6913" width="1.5703125" style="1" customWidth="1"/>
    <col min="6914" max="6914" width="12.28515625" style="1" customWidth="1"/>
    <col min="6915" max="6915" width="1.5703125" style="1" customWidth="1"/>
    <col min="6916" max="6916" width="12.28515625" style="1" customWidth="1"/>
    <col min="6917" max="6917" width="1.5703125" style="1" customWidth="1"/>
    <col min="6918" max="6918" width="13.5703125" style="1" customWidth="1"/>
    <col min="6919" max="6919" width="0.85546875" style="1" customWidth="1"/>
    <col min="6920" max="6920" width="12.28515625" style="1" customWidth="1"/>
    <col min="6921" max="6921" width="1.5703125" style="1" customWidth="1"/>
    <col min="6922" max="6922" width="12.28515625" style="1" customWidth="1"/>
    <col min="6923" max="6923" width="1.5703125" style="1" customWidth="1"/>
    <col min="6924" max="6924" width="12.28515625" style="1" customWidth="1"/>
    <col min="6925" max="6925" width="0.85546875" style="1" customWidth="1"/>
    <col min="6926" max="6926" width="12.28515625" style="1" customWidth="1"/>
    <col min="6927" max="6927" width="1.5703125" style="1" customWidth="1"/>
    <col min="6928" max="6928" width="12.28515625" style="1" customWidth="1"/>
    <col min="6929" max="6929" width="1.5703125" style="1" customWidth="1"/>
    <col min="6930" max="6930" width="12.28515625" style="1" customWidth="1"/>
    <col min="6931" max="6931" width="0.85546875" style="1" customWidth="1"/>
    <col min="6932" max="6932" width="12.28515625" style="1" customWidth="1"/>
    <col min="6933" max="6933" width="1.5703125" style="1" customWidth="1"/>
    <col min="6934" max="6934" width="12.28515625" style="1" customWidth="1"/>
    <col min="6935" max="6935" width="1.5703125" style="1" customWidth="1"/>
    <col min="6936" max="6936" width="12.28515625" style="1" customWidth="1"/>
    <col min="6937" max="6937" width="4.5703125" style="1" customWidth="1"/>
    <col min="6938" max="6938" width="1.42578125" style="1" customWidth="1"/>
    <col min="6939" max="7161" width="13.85546875" style="1"/>
    <col min="7162" max="7162" width="7.85546875" style="1" customWidth="1"/>
    <col min="7163" max="7164" width="2.28515625" style="1" customWidth="1"/>
    <col min="7165" max="7165" width="31.42578125" style="1" customWidth="1"/>
    <col min="7166" max="7166" width="2.28515625" style="1" customWidth="1"/>
    <col min="7167" max="7167" width="2.140625" style="1" customWidth="1"/>
    <col min="7168" max="7168" width="12.28515625" style="1" customWidth="1"/>
    <col min="7169" max="7169" width="1.5703125" style="1" customWidth="1"/>
    <col min="7170" max="7170" width="12.28515625" style="1" customWidth="1"/>
    <col min="7171" max="7171" width="1.5703125" style="1" customWidth="1"/>
    <col min="7172" max="7172" width="12.28515625" style="1" customWidth="1"/>
    <col min="7173" max="7173" width="1.5703125" style="1" customWidth="1"/>
    <col min="7174" max="7174" width="13.5703125" style="1" customWidth="1"/>
    <col min="7175" max="7175" width="0.85546875" style="1" customWidth="1"/>
    <col min="7176" max="7176" width="12.28515625" style="1" customWidth="1"/>
    <col min="7177" max="7177" width="1.5703125" style="1" customWidth="1"/>
    <col min="7178" max="7178" width="12.28515625" style="1" customWidth="1"/>
    <col min="7179" max="7179" width="1.5703125" style="1" customWidth="1"/>
    <col min="7180" max="7180" width="12.28515625" style="1" customWidth="1"/>
    <col min="7181" max="7181" width="0.85546875" style="1" customWidth="1"/>
    <col min="7182" max="7182" width="12.28515625" style="1" customWidth="1"/>
    <col min="7183" max="7183" width="1.5703125" style="1" customWidth="1"/>
    <col min="7184" max="7184" width="12.28515625" style="1" customWidth="1"/>
    <col min="7185" max="7185" width="1.5703125" style="1" customWidth="1"/>
    <col min="7186" max="7186" width="12.28515625" style="1" customWidth="1"/>
    <col min="7187" max="7187" width="0.85546875" style="1" customWidth="1"/>
    <col min="7188" max="7188" width="12.28515625" style="1" customWidth="1"/>
    <col min="7189" max="7189" width="1.5703125" style="1" customWidth="1"/>
    <col min="7190" max="7190" width="12.28515625" style="1" customWidth="1"/>
    <col min="7191" max="7191" width="1.5703125" style="1" customWidth="1"/>
    <col min="7192" max="7192" width="12.28515625" style="1" customWidth="1"/>
    <col min="7193" max="7193" width="4.5703125" style="1" customWidth="1"/>
    <col min="7194" max="7194" width="1.42578125" style="1" customWidth="1"/>
    <col min="7195" max="7417" width="13.85546875" style="1"/>
    <col min="7418" max="7418" width="7.85546875" style="1" customWidth="1"/>
    <col min="7419" max="7420" width="2.28515625" style="1" customWidth="1"/>
    <col min="7421" max="7421" width="31.42578125" style="1" customWidth="1"/>
    <col min="7422" max="7422" width="2.28515625" style="1" customWidth="1"/>
    <col min="7423" max="7423" width="2.140625" style="1" customWidth="1"/>
    <col min="7424" max="7424" width="12.28515625" style="1" customWidth="1"/>
    <col min="7425" max="7425" width="1.5703125" style="1" customWidth="1"/>
    <col min="7426" max="7426" width="12.28515625" style="1" customWidth="1"/>
    <col min="7427" max="7427" width="1.5703125" style="1" customWidth="1"/>
    <col min="7428" max="7428" width="12.28515625" style="1" customWidth="1"/>
    <col min="7429" max="7429" width="1.5703125" style="1" customWidth="1"/>
    <col min="7430" max="7430" width="13.5703125" style="1" customWidth="1"/>
    <col min="7431" max="7431" width="0.85546875" style="1" customWidth="1"/>
    <col min="7432" max="7432" width="12.28515625" style="1" customWidth="1"/>
    <col min="7433" max="7433" width="1.5703125" style="1" customWidth="1"/>
    <col min="7434" max="7434" width="12.28515625" style="1" customWidth="1"/>
    <col min="7435" max="7435" width="1.5703125" style="1" customWidth="1"/>
    <col min="7436" max="7436" width="12.28515625" style="1" customWidth="1"/>
    <col min="7437" max="7437" width="0.85546875" style="1" customWidth="1"/>
    <col min="7438" max="7438" width="12.28515625" style="1" customWidth="1"/>
    <col min="7439" max="7439" width="1.5703125" style="1" customWidth="1"/>
    <col min="7440" max="7440" width="12.28515625" style="1" customWidth="1"/>
    <col min="7441" max="7441" width="1.5703125" style="1" customWidth="1"/>
    <col min="7442" max="7442" width="12.28515625" style="1" customWidth="1"/>
    <col min="7443" max="7443" width="0.85546875" style="1" customWidth="1"/>
    <col min="7444" max="7444" width="12.28515625" style="1" customWidth="1"/>
    <col min="7445" max="7445" width="1.5703125" style="1" customWidth="1"/>
    <col min="7446" max="7446" width="12.28515625" style="1" customWidth="1"/>
    <col min="7447" max="7447" width="1.5703125" style="1" customWidth="1"/>
    <col min="7448" max="7448" width="12.28515625" style="1" customWidth="1"/>
    <col min="7449" max="7449" width="4.5703125" style="1" customWidth="1"/>
    <col min="7450" max="7450" width="1.42578125" style="1" customWidth="1"/>
    <col min="7451" max="7673" width="13.85546875" style="1"/>
    <col min="7674" max="7674" width="7.85546875" style="1" customWidth="1"/>
    <col min="7675" max="7676" width="2.28515625" style="1" customWidth="1"/>
    <col min="7677" max="7677" width="31.42578125" style="1" customWidth="1"/>
    <col min="7678" max="7678" width="2.28515625" style="1" customWidth="1"/>
    <col min="7679" max="7679" width="2.140625" style="1" customWidth="1"/>
    <col min="7680" max="7680" width="12.28515625" style="1" customWidth="1"/>
    <col min="7681" max="7681" width="1.5703125" style="1" customWidth="1"/>
    <col min="7682" max="7682" width="12.28515625" style="1" customWidth="1"/>
    <col min="7683" max="7683" width="1.5703125" style="1" customWidth="1"/>
    <col min="7684" max="7684" width="12.28515625" style="1" customWidth="1"/>
    <col min="7685" max="7685" width="1.5703125" style="1" customWidth="1"/>
    <col min="7686" max="7686" width="13.5703125" style="1" customWidth="1"/>
    <col min="7687" max="7687" width="0.85546875" style="1" customWidth="1"/>
    <col min="7688" max="7688" width="12.28515625" style="1" customWidth="1"/>
    <col min="7689" max="7689" width="1.5703125" style="1" customWidth="1"/>
    <col min="7690" max="7690" width="12.28515625" style="1" customWidth="1"/>
    <col min="7691" max="7691" width="1.5703125" style="1" customWidth="1"/>
    <col min="7692" max="7692" width="12.28515625" style="1" customWidth="1"/>
    <col min="7693" max="7693" width="0.85546875" style="1" customWidth="1"/>
    <col min="7694" max="7694" width="12.28515625" style="1" customWidth="1"/>
    <col min="7695" max="7695" width="1.5703125" style="1" customWidth="1"/>
    <col min="7696" max="7696" width="12.28515625" style="1" customWidth="1"/>
    <col min="7697" max="7697" width="1.5703125" style="1" customWidth="1"/>
    <col min="7698" max="7698" width="12.28515625" style="1" customWidth="1"/>
    <col min="7699" max="7699" width="0.85546875" style="1" customWidth="1"/>
    <col min="7700" max="7700" width="12.28515625" style="1" customWidth="1"/>
    <col min="7701" max="7701" width="1.5703125" style="1" customWidth="1"/>
    <col min="7702" max="7702" width="12.28515625" style="1" customWidth="1"/>
    <col min="7703" max="7703" width="1.5703125" style="1" customWidth="1"/>
    <col min="7704" max="7704" width="12.28515625" style="1" customWidth="1"/>
    <col min="7705" max="7705" width="4.5703125" style="1" customWidth="1"/>
    <col min="7706" max="7706" width="1.42578125" style="1" customWidth="1"/>
    <col min="7707" max="7929" width="13.85546875" style="1"/>
    <col min="7930" max="7930" width="7.85546875" style="1" customWidth="1"/>
    <col min="7931" max="7932" width="2.28515625" style="1" customWidth="1"/>
    <col min="7933" max="7933" width="31.42578125" style="1" customWidth="1"/>
    <col min="7934" max="7934" width="2.28515625" style="1" customWidth="1"/>
    <col min="7935" max="7935" width="2.140625" style="1" customWidth="1"/>
    <col min="7936" max="7936" width="12.28515625" style="1" customWidth="1"/>
    <col min="7937" max="7937" width="1.5703125" style="1" customWidth="1"/>
    <col min="7938" max="7938" width="12.28515625" style="1" customWidth="1"/>
    <col min="7939" max="7939" width="1.5703125" style="1" customWidth="1"/>
    <col min="7940" max="7940" width="12.28515625" style="1" customWidth="1"/>
    <col min="7941" max="7941" width="1.5703125" style="1" customWidth="1"/>
    <col min="7942" max="7942" width="13.5703125" style="1" customWidth="1"/>
    <col min="7943" max="7943" width="0.85546875" style="1" customWidth="1"/>
    <col min="7944" max="7944" width="12.28515625" style="1" customWidth="1"/>
    <col min="7945" max="7945" width="1.5703125" style="1" customWidth="1"/>
    <col min="7946" max="7946" width="12.28515625" style="1" customWidth="1"/>
    <col min="7947" max="7947" width="1.5703125" style="1" customWidth="1"/>
    <col min="7948" max="7948" width="12.28515625" style="1" customWidth="1"/>
    <col min="7949" max="7949" width="0.85546875" style="1" customWidth="1"/>
    <col min="7950" max="7950" width="12.28515625" style="1" customWidth="1"/>
    <col min="7951" max="7951" width="1.5703125" style="1" customWidth="1"/>
    <col min="7952" max="7952" width="12.28515625" style="1" customWidth="1"/>
    <col min="7953" max="7953" width="1.5703125" style="1" customWidth="1"/>
    <col min="7954" max="7954" width="12.28515625" style="1" customWidth="1"/>
    <col min="7955" max="7955" width="0.85546875" style="1" customWidth="1"/>
    <col min="7956" max="7956" width="12.28515625" style="1" customWidth="1"/>
    <col min="7957" max="7957" width="1.5703125" style="1" customWidth="1"/>
    <col min="7958" max="7958" width="12.28515625" style="1" customWidth="1"/>
    <col min="7959" max="7959" width="1.5703125" style="1" customWidth="1"/>
    <col min="7960" max="7960" width="12.28515625" style="1" customWidth="1"/>
    <col min="7961" max="7961" width="4.5703125" style="1" customWidth="1"/>
    <col min="7962" max="7962" width="1.42578125" style="1" customWidth="1"/>
    <col min="7963" max="8185" width="13.85546875" style="1"/>
    <col min="8186" max="8186" width="7.85546875" style="1" customWidth="1"/>
    <col min="8187" max="8188" width="2.28515625" style="1" customWidth="1"/>
    <col min="8189" max="8189" width="31.42578125" style="1" customWidth="1"/>
    <col min="8190" max="8190" width="2.28515625" style="1" customWidth="1"/>
    <col min="8191" max="8191" width="2.140625" style="1" customWidth="1"/>
    <col min="8192" max="8192" width="12.28515625" style="1" customWidth="1"/>
    <col min="8193" max="8193" width="1.5703125" style="1" customWidth="1"/>
    <col min="8194" max="8194" width="12.28515625" style="1" customWidth="1"/>
    <col min="8195" max="8195" width="1.5703125" style="1" customWidth="1"/>
    <col min="8196" max="8196" width="12.28515625" style="1" customWidth="1"/>
    <col min="8197" max="8197" width="1.5703125" style="1" customWidth="1"/>
    <col min="8198" max="8198" width="13.5703125" style="1" customWidth="1"/>
    <col min="8199" max="8199" width="0.85546875" style="1" customWidth="1"/>
    <col min="8200" max="8200" width="12.28515625" style="1" customWidth="1"/>
    <col min="8201" max="8201" width="1.5703125" style="1" customWidth="1"/>
    <col min="8202" max="8202" width="12.28515625" style="1" customWidth="1"/>
    <col min="8203" max="8203" width="1.5703125" style="1" customWidth="1"/>
    <col min="8204" max="8204" width="12.28515625" style="1" customWidth="1"/>
    <col min="8205" max="8205" width="0.85546875" style="1" customWidth="1"/>
    <col min="8206" max="8206" width="12.28515625" style="1" customWidth="1"/>
    <col min="8207" max="8207" width="1.5703125" style="1" customWidth="1"/>
    <col min="8208" max="8208" width="12.28515625" style="1" customWidth="1"/>
    <col min="8209" max="8209" width="1.5703125" style="1" customWidth="1"/>
    <col min="8210" max="8210" width="12.28515625" style="1" customWidth="1"/>
    <col min="8211" max="8211" width="0.85546875" style="1" customWidth="1"/>
    <col min="8212" max="8212" width="12.28515625" style="1" customWidth="1"/>
    <col min="8213" max="8213" width="1.5703125" style="1" customWidth="1"/>
    <col min="8214" max="8214" width="12.28515625" style="1" customWidth="1"/>
    <col min="8215" max="8215" width="1.5703125" style="1" customWidth="1"/>
    <col min="8216" max="8216" width="12.28515625" style="1" customWidth="1"/>
    <col min="8217" max="8217" width="4.5703125" style="1" customWidth="1"/>
    <col min="8218" max="8218" width="1.42578125" style="1" customWidth="1"/>
    <col min="8219" max="8441" width="13.85546875" style="1"/>
    <col min="8442" max="8442" width="7.85546875" style="1" customWidth="1"/>
    <col min="8443" max="8444" width="2.28515625" style="1" customWidth="1"/>
    <col min="8445" max="8445" width="31.42578125" style="1" customWidth="1"/>
    <col min="8446" max="8446" width="2.28515625" style="1" customWidth="1"/>
    <col min="8447" max="8447" width="2.140625" style="1" customWidth="1"/>
    <col min="8448" max="8448" width="12.28515625" style="1" customWidth="1"/>
    <col min="8449" max="8449" width="1.5703125" style="1" customWidth="1"/>
    <col min="8450" max="8450" width="12.28515625" style="1" customWidth="1"/>
    <col min="8451" max="8451" width="1.5703125" style="1" customWidth="1"/>
    <col min="8452" max="8452" width="12.28515625" style="1" customWidth="1"/>
    <col min="8453" max="8453" width="1.5703125" style="1" customWidth="1"/>
    <col min="8454" max="8454" width="13.5703125" style="1" customWidth="1"/>
    <col min="8455" max="8455" width="0.85546875" style="1" customWidth="1"/>
    <col min="8456" max="8456" width="12.28515625" style="1" customWidth="1"/>
    <col min="8457" max="8457" width="1.5703125" style="1" customWidth="1"/>
    <col min="8458" max="8458" width="12.28515625" style="1" customWidth="1"/>
    <col min="8459" max="8459" width="1.5703125" style="1" customWidth="1"/>
    <col min="8460" max="8460" width="12.28515625" style="1" customWidth="1"/>
    <col min="8461" max="8461" width="0.85546875" style="1" customWidth="1"/>
    <col min="8462" max="8462" width="12.28515625" style="1" customWidth="1"/>
    <col min="8463" max="8463" width="1.5703125" style="1" customWidth="1"/>
    <col min="8464" max="8464" width="12.28515625" style="1" customWidth="1"/>
    <col min="8465" max="8465" width="1.5703125" style="1" customWidth="1"/>
    <col min="8466" max="8466" width="12.28515625" style="1" customWidth="1"/>
    <col min="8467" max="8467" width="0.85546875" style="1" customWidth="1"/>
    <col min="8468" max="8468" width="12.28515625" style="1" customWidth="1"/>
    <col min="8469" max="8469" width="1.5703125" style="1" customWidth="1"/>
    <col min="8470" max="8470" width="12.28515625" style="1" customWidth="1"/>
    <col min="8471" max="8471" width="1.5703125" style="1" customWidth="1"/>
    <col min="8472" max="8472" width="12.28515625" style="1" customWidth="1"/>
    <col min="8473" max="8473" width="4.5703125" style="1" customWidth="1"/>
    <col min="8474" max="8474" width="1.42578125" style="1" customWidth="1"/>
    <col min="8475" max="8697" width="13.85546875" style="1"/>
    <col min="8698" max="8698" width="7.85546875" style="1" customWidth="1"/>
    <col min="8699" max="8700" width="2.28515625" style="1" customWidth="1"/>
    <col min="8701" max="8701" width="31.42578125" style="1" customWidth="1"/>
    <col min="8702" max="8702" width="2.28515625" style="1" customWidth="1"/>
    <col min="8703" max="8703" width="2.140625" style="1" customWidth="1"/>
    <col min="8704" max="8704" width="12.28515625" style="1" customWidth="1"/>
    <col min="8705" max="8705" width="1.5703125" style="1" customWidth="1"/>
    <col min="8706" max="8706" width="12.28515625" style="1" customWidth="1"/>
    <col min="8707" max="8707" width="1.5703125" style="1" customWidth="1"/>
    <col min="8708" max="8708" width="12.28515625" style="1" customWidth="1"/>
    <col min="8709" max="8709" width="1.5703125" style="1" customWidth="1"/>
    <col min="8710" max="8710" width="13.5703125" style="1" customWidth="1"/>
    <col min="8711" max="8711" width="0.85546875" style="1" customWidth="1"/>
    <col min="8712" max="8712" width="12.28515625" style="1" customWidth="1"/>
    <col min="8713" max="8713" width="1.5703125" style="1" customWidth="1"/>
    <col min="8714" max="8714" width="12.28515625" style="1" customWidth="1"/>
    <col min="8715" max="8715" width="1.5703125" style="1" customWidth="1"/>
    <col min="8716" max="8716" width="12.28515625" style="1" customWidth="1"/>
    <col min="8717" max="8717" width="0.85546875" style="1" customWidth="1"/>
    <col min="8718" max="8718" width="12.28515625" style="1" customWidth="1"/>
    <col min="8719" max="8719" width="1.5703125" style="1" customWidth="1"/>
    <col min="8720" max="8720" width="12.28515625" style="1" customWidth="1"/>
    <col min="8721" max="8721" width="1.5703125" style="1" customWidth="1"/>
    <col min="8722" max="8722" width="12.28515625" style="1" customWidth="1"/>
    <col min="8723" max="8723" width="0.85546875" style="1" customWidth="1"/>
    <col min="8724" max="8724" width="12.28515625" style="1" customWidth="1"/>
    <col min="8725" max="8725" width="1.5703125" style="1" customWidth="1"/>
    <col min="8726" max="8726" width="12.28515625" style="1" customWidth="1"/>
    <col min="8727" max="8727" width="1.5703125" style="1" customWidth="1"/>
    <col min="8728" max="8728" width="12.28515625" style="1" customWidth="1"/>
    <col min="8729" max="8729" width="4.5703125" style="1" customWidth="1"/>
    <col min="8730" max="8730" width="1.42578125" style="1" customWidth="1"/>
    <col min="8731" max="8953" width="13.85546875" style="1"/>
    <col min="8954" max="8954" width="7.85546875" style="1" customWidth="1"/>
    <col min="8955" max="8956" width="2.28515625" style="1" customWidth="1"/>
    <col min="8957" max="8957" width="31.42578125" style="1" customWidth="1"/>
    <col min="8958" max="8958" width="2.28515625" style="1" customWidth="1"/>
    <col min="8959" max="8959" width="2.140625" style="1" customWidth="1"/>
    <col min="8960" max="8960" width="12.28515625" style="1" customWidth="1"/>
    <col min="8961" max="8961" width="1.5703125" style="1" customWidth="1"/>
    <col min="8962" max="8962" width="12.28515625" style="1" customWidth="1"/>
    <col min="8963" max="8963" width="1.5703125" style="1" customWidth="1"/>
    <col min="8964" max="8964" width="12.28515625" style="1" customWidth="1"/>
    <col min="8965" max="8965" width="1.5703125" style="1" customWidth="1"/>
    <col min="8966" max="8966" width="13.5703125" style="1" customWidth="1"/>
    <col min="8967" max="8967" width="0.85546875" style="1" customWidth="1"/>
    <col min="8968" max="8968" width="12.28515625" style="1" customWidth="1"/>
    <col min="8969" max="8969" width="1.5703125" style="1" customWidth="1"/>
    <col min="8970" max="8970" width="12.28515625" style="1" customWidth="1"/>
    <col min="8971" max="8971" width="1.5703125" style="1" customWidth="1"/>
    <col min="8972" max="8972" width="12.28515625" style="1" customWidth="1"/>
    <col min="8973" max="8973" width="0.85546875" style="1" customWidth="1"/>
    <col min="8974" max="8974" width="12.28515625" style="1" customWidth="1"/>
    <col min="8975" max="8975" width="1.5703125" style="1" customWidth="1"/>
    <col min="8976" max="8976" width="12.28515625" style="1" customWidth="1"/>
    <col min="8977" max="8977" width="1.5703125" style="1" customWidth="1"/>
    <col min="8978" max="8978" width="12.28515625" style="1" customWidth="1"/>
    <col min="8979" max="8979" width="0.85546875" style="1" customWidth="1"/>
    <col min="8980" max="8980" width="12.28515625" style="1" customWidth="1"/>
    <col min="8981" max="8981" width="1.5703125" style="1" customWidth="1"/>
    <col min="8982" max="8982" width="12.28515625" style="1" customWidth="1"/>
    <col min="8983" max="8983" width="1.5703125" style="1" customWidth="1"/>
    <col min="8984" max="8984" width="12.28515625" style="1" customWidth="1"/>
    <col min="8985" max="8985" width="4.5703125" style="1" customWidth="1"/>
    <col min="8986" max="8986" width="1.42578125" style="1" customWidth="1"/>
    <col min="8987" max="9209" width="13.85546875" style="1"/>
    <col min="9210" max="9210" width="7.85546875" style="1" customWidth="1"/>
    <col min="9211" max="9212" width="2.28515625" style="1" customWidth="1"/>
    <col min="9213" max="9213" width="31.42578125" style="1" customWidth="1"/>
    <col min="9214" max="9214" width="2.28515625" style="1" customWidth="1"/>
    <col min="9215" max="9215" width="2.140625" style="1" customWidth="1"/>
    <col min="9216" max="9216" width="12.28515625" style="1" customWidth="1"/>
    <col min="9217" max="9217" width="1.5703125" style="1" customWidth="1"/>
    <col min="9218" max="9218" width="12.28515625" style="1" customWidth="1"/>
    <col min="9219" max="9219" width="1.5703125" style="1" customWidth="1"/>
    <col min="9220" max="9220" width="12.28515625" style="1" customWidth="1"/>
    <col min="9221" max="9221" width="1.5703125" style="1" customWidth="1"/>
    <col min="9222" max="9222" width="13.5703125" style="1" customWidth="1"/>
    <col min="9223" max="9223" width="0.85546875" style="1" customWidth="1"/>
    <col min="9224" max="9224" width="12.28515625" style="1" customWidth="1"/>
    <col min="9225" max="9225" width="1.5703125" style="1" customWidth="1"/>
    <col min="9226" max="9226" width="12.28515625" style="1" customWidth="1"/>
    <col min="9227" max="9227" width="1.5703125" style="1" customWidth="1"/>
    <col min="9228" max="9228" width="12.28515625" style="1" customWidth="1"/>
    <col min="9229" max="9229" width="0.85546875" style="1" customWidth="1"/>
    <col min="9230" max="9230" width="12.28515625" style="1" customWidth="1"/>
    <col min="9231" max="9231" width="1.5703125" style="1" customWidth="1"/>
    <col min="9232" max="9232" width="12.28515625" style="1" customWidth="1"/>
    <col min="9233" max="9233" width="1.5703125" style="1" customWidth="1"/>
    <col min="9234" max="9234" width="12.28515625" style="1" customWidth="1"/>
    <col min="9235" max="9235" width="0.85546875" style="1" customWidth="1"/>
    <col min="9236" max="9236" width="12.28515625" style="1" customWidth="1"/>
    <col min="9237" max="9237" width="1.5703125" style="1" customWidth="1"/>
    <col min="9238" max="9238" width="12.28515625" style="1" customWidth="1"/>
    <col min="9239" max="9239" width="1.5703125" style="1" customWidth="1"/>
    <col min="9240" max="9240" width="12.28515625" style="1" customWidth="1"/>
    <col min="9241" max="9241" width="4.5703125" style="1" customWidth="1"/>
    <col min="9242" max="9242" width="1.42578125" style="1" customWidth="1"/>
    <col min="9243" max="9465" width="13.85546875" style="1"/>
    <col min="9466" max="9466" width="7.85546875" style="1" customWidth="1"/>
    <col min="9467" max="9468" width="2.28515625" style="1" customWidth="1"/>
    <col min="9469" max="9469" width="31.42578125" style="1" customWidth="1"/>
    <col min="9470" max="9470" width="2.28515625" style="1" customWidth="1"/>
    <col min="9471" max="9471" width="2.140625" style="1" customWidth="1"/>
    <col min="9472" max="9472" width="12.28515625" style="1" customWidth="1"/>
    <col min="9473" max="9473" width="1.5703125" style="1" customWidth="1"/>
    <col min="9474" max="9474" width="12.28515625" style="1" customWidth="1"/>
    <col min="9475" max="9475" width="1.5703125" style="1" customWidth="1"/>
    <col min="9476" max="9476" width="12.28515625" style="1" customWidth="1"/>
    <col min="9477" max="9477" width="1.5703125" style="1" customWidth="1"/>
    <col min="9478" max="9478" width="13.5703125" style="1" customWidth="1"/>
    <col min="9479" max="9479" width="0.85546875" style="1" customWidth="1"/>
    <col min="9480" max="9480" width="12.28515625" style="1" customWidth="1"/>
    <col min="9481" max="9481" width="1.5703125" style="1" customWidth="1"/>
    <col min="9482" max="9482" width="12.28515625" style="1" customWidth="1"/>
    <col min="9483" max="9483" width="1.5703125" style="1" customWidth="1"/>
    <col min="9484" max="9484" width="12.28515625" style="1" customWidth="1"/>
    <col min="9485" max="9485" width="0.85546875" style="1" customWidth="1"/>
    <col min="9486" max="9486" width="12.28515625" style="1" customWidth="1"/>
    <col min="9487" max="9487" width="1.5703125" style="1" customWidth="1"/>
    <col min="9488" max="9488" width="12.28515625" style="1" customWidth="1"/>
    <col min="9489" max="9489" width="1.5703125" style="1" customWidth="1"/>
    <col min="9490" max="9490" width="12.28515625" style="1" customWidth="1"/>
    <col min="9491" max="9491" width="0.85546875" style="1" customWidth="1"/>
    <col min="9492" max="9492" width="12.28515625" style="1" customWidth="1"/>
    <col min="9493" max="9493" width="1.5703125" style="1" customWidth="1"/>
    <col min="9494" max="9494" width="12.28515625" style="1" customWidth="1"/>
    <col min="9495" max="9495" width="1.5703125" style="1" customWidth="1"/>
    <col min="9496" max="9496" width="12.28515625" style="1" customWidth="1"/>
    <col min="9497" max="9497" width="4.5703125" style="1" customWidth="1"/>
    <col min="9498" max="9498" width="1.42578125" style="1" customWidth="1"/>
    <col min="9499" max="9721" width="13.85546875" style="1"/>
    <col min="9722" max="9722" width="7.85546875" style="1" customWidth="1"/>
    <col min="9723" max="9724" width="2.28515625" style="1" customWidth="1"/>
    <col min="9725" max="9725" width="31.42578125" style="1" customWidth="1"/>
    <col min="9726" max="9726" width="2.28515625" style="1" customWidth="1"/>
    <col min="9727" max="9727" width="2.140625" style="1" customWidth="1"/>
    <col min="9728" max="9728" width="12.28515625" style="1" customWidth="1"/>
    <col min="9729" max="9729" width="1.5703125" style="1" customWidth="1"/>
    <col min="9730" max="9730" width="12.28515625" style="1" customWidth="1"/>
    <col min="9731" max="9731" width="1.5703125" style="1" customWidth="1"/>
    <col min="9732" max="9732" width="12.28515625" style="1" customWidth="1"/>
    <col min="9733" max="9733" width="1.5703125" style="1" customWidth="1"/>
    <col min="9734" max="9734" width="13.5703125" style="1" customWidth="1"/>
    <col min="9735" max="9735" width="0.85546875" style="1" customWidth="1"/>
    <col min="9736" max="9736" width="12.28515625" style="1" customWidth="1"/>
    <col min="9737" max="9737" width="1.5703125" style="1" customWidth="1"/>
    <col min="9738" max="9738" width="12.28515625" style="1" customWidth="1"/>
    <col min="9739" max="9739" width="1.5703125" style="1" customWidth="1"/>
    <col min="9740" max="9740" width="12.28515625" style="1" customWidth="1"/>
    <col min="9741" max="9741" width="0.85546875" style="1" customWidth="1"/>
    <col min="9742" max="9742" width="12.28515625" style="1" customWidth="1"/>
    <col min="9743" max="9743" width="1.5703125" style="1" customWidth="1"/>
    <col min="9744" max="9744" width="12.28515625" style="1" customWidth="1"/>
    <col min="9745" max="9745" width="1.5703125" style="1" customWidth="1"/>
    <col min="9746" max="9746" width="12.28515625" style="1" customWidth="1"/>
    <col min="9747" max="9747" width="0.85546875" style="1" customWidth="1"/>
    <col min="9748" max="9748" width="12.28515625" style="1" customWidth="1"/>
    <col min="9749" max="9749" width="1.5703125" style="1" customWidth="1"/>
    <col min="9750" max="9750" width="12.28515625" style="1" customWidth="1"/>
    <col min="9751" max="9751" width="1.5703125" style="1" customWidth="1"/>
    <col min="9752" max="9752" width="12.28515625" style="1" customWidth="1"/>
    <col min="9753" max="9753" width="4.5703125" style="1" customWidth="1"/>
    <col min="9754" max="9754" width="1.42578125" style="1" customWidth="1"/>
    <col min="9755" max="9977" width="13.85546875" style="1"/>
    <col min="9978" max="9978" width="7.85546875" style="1" customWidth="1"/>
    <col min="9979" max="9980" width="2.28515625" style="1" customWidth="1"/>
    <col min="9981" max="9981" width="31.42578125" style="1" customWidth="1"/>
    <col min="9982" max="9982" width="2.28515625" style="1" customWidth="1"/>
    <col min="9983" max="9983" width="2.140625" style="1" customWidth="1"/>
    <col min="9984" max="9984" width="12.28515625" style="1" customWidth="1"/>
    <col min="9985" max="9985" width="1.5703125" style="1" customWidth="1"/>
    <col min="9986" max="9986" width="12.28515625" style="1" customWidth="1"/>
    <col min="9987" max="9987" width="1.5703125" style="1" customWidth="1"/>
    <col min="9988" max="9988" width="12.28515625" style="1" customWidth="1"/>
    <col min="9989" max="9989" width="1.5703125" style="1" customWidth="1"/>
    <col min="9990" max="9990" width="13.5703125" style="1" customWidth="1"/>
    <col min="9991" max="9991" width="0.85546875" style="1" customWidth="1"/>
    <col min="9992" max="9992" width="12.28515625" style="1" customWidth="1"/>
    <col min="9993" max="9993" width="1.5703125" style="1" customWidth="1"/>
    <col min="9994" max="9994" width="12.28515625" style="1" customWidth="1"/>
    <col min="9995" max="9995" width="1.5703125" style="1" customWidth="1"/>
    <col min="9996" max="9996" width="12.28515625" style="1" customWidth="1"/>
    <col min="9997" max="9997" width="0.85546875" style="1" customWidth="1"/>
    <col min="9998" max="9998" width="12.28515625" style="1" customWidth="1"/>
    <col min="9999" max="9999" width="1.5703125" style="1" customWidth="1"/>
    <col min="10000" max="10000" width="12.28515625" style="1" customWidth="1"/>
    <col min="10001" max="10001" width="1.5703125" style="1" customWidth="1"/>
    <col min="10002" max="10002" width="12.28515625" style="1" customWidth="1"/>
    <col min="10003" max="10003" width="0.85546875" style="1" customWidth="1"/>
    <col min="10004" max="10004" width="12.28515625" style="1" customWidth="1"/>
    <col min="10005" max="10005" width="1.5703125" style="1" customWidth="1"/>
    <col min="10006" max="10006" width="12.28515625" style="1" customWidth="1"/>
    <col min="10007" max="10007" width="1.5703125" style="1" customWidth="1"/>
    <col min="10008" max="10008" width="12.28515625" style="1" customWidth="1"/>
    <col min="10009" max="10009" width="4.5703125" style="1" customWidth="1"/>
    <col min="10010" max="10010" width="1.42578125" style="1" customWidth="1"/>
    <col min="10011" max="10233" width="13.85546875" style="1"/>
    <col min="10234" max="10234" width="7.85546875" style="1" customWidth="1"/>
    <col min="10235" max="10236" width="2.28515625" style="1" customWidth="1"/>
    <col min="10237" max="10237" width="31.42578125" style="1" customWidth="1"/>
    <col min="10238" max="10238" width="2.28515625" style="1" customWidth="1"/>
    <col min="10239" max="10239" width="2.140625" style="1" customWidth="1"/>
    <col min="10240" max="10240" width="12.28515625" style="1" customWidth="1"/>
    <col min="10241" max="10241" width="1.5703125" style="1" customWidth="1"/>
    <col min="10242" max="10242" width="12.28515625" style="1" customWidth="1"/>
    <col min="10243" max="10243" width="1.5703125" style="1" customWidth="1"/>
    <col min="10244" max="10244" width="12.28515625" style="1" customWidth="1"/>
    <col min="10245" max="10245" width="1.5703125" style="1" customWidth="1"/>
    <col min="10246" max="10246" width="13.5703125" style="1" customWidth="1"/>
    <col min="10247" max="10247" width="0.85546875" style="1" customWidth="1"/>
    <col min="10248" max="10248" width="12.28515625" style="1" customWidth="1"/>
    <col min="10249" max="10249" width="1.5703125" style="1" customWidth="1"/>
    <col min="10250" max="10250" width="12.28515625" style="1" customWidth="1"/>
    <col min="10251" max="10251" width="1.5703125" style="1" customWidth="1"/>
    <col min="10252" max="10252" width="12.28515625" style="1" customWidth="1"/>
    <col min="10253" max="10253" width="0.85546875" style="1" customWidth="1"/>
    <col min="10254" max="10254" width="12.28515625" style="1" customWidth="1"/>
    <col min="10255" max="10255" width="1.5703125" style="1" customWidth="1"/>
    <col min="10256" max="10256" width="12.28515625" style="1" customWidth="1"/>
    <col min="10257" max="10257" width="1.5703125" style="1" customWidth="1"/>
    <col min="10258" max="10258" width="12.28515625" style="1" customWidth="1"/>
    <col min="10259" max="10259" width="0.85546875" style="1" customWidth="1"/>
    <col min="10260" max="10260" width="12.28515625" style="1" customWidth="1"/>
    <col min="10261" max="10261" width="1.5703125" style="1" customWidth="1"/>
    <col min="10262" max="10262" width="12.28515625" style="1" customWidth="1"/>
    <col min="10263" max="10263" width="1.5703125" style="1" customWidth="1"/>
    <col min="10264" max="10264" width="12.28515625" style="1" customWidth="1"/>
    <col min="10265" max="10265" width="4.5703125" style="1" customWidth="1"/>
    <col min="10266" max="10266" width="1.42578125" style="1" customWidth="1"/>
    <col min="10267" max="10489" width="13.85546875" style="1"/>
    <col min="10490" max="10490" width="7.85546875" style="1" customWidth="1"/>
    <col min="10491" max="10492" width="2.28515625" style="1" customWidth="1"/>
    <col min="10493" max="10493" width="31.42578125" style="1" customWidth="1"/>
    <col min="10494" max="10494" width="2.28515625" style="1" customWidth="1"/>
    <col min="10495" max="10495" width="2.140625" style="1" customWidth="1"/>
    <col min="10496" max="10496" width="12.28515625" style="1" customWidth="1"/>
    <col min="10497" max="10497" width="1.5703125" style="1" customWidth="1"/>
    <col min="10498" max="10498" width="12.28515625" style="1" customWidth="1"/>
    <col min="10499" max="10499" width="1.5703125" style="1" customWidth="1"/>
    <col min="10500" max="10500" width="12.28515625" style="1" customWidth="1"/>
    <col min="10501" max="10501" width="1.5703125" style="1" customWidth="1"/>
    <col min="10502" max="10502" width="13.5703125" style="1" customWidth="1"/>
    <col min="10503" max="10503" width="0.85546875" style="1" customWidth="1"/>
    <col min="10504" max="10504" width="12.28515625" style="1" customWidth="1"/>
    <col min="10505" max="10505" width="1.5703125" style="1" customWidth="1"/>
    <col min="10506" max="10506" width="12.28515625" style="1" customWidth="1"/>
    <col min="10507" max="10507" width="1.5703125" style="1" customWidth="1"/>
    <col min="10508" max="10508" width="12.28515625" style="1" customWidth="1"/>
    <col min="10509" max="10509" width="0.85546875" style="1" customWidth="1"/>
    <col min="10510" max="10510" width="12.28515625" style="1" customWidth="1"/>
    <col min="10511" max="10511" width="1.5703125" style="1" customWidth="1"/>
    <col min="10512" max="10512" width="12.28515625" style="1" customWidth="1"/>
    <col min="10513" max="10513" width="1.5703125" style="1" customWidth="1"/>
    <col min="10514" max="10514" width="12.28515625" style="1" customWidth="1"/>
    <col min="10515" max="10515" width="0.85546875" style="1" customWidth="1"/>
    <col min="10516" max="10516" width="12.28515625" style="1" customWidth="1"/>
    <col min="10517" max="10517" width="1.5703125" style="1" customWidth="1"/>
    <col min="10518" max="10518" width="12.28515625" style="1" customWidth="1"/>
    <col min="10519" max="10519" width="1.5703125" style="1" customWidth="1"/>
    <col min="10520" max="10520" width="12.28515625" style="1" customWidth="1"/>
    <col min="10521" max="10521" width="4.5703125" style="1" customWidth="1"/>
    <col min="10522" max="10522" width="1.42578125" style="1" customWidth="1"/>
    <col min="10523" max="10745" width="13.85546875" style="1"/>
    <col min="10746" max="10746" width="7.85546875" style="1" customWidth="1"/>
    <col min="10747" max="10748" width="2.28515625" style="1" customWidth="1"/>
    <col min="10749" max="10749" width="31.42578125" style="1" customWidth="1"/>
    <col min="10750" max="10750" width="2.28515625" style="1" customWidth="1"/>
    <col min="10751" max="10751" width="2.140625" style="1" customWidth="1"/>
    <col min="10752" max="10752" width="12.28515625" style="1" customWidth="1"/>
    <col min="10753" max="10753" width="1.5703125" style="1" customWidth="1"/>
    <col min="10754" max="10754" width="12.28515625" style="1" customWidth="1"/>
    <col min="10755" max="10755" width="1.5703125" style="1" customWidth="1"/>
    <col min="10756" max="10756" width="12.28515625" style="1" customWidth="1"/>
    <col min="10757" max="10757" width="1.5703125" style="1" customWidth="1"/>
    <col min="10758" max="10758" width="13.5703125" style="1" customWidth="1"/>
    <col min="10759" max="10759" width="0.85546875" style="1" customWidth="1"/>
    <col min="10760" max="10760" width="12.28515625" style="1" customWidth="1"/>
    <col min="10761" max="10761" width="1.5703125" style="1" customWidth="1"/>
    <col min="10762" max="10762" width="12.28515625" style="1" customWidth="1"/>
    <col min="10763" max="10763" width="1.5703125" style="1" customWidth="1"/>
    <col min="10764" max="10764" width="12.28515625" style="1" customWidth="1"/>
    <col min="10765" max="10765" width="0.85546875" style="1" customWidth="1"/>
    <col min="10766" max="10766" width="12.28515625" style="1" customWidth="1"/>
    <col min="10767" max="10767" width="1.5703125" style="1" customWidth="1"/>
    <col min="10768" max="10768" width="12.28515625" style="1" customWidth="1"/>
    <col min="10769" max="10769" width="1.5703125" style="1" customWidth="1"/>
    <col min="10770" max="10770" width="12.28515625" style="1" customWidth="1"/>
    <col min="10771" max="10771" width="0.85546875" style="1" customWidth="1"/>
    <col min="10772" max="10772" width="12.28515625" style="1" customWidth="1"/>
    <col min="10773" max="10773" width="1.5703125" style="1" customWidth="1"/>
    <col min="10774" max="10774" width="12.28515625" style="1" customWidth="1"/>
    <col min="10775" max="10775" width="1.5703125" style="1" customWidth="1"/>
    <col min="10776" max="10776" width="12.28515625" style="1" customWidth="1"/>
    <col min="10777" max="10777" width="4.5703125" style="1" customWidth="1"/>
    <col min="10778" max="10778" width="1.42578125" style="1" customWidth="1"/>
    <col min="10779" max="11001" width="13.85546875" style="1"/>
    <col min="11002" max="11002" width="7.85546875" style="1" customWidth="1"/>
    <col min="11003" max="11004" width="2.28515625" style="1" customWidth="1"/>
    <col min="11005" max="11005" width="31.42578125" style="1" customWidth="1"/>
    <col min="11006" max="11006" width="2.28515625" style="1" customWidth="1"/>
    <col min="11007" max="11007" width="2.140625" style="1" customWidth="1"/>
    <col min="11008" max="11008" width="12.28515625" style="1" customWidth="1"/>
    <col min="11009" max="11009" width="1.5703125" style="1" customWidth="1"/>
    <col min="11010" max="11010" width="12.28515625" style="1" customWidth="1"/>
    <col min="11011" max="11011" width="1.5703125" style="1" customWidth="1"/>
    <col min="11012" max="11012" width="12.28515625" style="1" customWidth="1"/>
    <col min="11013" max="11013" width="1.5703125" style="1" customWidth="1"/>
    <col min="11014" max="11014" width="13.5703125" style="1" customWidth="1"/>
    <col min="11015" max="11015" width="0.85546875" style="1" customWidth="1"/>
    <col min="11016" max="11016" width="12.28515625" style="1" customWidth="1"/>
    <col min="11017" max="11017" width="1.5703125" style="1" customWidth="1"/>
    <col min="11018" max="11018" width="12.28515625" style="1" customWidth="1"/>
    <col min="11019" max="11019" width="1.5703125" style="1" customWidth="1"/>
    <col min="11020" max="11020" width="12.28515625" style="1" customWidth="1"/>
    <col min="11021" max="11021" width="0.85546875" style="1" customWidth="1"/>
    <col min="11022" max="11022" width="12.28515625" style="1" customWidth="1"/>
    <col min="11023" max="11023" width="1.5703125" style="1" customWidth="1"/>
    <col min="11024" max="11024" width="12.28515625" style="1" customWidth="1"/>
    <col min="11025" max="11025" width="1.5703125" style="1" customWidth="1"/>
    <col min="11026" max="11026" width="12.28515625" style="1" customWidth="1"/>
    <col min="11027" max="11027" width="0.85546875" style="1" customWidth="1"/>
    <col min="11028" max="11028" width="12.28515625" style="1" customWidth="1"/>
    <col min="11029" max="11029" width="1.5703125" style="1" customWidth="1"/>
    <col min="11030" max="11030" width="12.28515625" style="1" customWidth="1"/>
    <col min="11031" max="11031" width="1.5703125" style="1" customWidth="1"/>
    <col min="11032" max="11032" width="12.28515625" style="1" customWidth="1"/>
    <col min="11033" max="11033" width="4.5703125" style="1" customWidth="1"/>
    <col min="11034" max="11034" width="1.42578125" style="1" customWidth="1"/>
    <col min="11035" max="11257" width="13.85546875" style="1"/>
    <col min="11258" max="11258" width="7.85546875" style="1" customWidth="1"/>
    <col min="11259" max="11260" width="2.28515625" style="1" customWidth="1"/>
    <col min="11261" max="11261" width="31.42578125" style="1" customWidth="1"/>
    <col min="11262" max="11262" width="2.28515625" style="1" customWidth="1"/>
    <col min="11263" max="11263" width="2.140625" style="1" customWidth="1"/>
    <col min="11264" max="11264" width="12.28515625" style="1" customWidth="1"/>
    <col min="11265" max="11265" width="1.5703125" style="1" customWidth="1"/>
    <col min="11266" max="11266" width="12.28515625" style="1" customWidth="1"/>
    <col min="11267" max="11267" width="1.5703125" style="1" customWidth="1"/>
    <col min="11268" max="11268" width="12.28515625" style="1" customWidth="1"/>
    <col min="11269" max="11269" width="1.5703125" style="1" customWidth="1"/>
    <col min="11270" max="11270" width="13.5703125" style="1" customWidth="1"/>
    <col min="11271" max="11271" width="0.85546875" style="1" customWidth="1"/>
    <col min="11272" max="11272" width="12.28515625" style="1" customWidth="1"/>
    <col min="11273" max="11273" width="1.5703125" style="1" customWidth="1"/>
    <col min="11274" max="11274" width="12.28515625" style="1" customWidth="1"/>
    <col min="11275" max="11275" width="1.5703125" style="1" customWidth="1"/>
    <col min="11276" max="11276" width="12.28515625" style="1" customWidth="1"/>
    <col min="11277" max="11277" width="0.85546875" style="1" customWidth="1"/>
    <col min="11278" max="11278" width="12.28515625" style="1" customWidth="1"/>
    <col min="11279" max="11279" width="1.5703125" style="1" customWidth="1"/>
    <col min="11280" max="11280" width="12.28515625" style="1" customWidth="1"/>
    <col min="11281" max="11281" width="1.5703125" style="1" customWidth="1"/>
    <col min="11282" max="11282" width="12.28515625" style="1" customWidth="1"/>
    <col min="11283" max="11283" width="0.85546875" style="1" customWidth="1"/>
    <col min="11284" max="11284" width="12.28515625" style="1" customWidth="1"/>
    <col min="11285" max="11285" width="1.5703125" style="1" customWidth="1"/>
    <col min="11286" max="11286" width="12.28515625" style="1" customWidth="1"/>
    <col min="11287" max="11287" width="1.5703125" style="1" customWidth="1"/>
    <col min="11288" max="11288" width="12.28515625" style="1" customWidth="1"/>
    <col min="11289" max="11289" width="4.5703125" style="1" customWidth="1"/>
    <col min="11290" max="11290" width="1.42578125" style="1" customWidth="1"/>
    <col min="11291" max="11513" width="13.85546875" style="1"/>
    <col min="11514" max="11514" width="7.85546875" style="1" customWidth="1"/>
    <col min="11515" max="11516" width="2.28515625" style="1" customWidth="1"/>
    <col min="11517" max="11517" width="31.42578125" style="1" customWidth="1"/>
    <col min="11518" max="11518" width="2.28515625" style="1" customWidth="1"/>
    <col min="11519" max="11519" width="2.140625" style="1" customWidth="1"/>
    <col min="11520" max="11520" width="12.28515625" style="1" customWidth="1"/>
    <col min="11521" max="11521" width="1.5703125" style="1" customWidth="1"/>
    <col min="11522" max="11522" width="12.28515625" style="1" customWidth="1"/>
    <col min="11523" max="11523" width="1.5703125" style="1" customWidth="1"/>
    <col min="11524" max="11524" width="12.28515625" style="1" customWidth="1"/>
    <col min="11525" max="11525" width="1.5703125" style="1" customWidth="1"/>
    <col min="11526" max="11526" width="13.5703125" style="1" customWidth="1"/>
    <col min="11527" max="11527" width="0.85546875" style="1" customWidth="1"/>
    <col min="11528" max="11528" width="12.28515625" style="1" customWidth="1"/>
    <col min="11529" max="11529" width="1.5703125" style="1" customWidth="1"/>
    <col min="11530" max="11530" width="12.28515625" style="1" customWidth="1"/>
    <col min="11531" max="11531" width="1.5703125" style="1" customWidth="1"/>
    <col min="11532" max="11532" width="12.28515625" style="1" customWidth="1"/>
    <col min="11533" max="11533" width="0.85546875" style="1" customWidth="1"/>
    <col min="11534" max="11534" width="12.28515625" style="1" customWidth="1"/>
    <col min="11535" max="11535" width="1.5703125" style="1" customWidth="1"/>
    <col min="11536" max="11536" width="12.28515625" style="1" customWidth="1"/>
    <col min="11537" max="11537" width="1.5703125" style="1" customWidth="1"/>
    <col min="11538" max="11538" width="12.28515625" style="1" customWidth="1"/>
    <col min="11539" max="11539" width="0.85546875" style="1" customWidth="1"/>
    <col min="11540" max="11540" width="12.28515625" style="1" customWidth="1"/>
    <col min="11541" max="11541" width="1.5703125" style="1" customWidth="1"/>
    <col min="11542" max="11542" width="12.28515625" style="1" customWidth="1"/>
    <col min="11543" max="11543" width="1.5703125" style="1" customWidth="1"/>
    <col min="11544" max="11544" width="12.28515625" style="1" customWidth="1"/>
    <col min="11545" max="11545" width="4.5703125" style="1" customWidth="1"/>
    <col min="11546" max="11546" width="1.42578125" style="1" customWidth="1"/>
    <col min="11547" max="11769" width="13.85546875" style="1"/>
    <col min="11770" max="11770" width="7.85546875" style="1" customWidth="1"/>
    <col min="11771" max="11772" width="2.28515625" style="1" customWidth="1"/>
    <col min="11773" max="11773" width="31.42578125" style="1" customWidth="1"/>
    <col min="11774" max="11774" width="2.28515625" style="1" customWidth="1"/>
    <col min="11775" max="11775" width="2.140625" style="1" customWidth="1"/>
    <col min="11776" max="11776" width="12.28515625" style="1" customWidth="1"/>
    <col min="11777" max="11777" width="1.5703125" style="1" customWidth="1"/>
    <col min="11778" max="11778" width="12.28515625" style="1" customWidth="1"/>
    <col min="11779" max="11779" width="1.5703125" style="1" customWidth="1"/>
    <col min="11780" max="11780" width="12.28515625" style="1" customWidth="1"/>
    <col min="11781" max="11781" width="1.5703125" style="1" customWidth="1"/>
    <col min="11782" max="11782" width="13.5703125" style="1" customWidth="1"/>
    <col min="11783" max="11783" width="0.85546875" style="1" customWidth="1"/>
    <col min="11784" max="11784" width="12.28515625" style="1" customWidth="1"/>
    <col min="11785" max="11785" width="1.5703125" style="1" customWidth="1"/>
    <col min="11786" max="11786" width="12.28515625" style="1" customWidth="1"/>
    <col min="11787" max="11787" width="1.5703125" style="1" customWidth="1"/>
    <col min="11788" max="11788" width="12.28515625" style="1" customWidth="1"/>
    <col min="11789" max="11789" width="0.85546875" style="1" customWidth="1"/>
    <col min="11790" max="11790" width="12.28515625" style="1" customWidth="1"/>
    <col min="11791" max="11791" width="1.5703125" style="1" customWidth="1"/>
    <col min="11792" max="11792" width="12.28515625" style="1" customWidth="1"/>
    <col min="11793" max="11793" width="1.5703125" style="1" customWidth="1"/>
    <col min="11794" max="11794" width="12.28515625" style="1" customWidth="1"/>
    <col min="11795" max="11795" width="0.85546875" style="1" customWidth="1"/>
    <col min="11796" max="11796" width="12.28515625" style="1" customWidth="1"/>
    <col min="11797" max="11797" width="1.5703125" style="1" customWidth="1"/>
    <col min="11798" max="11798" width="12.28515625" style="1" customWidth="1"/>
    <col min="11799" max="11799" width="1.5703125" style="1" customWidth="1"/>
    <col min="11800" max="11800" width="12.28515625" style="1" customWidth="1"/>
    <col min="11801" max="11801" width="4.5703125" style="1" customWidth="1"/>
    <col min="11802" max="11802" width="1.42578125" style="1" customWidth="1"/>
    <col min="11803" max="12025" width="13.85546875" style="1"/>
    <col min="12026" max="12026" width="7.85546875" style="1" customWidth="1"/>
    <col min="12027" max="12028" width="2.28515625" style="1" customWidth="1"/>
    <col min="12029" max="12029" width="31.42578125" style="1" customWidth="1"/>
    <col min="12030" max="12030" width="2.28515625" style="1" customWidth="1"/>
    <col min="12031" max="12031" width="2.140625" style="1" customWidth="1"/>
    <col min="12032" max="12032" width="12.28515625" style="1" customWidth="1"/>
    <col min="12033" max="12033" width="1.5703125" style="1" customWidth="1"/>
    <col min="12034" max="12034" width="12.28515625" style="1" customWidth="1"/>
    <col min="12035" max="12035" width="1.5703125" style="1" customWidth="1"/>
    <col min="12036" max="12036" width="12.28515625" style="1" customWidth="1"/>
    <col min="12037" max="12037" width="1.5703125" style="1" customWidth="1"/>
    <col min="12038" max="12038" width="13.5703125" style="1" customWidth="1"/>
    <col min="12039" max="12039" width="0.85546875" style="1" customWidth="1"/>
    <col min="12040" max="12040" width="12.28515625" style="1" customWidth="1"/>
    <col min="12041" max="12041" width="1.5703125" style="1" customWidth="1"/>
    <col min="12042" max="12042" width="12.28515625" style="1" customWidth="1"/>
    <col min="12043" max="12043" width="1.5703125" style="1" customWidth="1"/>
    <col min="12044" max="12044" width="12.28515625" style="1" customWidth="1"/>
    <col min="12045" max="12045" width="0.85546875" style="1" customWidth="1"/>
    <col min="12046" max="12046" width="12.28515625" style="1" customWidth="1"/>
    <col min="12047" max="12047" width="1.5703125" style="1" customWidth="1"/>
    <col min="12048" max="12048" width="12.28515625" style="1" customWidth="1"/>
    <col min="12049" max="12049" width="1.5703125" style="1" customWidth="1"/>
    <col min="12050" max="12050" width="12.28515625" style="1" customWidth="1"/>
    <col min="12051" max="12051" width="0.85546875" style="1" customWidth="1"/>
    <col min="12052" max="12052" width="12.28515625" style="1" customWidth="1"/>
    <col min="12053" max="12053" width="1.5703125" style="1" customWidth="1"/>
    <col min="12054" max="12054" width="12.28515625" style="1" customWidth="1"/>
    <col min="12055" max="12055" width="1.5703125" style="1" customWidth="1"/>
    <col min="12056" max="12056" width="12.28515625" style="1" customWidth="1"/>
    <col min="12057" max="12057" width="4.5703125" style="1" customWidth="1"/>
    <col min="12058" max="12058" width="1.42578125" style="1" customWidth="1"/>
    <col min="12059" max="12281" width="13.85546875" style="1"/>
    <col min="12282" max="12282" width="7.85546875" style="1" customWidth="1"/>
    <col min="12283" max="12284" width="2.28515625" style="1" customWidth="1"/>
    <col min="12285" max="12285" width="31.42578125" style="1" customWidth="1"/>
    <col min="12286" max="12286" width="2.28515625" style="1" customWidth="1"/>
    <col min="12287" max="12287" width="2.140625" style="1" customWidth="1"/>
    <col min="12288" max="12288" width="12.28515625" style="1" customWidth="1"/>
    <col min="12289" max="12289" width="1.5703125" style="1" customWidth="1"/>
    <col min="12290" max="12290" width="12.28515625" style="1" customWidth="1"/>
    <col min="12291" max="12291" width="1.5703125" style="1" customWidth="1"/>
    <col min="12292" max="12292" width="12.28515625" style="1" customWidth="1"/>
    <col min="12293" max="12293" width="1.5703125" style="1" customWidth="1"/>
    <col min="12294" max="12294" width="13.5703125" style="1" customWidth="1"/>
    <col min="12295" max="12295" width="0.85546875" style="1" customWidth="1"/>
    <col min="12296" max="12296" width="12.28515625" style="1" customWidth="1"/>
    <col min="12297" max="12297" width="1.5703125" style="1" customWidth="1"/>
    <col min="12298" max="12298" width="12.28515625" style="1" customWidth="1"/>
    <col min="12299" max="12299" width="1.5703125" style="1" customWidth="1"/>
    <col min="12300" max="12300" width="12.28515625" style="1" customWidth="1"/>
    <col min="12301" max="12301" width="0.85546875" style="1" customWidth="1"/>
    <col min="12302" max="12302" width="12.28515625" style="1" customWidth="1"/>
    <col min="12303" max="12303" width="1.5703125" style="1" customWidth="1"/>
    <col min="12304" max="12304" width="12.28515625" style="1" customWidth="1"/>
    <col min="12305" max="12305" width="1.5703125" style="1" customWidth="1"/>
    <col min="12306" max="12306" width="12.28515625" style="1" customWidth="1"/>
    <col min="12307" max="12307" width="0.85546875" style="1" customWidth="1"/>
    <col min="12308" max="12308" width="12.28515625" style="1" customWidth="1"/>
    <col min="12309" max="12309" width="1.5703125" style="1" customWidth="1"/>
    <col min="12310" max="12310" width="12.28515625" style="1" customWidth="1"/>
    <col min="12311" max="12311" width="1.5703125" style="1" customWidth="1"/>
    <col min="12312" max="12312" width="12.28515625" style="1" customWidth="1"/>
    <col min="12313" max="12313" width="4.5703125" style="1" customWidth="1"/>
    <col min="12314" max="12314" width="1.42578125" style="1" customWidth="1"/>
    <col min="12315" max="12537" width="13.85546875" style="1"/>
    <col min="12538" max="12538" width="7.85546875" style="1" customWidth="1"/>
    <col min="12539" max="12540" width="2.28515625" style="1" customWidth="1"/>
    <col min="12541" max="12541" width="31.42578125" style="1" customWidth="1"/>
    <col min="12542" max="12542" width="2.28515625" style="1" customWidth="1"/>
    <col min="12543" max="12543" width="2.140625" style="1" customWidth="1"/>
    <col min="12544" max="12544" width="12.28515625" style="1" customWidth="1"/>
    <col min="12545" max="12545" width="1.5703125" style="1" customWidth="1"/>
    <col min="12546" max="12546" width="12.28515625" style="1" customWidth="1"/>
    <col min="12547" max="12547" width="1.5703125" style="1" customWidth="1"/>
    <col min="12548" max="12548" width="12.28515625" style="1" customWidth="1"/>
    <col min="12549" max="12549" width="1.5703125" style="1" customWidth="1"/>
    <col min="12550" max="12550" width="13.5703125" style="1" customWidth="1"/>
    <col min="12551" max="12551" width="0.85546875" style="1" customWidth="1"/>
    <col min="12552" max="12552" width="12.28515625" style="1" customWidth="1"/>
    <col min="12553" max="12553" width="1.5703125" style="1" customWidth="1"/>
    <col min="12554" max="12554" width="12.28515625" style="1" customWidth="1"/>
    <col min="12555" max="12555" width="1.5703125" style="1" customWidth="1"/>
    <col min="12556" max="12556" width="12.28515625" style="1" customWidth="1"/>
    <col min="12557" max="12557" width="0.85546875" style="1" customWidth="1"/>
    <col min="12558" max="12558" width="12.28515625" style="1" customWidth="1"/>
    <col min="12559" max="12559" width="1.5703125" style="1" customWidth="1"/>
    <col min="12560" max="12560" width="12.28515625" style="1" customWidth="1"/>
    <col min="12561" max="12561" width="1.5703125" style="1" customWidth="1"/>
    <col min="12562" max="12562" width="12.28515625" style="1" customWidth="1"/>
    <col min="12563" max="12563" width="0.85546875" style="1" customWidth="1"/>
    <col min="12564" max="12564" width="12.28515625" style="1" customWidth="1"/>
    <col min="12565" max="12565" width="1.5703125" style="1" customWidth="1"/>
    <col min="12566" max="12566" width="12.28515625" style="1" customWidth="1"/>
    <col min="12567" max="12567" width="1.5703125" style="1" customWidth="1"/>
    <col min="12568" max="12568" width="12.28515625" style="1" customWidth="1"/>
    <col min="12569" max="12569" width="4.5703125" style="1" customWidth="1"/>
    <col min="12570" max="12570" width="1.42578125" style="1" customWidth="1"/>
    <col min="12571" max="12793" width="13.85546875" style="1"/>
    <col min="12794" max="12794" width="7.85546875" style="1" customWidth="1"/>
    <col min="12795" max="12796" width="2.28515625" style="1" customWidth="1"/>
    <col min="12797" max="12797" width="31.42578125" style="1" customWidth="1"/>
    <col min="12798" max="12798" width="2.28515625" style="1" customWidth="1"/>
    <col min="12799" max="12799" width="2.140625" style="1" customWidth="1"/>
    <col min="12800" max="12800" width="12.28515625" style="1" customWidth="1"/>
    <col min="12801" max="12801" width="1.5703125" style="1" customWidth="1"/>
    <col min="12802" max="12802" width="12.28515625" style="1" customWidth="1"/>
    <col min="12803" max="12803" width="1.5703125" style="1" customWidth="1"/>
    <col min="12804" max="12804" width="12.28515625" style="1" customWidth="1"/>
    <col min="12805" max="12805" width="1.5703125" style="1" customWidth="1"/>
    <col min="12806" max="12806" width="13.5703125" style="1" customWidth="1"/>
    <col min="12807" max="12807" width="0.85546875" style="1" customWidth="1"/>
    <col min="12808" max="12808" width="12.28515625" style="1" customWidth="1"/>
    <col min="12809" max="12809" width="1.5703125" style="1" customWidth="1"/>
    <col min="12810" max="12810" width="12.28515625" style="1" customWidth="1"/>
    <col min="12811" max="12811" width="1.5703125" style="1" customWidth="1"/>
    <col min="12812" max="12812" width="12.28515625" style="1" customWidth="1"/>
    <col min="12813" max="12813" width="0.85546875" style="1" customWidth="1"/>
    <col min="12814" max="12814" width="12.28515625" style="1" customWidth="1"/>
    <col min="12815" max="12815" width="1.5703125" style="1" customWidth="1"/>
    <col min="12816" max="12816" width="12.28515625" style="1" customWidth="1"/>
    <col min="12817" max="12817" width="1.5703125" style="1" customWidth="1"/>
    <col min="12818" max="12818" width="12.28515625" style="1" customWidth="1"/>
    <col min="12819" max="12819" width="0.85546875" style="1" customWidth="1"/>
    <col min="12820" max="12820" width="12.28515625" style="1" customWidth="1"/>
    <col min="12821" max="12821" width="1.5703125" style="1" customWidth="1"/>
    <col min="12822" max="12822" width="12.28515625" style="1" customWidth="1"/>
    <col min="12823" max="12823" width="1.5703125" style="1" customWidth="1"/>
    <col min="12824" max="12824" width="12.28515625" style="1" customWidth="1"/>
    <col min="12825" max="12825" width="4.5703125" style="1" customWidth="1"/>
    <col min="12826" max="12826" width="1.42578125" style="1" customWidth="1"/>
    <col min="12827" max="13049" width="13.85546875" style="1"/>
    <col min="13050" max="13050" width="7.85546875" style="1" customWidth="1"/>
    <col min="13051" max="13052" width="2.28515625" style="1" customWidth="1"/>
    <col min="13053" max="13053" width="31.42578125" style="1" customWidth="1"/>
    <col min="13054" max="13054" width="2.28515625" style="1" customWidth="1"/>
    <col min="13055" max="13055" width="2.140625" style="1" customWidth="1"/>
    <col min="13056" max="13056" width="12.28515625" style="1" customWidth="1"/>
    <col min="13057" max="13057" width="1.5703125" style="1" customWidth="1"/>
    <col min="13058" max="13058" width="12.28515625" style="1" customWidth="1"/>
    <col min="13059" max="13059" width="1.5703125" style="1" customWidth="1"/>
    <col min="13060" max="13060" width="12.28515625" style="1" customWidth="1"/>
    <col min="13061" max="13061" width="1.5703125" style="1" customWidth="1"/>
    <col min="13062" max="13062" width="13.5703125" style="1" customWidth="1"/>
    <col min="13063" max="13063" width="0.85546875" style="1" customWidth="1"/>
    <col min="13064" max="13064" width="12.28515625" style="1" customWidth="1"/>
    <col min="13065" max="13065" width="1.5703125" style="1" customWidth="1"/>
    <col min="13066" max="13066" width="12.28515625" style="1" customWidth="1"/>
    <col min="13067" max="13067" width="1.5703125" style="1" customWidth="1"/>
    <col min="13068" max="13068" width="12.28515625" style="1" customWidth="1"/>
    <col min="13069" max="13069" width="0.85546875" style="1" customWidth="1"/>
    <col min="13070" max="13070" width="12.28515625" style="1" customWidth="1"/>
    <col min="13071" max="13071" width="1.5703125" style="1" customWidth="1"/>
    <col min="13072" max="13072" width="12.28515625" style="1" customWidth="1"/>
    <col min="13073" max="13073" width="1.5703125" style="1" customWidth="1"/>
    <col min="13074" max="13074" width="12.28515625" style="1" customWidth="1"/>
    <col min="13075" max="13075" width="0.85546875" style="1" customWidth="1"/>
    <col min="13076" max="13076" width="12.28515625" style="1" customWidth="1"/>
    <col min="13077" max="13077" width="1.5703125" style="1" customWidth="1"/>
    <col min="13078" max="13078" width="12.28515625" style="1" customWidth="1"/>
    <col min="13079" max="13079" width="1.5703125" style="1" customWidth="1"/>
    <col min="13080" max="13080" width="12.28515625" style="1" customWidth="1"/>
    <col min="13081" max="13081" width="4.5703125" style="1" customWidth="1"/>
    <col min="13082" max="13082" width="1.42578125" style="1" customWidth="1"/>
    <col min="13083" max="13305" width="13.85546875" style="1"/>
    <col min="13306" max="13306" width="7.85546875" style="1" customWidth="1"/>
    <col min="13307" max="13308" width="2.28515625" style="1" customWidth="1"/>
    <col min="13309" max="13309" width="31.42578125" style="1" customWidth="1"/>
    <col min="13310" max="13310" width="2.28515625" style="1" customWidth="1"/>
    <col min="13311" max="13311" width="2.140625" style="1" customWidth="1"/>
    <col min="13312" max="13312" width="12.28515625" style="1" customWidth="1"/>
    <col min="13313" max="13313" width="1.5703125" style="1" customWidth="1"/>
    <col min="13314" max="13314" width="12.28515625" style="1" customWidth="1"/>
    <col min="13315" max="13315" width="1.5703125" style="1" customWidth="1"/>
    <col min="13316" max="13316" width="12.28515625" style="1" customWidth="1"/>
    <col min="13317" max="13317" width="1.5703125" style="1" customWidth="1"/>
    <col min="13318" max="13318" width="13.5703125" style="1" customWidth="1"/>
    <col min="13319" max="13319" width="0.85546875" style="1" customWidth="1"/>
    <col min="13320" max="13320" width="12.28515625" style="1" customWidth="1"/>
    <col min="13321" max="13321" width="1.5703125" style="1" customWidth="1"/>
    <col min="13322" max="13322" width="12.28515625" style="1" customWidth="1"/>
    <col min="13323" max="13323" width="1.5703125" style="1" customWidth="1"/>
    <col min="13324" max="13324" width="12.28515625" style="1" customWidth="1"/>
    <col min="13325" max="13325" width="0.85546875" style="1" customWidth="1"/>
    <col min="13326" max="13326" width="12.28515625" style="1" customWidth="1"/>
    <col min="13327" max="13327" width="1.5703125" style="1" customWidth="1"/>
    <col min="13328" max="13328" width="12.28515625" style="1" customWidth="1"/>
    <col min="13329" max="13329" width="1.5703125" style="1" customWidth="1"/>
    <col min="13330" max="13330" width="12.28515625" style="1" customWidth="1"/>
    <col min="13331" max="13331" width="0.85546875" style="1" customWidth="1"/>
    <col min="13332" max="13332" width="12.28515625" style="1" customWidth="1"/>
    <col min="13333" max="13333" width="1.5703125" style="1" customWidth="1"/>
    <col min="13334" max="13334" width="12.28515625" style="1" customWidth="1"/>
    <col min="13335" max="13335" width="1.5703125" style="1" customWidth="1"/>
    <col min="13336" max="13336" width="12.28515625" style="1" customWidth="1"/>
    <col min="13337" max="13337" width="4.5703125" style="1" customWidth="1"/>
    <col min="13338" max="13338" width="1.42578125" style="1" customWidth="1"/>
    <col min="13339" max="13561" width="13.85546875" style="1"/>
    <col min="13562" max="13562" width="7.85546875" style="1" customWidth="1"/>
    <col min="13563" max="13564" width="2.28515625" style="1" customWidth="1"/>
    <col min="13565" max="13565" width="31.42578125" style="1" customWidth="1"/>
    <col min="13566" max="13566" width="2.28515625" style="1" customWidth="1"/>
    <col min="13567" max="13567" width="2.140625" style="1" customWidth="1"/>
    <col min="13568" max="13568" width="12.28515625" style="1" customWidth="1"/>
    <col min="13569" max="13569" width="1.5703125" style="1" customWidth="1"/>
    <col min="13570" max="13570" width="12.28515625" style="1" customWidth="1"/>
    <col min="13571" max="13571" width="1.5703125" style="1" customWidth="1"/>
    <col min="13572" max="13572" width="12.28515625" style="1" customWidth="1"/>
    <col min="13573" max="13573" width="1.5703125" style="1" customWidth="1"/>
    <col min="13574" max="13574" width="13.5703125" style="1" customWidth="1"/>
    <col min="13575" max="13575" width="0.85546875" style="1" customWidth="1"/>
    <col min="13576" max="13576" width="12.28515625" style="1" customWidth="1"/>
    <col min="13577" max="13577" width="1.5703125" style="1" customWidth="1"/>
    <col min="13578" max="13578" width="12.28515625" style="1" customWidth="1"/>
    <col min="13579" max="13579" width="1.5703125" style="1" customWidth="1"/>
    <col min="13580" max="13580" width="12.28515625" style="1" customWidth="1"/>
    <col min="13581" max="13581" width="0.85546875" style="1" customWidth="1"/>
    <col min="13582" max="13582" width="12.28515625" style="1" customWidth="1"/>
    <col min="13583" max="13583" width="1.5703125" style="1" customWidth="1"/>
    <col min="13584" max="13584" width="12.28515625" style="1" customWidth="1"/>
    <col min="13585" max="13585" width="1.5703125" style="1" customWidth="1"/>
    <col min="13586" max="13586" width="12.28515625" style="1" customWidth="1"/>
    <col min="13587" max="13587" width="0.85546875" style="1" customWidth="1"/>
    <col min="13588" max="13588" width="12.28515625" style="1" customWidth="1"/>
    <col min="13589" max="13589" width="1.5703125" style="1" customWidth="1"/>
    <col min="13590" max="13590" width="12.28515625" style="1" customWidth="1"/>
    <col min="13591" max="13591" width="1.5703125" style="1" customWidth="1"/>
    <col min="13592" max="13592" width="12.28515625" style="1" customWidth="1"/>
    <col min="13593" max="13593" width="4.5703125" style="1" customWidth="1"/>
    <col min="13594" max="13594" width="1.42578125" style="1" customWidth="1"/>
    <col min="13595" max="13817" width="13.85546875" style="1"/>
    <col min="13818" max="13818" width="7.85546875" style="1" customWidth="1"/>
    <col min="13819" max="13820" width="2.28515625" style="1" customWidth="1"/>
    <col min="13821" max="13821" width="31.42578125" style="1" customWidth="1"/>
    <col min="13822" max="13822" width="2.28515625" style="1" customWidth="1"/>
    <col min="13823" max="13823" width="2.140625" style="1" customWidth="1"/>
    <col min="13824" max="13824" width="12.28515625" style="1" customWidth="1"/>
    <col min="13825" max="13825" width="1.5703125" style="1" customWidth="1"/>
    <col min="13826" max="13826" width="12.28515625" style="1" customWidth="1"/>
    <col min="13827" max="13827" width="1.5703125" style="1" customWidth="1"/>
    <col min="13828" max="13828" width="12.28515625" style="1" customWidth="1"/>
    <col min="13829" max="13829" width="1.5703125" style="1" customWidth="1"/>
    <col min="13830" max="13830" width="13.5703125" style="1" customWidth="1"/>
    <col min="13831" max="13831" width="0.85546875" style="1" customWidth="1"/>
    <col min="13832" max="13832" width="12.28515625" style="1" customWidth="1"/>
    <col min="13833" max="13833" width="1.5703125" style="1" customWidth="1"/>
    <col min="13834" max="13834" width="12.28515625" style="1" customWidth="1"/>
    <col min="13835" max="13835" width="1.5703125" style="1" customWidth="1"/>
    <col min="13836" max="13836" width="12.28515625" style="1" customWidth="1"/>
    <col min="13837" max="13837" width="0.85546875" style="1" customWidth="1"/>
    <col min="13838" max="13838" width="12.28515625" style="1" customWidth="1"/>
    <col min="13839" max="13839" width="1.5703125" style="1" customWidth="1"/>
    <col min="13840" max="13840" width="12.28515625" style="1" customWidth="1"/>
    <col min="13841" max="13841" width="1.5703125" style="1" customWidth="1"/>
    <col min="13842" max="13842" width="12.28515625" style="1" customWidth="1"/>
    <col min="13843" max="13843" width="0.85546875" style="1" customWidth="1"/>
    <col min="13844" max="13844" width="12.28515625" style="1" customWidth="1"/>
    <col min="13845" max="13845" width="1.5703125" style="1" customWidth="1"/>
    <col min="13846" max="13846" width="12.28515625" style="1" customWidth="1"/>
    <col min="13847" max="13847" width="1.5703125" style="1" customWidth="1"/>
    <col min="13848" max="13848" width="12.28515625" style="1" customWidth="1"/>
    <col min="13849" max="13849" width="4.5703125" style="1" customWidth="1"/>
    <col min="13850" max="13850" width="1.42578125" style="1" customWidth="1"/>
    <col min="13851" max="14073" width="13.85546875" style="1"/>
    <col min="14074" max="14074" width="7.85546875" style="1" customWidth="1"/>
    <col min="14075" max="14076" width="2.28515625" style="1" customWidth="1"/>
    <col min="14077" max="14077" width="31.42578125" style="1" customWidth="1"/>
    <col min="14078" max="14078" width="2.28515625" style="1" customWidth="1"/>
    <col min="14079" max="14079" width="2.140625" style="1" customWidth="1"/>
    <col min="14080" max="14080" width="12.28515625" style="1" customWidth="1"/>
    <col min="14081" max="14081" width="1.5703125" style="1" customWidth="1"/>
    <col min="14082" max="14082" width="12.28515625" style="1" customWidth="1"/>
    <col min="14083" max="14083" width="1.5703125" style="1" customWidth="1"/>
    <col min="14084" max="14084" width="12.28515625" style="1" customWidth="1"/>
    <col min="14085" max="14085" width="1.5703125" style="1" customWidth="1"/>
    <col min="14086" max="14086" width="13.5703125" style="1" customWidth="1"/>
    <col min="14087" max="14087" width="0.85546875" style="1" customWidth="1"/>
    <col min="14088" max="14088" width="12.28515625" style="1" customWidth="1"/>
    <col min="14089" max="14089" width="1.5703125" style="1" customWidth="1"/>
    <col min="14090" max="14090" width="12.28515625" style="1" customWidth="1"/>
    <col min="14091" max="14091" width="1.5703125" style="1" customWidth="1"/>
    <col min="14092" max="14092" width="12.28515625" style="1" customWidth="1"/>
    <col min="14093" max="14093" width="0.85546875" style="1" customWidth="1"/>
    <col min="14094" max="14094" width="12.28515625" style="1" customWidth="1"/>
    <col min="14095" max="14095" width="1.5703125" style="1" customWidth="1"/>
    <col min="14096" max="14096" width="12.28515625" style="1" customWidth="1"/>
    <col min="14097" max="14097" width="1.5703125" style="1" customWidth="1"/>
    <col min="14098" max="14098" width="12.28515625" style="1" customWidth="1"/>
    <col min="14099" max="14099" width="0.85546875" style="1" customWidth="1"/>
    <col min="14100" max="14100" width="12.28515625" style="1" customWidth="1"/>
    <col min="14101" max="14101" width="1.5703125" style="1" customWidth="1"/>
    <col min="14102" max="14102" width="12.28515625" style="1" customWidth="1"/>
    <col min="14103" max="14103" width="1.5703125" style="1" customWidth="1"/>
    <col min="14104" max="14104" width="12.28515625" style="1" customWidth="1"/>
    <col min="14105" max="14105" width="4.5703125" style="1" customWidth="1"/>
    <col min="14106" max="14106" width="1.42578125" style="1" customWidth="1"/>
    <col min="14107" max="14329" width="13.85546875" style="1"/>
    <col min="14330" max="14330" width="7.85546875" style="1" customWidth="1"/>
    <col min="14331" max="14332" width="2.28515625" style="1" customWidth="1"/>
    <col min="14333" max="14333" width="31.42578125" style="1" customWidth="1"/>
    <col min="14334" max="14334" width="2.28515625" style="1" customWidth="1"/>
    <col min="14335" max="14335" width="2.140625" style="1" customWidth="1"/>
    <col min="14336" max="14336" width="12.28515625" style="1" customWidth="1"/>
    <col min="14337" max="14337" width="1.5703125" style="1" customWidth="1"/>
    <col min="14338" max="14338" width="12.28515625" style="1" customWidth="1"/>
    <col min="14339" max="14339" width="1.5703125" style="1" customWidth="1"/>
    <col min="14340" max="14340" width="12.28515625" style="1" customWidth="1"/>
    <col min="14341" max="14341" width="1.5703125" style="1" customWidth="1"/>
    <col min="14342" max="14342" width="13.5703125" style="1" customWidth="1"/>
    <col min="14343" max="14343" width="0.85546875" style="1" customWidth="1"/>
    <col min="14344" max="14344" width="12.28515625" style="1" customWidth="1"/>
    <col min="14345" max="14345" width="1.5703125" style="1" customWidth="1"/>
    <col min="14346" max="14346" width="12.28515625" style="1" customWidth="1"/>
    <col min="14347" max="14347" width="1.5703125" style="1" customWidth="1"/>
    <col min="14348" max="14348" width="12.28515625" style="1" customWidth="1"/>
    <col min="14349" max="14349" width="0.85546875" style="1" customWidth="1"/>
    <col min="14350" max="14350" width="12.28515625" style="1" customWidth="1"/>
    <col min="14351" max="14351" width="1.5703125" style="1" customWidth="1"/>
    <col min="14352" max="14352" width="12.28515625" style="1" customWidth="1"/>
    <col min="14353" max="14353" width="1.5703125" style="1" customWidth="1"/>
    <col min="14354" max="14354" width="12.28515625" style="1" customWidth="1"/>
    <col min="14355" max="14355" width="0.85546875" style="1" customWidth="1"/>
    <col min="14356" max="14356" width="12.28515625" style="1" customWidth="1"/>
    <col min="14357" max="14357" width="1.5703125" style="1" customWidth="1"/>
    <col min="14358" max="14358" width="12.28515625" style="1" customWidth="1"/>
    <col min="14359" max="14359" width="1.5703125" style="1" customWidth="1"/>
    <col min="14360" max="14360" width="12.28515625" style="1" customWidth="1"/>
    <col min="14361" max="14361" width="4.5703125" style="1" customWidth="1"/>
    <col min="14362" max="14362" width="1.42578125" style="1" customWidth="1"/>
    <col min="14363" max="14585" width="13.85546875" style="1"/>
    <col min="14586" max="14586" width="7.85546875" style="1" customWidth="1"/>
    <col min="14587" max="14588" width="2.28515625" style="1" customWidth="1"/>
    <col min="14589" max="14589" width="31.42578125" style="1" customWidth="1"/>
    <col min="14590" max="14590" width="2.28515625" style="1" customWidth="1"/>
    <col min="14591" max="14591" width="2.140625" style="1" customWidth="1"/>
    <col min="14592" max="14592" width="12.28515625" style="1" customWidth="1"/>
    <col min="14593" max="14593" width="1.5703125" style="1" customWidth="1"/>
    <col min="14594" max="14594" width="12.28515625" style="1" customWidth="1"/>
    <col min="14595" max="14595" width="1.5703125" style="1" customWidth="1"/>
    <col min="14596" max="14596" width="12.28515625" style="1" customWidth="1"/>
    <col min="14597" max="14597" width="1.5703125" style="1" customWidth="1"/>
    <col min="14598" max="14598" width="13.5703125" style="1" customWidth="1"/>
    <col min="14599" max="14599" width="0.85546875" style="1" customWidth="1"/>
    <col min="14600" max="14600" width="12.28515625" style="1" customWidth="1"/>
    <col min="14601" max="14601" width="1.5703125" style="1" customWidth="1"/>
    <col min="14602" max="14602" width="12.28515625" style="1" customWidth="1"/>
    <col min="14603" max="14603" width="1.5703125" style="1" customWidth="1"/>
    <col min="14604" max="14604" width="12.28515625" style="1" customWidth="1"/>
    <col min="14605" max="14605" width="0.85546875" style="1" customWidth="1"/>
    <col min="14606" max="14606" width="12.28515625" style="1" customWidth="1"/>
    <col min="14607" max="14607" width="1.5703125" style="1" customWidth="1"/>
    <col min="14608" max="14608" width="12.28515625" style="1" customWidth="1"/>
    <col min="14609" max="14609" width="1.5703125" style="1" customWidth="1"/>
    <col min="14610" max="14610" width="12.28515625" style="1" customWidth="1"/>
    <col min="14611" max="14611" width="0.85546875" style="1" customWidth="1"/>
    <col min="14612" max="14612" width="12.28515625" style="1" customWidth="1"/>
    <col min="14613" max="14613" width="1.5703125" style="1" customWidth="1"/>
    <col min="14614" max="14614" width="12.28515625" style="1" customWidth="1"/>
    <col min="14615" max="14615" width="1.5703125" style="1" customWidth="1"/>
    <col min="14616" max="14616" width="12.28515625" style="1" customWidth="1"/>
    <col min="14617" max="14617" width="4.5703125" style="1" customWidth="1"/>
    <col min="14618" max="14618" width="1.42578125" style="1" customWidth="1"/>
    <col min="14619" max="14841" width="13.85546875" style="1"/>
    <col min="14842" max="14842" width="7.85546875" style="1" customWidth="1"/>
    <col min="14843" max="14844" width="2.28515625" style="1" customWidth="1"/>
    <col min="14845" max="14845" width="31.42578125" style="1" customWidth="1"/>
    <col min="14846" max="14846" width="2.28515625" style="1" customWidth="1"/>
    <col min="14847" max="14847" width="2.140625" style="1" customWidth="1"/>
    <col min="14848" max="14848" width="12.28515625" style="1" customWidth="1"/>
    <col min="14849" max="14849" width="1.5703125" style="1" customWidth="1"/>
    <col min="14850" max="14850" width="12.28515625" style="1" customWidth="1"/>
    <col min="14851" max="14851" width="1.5703125" style="1" customWidth="1"/>
    <col min="14852" max="14852" width="12.28515625" style="1" customWidth="1"/>
    <col min="14853" max="14853" width="1.5703125" style="1" customWidth="1"/>
    <col min="14854" max="14854" width="13.5703125" style="1" customWidth="1"/>
    <col min="14855" max="14855" width="0.85546875" style="1" customWidth="1"/>
    <col min="14856" max="14856" width="12.28515625" style="1" customWidth="1"/>
    <col min="14857" max="14857" width="1.5703125" style="1" customWidth="1"/>
    <col min="14858" max="14858" width="12.28515625" style="1" customWidth="1"/>
    <col min="14859" max="14859" width="1.5703125" style="1" customWidth="1"/>
    <col min="14860" max="14860" width="12.28515625" style="1" customWidth="1"/>
    <col min="14861" max="14861" width="0.85546875" style="1" customWidth="1"/>
    <col min="14862" max="14862" width="12.28515625" style="1" customWidth="1"/>
    <col min="14863" max="14863" width="1.5703125" style="1" customWidth="1"/>
    <col min="14864" max="14864" width="12.28515625" style="1" customWidth="1"/>
    <col min="14865" max="14865" width="1.5703125" style="1" customWidth="1"/>
    <col min="14866" max="14866" width="12.28515625" style="1" customWidth="1"/>
    <col min="14867" max="14867" width="0.85546875" style="1" customWidth="1"/>
    <col min="14868" max="14868" width="12.28515625" style="1" customWidth="1"/>
    <col min="14869" max="14869" width="1.5703125" style="1" customWidth="1"/>
    <col min="14870" max="14870" width="12.28515625" style="1" customWidth="1"/>
    <col min="14871" max="14871" width="1.5703125" style="1" customWidth="1"/>
    <col min="14872" max="14872" width="12.28515625" style="1" customWidth="1"/>
    <col min="14873" max="14873" width="4.5703125" style="1" customWidth="1"/>
    <col min="14874" max="14874" width="1.42578125" style="1" customWidth="1"/>
    <col min="14875" max="15097" width="13.85546875" style="1"/>
    <col min="15098" max="15098" width="7.85546875" style="1" customWidth="1"/>
    <col min="15099" max="15100" width="2.28515625" style="1" customWidth="1"/>
    <col min="15101" max="15101" width="31.42578125" style="1" customWidth="1"/>
    <col min="15102" max="15102" width="2.28515625" style="1" customWidth="1"/>
    <col min="15103" max="15103" width="2.140625" style="1" customWidth="1"/>
    <col min="15104" max="15104" width="12.28515625" style="1" customWidth="1"/>
    <col min="15105" max="15105" width="1.5703125" style="1" customWidth="1"/>
    <col min="15106" max="15106" width="12.28515625" style="1" customWidth="1"/>
    <col min="15107" max="15107" width="1.5703125" style="1" customWidth="1"/>
    <col min="15108" max="15108" width="12.28515625" style="1" customWidth="1"/>
    <col min="15109" max="15109" width="1.5703125" style="1" customWidth="1"/>
    <col min="15110" max="15110" width="13.5703125" style="1" customWidth="1"/>
    <col min="15111" max="15111" width="0.85546875" style="1" customWidth="1"/>
    <col min="15112" max="15112" width="12.28515625" style="1" customWidth="1"/>
    <col min="15113" max="15113" width="1.5703125" style="1" customWidth="1"/>
    <col min="15114" max="15114" width="12.28515625" style="1" customWidth="1"/>
    <col min="15115" max="15115" width="1.5703125" style="1" customWidth="1"/>
    <col min="15116" max="15116" width="12.28515625" style="1" customWidth="1"/>
    <col min="15117" max="15117" width="0.85546875" style="1" customWidth="1"/>
    <col min="15118" max="15118" width="12.28515625" style="1" customWidth="1"/>
    <col min="15119" max="15119" width="1.5703125" style="1" customWidth="1"/>
    <col min="15120" max="15120" width="12.28515625" style="1" customWidth="1"/>
    <col min="15121" max="15121" width="1.5703125" style="1" customWidth="1"/>
    <col min="15122" max="15122" width="12.28515625" style="1" customWidth="1"/>
    <col min="15123" max="15123" width="0.85546875" style="1" customWidth="1"/>
    <col min="15124" max="15124" width="12.28515625" style="1" customWidth="1"/>
    <col min="15125" max="15125" width="1.5703125" style="1" customWidth="1"/>
    <col min="15126" max="15126" width="12.28515625" style="1" customWidth="1"/>
    <col min="15127" max="15127" width="1.5703125" style="1" customWidth="1"/>
    <col min="15128" max="15128" width="12.28515625" style="1" customWidth="1"/>
    <col min="15129" max="15129" width="4.5703125" style="1" customWidth="1"/>
    <col min="15130" max="15130" width="1.42578125" style="1" customWidth="1"/>
    <col min="15131" max="15353" width="13.85546875" style="1"/>
    <col min="15354" max="15354" width="7.85546875" style="1" customWidth="1"/>
    <col min="15355" max="15356" width="2.28515625" style="1" customWidth="1"/>
    <col min="15357" max="15357" width="31.42578125" style="1" customWidth="1"/>
    <col min="15358" max="15358" width="2.28515625" style="1" customWidth="1"/>
    <col min="15359" max="15359" width="2.140625" style="1" customWidth="1"/>
    <col min="15360" max="15360" width="12.28515625" style="1" customWidth="1"/>
    <col min="15361" max="15361" width="1.5703125" style="1" customWidth="1"/>
    <col min="15362" max="15362" width="12.28515625" style="1" customWidth="1"/>
    <col min="15363" max="15363" width="1.5703125" style="1" customWidth="1"/>
    <col min="15364" max="15364" width="12.28515625" style="1" customWidth="1"/>
    <col min="15365" max="15365" width="1.5703125" style="1" customWidth="1"/>
    <col min="15366" max="15366" width="13.5703125" style="1" customWidth="1"/>
    <col min="15367" max="15367" width="0.85546875" style="1" customWidth="1"/>
    <col min="15368" max="15368" width="12.28515625" style="1" customWidth="1"/>
    <col min="15369" max="15369" width="1.5703125" style="1" customWidth="1"/>
    <col min="15370" max="15370" width="12.28515625" style="1" customWidth="1"/>
    <col min="15371" max="15371" width="1.5703125" style="1" customWidth="1"/>
    <col min="15372" max="15372" width="12.28515625" style="1" customWidth="1"/>
    <col min="15373" max="15373" width="0.85546875" style="1" customWidth="1"/>
    <col min="15374" max="15374" width="12.28515625" style="1" customWidth="1"/>
    <col min="15375" max="15375" width="1.5703125" style="1" customWidth="1"/>
    <col min="15376" max="15376" width="12.28515625" style="1" customWidth="1"/>
    <col min="15377" max="15377" width="1.5703125" style="1" customWidth="1"/>
    <col min="15378" max="15378" width="12.28515625" style="1" customWidth="1"/>
    <col min="15379" max="15379" width="0.85546875" style="1" customWidth="1"/>
    <col min="15380" max="15380" width="12.28515625" style="1" customWidth="1"/>
    <col min="15381" max="15381" width="1.5703125" style="1" customWidth="1"/>
    <col min="15382" max="15382" width="12.28515625" style="1" customWidth="1"/>
    <col min="15383" max="15383" width="1.5703125" style="1" customWidth="1"/>
    <col min="15384" max="15384" width="12.28515625" style="1" customWidth="1"/>
    <col min="15385" max="15385" width="4.5703125" style="1" customWidth="1"/>
    <col min="15386" max="15386" width="1.42578125" style="1" customWidth="1"/>
    <col min="15387" max="15609" width="13.85546875" style="1"/>
    <col min="15610" max="15610" width="7.85546875" style="1" customWidth="1"/>
    <col min="15611" max="15612" width="2.28515625" style="1" customWidth="1"/>
    <col min="15613" max="15613" width="31.42578125" style="1" customWidth="1"/>
    <col min="15614" max="15614" width="2.28515625" style="1" customWidth="1"/>
    <col min="15615" max="15615" width="2.140625" style="1" customWidth="1"/>
    <col min="15616" max="15616" width="12.28515625" style="1" customWidth="1"/>
    <col min="15617" max="15617" width="1.5703125" style="1" customWidth="1"/>
    <col min="15618" max="15618" width="12.28515625" style="1" customWidth="1"/>
    <col min="15619" max="15619" width="1.5703125" style="1" customWidth="1"/>
    <col min="15620" max="15620" width="12.28515625" style="1" customWidth="1"/>
    <col min="15621" max="15621" width="1.5703125" style="1" customWidth="1"/>
    <col min="15622" max="15622" width="13.5703125" style="1" customWidth="1"/>
    <col min="15623" max="15623" width="0.85546875" style="1" customWidth="1"/>
    <col min="15624" max="15624" width="12.28515625" style="1" customWidth="1"/>
    <col min="15625" max="15625" width="1.5703125" style="1" customWidth="1"/>
    <col min="15626" max="15626" width="12.28515625" style="1" customWidth="1"/>
    <col min="15627" max="15627" width="1.5703125" style="1" customWidth="1"/>
    <col min="15628" max="15628" width="12.28515625" style="1" customWidth="1"/>
    <col min="15629" max="15629" width="0.85546875" style="1" customWidth="1"/>
    <col min="15630" max="15630" width="12.28515625" style="1" customWidth="1"/>
    <col min="15631" max="15631" width="1.5703125" style="1" customWidth="1"/>
    <col min="15632" max="15632" width="12.28515625" style="1" customWidth="1"/>
    <col min="15633" max="15633" width="1.5703125" style="1" customWidth="1"/>
    <col min="15634" max="15634" width="12.28515625" style="1" customWidth="1"/>
    <col min="15635" max="15635" width="0.85546875" style="1" customWidth="1"/>
    <col min="15636" max="15636" width="12.28515625" style="1" customWidth="1"/>
    <col min="15637" max="15637" width="1.5703125" style="1" customWidth="1"/>
    <col min="15638" max="15638" width="12.28515625" style="1" customWidth="1"/>
    <col min="15639" max="15639" width="1.5703125" style="1" customWidth="1"/>
    <col min="15640" max="15640" width="12.28515625" style="1" customWidth="1"/>
    <col min="15641" max="15641" width="4.5703125" style="1" customWidth="1"/>
    <col min="15642" max="15642" width="1.42578125" style="1" customWidth="1"/>
    <col min="15643" max="15865" width="13.85546875" style="1"/>
    <col min="15866" max="15866" width="7.85546875" style="1" customWidth="1"/>
    <col min="15867" max="15868" width="2.28515625" style="1" customWidth="1"/>
    <col min="15869" max="15869" width="31.42578125" style="1" customWidth="1"/>
    <col min="15870" max="15870" width="2.28515625" style="1" customWidth="1"/>
    <col min="15871" max="15871" width="2.140625" style="1" customWidth="1"/>
    <col min="15872" max="15872" width="12.28515625" style="1" customWidth="1"/>
    <col min="15873" max="15873" width="1.5703125" style="1" customWidth="1"/>
    <col min="15874" max="15874" width="12.28515625" style="1" customWidth="1"/>
    <col min="15875" max="15875" width="1.5703125" style="1" customWidth="1"/>
    <col min="15876" max="15876" width="12.28515625" style="1" customWidth="1"/>
    <col min="15877" max="15877" width="1.5703125" style="1" customWidth="1"/>
    <col min="15878" max="15878" width="13.5703125" style="1" customWidth="1"/>
    <col min="15879" max="15879" width="0.85546875" style="1" customWidth="1"/>
    <col min="15880" max="15880" width="12.28515625" style="1" customWidth="1"/>
    <col min="15881" max="15881" width="1.5703125" style="1" customWidth="1"/>
    <col min="15882" max="15882" width="12.28515625" style="1" customWidth="1"/>
    <col min="15883" max="15883" width="1.5703125" style="1" customWidth="1"/>
    <col min="15884" max="15884" width="12.28515625" style="1" customWidth="1"/>
    <col min="15885" max="15885" width="0.85546875" style="1" customWidth="1"/>
    <col min="15886" max="15886" width="12.28515625" style="1" customWidth="1"/>
    <col min="15887" max="15887" width="1.5703125" style="1" customWidth="1"/>
    <col min="15888" max="15888" width="12.28515625" style="1" customWidth="1"/>
    <col min="15889" max="15889" width="1.5703125" style="1" customWidth="1"/>
    <col min="15890" max="15890" width="12.28515625" style="1" customWidth="1"/>
    <col min="15891" max="15891" width="0.85546875" style="1" customWidth="1"/>
    <col min="15892" max="15892" width="12.28515625" style="1" customWidth="1"/>
    <col min="15893" max="15893" width="1.5703125" style="1" customWidth="1"/>
    <col min="15894" max="15894" width="12.28515625" style="1" customWidth="1"/>
    <col min="15895" max="15895" width="1.5703125" style="1" customWidth="1"/>
    <col min="15896" max="15896" width="12.28515625" style="1" customWidth="1"/>
    <col min="15897" max="15897" width="4.5703125" style="1" customWidth="1"/>
    <col min="15898" max="15898" width="1.42578125" style="1" customWidth="1"/>
    <col min="15899" max="16121" width="13.85546875" style="1"/>
    <col min="16122" max="16122" width="7.85546875" style="1" customWidth="1"/>
    <col min="16123" max="16124" width="2.28515625" style="1" customWidth="1"/>
    <col min="16125" max="16125" width="31.42578125" style="1" customWidth="1"/>
    <col min="16126" max="16126" width="2.28515625" style="1" customWidth="1"/>
    <col min="16127" max="16127" width="2.140625" style="1" customWidth="1"/>
    <col min="16128" max="16128" width="12.28515625" style="1" customWidth="1"/>
    <col min="16129" max="16129" width="1.5703125" style="1" customWidth="1"/>
    <col min="16130" max="16130" width="12.28515625" style="1" customWidth="1"/>
    <col min="16131" max="16131" width="1.5703125" style="1" customWidth="1"/>
    <col min="16132" max="16132" width="12.28515625" style="1" customWidth="1"/>
    <col min="16133" max="16133" width="1.5703125" style="1" customWidth="1"/>
    <col min="16134" max="16134" width="13.5703125" style="1" customWidth="1"/>
    <col min="16135" max="16135" width="0.85546875" style="1" customWidth="1"/>
    <col min="16136" max="16136" width="12.28515625" style="1" customWidth="1"/>
    <col min="16137" max="16137" width="1.5703125" style="1" customWidth="1"/>
    <col min="16138" max="16138" width="12.28515625" style="1" customWidth="1"/>
    <col min="16139" max="16139" width="1.5703125" style="1" customWidth="1"/>
    <col min="16140" max="16140" width="12.28515625" style="1" customWidth="1"/>
    <col min="16141" max="16141" width="0.85546875" style="1" customWidth="1"/>
    <col min="16142" max="16142" width="12.28515625" style="1" customWidth="1"/>
    <col min="16143" max="16143" width="1.5703125" style="1" customWidth="1"/>
    <col min="16144" max="16144" width="12.28515625" style="1" customWidth="1"/>
    <col min="16145" max="16145" width="1.5703125" style="1" customWidth="1"/>
    <col min="16146" max="16146" width="12.28515625" style="1" customWidth="1"/>
    <col min="16147" max="16147" width="0.85546875" style="1" customWidth="1"/>
    <col min="16148" max="16148" width="12.28515625" style="1" customWidth="1"/>
    <col min="16149" max="16149" width="1.5703125" style="1" customWidth="1"/>
    <col min="16150" max="16150" width="12.28515625" style="1" customWidth="1"/>
    <col min="16151" max="16151" width="1.5703125" style="1" customWidth="1"/>
    <col min="16152" max="16152" width="12.28515625" style="1" customWidth="1"/>
    <col min="16153" max="16153" width="4.5703125" style="1" customWidth="1"/>
    <col min="16154" max="16154" width="1.42578125" style="1" customWidth="1"/>
    <col min="16155" max="16384" width="13.85546875" style="1"/>
  </cols>
  <sheetData>
    <row r="1" spans="1:42" s="732" customFormat="1" ht="15.75">
      <c r="A1" s="731" t="s">
        <v>14</v>
      </c>
      <c r="J1" s="733" t="s">
        <v>15</v>
      </c>
      <c r="K1" s="18" t="s">
        <v>938</v>
      </c>
      <c r="N1" s="733" t="s">
        <v>16</v>
      </c>
      <c r="O1" s="734"/>
      <c r="P1" s="733"/>
      <c r="Q1" s="18"/>
      <c r="V1" s="733"/>
      <c r="W1" s="18"/>
      <c r="AA1" s="735"/>
      <c r="AB1" s="735" t="s">
        <v>2334</v>
      </c>
      <c r="AC1" s="736">
        <f>AK61</f>
        <v>2.7235516044083845E-2</v>
      </c>
      <c r="AE1" s="735" t="s">
        <v>2335</v>
      </c>
      <c r="AF1" s="736">
        <f>AP61</f>
        <v>2.745862205451732E-2</v>
      </c>
    </row>
    <row r="2" spans="1:42" s="732" customFormat="1" ht="30.75" thickBot="1">
      <c r="A2" s="731" t="s">
        <v>1122</v>
      </c>
      <c r="K2" s="16" t="s">
        <v>17</v>
      </c>
      <c r="N2" s="733" t="s">
        <v>18</v>
      </c>
      <c r="O2" s="16" t="s">
        <v>17</v>
      </c>
      <c r="Q2" s="16" t="s">
        <v>17</v>
      </c>
      <c r="W2" s="16" t="s">
        <v>17</v>
      </c>
      <c r="AA2" s="735"/>
      <c r="AB2" s="735" t="s">
        <v>2336</v>
      </c>
      <c r="AC2" s="736">
        <f>AL61</f>
        <v>2.6353379882894264E-2</v>
      </c>
      <c r="AE2" s="782"/>
      <c r="AF2" s="782"/>
      <c r="AG2" s="782"/>
      <c r="AH2" s="782"/>
      <c r="AI2" s="782"/>
      <c r="AJ2" s="782"/>
      <c r="AK2" s="737" t="s">
        <v>2337</v>
      </c>
      <c r="AL2" s="738" t="s">
        <v>2338</v>
      </c>
      <c r="AM2" s="739" t="s">
        <v>2339</v>
      </c>
      <c r="AN2" s="739" t="s">
        <v>2340</v>
      </c>
      <c r="AO2" s="739" t="s">
        <v>2341</v>
      </c>
      <c r="AP2" s="739" t="s">
        <v>2342</v>
      </c>
    </row>
    <row r="3" spans="1:42" s="732" customFormat="1" ht="30.75" thickTop="1">
      <c r="A3" s="20" t="s">
        <v>2009</v>
      </c>
      <c r="AA3" s="735"/>
      <c r="AB3" s="735" t="s">
        <v>2343</v>
      </c>
      <c r="AC3" s="736">
        <f>AM61</f>
        <v>2.560538816605119E-2</v>
      </c>
      <c r="AJ3" s="1833" t="s">
        <v>547</v>
      </c>
      <c r="AK3" s="1834" t="s">
        <v>548</v>
      </c>
      <c r="AL3" s="1834" t="s">
        <v>548</v>
      </c>
      <c r="AM3" s="1834" t="s">
        <v>548</v>
      </c>
      <c r="AN3" s="1834" t="s">
        <v>548</v>
      </c>
      <c r="AO3" s="1835" t="s">
        <v>548</v>
      </c>
      <c r="AP3" s="1836" t="s">
        <v>548</v>
      </c>
    </row>
    <row r="4" spans="1:42" s="732" customFormat="1" ht="13.5" customHeight="1">
      <c r="A4" s="740"/>
      <c r="AA4" s="735"/>
      <c r="AB4" s="735" t="s">
        <v>2344</v>
      </c>
      <c r="AC4" s="736">
        <f>AN61</f>
        <v>2.5487849284115856E-2</v>
      </c>
      <c r="AH4" s="1076" t="s">
        <v>2345</v>
      </c>
      <c r="AJ4" s="1837">
        <v>2010</v>
      </c>
      <c r="AK4" s="1838">
        <f>IFERROR(VLOOKUP($AJ4,'[74]Thru 8.2021 Customer Count'!$A$5:$C$110,3,FALSE),0)</f>
        <v>0.11793402410111074</v>
      </c>
      <c r="AL4" s="1839">
        <f>IFERROR(VLOOKUP($AJ4,'[74]09.2021 Customer Count'!$A$5:$C$118,3,FALSE),0)</f>
        <v>0.1141142372049931</v>
      </c>
      <c r="AM4" s="1839">
        <f>IFERROR(VLOOKUP(AJ4,'[74]10.2021 Customer Count'!$A$5:$C$119,3,FALSE),0)</f>
        <v>0.11087531663455785</v>
      </c>
      <c r="AN4" s="1839">
        <f>IFERROR(VLOOKUP(AJ4,'[74]11.2021 Customer Count'!$A$5:$C$120,3,FALSE),0)</f>
        <v>0.11036635497902901</v>
      </c>
      <c r="AO4" s="1839">
        <f>IFERROR(VLOOKUP(AJ4,'[74]12.2022 Customer Count'!$A$5:$C$124,3,FALSE),0)</f>
        <v>0.10910172118483583</v>
      </c>
      <c r="AP4" s="1840">
        <f>VLOOKUP(AJ4,'[75]01.2022 Customer Count'!$A$5:$C$127,3,FALSE)</f>
        <v>0.11002167570813416</v>
      </c>
    </row>
    <row r="5" spans="1:42" s="732" customFormat="1" ht="15.75" customHeight="1">
      <c r="A5" s="22"/>
      <c r="AA5" s="741"/>
      <c r="AB5" s="735" t="s">
        <v>2346</v>
      </c>
      <c r="AC5" s="736">
        <f>AO61</f>
        <v>2.5195796551631216E-2</v>
      </c>
      <c r="AG5" s="1076" t="s">
        <v>2347</v>
      </c>
      <c r="AH5" s="1076"/>
      <c r="AJ5" s="1837">
        <v>2011</v>
      </c>
      <c r="AK5" s="1838">
        <f>IFERROR(VLOOKUP($AJ5,'[74]Thru 8.2021 Customer Count'!$A$5:$C$110,3,FALSE),0)</f>
        <v>2.6258593497431992E-2</v>
      </c>
      <c r="AL5" s="1839">
        <f>IFERROR(VLOOKUP($AJ5,'[74]09.2021 Customer Count'!$A$5:$C$118,3,FALSE),0)</f>
        <v>2.5408099061102262E-2</v>
      </c>
      <c r="AM5" s="1839">
        <f>IFERROR(VLOOKUP(AJ5,'[74]10.2021 Customer Count'!$A$5:$C$119,3,FALSE),0)</f>
        <v>2.4686937383818934E-2</v>
      </c>
      <c r="AN5" s="1839">
        <f>IFERROR(VLOOKUP(AJ5,'[74]11.2021 Customer Count'!$A$5:$C$120,3,FALSE),0)</f>
        <v>2.4573614555057882E-2</v>
      </c>
      <c r="AO5" s="1839">
        <f>IFERROR(VLOOKUP(AJ5,'[74]12.2022 Customer Count'!$A$5:$C$124,3,FALSE),0)</f>
        <v>2.4292037588801194E-2</v>
      </c>
      <c r="AP5" s="1840">
        <f>VLOOKUP(AJ5,'[75]01.2022 Customer Count'!$A$5:$C$127,3,FALSE)</f>
        <v>2.3837435490762195E-2</v>
      </c>
    </row>
    <row r="6" spans="1:42" s="732" customFormat="1" ht="16.5" customHeight="1" thickBot="1">
      <c r="A6" s="236"/>
      <c r="B6" s="236"/>
      <c r="C6" s="236"/>
      <c r="D6" s="236"/>
      <c r="E6" s="236"/>
      <c r="F6" s="236"/>
      <c r="G6" s="24"/>
      <c r="H6" s="742"/>
      <c r="I6" s="24"/>
      <c r="J6" s="742"/>
      <c r="K6" s="26"/>
      <c r="L6" s="742"/>
      <c r="M6" s="24"/>
      <c r="N6" s="742"/>
      <c r="O6" s="24"/>
      <c r="P6" s="742"/>
      <c r="Q6" s="26"/>
      <c r="R6" s="742"/>
      <c r="S6" s="24"/>
      <c r="T6" s="742"/>
      <c r="U6" s="24"/>
      <c r="V6" s="742"/>
      <c r="W6" s="26"/>
      <c r="X6" s="742"/>
      <c r="Y6" s="24"/>
      <c r="Z6" s="742"/>
      <c r="AA6" s="24"/>
      <c r="AB6" s="743"/>
      <c r="AC6" s="26"/>
      <c r="AD6" s="742"/>
      <c r="AE6" s="24"/>
      <c r="AF6" s="744" t="s">
        <v>2348</v>
      </c>
      <c r="AG6" s="1077"/>
      <c r="AH6" s="1077"/>
      <c r="AJ6" s="1837">
        <v>2012</v>
      </c>
      <c r="AK6" s="1838">
        <f>IFERROR(VLOOKUP($AJ6,'[74]Thru 8.2021 Customer Count'!$A$5:$C$110,3,FALSE),0)</f>
        <v>2.1776581309050268E-2</v>
      </c>
      <c r="AL6" s="1839">
        <f>IFERROR(VLOOKUP($AJ6,'[74]09.2021 Customer Count'!$A$5:$C$118,3,FALSE),0)</f>
        <v>2.1071255593587232E-2</v>
      </c>
      <c r="AM6" s="1839">
        <f>IFERROR(VLOOKUP(AJ6,'[74]10.2021 Customer Count'!$A$5:$C$119,3,FALSE),0)</f>
        <v>2.0473187159195751E-2</v>
      </c>
      <c r="AN6" s="1839">
        <f>IFERROR(VLOOKUP(AJ6,'[74]11.2021 Customer Count'!$A$5:$C$120,3,FALSE),0)</f>
        <v>2.0379207114341942E-2</v>
      </c>
      <c r="AO6" s="1839">
        <f>IFERROR(VLOOKUP(AJ6,'[74]12.2022 Customer Count'!$A$5:$C$124,3,FALSE),0)</f>
        <v>2.0145691800544038E-2</v>
      </c>
      <c r="AP6" s="1840">
        <f>VLOOKUP(AJ6,'[75]01.2022 Customer Count'!$A$5:$C$127,3,FALSE)</f>
        <v>1.9812161646867013E-2</v>
      </c>
    </row>
    <row r="7" spans="1:42" s="732" customFormat="1" ht="16.5" thickBot="1">
      <c r="A7" s="236"/>
      <c r="B7" s="236"/>
      <c r="C7" s="236"/>
      <c r="D7" s="236"/>
      <c r="E7" s="236"/>
      <c r="F7" s="236"/>
      <c r="G7" s="745">
        <v>44290</v>
      </c>
      <c r="H7" s="29"/>
      <c r="I7" s="745">
        <v>44321</v>
      </c>
      <c r="J7" s="29"/>
      <c r="K7" s="745">
        <v>44353</v>
      </c>
      <c r="L7" s="29"/>
      <c r="M7" s="745">
        <v>44384</v>
      </c>
      <c r="N7" s="29"/>
      <c r="O7" s="745">
        <v>44416</v>
      </c>
      <c r="P7" s="29"/>
      <c r="Q7" s="745">
        <v>44448</v>
      </c>
      <c r="R7" s="29"/>
      <c r="S7" s="745">
        <v>44479</v>
      </c>
      <c r="T7" s="29"/>
      <c r="U7" s="745">
        <v>44511</v>
      </c>
      <c r="V7" s="29"/>
      <c r="W7" s="745">
        <v>44542</v>
      </c>
      <c r="X7" s="29"/>
      <c r="Y7" s="745">
        <v>44562</v>
      </c>
      <c r="Z7" s="29"/>
      <c r="AA7" s="745">
        <v>44594</v>
      </c>
      <c r="AB7" s="29"/>
      <c r="AC7" s="745">
        <v>44623</v>
      </c>
      <c r="AD7" s="29"/>
      <c r="AE7" s="746" t="s">
        <v>20</v>
      </c>
      <c r="AJ7" s="1837">
        <v>2013</v>
      </c>
      <c r="AK7" s="1838">
        <f>IFERROR(VLOOKUP($AJ7,'[74]Thru 8.2021 Customer Count'!$A$5:$C$110,3,FALSE),0)</f>
        <v>5.033492771487464E-2</v>
      </c>
      <c r="AL7" s="1839">
        <f>IFERROR(VLOOKUP($AJ7,'[74]09.2021 Customer Count'!$A$5:$C$118,3,FALSE),0)</f>
        <v>4.8704620441229286E-2</v>
      </c>
      <c r="AM7" s="1839">
        <f>IFERROR(VLOOKUP(AJ7,'[74]10.2021 Customer Count'!$A$5:$C$119,3,FALSE),0)</f>
        <v>4.7322230295300714E-2</v>
      </c>
      <c r="AN7" s="1839">
        <f>IFERROR(VLOOKUP(AJ7,'[74]11.2021 Customer Count'!$A$5:$C$120,3,FALSE),0)</f>
        <v>4.7105002499200722E-2</v>
      </c>
      <c r="AO7" s="1839">
        <f>IFERROR(VLOOKUP(AJ7,'[74]12.2022 Customer Count'!$A$5:$C$124,3,FALSE),0)</f>
        <v>4.6565249437252064E-2</v>
      </c>
      <c r="AP7" s="1840">
        <f>VLOOKUP(AJ7,'[75]01.2022 Customer Count'!$A$5:$C$127,3,FALSE)</f>
        <v>4.6481922136110909E-2</v>
      </c>
    </row>
    <row r="8" spans="1:42" s="236" customFormat="1" ht="16.5" thickTop="1">
      <c r="G8" s="1813"/>
      <c r="H8" s="1814"/>
      <c r="I8" s="1815"/>
      <c r="J8" s="1814"/>
      <c r="K8" s="1815"/>
      <c r="L8" s="1814"/>
      <c r="M8" s="1815"/>
      <c r="N8" s="1814"/>
      <c r="O8" s="1815"/>
      <c r="P8" s="1814"/>
      <c r="Q8" s="1815"/>
      <c r="R8" s="1814"/>
      <c r="S8" s="1815"/>
      <c r="T8" s="1814"/>
      <c r="U8" s="1815"/>
      <c r="V8" s="1814"/>
      <c r="W8" s="1815"/>
      <c r="X8" s="1814"/>
      <c r="Y8" s="1815"/>
      <c r="Z8" s="1814"/>
      <c r="AA8" s="1815"/>
      <c r="AB8" s="1814"/>
      <c r="AC8" s="1815"/>
      <c r="AD8" s="1814"/>
      <c r="AE8" s="1815"/>
      <c r="AF8" s="1816"/>
      <c r="AG8" s="1816"/>
      <c r="AH8" s="1817"/>
      <c r="AJ8" s="1837">
        <v>2014</v>
      </c>
      <c r="AK8" s="1838">
        <f>IFERROR(VLOOKUP($AJ8,'[74]Thru 8.2021 Customer Count'!$A$5:$C$110,3,FALSE),0)</f>
        <v>5.5049462258767276E-5</v>
      </c>
      <c r="AL8" s="1839">
        <f>IFERROR(VLOOKUP($AJ8,'[74]09.2021 Customer Count'!$A$5:$C$118,3,FALSE),0)</f>
        <v>5.3266455054721723E-5</v>
      </c>
      <c r="AM8" s="1839">
        <f>IFERROR(VLOOKUP(AJ8,'[74]10.2021 Customer Count'!$A$5:$C$119,3,FALSE),0)</f>
        <v>5.1754585710312227E-5</v>
      </c>
      <c r="AN8" s="1839">
        <f>IFERROR(VLOOKUP(AJ8,'[74]11.2021 Customer Count'!$A$5:$C$120,3,FALSE),0)</f>
        <v>5.151701164582365E-5</v>
      </c>
      <c r="AO8" s="1839">
        <f>IFERROR(VLOOKUP(AJ8,'[74]12.2022 Customer Count'!$A$5:$C$124,3,FALSE),0)</f>
        <v>5.092670354046372E-5</v>
      </c>
      <c r="AP8" s="1840">
        <f>VLOOKUP(AJ8,'[75]01.2022 Customer Count'!$A$5:$C$127,3,FALSE)</f>
        <v>4.382564251519023E-5</v>
      </c>
    </row>
    <row r="9" spans="1:42" ht="15">
      <c r="A9" s="234">
        <v>70036</v>
      </c>
      <c r="B9" s="234" t="s">
        <v>66</v>
      </c>
      <c r="C9" s="235"/>
      <c r="D9" s="3"/>
      <c r="E9" s="236"/>
      <c r="F9" s="6"/>
      <c r="G9" s="1078">
        <v>2139.06</v>
      </c>
      <c r="H9" s="1079"/>
      <c r="I9" s="1080">
        <v>9207.6299999999992</v>
      </c>
      <c r="J9" s="1079"/>
      <c r="K9" s="1080">
        <v>2111.14</v>
      </c>
      <c r="L9" s="1079"/>
      <c r="M9" s="1080">
        <v>3827.63</v>
      </c>
      <c r="N9" s="1079"/>
      <c r="O9" s="1080">
        <v>4677.63</v>
      </c>
      <c r="P9" s="1079"/>
      <c r="Q9" s="1080">
        <v>2125.44</v>
      </c>
      <c r="R9" s="1079"/>
      <c r="S9" s="1080">
        <v>2077.63</v>
      </c>
      <c r="T9" s="1079"/>
      <c r="U9" s="1080">
        <v>2077.63</v>
      </c>
      <c r="V9" s="1079"/>
      <c r="W9" s="1080">
        <v>2077.63</v>
      </c>
      <c r="X9" s="1079"/>
      <c r="Y9" s="1080">
        <v>-137910.17000000001</v>
      </c>
      <c r="Z9" s="1079"/>
      <c r="AA9" s="1080">
        <v>6051.86</v>
      </c>
      <c r="AB9" s="1079"/>
      <c r="AC9" s="1080">
        <v>2626.38</v>
      </c>
      <c r="AD9" s="1079"/>
      <c r="AE9" s="1080">
        <f t="shared" ref="AE9:AE47" si="0">AC9+AA9+Y9+W9+U9+S9+Q9+O9+M9+K9+I9+G9</f>
        <v>-98910.50999999998</v>
      </c>
      <c r="AF9" s="1239">
        <f>(SUM(G9:O9)*$AC$1)+(Q9*$AC$2)+(S9*$AC$3)+(U9*$AC$4)+(W9*$AC$5)+(SUM(Z9:AC9)*$AF$1)</f>
        <v>1050.9815157825067</v>
      </c>
      <c r="AG9" s="1818"/>
      <c r="AH9" s="1819">
        <f>AF9+AG9</f>
        <v>1050.9815157825067</v>
      </c>
      <c r="AJ9" s="1837">
        <v>2015</v>
      </c>
      <c r="AK9" s="1838">
        <f>IFERROR(VLOOKUP($AJ9,'[74]Thru 8.2021 Customer Count'!$A$5:$C$110,3,FALSE),0)</f>
        <v>0</v>
      </c>
      <c r="AL9" s="1839">
        <f>IFERROR(VLOOKUP($AJ9,'[74]09.2021 Customer Count'!$A$5:$C$118,3,FALSE),0)</f>
        <v>0</v>
      </c>
      <c r="AM9" s="1839">
        <f>IFERROR(VLOOKUP(AJ9,'[74]10.2021 Customer Count'!$A$5:$C$119,3,FALSE),0)</f>
        <v>0</v>
      </c>
      <c r="AN9" s="1839">
        <f>IFERROR(VLOOKUP(AJ9,'[74]11.2021 Customer Count'!$A$5:$C$120,3,FALSE),0)</f>
        <v>0</v>
      </c>
      <c r="AO9" s="1839">
        <f>IFERROR(VLOOKUP(AJ9,'[74]12.2022 Customer Count'!$A$5:$C$124,3,FALSE),0)</f>
        <v>0</v>
      </c>
      <c r="AP9" s="1366">
        <f>VLOOKUP(AJ9,'[75]01.2022 Customer Count'!$A$5:$C$127,3,FALSE)</f>
        <v>0</v>
      </c>
    </row>
    <row r="10" spans="1:42" ht="15">
      <c r="A10" s="234">
        <v>70086</v>
      </c>
      <c r="B10" s="234" t="s">
        <v>72</v>
      </c>
      <c r="C10" s="235"/>
      <c r="D10" s="3"/>
      <c r="E10" s="236"/>
      <c r="F10" s="6"/>
      <c r="G10" s="1078">
        <v>198.29</v>
      </c>
      <c r="H10" s="1079"/>
      <c r="I10" s="1080">
        <v>2442.29</v>
      </c>
      <c r="J10" s="1079"/>
      <c r="K10" s="1080">
        <v>-11.09</v>
      </c>
      <c r="L10" s="1079"/>
      <c r="M10" s="1080">
        <v>1665.21</v>
      </c>
      <c r="N10" s="1079"/>
      <c r="O10" s="1080">
        <v>2403.3200000000002</v>
      </c>
      <c r="P10" s="1079"/>
      <c r="Q10" s="1080">
        <v>527.33000000000004</v>
      </c>
      <c r="R10" s="1079"/>
      <c r="S10" s="1080">
        <v>829.14</v>
      </c>
      <c r="T10" s="1079"/>
      <c r="U10" s="1080">
        <v>645.95000000000005</v>
      </c>
      <c r="V10" s="1079"/>
      <c r="W10" s="1080">
        <v>499.34</v>
      </c>
      <c r="X10" s="1079"/>
      <c r="Y10" s="1080">
        <v>739.95</v>
      </c>
      <c r="Z10" s="1079"/>
      <c r="AA10" s="1080">
        <v>3461.74</v>
      </c>
      <c r="AB10" s="1079"/>
      <c r="AC10" s="1080">
        <v>9426.43</v>
      </c>
      <c r="AD10" s="1079"/>
      <c r="AE10" s="1080">
        <f t="shared" si="0"/>
        <v>22827.9</v>
      </c>
      <c r="AF10" s="1239">
        <f t="shared" ref="AF10:AF47" si="1">(SUM(G10:O10)*$AC$1)+(Q10*$AC$2)+(S10*$AC$3)+(U10*$AC$4)+(W10*$AC$5)+(SUM(Y10:AC10)*$AF$1)</f>
        <v>620.80595222001557</v>
      </c>
      <c r="AG10" s="1818"/>
      <c r="AH10" s="1819">
        <f t="shared" ref="AH10:AH47" si="2">AF10+AG10</f>
        <v>620.80595222001557</v>
      </c>
      <c r="AJ10" s="1837">
        <v>2021</v>
      </c>
      <c r="AK10" s="1838">
        <f>IFERROR(VLOOKUP($AJ10,'[74]Thru 8.2021 Customer Count'!$A$5:$C$110,3,FALSE),0)</f>
        <v>0</v>
      </c>
      <c r="AL10" s="1839">
        <f>IFERROR(VLOOKUP($AJ10,'[74]09.2021 Customer Count'!$A$5:$C$118,3,FALSE),0)</f>
        <v>0</v>
      </c>
      <c r="AM10" s="1839">
        <f>IFERROR(VLOOKUP(AJ10,'[74]10.2021 Customer Count'!$A$5:$C$119,3,FALSE),0)</f>
        <v>2.8383141751338995E-2</v>
      </c>
      <c r="AN10" s="1839">
        <f>IFERROR(VLOOKUP(AJ10,'[74]11.2021 Customer Count'!$A$5:$C$120,3,FALSE),0)</f>
        <v>2.8252851879315585E-2</v>
      </c>
      <c r="AO10" s="1839">
        <f>IFERROR(VLOOKUP(AJ10,'[74]12.2022 Customer Count'!$A$5:$C$124,3,FALSE),0)</f>
        <v>2.7929116341653716E-2</v>
      </c>
      <c r="AP10" s="1366">
        <f>VLOOKUP(AJ10,'[75]01.2022 Customer Count'!$A$5:$C$127,3,FALSE)</f>
        <v>2.7293718789460165E-2</v>
      </c>
    </row>
    <row r="11" spans="1:42" ht="15">
      <c r="A11" s="234">
        <v>70090</v>
      </c>
      <c r="B11" s="234" t="s">
        <v>209</v>
      </c>
      <c r="C11" s="235"/>
      <c r="D11" s="3"/>
      <c r="E11" s="236"/>
      <c r="F11" s="6"/>
      <c r="G11" s="1078">
        <v>0</v>
      </c>
      <c r="H11" s="1079"/>
      <c r="I11" s="1080">
        <v>114.24</v>
      </c>
      <c r="J11" s="1079"/>
      <c r="K11" s="1080">
        <v>0</v>
      </c>
      <c r="L11" s="1079"/>
      <c r="M11" s="1080">
        <v>0</v>
      </c>
      <c r="N11" s="1079"/>
      <c r="O11" s="1080">
        <v>0</v>
      </c>
      <c r="P11" s="1079"/>
      <c r="Q11" s="1080">
        <v>0</v>
      </c>
      <c r="R11" s="1079"/>
      <c r="S11" s="1080">
        <v>0</v>
      </c>
      <c r="T11" s="1079"/>
      <c r="U11" s="1080">
        <v>0</v>
      </c>
      <c r="V11" s="1079"/>
      <c r="W11" s="1080">
        <v>0</v>
      </c>
      <c r="X11" s="1079"/>
      <c r="Y11" s="1080">
        <v>0</v>
      </c>
      <c r="Z11" s="1079"/>
      <c r="AA11" s="1080">
        <v>102.96</v>
      </c>
      <c r="AB11" s="1079"/>
      <c r="AC11" s="1080">
        <v>0</v>
      </c>
      <c r="AD11" s="1079"/>
      <c r="AE11" s="1080">
        <f t="shared" si="0"/>
        <v>217.2</v>
      </c>
      <c r="AF11" s="1239">
        <f t="shared" si="1"/>
        <v>5.9385250796092413</v>
      </c>
      <c r="AG11" s="1818"/>
      <c r="AH11" s="1819">
        <f t="shared" si="2"/>
        <v>5.9385250796092413</v>
      </c>
      <c r="AJ11" s="1837">
        <v>2025</v>
      </c>
      <c r="AK11" s="1838">
        <f>IFERROR(VLOOKUP($AJ11,'[74]Thru 8.2021 Customer Count'!$A$5:$C$110,3,FALSE),0)</f>
        <v>1.9899969789661841E-3</v>
      </c>
      <c r="AL11" s="1839">
        <f>IFERROR(VLOOKUP($AJ11,'[74]09.2021 Customer Count'!$A$5:$C$118,3,FALSE),0)</f>
        <v>1.9255425991423286E-3</v>
      </c>
      <c r="AM11" s="1839">
        <f>IFERROR(VLOOKUP(AJ11,'[74]10.2021 Customer Count'!$A$5:$C$119,3,FALSE),0)</f>
        <v>1.8708896506026301E-3</v>
      </c>
      <c r="AN11" s="1839">
        <f>IFERROR(VLOOKUP(AJ11,'[74]11.2021 Customer Count'!$A$5:$C$120,3,FALSE),0)</f>
        <v>1.8623015254654461E-3</v>
      </c>
      <c r="AO11" s="1839">
        <f>IFERROR(VLOOKUP(AJ11,'[74]12.2022 Customer Count'!$A$5:$C$124,3,FALSE),0)</f>
        <v>1.8409623279851213E-3</v>
      </c>
      <c r="AP11" s="1366">
        <f>VLOOKUP(AJ11,'[75]01.2022 Customer Count'!$A$5:$C$127,3,FALSE)</f>
        <v>1.8822742056524074E-3</v>
      </c>
    </row>
    <row r="12" spans="1:42" ht="15">
      <c r="A12" s="234">
        <v>70095</v>
      </c>
      <c r="B12" s="234" t="s">
        <v>99</v>
      </c>
      <c r="C12" s="235"/>
      <c r="D12" s="3"/>
      <c r="E12" s="236"/>
      <c r="F12" s="6"/>
      <c r="G12" s="1078">
        <v>6754.57</v>
      </c>
      <c r="H12" s="1079"/>
      <c r="I12" s="1080">
        <v>5232.1099999999997</v>
      </c>
      <c r="J12" s="1079"/>
      <c r="K12" s="1080">
        <v>22920.77</v>
      </c>
      <c r="L12" s="1079"/>
      <c r="M12" s="1080">
        <v>30823.15</v>
      </c>
      <c r="N12" s="1079"/>
      <c r="O12" s="1080">
        <v>13837.98</v>
      </c>
      <c r="P12" s="1079"/>
      <c r="Q12" s="1080">
        <v>14404.31</v>
      </c>
      <c r="R12" s="1079"/>
      <c r="S12" s="1080">
        <v>24853.31</v>
      </c>
      <c r="T12" s="1079"/>
      <c r="U12" s="1080">
        <v>29109.040000000001</v>
      </c>
      <c r="V12" s="1079"/>
      <c r="W12" s="1080">
        <v>64023.03</v>
      </c>
      <c r="X12" s="1079"/>
      <c r="Y12" s="1080">
        <v>6877.57</v>
      </c>
      <c r="Z12" s="1079"/>
      <c r="AA12" s="1080">
        <v>22280.16</v>
      </c>
      <c r="AB12" s="1079"/>
      <c r="AC12" s="1080">
        <v>12642.15</v>
      </c>
      <c r="AD12" s="1079"/>
      <c r="AE12" s="1080">
        <f t="shared" si="0"/>
        <v>253758.15</v>
      </c>
      <c r="AF12" s="1239">
        <f t="shared" si="1"/>
        <v>6685.8774100056035</v>
      </c>
      <c r="AG12" s="1818">
        <f>-AF12</f>
        <v>-6685.8774100056035</v>
      </c>
      <c r="AH12" s="1819">
        <f t="shared" si="2"/>
        <v>0</v>
      </c>
      <c r="AJ12" s="1837">
        <v>2031</v>
      </c>
      <c r="AK12" s="1838">
        <f>IFERROR(VLOOKUP($AJ12,'[74]Thru 8.2021 Customer Count'!$A$5:$C$110,3,FALSE),0)</f>
        <v>2.374521581012499E-4</v>
      </c>
      <c r="AL12" s="1839">
        <f>IFERROR(VLOOKUP($AJ12,'[74]09.2021 Customer Count'!$A$5:$C$118,3,FALSE),0)</f>
        <v>2.2976127628081459E-4</v>
      </c>
      <c r="AM12" s="1839">
        <f>IFERROR(VLOOKUP(AJ12,'[74]10.2021 Customer Count'!$A$5:$C$119,3,FALSE),0)</f>
        <v>2.2323992940716768E-4</v>
      </c>
      <c r="AN12" s="1839">
        <f>IFERROR(VLOOKUP(AJ12,'[74]11.2021 Customer Count'!$A$5:$C$120,3,FALSE),0)</f>
        <v>2.2221516963646321E-4</v>
      </c>
      <c r="AO12" s="1839">
        <f>IFERROR(VLOOKUP(AJ12,'[74]12.2022 Customer Count'!$A$5:$C$124,3,FALSE),0)</f>
        <v>2.1966891527155246E-4</v>
      </c>
      <c r="AP12" s="1366">
        <f>VLOOKUP(AJ12,'[75]01.2022 Customer Count'!$A$5:$C$127,3,FALSE)</f>
        <v>2.1987102007620861E-4</v>
      </c>
    </row>
    <row r="13" spans="1:42" ht="15">
      <c r="A13" s="234">
        <v>70105</v>
      </c>
      <c r="B13" s="234" t="s">
        <v>100</v>
      </c>
      <c r="C13" s="235"/>
      <c r="D13" s="3"/>
      <c r="E13" s="236"/>
      <c r="F13" s="6"/>
      <c r="G13" s="1078">
        <v>45088.19</v>
      </c>
      <c r="H13" s="1079"/>
      <c r="I13" s="1080">
        <v>5901.85</v>
      </c>
      <c r="J13" s="1079"/>
      <c r="K13" s="1080">
        <v>0</v>
      </c>
      <c r="L13" s="1079"/>
      <c r="M13" s="1080">
        <v>0</v>
      </c>
      <c r="N13" s="1079"/>
      <c r="O13" s="1080">
        <v>0</v>
      </c>
      <c r="P13" s="1079"/>
      <c r="Q13" s="1080">
        <v>0</v>
      </c>
      <c r="R13" s="1079"/>
      <c r="S13" s="1080">
        <v>0</v>
      </c>
      <c r="T13" s="1079"/>
      <c r="U13" s="1080">
        <v>0</v>
      </c>
      <c r="V13" s="1079"/>
      <c r="W13" s="1080">
        <v>0</v>
      </c>
      <c r="X13" s="1079"/>
      <c r="Y13" s="1080">
        <v>0</v>
      </c>
      <c r="Z13" s="1079"/>
      <c r="AA13" s="1080">
        <v>0</v>
      </c>
      <c r="AB13" s="1079"/>
      <c r="AC13" s="1080">
        <v>0</v>
      </c>
      <c r="AD13" s="1079"/>
      <c r="AE13" s="1080">
        <f t="shared" si="0"/>
        <v>50990.04</v>
      </c>
      <c r="AF13" s="1239">
        <f t="shared" si="1"/>
        <v>1388.740052508477</v>
      </c>
      <c r="AG13" s="1818"/>
      <c r="AH13" s="1819">
        <f t="shared" si="2"/>
        <v>1388.740052508477</v>
      </c>
      <c r="AJ13" s="1837">
        <v>2032</v>
      </c>
      <c r="AK13" s="1838">
        <f>IFERROR(VLOOKUP($AJ13,'[74]Thru 8.2021 Customer Count'!$A$5:$C$110,3,FALSE),0)</f>
        <v>2.5684271495657687E-2</v>
      </c>
      <c r="AL13" s="1839">
        <f>IFERROR(VLOOKUP($AJ13,'[74]09.2021 Customer Count'!$A$5:$C$118,3,FALSE),0)</f>
        <v>2.4852378880755241E-2</v>
      </c>
      <c r="AM13" s="1839">
        <f>IFERROR(VLOOKUP(AJ13,'[74]10.2021 Customer Count'!$A$5:$C$119,3,FALSE),0)</f>
        <v>2.4146990288124781E-2</v>
      </c>
      <c r="AN13" s="1839">
        <f>IFERROR(VLOOKUP(AJ13,'[74]11.2021 Customer Count'!$A$5:$C$120,3,FALSE),0)</f>
        <v>2.403614603057384E-2</v>
      </c>
      <c r="AO13" s="1839">
        <f>IFERROR(VLOOKUP(AJ13,'[74]12.2022 Customer Count'!$A$5:$C$124,3,FALSE),0)</f>
        <v>2.3760727651864117E-2</v>
      </c>
      <c r="AP13" s="1366">
        <f>VLOOKUP(AJ13,'[75]01.2022 Customer Count'!$A$5:$C$127,3,FALSE)</f>
        <v>2.441236849596147E-2</v>
      </c>
    </row>
    <row r="14" spans="1:42" ht="15">
      <c r="A14" s="234">
        <v>70110</v>
      </c>
      <c r="B14" s="234" t="s">
        <v>126</v>
      </c>
      <c r="C14" s="235"/>
      <c r="D14" s="3"/>
      <c r="E14" s="236"/>
      <c r="F14" s="6"/>
      <c r="G14" s="1078">
        <v>5000</v>
      </c>
      <c r="H14" s="1079"/>
      <c r="I14" s="1080">
        <v>3200</v>
      </c>
      <c r="J14" s="1079"/>
      <c r="K14" s="1080">
        <v>0</v>
      </c>
      <c r="L14" s="1079"/>
      <c r="M14" s="1080">
        <v>0</v>
      </c>
      <c r="N14" s="1079"/>
      <c r="O14" s="1080">
        <v>0</v>
      </c>
      <c r="P14" s="1079"/>
      <c r="Q14" s="1080">
        <v>12547.5</v>
      </c>
      <c r="R14" s="1079"/>
      <c r="S14" s="1080">
        <v>0</v>
      </c>
      <c r="T14" s="1079"/>
      <c r="U14" s="1080">
        <v>0</v>
      </c>
      <c r="V14" s="1079"/>
      <c r="W14" s="1080">
        <v>0</v>
      </c>
      <c r="X14" s="1079"/>
      <c r="Y14" s="1080">
        <v>0</v>
      </c>
      <c r="Z14" s="1079"/>
      <c r="AA14" s="1080">
        <v>0</v>
      </c>
      <c r="AB14" s="1079"/>
      <c r="AC14" s="1080">
        <v>0</v>
      </c>
      <c r="AD14" s="1079"/>
      <c r="AE14" s="1080">
        <f t="shared" si="0"/>
        <v>20747.5</v>
      </c>
      <c r="AF14" s="1239">
        <f t="shared" si="1"/>
        <v>554.00026564210339</v>
      </c>
      <c r="AG14" s="1818">
        <f>-AF14</f>
        <v>-554.00026564210339</v>
      </c>
      <c r="AH14" s="1819">
        <f t="shared" si="2"/>
        <v>0</v>
      </c>
      <c r="AJ14" s="1837">
        <v>2040</v>
      </c>
      <c r="AK14" s="1838">
        <f>IFERROR(VLOOKUP($AJ14,'[74]Thru 8.2021 Customer Count'!$A$5:$C$110,3,FALSE),0)</f>
        <v>6.8622852057496162E-3</v>
      </c>
      <c r="AL14" s="1839">
        <f>IFERROR(VLOOKUP($AJ14,'[74]09.2021 Customer Count'!$A$5:$C$118,3,FALSE),0)</f>
        <v>6.6400213823438184E-3</v>
      </c>
      <c r="AM14" s="1839">
        <f>IFERROR(VLOOKUP(AJ14,'[74]10.2021 Customer Count'!$A$5:$C$119,3,FALSE),0)</f>
        <v>6.4515567142168322E-3</v>
      </c>
      <c r="AN14" s="1839">
        <f>IFERROR(VLOOKUP(AJ14,'[74]11.2021 Customer Count'!$A$5:$C$120,3,FALSE),0)</f>
        <v>6.4219415114316293E-3</v>
      </c>
      <c r="AO14" s="1839">
        <f>IFERROR(VLOOKUP(AJ14,'[74]12.2022 Customer Count'!$A$5:$C$124,3,FALSE),0)</f>
        <v>6.3483556413425823E-3</v>
      </c>
      <c r="AP14" s="1366">
        <f>VLOOKUP(AJ14,'[75]01.2022 Customer Count'!$A$5:$C$127,3,FALSE)</f>
        <v>6.4022578447190609E-3</v>
      </c>
    </row>
    <row r="15" spans="1:42" ht="15">
      <c r="A15" s="234">
        <v>70147</v>
      </c>
      <c r="B15" s="234" t="s">
        <v>128</v>
      </c>
      <c r="C15" s="235"/>
      <c r="D15" s="3"/>
      <c r="E15" s="236"/>
      <c r="F15" s="747"/>
      <c r="G15" s="1078">
        <v>901.49</v>
      </c>
      <c r="H15" s="1079"/>
      <c r="I15" s="1080">
        <v>1626.64</v>
      </c>
      <c r="J15" s="1079"/>
      <c r="K15" s="1080">
        <v>1742.91</v>
      </c>
      <c r="L15" s="1079"/>
      <c r="M15" s="1080">
        <v>1452.05</v>
      </c>
      <c r="N15" s="1079"/>
      <c r="O15" s="1080">
        <v>1277.25</v>
      </c>
      <c r="P15" s="1079"/>
      <c r="Q15" s="1080">
        <v>1119.25</v>
      </c>
      <c r="R15" s="1079"/>
      <c r="S15" s="1080">
        <v>2129.25</v>
      </c>
      <c r="T15" s="1079"/>
      <c r="U15" s="1080">
        <v>1593.25</v>
      </c>
      <c r="V15" s="1079"/>
      <c r="W15" s="1080">
        <v>1369.25</v>
      </c>
      <c r="X15" s="1079"/>
      <c r="Y15" s="1080">
        <v>1297.25</v>
      </c>
      <c r="Z15" s="1079"/>
      <c r="AA15" s="1080">
        <v>1345.07</v>
      </c>
      <c r="AB15" s="1079"/>
      <c r="AC15" s="1080">
        <v>1471.93</v>
      </c>
      <c r="AD15" s="1079"/>
      <c r="AE15" s="1080">
        <f t="shared" si="0"/>
        <v>17325.59</v>
      </c>
      <c r="AF15" s="1239">
        <f t="shared" si="1"/>
        <v>462.7536616585723</v>
      </c>
      <c r="AG15" s="1818"/>
      <c r="AH15" s="1819">
        <f t="shared" si="2"/>
        <v>462.7536616585723</v>
      </c>
      <c r="AJ15" s="1837">
        <v>2041</v>
      </c>
      <c r="AK15" s="1838">
        <f>IFERROR(VLOOKUP($AJ15,'[74]Thru 8.2021 Customer Count'!$A$5:$C$110,3,FALSE),0)</f>
        <v>1.8667519142077501E-3</v>
      </c>
      <c r="AL15" s="1839">
        <f>IFERROR(VLOOKUP($AJ15,'[74]09.2021 Customer Count'!$A$5:$C$118,3,FALSE),0)</f>
        <v>1.8062893415571307E-3</v>
      </c>
      <c r="AM15" s="1839">
        <f>IFERROR(VLOOKUP(AJ15,'[74]10.2021 Customer Count'!$A$5:$C$119,3,FALSE),0)</f>
        <v>1.755021175131782E-3</v>
      </c>
      <c r="AN15" s="1839">
        <f>IFERROR(VLOOKUP(AJ15,'[74]11.2021 Customer Count'!$A$5:$C$120,3,FALSE),0)</f>
        <v>1.7469649322285274E-3</v>
      </c>
      <c r="AO15" s="1839">
        <f>IFERROR(VLOOKUP(AJ15,'[74]12.2022 Customer Count'!$A$5:$C$124,3,FALSE),0)</f>
        <v>1.7269473200587099E-3</v>
      </c>
      <c r="AP15" s="1366">
        <f>VLOOKUP(AJ15,'[75]01.2022 Customer Count'!$A$5:$C$127,3,FALSE)</f>
        <v>1.7857092306189375E-3</v>
      </c>
    </row>
    <row r="16" spans="1:42" ht="15">
      <c r="A16" s="234">
        <v>70165</v>
      </c>
      <c r="B16" s="234" t="s">
        <v>89</v>
      </c>
      <c r="C16" s="235"/>
      <c r="D16" s="3"/>
      <c r="E16" s="236"/>
      <c r="F16" s="747"/>
      <c r="G16" s="1078">
        <v>2260.94</v>
      </c>
      <c r="H16" s="1079"/>
      <c r="I16" s="1080">
        <v>2315.15</v>
      </c>
      <c r="J16" s="1079"/>
      <c r="K16" s="1080">
        <v>2216.1799999999998</v>
      </c>
      <c r="L16" s="1079"/>
      <c r="M16" s="1080">
        <v>2049.14</v>
      </c>
      <c r="N16" s="1079"/>
      <c r="O16" s="1080">
        <v>2626.3</v>
      </c>
      <c r="P16" s="1079"/>
      <c r="Q16" s="1080">
        <v>4162.03</v>
      </c>
      <c r="R16" s="1079"/>
      <c r="S16" s="1080">
        <v>2540.71</v>
      </c>
      <c r="T16" s="1079"/>
      <c r="U16" s="1080">
        <v>1983.39</v>
      </c>
      <c r="V16" s="1079"/>
      <c r="W16" s="1080">
        <v>2534.02</v>
      </c>
      <c r="X16" s="1079"/>
      <c r="Y16" s="1080">
        <v>2274.41</v>
      </c>
      <c r="Z16" s="1079"/>
      <c r="AA16" s="1080">
        <v>2434.13</v>
      </c>
      <c r="AB16" s="1079"/>
      <c r="AC16" s="1080">
        <v>2267.2600000000002</v>
      </c>
      <c r="AD16" s="1079"/>
      <c r="AE16" s="1080">
        <f t="shared" si="0"/>
        <v>29663.659999999996</v>
      </c>
      <c r="AF16" s="1239">
        <f t="shared" si="1"/>
        <v>793.01327663256006</v>
      </c>
      <c r="AG16" s="1818"/>
      <c r="AH16" s="1819">
        <f t="shared" si="2"/>
        <v>793.01327663256006</v>
      </c>
      <c r="AJ16" s="1837">
        <v>2042</v>
      </c>
      <c r="AK16" s="1838">
        <f>IFERROR(VLOOKUP($AJ16,'[74]Thru 8.2021 Customer Count'!$A$5:$C$110,3,FALSE),0)</f>
        <v>8.5449911565847709E-5</v>
      </c>
      <c r="AL16" s="1839">
        <f>IFERROR(VLOOKUP($AJ16,'[74]09.2021 Customer Count'!$A$5:$C$118,3,FALSE),0)</f>
        <v>8.268225859240387E-5</v>
      </c>
      <c r="AM16" s="1839">
        <f>IFERROR(VLOOKUP(AJ16,'[74]10.2021 Customer Count'!$A$5:$C$119,3,FALSE),0)</f>
        <v>8.033547632645481E-5</v>
      </c>
      <c r="AN16" s="1839">
        <f>IFERROR(VLOOKUP(AJ16,'[74]11.2021 Customer Count'!$A$5:$C$120,3,FALSE),0)</f>
        <v>7.9966704644263579E-5</v>
      </c>
      <c r="AO16" s="1839">
        <f>IFERROR(VLOOKUP(AJ16,'[74]12.2022 Customer Count'!$A$5:$C$124,3,FALSE),0)</f>
        <v>7.9050405495645183E-5</v>
      </c>
      <c r="AP16" s="1366">
        <f>VLOOKUP(AJ16,'[75]01.2022 Customer Count'!$A$5:$C$127,3,FALSE)</f>
        <v>7.0566712524458843E-5</v>
      </c>
    </row>
    <row r="17" spans="1:42" ht="15">
      <c r="A17" s="234">
        <v>70167</v>
      </c>
      <c r="B17" s="234" t="s">
        <v>129</v>
      </c>
      <c r="C17" s="235"/>
      <c r="D17" s="3"/>
      <c r="E17" s="236"/>
      <c r="F17" s="747"/>
      <c r="G17" s="1078">
        <v>1152.73</v>
      </c>
      <c r="H17" s="1079"/>
      <c r="I17" s="1080">
        <v>2617.21</v>
      </c>
      <c r="J17" s="1079"/>
      <c r="K17" s="1080">
        <v>1509.55</v>
      </c>
      <c r="L17" s="1079"/>
      <c r="M17" s="1080">
        <v>2642.25</v>
      </c>
      <c r="N17" s="1079"/>
      <c r="O17" s="1080">
        <v>1660.43</v>
      </c>
      <c r="P17" s="1079"/>
      <c r="Q17" s="1080">
        <v>1866.63</v>
      </c>
      <c r="R17" s="1079"/>
      <c r="S17" s="1080">
        <v>2181.29</v>
      </c>
      <c r="T17" s="1079"/>
      <c r="U17" s="1080">
        <v>1685.45</v>
      </c>
      <c r="V17" s="1079"/>
      <c r="W17" s="1080">
        <v>2404.41</v>
      </c>
      <c r="X17" s="1079"/>
      <c r="Y17" s="1080">
        <v>1491.85</v>
      </c>
      <c r="Z17" s="1079"/>
      <c r="AA17" s="1080">
        <v>1765.57</v>
      </c>
      <c r="AB17" s="1079"/>
      <c r="AC17" s="1080">
        <v>2368.41</v>
      </c>
      <c r="AD17" s="1079"/>
      <c r="AE17" s="1080">
        <f t="shared" si="0"/>
        <v>23345.78</v>
      </c>
      <c r="AF17" s="1239">
        <f t="shared" si="1"/>
        <v>624.03719189125752</v>
      </c>
      <c r="AG17" s="1818"/>
      <c r="AH17" s="1819">
        <f t="shared" si="2"/>
        <v>624.03719189125752</v>
      </c>
      <c r="AJ17" s="1837">
        <v>2043</v>
      </c>
      <c r="AK17" s="1838">
        <f>IFERROR(VLOOKUP($AJ17,'[74]Thru 8.2021 Customer Count'!$A$5:$C$110,3,FALSE),0)</f>
        <v>4.7293239516636486E-3</v>
      </c>
      <c r="AL17" s="1839">
        <f>IFERROR(VLOOKUP($AJ17,'[74]09.2021 Customer Count'!$A$5:$C$118,3,FALSE),0)</f>
        <v>4.5761450044026607E-3</v>
      </c>
      <c r="AM17" s="1839">
        <f>IFERROR(VLOOKUP(AJ17,'[74]10.2021 Customer Count'!$A$5:$C$119,3,FALSE),0)</f>
        <v>4.4462596320680179E-3</v>
      </c>
      <c r="AN17" s="1839">
        <f>IFERROR(VLOOKUP(AJ17,'[74]11.2021 Customer Count'!$A$5:$C$120,3,FALSE),0)</f>
        <v>4.425849537811357E-3</v>
      </c>
      <c r="AO17" s="1839">
        <f>IFERROR(VLOOKUP(AJ17,'[74]12.2022 Customer Count'!$A$5:$C$124,3,FALSE),0)</f>
        <v>4.3751359041628232E-3</v>
      </c>
      <c r="AP17" s="1366">
        <f>VLOOKUP(AJ17,'[75]01.2022 Customer Count'!$A$5:$C$127,3,FALSE)</f>
        <v>4.3788502140177351E-3</v>
      </c>
    </row>
    <row r="18" spans="1:42" ht="15">
      <c r="A18" s="234">
        <v>70170</v>
      </c>
      <c r="B18" s="234" t="s">
        <v>426</v>
      </c>
      <c r="C18" s="235"/>
      <c r="D18" s="3"/>
      <c r="E18" s="236"/>
      <c r="F18" s="747"/>
      <c r="G18" s="1078">
        <v>30547.53</v>
      </c>
      <c r="H18" s="1079"/>
      <c r="I18" s="1080">
        <v>30547.53</v>
      </c>
      <c r="J18" s="1079"/>
      <c r="K18" s="1080">
        <v>30547.53</v>
      </c>
      <c r="L18" s="1079"/>
      <c r="M18" s="1080">
        <v>30547.53</v>
      </c>
      <c r="N18" s="1079"/>
      <c r="O18" s="1080">
        <v>30547.53</v>
      </c>
      <c r="P18" s="1079"/>
      <c r="Q18" s="1080">
        <v>30547.53</v>
      </c>
      <c r="R18" s="1079"/>
      <c r="S18" s="1080">
        <v>30547.53</v>
      </c>
      <c r="T18" s="1079"/>
      <c r="U18" s="1080">
        <v>30547.53</v>
      </c>
      <c r="V18" s="1079"/>
      <c r="W18" s="1080">
        <v>30547.53</v>
      </c>
      <c r="X18" s="1079"/>
      <c r="Y18" s="1080">
        <v>30547.53</v>
      </c>
      <c r="Z18" s="1079"/>
      <c r="AA18" s="1080">
        <v>30547.53</v>
      </c>
      <c r="AB18" s="1079"/>
      <c r="AC18" s="1080">
        <v>30547.53</v>
      </c>
      <c r="AD18" s="1079"/>
      <c r="AE18" s="1080">
        <f t="shared" si="0"/>
        <v>366570.3600000001</v>
      </c>
      <c r="AF18" s="1239">
        <f t="shared" si="1"/>
        <v>9811.7401774328118</v>
      </c>
      <c r="AG18" s="1818"/>
      <c r="AH18" s="1819">
        <f t="shared" si="2"/>
        <v>9811.7401774328118</v>
      </c>
      <c r="AJ18" s="1837">
        <v>2044</v>
      </c>
      <c r="AK18" s="1838">
        <f>IFERROR(VLOOKUP($AJ18,'[74]Thru 8.2021 Customer Count'!$A$5:$C$110,3,FALSE),0)</f>
        <v>6.7866948993644434E-3</v>
      </c>
      <c r="AL18" s="1839">
        <f>IFERROR(VLOOKUP($AJ18,'[74]09.2021 Customer Count'!$A$5:$C$118,3,FALSE),0)</f>
        <v>6.5668793843582304E-3</v>
      </c>
      <c r="AM18" s="1839">
        <f>IFERROR(VLOOKUP(AJ18,'[74]10.2021 Customer Count'!$A$5:$C$119,3,FALSE),0)</f>
        <v>6.3804907159280451E-3</v>
      </c>
      <c r="AN18" s="1839">
        <f>IFERROR(VLOOKUP(AJ18,'[74]11.2021 Customer Count'!$A$5:$C$120,3,FALSE),0)</f>
        <v>6.351201734246319E-3</v>
      </c>
      <c r="AO18" s="1839">
        <f>IFERROR(VLOOKUP(AJ18,'[74]12.2022 Customer Count'!$A$5:$C$124,3,FALSE),0)</f>
        <v>6.2784264364810494E-3</v>
      </c>
      <c r="AP18" s="1366">
        <f>VLOOKUP(AJ18,'[75]01.2022 Customer Count'!$A$5:$C$127,3,FALSE)</f>
        <v>6.1972429746480016E-3</v>
      </c>
    </row>
    <row r="19" spans="1:42" ht="15">
      <c r="A19" s="234">
        <v>70171</v>
      </c>
      <c r="B19" s="234" t="s">
        <v>2349</v>
      </c>
      <c r="C19" s="235"/>
      <c r="D19" s="3"/>
      <c r="E19" s="236"/>
      <c r="F19" s="747"/>
      <c r="G19" s="1078">
        <v>0</v>
      </c>
      <c r="H19" s="1079"/>
      <c r="I19" s="1080">
        <v>0</v>
      </c>
      <c r="J19" s="1079"/>
      <c r="K19" s="1080">
        <v>0</v>
      </c>
      <c r="L19" s="1079"/>
      <c r="M19" s="1080">
        <v>0</v>
      </c>
      <c r="N19" s="1079"/>
      <c r="O19" s="1080">
        <v>0</v>
      </c>
      <c r="P19" s="1079"/>
      <c r="Q19" s="1080">
        <v>0</v>
      </c>
      <c r="R19" s="1079"/>
      <c r="S19" s="1080">
        <v>0</v>
      </c>
      <c r="T19" s="1079"/>
      <c r="U19" s="1080">
        <v>0</v>
      </c>
      <c r="V19" s="1079"/>
      <c r="W19" s="1080">
        <v>0</v>
      </c>
      <c r="X19" s="1079"/>
      <c r="Y19" s="1080">
        <v>0</v>
      </c>
      <c r="Z19" s="1079"/>
      <c r="AA19" s="1080">
        <v>6446.93</v>
      </c>
      <c r="AB19" s="1079"/>
      <c r="AC19" s="1080">
        <v>250.53</v>
      </c>
      <c r="AD19" s="1079"/>
      <c r="AE19" s="1080">
        <f t="shared" si="0"/>
        <v>6697.46</v>
      </c>
      <c r="AF19" s="1239">
        <f t="shared" si="1"/>
        <v>183.90302286524758</v>
      </c>
      <c r="AG19" s="1818"/>
      <c r="AH19" s="1819">
        <f t="shared" si="2"/>
        <v>183.90302286524758</v>
      </c>
      <c r="AJ19" s="1837">
        <v>2045</v>
      </c>
      <c r="AK19" s="1838">
        <f>IFERROR(VLOOKUP($AJ19,'[74]Thru 8.2021 Customer Count'!$A$5:$C$110,3,FALSE),0)</f>
        <v>5.5698552933161694E-3</v>
      </c>
      <c r="AL19" s="1839">
        <f>IFERROR(VLOOKUP($AJ19,'[74]09.2021 Customer Count'!$A$5:$C$118,3,FALSE),0)</f>
        <v>5.3894522211337097E-3</v>
      </c>
      <c r="AM19" s="1839">
        <f>IFERROR(VLOOKUP(AJ19,'[74]10.2021 Customer Count'!$A$5:$C$119,3,FALSE),0)</f>
        <v>5.2364826347792029E-3</v>
      </c>
      <c r="AN19" s="1839">
        <f>IFERROR(VLOOKUP(AJ19,'[74]11.2021 Customer Count'!$A$5:$C$120,3,FALSE),0)</f>
        <v>5.2124451036871427E-3</v>
      </c>
      <c r="AO19" s="1839">
        <f>IFERROR(VLOOKUP(AJ19,'[74]12.2022 Customer Count'!$A$5:$C$124,3,FALSE),0)</f>
        <v>5.1527182582209487E-3</v>
      </c>
      <c r="AP19" s="1366">
        <f>VLOOKUP(AJ19,'[75]01.2022 Customer Count'!$A$5:$C$127,3,FALSE)</f>
        <v>5.1216577142751971E-3</v>
      </c>
    </row>
    <row r="20" spans="1:42" ht="15">
      <c r="A20" s="234">
        <v>70185</v>
      </c>
      <c r="B20" s="234" t="s">
        <v>104</v>
      </c>
      <c r="C20" s="235"/>
      <c r="D20" s="3"/>
      <c r="E20" s="236"/>
      <c r="F20" s="747"/>
      <c r="G20" s="1078">
        <v>2044.86</v>
      </c>
      <c r="H20" s="1079"/>
      <c r="I20" s="1080">
        <v>2295.9499999999998</v>
      </c>
      <c r="J20" s="1079"/>
      <c r="K20" s="1080">
        <v>1706.98</v>
      </c>
      <c r="L20" s="1079"/>
      <c r="M20" s="1080">
        <v>3176.86</v>
      </c>
      <c r="N20" s="1079"/>
      <c r="O20" s="1080">
        <v>1388.77</v>
      </c>
      <c r="P20" s="1079"/>
      <c r="Q20" s="1080">
        <v>3815.83</v>
      </c>
      <c r="R20" s="1079"/>
      <c r="S20" s="1080">
        <v>3464.97</v>
      </c>
      <c r="T20" s="1079"/>
      <c r="U20" s="1080">
        <v>2837.53</v>
      </c>
      <c r="V20" s="1079"/>
      <c r="W20" s="1080">
        <v>4790.8999999999996</v>
      </c>
      <c r="X20" s="1079"/>
      <c r="Y20" s="1080">
        <v>1887.38</v>
      </c>
      <c r="Z20" s="1079"/>
      <c r="AA20" s="1080">
        <v>2384.08</v>
      </c>
      <c r="AB20" s="1079"/>
      <c r="AC20" s="1080">
        <v>4237.07</v>
      </c>
      <c r="AD20" s="1079"/>
      <c r="AE20" s="1080">
        <f t="shared" si="0"/>
        <v>34031.18</v>
      </c>
      <c r="AF20" s="1239">
        <f t="shared" si="1"/>
        <v>905.00947827275672</v>
      </c>
      <c r="AG20" s="1818"/>
      <c r="AH20" s="1819">
        <f t="shared" si="2"/>
        <v>905.00947827275672</v>
      </c>
      <c r="AJ20" s="1837">
        <v>2046</v>
      </c>
      <c r="AK20" s="1838">
        <f>IFERROR(VLOOKUP($AJ20,'[74]Thru 8.2021 Customer Count'!$A$5:$C$110,3,FALSE),0)</f>
        <v>7.8753596380639456E-3</v>
      </c>
      <c r="AL20" s="1839">
        <f>IFERROR(VLOOKUP($AJ20,'[74]09.2021 Customer Count'!$A$5:$C$118,3,FALSE),0)</f>
        <v>7.6202831596941453E-3</v>
      </c>
      <c r="AM20" s="1839">
        <f>IFERROR(VLOOKUP(AJ20,'[74]10.2021 Customer Count'!$A$5:$C$119,3,FALSE),0)</f>
        <v>7.4039955825872051E-3</v>
      </c>
      <c r="AN20" s="1839">
        <f>IFERROR(VLOOKUP(AJ20,'[74]11.2021 Customer Count'!$A$5:$C$120,3,FALSE),0)</f>
        <v>7.3700083078391005E-3</v>
      </c>
      <c r="AO20" s="1839">
        <f>IFERROR(VLOOKUP(AJ20,'[74]12.2022 Customer Count'!$A$5:$C$124,3,FALSE),0)</f>
        <v>7.2855590064976831E-3</v>
      </c>
      <c r="AP20" s="1366">
        <f>VLOOKUP(AJ20,'[75]01.2022 Customer Count'!$A$5:$C$127,3,FALSE)</f>
        <v>7.4043051625663761E-3</v>
      </c>
    </row>
    <row r="21" spans="1:42" ht="15">
      <c r="A21" s="234">
        <v>70190</v>
      </c>
      <c r="B21" s="234" t="s">
        <v>551</v>
      </c>
      <c r="C21" s="235"/>
      <c r="D21" s="3"/>
      <c r="E21" s="236"/>
      <c r="F21" s="747"/>
      <c r="G21" s="1078">
        <v>446.72</v>
      </c>
      <c r="H21" s="1079"/>
      <c r="I21" s="1080">
        <v>252.3</v>
      </c>
      <c r="J21" s="1079"/>
      <c r="K21" s="1080">
        <v>2915.97</v>
      </c>
      <c r="L21" s="1079"/>
      <c r="M21" s="1080">
        <v>882.49</v>
      </c>
      <c r="N21" s="1079"/>
      <c r="O21" s="1080">
        <v>995</v>
      </c>
      <c r="P21" s="1079"/>
      <c r="Q21" s="1080">
        <v>459.27</v>
      </c>
      <c r="R21" s="1079"/>
      <c r="S21" s="1080">
        <v>3827.33</v>
      </c>
      <c r="T21" s="1079"/>
      <c r="U21" s="1080">
        <v>654.34</v>
      </c>
      <c r="V21" s="1079"/>
      <c r="W21" s="1080">
        <v>505</v>
      </c>
      <c r="X21" s="1079"/>
      <c r="Y21" s="1080">
        <v>422</v>
      </c>
      <c r="Z21" s="1079"/>
      <c r="AA21" s="1080">
        <v>537</v>
      </c>
      <c r="AB21" s="1079"/>
      <c r="AC21" s="1080">
        <v>3577.95</v>
      </c>
      <c r="AD21" s="1079"/>
      <c r="AE21" s="1080">
        <f t="shared" si="0"/>
        <v>15475.369999999997</v>
      </c>
      <c r="AF21" s="1239">
        <f t="shared" si="1"/>
        <v>413.67410611958366</v>
      </c>
      <c r="AG21" s="1818"/>
      <c r="AH21" s="1819">
        <f t="shared" si="2"/>
        <v>413.67410611958366</v>
      </c>
      <c r="AJ21" s="1837">
        <v>2047</v>
      </c>
      <c r="AK21" s="1838">
        <f>IFERROR(VLOOKUP($AJ21,'[74]Thru 8.2021 Customer Count'!$A$5:$C$110,3,FALSE),0)</f>
        <v>1.203939955936891E-2</v>
      </c>
      <c r="AL21" s="1839">
        <f>IFERROR(VLOOKUP($AJ21,'[74]09.2021 Customer Count'!$A$5:$C$118,3,FALSE),0)</f>
        <v>1.1649453222639364E-2</v>
      </c>
      <c r="AM21" s="1839">
        <f>IFERROR(VLOOKUP(AJ21,'[74]10.2021 Customer Count'!$A$5:$C$119,3,FALSE),0)</f>
        <v>1.1318805140495599E-2</v>
      </c>
      <c r="AN21" s="1839">
        <f>IFERROR(VLOOKUP(AJ21,'[74]11.2021 Customer Count'!$A$5:$C$120,3,FALSE),0)</f>
        <v>1.126684733800379E-2</v>
      </c>
      <c r="AO21" s="1839">
        <f>IFERROR(VLOOKUP(AJ21,'[74]12.2022 Customer Count'!$A$5:$C$124,3,FALSE),0)</f>
        <v>1.11377460743047E-2</v>
      </c>
      <c r="AP21" s="1366">
        <f>VLOOKUP(AJ21,'[75]01.2022 Customer Count'!$A$5:$C$127,3,FALSE)</f>
        <v>1.1194109028879944E-2</v>
      </c>
    </row>
    <row r="22" spans="1:42" ht="15">
      <c r="A22" s="234">
        <v>70195</v>
      </c>
      <c r="B22" s="234" t="s">
        <v>130</v>
      </c>
      <c r="C22" s="235"/>
      <c r="D22" s="3"/>
      <c r="E22" s="236"/>
      <c r="F22" s="747"/>
      <c r="G22" s="1078">
        <v>30</v>
      </c>
      <c r="H22" s="1079"/>
      <c r="I22" s="1080">
        <v>0</v>
      </c>
      <c r="J22" s="1079"/>
      <c r="K22" s="1080">
        <v>779.95</v>
      </c>
      <c r="L22" s="1079"/>
      <c r="M22" s="1080">
        <v>289</v>
      </c>
      <c r="N22" s="1079"/>
      <c r="O22" s="1080">
        <v>1838.62</v>
      </c>
      <c r="P22" s="1079"/>
      <c r="Q22" s="1080">
        <v>409.9</v>
      </c>
      <c r="R22" s="1079"/>
      <c r="S22" s="1080">
        <v>1834.6</v>
      </c>
      <c r="T22" s="1079"/>
      <c r="U22" s="1080">
        <v>1182</v>
      </c>
      <c r="V22" s="1079"/>
      <c r="W22" s="1080">
        <v>-796</v>
      </c>
      <c r="X22" s="1079"/>
      <c r="Y22" s="1080">
        <v>240</v>
      </c>
      <c r="Z22" s="1079"/>
      <c r="AA22" s="1080">
        <v>0</v>
      </c>
      <c r="AB22" s="1079"/>
      <c r="AC22" s="1080">
        <v>1015.99</v>
      </c>
      <c r="AD22" s="1079"/>
      <c r="AE22" s="1080">
        <f t="shared" si="0"/>
        <v>6824.06</v>
      </c>
      <c r="AF22" s="1239">
        <f t="shared" si="1"/>
        <v>182.34266892203496</v>
      </c>
      <c r="AG22" s="1818"/>
      <c r="AH22" s="1819">
        <f t="shared" si="2"/>
        <v>182.34266892203496</v>
      </c>
      <c r="AJ22" s="1837">
        <v>2048</v>
      </c>
      <c r="AK22" s="1838">
        <f>IFERROR(VLOOKUP($AJ22,'[74]Thru 8.2021 Customer Count'!$A$5:$C$110,3,FALSE),0)</f>
        <v>9.4487882981466229E-5</v>
      </c>
      <c r="AL22" s="1839">
        <f>IFERROR(VLOOKUP($AJ22,'[74]09.2021 Customer Count'!$A$5:$C$118,3,FALSE),0)</f>
        <v>9.1427497481985054E-5</v>
      </c>
      <c r="AM22" s="1839">
        <f>IFERROR(VLOOKUP(AJ22,'[74]10.2021 Customer Count'!$A$5:$C$119,3,FALSE),0)</f>
        <v>8.8832497860983674E-5</v>
      </c>
      <c r="AN22" s="1839">
        <f>IFERROR(VLOOKUP(AJ22,'[74]11.2021 Customer Count'!$A$5:$C$120,3,FALSE),0)</f>
        <v>8.8424721481637609E-5</v>
      </c>
      <c r="AO22" s="1839">
        <f>IFERROR(VLOOKUP(AJ22,'[74]12.2022 Customer Count'!$A$5:$C$124,3,FALSE),0)</f>
        <v>8.741150607691534E-5</v>
      </c>
      <c r="AP22" s="1366">
        <f>VLOOKUP(AJ22,'[75]01.2022 Customer Count'!$A$5:$C$127,3,FALSE)</f>
        <v>9.5822167533212528E-5</v>
      </c>
    </row>
    <row r="23" spans="1:42" ht="15">
      <c r="A23" s="234">
        <v>70200</v>
      </c>
      <c r="B23" s="234" t="s">
        <v>92</v>
      </c>
      <c r="C23" s="235"/>
      <c r="D23" s="3"/>
      <c r="E23" s="236"/>
      <c r="F23" s="747"/>
      <c r="G23" s="1078">
        <v>15514.24</v>
      </c>
      <c r="H23" s="1079"/>
      <c r="I23" s="1080">
        <v>10277.299999999999</v>
      </c>
      <c r="J23" s="1079"/>
      <c r="K23" s="1080">
        <v>17938.02</v>
      </c>
      <c r="L23" s="1079"/>
      <c r="M23" s="1080">
        <v>9114.4599999999991</v>
      </c>
      <c r="N23" s="1079"/>
      <c r="O23" s="1080">
        <v>13812.32</v>
      </c>
      <c r="P23" s="1079"/>
      <c r="Q23" s="1080">
        <v>14030.35</v>
      </c>
      <c r="R23" s="1079"/>
      <c r="S23" s="1080">
        <v>11940.53</v>
      </c>
      <c r="T23" s="1079"/>
      <c r="U23" s="1080">
        <v>24710.12</v>
      </c>
      <c r="V23" s="1079"/>
      <c r="W23" s="1080">
        <v>16328.49</v>
      </c>
      <c r="X23" s="1079"/>
      <c r="Y23" s="1080">
        <v>8975.68</v>
      </c>
      <c r="Z23" s="1079"/>
      <c r="AA23" s="1080">
        <v>29076.6</v>
      </c>
      <c r="AB23" s="1079"/>
      <c r="AC23" s="1080">
        <v>23635.09</v>
      </c>
      <c r="AD23" s="1079"/>
      <c r="AE23" s="1080">
        <f t="shared" si="0"/>
        <v>195353.19999999995</v>
      </c>
      <c r="AF23" s="1239">
        <f t="shared" si="1"/>
        <v>5225.9761712631835</v>
      </c>
      <c r="AG23" s="1818"/>
      <c r="AH23" s="1819">
        <f t="shared" si="2"/>
        <v>5225.9761712631835</v>
      </c>
      <c r="AJ23" s="1837">
        <v>2049</v>
      </c>
      <c r="AK23" s="1838">
        <f>IFERROR(VLOOKUP($AJ23,'[74]Thru 8.2021 Customer Count'!$A$5:$C$110,3,FALSE),0)</f>
        <v>1.5611041536068334E-5</v>
      </c>
      <c r="AL23" s="1839">
        <f>IFERROR(VLOOKUP($AJ23,'[74]09.2021 Customer Count'!$A$5:$C$118,3,FALSE),0)</f>
        <v>1.5105412627458399E-5</v>
      </c>
      <c r="AM23" s="1839">
        <f>IFERROR(VLOOKUP(AJ23,'[74]10.2021 Customer Count'!$A$5:$C$119,3,FALSE),0)</f>
        <v>1.4676673559640781E-5</v>
      </c>
      <c r="AN23" s="1839">
        <f>IFERROR(VLOOKUP(AJ23,'[74]11.2021 Customer Count'!$A$5:$C$120,3,FALSE),0)</f>
        <v>1.4609301810009693E-5</v>
      </c>
      <c r="AO23" s="1839">
        <f>IFERROR(VLOOKUP(AJ23,'[74]12.2022 Customer Count'!$A$5:$C$124,3,FALSE),0)</f>
        <v>1.4441901004012099E-5</v>
      </c>
      <c r="AP23" s="1366">
        <f>VLOOKUP(AJ23,'[75]01.2022 Customer Count'!$A$5:$C$127,3,FALSE)</f>
        <v>1.9312995006693999E-5</v>
      </c>
    </row>
    <row r="24" spans="1:42" ht="15">
      <c r="A24" s="234">
        <v>70201</v>
      </c>
      <c r="B24" s="234" t="s">
        <v>131</v>
      </c>
      <c r="C24" s="235"/>
      <c r="D24" s="3"/>
      <c r="E24" s="236"/>
      <c r="F24" s="747"/>
      <c r="G24" s="1078">
        <v>0</v>
      </c>
      <c r="H24" s="1079"/>
      <c r="I24" s="1080">
        <v>0</v>
      </c>
      <c r="J24" s="1079"/>
      <c r="K24" s="1080">
        <v>1420.47</v>
      </c>
      <c r="L24" s="1079"/>
      <c r="M24" s="1080">
        <v>0</v>
      </c>
      <c r="N24" s="1079"/>
      <c r="O24" s="1080">
        <v>0</v>
      </c>
      <c r="P24" s="1079"/>
      <c r="Q24" s="1080">
        <v>0</v>
      </c>
      <c r="R24" s="1079"/>
      <c r="S24" s="1080">
        <v>312.89</v>
      </c>
      <c r="T24" s="1079"/>
      <c r="U24" s="1080">
        <v>19.53</v>
      </c>
      <c r="V24" s="1079"/>
      <c r="W24" s="1080">
        <v>1056.05</v>
      </c>
      <c r="X24" s="1079"/>
      <c r="Y24" s="1080">
        <v>34.57</v>
      </c>
      <c r="Z24" s="1079"/>
      <c r="AA24" s="1080">
        <v>187.06</v>
      </c>
      <c r="AB24" s="1079"/>
      <c r="AC24" s="1080">
        <v>109.97</v>
      </c>
      <c r="AD24" s="1079"/>
      <c r="AE24" s="1080">
        <f t="shared" si="0"/>
        <v>3140.54</v>
      </c>
      <c r="AF24" s="1239">
        <f t="shared" si="1"/>
        <v>82.909981096562404</v>
      </c>
      <c r="AG24" s="1818"/>
      <c r="AH24" s="1819">
        <f t="shared" si="2"/>
        <v>82.909981096562404</v>
      </c>
      <c r="AJ24" s="1837">
        <v>2050</v>
      </c>
      <c r="AK24" s="1838">
        <f>IFERROR(VLOOKUP($AJ24,'[74]Thru 8.2021 Customer Count'!$A$5:$C$110,3,FALSE),0)</f>
        <v>4.10816882528114E-5</v>
      </c>
      <c r="AL24" s="1839">
        <f>IFERROR(VLOOKUP($AJ24,'[74]09.2021 Customer Count'!$A$5:$C$118,3,FALSE),0)</f>
        <v>3.9751085861732627E-5</v>
      </c>
      <c r="AM24" s="1839">
        <f>IFERROR(VLOOKUP(AJ24,'[74]10.2021 Customer Count'!$A$5:$C$119,3,FALSE),0)</f>
        <v>3.8622825156949426E-5</v>
      </c>
      <c r="AN24" s="1839">
        <f>IFERROR(VLOOKUP(AJ24,'[74]11.2021 Customer Count'!$A$5:$C$120,3,FALSE),0)</f>
        <v>3.8445531078972874E-5</v>
      </c>
      <c r="AO24" s="1839">
        <f>IFERROR(VLOOKUP(AJ24,'[74]12.2022 Customer Count'!$A$5:$C$124,3,FALSE),0)</f>
        <v>3.8005002642137105E-5</v>
      </c>
      <c r="AP24" s="1366">
        <f>VLOOKUP(AJ24,'[75]01.2022 Customer Count'!$A$5:$C$127,3,FALSE)</f>
        <v>3.3426337511585765E-5</v>
      </c>
    </row>
    <row r="25" spans="1:42" ht="15">
      <c r="A25" s="234">
        <v>70202</v>
      </c>
      <c r="B25" s="234" t="s">
        <v>132</v>
      </c>
      <c r="C25" s="235"/>
      <c r="D25" s="3"/>
      <c r="E25" s="236"/>
      <c r="F25" s="747"/>
      <c r="G25" s="1078">
        <v>7216.77</v>
      </c>
      <c r="H25" s="1079"/>
      <c r="I25" s="1080">
        <v>3807.46</v>
      </c>
      <c r="J25" s="1079"/>
      <c r="K25" s="1080">
        <v>1478.9</v>
      </c>
      <c r="L25" s="1079"/>
      <c r="M25" s="1080">
        <v>19275.89</v>
      </c>
      <c r="N25" s="1079"/>
      <c r="O25" s="1080">
        <v>19957.689999999999</v>
      </c>
      <c r="P25" s="1079"/>
      <c r="Q25" s="1080">
        <v>629.92999999999995</v>
      </c>
      <c r="R25" s="1079"/>
      <c r="S25" s="1080">
        <v>70371.89</v>
      </c>
      <c r="T25" s="1079"/>
      <c r="U25" s="1080">
        <v>755.24</v>
      </c>
      <c r="V25" s="1079"/>
      <c r="W25" s="1080">
        <v>37.83</v>
      </c>
      <c r="X25" s="1079"/>
      <c r="Y25" s="1080">
        <v>0</v>
      </c>
      <c r="Z25" s="1079"/>
      <c r="AA25" s="1080">
        <v>23671.47</v>
      </c>
      <c r="AB25" s="1079"/>
      <c r="AC25" s="1080">
        <v>157112.81</v>
      </c>
      <c r="AD25" s="1079"/>
      <c r="AE25" s="1080">
        <f t="shared" si="0"/>
        <v>304315.88000000006</v>
      </c>
      <c r="AF25" s="1239">
        <f t="shared" si="1"/>
        <v>8211.8661574863181</v>
      </c>
      <c r="AG25" s="1818"/>
      <c r="AH25" s="1819">
        <f t="shared" si="2"/>
        <v>8211.8661574863181</v>
      </c>
      <c r="AJ25" s="1837">
        <v>2051</v>
      </c>
      <c r="AK25" s="1838">
        <f>IFERROR(VLOOKUP($AJ25,'[74]Thru 8.2021 Customer Count'!$A$5:$C$110,3,FALSE),0)</f>
        <v>2.5470646716743071E-4</v>
      </c>
      <c r="AL25" s="1839">
        <f>IFERROR(VLOOKUP($AJ25,'[74]09.2021 Customer Count'!$A$5:$C$118,3,FALSE),0)</f>
        <v>2.4645673234274232E-4</v>
      </c>
      <c r="AM25" s="1839">
        <f>IFERROR(VLOOKUP(AJ25,'[74]10.2021 Customer Count'!$A$5:$C$119,3,FALSE),0)</f>
        <v>2.3946151597308644E-4</v>
      </c>
      <c r="AN25" s="1839">
        <f>IFERROR(VLOOKUP(AJ25,'[74]11.2021 Customer Count'!$A$5:$C$120,3,FALSE),0)</f>
        <v>2.3836229268963183E-4</v>
      </c>
      <c r="AO25" s="1839">
        <f>IFERROR(VLOOKUP(AJ25,'[74]12.2022 Customer Count'!$A$5:$C$124,3,FALSE),0)</f>
        <v>2.3563101638125004E-4</v>
      </c>
      <c r="AP25" s="1366">
        <f>VLOOKUP(AJ25,'[75]01.2022 Customer Count'!$A$5:$C$127,3,FALSE)</f>
        <v>2.6295385509114136E-4</v>
      </c>
    </row>
    <row r="26" spans="1:42" ht="15">
      <c r="A26" s="234">
        <v>70203</v>
      </c>
      <c r="B26" s="234" t="s">
        <v>133</v>
      </c>
      <c r="C26" s="235"/>
      <c r="D26" s="3"/>
      <c r="E26" s="236"/>
      <c r="F26" s="747"/>
      <c r="G26" s="1078">
        <v>5063.08</v>
      </c>
      <c r="H26" s="1079"/>
      <c r="I26" s="1080">
        <v>5277.5</v>
      </c>
      <c r="J26" s="1079"/>
      <c r="K26" s="1080">
        <v>7545.05</v>
      </c>
      <c r="L26" s="1079"/>
      <c r="M26" s="1080">
        <v>4608.6400000000003</v>
      </c>
      <c r="N26" s="1079"/>
      <c r="O26" s="1080">
        <v>13378.39</v>
      </c>
      <c r="P26" s="1079"/>
      <c r="Q26" s="1080">
        <v>18888.04</v>
      </c>
      <c r="R26" s="1079"/>
      <c r="S26" s="1080">
        <v>5100.58</v>
      </c>
      <c r="T26" s="1079"/>
      <c r="U26" s="1080">
        <v>11250.69</v>
      </c>
      <c r="V26" s="1079"/>
      <c r="W26" s="1080">
        <v>11948.37</v>
      </c>
      <c r="X26" s="1079"/>
      <c r="Y26" s="1080">
        <v>4018.56</v>
      </c>
      <c r="Z26" s="1079"/>
      <c r="AA26" s="1080">
        <v>13739.29</v>
      </c>
      <c r="AB26" s="1079"/>
      <c r="AC26" s="1080">
        <v>10642.74</v>
      </c>
      <c r="AD26" s="1079"/>
      <c r="AE26" s="1080">
        <f t="shared" si="0"/>
        <v>111460.93000000001</v>
      </c>
      <c r="AF26" s="1239">
        <f t="shared" si="1"/>
        <v>2973.022088750492</v>
      </c>
      <c r="AG26" s="1818"/>
      <c r="AH26" s="1819">
        <f t="shared" si="2"/>
        <v>2973.022088750492</v>
      </c>
      <c r="AJ26" s="1837">
        <v>2054</v>
      </c>
      <c r="AK26" s="1838">
        <f>IFERROR(VLOOKUP($AJ26,'[74]Thru 8.2021 Customer Count'!$A$5:$C$110,3,FALSE),0)</f>
        <v>0</v>
      </c>
      <c r="AL26" s="1839">
        <f>IFERROR(VLOOKUP($AJ26,'[74]09.2021 Customer Count'!$A$5:$C$118,3,FALSE),0)</f>
        <v>0</v>
      </c>
      <c r="AM26" s="1839">
        <f>IFERROR(VLOOKUP(AJ26,'[74]10.2021 Customer Count'!$A$5:$C$119,3,FALSE),0)</f>
        <v>0</v>
      </c>
      <c r="AN26" s="1839">
        <f>IFERROR(VLOOKUP(AJ26,'[74]11.2021 Customer Count'!$A$5:$C$120,3,FALSE),0)</f>
        <v>0</v>
      </c>
      <c r="AO26" s="1839">
        <f>IFERROR(VLOOKUP(AJ26,'[74]12.2022 Customer Count'!$A$5:$C$124,3,FALSE),0)</f>
        <v>1.1401500792641132E-2</v>
      </c>
      <c r="AP26" s="1366">
        <f>VLOOKUP(AJ26,'[75]01.2022 Customer Count'!$A$5:$C$127,3,FALSE)</f>
        <v>1.1142112503861922E-2</v>
      </c>
    </row>
    <row r="27" spans="1:42" ht="15">
      <c r="A27" s="234">
        <v>70205</v>
      </c>
      <c r="B27" s="234" t="s">
        <v>134</v>
      </c>
      <c r="C27" s="235"/>
      <c r="D27" s="3"/>
      <c r="E27" s="236"/>
      <c r="F27" s="747"/>
      <c r="G27" s="1078">
        <v>6023.37</v>
      </c>
      <c r="H27" s="1079"/>
      <c r="I27" s="1080">
        <v>9319.36</v>
      </c>
      <c r="J27" s="1079"/>
      <c r="K27" s="1080">
        <v>3480.73</v>
      </c>
      <c r="L27" s="1079"/>
      <c r="M27" s="1080">
        <v>10736.55</v>
      </c>
      <c r="N27" s="1079"/>
      <c r="O27" s="1080">
        <v>8464.51</v>
      </c>
      <c r="P27" s="1079"/>
      <c r="Q27" s="1080">
        <v>13503.58</v>
      </c>
      <c r="R27" s="1079"/>
      <c r="S27" s="1080">
        <v>3020.38</v>
      </c>
      <c r="T27" s="1079"/>
      <c r="U27" s="1080">
        <v>7889.94</v>
      </c>
      <c r="V27" s="1079"/>
      <c r="W27" s="1080">
        <v>13884.87</v>
      </c>
      <c r="X27" s="1079"/>
      <c r="Y27" s="1080">
        <v>4005.9</v>
      </c>
      <c r="Z27" s="1079"/>
      <c r="AA27" s="1080">
        <v>10248.26</v>
      </c>
      <c r="AB27" s="1079"/>
      <c r="AC27" s="1080">
        <v>11483.33</v>
      </c>
      <c r="AD27" s="1079"/>
      <c r="AE27" s="1080">
        <f t="shared" si="0"/>
        <v>102060.78</v>
      </c>
      <c r="AF27" s="1239">
        <f t="shared" si="1"/>
        <v>2726.4743721451014</v>
      </c>
      <c r="AG27" s="1818"/>
      <c r="AH27" s="1819">
        <f t="shared" si="2"/>
        <v>2726.4743721451014</v>
      </c>
      <c r="AJ27" s="1837">
        <v>2053</v>
      </c>
      <c r="AK27" s="1838">
        <f>IFERROR(VLOOKUP($AJ27,'[74]Thru 8.2021 Customer Count'!$A$5:$C$110,3,FALSE),0)</f>
        <v>5.2584560963598594E-5</v>
      </c>
      <c r="AL27" s="1839">
        <f>IFERROR(VLOOKUP($AJ27,'[74]09.2021 Customer Count'!$A$5:$C$118,3,FALSE),0)</f>
        <v>5.0881389903017766E-5</v>
      </c>
      <c r="AM27" s="1839">
        <f>IFERROR(VLOOKUP(AJ27,'[74]10.2021 Customer Count'!$A$5:$C$119,3,FALSE),0)</f>
        <v>4.9437216200895262E-5</v>
      </c>
      <c r="AN27" s="1839">
        <f>IFERROR(VLOOKUP(AJ27,'[74]11.2021 Customer Count'!$A$5:$C$120,3,FALSE),0)</f>
        <v>4.9210279781085281E-5</v>
      </c>
      <c r="AO27" s="1839">
        <f>IFERROR(VLOOKUP(AJ27,'[74]12.2022 Customer Count'!$A$5:$C$124,3,FALSE),0)</f>
        <v>4.8646403381935495E-5</v>
      </c>
      <c r="AP27" s="1366">
        <f>VLOOKUP(AJ27,'[75]01.2022 Customer Count'!$A$5:$C$127,3,FALSE)</f>
        <v>5.4224947518794688E-5</v>
      </c>
    </row>
    <row r="28" spans="1:42" ht="15">
      <c r="A28" s="234">
        <v>70206</v>
      </c>
      <c r="B28" s="234" t="s">
        <v>135</v>
      </c>
      <c r="C28" s="235"/>
      <c r="D28" s="3"/>
      <c r="E28" s="236"/>
      <c r="F28" s="747"/>
      <c r="G28" s="1078">
        <v>6017.28</v>
      </c>
      <c r="H28" s="1079"/>
      <c r="I28" s="1080">
        <v>2235</v>
      </c>
      <c r="J28" s="1079"/>
      <c r="K28" s="1080">
        <v>5415.35</v>
      </c>
      <c r="L28" s="1079"/>
      <c r="M28" s="1080">
        <v>3591.32</v>
      </c>
      <c r="N28" s="1079"/>
      <c r="O28" s="1080">
        <v>5021.42</v>
      </c>
      <c r="P28" s="1079"/>
      <c r="Q28" s="1080">
        <v>10302.52</v>
      </c>
      <c r="R28" s="1079"/>
      <c r="S28" s="1080">
        <v>2498.17</v>
      </c>
      <c r="T28" s="1079"/>
      <c r="U28" s="1080">
        <v>6143.99</v>
      </c>
      <c r="V28" s="1079"/>
      <c r="W28" s="1080">
        <v>9288.2099999999991</v>
      </c>
      <c r="X28" s="1079"/>
      <c r="Y28" s="1080">
        <v>3088.98</v>
      </c>
      <c r="Z28" s="1079"/>
      <c r="AA28" s="1080">
        <v>5571.13</v>
      </c>
      <c r="AB28" s="1079"/>
      <c r="AC28" s="1080">
        <v>10226.31</v>
      </c>
      <c r="AD28" s="1079"/>
      <c r="AE28" s="1080">
        <f t="shared" si="0"/>
        <v>69399.679999999993</v>
      </c>
      <c r="AF28" s="1239">
        <f t="shared" si="1"/>
        <v>1851.5062198238429</v>
      </c>
      <c r="AG28" s="1818"/>
      <c r="AH28" s="1819">
        <f t="shared" si="2"/>
        <v>1851.5062198238429</v>
      </c>
      <c r="AJ28" s="1837">
        <v>2111</v>
      </c>
      <c r="AK28" s="1838">
        <f>IFERROR(VLOOKUP($AJ28,'[74]Thru 8.2021 Customer Count'!$A$5:$C$110,3,FALSE),0)</f>
        <v>7.8898203923289348E-2</v>
      </c>
      <c r="AL28" s="1839">
        <f>IFERROR(VLOOKUP($AJ28,'[74]09.2021 Customer Count'!$A$5:$C$118,3,FALSE),0)</f>
        <v>7.6342755419174749E-2</v>
      </c>
      <c r="AM28" s="1839">
        <f>IFERROR(VLOOKUP(AJ28,'[74]10.2021 Customer Count'!$A$5:$C$119,3,FALSE),0)</f>
        <v>7.4175908170424507E-2</v>
      </c>
      <c r="AN28" s="1839">
        <f>IFERROR(VLOOKUP(AJ28,'[74]11.2021 Customer Count'!$A$5:$C$120,3,FALSE),0)</f>
        <v>7.3835411347788982E-2</v>
      </c>
      <c r="AO28" s="1839">
        <f>IFERROR(VLOOKUP(AJ28,'[74]12.2022 Customer Count'!$A$5:$C$124,3,FALSE),0)</f>
        <v>7.2989367674277147E-2</v>
      </c>
      <c r="AP28" s="1366">
        <f>VLOOKUP(AJ28,'[75]01.2022 Customer Count'!$A$5:$C$127,3,FALSE)</f>
        <v>7.2668857750187457E-2</v>
      </c>
    </row>
    <row r="29" spans="1:42" ht="15">
      <c r="A29" s="234">
        <v>70207</v>
      </c>
      <c r="B29" s="234" t="s">
        <v>2350</v>
      </c>
      <c r="C29" s="235"/>
      <c r="D29" s="3"/>
      <c r="E29" s="236"/>
      <c r="F29" s="747"/>
      <c r="G29" s="1078">
        <v>0</v>
      </c>
      <c r="H29" s="1079"/>
      <c r="I29" s="1080">
        <v>0</v>
      </c>
      <c r="J29" s="1079"/>
      <c r="K29" s="1080">
        <v>0</v>
      </c>
      <c r="L29" s="1079"/>
      <c r="M29" s="1080">
        <v>0</v>
      </c>
      <c r="N29" s="1079"/>
      <c r="O29" s="1080">
        <v>0</v>
      </c>
      <c r="P29" s="1079"/>
      <c r="Q29" s="1080">
        <v>99.9</v>
      </c>
      <c r="R29" s="1079"/>
      <c r="S29" s="1080">
        <v>-15.78</v>
      </c>
      <c r="T29" s="1079"/>
      <c r="U29" s="1080">
        <v>0</v>
      </c>
      <c r="V29" s="1079"/>
      <c r="W29" s="1080">
        <v>0</v>
      </c>
      <c r="X29" s="1079"/>
      <c r="Y29" s="1080">
        <v>0</v>
      </c>
      <c r="Z29" s="1079"/>
      <c r="AA29" s="1080">
        <v>37.1</v>
      </c>
      <c r="AB29" s="1079"/>
      <c r="AC29" s="1080">
        <v>-37.1</v>
      </c>
      <c r="AD29" s="1079"/>
      <c r="AE29" s="1080">
        <f t="shared" si="0"/>
        <v>84.12</v>
      </c>
      <c r="AF29" s="1239">
        <f t="shared" si="1"/>
        <v>2.2286496250408492</v>
      </c>
      <c r="AG29" s="1818"/>
      <c r="AH29" s="1819">
        <f t="shared" si="2"/>
        <v>2.2286496250408492</v>
      </c>
      <c r="AJ29" s="1837">
        <v>2112</v>
      </c>
      <c r="AK29" s="1838">
        <f>IFERROR(VLOOKUP($AJ29,'[74]Thru 8.2021 Customer Count'!$A$5:$C$110,3,FALSE),0)</f>
        <v>2.3844633495696793E-2</v>
      </c>
      <c r="AL29" s="1839">
        <f>IFERROR(VLOOKUP($AJ29,'[74]09.2021 Customer Count'!$A$5:$C$118,3,FALSE),0)</f>
        <v>2.3072325255866853E-2</v>
      </c>
      <c r="AM29" s="1839">
        <f>IFERROR(VLOOKUP(AJ29,'[74]10.2021 Customer Count'!$A$5:$C$119,3,FALSE),0)</f>
        <v>2.2417460177596587E-2</v>
      </c>
      <c r="AN29" s="1839">
        <f>IFERROR(VLOOKUP(AJ29,'[74]11.2021 Customer Count'!$A$5:$C$120,3,FALSE),0)</f>
        <v>2.2314555148857437E-2</v>
      </c>
      <c r="AO29" s="1839">
        <f>IFERROR(VLOOKUP(AJ29,'[74]12.2022 Customer Count'!$A$5:$C$124,3,FALSE),0)</f>
        <v>2.2058863633549218E-2</v>
      </c>
      <c r="AP29" s="1366">
        <f>VLOOKUP(AJ29,'[75]01.2022 Customer Count'!$A$5:$C$127,3,FALSE)</f>
        <v>2.2738080390381152E-2</v>
      </c>
    </row>
    <row r="30" spans="1:42" ht="15">
      <c r="A30" s="234">
        <v>70210</v>
      </c>
      <c r="B30" s="234" t="s">
        <v>136</v>
      </c>
      <c r="C30" s="235"/>
      <c r="D30" s="3"/>
      <c r="E30" s="236"/>
      <c r="F30" s="747"/>
      <c r="G30" s="1078">
        <v>1865.49</v>
      </c>
      <c r="H30" s="1079"/>
      <c r="I30" s="1080">
        <v>2190.0100000000002</v>
      </c>
      <c r="J30" s="1079"/>
      <c r="K30" s="1080">
        <v>2209.4299999999998</v>
      </c>
      <c r="L30" s="1079"/>
      <c r="M30" s="1080">
        <v>2599.09</v>
      </c>
      <c r="N30" s="1079"/>
      <c r="O30" s="1080">
        <v>4074.84</v>
      </c>
      <c r="P30" s="1079"/>
      <c r="Q30" s="1080">
        <v>2102.19</v>
      </c>
      <c r="R30" s="1079"/>
      <c r="S30" s="1080">
        <v>4787.34</v>
      </c>
      <c r="T30" s="1079"/>
      <c r="U30" s="1080">
        <v>4503.7700000000004</v>
      </c>
      <c r="V30" s="1079"/>
      <c r="W30" s="1080">
        <v>3851.83</v>
      </c>
      <c r="X30" s="1079"/>
      <c r="Y30" s="1080">
        <v>5323.31</v>
      </c>
      <c r="Z30" s="1079"/>
      <c r="AA30" s="1080">
        <v>1677.72</v>
      </c>
      <c r="AB30" s="1079"/>
      <c r="AC30" s="1080">
        <v>1655.33</v>
      </c>
      <c r="AD30" s="1079"/>
      <c r="AE30" s="1080">
        <f t="shared" si="0"/>
        <v>36840.35</v>
      </c>
      <c r="AF30" s="1239">
        <f t="shared" si="1"/>
        <v>979.91109337067337</v>
      </c>
      <c r="AG30" s="1818"/>
      <c r="AH30" s="1819">
        <f t="shared" si="2"/>
        <v>979.91109337067337</v>
      </c>
      <c r="AJ30" s="1837">
        <v>2113</v>
      </c>
      <c r="AK30" s="1838">
        <f>IFERROR(VLOOKUP($AJ30,'[74]Thru 8.2021 Customer Count'!$A$5:$C$110,3,FALSE),0)</f>
        <v>0</v>
      </c>
      <c r="AL30" s="1839">
        <f>IFERROR(VLOOKUP($AJ30,'[74]09.2021 Customer Count'!$A$5:$C$118,3,FALSE),0)</f>
        <v>0</v>
      </c>
      <c r="AM30" s="1839">
        <f>IFERROR(VLOOKUP(AJ30,'[74]10.2021 Customer Count'!$A$5:$C$119,3,FALSE),0)</f>
        <v>0</v>
      </c>
      <c r="AN30" s="1839">
        <f>IFERROR(VLOOKUP(AJ30,'[74]11.2021 Customer Count'!$A$5:$C$120,3,FALSE),0)</f>
        <v>0</v>
      </c>
      <c r="AO30" s="1839">
        <f>IFERROR(VLOOKUP(AJ30,'[74]12.2022 Customer Count'!$A$5:$C$124,3,FALSE),0)</f>
        <v>0</v>
      </c>
      <c r="AP30" s="1366">
        <f>VLOOKUP(AJ30,'[75]01.2022 Customer Count'!$A$5:$C$127,3,FALSE)</f>
        <v>0</v>
      </c>
    </row>
    <row r="31" spans="1:42" ht="15">
      <c r="A31" s="234">
        <v>70214</v>
      </c>
      <c r="B31" s="234" t="s">
        <v>137</v>
      </c>
      <c r="C31" s="235"/>
      <c r="D31" s="3"/>
      <c r="E31" s="236"/>
      <c r="F31" s="747"/>
      <c r="G31" s="1078">
        <v>0</v>
      </c>
      <c r="H31" s="1079"/>
      <c r="I31" s="1080">
        <v>0</v>
      </c>
      <c r="J31" s="1079"/>
      <c r="K31" s="1080">
        <v>0</v>
      </c>
      <c r="L31" s="1079"/>
      <c r="M31" s="1080">
        <v>0</v>
      </c>
      <c r="N31" s="1079"/>
      <c r="O31" s="1080">
        <v>0</v>
      </c>
      <c r="P31" s="1079"/>
      <c r="Q31" s="1080">
        <v>0</v>
      </c>
      <c r="R31" s="1079"/>
      <c r="S31" s="1080">
        <v>0</v>
      </c>
      <c r="T31" s="1079"/>
      <c r="U31" s="1080">
        <v>0</v>
      </c>
      <c r="V31" s="1079"/>
      <c r="W31" s="1080">
        <v>0</v>
      </c>
      <c r="X31" s="1079"/>
      <c r="Y31" s="1080">
        <v>0</v>
      </c>
      <c r="Z31" s="1079"/>
      <c r="AA31" s="1080">
        <v>0.25</v>
      </c>
      <c r="AB31" s="1079"/>
      <c r="AC31" s="1080">
        <v>0</v>
      </c>
      <c r="AD31" s="1079"/>
      <c r="AE31" s="1080">
        <f t="shared" si="0"/>
        <v>0.25</v>
      </c>
      <c r="AF31" s="1239">
        <f t="shared" si="1"/>
        <v>6.8646555136293299E-3</v>
      </c>
      <c r="AG31" s="1818"/>
      <c r="AH31" s="1819">
        <f t="shared" si="2"/>
        <v>6.8646555136293299E-3</v>
      </c>
      <c r="AJ31" s="1837">
        <v>2120</v>
      </c>
      <c r="AK31" s="1838">
        <f>IFERROR(VLOOKUP($AJ31,'[74]Thru 8.2021 Customer Count'!$A$5:$C$110,3,FALSE),0)</f>
        <v>5.5912177712076315E-3</v>
      </c>
      <c r="AL31" s="1839">
        <f>IFERROR(VLOOKUP($AJ31,'[74]09.2021 Customer Count'!$A$5:$C$118,3,FALSE),0)</f>
        <v>5.410122785781811E-3</v>
      </c>
      <c r="AM31" s="1839">
        <f>IFERROR(VLOOKUP(AJ31,'[74]10.2021 Customer Count'!$A$5:$C$119,3,FALSE),0)</f>
        <v>5.2565665038608166E-3</v>
      </c>
      <c r="AN31" s="1839">
        <f>IFERROR(VLOOKUP(AJ31,'[74]11.2021 Customer Count'!$A$5:$C$120,3,FALSE),0)</f>
        <v>5.2324367798482086E-3</v>
      </c>
      <c r="AO31" s="1839">
        <f>IFERROR(VLOOKUP(AJ31,'[74]12.2022 Customer Count'!$A$5:$C$124,3,FALSE),0)</f>
        <v>5.1724808595948598E-3</v>
      </c>
      <c r="AP31" s="1366">
        <f>VLOOKUP(AJ31,'[75]01.2022 Customer Count'!$A$5:$C$127,3,FALSE)</f>
        <v>5.0562906542525399E-3</v>
      </c>
    </row>
    <row r="32" spans="1:42" ht="15">
      <c r="A32" s="234">
        <v>70215</v>
      </c>
      <c r="B32" s="234" t="s">
        <v>138</v>
      </c>
      <c r="C32" s="235"/>
      <c r="D32" s="3"/>
      <c r="E32" s="236"/>
      <c r="F32" s="747"/>
      <c r="G32" s="1078">
        <v>0</v>
      </c>
      <c r="H32" s="1079"/>
      <c r="I32" s="1080">
        <v>0</v>
      </c>
      <c r="J32" s="1079"/>
      <c r="K32" s="1080">
        <v>0</v>
      </c>
      <c r="L32" s="1079"/>
      <c r="M32" s="1080">
        <v>0</v>
      </c>
      <c r="N32" s="1079"/>
      <c r="O32" s="1080">
        <v>2.08</v>
      </c>
      <c r="P32" s="1079"/>
      <c r="Q32" s="1080">
        <v>0</v>
      </c>
      <c r="R32" s="1079"/>
      <c r="S32" s="1080">
        <v>0</v>
      </c>
      <c r="T32" s="1079"/>
      <c r="U32" s="1080">
        <v>0</v>
      </c>
      <c r="V32" s="1079"/>
      <c r="W32" s="1080">
        <v>0</v>
      </c>
      <c r="X32" s="1079"/>
      <c r="Y32" s="1080">
        <v>0</v>
      </c>
      <c r="Z32" s="1079"/>
      <c r="AA32" s="1080">
        <v>0</v>
      </c>
      <c r="AB32" s="1079"/>
      <c r="AC32" s="1080">
        <v>0</v>
      </c>
      <c r="AD32" s="1079"/>
      <c r="AE32" s="1080">
        <f t="shared" si="0"/>
        <v>2.08</v>
      </c>
      <c r="AF32" s="1239">
        <f t="shared" si="1"/>
        <v>5.6649873371694401E-2</v>
      </c>
      <c r="AG32" s="1818"/>
      <c r="AH32" s="1819">
        <f t="shared" si="2"/>
        <v>5.6649873371694401E-2</v>
      </c>
      <c r="AJ32" s="1837">
        <v>2121</v>
      </c>
      <c r="AK32" s="1838">
        <f>IFERROR(VLOOKUP($AJ32,'[74]Thru 8.2021 Customer Count'!$A$5:$C$110,3,FALSE),0)</f>
        <v>0</v>
      </c>
      <c r="AL32" s="1839">
        <f>IFERROR(VLOOKUP($AJ32,'[74]09.2021 Customer Count'!$A$5:$C$118,3,FALSE),0)</f>
        <v>0</v>
      </c>
      <c r="AM32" s="1839">
        <f>IFERROR(VLOOKUP(AJ32,'[74]10.2021 Customer Count'!$A$5:$C$119,3,FALSE),0)</f>
        <v>0</v>
      </c>
      <c r="AN32" s="1839">
        <f>IFERROR(VLOOKUP(AJ32,'[74]11.2021 Customer Count'!$A$5:$C$120,3,FALSE),0)</f>
        <v>0</v>
      </c>
      <c r="AO32" s="1839">
        <f>IFERROR(VLOOKUP(AJ32,'[74]12.2022 Customer Count'!$A$5:$C$124,3,FALSE),0)</f>
        <v>0</v>
      </c>
      <c r="AP32" s="1366">
        <f>VLOOKUP(AJ32,'[75]01.2022 Customer Count'!$A$5:$C$127,3,FALSE)</f>
        <v>0</v>
      </c>
    </row>
    <row r="33" spans="1:42" ht="15">
      <c r="A33" s="234">
        <v>70216</v>
      </c>
      <c r="B33" s="234" t="s">
        <v>570</v>
      </c>
      <c r="C33" s="235"/>
      <c r="D33" s="3"/>
      <c r="E33" s="236"/>
      <c r="F33" s="747"/>
      <c r="G33" s="1078">
        <v>151.25</v>
      </c>
      <c r="H33" s="1079"/>
      <c r="I33" s="1080">
        <v>200.75</v>
      </c>
      <c r="J33" s="1079"/>
      <c r="K33" s="1080">
        <v>200.2</v>
      </c>
      <c r="L33" s="1079"/>
      <c r="M33" s="1080">
        <v>420.08</v>
      </c>
      <c r="N33" s="1079"/>
      <c r="O33" s="1080">
        <v>0</v>
      </c>
      <c r="P33" s="1079"/>
      <c r="Q33" s="1080">
        <v>196.02</v>
      </c>
      <c r="R33" s="1079"/>
      <c r="S33" s="1080">
        <v>202.54</v>
      </c>
      <c r="T33" s="1079"/>
      <c r="U33" s="1080">
        <v>196.02</v>
      </c>
      <c r="V33" s="1079"/>
      <c r="W33" s="1080">
        <v>202.54</v>
      </c>
      <c r="X33" s="1079"/>
      <c r="Y33" s="1080">
        <v>202.54</v>
      </c>
      <c r="Z33" s="1079"/>
      <c r="AA33" s="1080">
        <v>0</v>
      </c>
      <c r="AB33" s="1079"/>
      <c r="AC33" s="1080">
        <v>202.54</v>
      </c>
      <c r="AD33" s="1079"/>
      <c r="AE33" s="1080">
        <f t="shared" si="0"/>
        <v>2174.48</v>
      </c>
      <c r="AF33" s="1239">
        <f t="shared" si="1"/>
        <v>58.054675855222442</v>
      </c>
      <c r="AG33" s="1818"/>
      <c r="AH33" s="1819">
        <f t="shared" si="2"/>
        <v>58.054675855222442</v>
      </c>
      <c r="AJ33" s="1837">
        <v>2125</v>
      </c>
      <c r="AK33" s="1838">
        <f>IFERROR(VLOOKUP($AJ33,'[74]Thru 8.2021 Customer Count'!$A$5:$C$110,3,FALSE),0)</f>
        <v>8.2163376505622804E-7</v>
      </c>
      <c r="AL33" s="1839">
        <f>IFERROR(VLOOKUP($AJ33,'[74]09.2021 Customer Count'!$A$5:$C$118,3,FALSE),0)</f>
        <v>7.950217172346526E-7</v>
      </c>
      <c r="AM33" s="1839">
        <f>IFERROR(VLOOKUP(AJ33,'[74]10.2021 Customer Count'!$A$5:$C$119,3,FALSE),0)</f>
        <v>7.7245650313898846E-7</v>
      </c>
      <c r="AN33" s="1839">
        <f>IFERROR(VLOOKUP(AJ33,'[74]11.2021 Customer Count'!$A$5:$C$120,3,FALSE),0)</f>
        <v>7.6891062157945751E-7</v>
      </c>
      <c r="AO33" s="1839">
        <f>IFERROR(VLOOKUP(AJ33,'[74]12.2022 Customer Count'!$A$5:$C$124,3,FALSE),0)</f>
        <v>7.601000528427421E-7</v>
      </c>
      <c r="AP33" s="1366">
        <f>VLOOKUP(AJ33,'[75]01.2022 Customer Count'!$A$5:$C$127,3,FALSE)</f>
        <v>7.4280750025746149E-7</v>
      </c>
    </row>
    <row r="34" spans="1:42" ht="15">
      <c r="A34" s="234">
        <v>70225</v>
      </c>
      <c r="B34" s="234" t="s">
        <v>123</v>
      </c>
      <c r="C34" s="235"/>
      <c r="D34" s="3"/>
      <c r="E34" s="236"/>
      <c r="F34" s="747"/>
      <c r="G34" s="1078">
        <v>0</v>
      </c>
      <c r="H34" s="1079"/>
      <c r="I34" s="1080">
        <v>0</v>
      </c>
      <c r="J34" s="1079"/>
      <c r="K34" s="1080">
        <v>0</v>
      </c>
      <c r="L34" s="1079"/>
      <c r="M34" s="1080">
        <v>0</v>
      </c>
      <c r="N34" s="1079"/>
      <c r="O34" s="1080">
        <v>0</v>
      </c>
      <c r="P34" s="1079"/>
      <c r="Q34" s="1080">
        <v>0</v>
      </c>
      <c r="R34" s="1079"/>
      <c r="S34" s="1080">
        <v>0</v>
      </c>
      <c r="T34" s="1079"/>
      <c r="U34" s="1080">
        <v>112</v>
      </c>
      <c r="V34" s="1079"/>
      <c r="W34" s="1080">
        <v>0</v>
      </c>
      <c r="X34" s="1079"/>
      <c r="Y34" s="1080">
        <v>0</v>
      </c>
      <c r="Z34" s="1079"/>
      <c r="AA34" s="1080">
        <v>0</v>
      </c>
      <c r="AB34" s="1079"/>
      <c r="AC34" s="1080">
        <v>0</v>
      </c>
      <c r="AD34" s="1079"/>
      <c r="AE34" s="1080">
        <f t="shared" si="0"/>
        <v>112</v>
      </c>
      <c r="AF34" s="1239">
        <f t="shared" si="1"/>
        <v>2.854639119820976</v>
      </c>
      <c r="AG34" s="1818"/>
      <c r="AH34" s="1819">
        <f t="shared" si="2"/>
        <v>2.854639119820976</v>
      </c>
      <c r="AJ34" s="1837">
        <v>2131</v>
      </c>
      <c r="AK34" s="1838">
        <f>IFERROR(VLOOKUP($AJ34,'[74]Thru 8.2021 Customer Count'!$A$5:$C$110,3,FALSE),0)</f>
        <v>0</v>
      </c>
      <c r="AL34" s="1839">
        <f>IFERROR(VLOOKUP($AJ34,'[74]09.2021 Customer Count'!$A$5:$C$118,3,FALSE),0)</f>
        <v>0</v>
      </c>
      <c r="AM34" s="1839">
        <f>IFERROR(VLOOKUP(AJ34,'[74]10.2021 Customer Count'!$A$5:$C$119,3,FALSE),0)</f>
        <v>0</v>
      </c>
      <c r="AN34" s="1839">
        <f>IFERROR(VLOOKUP(AJ34,'[74]11.2021 Customer Count'!$A$5:$C$120,3,FALSE),0)</f>
        <v>0</v>
      </c>
      <c r="AO34" s="1839">
        <f>IFERROR(VLOOKUP(AJ34,'[74]12.2022 Customer Count'!$A$5:$C$124,3,FALSE),0)</f>
        <v>0</v>
      </c>
      <c r="AP34" s="1366">
        <f>VLOOKUP(AJ34,'[75]01.2022 Customer Count'!$A$5:$C$127,3,FALSE)</f>
        <v>0</v>
      </c>
    </row>
    <row r="35" spans="1:42" ht="15">
      <c r="A35" s="234">
        <v>70230</v>
      </c>
      <c r="B35" s="234" t="s">
        <v>437</v>
      </c>
      <c r="C35" s="235"/>
      <c r="D35" s="3"/>
      <c r="E35" s="236"/>
      <c r="F35" s="747"/>
      <c r="G35" s="1078">
        <v>0</v>
      </c>
      <c r="H35" s="1079"/>
      <c r="I35" s="1080">
        <v>0</v>
      </c>
      <c r="J35" s="1079"/>
      <c r="K35" s="1080">
        <v>0</v>
      </c>
      <c r="L35" s="1079"/>
      <c r="M35" s="1080">
        <v>0</v>
      </c>
      <c r="N35" s="1079"/>
      <c r="O35" s="1080">
        <v>0</v>
      </c>
      <c r="P35" s="1079"/>
      <c r="Q35" s="1080">
        <v>15000</v>
      </c>
      <c r="R35" s="1079"/>
      <c r="S35" s="1080">
        <v>14000</v>
      </c>
      <c r="T35" s="1079"/>
      <c r="U35" s="1080">
        <v>24000</v>
      </c>
      <c r="V35" s="1079"/>
      <c r="W35" s="1080">
        <v>0</v>
      </c>
      <c r="X35" s="1079"/>
      <c r="Y35" s="1080">
        <v>0</v>
      </c>
      <c r="Z35" s="1079"/>
      <c r="AA35" s="1080">
        <v>0</v>
      </c>
      <c r="AB35" s="1079"/>
      <c r="AC35" s="1080">
        <v>0</v>
      </c>
      <c r="AD35" s="1079"/>
      <c r="AE35" s="1080">
        <f t="shared" si="0"/>
        <v>53000</v>
      </c>
      <c r="AF35" s="1239">
        <f t="shared" si="1"/>
        <v>1365.4845153869112</v>
      </c>
      <c r="AG35" s="1818"/>
      <c r="AH35" s="1819">
        <f t="shared" si="2"/>
        <v>1365.4845153869112</v>
      </c>
      <c r="AJ35" s="1837">
        <v>2132</v>
      </c>
      <c r="AK35" s="1838">
        <f>IFERROR(VLOOKUP($AJ35,'[74]Thru 8.2021 Customer Count'!$A$5:$C$110,3,FALSE),0)</f>
        <v>2.06065748276102E-3</v>
      </c>
      <c r="AL35" s="1839">
        <f>IFERROR(VLOOKUP($AJ35,'[74]09.2021 Customer Count'!$A$5:$C$118,3,FALSE),0)</f>
        <v>1.9939144668245086E-3</v>
      </c>
      <c r="AM35" s="1839">
        <f>IFERROR(VLOOKUP(AJ35,'[74]10.2021 Customer Count'!$A$5:$C$119,3,FALSE),0)</f>
        <v>1.9373209098725833E-3</v>
      </c>
      <c r="AN35" s="1839">
        <f>IFERROR(VLOOKUP(AJ35,'[74]11.2021 Customer Count'!$A$5:$C$120,3,FALSE),0)</f>
        <v>1.9284278389212794E-3</v>
      </c>
      <c r="AO35" s="1839">
        <f>IFERROR(VLOOKUP(AJ35,'[74]12.2022 Customer Count'!$A$5:$C$124,3,FALSE),0)</f>
        <v>1.9063309325295971E-3</v>
      </c>
      <c r="AP35" s="1366">
        <f>VLOOKUP(AJ35,'[75]01.2022 Customer Count'!$A$5:$C$127,3,FALSE)</f>
        <v>1.9179289656647655E-3</v>
      </c>
    </row>
    <row r="36" spans="1:42" ht="15">
      <c r="A36" s="234">
        <v>70231</v>
      </c>
      <c r="B36" s="234" t="s">
        <v>552</v>
      </c>
      <c r="C36" s="235"/>
      <c r="D36" s="3"/>
      <c r="E36" s="236"/>
      <c r="F36" s="747"/>
      <c r="G36" s="1078">
        <v>0</v>
      </c>
      <c r="H36" s="1079"/>
      <c r="I36" s="1080">
        <v>12.41</v>
      </c>
      <c r="J36" s="1079"/>
      <c r="K36" s="1080">
        <v>90</v>
      </c>
      <c r="L36" s="1079"/>
      <c r="M36" s="1080">
        <v>294</v>
      </c>
      <c r="N36" s="1079"/>
      <c r="O36" s="1080">
        <v>1479.29</v>
      </c>
      <c r="P36" s="1079"/>
      <c r="Q36" s="1080">
        <v>226.72</v>
      </c>
      <c r="R36" s="1079"/>
      <c r="S36" s="1080">
        <v>151.88999999999999</v>
      </c>
      <c r="T36" s="1079"/>
      <c r="U36" s="1080">
        <v>151.88999999999999</v>
      </c>
      <c r="V36" s="1079"/>
      <c r="W36" s="1080">
        <v>400.37</v>
      </c>
      <c r="X36" s="1079"/>
      <c r="Y36" s="1080">
        <v>0</v>
      </c>
      <c r="Z36" s="1079"/>
      <c r="AA36" s="1080">
        <v>28.08</v>
      </c>
      <c r="AB36" s="1079"/>
      <c r="AC36" s="1080">
        <v>3098.26</v>
      </c>
      <c r="AD36" s="1079"/>
      <c r="AE36" s="1080">
        <f t="shared" si="0"/>
        <v>5932.91</v>
      </c>
      <c r="AF36" s="1239">
        <f t="shared" si="1"/>
        <v>160.75367710654001</v>
      </c>
      <c r="AG36" s="1818"/>
      <c r="AH36" s="1819">
        <f t="shared" si="2"/>
        <v>160.75367710654001</v>
      </c>
      <c r="AJ36" s="1837">
        <v>2140</v>
      </c>
      <c r="AK36" s="1838">
        <f>IFERROR(VLOOKUP($AJ36,'[74]Thru 8.2021 Customer Count'!$A$5:$C$110,3,FALSE),0)</f>
        <v>2.6522337936015039E-3</v>
      </c>
      <c r="AL36" s="1839">
        <f>IFERROR(VLOOKUP($AJ36,'[74]09.2021 Customer Count'!$A$5:$C$118,3,FALSE),0)</f>
        <v>2.5663301032334586E-3</v>
      </c>
      <c r="AM36" s="1839">
        <f>IFERROR(VLOOKUP(AJ36,'[74]10.2021 Customer Count'!$A$5:$C$119,3,FALSE),0)</f>
        <v>2.4934895921326547E-3</v>
      </c>
      <c r="AN36" s="1839">
        <f>IFERROR(VLOOKUP(AJ36,'[74]11.2021 Customer Count'!$A$5:$C$120,3,FALSE),0)</f>
        <v>2.4820434864584887E-3</v>
      </c>
      <c r="AO36" s="1839">
        <f>IFERROR(VLOOKUP(AJ36,'[74]12.2022 Customer Count'!$A$5:$C$124,3,FALSE),0)</f>
        <v>2.4536029705763715E-3</v>
      </c>
      <c r="AP36" s="1366">
        <f>VLOOKUP(AJ36,'[75]01.2022 Customer Count'!$A$5:$C$127,3,FALSE)</f>
        <v>2.5292595383766565E-3</v>
      </c>
    </row>
    <row r="37" spans="1:42" ht="15">
      <c r="A37" s="234">
        <v>70232</v>
      </c>
      <c r="B37" s="234" t="s">
        <v>428</v>
      </c>
      <c r="C37" s="235"/>
      <c r="D37" s="3"/>
      <c r="E37" s="236"/>
      <c r="F37" s="747"/>
      <c r="G37" s="1078">
        <v>0</v>
      </c>
      <c r="H37" s="1079"/>
      <c r="I37" s="1080">
        <v>0</v>
      </c>
      <c r="J37" s="1079"/>
      <c r="K37" s="1080">
        <v>0</v>
      </c>
      <c r="L37" s="1079"/>
      <c r="M37" s="1080">
        <v>0</v>
      </c>
      <c r="N37" s="1079"/>
      <c r="O37" s="1080">
        <v>0</v>
      </c>
      <c r="P37" s="1079"/>
      <c r="Q37" s="1080">
        <v>0</v>
      </c>
      <c r="R37" s="1079"/>
      <c r="S37" s="1080">
        <v>0</v>
      </c>
      <c r="T37" s="1079"/>
      <c r="U37" s="1080">
        <v>0</v>
      </c>
      <c r="V37" s="1079"/>
      <c r="W37" s="1080">
        <v>393.24</v>
      </c>
      <c r="X37" s="1079"/>
      <c r="Y37" s="1080">
        <v>0</v>
      </c>
      <c r="Z37" s="1079"/>
      <c r="AA37" s="1080">
        <v>0</v>
      </c>
      <c r="AB37" s="1079"/>
      <c r="AC37" s="1080">
        <v>0</v>
      </c>
      <c r="AD37" s="1079"/>
      <c r="AE37" s="1080">
        <f t="shared" si="0"/>
        <v>393.24</v>
      </c>
      <c r="AF37" s="1239">
        <f t="shared" si="1"/>
        <v>9.9079950359634594</v>
      </c>
      <c r="AG37" s="1818"/>
      <c r="AH37" s="1819">
        <f t="shared" si="2"/>
        <v>9.9079950359634594</v>
      </c>
      <c r="AJ37" s="1837">
        <v>2143</v>
      </c>
      <c r="AK37" s="1838">
        <f>IFERROR(VLOOKUP($AJ37,'[74]Thru 8.2021 Customer Count'!$A$5:$C$110,3,FALSE),0)</f>
        <v>0</v>
      </c>
      <c r="AL37" s="1839">
        <f>IFERROR(VLOOKUP($AJ37,'[74]09.2021 Customer Count'!$A$5:$C$118,3,FALSE),0)</f>
        <v>0</v>
      </c>
      <c r="AM37" s="1839">
        <f>IFERROR(VLOOKUP(AJ37,'[74]10.2021 Customer Count'!$A$5:$C$119,3,FALSE),0)</f>
        <v>0</v>
      </c>
      <c r="AN37" s="1839">
        <f>IFERROR(VLOOKUP(AJ37,'[74]11.2021 Customer Count'!$A$5:$C$120,3,FALSE),0)</f>
        <v>0</v>
      </c>
      <c r="AO37" s="1839">
        <f>IFERROR(VLOOKUP(AJ37,'[74]12.2022 Customer Count'!$A$5:$C$124,3,FALSE),0)</f>
        <v>0</v>
      </c>
      <c r="AP37" s="1366">
        <f>VLOOKUP(AJ37,'[75]01.2022 Customer Count'!$A$5:$C$127,3,FALSE)</f>
        <v>0</v>
      </c>
    </row>
    <row r="38" spans="1:42" ht="15">
      <c r="A38" s="234">
        <v>70255</v>
      </c>
      <c r="B38" s="234" t="s">
        <v>140</v>
      </c>
      <c r="C38" s="235"/>
      <c r="D38" s="3"/>
      <c r="E38" s="236"/>
      <c r="F38" s="747"/>
      <c r="G38" s="1078">
        <v>0</v>
      </c>
      <c r="H38" s="1079"/>
      <c r="I38" s="1080">
        <v>2650</v>
      </c>
      <c r="J38" s="1079"/>
      <c r="K38" s="1080">
        <v>8028</v>
      </c>
      <c r="L38" s="1079"/>
      <c r="M38" s="1080">
        <v>-0.22</v>
      </c>
      <c r="N38" s="1079"/>
      <c r="O38" s="1080">
        <v>0</v>
      </c>
      <c r="P38" s="1079"/>
      <c r="Q38" s="1080">
        <v>-8027.78</v>
      </c>
      <c r="R38" s="1079"/>
      <c r="S38" s="1080">
        <v>0</v>
      </c>
      <c r="T38" s="1079"/>
      <c r="U38" s="1080">
        <v>-70</v>
      </c>
      <c r="V38" s="1079"/>
      <c r="W38" s="1080">
        <v>0</v>
      </c>
      <c r="X38" s="1079"/>
      <c r="Y38" s="1080">
        <v>0</v>
      </c>
      <c r="Z38" s="1079"/>
      <c r="AA38" s="1080">
        <v>3195</v>
      </c>
      <c r="AB38" s="1079"/>
      <c r="AC38" s="1080">
        <v>0</v>
      </c>
      <c r="AD38" s="1079"/>
      <c r="AE38" s="1080">
        <f t="shared" si="0"/>
        <v>5775</v>
      </c>
      <c r="AF38" s="1239">
        <f t="shared" si="1"/>
        <v>165.20186056319147</v>
      </c>
      <c r="AG38" s="1818"/>
      <c r="AH38" s="1819">
        <f t="shared" si="2"/>
        <v>165.20186056319147</v>
      </c>
      <c r="AJ38" s="1837">
        <v>2144</v>
      </c>
      <c r="AK38" s="1838">
        <f>IFERROR(VLOOKUP($AJ38,'[74]Thru 8.2021 Customer Count'!$A$5:$C$110,3,FALSE),0)</f>
        <v>1.1880824242713058E-2</v>
      </c>
      <c r="AL38" s="1839">
        <f>IFERROR(VLOOKUP($AJ38,'[74]09.2021 Customer Count'!$A$5:$C$118,3,FALSE),0)</f>
        <v>1.1496014031213076E-2</v>
      </c>
      <c r="AM38" s="1839">
        <f>IFERROR(VLOOKUP(AJ38,'[74]10.2021 Customer Count'!$A$5:$C$119,3,FALSE),0)</f>
        <v>1.1169721035389773E-2</v>
      </c>
      <c r="AN38" s="1839">
        <f>IFERROR(VLOOKUP(AJ38,'[74]11.2021 Customer Count'!$A$5:$C$120,3,FALSE),0)</f>
        <v>1.1118447588038956E-2</v>
      </c>
      <c r="AO38" s="1839">
        <f>IFERROR(VLOOKUP(AJ38,'[74]12.2022 Customer Count'!$A$5:$C$124,3,FALSE),0)</f>
        <v>1.099104676410605E-2</v>
      </c>
      <c r="AP38" s="1366">
        <f>VLOOKUP(AJ38,'[75]01.2022 Customer Count'!$A$5:$C$127,3,FALSE)</f>
        <v>1.142660777646053E-2</v>
      </c>
    </row>
    <row r="39" spans="1:42" ht="15">
      <c r="A39" s="234">
        <v>70275</v>
      </c>
      <c r="B39" s="234" t="s">
        <v>96</v>
      </c>
      <c r="C39" s="235"/>
      <c r="D39" s="3"/>
      <c r="E39" s="236"/>
      <c r="F39" s="747"/>
      <c r="G39" s="1078">
        <v>0</v>
      </c>
      <c r="H39" s="1079"/>
      <c r="I39" s="1080">
        <v>0</v>
      </c>
      <c r="J39" s="1079"/>
      <c r="K39" s="1080">
        <v>0</v>
      </c>
      <c r="L39" s="1079"/>
      <c r="M39" s="1080">
        <v>0</v>
      </c>
      <c r="N39" s="1079"/>
      <c r="O39" s="1080">
        <v>0</v>
      </c>
      <c r="P39" s="1079"/>
      <c r="Q39" s="1080">
        <v>0</v>
      </c>
      <c r="R39" s="1079"/>
      <c r="S39" s="1080">
        <v>0</v>
      </c>
      <c r="T39" s="1079"/>
      <c r="U39" s="1080">
        <v>0</v>
      </c>
      <c r="V39" s="1079"/>
      <c r="W39" s="1080">
        <v>0</v>
      </c>
      <c r="X39" s="1079"/>
      <c r="Y39" s="1080">
        <v>0</v>
      </c>
      <c r="Z39" s="1079"/>
      <c r="AA39" s="1080">
        <v>0</v>
      </c>
      <c r="AB39" s="1079"/>
      <c r="AC39" s="1080">
        <v>3842</v>
      </c>
      <c r="AD39" s="1079"/>
      <c r="AE39" s="1080">
        <f t="shared" si="0"/>
        <v>3842</v>
      </c>
      <c r="AF39" s="1239">
        <f t="shared" si="1"/>
        <v>105.49602593345554</v>
      </c>
      <c r="AG39" s="1818"/>
      <c r="AH39" s="1819">
        <f t="shared" si="2"/>
        <v>105.49602593345554</v>
      </c>
      <c r="AJ39" s="1837">
        <v>2146</v>
      </c>
      <c r="AK39" s="1838">
        <f>IFERROR(VLOOKUP($AJ39,'[74]Thru 8.2021 Customer Count'!$A$5:$C$110,3,FALSE),0)</f>
        <v>6.0726951575305809E-3</v>
      </c>
      <c r="AL39" s="1839">
        <f>IFERROR(VLOOKUP($AJ39,'[74]09.2021 Customer Count'!$A$5:$C$118,3,FALSE),0)</f>
        <v>5.8760055120813176E-3</v>
      </c>
      <c r="AM39" s="1839">
        <f>IFERROR(VLOOKUP(AJ39,'[74]10.2021 Customer Count'!$A$5:$C$119,3,FALSE),0)</f>
        <v>5.709226014700264E-3</v>
      </c>
      <c r="AN39" s="1839">
        <f>IFERROR(VLOOKUP(AJ39,'[74]11.2021 Customer Count'!$A$5:$C$120,3,FALSE),0)</f>
        <v>5.6830184040937703E-3</v>
      </c>
      <c r="AO39" s="1839">
        <f>IFERROR(VLOOKUP(AJ39,'[74]12.2022 Customer Count'!$A$5:$C$124,3,FALSE),0)</f>
        <v>5.6178994905607066E-3</v>
      </c>
      <c r="AP39" s="1366">
        <f>VLOOKUP(AJ39,'[75]01.2022 Customer Count'!$A$5:$C$127,3,FALSE)</f>
        <v>6.3576893947036132E-3</v>
      </c>
    </row>
    <row r="40" spans="1:42" ht="15">
      <c r="A40" s="234">
        <v>70301</v>
      </c>
      <c r="B40" s="234" t="s">
        <v>272</v>
      </c>
      <c r="C40" s="235"/>
      <c r="D40" s="3"/>
      <c r="E40" s="236"/>
      <c r="F40" s="747"/>
      <c r="G40" s="1078">
        <v>0</v>
      </c>
      <c r="H40" s="1079"/>
      <c r="I40" s="1080">
        <v>0</v>
      </c>
      <c r="J40" s="1079"/>
      <c r="K40" s="1080">
        <v>0</v>
      </c>
      <c r="L40" s="1079"/>
      <c r="M40" s="1080">
        <v>129.69</v>
      </c>
      <c r="N40" s="1079"/>
      <c r="O40" s="1080">
        <v>104.6</v>
      </c>
      <c r="P40" s="1079"/>
      <c r="Q40" s="1080">
        <v>0</v>
      </c>
      <c r="R40" s="1079"/>
      <c r="S40" s="1080">
        <v>0</v>
      </c>
      <c r="T40" s="1079"/>
      <c r="U40" s="1080">
        <v>0</v>
      </c>
      <c r="V40" s="1079"/>
      <c r="W40" s="1080">
        <v>172.14</v>
      </c>
      <c r="X40" s="1079"/>
      <c r="Y40" s="1080">
        <v>0</v>
      </c>
      <c r="Z40" s="1079"/>
      <c r="AA40" s="1080">
        <v>0</v>
      </c>
      <c r="AB40" s="1079"/>
      <c r="AC40" s="1080">
        <v>0</v>
      </c>
      <c r="AD40" s="1079"/>
      <c r="AE40" s="1080">
        <f t="shared" si="0"/>
        <v>406.43</v>
      </c>
      <c r="AF40" s="1239">
        <f t="shared" si="1"/>
        <v>10.718213472366202</v>
      </c>
      <c r="AG40" s="1818"/>
      <c r="AH40" s="1819">
        <f t="shared" si="2"/>
        <v>10.718213472366202</v>
      </c>
      <c r="AJ40" s="1837">
        <v>2148</v>
      </c>
      <c r="AK40" s="1838">
        <f>IFERROR(VLOOKUP($AJ40,'[74]Thru 8.2021 Customer Count'!$A$5:$C$110,3,FALSE),0)</f>
        <v>0</v>
      </c>
      <c r="AL40" s="1839">
        <f>IFERROR(VLOOKUP($AJ40,'[74]09.2021 Customer Count'!$A$5:$C$118,3,FALSE),0)</f>
        <v>0</v>
      </c>
      <c r="AM40" s="1839">
        <f>IFERROR(VLOOKUP(AJ40,'[74]10.2021 Customer Count'!$A$5:$C$119,3,FALSE),0)</f>
        <v>0</v>
      </c>
      <c r="AN40" s="1839">
        <f>IFERROR(VLOOKUP(AJ40,'[74]11.2021 Customer Count'!$A$5:$C$120,3,FALSE),0)</f>
        <v>0</v>
      </c>
      <c r="AO40" s="1839">
        <f>IFERROR(VLOOKUP(AJ40,'[74]12.2022 Customer Count'!$A$5:$C$124,3,FALSE),0)</f>
        <v>0</v>
      </c>
      <c r="AP40" s="1366">
        <f>VLOOKUP(AJ40,'[75]01.2022 Customer Count'!$A$5:$C$127,3,FALSE)</f>
        <v>0</v>
      </c>
    </row>
    <row r="41" spans="1:42" ht="15">
      <c r="A41" s="234">
        <v>70302</v>
      </c>
      <c r="B41" s="234" t="s">
        <v>142</v>
      </c>
      <c r="C41" s="235"/>
      <c r="D41" s="3"/>
      <c r="E41" s="236"/>
      <c r="F41" s="747"/>
      <c r="G41" s="1078">
        <v>2650.46</v>
      </c>
      <c r="H41" s="1079"/>
      <c r="I41" s="1080">
        <v>1621.64</v>
      </c>
      <c r="J41" s="1079"/>
      <c r="K41" s="1080">
        <v>979.78</v>
      </c>
      <c r="L41" s="1079"/>
      <c r="M41" s="1080">
        <v>1577.55</v>
      </c>
      <c r="N41" s="1079"/>
      <c r="O41" s="1080">
        <v>1079.43</v>
      </c>
      <c r="P41" s="1079"/>
      <c r="Q41" s="1080">
        <v>945.46</v>
      </c>
      <c r="R41" s="1079"/>
      <c r="S41" s="1080">
        <v>2462.81</v>
      </c>
      <c r="T41" s="1079"/>
      <c r="U41" s="1080">
        <v>441</v>
      </c>
      <c r="V41" s="1079"/>
      <c r="W41" s="1080">
        <v>3362.32</v>
      </c>
      <c r="X41" s="1079"/>
      <c r="Y41" s="1080">
        <v>108.32</v>
      </c>
      <c r="Z41" s="1079"/>
      <c r="AA41" s="1080">
        <v>4342.53</v>
      </c>
      <c r="AB41" s="1079"/>
      <c r="AC41" s="1080">
        <v>1193.31</v>
      </c>
      <c r="AD41" s="1079"/>
      <c r="AE41" s="1080">
        <f t="shared" si="0"/>
        <v>20764.609999999997</v>
      </c>
      <c r="AF41" s="1239">
        <f t="shared" si="1"/>
        <v>554.31648444472694</v>
      </c>
      <c r="AG41" s="1818"/>
      <c r="AH41" s="1819">
        <f t="shared" si="2"/>
        <v>554.31648444472694</v>
      </c>
      <c r="AJ41" s="1837">
        <v>2149</v>
      </c>
      <c r="AK41" s="1838">
        <f>IFERROR(VLOOKUP($AJ41,'[74]Thru 8.2021 Customer Count'!$A$5:$C$110,3,FALSE),0)</f>
        <v>1.5100806967968415E-2</v>
      </c>
      <c r="AL41" s="1839">
        <f>IFERROR(VLOOKUP($AJ41,'[74]09.2021 Customer Count'!$A$5:$C$118,3,FALSE),0)</f>
        <v>1.4611704141055681E-2</v>
      </c>
      <c r="AM41" s="1839">
        <f>IFERROR(VLOOKUP(AJ41,'[74]10.2021 Customer Count'!$A$5:$C$119,3,FALSE),0)</f>
        <v>1.419697807119147E-2</v>
      </c>
      <c r="AN41" s="1839">
        <f>IFERROR(VLOOKUP(AJ41,'[74]11.2021 Customer Count'!$A$5:$C$120,3,FALSE),0)</f>
        <v>1.4131808314008849E-2</v>
      </c>
      <c r="AO41" s="1839">
        <f>IFERROR(VLOOKUP(AJ41,'[74]12.2022 Customer Count'!$A$5:$C$124,3,FALSE),0)</f>
        <v>1.3969878871196757E-2</v>
      </c>
      <c r="AP41" s="1366">
        <f>VLOOKUP(AJ41,'[75]01.2022 Customer Count'!$A$5:$C$127,3,FALSE)</f>
        <v>1.471575938760057E-2</v>
      </c>
    </row>
    <row r="42" spans="1:42" ht="15">
      <c r="A42" s="234">
        <v>70303</v>
      </c>
      <c r="B42" s="234" t="s">
        <v>438</v>
      </c>
      <c r="C42" s="235"/>
      <c r="D42" s="3"/>
      <c r="E42" s="236"/>
      <c r="F42" s="747"/>
      <c r="G42" s="1078">
        <v>575.76</v>
      </c>
      <c r="H42" s="1079"/>
      <c r="I42" s="1080">
        <v>575.76</v>
      </c>
      <c r="J42" s="1079"/>
      <c r="K42" s="1080">
        <v>575.76</v>
      </c>
      <c r="L42" s="1079"/>
      <c r="M42" s="1080">
        <v>575.76</v>
      </c>
      <c r="N42" s="1079"/>
      <c r="O42" s="1080">
        <v>575.76</v>
      </c>
      <c r="P42" s="1079"/>
      <c r="Q42" s="1080">
        <v>549.76</v>
      </c>
      <c r="R42" s="1079"/>
      <c r="S42" s="1080">
        <v>575.76</v>
      </c>
      <c r="T42" s="1079"/>
      <c r="U42" s="1080">
        <v>562.76</v>
      </c>
      <c r="V42" s="1079"/>
      <c r="W42" s="1080">
        <v>1370.06</v>
      </c>
      <c r="X42" s="1079"/>
      <c r="Y42" s="1080">
        <v>468.64</v>
      </c>
      <c r="Z42" s="1079"/>
      <c r="AA42" s="1080">
        <v>468.64</v>
      </c>
      <c r="AB42" s="1079"/>
      <c r="AC42" s="1080">
        <v>468.64</v>
      </c>
      <c r="AD42" s="1079"/>
      <c r="AE42" s="1080">
        <f t="shared" si="0"/>
        <v>7343.0600000000013</v>
      </c>
      <c r="AF42" s="1239">
        <f t="shared" si="1"/>
        <v>195.10411700815806</v>
      </c>
      <c r="AG42" s="1818"/>
      <c r="AH42" s="1819">
        <f t="shared" si="2"/>
        <v>195.10411700815806</v>
      </c>
      <c r="AJ42" s="1837">
        <v>2150</v>
      </c>
      <c r="AK42" s="1838">
        <f>IFERROR(VLOOKUP($AJ42,'[74]Thru 8.2021 Customer Count'!$A$5:$C$110,3,FALSE),0)</f>
        <v>0</v>
      </c>
      <c r="AL42" s="1839">
        <f>IFERROR(VLOOKUP($AJ42,'[74]09.2021 Customer Count'!$A$5:$C$118,3,FALSE),0)</f>
        <v>0</v>
      </c>
      <c r="AM42" s="1839">
        <f>IFERROR(VLOOKUP(AJ42,'[74]10.2021 Customer Count'!$A$5:$C$119,3,FALSE),0)</f>
        <v>0</v>
      </c>
      <c r="AN42" s="1839">
        <f>IFERROR(VLOOKUP(AJ42,'[74]11.2021 Customer Count'!$A$5:$C$120,3,FALSE),0)</f>
        <v>0</v>
      </c>
      <c r="AO42" s="1839">
        <f>IFERROR(VLOOKUP(AJ42,'[74]12.2022 Customer Count'!$A$5:$C$124,3,FALSE),0)</f>
        <v>0</v>
      </c>
      <c r="AP42" s="1366">
        <f>VLOOKUP(AJ42,'[75]01.2022 Customer Count'!$A$5:$C$127,3,FALSE)</f>
        <v>0</v>
      </c>
    </row>
    <row r="43" spans="1:42" ht="15">
      <c r="A43" s="234">
        <v>70320</v>
      </c>
      <c r="B43" s="234" t="s">
        <v>144</v>
      </c>
      <c r="C43" s="235"/>
      <c r="D43" s="3"/>
      <c r="E43" s="236"/>
      <c r="F43" s="747"/>
      <c r="G43" s="1078">
        <v>10601.97</v>
      </c>
      <c r="H43" s="1079"/>
      <c r="I43" s="1080">
        <v>5386.55</v>
      </c>
      <c r="J43" s="1079"/>
      <c r="K43" s="1080">
        <v>6178.66</v>
      </c>
      <c r="L43" s="1079"/>
      <c r="M43" s="1080">
        <v>6182.91</v>
      </c>
      <c r="N43" s="1079"/>
      <c r="O43" s="1080">
        <v>5981.66</v>
      </c>
      <c r="P43" s="1079"/>
      <c r="Q43" s="1080">
        <v>6192.26</v>
      </c>
      <c r="R43" s="1079"/>
      <c r="S43" s="1080">
        <v>6281.26</v>
      </c>
      <c r="T43" s="1079"/>
      <c r="U43" s="1080">
        <v>5779.86</v>
      </c>
      <c r="V43" s="1079"/>
      <c r="W43" s="1080">
        <v>6014.59</v>
      </c>
      <c r="X43" s="1079"/>
      <c r="Y43" s="1080">
        <v>5663.3</v>
      </c>
      <c r="Z43" s="1079"/>
      <c r="AA43" s="1080">
        <v>5670.4</v>
      </c>
      <c r="AB43" s="1079"/>
      <c r="AC43" s="1080">
        <v>5667.41</v>
      </c>
      <c r="AD43" s="1079"/>
      <c r="AE43" s="1080">
        <f t="shared" si="0"/>
        <v>75600.830000000016</v>
      </c>
      <c r="AF43" s="1239">
        <f t="shared" si="1"/>
        <v>2024.7496490740573</v>
      </c>
      <c r="AG43" s="1818"/>
      <c r="AH43" s="1819">
        <f t="shared" si="2"/>
        <v>2024.7496490740573</v>
      </c>
      <c r="AJ43" s="1837">
        <v>2160</v>
      </c>
      <c r="AK43" s="1838">
        <f>IFERROR(VLOOKUP($AJ43,'[74]Thru 8.2021 Customer Count'!$A$5:$C$110,3,FALSE),0)</f>
        <v>0</v>
      </c>
      <c r="AL43" s="1839">
        <f>IFERROR(VLOOKUP($AJ43,'[74]09.2021 Customer Count'!$A$5:$C$118,3,FALSE),0)</f>
        <v>0</v>
      </c>
      <c r="AM43" s="1839">
        <f>IFERROR(VLOOKUP(AJ43,'[74]10.2021 Customer Count'!$A$5:$C$119,3,FALSE),0)</f>
        <v>0</v>
      </c>
      <c r="AN43" s="1839">
        <f>IFERROR(VLOOKUP(AJ43,'[74]11.2021 Customer Count'!$A$5:$C$120,3,FALSE),0)</f>
        <v>0</v>
      </c>
      <c r="AO43" s="1839">
        <f>IFERROR(VLOOKUP(AJ43,'[74]12.2022 Customer Count'!$A$5:$C$124,3,FALSE),0)</f>
        <v>0</v>
      </c>
      <c r="AP43" s="1366">
        <f>VLOOKUP(AJ43,'[75]01.2022 Customer Count'!$A$5:$C$127,3,FALSE)</f>
        <v>0</v>
      </c>
    </row>
    <row r="44" spans="1:42" ht="15">
      <c r="A44" s="234">
        <v>70326</v>
      </c>
      <c r="B44" s="234" t="s">
        <v>2351</v>
      </c>
      <c r="C44" s="235"/>
      <c r="D44" s="3"/>
      <c r="E44" s="236"/>
      <c r="F44" s="747"/>
      <c r="G44" s="1078">
        <v>0</v>
      </c>
      <c r="H44" s="1079"/>
      <c r="I44" s="1080">
        <v>0</v>
      </c>
      <c r="J44" s="1079"/>
      <c r="K44" s="1080">
        <v>0</v>
      </c>
      <c r="L44" s="1079"/>
      <c r="M44" s="1080">
        <v>0</v>
      </c>
      <c r="N44" s="1079"/>
      <c r="O44" s="1080">
        <v>0</v>
      </c>
      <c r="P44" s="1079"/>
      <c r="Q44" s="1080">
        <v>0</v>
      </c>
      <c r="R44" s="1079"/>
      <c r="S44" s="1080">
        <v>0</v>
      </c>
      <c r="T44" s="1079"/>
      <c r="U44" s="1080">
        <v>0</v>
      </c>
      <c r="V44" s="1079"/>
      <c r="W44" s="1080">
        <v>1461</v>
      </c>
      <c r="X44" s="1079"/>
      <c r="Y44" s="1080">
        <v>0</v>
      </c>
      <c r="Z44" s="1079"/>
      <c r="AA44" s="1080">
        <v>0</v>
      </c>
      <c r="AB44" s="1079"/>
      <c r="AC44" s="1080">
        <v>3483.5</v>
      </c>
      <c r="AD44" s="1079"/>
      <c r="AE44" s="1080">
        <f t="shared" si="0"/>
        <v>4944.5</v>
      </c>
      <c r="AF44" s="1239">
        <f t="shared" si="1"/>
        <v>132.46316868884429</v>
      </c>
      <c r="AG44" s="1818"/>
      <c r="AH44" s="1819">
        <f t="shared" si="2"/>
        <v>132.46316868884429</v>
      </c>
      <c r="AJ44" s="1837">
        <v>2170</v>
      </c>
      <c r="AK44" s="1838">
        <f>IFERROR(VLOOKUP($AJ44,'[74]Thru 8.2021 Customer Count'!$A$5:$C$110,3,FALSE),0)</f>
        <v>0</v>
      </c>
      <c r="AL44" s="1839">
        <f>IFERROR(VLOOKUP($AJ44,'[74]09.2021 Customer Count'!$A$5:$C$118,3,FALSE),0)</f>
        <v>0</v>
      </c>
      <c r="AM44" s="1839">
        <f>IFERROR(VLOOKUP(AJ44,'[74]10.2021 Customer Count'!$A$5:$C$119,3,FALSE),0)</f>
        <v>0</v>
      </c>
      <c r="AN44" s="1839">
        <f>IFERROR(VLOOKUP(AJ44,'[74]11.2021 Customer Count'!$A$5:$C$120,3,FALSE),0)</f>
        <v>0</v>
      </c>
      <c r="AO44" s="1839">
        <f>IFERROR(VLOOKUP(AJ44,'[74]12.2022 Customer Count'!$A$5:$C$124,3,FALSE),0)</f>
        <v>0</v>
      </c>
      <c r="AP44" s="1366">
        <f>VLOOKUP(AJ44,'[75]01.2022 Customer Count'!$A$5:$C$127,3,FALSE)</f>
        <v>0</v>
      </c>
    </row>
    <row r="45" spans="1:42" ht="15">
      <c r="A45" s="234">
        <v>70330</v>
      </c>
      <c r="B45" s="234" t="s">
        <v>2352</v>
      </c>
      <c r="C45" s="235"/>
      <c r="D45" s="3"/>
      <c r="E45" s="236"/>
      <c r="F45" s="747"/>
      <c r="G45" s="1078">
        <v>0</v>
      </c>
      <c r="H45" s="1079"/>
      <c r="I45" s="1080">
        <v>0</v>
      </c>
      <c r="J45" s="1079"/>
      <c r="K45" s="1080">
        <v>0</v>
      </c>
      <c r="L45" s="1079"/>
      <c r="M45" s="1080">
        <v>0</v>
      </c>
      <c r="N45" s="1079"/>
      <c r="O45" s="1080">
        <v>3218.73</v>
      </c>
      <c r="P45" s="1079"/>
      <c r="Q45" s="1080">
        <v>1923.17</v>
      </c>
      <c r="R45" s="1079"/>
      <c r="S45" s="1080">
        <v>0</v>
      </c>
      <c r="T45" s="1079"/>
      <c r="U45" s="1080">
        <v>0</v>
      </c>
      <c r="V45" s="1079"/>
      <c r="W45" s="1080">
        <v>0</v>
      </c>
      <c r="X45" s="1079"/>
      <c r="Y45" s="1080">
        <v>0</v>
      </c>
      <c r="Z45" s="1079"/>
      <c r="AA45" s="1080">
        <v>0</v>
      </c>
      <c r="AB45" s="1079"/>
      <c r="AC45" s="1080">
        <v>354.01</v>
      </c>
      <c r="AD45" s="1079"/>
      <c r="AE45" s="1080">
        <f t="shared" si="0"/>
        <v>5495.91</v>
      </c>
      <c r="AF45" s="1239">
        <f t="shared" si="1"/>
        <v>148.06642893947944</v>
      </c>
      <c r="AG45" s="1818"/>
      <c r="AH45" s="1819">
        <f t="shared" si="2"/>
        <v>148.06642893947944</v>
      </c>
      <c r="AJ45" s="1837">
        <v>2171</v>
      </c>
      <c r="AK45" s="1838">
        <f>IFERROR(VLOOKUP($AJ45,'[74]Thru 8.2021 Customer Count'!$A$5:$C$110,3,FALSE),0)</f>
        <v>2.8757181776967982E-5</v>
      </c>
      <c r="AL45" s="1839">
        <f>IFERROR(VLOOKUP($AJ45,'[74]09.2021 Customer Count'!$A$5:$C$118,3,FALSE),0)</f>
        <v>2.7825760103212839E-5</v>
      </c>
      <c r="AM45" s="1839">
        <f>IFERROR(VLOOKUP(AJ45,'[74]10.2021 Customer Count'!$A$5:$C$119,3,FALSE),0)</f>
        <v>2.7035977609864597E-5</v>
      </c>
      <c r="AN45" s="1839">
        <f>IFERROR(VLOOKUP(AJ45,'[74]11.2021 Customer Count'!$A$5:$C$120,3,FALSE),0)</f>
        <v>2.6911871755281013E-5</v>
      </c>
      <c r="AO45" s="1839">
        <f>IFERROR(VLOOKUP(AJ45,'[74]12.2022 Customer Count'!$A$5:$C$124,3,FALSE),0)</f>
        <v>2.6603501849495973E-5</v>
      </c>
      <c r="AP45" s="1366">
        <f>VLOOKUP(AJ45,'[75]01.2022 Customer Count'!$A$5:$C$127,3,FALSE)</f>
        <v>3.8625990013387998E-5</v>
      </c>
    </row>
    <row r="46" spans="1:42" ht="15">
      <c r="A46" s="234">
        <v>70336</v>
      </c>
      <c r="B46" s="234" t="s">
        <v>424</v>
      </c>
      <c r="C46" s="235"/>
      <c r="D46" s="3"/>
      <c r="E46" s="236"/>
      <c r="F46" s="747"/>
      <c r="G46" s="1078">
        <v>558.25</v>
      </c>
      <c r="H46" s="1079"/>
      <c r="I46" s="1080">
        <v>329.9</v>
      </c>
      <c r="J46" s="1079"/>
      <c r="K46" s="1080">
        <v>243.9</v>
      </c>
      <c r="L46" s="1079"/>
      <c r="M46" s="1080">
        <v>401.9</v>
      </c>
      <c r="N46" s="1079"/>
      <c r="O46" s="1080">
        <v>561.38</v>
      </c>
      <c r="P46" s="1079"/>
      <c r="Q46" s="1080">
        <v>243.9</v>
      </c>
      <c r="R46" s="1079"/>
      <c r="S46" s="1080">
        <v>425.47</v>
      </c>
      <c r="T46" s="1079"/>
      <c r="U46" s="1080">
        <v>365.12</v>
      </c>
      <c r="V46" s="1079"/>
      <c r="W46" s="1080">
        <v>244.14</v>
      </c>
      <c r="X46" s="1079"/>
      <c r="Y46" s="1080">
        <v>678.87</v>
      </c>
      <c r="Z46" s="1079"/>
      <c r="AA46" s="1080">
        <v>342.85</v>
      </c>
      <c r="AB46" s="1079"/>
      <c r="AC46" s="1080">
        <v>264.88</v>
      </c>
      <c r="AD46" s="1079"/>
      <c r="AE46" s="1080">
        <f t="shared" si="0"/>
        <v>4660.5600000000004</v>
      </c>
      <c r="AF46" s="1239">
        <f t="shared" si="1"/>
        <v>125.17499612517152</v>
      </c>
      <c r="AG46" s="1818"/>
      <c r="AH46" s="1819">
        <f t="shared" si="2"/>
        <v>125.17499612517152</v>
      </c>
      <c r="AJ46" s="1837">
        <v>2172</v>
      </c>
      <c r="AK46" s="1838">
        <f>IFERROR(VLOOKUP($AJ46,'[74]Thru 8.2021 Customer Count'!$A$5:$C$110,3,FALSE),0)</f>
        <v>0</v>
      </c>
      <c r="AL46" s="1839">
        <f>IFERROR(VLOOKUP($AJ46,'[74]09.2021 Customer Count'!$A$5:$C$118,3,FALSE),0)</f>
        <v>0</v>
      </c>
      <c r="AM46" s="1839">
        <f>IFERROR(VLOOKUP(AJ46,'[74]10.2021 Customer Count'!$A$5:$C$119,3,FALSE),0)</f>
        <v>0</v>
      </c>
      <c r="AN46" s="1839">
        <f>IFERROR(VLOOKUP(AJ46,'[74]11.2021 Customer Count'!$A$5:$C$120,3,FALSE),0)</f>
        <v>0</v>
      </c>
      <c r="AO46" s="1839">
        <f>IFERROR(VLOOKUP(AJ46,'[74]12.2022 Customer Count'!$A$5:$C$124,3,FALSE),0)</f>
        <v>0</v>
      </c>
      <c r="AP46" s="1366">
        <f>VLOOKUP(AJ46,'[75]01.2022 Customer Count'!$A$5:$C$127,3,FALSE)</f>
        <v>0</v>
      </c>
    </row>
    <row r="47" spans="1:42" ht="15">
      <c r="A47" s="234">
        <v>70902</v>
      </c>
      <c r="B47" s="234" t="s">
        <v>425</v>
      </c>
      <c r="C47" s="235"/>
      <c r="D47" s="3"/>
      <c r="E47" s="236"/>
      <c r="F47" s="747"/>
      <c r="G47" s="1078">
        <v>0</v>
      </c>
      <c r="H47" s="1079"/>
      <c r="I47" s="1080">
        <v>0</v>
      </c>
      <c r="J47" s="1079"/>
      <c r="K47" s="1080">
        <v>0</v>
      </c>
      <c r="L47" s="1079"/>
      <c r="M47" s="1080">
        <v>0</v>
      </c>
      <c r="N47" s="1079"/>
      <c r="O47" s="1080">
        <v>0</v>
      </c>
      <c r="P47" s="1079"/>
      <c r="Q47" s="1080">
        <v>0</v>
      </c>
      <c r="R47" s="1079"/>
      <c r="S47" s="1080">
        <v>0</v>
      </c>
      <c r="T47" s="1079"/>
      <c r="U47" s="1080">
        <v>0</v>
      </c>
      <c r="V47" s="1079"/>
      <c r="W47" s="1080">
        <v>0</v>
      </c>
      <c r="X47" s="1079"/>
      <c r="Y47" s="1080">
        <v>0</v>
      </c>
      <c r="Z47" s="1079"/>
      <c r="AA47" s="1080">
        <v>0</v>
      </c>
      <c r="AB47" s="1079"/>
      <c r="AC47" s="1080">
        <v>0</v>
      </c>
      <c r="AD47" s="1079"/>
      <c r="AE47" s="1080">
        <f t="shared" si="0"/>
        <v>0</v>
      </c>
      <c r="AF47" s="1239">
        <f t="shared" si="1"/>
        <v>0</v>
      </c>
      <c r="AG47" s="1818"/>
      <c r="AH47" s="1819">
        <f t="shared" si="2"/>
        <v>0</v>
      </c>
      <c r="AJ47" s="1837">
        <v>2173</v>
      </c>
      <c r="AK47" s="1838">
        <f>IFERROR(VLOOKUP($AJ47,'[74]Thru 8.2021 Customer Count'!$A$5:$C$110,3,FALSE),0)</f>
        <v>8.2163376505622804E-6</v>
      </c>
      <c r="AL47" s="1839">
        <f>IFERROR(VLOOKUP($AJ47,'[74]09.2021 Customer Count'!$A$5:$C$118,3,FALSE),0)</f>
        <v>7.950217172346526E-6</v>
      </c>
      <c r="AM47" s="1839">
        <f>IFERROR(VLOOKUP(AJ47,'[74]10.2021 Customer Count'!$A$5:$C$119,3,FALSE),0)</f>
        <v>7.7245650313898855E-6</v>
      </c>
      <c r="AN47" s="1839">
        <f>IFERROR(VLOOKUP(AJ47,'[74]11.2021 Customer Count'!$A$5:$C$120,3,FALSE),0)</f>
        <v>7.6891062157945745E-6</v>
      </c>
      <c r="AO47" s="1839">
        <f>IFERROR(VLOOKUP(AJ47,'[74]12.2022 Customer Count'!$A$5:$C$124,3,FALSE),0)</f>
        <v>7.6010005284274212E-6</v>
      </c>
      <c r="AP47" s="1366">
        <f>VLOOKUP(AJ47,'[75]01.2022 Customer Count'!$A$5:$C$127,3,FALSE)</f>
        <v>1.485615000514923E-5</v>
      </c>
    </row>
    <row r="48" spans="1:42" s="236" customFormat="1" ht="15.75">
      <c r="A48" s="235"/>
      <c r="B48" s="235"/>
      <c r="C48" s="235"/>
      <c r="D48" s="235"/>
      <c r="G48" s="1082"/>
      <c r="H48" s="1083"/>
      <c r="I48" s="1084"/>
      <c r="J48" s="1083"/>
      <c r="K48" s="1084"/>
      <c r="L48" s="1083"/>
      <c r="M48" s="1084"/>
      <c r="N48" s="1083"/>
      <c r="O48" s="1084"/>
      <c r="P48" s="1083"/>
      <c r="Q48" s="1084"/>
      <c r="R48" s="1083"/>
      <c r="S48" s="1084"/>
      <c r="T48" s="1083"/>
      <c r="U48" s="1084"/>
      <c r="V48" s="1083"/>
      <c r="W48" s="1084"/>
      <c r="X48" s="1083"/>
      <c r="Y48" s="1084"/>
      <c r="Z48" s="1083"/>
      <c r="AA48" s="1084"/>
      <c r="AB48" s="1083"/>
      <c r="AC48" s="1084"/>
      <c r="AD48" s="1083"/>
      <c r="AE48" s="1084"/>
      <c r="AF48" s="1820"/>
      <c r="AG48" s="1820"/>
      <c r="AH48" s="1821"/>
      <c r="AJ48" s="1837">
        <v>2178</v>
      </c>
      <c r="AK48" s="1838">
        <f>IFERROR(VLOOKUP($AJ48,'[74]Thru 8.2021 Customer Count'!$A$5:$C$110,3,FALSE),0)</f>
        <v>0</v>
      </c>
      <c r="AL48" s="1839">
        <f>IFERROR(VLOOKUP($AJ48,'[74]09.2021 Customer Count'!$A$5:$C$118,3,FALSE),0)</f>
        <v>0</v>
      </c>
      <c r="AM48" s="1839">
        <f>IFERROR(VLOOKUP(AJ48,'[74]10.2021 Customer Count'!$A$5:$C$119,3,FALSE),0)</f>
        <v>0</v>
      </c>
      <c r="AN48" s="1839">
        <f>IFERROR(VLOOKUP(AJ48,'[74]11.2021 Customer Count'!$A$5:$C$120,3,FALSE),0)</f>
        <v>4.590396410829361E-3</v>
      </c>
      <c r="AO48" s="1839">
        <f>IFERROR(VLOOKUP(AJ48,'[74]12.2022 Customer Count'!$A$5:$C$124,3,FALSE),0)</f>
        <v>4.5377973154711706E-3</v>
      </c>
      <c r="AP48" s="1366">
        <f>VLOOKUP(AJ48,'[75]01.2022 Customer Count'!$A$5:$C$127,3,FALSE)</f>
        <v>2.7298175634461711E-3</v>
      </c>
    </row>
    <row r="49" spans="1:42" s="236" customFormat="1" ht="15.75">
      <c r="C49" s="235" t="s">
        <v>146</v>
      </c>
      <c r="G49" s="1082">
        <f>SUM(G8:G48)</f>
        <v>152802.30000000002</v>
      </c>
      <c r="H49" s="1083"/>
      <c r="I49" s="1084">
        <f>SUM(I8:I48)</f>
        <v>109636.54</v>
      </c>
      <c r="J49" s="1083"/>
      <c r="K49" s="1084">
        <f>SUM(K8:K48)</f>
        <v>122224.13999999998</v>
      </c>
      <c r="L49" s="1083"/>
      <c r="M49" s="1084">
        <f>SUM(M8:M48)</f>
        <v>136862.93000000002</v>
      </c>
      <c r="N49" s="1083"/>
      <c r="O49" s="1084">
        <f>SUM(O8:O48)</f>
        <v>138964.93</v>
      </c>
      <c r="P49" s="1083"/>
      <c r="Q49" s="1084">
        <f>SUM(Q8:Q48)</f>
        <v>148791.04000000001</v>
      </c>
      <c r="R49" s="1083"/>
      <c r="S49" s="1084">
        <f>SUM(S8:S48)</f>
        <v>196401.49000000005</v>
      </c>
      <c r="T49" s="1083"/>
      <c r="U49" s="1084">
        <f>SUM(U8:U48)</f>
        <v>159128.04</v>
      </c>
      <c r="V49" s="1083"/>
      <c r="W49" s="1084">
        <f>SUM(W8:W48)</f>
        <v>177971.16</v>
      </c>
      <c r="X49" s="1083"/>
      <c r="Y49" s="1084">
        <f>SUM(Y8:Y48)</f>
        <v>-59563.55999999999</v>
      </c>
      <c r="Z49" s="1083"/>
      <c r="AA49" s="1084">
        <f>SUM(AA8:AA48)</f>
        <v>175613.41</v>
      </c>
      <c r="AB49" s="1083"/>
      <c r="AC49" s="1084">
        <f>SUM(AC8:AC48)</f>
        <v>303834.66000000003</v>
      </c>
      <c r="AD49" s="1083"/>
      <c r="AE49" s="1084">
        <f>SUM(AE8:AE48)</f>
        <v>1762667.0800000003</v>
      </c>
      <c r="AF49" s="1822">
        <f>SUM(AF9:AF47)</f>
        <v>50795.121999877156</v>
      </c>
      <c r="AG49" s="1822">
        <f>SUM(AG9:AG47)</f>
        <v>-7239.8776756477073</v>
      </c>
      <c r="AH49" s="1823">
        <f>SUM(AH9:AH47)</f>
        <v>43555.244324229454</v>
      </c>
      <c r="AJ49" s="1837">
        <v>2179</v>
      </c>
      <c r="AK49" s="1838">
        <f>IFERROR(VLOOKUP($AJ49,'[74]Thru 8.2021 Customer Count'!$A$5:$C$110,3,FALSE),0)</f>
        <v>0</v>
      </c>
      <c r="AL49" s="1839">
        <f>IFERROR(VLOOKUP($AJ49,'[74]09.2021 Customer Count'!$A$5:$C$118,3,FALSE),0)</f>
        <v>0</v>
      </c>
      <c r="AM49" s="1839">
        <f>IFERROR(VLOOKUP(AJ49,'[74]10.2021 Customer Count'!$A$5:$C$119,3,FALSE),0)</f>
        <v>0</v>
      </c>
      <c r="AN49" s="1839">
        <f>IFERROR(VLOOKUP(AJ49,'[74]11.2021 Customer Count'!$A$5:$C$120,3,FALSE),0)</f>
        <v>0</v>
      </c>
      <c r="AO49" s="1839">
        <f>IFERROR(VLOOKUP(AJ49,'[74]12.2022 Customer Count'!$A$5:$C$124,3,FALSE),0)</f>
        <v>0</v>
      </c>
      <c r="AP49" s="1366">
        <f>VLOOKUP(AJ49,'[75]01.2022 Customer Count'!$A$5:$C$127,3,FALSE)</f>
        <v>0</v>
      </c>
    </row>
    <row r="50" spans="1:42" s="48" customFormat="1" ht="15.75">
      <c r="A50" s="1"/>
      <c r="B50" s="1"/>
      <c r="C50" s="1"/>
      <c r="D50" s="1"/>
      <c r="E50" s="1"/>
      <c r="F50" s="1"/>
      <c r="G50" s="1078"/>
      <c r="H50" s="1818"/>
      <c r="I50" s="1080"/>
      <c r="J50" s="1824"/>
      <c r="K50" s="1080"/>
      <c r="L50" s="1824"/>
      <c r="M50" s="1080"/>
      <c r="N50" s="1818"/>
      <c r="O50" s="1080"/>
      <c r="P50" s="1824"/>
      <c r="Q50" s="1080"/>
      <c r="R50" s="1824"/>
      <c r="S50" s="1080"/>
      <c r="T50" s="1818"/>
      <c r="U50" s="1080"/>
      <c r="V50" s="1824"/>
      <c r="W50" s="1080"/>
      <c r="X50" s="1824"/>
      <c r="Y50" s="1080"/>
      <c r="Z50" s="1818"/>
      <c r="AA50" s="1080"/>
      <c r="AB50" s="1824"/>
      <c r="AC50" s="1080"/>
      <c r="AD50" s="1824"/>
      <c r="AE50" s="1080"/>
      <c r="AF50" s="1080"/>
      <c r="AG50" s="1080"/>
      <c r="AH50" s="1081"/>
      <c r="AJ50" s="1837">
        <v>2180</v>
      </c>
      <c r="AK50" s="1838">
        <f>IFERROR(VLOOKUP($AJ50,'[74]Thru 8.2021 Customer Count'!$A$5:$C$110,3,FALSE),0)</f>
        <v>7.0947253978840233E-2</v>
      </c>
      <c r="AL50" s="1839">
        <f>IFERROR(VLOOKUP($AJ50,'[74]09.2021 Customer Count'!$A$5:$C$118,3,FALSE),0)</f>
        <v>6.8649330261495015E-2</v>
      </c>
      <c r="AM50" s="1839">
        <f>IFERROR(VLOOKUP(AJ50,'[74]10.2021 Customer Count'!$A$5:$C$119,3,FALSE),0)</f>
        <v>6.6700846589548515E-2</v>
      </c>
      <c r="AN50" s="1839">
        <f>IFERROR(VLOOKUP(AJ50,'[74]11.2021 Customer Count'!$A$5:$C$120,3,FALSE),0)</f>
        <v>6.6394663262764581E-2</v>
      </c>
      <c r="AO50" s="1839">
        <f>IFERROR(VLOOKUP(AJ50,'[74]12.2022 Customer Count'!$A$5:$C$124,3,FALSE),0)</f>
        <v>6.5633879462917932E-2</v>
      </c>
      <c r="AP50" s="1840">
        <f>VLOOKUP(AJ50,'[75]01.2022 Customer Count'!$A$5:$C$127,3,FALSE)</f>
        <v>6.5870543131225201E-2</v>
      </c>
    </row>
    <row r="51" spans="1:42" s="48" customFormat="1" ht="15.75" thickBot="1">
      <c r="A51" s="1"/>
      <c r="B51" s="1"/>
      <c r="C51" s="1"/>
      <c r="D51" s="1"/>
      <c r="E51" s="1"/>
      <c r="F51" s="748"/>
      <c r="G51" s="1825" t="s">
        <v>2988</v>
      </c>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7">
        <f>+'Master IS (C)'!E214</f>
        <v>57259.820000000007</v>
      </c>
      <c r="AG51" s="1080"/>
      <c r="AH51" s="1828">
        <f>+AF51+AG49</f>
        <v>50019.942324352298</v>
      </c>
      <c r="AJ51" s="1837">
        <v>2182</v>
      </c>
      <c r="AK51" s="1838">
        <f>IFERROR(VLOOKUP($AJ51,'[74]Thru 8.2021 Customer Count'!$A$5:$C$110,3,FALSE),0)</f>
        <v>1.6432675301124561E-6</v>
      </c>
      <c r="AL51" s="1839">
        <f>IFERROR(VLOOKUP($AJ51,'[74]09.2021 Customer Count'!$A$5:$C$118,3,FALSE),0)</f>
        <v>1.5900434344693052E-6</v>
      </c>
      <c r="AM51" s="1839">
        <f>IFERROR(VLOOKUP(AJ51,'[74]10.2021 Customer Count'!$A$5:$C$119,3,FALSE),0)</f>
        <v>1.5449130062779769E-6</v>
      </c>
      <c r="AN51" s="1839">
        <f>IFERROR(VLOOKUP(AJ51,'[74]11.2021 Customer Count'!$A$5:$C$120,3,FALSE),0)</f>
        <v>1.537821243158915E-6</v>
      </c>
      <c r="AO51" s="1839">
        <f>IFERROR(VLOOKUP(AJ51,'[74]12.2022 Customer Count'!$A$5:$C$124,3,FALSE),0)</f>
        <v>1.5202001056854842E-6</v>
      </c>
      <c r="AP51" s="1840">
        <f>VLOOKUP(AJ51,'[75]01.2022 Customer Count'!$A$5:$C$127,3,FALSE)</f>
        <v>1.485615000514923E-6</v>
      </c>
    </row>
    <row r="52" spans="1:42" s="48" customFormat="1" ht="15.75" thickBot="1">
      <c r="A52" s="1"/>
      <c r="B52" s="1"/>
      <c r="C52" s="1"/>
      <c r="D52" s="1"/>
      <c r="E52" s="1"/>
      <c r="F52" s="748"/>
      <c r="G52" s="1829"/>
      <c r="H52" s="1830"/>
      <c r="I52" s="1830"/>
      <c r="J52" s="1830"/>
      <c r="K52" s="1830"/>
      <c r="L52" s="1830"/>
      <c r="M52" s="1830"/>
      <c r="N52" s="1830"/>
      <c r="O52" s="1830"/>
      <c r="P52" s="1830"/>
      <c r="Q52" s="1830"/>
      <c r="R52" s="1830"/>
      <c r="S52" s="1830"/>
      <c r="T52" s="1830"/>
      <c r="U52" s="1830"/>
      <c r="V52" s="1830"/>
      <c r="W52" s="1830"/>
      <c r="X52" s="1830"/>
      <c r="Y52" s="1830"/>
      <c r="Z52" s="1830"/>
      <c r="AA52" s="1830"/>
      <c r="AB52" s="1830"/>
      <c r="AC52" s="1830"/>
      <c r="AD52" s="1830"/>
      <c r="AE52" s="1830"/>
      <c r="AF52" s="1831">
        <f>AF49-AF51</f>
        <v>-6464.6980001228512</v>
      </c>
      <c r="AG52" s="1832" t="s">
        <v>939</v>
      </c>
      <c r="AH52" s="1096">
        <f>AH49-AH51</f>
        <v>-6464.698000122844</v>
      </c>
      <c r="AJ52" s="1837">
        <v>2183</v>
      </c>
      <c r="AK52" s="1838">
        <f>IFERROR(VLOOKUP($AJ52,'[74]Thru 8.2021 Customer Count'!$A$5:$C$110,3,FALSE),0)</f>
        <v>5.8211930620468699E-2</v>
      </c>
      <c r="AL52" s="1839">
        <f>IFERROR(VLOOKUP($AJ52,'[74]09.2021 Customer Count'!$A$5:$C$118,3,FALSE),0)</f>
        <v>5.6326493644357899E-2</v>
      </c>
      <c r="AM52" s="1839">
        <f>IFERROR(VLOOKUP(AJ52,'[74]10.2021 Customer Count'!$A$5:$C$119,3,FALSE),0)</f>
        <v>5.4727770790894199E-2</v>
      </c>
      <c r="AN52" s="1839">
        <f>IFERROR(VLOOKUP(AJ52,'[74]11.2021 Customer Count'!$A$5:$C$120,3,FALSE),0)</f>
        <v>5.4476548628282981E-2</v>
      </c>
      <c r="AO52" s="1839">
        <f>IFERROR(VLOOKUP(AJ52,'[74]12.2022 Customer Count'!$A$5:$C$124,3,FALSE),0)</f>
        <v>5.3852328643855432E-2</v>
      </c>
      <c r="AP52" s="1366">
        <f>VLOOKUP(AJ52,'[75]01.2022 Customer Count'!$A$5:$C$127,3,FALSE)</f>
        <v>5.3621045021085369E-2</v>
      </c>
    </row>
    <row r="53" spans="1:42" s="48" customFormat="1" ht="16.5" thickTop="1">
      <c r="A53" s="1"/>
      <c r="B53" s="1"/>
      <c r="C53" s="1"/>
      <c r="D53" s="1"/>
      <c r="E53" s="1"/>
      <c r="F53" s="749"/>
      <c r="G53" s="750"/>
      <c r="H53" s="750"/>
      <c r="I53" s="750"/>
      <c r="J53" s="750"/>
      <c r="K53" s="750"/>
      <c r="L53" s="750"/>
      <c r="M53" s="750"/>
      <c r="N53" s="750"/>
      <c r="O53" s="750"/>
      <c r="P53" s="750"/>
      <c r="Q53" s="750"/>
      <c r="R53" s="750"/>
      <c r="S53" s="750"/>
      <c r="T53" s="750"/>
      <c r="U53" s="750"/>
      <c r="V53" s="750"/>
      <c r="W53" s="750"/>
      <c r="X53" s="750"/>
      <c r="Y53" s="750"/>
      <c r="Z53" s="750"/>
      <c r="AA53" s="750"/>
      <c r="AB53" s="750"/>
      <c r="AC53" s="750"/>
      <c r="AD53" s="732"/>
      <c r="AF53" s="788"/>
      <c r="AJ53" s="1837">
        <v>2184</v>
      </c>
      <c r="AK53" s="1838">
        <f>IFERROR(VLOOKUP($AJ53,'[74]Thru 8.2021 Customer Count'!$A$5:$C$110,3,FALSE),0)</f>
        <v>8.2163376505622804E-7</v>
      </c>
      <c r="AL53" s="1839">
        <f>IFERROR(VLOOKUP($AJ53,'[74]09.2021 Customer Count'!$A$5:$C$118,3,FALSE),0)</f>
        <v>7.950217172346526E-7</v>
      </c>
      <c r="AM53" s="1839">
        <f>IFERROR(VLOOKUP(AJ53,'[74]10.2021 Customer Count'!$A$5:$C$119,3,FALSE),0)</f>
        <v>7.7245650313898846E-7</v>
      </c>
      <c r="AN53" s="1839">
        <f>IFERROR(VLOOKUP(AJ53,'[74]11.2021 Customer Count'!$A$5:$C$120,3,FALSE),0)</f>
        <v>7.6891062157945751E-7</v>
      </c>
      <c r="AO53" s="1839">
        <f>IFERROR(VLOOKUP(AJ53,'[74]12.2022 Customer Count'!$A$5:$C$124,3,FALSE),0)</f>
        <v>7.601000528427421E-7</v>
      </c>
      <c r="AP53" s="1366">
        <f>VLOOKUP(AJ53,'[75]01.2022 Customer Count'!$A$5:$C$127,3,FALSE)</f>
        <v>7.4280750025746149E-7</v>
      </c>
    </row>
    <row r="54" spans="1:42" s="48" customFormat="1" ht="15.75" customHeight="1">
      <c r="A54" s="1"/>
      <c r="B54" s="1"/>
      <c r="C54" s="1"/>
      <c r="D54" s="1"/>
      <c r="E54" s="1"/>
      <c r="F54" s="1"/>
      <c r="AJ54" s="1837">
        <v>2185</v>
      </c>
      <c r="AK54" s="1838">
        <f>IFERROR(VLOOKUP($AJ54,'[74]Thru 8.2021 Customer Count'!$A$5:$C$110,3,FALSE),0)</f>
        <v>3.0359367618827625E-3</v>
      </c>
      <c r="AL54" s="1839">
        <f>IFERROR(VLOOKUP($AJ54,'[74]09.2021 Customer Count'!$A$5:$C$118,3,FALSE),0)</f>
        <v>2.9376052451820412E-3</v>
      </c>
      <c r="AM54" s="1839">
        <f>IFERROR(VLOOKUP(AJ54,'[74]10.2021 Customer Count'!$A$5:$C$119,3,FALSE),0)</f>
        <v>2.8542267790985626E-3</v>
      </c>
      <c r="AN54" s="1839">
        <f>IFERROR(VLOOKUP(AJ54,'[74]11.2021 Customer Count'!$A$5:$C$120,3,FALSE),0)</f>
        <v>2.8411247467360953E-3</v>
      </c>
      <c r="AO54" s="1839">
        <f>IFERROR(VLOOKUP(AJ54,'[74]12.2022 Customer Count'!$A$5:$C$124,3,FALSE),0)</f>
        <v>2.808569695253932E-3</v>
      </c>
      <c r="AP54" s="1366">
        <f>VLOOKUP(AJ54,'[75]01.2022 Customer Count'!$A$5:$C$127,3,FALSE)</f>
        <v>2.7298175634461711E-3</v>
      </c>
    </row>
    <row r="55" spans="1:42" s="48" customFormat="1" ht="15.75" customHeight="1">
      <c r="A55" s="1"/>
      <c r="B55" s="1"/>
      <c r="C55" s="1"/>
      <c r="D55" s="1"/>
      <c r="E55" s="1"/>
      <c r="F55" s="1"/>
      <c r="AJ55" s="1837">
        <v>2186</v>
      </c>
      <c r="AK55" s="1838">
        <f>IFERROR(VLOOKUP($AJ55,'[74]Thru 8.2021 Customer Count'!$A$5:$C$110,3,FALSE),0)</f>
        <v>1.8371135141902948E-2</v>
      </c>
      <c r="AL55" s="1839">
        <f>IFERROR(VLOOKUP($AJ55,'[74]09.2021 Customer Count'!$A$5:$C$118,3,FALSE),0)</f>
        <v>1.7776109051538359E-2</v>
      </c>
      <c r="AM55" s="1839">
        <f>IFERROR(VLOOKUP(AJ55,'[74]10.2021 Customer Count'!$A$5:$C$119,3,FALSE),0)</f>
        <v>1.7271567228541285E-2</v>
      </c>
      <c r="AN55" s="1839">
        <f>IFERROR(VLOOKUP(AJ55,'[74]11.2021 Customer Count'!$A$5:$C$120,3,FALSE),0)</f>
        <v>1.7192283888325992E-2</v>
      </c>
      <c r="AO55" s="1839">
        <f>IFERROR(VLOOKUP(AJ55,'[74]12.2022 Customer Count'!$A$5:$C$124,3,FALSE),0)</f>
        <v>1.6995285960754031E-2</v>
      </c>
      <c r="AP55" s="1366">
        <f>VLOOKUP(AJ55,'[75]01.2022 Customer Count'!$A$5:$C$127,3,FALSE)</f>
        <v>1.7235362428473879E-2</v>
      </c>
    </row>
    <row r="56" spans="1:42" s="48" customFormat="1" ht="15.75" customHeight="1">
      <c r="A56" s="1"/>
      <c r="B56" s="1"/>
      <c r="C56" s="1"/>
      <c r="D56" s="1"/>
      <c r="E56" s="1"/>
      <c r="F56" s="1"/>
      <c r="G56" s="751"/>
      <c r="H56" s="751"/>
      <c r="I56" s="751"/>
      <c r="J56" s="751"/>
      <c r="K56" s="751"/>
      <c r="L56" s="751"/>
      <c r="M56" s="751"/>
      <c r="N56" s="751"/>
      <c r="O56" s="751"/>
      <c r="P56" s="751"/>
      <c r="Q56" s="751"/>
      <c r="R56" s="751"/>
      <c r="S56" s="751"/>
      <c r="T56" s="751"/>
      <c r="U56" s="751"/>
      <c r="V56" s="751"/>
      <c r="W56" s="751"/>
      <c r="X56" s="751"/>
      <c r="Z56" s="751"/>
      <c r="AA56" s="751"/>
      <c r="AB56" s="751"/>
      <c r="AC56" s="751"/>
      <c r="AD56" s="751"/>
      <c r="AE56" s="751"/>
      <c r="AJ56" s="1837">
        <v>2187</v>
      </c>
      <c r="AK56" s="1838">
        <f>IFERROR(VLOOKUP($AJ56,'[74]Thru 8.2021 Customer Count'!$A$5:$C$110,3,FALSE),0)</f>
        <v>0</v>
      </c>
      <c r="AL56" s="1839">
        <f>IFERROR(VLOOKUP($AJ56,'[74]09.2021 Customer Count'!$A$5:$C$118,3,FALSE),0)</f>
        <v>0</v>
      </c>
      <c r="AM56" s="1839">
        <f>IFERROR(VLOOKUP(AJ56,'[74]10.2021 Customer Count'!$A$5:$C$119,3,FALSE),0)</f>
        <v>0</v>
      </c>
      <c r="AN56" s="1839">
        <f>IFERROR(VLOOKUP(AJ56,'[74]11.2021 Customer Count'!$A$5:$C$120,3,FALSE),0)</f>
        <v>0</v>
      </c>
      <c r="AO56" s="1839">
        <f>IFERROR(VLOOKUP(AJ56,'[74]12.2022 Customer Count'!$A$5:$C$124,3,FALSE),0)</f>
        <v>0</v>
      </c>
      <c r="AP56" s="1366">
        <f>VLOOKUP(AJ56,'[75]01.2022 Customer Count'!$A$5:$C$127,3,FALSE)</f>
        <v>0</v>
      </c>
    </row>
    <row r="57" spans="1:42" s="48" customFormat="1" ht="15.75">
      <c r="A57" s="1"/>
      <c r="B57" s="1"/>
      <c r="C57" s="1"/>
      <c r="D57" s="1"/>
      <c r="E57" s="1"/>
      <c r="F57" s="1"/>
      <c r="H57" s="1"/>
      <c r="J57" s="732"/>
      <c r="L57" s="732"/>
      <c r="N57" s="1"/>
      <c r="P57" s="732"/>
      <c r="R57" s="732"/>
      <c r="T57" s="1"/>
      <c r="V57" s="732"/>
      <c r="X57" s="732"/>
      <c r="Z57" s="1"/>
      <c r="AB57" s="732"/>
      <c r="AD57" s="732"/>
      <c r="AJ57" s="1837">
        <v>2188</v>
      </c>
      <c r="AK57" s="1838">
        <f>IFERROR(VLOOKUP($AJ57,'[74]Thru 8.2021 Customer Count'!$A$5:$C$110,3,FALSE),0)</f>
        <v>2.3699204319281842E-2</v>
      </c>
      <c r="AL57" s="1839">
        <f>IFERROR(VLOOKUP($AJ57,'[74]09.2021 Customer Count'!$A$5:$C$118,3,FALSE),0)</f>
        <v>2.2931606411916321E-2</v>
      </c>
      <c r="AM57" s="1839">
        <f>IFERROR(VLOOKUP(AJ57,'[74]10.2021 Customer Count'!$A$5:$C$119,3,FALSE),0)</f>
        <v>2.2280735376540985E-2</v>
      </c>
      <c r="AN57" s="1839">
        <f>IFERROR(VLOOKUP(AJ57,'[74]11.2021 Customer Count'!$A$5:$C$120,3,FALSE),0)</f>
        <v>2.2178457968837873E-2</v>
      </c>
      <c r="AO57" s="1839">
        <f>IFERROR(VLOOKUP(AJ57,'[74]12.2022 Customer Count'!$A$5:$C$124,3,FALSE),0)</f>
        <v>2.1924325924196051E-2</v>
      </c>
      <c r="AP57" s="1366">
        <f>VLOOKUP(AJ57,'[75]01.2022 Customer Count'!$A$5:$C$127,3,FALSE)</f>
        <v>2.2784134455397117E-2</v>
      </c>
    </row>
    <row r="58" spans="1:42" s="48" customFormat="1" ht="15.75">
      <c r="A58" s="1"/>
      <c r="B58" s="1"/>
      <c r="C58" s="1"/>
      <c r="D58" s="1"/>
      <c r="E58" s="1"/>
      <c r="F58" s="1"/>
      <c r="H58" s="1"/>
      <c r="J58" s="732"/>
      <c r="L58" s="732"/>
      <c r="N58" s="1"/>
      <c r="P58" s="732"/>
      <c r="R58" s="732"/>
      <c r="T58" s="1"/>
      <c r="V58" s="732"/>
      <c r="X58" s="732"/>
      <c r="Z58" s="1"/>
      <c r="AB58" s="732"/>
      <c r="AD58" s="732"/>
      <c r="AJ58" s="1837">
        <v>2189</v>
      </c>
      <c r="AK58" s="1838">
        <f>IFERROR(VLOOKUP($AJ58,'[74]Thru 8.2021 Customer Count'!$A$5:$C$110,3,FALSE),0)</f>
        <v>8.2163376505622804E-7</v>
      </c>
      <c r="AL58" s="1839">
        <f>IFERROR(VLOOKUP($AJ58,'[74]09.2021 Customer Count'!$A$5:$C$118,3,FALSE),0)</f>
        <v>7.950217172346526E-7</v>
      </c>
      <c r="AM58" s="1839">
        <f>IFERROR(VLOOKUP(AJ58,'[74]10.2021 Customer Count'!$A$5:$C$119,3,FALSE),0)</f>
        <v>7.7245650313898846E-7</v>
      </c>
      <c r="AN58" s="1839">
        <f>IFERROR(VLOOKUP(AJ58,'[74]11.2021 Customer Count'!$A$5:$C$120,3,FALSE),0)</f>
        <v>7.6891062157945751E-7</v>
      </c>
      <c r="AO58" s="1839">
        <f>IFERROR(VLOOKUP(AJ58,'[74]12.2022 Customer Count'!$A$5:$C$124,3,FALSE),0)</f>
        <v>7.601000528427421E-7</v>
      </c>
      <c r="AP58" s="1366">
        <f>VLOOKUP(AJ58,'[75]01.2022 Customer Count'!$A$5:$C$127,3,FALSE)</f>
        <v>7.4280750025746149E-7</v>
      </c>
    </row>
    <row r="59" spans="1:42" s="48" customFormat="1" ht="15.75">
      <c r="A59" s="1"/>
      <c r="B59" s="1"/>
      <c r="C59" s="1"/>
      <c r="D59" s="1"/>
      <c r="E59" s="1"/>
      <c r="F59" s="1"/>
      <c r="H59" s="1"/>
      <c r="J59" s="732"/>
      <c r="L59" s="732"/>
      <c r="N59" s="1"/>
      <c r="P59" s="732"/>
      <c r="R59" s="732"/>
      <c r="T59" s="1"/>
      <c r="V59" s="732"/>
      <c r="X59" s="732"/>
      <c r="Z59" s="1"/>
      <c r="AB59" s="732"/>
      <c r="AD59" s="732"/>
      <c r="AJ59" s="1837">
        <v>2190</v>
      </c>
      <c r="AK59" s="1838">
        <f>IFERROR(VLOOKUP($AJ59,'[74]Thru 8.2021 Customer Count'!$A$5:$C$110,3,FALSE),0)</f>
        <v>2.875718177696798E-4</v>
      </c>
      <c r="AL59" s="1839">
        <f>IFERROR(VLOOKUP($AJ59,'[74]09.2021 Customer Count'!$A$5:$C$118,3,FALSE),0)</f>
        <v>2.7825760103212843E-4</v>
      </c>
      <c r="AM59" s="1839">
        <f>IFERROR(VLOOKUP(AJ59,'[74]10.2021 Customer Count'!$A$5:$C$119,3,FALSE),0)</f>
        <v>2.7035977609864598E-4</v>
      </c>
      <c r="AN59" s="1839">
        <f>IFERROR(VLOOKUP(AJ59,'[74]11.2021 Customer Count'!$A$5:$C$120,3,FALSE),0)</f>
        <v>2.6911871755281013E-4</v>
      </c>
      <c r="AO59" s="1839">
        <f>IFERROR(VLOOKUP(AJ59,'[74]12.2022 Customer Count'!$A$5:$C$124,3,FALSE),0)</f>
        <v>2.6603501849495971E-4</v>
      </c>
      <c r="AP59" s="1366">
        <f>VLOOKUP(AJ59,'[75]01.2022 Customer Count'!$A$5:$C$127,3,FALSE)</f>
        <v>2.5181174258727943E-4</v>
      </c>
    </row>
    <row r="60" spans="1:42" s="48" customFormat="1" ht="15.75">
      <c r="A60" s="1"/>
      <c r="B60" s="1"/>
      <c r="C60" s="1"/>
      <c r="D60" s="1"/>
      <c r="E60" s="1"/>
      <c r="F60" s="1"/>
      <c r="H60" s="1"/>
      <c r="J60" s="732"/>
      <c r="L60" s="732"/>
      <c r="N60" s="1"/>
      <c r="P60" s="732"/>
      <c r="R60" s="732"/>
      <c r="T60" s="1"/>
      <c r="V60" s="732"/>
      <c r="X60" s="732"/>
      <c r="Z60" s="1"/>
      <c r="AB60" s="732"/>
      <c r="AD60" s="732"/>
      <c r="AJ60" s="1837">
        <v>2191</v>
      </c>
      <c r="AK60" s="1838">
        <f>IFERROR(VLOOKUP($AJ60,'[74]Thru 8.2021 Customer Count'!$A$5:$C$110,3,FALSE),0)</f>
        <v>4.9298025903373682E-6</v>
      </c>
      <c r="AL60" s="1839">
        <f>IFERROR(VLOOKUP($AJ60,'[74]09.2021 Customer Count'!$A$5:$C$118,3,FALSE),0)</f>
        <v>4.7701303034079156E-6</v>
      </c>
      <c r="AM60" s="1839">
        <f>IFERROR(VLOOKUP(AJ60,'[74]10.2021 Customer Count'!$A$5:$C$119,3,FALSE),0)</f>
        <v>4.6347390188339308E-6</v>
      </c>
      <c r="AN60" s="1839">
        <f>IFERROR(VLOOKUP(AJ60,'[74]11.2021 Customer Count'!$A$5:$C$120,3,FALSE),0)</f>
        <v>4.6134637294767449E-6</v>
      </c>
      <c r="AO60" s="1839">
        <f>IFERROR(VLOOKUP(AJ60,'[74]12.2022 Customer Count'!$A$5:$C$124,3,FALSE),0)</f>
        <v>4.5606003170564524E-6</v>
      </c>
      <c r="AP60" s="1366">
        <f>VLOOKUP(AJ60,'[75]01.2022 Customer Count'!$A$5:$C$127,3,FALSE)</f>
        <v>4.4568450015447687E-6</v>
      </c>
    </row>
    <row r="61" spans="1:42" s="48" customFormat="1" ht="15.75">
      <c r="A61" s="1"/>
      <c r="B61" s="1"/>
      <c r="C61" s="1"/>
      <c r="D61" s="1"/>
      <c r="E61" s="1"/>
      <c r="F61" s="1"/>
      <c r="H61" s="1"/>
      <c r="J61" s="732"/>
      <c r="L61" s="732"/>
      <c r="N61" s="1"/>
      <c r="P61" s="732"/>
      <c r="R61" s="732"/>
      <c r="T61" s="1"/>
      <c r="V61" s="732"/>
      <c r="X61" s="732"/>
      <c r="Z61" s="1"/>
      <c r="AB61" s="732"/>
      <c r="AD61" s="732"/>
      <c r="AJ61" s="1837">
        <v>2195</v>
      </c>
      <c r="AK61" s="1838">
        <f>IFERROR(VLOOKUP($AJ61,'[74]Thru 8.2021 Customer Count'!$A$5:$C$110,3,FALSE),0)</f>
        <v>2.7235516044083845E-2</v>
      </c>
      <c r="AL61" s="1839">
        <f>IFERROR(VLOOKUP($AJ61,'[74]09.2021 Customer Count'!$A$5:$C$118,3,FALSE),0)</f>
        <v>2.6353379882894264E-2</v>
      </c>
      <c r="AM61" s="1839">
        <f>IFERROR(VLOOKUP(AJ61,'[74]10.2021 Customer Count'!$A$5:$C$119,3,FALSE),0)</f>
        <v>2.560538816605119E-2</v>
      </c>
      <c r="AN61" s="1839">
        <f>IFERROR(VLOOKUP(AJ61,'[74]11.2021 Customer Count'!$A$5:$C$120,3,FALSE),0)</f>
        <v>2.5487849284115856E-2</v>
      </c>
      <c r="AO61" s="1839">
        <f>IFERROR(VLOOKUP(AJ61,'[74]12.2022 Customer Count'!$A$5:$C$124,3,FALSE),0)</f>
        <v>2.5195796551631216E-2</v>
      </c>
      <c r="AP61" s="1366">
        <f>VLOOKUP(AJ61,'[75]01.2022 Customer Count'!$A$5:$C$127,3,FALSE)</f>
        <v>2.745862205451732E-2</v>
      </c>
    </row>
    <row r="62" spans="1:42" s="48" customFormat="1" ht="15.75">
      <c r="A62" s="1"/>
      <c r="B62" s="1"/>
      <c r="C62" s="1"/>
      <c r="D62" s="1"/>
      <c r="E62" s="1"/>
      <c r="F62" s="1"/>
      <c r="H62" s="1"/>
      <c r="J62" s="732"/>
      <c r="L62" s="732"/>
      <c r="N62" s="1"/>
      <c r="P62" s="732"/>
      <c r="R62" s="732"/>
      <c r="T62" s="1"/>
      <c r="V62" s="732"/>
      <c r="X62" s="732"/>
      <c r="Z62" s="1"/>
      <c r="AB62" s="732"/>
      <c r="AD62" s="732"/>
      <c r="AJ62" s="1837">
        <v>2210</v>
      </c>
      <c r="AK62" s="1838">
        <f>IFERROR(VLOOKUP($AJ62,'[74]Thru 8.2021 Customer Count'!$A$5:$C$110,3,FALSE),0)</f>
        <v>1.8550025513674458E-2</v>
      </c>
      <c r="AL62" s="1839">
        <f>IFERROR(VLOOKUP($AJ62,'[74]09.2021 Customer Count'!$A$5:$C$118,3,FALSE),0)</f>
        <v>1.7949205310006752E-2</v>
      </c>
      <c r="AM62" s="1839">
        <f>IFERROR(VLOOKUP(AJ62,'[74]10.2021 Customer Count'!$A$5:$C$119,3,FALSE),0)</f>
        <v>1.7439750471368944E-2</v>
      </c>
      <c r="AN62" s="1839">
        <f>IFERROR(VLOOKUP(AJ62,'[74]11.2021 Customer Count'!$A$5:$C$120,3,FALSE),0)</f>
        <v>1.7359695103399412E-2</v>
      </c>
      <c r="AO62" s="1839">
        <f>IFERROR(VLOOKUP(AJ62,'[74]12.2022 Customer Count'!$A$5:$C$124,3,FALSE),0)</f>
        <v>1.7160778893030589E-2</v>
      </c>
      <c r="AP62" s="1366">
        <f>VLOOKUP(AJ62,'[75]01.2022 Customer Count'!$A$5:$C$127,3,FALSE)</f>
        <v>1.7555512461084846E-2</v>
      </c>
    </row>
    <row r="63" spans="1:42" s="48" customFormat="1" ht="15.75">
      <c r="A63" s="1"/>
      <c r="B63" s="1"/>
      <c r="C63" s="1"/>
      <c r="D63" s="1"/>
      <c r="E63" s="1"/>
      <c r="F63" s="1"/>
      <c r="H63" s="1"/>
      <c r="J63" s="732"/>
      <c r="L63" s="732"/>
      <c r="N63" s="1"/>
      <c r="P63" s="732"/>
      <c r="R63" s="732"/>
      <c r="T63" s="1"/>
      <c r="V63" s="732"/>
      <c r="X63" s="732"/>
      <c r="Z63" s="1"/>
      <c r="AB63" s="732"/>
      <c r="AD63" s="732"/>
      <c r="AJ63" s="1837">
        <v>2211</v>
      </c>
      <c r="AK63" s="1838">
        <f>IFERROR(VLOOKUP($AJ63,'[74]Thru 8.2021 Customer Count'!$A$5:$C$110,3,FALSE),0)</f>
        <v>1.8455537630692995E-2</v>
      </c>
      <c r="AL63" s="1839">
        <f>IFERROR(VLOOKUP($AJ63,'[74]09.2021 Customer Count'!$A$5:$C$118,3,FALSE),0)</f>
        <v>1.7857777812524768E-2</v>
      </c>
      <c r="AM63" s="1839">
        <f>IFERROR(VLOOKUP(AJ63,'[74]10.2021 Customer Count'!$A$5:$C$119,3,FALSE),0)</f>
        <v>1.7350917973507959E-2</v>
      </c>
      <c r="AN63" s="1839">
        <f>IFERROR(VLOOKUP(AJ63,'[74]11.2021 Customer Count'!$A$5:$C$120,3,FALSE),0)</f>
        <v>1.7271270381917773E-2</v>
      </c>
      <c r="AO63" s="1839">
        <f>IFERROR(VLOOKUP(AJ63,'[74]12.2022 Customer Count'!$A$5:$C$124,3,FALSE),0)</f>
        <v>1.7073367386953673E-2</v>
      </c>
      <c r="AP63" s="1366">
        <f>VLOOKUP(AJ63,'[75]01.2022 Customer Count'!$A$5:$C$127,3,FALSE)</f>
        <v>1.9735652474340493E-2</v>
      </c>
    </row>
    <row r="64" spans="1:42" s="48" customFormat="1" ht="15.75">
      <c r="A64" s="1"/>
      <c r="B64" s="1"/>
      <c r="C64" s="1"/>
      <c r="D64" s="1"/>
      <c r="E64" s="1"/>
      <c r="F64" s="1"/>
      <c r="H64" s="1"/>
      <c r="J64" s="732"/>
      <c r="L64" s="732"/>
      <c r="N64" s="1"/>
      <c r="P64" s="732"/>
      <c r="R64" s="732"/>
      <c r="T64" s="1"/>
      <c r="V64" s="732"/>
      <c r="X64" s="732"/>
      <c r="Z64" s="1"/>
      <c r="AB64" s="732"/>
      <c r="AD64" s="732"/>
      <c r="AJ64" s="1837">
        <v>2212</v>
      </c>
      <c r="AK64" s="1838">
        <f>IFERROR(VLOOKUP($AJ64,'[74]Thru 8.2021 Customer Count'!$A$5:$C$110,3,FALSE),0)</f>
        <v>4.7794436113320782E-3</v>
      </c>
      <c r="AL64" s="1839">
        <f>IFERROR(VLOOKUP($AJ64,'[74]09.2021 Customer Count'!$A$5:$C$118,3,FALSE),0)</f>
        <v>4.6246413291539746E-3</v>
      </c>
      <c r="AM64" s="1839">
        <f>IFERROR(VLOOKUP(AJ64,'[74]10.2021 Customer Count'!$A$5:$C$119,3,FALSE),0)</f>
        <v>4.4933794787594961E-3</v>
      </c>
      <c r="AN64" s="1839">
        <f>IFERROR(VLOOKUP(AJ64,'[74]11.2021 Customer Count'!$A$5:$C$120,3,FALSE),0)</f>
        <v>4.4727530857277039E-3</v>
      </c>
      <c r="AO64" s="1839">
        <f>IFERROR(VLOOKUP(AJ64,'[74]12.2022 Customer Count'!$A$5:$C$124,3,FALSE),0)</f>
        <v>4.4215020073862304E-3</v>
      </c>
      <c r="AP64" s="1366">
        <f>VLOOKUP(AJ64,'[75]01.2022 Customer Count'!$A$5:$C$127,3,FALSE)</f>
        <v>5.0124650117373505E-3</v>
      </c>
    </row>
    <row r="65" spans="1:42" s="48" customFormat="1" ht="15.75">
      <c r="A65" s="1"/>
      <c r="B65" s="1"/>
      <c r="C65" s="1"/>
      <c r="D65" s="1"/>
      <c r="E65" s="1"/>
      <c r="F65" s="1"/>
      <c r="H65" s="1"/>
      <c r="J65" s="732"/>
      <c r="L65" s="732"/>
      <c r="N65" s="1"/>
      <c r="P65" s="732"/>
      <c r="R65" s="732"/>
      <c r="T65" s="1"/>
      <c r="V65" s="732"/>
      <c r="X65" s="732"/>
      <c r="Z65" s="1"/>
      <c r="AB65" s="732"/>
      <c r="AD65" s="732"/>
      <c r="AJ65" s="1837">
        <v>2213</v>
      </c>
      <c r="AK65" s="1838">
        <f>IFERROR(VLOOKUP($AJ65,'[74]Thru 8.2021 Customer Count'!$A$5:$C$110,3,FALSE),0)</f>
        <v>0</v>
      </c>
      <c r="AL65" s="1839">
        <f>IFERROR(VLOOKUP($AJ65,'[74]09.2021 Customer Count'!$A$5:$C$118,3,FALSE),0)</f>
        <v>0</v>
      </c>
      <c r="AM65" s="1839">
        <f>IFERROR(VLOOKUP(AJ65,'[74]10.2021 Customer Count'!$A$5:$C$119,3,FALSE),0)</f>
        <v>0</v>
      </c>
      <c r="AN65" s="1839">
        <f>IFERROR(VLOOKUP(AJ65,'[74]11.2021 Customer Count'!$A$5:$C$120,3,FALSE),0)</f>
        <v>0</v>
      </c>
      <c r="AO65" s="1839">
        <f>IFERROR(VLOOKUP(AJ65,'[74]12.2022 Customer Count'!$A$5:$C$124,3,FALSE),0)</f>
        <v>0</v>
      </c>
      <c r="AP65" s="1366">
        <f>VLOOKUP(AJ65,'[75]01.2022 Customer Count'!$A$5:$C$127,3,FALSE)</f>
        <v>0</v>
      </c>
    </row>
    <row r="66" spans="1:42" s="48" customFormat="1" ht="15.75">
      <c r="A66" s="1"/>
      <c r="B66" s="1"/>
      <c r="C66" s="1"/>
      <c r="D66" s="1"/>
      <c r="E66" s="1"/>
      <c r="F66" s="1"/>
      <c r="H66" s="1"/>
      <c r="J66" s="732"/>
      <c r="L66" s="732"/>
      <c r="N66" s="1"/>
      <c r="P66" s="732"/>
      <c r="R66" s="732"/>
      <c r="T66" s="1"/>
      <c r="V66" s="732"/>
      <c r="X66" s="732"/>
      <c r="Z66" s="1"/>
      <c r="AB66" s="732"/>
      <c r="AD66" s="732"/>
      <c r="AJ66" s="1837">
        <v>2214</v>
      </c>
      <c r="AK66" s="1838">
        <f>IFERROR(VLOOKUP($AJ66,'[74]Thru 8.2021 Customer Count'!$A$5:$C$110,3,FALSE),0)</f>
        <v>8.6197598292048882E-3</v>
      </c>
      <c r="AL66" s="1839">
        <f>IFERROR(VLOOKUP($AJ66,'[74]09.2021 Customer Count'!$A$5:$C$118,3,FALSE),0)</f>
        <v>8.3405728355087413E-3</v>
      </c>
      <c r="AM66" s="1839">
        <f>IFERROR(VLOOKUP(AJ66,'[74]10.2021 Customer Count'!$A$5:$C$119,3,FALSE),0)</f>
        <v>8.103841174431128E-3</v>
      </c>
      <c r="AN66" s="1839">
        <f>IFERROR(VLOOKUP(AJ66,'[74]11.2021 Customer Count'!$A$5:$C$120,3,FALSE),0)</f>
        <v>8.0666413309900889E-3</v>
      </c>
      <c r="AO66" s="1839">
        <f>IFERROR(VLOOKUP(AJ66,'[74]12.2022 Customer Count'!$A$5:$C$124,3,FALSE),0)</f>
        <v>7.9742096543732079E-3</v>
      </c>
      <c r="AP66" s="1366">
        <f>VLOOKUP(AJ66,'[75]01.2022 Customer Count'!$A$5:$C$127,3,FALSE)</f>
        <v>6.0018846020802891E-3</v>
      </c>
    </row>
    <row r="67" spans="1:42" s="48" customFormat="1" ht="15.75">
      <c r="A67" s="1"/>
      <c r="B67" s="1"/>
      <c r="C67" s="1"/>
      <c r="D67" s="1"/>
      <c r="E67" s="1"/>
      <c r="F67" s="1"/>
      <c r="H67" s="1"/>
      <c r="J67" s="732"/>
      <c r="L67" s="732"/>
      <c r="N67" s="1"/>
      <c r="P67" s="732"/>
      <c r="R67" s="732"/>
      <c r="T67" s="1"/>
      <c r="V67" s="732"/>
      <c r="X67" s="732"/>
      <c r="Z67" s="1"/>
      <c r="AB67" s="732"/>
      <c r="AD67" s="732"/>
      <c r="AJ67" s="1837">
        <v>2215</v>
      </c>
      <c r="AK67" s="1838">
        <f>IFERROR(VLOOKUP($AJ67,'[74]Thru 8.2021 Customer Count'!$A$5:$C$110,3,FALSE),0)</f>
        <v>1.7145853409193366E-2</v>
      </c>
      <c r="AL67" s="1839">
        <f>IFERROR(VLOOKUP($AJ67,'[74]09.2021 Customer Count'!$A$5:$C$118,3,FALSE),0)</f>
        <v>1.6590513195252732E-2</v>
      </c>
      <c r="AM67" s="1839">
        <f>IFERROR(VLOOKUP(AJ67,'[74]10.2021 Customer Count'!$A$5:$C$119,3,FALSE),0)</f>
        <v>1.6119622307504411E-2</v>
      </c>
      <c r="AN67" s="1839">
        <f>IFERROR(VLOOKUP(AJ67,'[74]11.2021 Customer Count'!$A$5:$C$120,3,FALSE),0)</f>
        <v>1.6045626851120119E-2</v>
      </c>
      <c r="AO67" s="1839">
        <f>IFERROR(VLOOKUP(AJ67,'[74]12.2022 Customer Count'!$A$5:$C$124,3,FALSE),0)</f>
        <v>1.586176790272234E-2</v>
      </c>
      <c r="AP67" s="1366">
        <f>VLOOKUP(AJ67,'[75]01.2022 Customer Count'!$A$5:$C$127,3,FALSE)</f>
        <v>1.5974818100536966E-2</v>
      </c>
    </row>
    <row r="68" spans="1:42" s="48" customFormat="1" ht="15.75">
      <c r="A68" s="1"/>
      <c r="B68" s="1"/>
      <c r="C68" s="1"/>
      <c r="D68" s="1"/>
      <c r="E68" s="1"/>
      <c r="F68" s="1"/>
      <c r="H68" s="1"/>
      <c r="J68" s="732"/>
      <c r="L68" s="732"/>
      <c r="N68" s="1"/>
      <c r="P68" s="732"/>
      <c r="R68" s="732"/>
      <c r="T68" s="1"/>
      <c r="V68" s="732"/>
      <c r="X68" s="732"/>
      <c r="Z68" s="1"/>
      <c r="AB68" s="732"/>
      <c r="AD68" s="732"/>
      <c r="AJ68" s="1837">
        <v>2310</v>
      </c>
      <c r="AK68" s="1838">
        <f>IFERROR(VLOOKUP($AJ68,'[74]Thru 8.2021 Customer Count'!$A$5:$C$110,3,FALSE),0)</f>
        <v>1.0329579694286899E-2</v>
      </c>
      <c r="AL68" s="1839">
        <f>IFERROR(VLOOKUP($AJ68,'[74]09.2021 Customer Count'!$A$5:$C$118,3,FALSE),0)</f>
        <v>9.9950130290740527E-3</v>
      </c>
      <c r="AM68" s="1839">
        <f>IFERROR(VLOOKUP(AJ68,'[74]10.2021 Customer Count'!$A$5:$C$119,3,FALSE),0)</f>
        <v>9.7113231574633627E-3</v>
      </c>
      <c r="AN68" s="1839">
        <f>IFERROR(VLOOKUP(AJ68,'[74]11.2021 Customer Count'!$A$5:$C$120,3,FALSE),0)</f>
        <v>9.6667443344969402E-3</v>
      </c>
      <c r="AO68" s="1839">
        <f>IFERROR(VLOOKUP(AJ68,'[74]12.2022 Customer Count'!$A$5:$C$124,3,FALSE),0)</f>
        <v>9.5559778643389531E-3</v>
      </c>
      <c r="AP68" s="1366">
        <f>VLOOKUP(AJ68,'[75]01.2022 Customer Count'!$A$5:$C$127,3,FALSE)</f>
        <v>9.4997651207926748E-3</v>
      </c>
    </row>
    <row r="69" spans="1:42" s="48" customFormat="1" ht="15.75">
      <c r="A69" s="1"/>
      <c r="B69" s="1"/>
      <c r="C69" s="1"/>
      <c r="D69" s="1"/>
      <c r="E69" s="1"/>
      <c r="F69" s="1"/>
      <c r="H69" s="1"/>
      <c r="J69" s="732"/>
      <c r="L69" s="732"/>
      <c r="N69" s="1"/>
      <c r="P69" s="732"/>
      <c r="R69" s="732"/>
      <c r="T69" s="1"/>
      <c r="V69" s="732"/>
      <c r="X69" s="732"/>
      <c r="Z69" s="1"/>
      <c r="AB69" s="732"/>
      <c r="AD69" s="732"/>
      <c r="AJ69" s="1837">
        <v>2410</v>
      </c>
      <c r="AK69" s="1838">
        <f>IFERROR(VLOOKUP($AJ69,'[74]Thru 8.2021 Customer Count'!$A$5:$C$110,3,FALSE),0)</f>
        <v>8.0841367777647333E-2</v>
      </c>
      <c r="AL69" s="1839">
        <f>IFERROR(VLOOKUP($AJ69,'[74]09.2021 Customer Count'!$A$5:$C$118,3,FALSE),0)</f>
        <v>7.82229817804347E-2</v>
      </c>
      <c r="AM69" s="1839">
        <f>IFERROR(VLOOKUP(AJ69,'[74]10.2021 Customer Count'!$A$5:$C$119,3,FALSE),0)</f>
        <v>7.6002767800348217E-2</v>
      </c>
      <c r="AN69" s="1839">
        <f>IFERROR(VLOOKUP(AJ69,'[74]11.2021 Customer Count'!$A$5:$C$120,3,FALSE),0)</f>
        <v>7.5653884967824409E-2</v>
      </c>
      <c r="AO69" s="1839">
        <f>IFERROR(VLOOKUP(AJ69,'[74]12.2022 Customer Count'!$A$5:$C$124,3,FALSE),0)</f>
        <v>7.478700429925024E-2</v>
      </c>
      <c r="AP69" s="1366">
        <f>VLOOKUP(AJ69,'[75]01.2022 Customer Count'!$A$5:$C$127,3,FALSE)</f>
        <v>7.3785297423074422E-2</v>
      </c>
    </row>
    <row r="70" spans="1:42" s="48" customFormat="1" ht="15.75">
      <c r="A70" s="1"/>
      <c r="B70" s="1"/>
      <c r="C70" s="1"/>
      <c r="D70" s="1"/>
      <c r="E70" s="1"/>
      <c r="F70" s="1"/>
      <c r="H70" s="1"/>
      <c r="J70" s="732"/>
      <c r="L70" s="732"/>
      <c r="N70" s="1"/>
      <c r="P70" s="732"/>
      <c r="R70" s="732"/>
      <c r="T70" s="1"/>
      <c r="V70" s="732"/>
      <c r="X70" s="732"/>
      <c r="Z70" s="1"/>
      <c r="AB70" s="732"/>
      <c r="AD70" s="732"/>
      <c r="AJ70" s="1837">
        <v>2411</v>
      </c>
      <c r="AK70" s="1838">
        <f>IFERROR(VLOOKUP($AJ70,'[74]Thru 8.2021 Customer Count'!$A$5:$C$110,3,FALSE),0)</f>
        <v>0</v>
      </c>
      <c r="AL70" s="1839">
        <f>IFERROR(VLOOKUP($AJ70,'[74]09.2021 Customer Count'!$A$5:$C$118,3,FALSE),0)</f>
        <v>0</v>
      </c>
      <c r="AM70" s="1839">
        <f>IFERROR(VLOOKUP(AJ70,'[74]10.2021 Customer Count'!$A$5:$C$119,3,FALSE),0)</f>
        <v>0</v>
      </c>
      <c r="AN70" s="1839">
        <f>IFERROR(VLOOKUP(AJ70,'[74]11.2021 Customer Count'!$A$5:$C$120,3,FALSE),0)</f>
        <v>0</v>
      </c>
      <c r="AO70" s="1839">
        <f>IFERROR(VLOOKUP(AJ70,'[74]12.2022 Customer Count'!$A$5:$C$124,3,FALSE),0)</f>
        <v>0</v>
      </c>
      <c r="AP70" s="1366">
        <f>VLOOKUP(AJ70,'[75]01.2022 Customer Count'!$A$5:$C$127,3,FALSE)</f>
        <v>0</v>
      </c>
    </row>
    <row r="71" spans="1:42" s="48" customFormat="1" ht="15.75">
      <c r="A71" s="1"/>
      <c r="B71" s="1"/>
      <c r="C71" s="1"/>
      <c r="D71" s="1"/>
      <c r="E71" s="1"/>
      <c r="F71" s="1"/>
      <c r="H71" s="1"/>
      <c r="J71" s="732"/>
      <c r="L71" s="732"/>
      <c r="N71" s="1"/>
      <c r="P71" s="732"/>
      <c r="R71" s="732"/>
      <c r="T71" s="1"/>
      <c r="V71" s="732"/>
      <c r="X71" s="732"/>
      <c r="Z71" s="1"/>
      <c r="AB71" s="732"/>
      <c r="AD71" s="732"/>
      <c r="AJ71" s="1837">
        <v>2412</v>
      </c>
      <c r="AK71" s="1838">
        <f>IFERROR(VLOOKUP($AJ71,'[74]Thru 8.2021 Customer Count'!$A$5:$C$110,3,FALSE),0)</f>
        <v>0</v>
      </c>
      <c r="AL71" s="1839">
        <f>IFERROR(VLOOKUP($AJ71,'[74]09.2021 Customer Count'!$A$5:$C$118,3,FALSE),0)</f>
        <v>0</v>
      </c>
      <c r="AM71" s="1839">
        <f>IFERROR(VLOOKUP(AJ71,'[74]10.2021 Customer Count'!$A$5:$C$119,3,FALSE),0)</f>
        <v>0</v>
      </c>
      <c r="AN71" s="1839">
        <f>IFERROR(VLOOKUP(AJ71,'[74]11.2021 Customer Count'!$A$5:$C$120,3,FALSE),0)</f>
        <v>0</v>
      </c>
      <c r="AO71" s="1839">
        <f>IFERROR(VLOOKUP(AJ71,'[74]12.2022 Customer Count'!$A$5:$C$124,3,FALSE),0)</f>
        <v>0</v>
      </c>
      <c r="AP71" s="1366">
        <f>VLOOKUP(AJ71,'[75]01.2022 Customer Count'!$A$5:$C$127,3,FALSE)</f>
        <v>0</v>
      </c>
    </row>
    <row r="72" spans="1:42" s="48" customFormat="1" ht="15.75">
      <c r="A72" s="1"/>
      <c r="B72" s="1"/>
      <c r="C72" s="1"/>
      <c r="D72" s="1"/>
      <c r="E72" s="1"/>
      <c r="F72" s="1"/>
      <c r="H72" s="1"/>
      <c r="J72" s="732"/>
      <c r="L72" s="732"/>
      <c r="N72" s="1"/>
      <c r="P72" s="732"/>
      <c r="R72" s="732"/>
      <c r="T72" s="1"/>
      <c r="V72" s="732"/>
      <c r="X72" s="732"/>
      <c r="Z72" s="1"/>
      <c r="AB72" s="732"/>
      <c r="AD72" s="732"/>
      <c r="AJ72" s="1837">
        <v>2413</v>
      </c>
      <c r="AK72" s="1838">
        <f>IFERROR(VLOOKUP($AJ72,'[74]Thru 8.2021 Customer Count'!$A$5:$C$110,3,FALSE),0)</f>
        <v>0</v>
      </c>
      <c r="AL72" s="1839">
        <f>IFERROR(VLOOKUP($AJ72,'[74]09.2021 Customer Count'!$A$5:$C$118,3,FALSE),0)</f>
        <v>0</v>
      </c>
      <c r="AM72" s="1839">
        <f>IFERROR(VLOOKUP(AJ72,'[74]10.2021 Customer Count'!$A$5:$C$119,3,FALSE),0)</f>
        <v>0</v>
      </c>
      <c r="AN72" s="1839">
        <f>IFERROR(VLOOKUP(AJ72,'[74]11.2021 Customer Count'!$A$5:$C$120,3,FALSE),0)</f>
        <v>0</v>
      </c>
      <c r="AO72" s="1839">
        <f>IFERROR(VLOOKUP(AJ72,'[74]12.2022 Customer Count'!$A$5:$C$124,3,FALSE),0)</f>
        <v>0</v>
      </c>
      <c r="AP72" s="1366">
        <f>VLOOKUP(AJ72,'[75]01.2022 Customer Count'!$A$5:$C$127,3,FALSE)</f>
        <v>0</v>
      </c>
    </row>
    <row r="73" spans="1:42" s="48" customFormat="1" ht="15.75">
      <c r="A73" s="1"/>
      <c r="B73" s="1"/>
      <c r="C73" s="1"/>
      <c r="D73" s="1"/>
      <c r="E73" s="1"/>
      <c r="F73" s="1"/>
      <c r="H73" s="1"/>
      <c r="J73" s="732"/>
      <c r="L73" s="732"/>
      <c r="N73" s="1"/>
      <c r="P73" s="732"/>
      <c r="R73" s="732"/>
      <c r="T73" s="1"/>
      <c r="V73" s="732"/>
      <c r="X73" s="732"/>
      <c r="Z73" s="1"/>
      <c r="AB73" s="732"/>
      <c r="AD73" s="732"/>
      <c r="AJ73" s="1837">
        <v>2414</v>
      </c>
      <c r="AK73" s="1838">
        <f>IFERROR(VLOOKUP($AJ73,'[74]Thru 8.2021 Customer Count'!$A$5:$C$110,3,FALSE),0)</f>
        <v>0</v>
      </c>
      <c r="AL73" s="1839">
        <f>IFERROR(VLOOKUP($AJ73,'[74]09.2021 Customer Count'!$A$5:$C$118,3,FALSE),0)</f>
        <v>0</v>
      </c>
      <c r="AM73" s="1839">
        <f>IFERROR(VLOOKUP(AJ73,'[74]10.2021 Customer Count'!$A$5:$C$119,3,FALSE),0)</f>
        <v>0</v>
      </c>
      <c r="AN73" s="1839">
        <f>IFERROR(VLOOKUP(AJ73,'[74]11.2021 Customer Count'!$A$5:$C$120,3,FALSE),0)</f>
        <v>0</v>
      </c>
      <c r="AO73" s="1839">
        <f>IFERROR(VLOOKUP(AJ73,'[74]12.2022 Customer Count'!$A$5:$C$124,3,FALSE),0)</f>
        <v>0</v>
      </c>
      <c r="AP73" s="1366">
        <f>VLOOKUP(AJ73,'[75]01.2022 Customer Count'!$A$5:$C$127,3,FALSE)</f>
        <v>0</v>
      </c>
    </row>
    <row r="74" spans="1:42" s="48" customFormat="1" ht="15.75">
      <c r="A74" s="1"/>
      <c r="B74" s="1"/>
      <c r="C74" s="1"/>
      <c r="D74" s="1"/>
      <c r="E74" s="1"/>
      <c r="F74" s="1"/>
      <c r="H74" s="1"/>
      <c r="J74" s="732"/>
      <c r="L74" s="732"/>
      <c r="N74" s="1"/>
      <c r="P74" s="732"/>
      <c r="R74" s="732"/>
      <c r="T74" s="1"/>
      <c r="V74" s="732"/>
      <c r="X74" s="732"/>
      <c r="Z74" s="1"/>
      <c r="AB74" s="732"/>
      <c r="AD74" s="732"/>
      <c r="AJ74" s="1837">
        <v>2420</v>
      </c>
      <c r="AK74" s="1838">
        <f>IFERROR(VLOOKUP($AJ74,'[74]Thru 8.2021 Customer Count'!$A$5:$C$110,3,FALSE),0)</f>
        <v>0</v>
      </c>
      <c r="AL74" s="1839">
        <f>IFERROR(VLOOKUP($AJ74,'[74]09.2021 Customer Count'!$A$5:$C$118,3,FALSE),0)</f>
        <v>0</v>
      </c>
      <c r="AM74" s="1839">
        <f>IFERROR(VLOOKUP(AJ74,'[74]10.2021 Customer Count'!$A$5:$C$119,3,FALSE),0)</f>
        <v>0</v>
      </c>
      <c r="AN74" s="1839">
        <f>IFERROR(VLOOKUP(AJ74,'[74]11.2021 Customer Count'!$A$5:$C$120,3,FALSE),0)</f>
        <v>0</v>
      </c>
      <c r="AO74" s="1839">
        <f>IFERROR(VLOOKUP(AJ74,'[74]12.2022 Customer Count'!$A$5:$C$124,3,FALSE),0)</f>
        <v>0</v>
      </c>
      <c r="AP74" s="1366">
        <f>VLOOKUP(AJ74,'[75]01.2022 Customer Count'!$A$5:$C$127,3,FALSE)</f>
        <v>0</v>
      </c>
    </row>
    <row r="75" spans="1:42" s="48" customFormat="1" ht="15.75">
      <c r="A75" s="1"/>
      <c r="B75" s="1"/>
      <c r="C75" s="1"/>
      <c r="D75" s="1"/>
      <c r="E75" s="1"/>
      <c r="F75" s="1"/>
      <c r="H75" s="1"/>
      <c r="J75" s="732"/>
      <c r="L75" s="732"/>
      <c r="N75" s="1"/>
      <c r="P75" s="732"/>
      <c r="R75" s="732"/>
      <c r="T75" s="1"/>
      <c r="V75" s="732"/>
      <c r="X75" s="732"/>
      <c r="Z75" s="1"/>
      <c r="AB75" s="732"/>
      <c r="AD75" s="732"/>
      <c r="AJ75" s="1837">
        <v>2430</v>
      </c>
      <c r="AK75" s="1838">
        <f>IFERROR(VLOOKUP($AJ75,'[74]Thru 8.2021 Customer Count'!$A$5:$C$110,3,FALSE),0)</f>
        <v>0</v>
      </c>
      <c r="AL75" s="1839">
        <f>IFERROR(VLOOKUP($AJ75,'[74]09.2021 Customer Count'!$A$5:$C$118,3,FALSE),0)</f>
        <v>0</v>
      </c>
      <c r="AM75" s="1839">
        <f>IFERROR(VLOOKUP(AJ75,'[74]10.2021 Customer Count'!$A$5:$C$119,3,FALSE),0)</f>
        <v>0</v>
      </c>
      <c r="AN75" s="1839">
        <f>IFERROR(VLOOKUP(AJ75,'[74]11.2021 Customer Count'!$A$5:$C$120,3,FALSE),0)</f>
        <v>0</v>
      </c>
      <c r="AO75" s="1839">
        <f>IFERROR(VLOOKUP(AJ75,'[74]12.2022 Customer Count'!$A$5:$C$124,3,FALSE),0)</f>
        <v>0</v>
      </c>
      <c r="AP75" s="1366">
        <f>VLOOKUP(AJ75,'[75]01.2022 Customer Count'!$A$5:$C$127,3,FALSE)</f>
        <v>0</v>
      </c>
    </row>
    <row r="76" spans="1:42" s="48" customFormat="1" ht="15.75">
      <c r="A76" s="1"/>
      <c r="B76" s="1"/>
      <c r="C76" s="1"/>
      <c r="D76" s="1"/>
      <c r="E76" s="1"/>
      <c r="F76" s="1"/>
      <c r="H76" s="1"/>
      <c r="J76" s="732"/>
      <c r="L76" s="732"/>
      <c r="N76" s="1"/>
      <c r="P76" s="732"/>
      <c r="R76" s="732"/>
      <c r="T76" s="1"/>
      <c r="V76" s="732"/>
      <c r="X76" s="732"/>
      <c r="Z76" s="1"/>
      <c r="AB76" s="732"/>
      <c r="AD76" s="732"/>
      <c r="AJ76" s="1837">
        <v>2431</v>
      </c>
      <c r="AK76" s="1838">
        <f>IFERROR(VLOOKUP($AJ76,'[74]Thru 8.2021 Customer Count'!$A$5:$C$110,3,FALSE),0)</f>
        <v>0</v>
      </c>
      <c r="AL76" s="1839">
        <f>IFERROR(VLOOKUP($AJ76,'[74]09.2021 Customer Count'!$A$5:$C$118,3,FALSE),0)</f>
        <v>0</v>
      </c>
      <c r="AM76" s="1839">
        <f>IFERROR(VLOOKUP(AJ76,'[74]10.2021 Customer Count'!$A$5:$C$119,3,FALSE),0)</f>
        <v>0</v>
      </c>
      <c r="AN76" s="1839">
        <f>IFERROR(VLOOKUP(AJ76,'[74]11.2021 Customer Count'!$A$5:$C$120,3,FALSE),0)</f>
        <v>0</v>
      </c>
      <c r="AO76" s="1839">
        <f>IFERROR(VLOOKUP(AJ76,'[74]12.2022 Customer Count'!$A$5:$C$124,3,FALSE),0)</f>
        <v>0</v>
      </c>
      <c r="AP76" s="1366">
        <f>VLOOKUP(AJ76,'[75]01.2022 Customer Count'!$A$5:$C$127,3,FALSE)</f>
        <v>0</v>
      </c>
    </row>
    <row r="77" spans="1:42" s="48" customFormat="1" ht="15.75">
      <c r="A77" s="1"/>
      <c r="B77" s="1"/>
      <c r="C77" s="1"/>
      <c r="D77" s="1"/>
      <c r="E77" s="1"/>
      <c r="F77" s="1"/>
      <c r="H77" s="1"/>
      <c r="J77" s="732"/>
      <c r="L77" s="732"/>
      <c r="N77" s="1"/>
      <c r="P77" s="732"/>
      <c r="R77" s="732"/>
      <c r="T77" s="1"/>
      <c r="V77" s="732"/>
      <c r="X77" s="732"/>
      <c r="Z77" s="1"/>
      <c r="AB77" s="732"/>
      <c r="AD77" s="732"/>
      <c r="AJ77" s="1837">
        <v>2432</v>
      </c>
      <c r="AK77" s="1838">
        <f>IFERROR(VLOOKUP($AJ77,'[74]Thru 8.2021 Customer Count'!$A$5:$C$110,3,FALSE),0)</f>
        <v>0</v>
      </c>
      <c r="AL77" s="1839">
        <f>IFERROR(VLOOKUP($AJ77,'[74]09.2021 Customer Count'!$A$5:$C$118,3,FALSE),0)</f>
        <v>0</v>
      </c>
      <c r="AM77" s="1839">
        <f>IFERROR(VLOOKUP(AJ77,'[74]10.2021 Customer Count'!$A$5:$C$119,3,FALSE),0)</f>
        <v>0</v>
      </c>
      <c r="AN77" s="1839">
        <f>IFERROR(VLOOKUP(AJ77,'[74]11.2021 Customer Count'!$A$5:$C$120,3,FALSE),0)</f>
        <v>0</v>
      </c>
      <c r="AO77" s="1839">
        <f>IFERROR(VLOOKUP(AJ77,'[74]12.2022 Customer Count'!$A$5:$C$124,3,FALSE),0)</f>
        <v>0</v>
      </c>
      <c r="AP77" s="1366">
        <f>VLOOKUP(AJ77,'[75]01.2022 Customer Count'!$A$5:$C$127,3,FALSE)</f>
        <v>0</v>
      </c>
    </row>
    <row r="78" spans="1:42" s="48" customFormat="1" ht="15.75">
      <c r="A78" s="1"/>
      <c r="B78" s="1"/>
      <c r="C78" s="1"/>
      <c r="D78" s="1"/>
      <c r="E78" s="1"/>
      <c r="F78" s="1"/>
      <c r="H78" s="1"/>
      <c r="J78" s="732"/>
      <c r="L78" s="732"/>
      <c r="N78" s="1"/>
      <c r="P78" s="732"/>
      <c r="R78" s="732"/>
      <c r="T78" s="1"/>
      <c r="V78" s="732"/>
      <c r="X78" s="732"/>
      <c r="Z78" s="1"/>
      <c r="AB78" s="732"/>
      <c r="AD78" s="732"/>
      <c r="AJ78" s="1837">
        <v>2440</v>
      </c>
      <c r="AK78" s="1838">
        <f>IFERROR(VLOOKUP($AJ78,'[74]Thru 8.2021 Customer Count'!$A$5:$C$110,3,FALSE),0)</f>
        <v>0</v>
      </c>
      <c r="AL78" s="1839">
        <f>IFERROR(VLOOKUP($AJ78,'[74]09.2021 Customer Count'!$A$5:$C$118,3,FALSE),0)</f>
        <v>0</v>
      </c>
      <c r="AM78" s="1839">
        <f>IFERROR(VLOOKUP(AJ78,'[74]10.2021 Customer Count'!$A$5:$C$119,3,FALSE),0)</f>
        <v>0</v>
      </c>
      <c r="AN78" s="1839">
        <f>IFERROR(VLOOKUP(AJ78,'[74]11.2021 Customer Count'!$A$5:$C$120,3,FALSE),0)</f>
        <v>0</v>
      </c>
      <c r="AO78" s="1839">
        <f>IFERROR(VLOOKUP(AJ78,'[74]12.2022 Customer Count'!$A$5:$C$124,3,FALSE),0)</f>
        <v>0</v>
      </c>
      <c r="AP78" s="1366">
        <f>VLOOKUP(AJ78,'[75]01.2022 Customer Count'!$A$5:$C$127,3,FALSE)</f>
        <v>0</v>
      </c>
    </row>
    <row r="79" spans="1:42" s="48" customFormat="1" ht="15.75">
      <c r="A79" s="1"/>
      <c r="B79" s="1"/>
      <c r="C79" s="1"/>
      <c r="D79" s="1"/>
      <c r="E79" s="1"/>
      <c r="F79" s="1"/>
      <c r="H79" s="1"/>
      <c r="J79" s="732"/>
      <c r="L79" s="732"/>
      <c r="N79" s="1"/>
      <c r="P79" s="732"/>
      <c r="R79" s="732"/>
      <c r="T79" s="1"/>
      <c r="V79" s="732"/>
      <c r="X79" s="732"/>
      <c r="Z79" s="1"/>
      <c r="AB79" s="732"/>
      <c r="AD79" s="732"/>
      <c r="AJ79" s="1837">
        <v>2450</v>
      </c>
      <c r="AK79" s="1838">
        <f>IFERROR(VLOOKUP($AJ79,'[74]Thru 8.2021 Customer Count'!$A$5:$C$110,3,FALSE),0)</f>
        <v>0</v>
      </c>
      <c r="AL79" s="1839">
        <f>IFERROR(VLOOKUP($AJ79,'[74]09.2021 Customer Count'!$A$5:$C$118,3,FALSE),0)</f>
        <v>0</v>
      </c>
      <c r="AM79" s="1839">
        <f>IFERROR(VLOOKUP(AJ79,'[74]10.2021 Customer Count'!$A$5:$C$119,3,FALSE),0)</f>
        <v>0</v>
      </c>
      <c r="AN79" s="1839">
        <f>IFERROR(VLOOKUP(AJ79,'[74]11.2021 Customer Count'!$A$5:$C$120,3,FALSE),0)</f>
        <v>0</v>
      </c>
      <c r="AO79" s="1839">
        <f>IFERROR(VLOOKUP(AJ79,'[74]12.2022 Customer Count'!$A$5:$C$124,3,FALSE),0)</f>
        <v>0</v>
      </c>
      <c r="AP79" s="1366">
        <f>VLOOKUP(AJ79,'[75]01.2022 Customer Count'!$A$5:$C$127,3,FALSE)</f>
        <v>0</v>
      </c>
    </row>
    <row r="80" spans="1:42" s="48" customFormat="1" ht="15.75">
      <c r="A80" s="1"/>
      <c r="B80" s="1"/>
      <c r="C80" s="1"/>
      <c r="D80" s="1"/>
      <c r="E80" s="1"/>
      <c r="F80" s="1"/>
      <c r="H80" s="1"/>
      <c r="J80" s="732"/>
      <c r="L80" s="732"/>
      <c r="N80" s="1"/>
      <c r="P80" s="732"/>
      <c r="R80" s="732"/>
      <c r="T80" s="1"/>
      <c r="V80" s="732"/>
      <c r="X80" s="732"/>
      <c r="Z80" s="1"/>
      <c r="AB80" s="732"/>
      <c r="AD80" s="732"/>
      <c r="AJ80" s="1837">
        <v>2451</v>
      </c>
      <c r="AK80" s="1838">
        <f>IFERROR(VLOOKUP($AJ80,'[74]Thru 8.2021 Customer Count'!$A$5:$C$110,3,FALSE),0)</f>
        <v>0</v>
      </c>
      <c r="AL80" s="1839">
        <f>IFERROR(VLOOKUP($AJ80,'[74]09.2021 Customer Count'!$A$5:$C$118,3,FALSE),0)</f>
        <v>0</v>
      </c>
      <c r="AM80" s="1839">
        <f>IFERROR(VLOOKUP(AJ80,'[74]10.2021 Customer Count'!$A$5:$C$119,3,FALSE),0)</f>
        <v>0</v>
      </c>
      <c r="AN80" s="1839">
        <f>IFERROR(VLOOKUP(AJ80,'[74]11.2021 Customer Count'!$A$5:$C$120,3,FALSE),0)</f>
        <v>0</v>
      </c>
      <c r="AO80" s="1839">
        <f>IFERROR(VLOOKUP(AJ80,'[74]12.2022 Customer Count'!$A$5:$C$124,3,FALSE),0)</f>
        <v>0</v>
      </c>
      <c r="AP80" s="1366">
        <f>VLOOKUP(AJ80,'[75]01.2022 Customer Count'!$A$5:$C$127,3,FALSE)</f>
        <v>0</v>
      </c>
    </row>
    <row r="81" spans="1:42" s="48" customFormat="1" ht="15.75">
      <c r="A81" s="1"/>
      <c r="B81" s="1"/>
      <c r="C81" s="1"/>
      <c r="D81" s="1"/>
      <c r="E81" s="1"/>
      <c r="F81" s="1"/>
      <c r="H81" s="1"/>
      <c r="J81" s="732"/>
      <c r="L81" s="732"/>
      <c r="N81" s="1"/>
      <c r="P81" s="732"/>
      <c r="R81" s="732"/>
      <c r="T81" s="1"/>
      <c r="V81" s="732"/>
      <c r="X81" s="732"/>
      <c r="Z81" s="1"/>
      <c r="AB81" s="732"/>
      <c r="AD81" s="732"/>
      <c r="AJ81" s="1837">
        <v>3022</v>
      </c>
      <c r="AK81" s="1838">
        <f>IFERROR(VLOOKUP($AJ81,'[74]Thru 8.2021 Customer Count'!$A$5:$C$110,3,FALSE),0)</f>
        <v>4.1262447681123769E-3</v>
      </c>
      <c r="AL81" s="1839">
        <f>IFERROR(VLOOKUP($AJ81,'[74]09.2021 Customer Count'!$A$5:$C$118,3,FALSE),0)</f>
        <v>3.9925990639524253E-3</v>
      </c>
      <c r="AM81" s="1839">
        <f>IFERROR(VLOOKUP(AJ81,'[74]10.2021 Customer Count'!$A$5:$C$119,3,FALSE),0)</f>
        <v>3.8792765587640004E-3</v>
      </c>
      <c r="AN81" s="1839">
        <f>IFERROR(VLOOKUP(AJ81,'[74]11.2021 Customer Count'!$A$5:$C$120,3,FALSE),0)</f>
        <v>3.8614691415720355E-3</v>
      </c>
      <c r="AO81" s="1839">
        <f>IFERROR(VLOOKUP(AJ81,'[74]12.2022 Customer Count'!$A$5:$C$124,3,FALSE),0)</f>
        <v>3.8172224653762509E-3</v>
      </c>
      <c r="AP81" s="1366">
        <f>VLOOKUP(AJ81,'[75]01.2022 Customer Count'!$A$5:$C$127,3,FALSE)</f>
        <v>3.9561927463712399E-3</v>
      </c>
    </row>
    <row r="82" spans="1:42" s="48" customFormat="1" ht="15.75">
      <c r="A82" s="1"/>
      <c r="B82" s="1"/>
      <c r="C82" s="1"/>
      <c r="D82" s="1"/>
      <c r="E82" s="1"/>
      <c r="F82" s="1"/>
      <c r="H82" s="1"/>
      <c r="J82" s="732"/>
      <c r="L82" s="732"/>
      <c r="N82" s="1"/>
      <c r="P82" s="732"/>
      <c r="R82" s="732"/>
      <c r="T82" s="1"/>
      <c r="V82" s="732"/>
      <c r="X82" s="732"/>
      <c r="Z82" s="1"/>
      <c r="AB82" s="732"/>
      <c r="AD82" s="732"/>
      <c r="AJ82" s="1837">
        <v>3023</v>
      </c>
      <c r="AK82" s="1838">
        <f>IFERROR(VLOOKUP($AJ82,'[74]Thru 8.2021 Customer Count'!$A$5:$C$110,3,FALSE),0)</f>
        <v>1.0388737325370948E-2</v>
      </c>
      <c r="AL82" s="1839">
        <f>IFERROR(VLOOKUP($AJ82,'[74]09.2021 Customer Count'!$A$5:$C$118,3,FALSE),0)</f>
        <v>1.0052254592714947E-2</v>
      </c>
      <c r="AM82" s="1839">
        <f>IFERROR(VLOOKUP(AJ82,'[74]10.2021 Customer Count'!$A$5:$C$119,3,FALSE),0)</f>
        <v>9.7669400256893708E-3</v>
      </c>
      <c r="AN82" s="1839">
        <f>IFERROR(VLOOKUP(AJ82,'[74]11.2021 Customer Count'!$A$5:$C$120,3,FALSE),0)</f>
        <v>9.72210589925066E-3</v>
      </c>
      <c r="AO82" s="1839">
        <f>IFERROR(VLOOKUP(AJ82,'[74]12.2022 Customer Count'!$A$5:$C$124,3,FALSE),0)</f>
        <v>9.6107050681436303E-3</v>
      </c>
      <c r="AP82" s="1366">
        <f>VLOOKUP(AJ82,'[75]01.2022 Customer Count'!$A$5:$C$127,3,FALSE)</f>
        <v>9.241268110703079E-3</v>
      </c>
    </row>
    <row r="83" spans="1:42" s="48" customFormat="1" ht="15.75">
      <c r="A83" s="1"/>
      <c r="B83" s="1"/>
      <c r="C83" s="1"/>
      <c r="D83" s="1"/>
      <c r="E83" s="1"/>
      <c r="F83" s="1"/>
      <c r="H83" s="1"/>
      <c r="J83" s="732"/>
      <c r="L83" s="732"/>
      <c r="N83" s="1"/>
      <c r="P83" s="732"/>
      <c r="R83" s="732"/>
      <c r="T83" s="1"/>
      <c r="V83" s="732"/>
      <c r="X83" s="732"/>
      <c r="Z83" s="1"/>
      <c r="AB83" s="732"/>
      <c r="AD83" s="732"/>
      <c r="AJ83" s="1837">
        <v>3024</v>
      </c>
      <c r="AK83" s="1838">
        <f>IFERROR(VLOOKUP($AJ83,'[74]Thru 8.2021 Customer Count'!$A$5:$C$110,3,FALSE),0)</f>
        <v>4.8090224268741025E-3</v>
      </c>
      <c r="AL83" s="1839">
        <f>IFERROR(VLOOKUP($AJ83,'[74]09.2021 Customer Count'!$A$5:$C$118,3,FALSE),0)</f>
        <v>4.6532621109744215E-3</v>
      </c>
      <c r="AM83" s="1839">
        <f>IFERROR(VLOOKUP(AJ83,'[74]10.2021 Customer Count'!$A$5:$C$119,3,FALSE),0)</f>
        <v>4.5211879128725001E-3</v>
      </c>
      <c r="AN83" s="1839">
        <f>IFERROR(VLOOKUP(AJ83,'[74]11.2021 Customer Count'!$A$5:$C$120,3,FALSE),0)</f>
        <v>4.5004338681045647E-3</v>
      </c>
      <c r="AO83" s="1839">
        <f>IFERROR(VLOOKUP(AJ83,'[74]12.2022 Customer Count'!$A$5:$C$124,3,FALSE),0)</f>
        <v>4.448865609288569E-3</v>
      </c>
      <c r="AP83" s="1366">
        <f>VLOOKUP(AJ83,'[75]01.2022 Customer Count'!$A$5:$C$127,3,FALSE)</f>
        <v>4.3721649465154186E-3</v>
      </c>
    </row>
    <row r="84" spans="1:42" s="48" customFormat="1" ht="15.75">
      <c r="A84" s="1"/>
      <c r="B84" s="1"/>
      <c r="C84" s="1"/>
      <c r="D84" s="1"/>
      <c r="E84" s="1"/>
      <c r="F84" s="1"/>
      <c r="H84" s="1"/>
      <c r="J84" s="732"/>
      <c r="L84" s="732"/>
      <c r="N84" s="1"/>
      <c r="P84" s="732"/>
      <c r="R84" s="732"/>
      <c r="T84" s="1"/>
      <c r="V84" s="732"/>
      <c r="X84" s="732"/>
      <c r="Z84" s="1"/>
      <c r="AB84" s="732"/>
      <c r="AD84" s="732"/>
      <c r="AJ84" s="1837">
        <v>3025</v>
      </c>
      <c r="AK84" s="1838">
        <f>IFERROR(VLOOKUP($AJ84,'[74]Thru 8.2021 Customer Count'!$A$5:$C$110,3,FALSE),0)</f>
        <v>1.0623724582177027E-3</v>
      </c>
      <c r="AL84" s="1839">
        <f>IFERROR(VLOOKUP($AJ84,'[74]09.2021 Customer Count'!$A$5:$C$118,3,FALSE),0)</f>
        <v>1.0279630803844057E-3</v>
      </c>
      <c r="AM84" s="1839">
        <f>IFERROR(VLOOKUP(AJ84,'[74]10.2021 Customer Count'!$A$5:$C$119,3,FALSE),0)</f>
        <v>9.9878625855871219E-4</v>
      </c>
      <c r="AN84" s="1839">
        <f>IFERROR(VLOOKUP(AJ84,'[74]11.2021 Customer Count'!$A$5:$C$120,3,FALSE),0)</f>
        <v>9.9420143370223851E-4</v>
      </c>
      <c r="AO84" s="1839">
        <f>IFERROR(VLOOKUP(AJ84,'[74]12.2022 Customer Count'!$A$5:$C$124,3,FALSE),0)</f>
        <v>9.8280936832566561E-4</v>
      </c>
      <c r="AP84" s="1366">
        <f>VLOOKUP(AJ84,'[75]01.2022 Customer Count'!$A$5:$C$127,3,FALSE)</f>
        <v>9.4336552532697608E-4</v>
      </c>
    </row>
    <row r="85" spans="1:42" s="48" customFormat="1" ht="15.75">
      <c r="A85" s="1"/>
      <c r="B85" s="1"/>
      <c r="C85" s="1"/>
      <c r="D85" s="1"/>
      <c r="E85" s="1"/>
      <c r="F85" s="1"/>
      <c r="H85" s="1"/>
      <c r="J85" s="732"/>
      <c r="L85" s="732"/>
      <c r="N85" s="1"/>
      <c r="P85" s="732"/>
      <c r="R85" s="732"/>
      <c r="T85" s="1"/>
      <c r="V85" s="732"/>
      <c r="X85" s="732"/>
      <c r="Z85" s="1"/>
      <c r="AB85" s="732"/>
      <c r="AD85" s="732"/>
      <c r="AJ85" s="1837">
        <v>4008</v>
      </c>
      <c r="AK85" s="1838">
        <f>IFERROR(VLOOKUP($AJ85,'[74]Thru 8.2021 Customer Count'!$A$5:$C$110,3,FALSE),0)</f>
        <v>0</v>
      </c>
      <c r="AL85" s="1839">
        <f>IFERROR(VLOOKUP($AJ85,'[74]09.2021 Customer Count'!$A$5:$C$118,3,FALSE),0)</f>
        <v>0</v>
      </c>
      <c r="AM85" s="1839">
        <f>IFERROR(VLOOKUP(AJ85,'[74]10.2021 Customer Count'!$A$5:$C$119,3,FALSE),0)</f>
        <v>0</v>
      </c>
      <c r="AN85" s="1839">
        <f>IFERROR(VLOOKUP(AJ85,'[74]11.2021 Customer Count'!$A$5:$C$120,3,FALSE),0)</f>
        <v>0</v>
      </c>
      <c r="AO85" s="1839">
        <f>IFERROR(VLOOKUP(AJ85,'[74]12.2022 Customer Count'!$A$5:$C$124,3,FALSE),0)</f>
        <v>0</v>
      </c>
      <c r="AP85" s="1366">
        <f>VLOOKUP(AJ85,'[75]01.2022 Customer Count'!$A$5:$C$127,3,FALSE)</f>
        <v>0</v>
      </c>
    </row>
    <row r="86" spans="1:42" s="48" customFormat="1" ht="15.75">
      <c r="A86" s="1"/>
      <c r="B86" s="1"/>
      <c r="C86" s="1"/>
      <c r="D86" s="1"/>
      <c r="E86" s="1"/>
      <c r="F86" s="1"/>
      <c r="H86" s="1"/>
      <c r="J86" s="732"/>
      <c r="L86" s="732"/>
      <c r="N86" s="1"/>
      <c r="P86" s="732"/>
      <c r="R86" s="732"/>
      <c r="T86" s="1"/>
      <c r="V86" s="732"/>
      <c r="X86" s="732"/>
      <c r="Z86" s="1"/>
      <c r="AB86" s="732"/>
      <c r="AD86" s="732"/>
      <c r="AJ86" s="1837">
        <v>4009</v>
      </c>
      <c r="AK86" s="1838">
        <f>IFERROR(VLOOKUP($AJ86,'[74]Thru 8.2021 Customer Count'!$A$5:$C$110,3,FALSE),0)</f>
        <v>0</v>
      </c>
      <c r="AL86" s="1839">
        <f>IFERROR(VLOOKUP($AJ86,'[74]09.2021 Customer Count'!$A$5:$C$118,3,FALSE),0)</f>
        <v>0</v>
      </c>
      <c r="AM86" s="1839">
        <f>IFERROR(VLOOKUP(AJ86,'[74]10.2021 Customer Count'!$A$5:$C$119,3,FALSE),0)</f>
        <v>0</v>
      </c>
      <c r="AN86" s="1839">
        <f>IFERROR(VLOOKUP(AJ86,'[74]11.2021 Customer Count'!$A$5:$C$120,3,FALSE),0)</f>
        <v>0</v>
      </c>
      <c r="AO86" s="1839">
        <f>IFERROR(VLOOKUP(AJ86,'[74]12.2022 Customer Count'!$A$5:$C$124,3,FALSE),0)</f>
        <v>0</v>
      </c>
      <c r="AP86" s="1366">
        <f>VLOOKUP(AJ86,'[75]01.2022 Customer Count'!$A$5:$C$127,3,FALSE)</f>
        <v>0</v>
      </c>
    </row>
    <row r="87" spans="1:42" s="48" customFormat="1" ht="15.75">
      <c r="A87" s="1"/>
      <c r="B87" s="1"/>
      <c r="C87" s="1"/>
      <c r="D87" s="1"/>
      <c r="E87" s="1"/>
      <c r="F87" s="1"/>
      <c r="H87" s="1"/>
      <c r="J87" s="732"/>
      <c r="L87" s="732"/>
      <c r="N87" s="1"/>
      <c r="P87" s="732"/>
      <c r="R87" s="732"/>
      <c r="T87" s="1"/>
      <c r="V87" s="732"/>
      <c r="X87" s="732"/>
      <c r="Z87" s="1"/>
      <c r="AB87" s="732"/>
      <c r="AD87" s="732"/>
      <c r="AJ87" s="1837">
        <v>4010</v>
      </c>
      <c r="AK87" s="1838">
        <f>IFERROR(VLOOKUP($AJ87,'[74]Thru 8.2021 Customer Count'!$A$5:$C$110,3,FALSE),0)</f>
        <v>0</v>
      </c>
      <c r="AL87" s="1839">
        <f>IFERROR(VLOOKUP($AJ87,'[74]09.2021 Customer Count'!$A$5:$C$118,3,FALSE),0)</f>
        <v>0</v>
      </c>
      <c r="AM87" s="1839">
        <f>IFERROR(VLOOKUP(AJ87,'[74]10.2021 Customer Count'!$A$5:$C$119,3,FALSE),0)</f>
        <v>0</v>
      </c>
      <c r="AN87" s="1839">
        <f>IFERROR(VLOOKUP(AJ87,'[74]11.2021 Customer Count'!$A$5:$C$120,3,FALSE),0)</f>
        <v>0</v>
      </c>
      <c r="AO87" s="1839">
        <f>IFERROR(VLOOKUP(AJ87,'[74]12.2022 Customer Count'!$A$5:$C$124,3,FALSE),0)</f>
        <v>0</v>
      </c>
      <c r="AP87" s="1366">
        <f>VLOOKUP(AJ87,'[75]01.2022 Customer Count'!$A$5:$C$127,3,FALSE)</f>
        <v>0</v>
      </c>
    </row>
    <row r="88" spans="1:42" s="48" customFormat="1" ht="15.75">
      <c r="A88" s="1"/>
      <c r="B88" s="1"/>
      <c r="C88" s="1"/>
      <c r="D88" s="1"/>
      <c r="E88" s="1"/>
      <c r="F88" s="1"/>
      <c r="H88" s="1"/>
      <c r="J88" s="732"/>
      <c r="L88" s="732"/>
      <c r="N88" s="1"/>
      <c r="P88" s="732"/>
      <c r="R88" s="732"/>
      <c r="T88" s="1"/>
      <c r="V88" s="732"/>
      <c r="X88" s="732"/>
      <c r="Z88" s="1"/>
      <c r="AB88" s="732"/>
      <c r="AD88" s="732"/>
      <c r="AJ88" s="1837">
        <v>4012</v>
      </c>
      <c r="AK88" s="1838">
        <f>IFERROR(VLOOKUP($AJ88,'[74]Thru 8.2021 Customer Count'!$A$5:$C$110,3,FALSE),0)</f>
        <v>0</v>
      </c>
      <c r="AL88" s="1839">
        <f>IFERROR(VLOOKUP($AJ88,'[74]09.2021 Customer Count'!$A$5:$C$118,3,FALSE),0)</f>
        <v>0</v>
      </c>
      <c r="AM88" s="1839">
        <f>IFERROR(VLOOKUP(AJ88,'[74]10.2021 Customer Count'!$A$5:$C$119,3,FALSE),0)</f>
        <v>0</v>
      </c>
      <c r="AN88" s="1839">
        <f>IFERROR(VLOOKUP(AJ88,'[74]11.2021 Customer Count'!$A$5:$C$120,3,FALSE),0)</f>
        <v>0</v>
      </c>
      <c r="AO88" s="1839">
        <f>IFERROR(VLOOKUP(AJ88,'[74]12.2022 Customer Count'!$A$5:$C$124,3,FALSE),0)</f>
        <v>0</v>
      </c>
      <c r="AP88" s="1366">
        <f>VLOOKUP(AJ88,'[75]01.2022 Customer Count'!$A$5:$C$127,3,FALSE)</f>
        <v>0</v>
      </c>
    </row>
    <row r="89" spans="1:42" s="48" customFormat="1" ht="15.75">
      <c r="A89" s="1"/>
      <c r="B89" s="1"/>
      <c r="C89" s="1"/>
      <c r="D89" s="1"/>
      <c r="E89" s="1"/>
      <c r="F89" s="1"/>
      <c r="H89" s="1"/>
      <c r="J89" s="732"/>
      <c r="L89" s="732"/>
      <c r="N89" s="1"/>
      <c r="P89" s="732"/>
      <c r="R89" s="732"/>
      <c r="T89" s="1"/>
      <c r="V89" s="732"/>
      <c r="X89" s="732"/>
      <c r="Z89" s="1"/>
      <c r="AB89" s="732"/>
      <c r="AD89" s="732"/>
      <c r="AJ89" s="1837">
        <v>4013</v>
      </c>
      <c r="AK89" s="1838">
        <f>IFERROR(VLOOKUP($AJ89,'[74]Thru 8.2021 Customer Count'!$A$5:$C$110,3,FALSE),0)</f>
        <v>0</v>
      </c>
      <c r="AL89" s="1839">
        <f>IFERROR(VLOOKUP($AJ89,'[74]09.2021 Customer Count'!$A$5:$C$118,3,FALSE),0)</f>
        <v>0</v>
      </c>
      <c r="AM89" s="1839">
        <f>IFERROR(VLOOKUP(AJ89,'[74]10.2021 Customer Count'!$A$5:$C$119,3,FALSE),0)</f>
        <v>0</v>
      </c>
      <c r="AN89" s="1839">
        <f>IFERROR(VLOOKUP(AJ89,'[74]11.2021 Customer Count'!$A$5:$C$120,3,FALSE),0)</f>
        <v>0</v>
      </c>
      <c r="AO89" s="1839">
        <f>IFERROR(VLOOKUP(AJ89,'[74]12.2022 Customer Count'!$A$5:$C$124,3,FALSE),0)</f>
        <v>0</v>
      </c>
      <c r="AP89" s="1366">
        <f>VLOOKUP(AJ89,'[75]01.2022 Customer Count'!$A$5:$C$127,3,FALSE)</f>
        <v>0</v>
      </c>
    </row>
    <row r="90" spans="1:42" s="48" customFormat="1" ht="15.75">
      <c r="A90" s="1"/>
      <c r="B90" s="1"/>
      <c r="C90" s="1"/>
      <c r="D90" s="1"/>
      <c r="E90" s="1"/>
      <c r="F90" s="1"/>
      <c r="H90" s="1"/>
      <c r="J90" s="732"/>
      <c r="L90" s="732"/>
      <c r="N90" s="1"/>
      <c r="P90" s="732"/>
      <c r="R90" s="732"/>
      <c r="T90" s="1"/>
      <c r="V90" s="732"/>
      <c r="X90" s="732"/>
      <c r="Z90" s="1"/>
      <c r="AB90" s="732"/>
      <c r="AD90" s="732"/>
      <c r="AJ90" s="1837">
        <v>4014</v>
      </c>
      <c r="AK90" s="1838">
        <f>IFERROR(VLOOKUP($AJ90,'[74]Thru 8.2021 Customer Count'!$A$5:$C$110,3,FALSE),0)</f>
        <v>5.2083364366914296E-3</v>
      </c>
      <c r="AL90" s="1839">
        <f>IFERROR(VLOOKUP($AJ90,'[74]09.2021 Customer Count'!$A$5:$C$118,3,FALSE),0)</f>
        <v>5.0396426655504633E-3</v>
      </c>
      <c r="AM90" s="1839">
        <f>IFERROR(VLOOKUP(AJ90,'[74]10.2021 Customer Count'!$A$5:$C$119,3,FALSE),0)</f>
        <v>4.8966017733980483E-3</v>
      </c>
      <c r="AN90" s="1839">
        <f>IFERROR(VLOOKUP(AJ90,'[74]11.2021 Customer Count'!$A$5:$C$120,3,FALSE),0)</f>
        <v>4.874124430192181E-3</v>
      </c>
      <c r="AO90" s="1839">
        <f>IFERROR(VLOOKUP(AJ90,'[74]12.2022 Customer Count'!$A$5:$C$124,3,FALSE),0)</f>
        <v>4.8182742349701423E-3</v>
      </c>
      <c r="AP90" s="1366">
        <f>VLOOKUP(AJ90,'[75]01.2022 Customer Count'!$A$5:$C$127,3,FALSE)</f>
        <v>6.4386554122316765E-3</v>
      </c>
    </row>
    <row r="91" spans="1:42" s="48" customFormat="1" ht="15.75">
      <c r="A91" s="1"/>
      <c r="B91" s="1"/>
      <c r="C91" s="1"/>
      <c r="D91" s="1"/>
      <c r="E91" s="1"/>
      <c r="F91" s="1"/>
      <c r="H91" s="1"/>
      <c r="J91" s="732"/>
      <c r="L91" s="732"/>
      <c r="N91" s="1"/>
      <c r="P91" s="732"/>
      <c r="R91" s="732"/>
      <c r="T91" s="1"/>
      <c r="V91" s="732"/>
      <c r="X91" s="732"/>
      <c r="Z91" s="1"/>
      <c r="AB91" s="732"/>
      <c r="AD91" s="732"/>
      <c r="AJ91" s="1837">
        <v>4016</v>
      </c>
      <c r="AK91" s="1838">
        <f>IFERROR(VLOOKUP($AJ91,'[74]Thru 8.2021 Customer Count'!$A$5:$C$110,3,FALSE),0)</f>
        <v>3.5330251897417803E-5</v>
      </c>
      <c r="AL91" s="1839">
        <f>IFERROR(VLOOKUP($AJ91,'[74]09.2021 Customer Count'!$A$5:$C$118,3,FALSE),0)</f>
        <v>3.418593384109006E-5</v>
      </c>
      <c r="AM91" s="1839">
        <f>IFERROR(VLOOKUP(AJ91,'[74]10.2021 Customer Count'!$A$5:$C$119,3,FALSE),0)</f>
        <v>3.3215629634976508E-5</v>
      </c>
      <c r="AN91" s="1839">
        <f>IFERROR(VLOOKUP(AJ91,'[74]11.2021 Customer Count'!$A$5:$C$120,3,FALSE),0)</f>
        <v>3.3063156727916674E-5</v>
      </c>
      <c r="AO91" s="1839">
        <f>IFERROR(VLOOKUP(AJ91,'[74]12.2022 Customer Count'!$A$5:$C$124,3,FALSE),0)</f>
        <v>3.2684302272237907E-5</v>
      </c>
      <c r="AP91" s="1366">
        <f>VLOOKUP(AJ91,'[75]01.2022 Customer Count'!$A$5:$C$127,3,FALSE)</f>
        <v>3.0455107510555921E-5</v>
      </c>
    </row>
    <row r="92" spans="1:42" s="48" customFormat="1" ht="15.75">
      <c r="A92" s="1"/>
      <c r="B92" s="1"/>
      <c r="C92" s="1"/>
      <c r="D92" s="1"/>
      <c r="E92" s="1"/>
      <c r="F92" s="1"/>
      <c r="H92" s="1"/>
      <c r="J92" s="732"/>
      <c r="L92" s="732"/>
      <c r="N92" s="1"/>
      <c r="P92" s="732"/>
      <c r="R92" s="732"/>
      <c r="T92" s="1"/>
      <c r="V92" s="732"/>
      <c r="X92" s="732"/>
      <c r="Z92" s="1"/>
      <c r="AB92" s="732"/>
      <c r="AD92" s="732"/>
      <c r="AJ92" s="1837">
        <v>4018</v>
      </c>
      <c r="AK92" s="1838">
        <f>IFERROR(VLOOKUP($AJ92,'[74]Thru 8.2021 Customer Count'!$A$5:$C$110,3,FALSE),0)</f>
        <v>1.3414814482073035E-2</v>
      </c>
      <c r="AL92" s="1839">
        <f>IFERROR(VLOOKUP($AJ92,'[74]09.2021 Customer Count'!$A$5:$C$118,3,FALSE),0)</f>
        <v>1.2980319577290173E-2</v>
      </c>
      <c r="AM92" s="1839">
        <f>IFERROR(VLOOKUP(AJ92,'[74]10.2021 Customer Count'!$A$5:$C$119,3,FALSE),0)</f>
        <v>1.2611897326750266E-2</v>
      </c>
      <c r="AN92" s="1839">
        <f>IFERROR(VLOOKUP(AJ92,'[74]11.2021 Customer Count'!$A$5:$C$120,3,FALSE),0)</f>
        <v>1.2554003718527803E-2</v>
      </c>
      <c r="AO92" s="1839">
        <f>IFERROR(VLOOKUP(AJ92,'[74]12.2022 Customer Count'!$A$5:$C$124,3,FALSE),0)</f>
        <v>1.2410153562763451E-2</v>
      </c>
      <c r="AP92" s="1366">
        <f>VLOOKUP(AJ92,'[75]01.2022 Customer Count'!$A$5:$C$127,3,FALSE)</f>
        <v>1.2305349049265108E-2</v>
      </c>
    </row>
    <row r="93" spans="1:42" s="48" customFormat="1" ht="15.75">
      <c r="A93" s="1"/>
      <c r="B93" s="1"/>
      <c r="C93" s="1"/>
      <c r="D93" s="1"/>
      <c r="E93" s="1"/>
      <c r="F93" s="1"/>
      <c r="H93" s="1"/>
      <c r="J93" s="732"/>
      <c r="L93" s="732"/>
      <c r="N93" s="1"/>
      <c r="P93" s="732"/>
      <c r="R93" s="732"/>
      <c r="T93" s="1"/>
      <c r="V93" s="732"/>
      <c r="X93" s="732"/>
      <c r="Z93" s="1"/>
      <c r="AB93" s="732"/>
      <c r="AD93" s="732"/>
      <c r="AJ93" s="1837">
        <v>4019</v>
      </c>
      <c r="AK93" s="1838">
        <f>IFERROR(VLOOKUP($AJ93,'[74]Thru 8.2021 Customer Count'!$A$5:$C$110,3,FALSE),0)</f>
        <v>7.148213755989184E-5</v>
      </c>
      <c r="AL93" s="1839">
        <f>IFERROR(VLOOKUP($AJ93,'[74]09.2021 Customer Count'!$A$5:$C$118,3,FALSE),0)</f>
        <v>6.9166889399414775E-5</v>
      </c>
      <c r="AM93" s="1839">
        <f>IFERROR(VLOOKUP(AJ93,'[74]10.2021 Customer Count'!$A$5:$C$119,3,FALSE),0)</f>
        <v>6.7203715773092002E-5</v>
      </c>
      <c r="AN93" s="1839">
        <f>IFERROR(VLOOKUP(AJ93,'[74]11.2021 Customer Count'!$A$5:$C$120,3,FALSE),0)</f>
        <v>6.6895224077412796E-5</v>
      </c>
      <c r="AO93" s="1839">
        <f>IFERROR(VLOOKUP(AJ93,'[74]12.2022 Customer Count'!$A$5:$C$124,3,FALSE),0)</f>
        <v>6.6128704597318561E-5</v>
      </c>
      <c r="AP93" s="1366">
        <f>VLOOKUP(AJ93,'[75]01.2022 Customer Count'!$A$5:$C$127,3,FALSE)</f>
        <v>4.6054065015962615E-5</v>
      </c>
    </row>
    <row r="94" spans="1:42" s="48" customFormat="1" ht="15.75">
      <c r="A94" s="1"/>
      <c r="B94" s="1"/>
      <c r="C94" s="1"/>
      <c r="D94" s="1"/>
      <c r="E94" s="1"/>
      <c r="F94" s="1"/>
      <c r="H94" s="1"/>
      <c r="J94" s="732"/>
      <c r="L94" s="732"/>
      <c r="N94" s="1"/>
      <c r="P94" s="732"/>
      <c r="R94" s="732"/>
      <c r="T94" s="1"/>
      <c r="V94" s="732"/>
      <c r="X94" s="732"/>
      <c r="Z94" s="1"/>
      <c r="AB94" s="732"/>
      <c r="AD94" s="732"/>
      <c r="AJ94" s="1837">
        <v>4020</v>
      </c>
      <c r="AK94" s="1838">
        <f>IFERROR(VLOOKUP($AJ94,'[74]Thru 8.2021 Customer Count'!$A$5:$C$110,3,FALSE),0)</f>
        <v>4.9012097353134117E-2</v>
      </c>
      <c r="AL94" s="1839">
        <f>IFERROR(VLOOKUP($AJ94,'[74]09.2021 Customer Count'!$A$5:$C$118,3,FALSE),0)</f>
        <v>4.74246354764815E-2</v>
      </c>
      <c r="AM94" s="1839">
        <f>IFERROR(VLOOKUP(AJ94,'[74]10.2021 Customer Count'!$A$5:$C$119,3,FALSE),0)</f>
        <v>4.6078575325246944E-2</v>
      </c>
      <c r="AN94" s="1839">
        <f>IFERROR(VLOOKUP(AJ94,'[74]11.2021 Customer Count'!$A$5:$C$120,3,FALSE),0)</f>
        <v>4.5867056398457798E-2</v>
      </c>
      <c r="AO94" s="1839">
        <f>IFERROR(VLOOKUP(AJ94,'[74]12.2022 Customer Count'!$A$5:$C$124,3,FALSE),0)</f>
        <v>4.5341488352175253E-2</v>
      </c>
      <c r="AP94" s="1366">
        <f>VLOOKUP(AJ94,'[75]01.2022 Customer Count'!$A$5:$C$127,3,FALSE)</f>
        <v>4.4336694075367361E-2</v>
      </c>
    </row>
    <row r="95" spans="1:42" s="48" customFormat="1" ht="15.75">
      <c r="A95" s="1"/>
      <c r="B95" s="1"/>
      <c r="C95" s="1"/>
      <c r="D95" s="1"/>
      <c r="E95" s="1"/>
      <c r="F95" s="1"/>
      <c r="H95" s="1"/>
      <c r="J95" s="732"/>
      <c r="L95" s="732"/>
      <c r="N95" s="1"/>
      <c r="P95" s="732"/>
      <c r="R95" s="732"/>
      <c r="T95" s="1"/>
      <c r="V95" s="732"/>
      <c r="X95" s="732"/>
      <c r="Z95" s="1"/>
      <c r="AB95" s="732"/>
      <c r="AD95" s="732"/>
      <c r="AJ95" s="1837">
        <v>4021</v>
      </c>
      <c r="AK95" s="1838">
        <f>IFERROR(VLOOKUP($AJ95,'[74]Thru 8.2021 Customer Count'!$A$5:$C$110,3,FALSE),0)</f>
        <v>1.232450647584342E-4</v>
      </c>
      <c r="AL95" s="1839">
        <f>IFERROR(VLOOKUP($AJ95,'[74]09.2021 Customer Count'!$A$5:$C$118,3,FALSE),0)</f>
        <v>1.1925325758519789E-4</v>
      </c>
      <c r="AM95" s="1839">
        <f>IFERROR(VLOOKUP(AJ95,'[74]10.2021 Customer Count'!$A$5:$C$119,3,FALSE),0)</f>
        <v>1.1586847547084828E-4</v>
      </c>
      <c r="AN95" s="1839">
        <f>IFERROR(VLOOKUP(AJ95,'[74]11.2021 Customer Count'!$A$5:$C$120,3,FALSE),0)</f>
        <v>1.1533659323691862E-4</v>
      </c>
      <c r="AO95" s="1839">
        <f>IFERROR(VLOOKUP(AJ95,'[74]12.2022 Customer Count'!$A$5:$C$124,3,FALSE),0)</f>
        <v>1.1401500792641132E-4</v>
      </c>
      <c r="AP95" s="1366">
        <f>VLOOKUP(AJ95,'[75]01.2022 Customer Count'!$A$5:$C$127,3,FALSE)</f>
        <v>1.1439235503964907E-4</v>
      </c>
    </row>
    <row r="96" spans="1:42" s="48" customFormat="1" ht="15.75">
      <c r="A96" s="1"/>
      <c r="B96" s="1"/>
      <c r="C96" s="1"/>
      <c r="D96" s="1"/>
      <c r="E96" s="1"/>
      <c r="F96" s="1"/>
      <c r="H96" s="1"/>
      <c r="J96" s="732"/>
      <c r="L96" s="732"/>
      <c r="N96" s="1"/>
      <c r="P96" s="732"/>
      <c r="R96" s="732"/>
      <c r="T96" s="1"/>
      <c r="V96" s="732"/>
      <c r="X96" s="732"/>
      <c r="Z96" s="1"/>
      <c r="AB96" s="732"/>
      <c r="AD96" s="732"/>
      <c r="AJ96" s="1837">
        <v>4022</v>
      </c>
      <c r="AK96" s="1838">
        <f>IFERROR(VLOOKUP($AJ96,'[74]Thru 8.2021 Customer Count'!$A$5:$C$110,3,FALSE),0)</f>
        <v>0</v>
      </c>
      <c r="AL96" s="1839">
        <f>IFERROR(VLOOKUP($AJ96,'[74]09.2021 Customer Count'!$A$5:$C$118,3,FALSE),0)</f>
        <v>0</v>
      </c>
      <c r="AM96" s="1839">
        <f>IFERROR(VLOOKUP(AJ96,'[74]10.2021 Customer Count'!$A$5:$C$119,3,FALSE),0)</f>
        <v>0</v>
      </c>
      <c r="AN96" s="1839">
        <f>IFERROR(VLOOKUP(AJ96,'[74]11.2021 Customer Count'!$A$5:$C$120,3,FALSE),0)</f>
        <v>0</v>
      </c>
      <c r="AO96" s="1839">
        <f>IFERROR(VLOOKUP(AJ96,'[74]12.2022 Customer Count'!$A$5:$C$124,3,FALSE),0)</f>
        <v>0</v>
      </c>
      <c r="AP96" s="1366">
        <f>VLOOKUP(AJ96,'[75]01.2022 Customer Count'!$A$5:$C$127,3,FALSE)</f>
        <v>0</v>
      </c>
    </row>
    <row r="97" spans="1:42" s="48" customFormat="1" ht="15.75">
      <c r="A97" s="1"/>
      <c r="B97" s="1"/>
      <c r="C97" s="1"/>
      <c r="D97" s="1"/>
      <c r="E97" s="1"/>
      <c r="F97" s="1"/>
      <c r="H97" s="1"/>
      <c r="J97" s="732"/>
      <c r="L97" s="732"/>
      <c r="N97" s="1"/>
      <c r="P97" s="732"/>
      <c r="R97" s="732"/>
      <c r="T97" s="1"/>
      <c r="V97" s="732"/>
      <c r="X97" s="732"/>
      <c r="Z97" s="1"/>
      <c r="AB97" s="732"/>
      <c r="AD97" s="732"/>
      <c r="AJ97" s="1837">
        <v>4025</v>
      </c>
      <c r="AK97" s="1838">
        <f>IFERROR(VLOOKUP($AJ97,'[74]Thru 8.2021 Customer Count'!$A$5:$C$110,3,FALSE),0)</f>
        <v>0</v>
      </c>
      <c r="AL97" s="1839">
        <f>IFERROR(VLOOKUP($AJ97,'[74]09.2021 Customer Count'!$A$5:$C$118,3,FALSE),0)</f>
        <v>0</v>
      </c>
      <c r="AM97" s="1839">
        <f>IFERROR(VLOOKUP(AJ97,'[74]10.2021 Customer Count'!$A$5:$C$119,3,FALSE),0)</f>
        <v>0</v>
      </c>
      <c r="AN97" s="1839">
        <f>IFERROR(VLOOKUP(AJ97,'[74]11.2021 Customer Count'!$A$5:$C$120,3,FALSE),0)</f>
        <v>0</v>
      </c>
      <c r="AO97" s="1839">
        <f>IFERROR(VLOOKUP(AJ97,'[74]12.2022 Customer Count'!$A$5:$C$124,3,FALSE),0)</f>
        <v>0</v>
      </c>
      <c r="AP97" s="1366">
        <f>VLOOKUP(AJ97,'[75]01.2022 Customer Count'!$A$5:$C$127,3,FALSE)</f>
        <v>0</v>
      </c>
    </row>
    <row r="98" spans="1:42" s="48" customFormat="1" ht="15.75">
      <c r="A98" s="1"/>
      <c r="B98" s="1"/>
      <c r="C98" s="1"/>
      <c r="D98" s="1"/>
      <c r="E98" s="1"/>
      <c r="F98" s="1"/>
      <c r="H98" s="1"/>
      <c r="J98" s="732"/>
      <c r="L98" s="732"/>
      <c r="N98" s="1"/>
      <c r="P98" s="732"/>
      <c r="R98" s="732"/>
      <c r="T98" s="1"/>
      <c r="V98" s="732"/>
      <c r="X98" s="732"/>
      <c r="Z98" s="1"/>
      <c r="AB98" s="732"/>
      <c r="AD98" s="732"/>
      <c r="AJ98" s="1837">
        <v>4030</v>
      </c>
      <c r="AK98" s="1838">
        <f>IFERROR(VLOOKUP($AJ98,'[74]Thru 8.2021 Customer Count'!$A$5:$C$110,3,FALSE),0)</f>
        <v>4.0882852881667792E-2</v>
      </c>
      <c r="AL98" s="1839">
        <f>IFERROR(VLOOKUP($AJ98,'[74]09.2021 Customer Count'!$A$5:$C$118,3,FALSE),0)</f>
        <v>3.9558690606161843E-2</v>
      </c>
      <c r="AM98" s="1839">
        <f>IFERROR(VLOOKUP(AJ98,'[74]10.2021 Customer Count'!$A$5:$C$119,3,FALSE),0)</f>
        <v>3.843589068318979E-2</v>
      </c>
      <c r="AN98" s="1839">
        <f>IFERROR(VLOOKUP(AJ98,'[74]11.2021 Customer Count'!$A$5:$C$120,3,FALSE),0)</f>
        <v>3.8259454708550647E-2</v>
      </c>
      <c r="AO98" s="1839">
        <f>IFERROR(VLOOKUP(AJ98,'[74]12.2022 Customer Count'!$A$5:$C$124,3,FALSE),0)</f>
        <v>3.7821058429349158E-2</v>
      </c>
      <c r="AP98" s="1366">
        <f>VLOOKUP(AJ98,'[75]01.2022 Customer Count'!$A$5:$C$127,3,FALSE)</f>
        <v>3.7801473688102216E-2</v>
      </c>
    </row>
    <row r="99" spans="1:42" s="48" customFormat="1" ht="15.75">
      <c r="A99" s="1"/>
      <c r="B99" s="1"/>
      <c r="C99" s="1"/>
      <c r="D99" s="1"/>
      <c r="E99" s="1"/>
      <c r="F99" s="1"/>
      <c r="H99" s="1"/>
      <c r="J99" s="732"/>
      <c r="L99" s="732"/>
      <c r="N99" s="1"/>
      <c r="P99" s="732"/>
      <c r="R99" s="732"/>
      <c r="T99" s="1"/>
      <c r="V99" s="732"/>
      <c r="X99" s="732"/>
      <c r="Z99" s="1"/>
      <c r="AB99" s="732"/>
      <c r="AD99" s="732"/>
      <c r="AJ99" s="1837">
        <v>4031</v>
      </c>
      <c r="AK99" s="1838">
        <f>IFERROR(VLOOKUP($AJ99,'[74]Thru 8.2021 Customer Count'!$A$5:$C$110,3,FALSE),0)</f>
        <v>1.1831526216809684E-4</v>
      </c>
      <c r="AL99" s="1839">
        <f>IFERROR(VLOOKUP($AJ99,'[74]09.2021 Customer Count'!$A$5:$C$118,3,FALSE),0)</f>
        <v>1.1448312728178997E-4</v>
      </c>
      <c r="AM99" s="1839">
        <f>IFERROR(VLOOKUP(AJ99,'[74]10.2021 Customer Count'!$A$5:$C$119,3,FALSE),0)</f>
        <v>1.1123373645201435E-4</v>
      </c>
      <c r="AN99" s="1839">
        <f>IFERROR(VLOOKUP(AJ99,'[74]11.2021 Customer Count'!$A$5:$C$120,3,FALSE),0)</f>
        <v>1.1072312950744188E-4</v>
      </c>
      <c r="AO99" s="1839">
        <f>IFERROR(VLOOKUP(AJ99,'[74]12.2022 Customer Count'!$A$5:$C$124,3,FALSE),0)</f>
        <v>1.0945440760935486E-4</v>
      </c>
      <c r="AP99" s="1366">
        <f>VLOOKUP(AJ99,'[75]01.2022 Customer Count'!$A$5:$C$127,3,FALSE)</f>
        <v>1.1662077754042146E-4</v>
      </c>
    </row>
    <row r="100" spans="1:42" s="48" customFormat="1" ht="15.75">
      <c r="A100" s="1"/>
      <c r="B100" s="1"/>
      <c r="C100" s="1"/>
      <c r="D100" s="1"/>
      <c r="E100" s="1"/>
      <c r="F100" s="1"/>
      <c r="H100" s="1"/>
      <c r="J100" s="732"/>
      <c r="L100" s="732"/>
      <c r="N100" s="1"/>
      <c r="P100" s="732"/>
      <c r="R100" s="732"/>
      <c r="T100" s="1"/>
      <c r="V100" s="732"/>
      <c r="X100" s="732"/>
      <c r="Z100" s="1"/>
      <c r="AB100" s="732"/>
      <c r="AD100" s="732"/>
      <c r="AJ100" s="1837">
        <v>4040</v>
      </c>
      <c r="AK100" s="1838">
        <f>IFERROR(VLOOKUP($AJ100,'[74]Thru 8.2021 Customer Count'!$A$5:$C$110,3,FALSE),0)</f>
        <v>2.169113139748442E-4</v>
      </c>
      <c r="AL100" s="1839">
        <f>IFERROR(VLOOKUP($AJ100,'[74]09.2021 Customer Count'!$A$5:$C$118,3,FALSE),0)</f>
        <v>2.0988573334994827E-4</v>
      </c>
      <c r="AM100" s="1839">
        <f>IFERROR(VLOOKUP(AJ100,'[74]10.2021 Customer Count'!$A$5:$C$119,3,FALSE),0)</f>
        <v>2.0392851682869296E-4</v>
      </c>
      <c r="AN100" s="1839">
        <f>IFERROR(VLOOKUP(AJ100,'[74]11.2021 Customer Count'!$A$5:$C$120,3,FALSE),0)</f>
        <v>2.0299240409697678E-4</v>
      </c>
      <c r="AO100" s="1839">
        <f>IFERROR(VLOOKUP(AJ100,'[74]12.2022 Customer Count'!$A$5:$C$124,3,FALSE),0)</f>
        <v>2.0066641395048392E-4</v>
      </c>
      <c r="AP100" s="1366">
        <f>VLOOKUP(AJ100,'[75]01.2022 Customer Count'!$A$5:$C$127,3,FALSE)</f>
        <v>1.7827380006179075E-4</v>
      </c>
    </row>
    <row r="101" spans="1:42" s="48" customFormat="1" ht="15.75">
      <c r="A101" s="1"/>
      <c r="B101" s="1"/>
      <c r="C101" s="1"/>
      <c r="D101" s="1"/>
      <c r="E101" s="1"/>
      <c r="F101" s="1"/>
      <c r="H101" s="1"/>
      <c r="J101" s="732"/>
      <c r="L101" s="732"/>
      <c r="N101" s="1"/>
      <c r="P101" s="732"/>
      <c r="R101" s="732"/>
      <c r="T101" s="1"/>
      <c r="V101" s="732"/>
      <c r="X101" s="732"/>
      <c r="Z101" s="1"/>
      <c r="AB101" s="732"/>
      <c r="AD101" s="732"/>
      <c r="AJ101" s="1837">
        <v>4050</v>
      </c>
      <c r="AK101" s="1838">
        <f>IFERROR(VLOOKUP($AJ101,'[74]Thru 8.2021 Customer Count'!$A$5:$C$110,3,FALSE),0)</f>
        <v>6.7373968734610697E-5</v>
      </c>
      <c r="AL101" s="1839">
        <f>IFERROR(VLOOKUP($AJ101,'[74]09.2021 Customer Count'!$A$5:$C$118,3,FALSE),0)</f>
        <v>6.5191780813241517E-5</v>
      </c>
      <c r="AM101" s="1839">
        <f>IFERROR(VLOOKUP(AJ101,'[74]10.2021 Customer Count'!$A$5:$C$119,3,FALSE),0)</f>
        <v>6.3341433257397056E-5</v>
      </c>
      <c r="AN101" s="1839">
        <f>IFERROR(VLOOKUP(AJ101,'[74]11.2021 Customer Count'!$A$5:$C$120,3,FALSE),0)</f>
        <v>6.3050670969515518E-5</v>
      </c>
      <c r="AO101" s="1839">
        <f>IFERROR(VLOOKUP(AJ101,'[74]12.2022 Customer Count'!$A$5:$C$124,3,FALSE),0)</f>
        <v>6.2328204333104856E-5</v>
      </c>
      <c r="AP101" s="1366">
        <f>VLOOKUP(AJ101,'[75]01.2022 Customer Count'!$A$5:$C$127,3,FALSE)</f>
        <v>5.6453370019567073E-5</v>
      </c>
    </row>
    <row r="102" spans="1:42" s="48" customFormat="1" ht="15.75">
      <c r="A102" s="1"/>
      <c r="B102" s="1"/>
      <c r="C102" s="1"/>
      <c r="D102" s="1"/>
      <c r="E102" s="1"/>
      <c r="F102" s="1"/>
      <c r="H102" s="1"/>
      <c r="J102" s="732"/>
      <c r="L102" s="732"/>
      <c r="N102" s="1"/>
      <c r="P102" s="732"/>
      <c r="R102" s="732"/>
      <c r="T102" s="1"/>
      <c r="V102" s="732"/>
      <c r="X102" s="732"/>
      <c r="Z102" s="1"/>
      <c r="AB102" s="732"/>
      <c r="AD102" s="732"/>
      <c r="AJ102" s="1837">
        <v>4100</v>
      </c>
      <c r="AK102" s="1838">
        <f>IFERROR(VLOOKUP($AJ102,'[74]Thru 8.2021 Customer Count'!$A$5:$C$110,3,FALSE),0)</f>
        <v>1.6843492183652676E-4</v>
      </c>
      <c r="AL102" s="1839">
        <f>IFERROR(VLOOKUP($AJ102,'[74]09.2021 Customer Count'!$A$5:$C$118,3,FALSE),0)</f>
        <v>1.6297945203310379E-4</v>
      </c>
      <c r="AM102" s="1839">
        <f>IFERROR(VLOOKUP(AJ102,'[74]10.2021 Customer Count'!$A$5:$C$119,3,FALSE),0)</f>
        <v>1.5835358314349263E-4</v>
      </c>
      <c r="AN102" s="1839">
        <f>IFERROR(VLOOKUP(AJ102,'[74]11.2021 Customer Count'!$A$5:$C$120,3,FALSE),0)</f>
        <v>1.5762667742378879E-4</v>
      </c>
      <c r="AO102" s="1839">
        <f>IFERROR(VLOOKUP(AJ102,'[74]12.2022 Customer Count'!$A$5:$C$124,3,FALSE),0)</f>
        <v>1.5582051083276214E-4</v>
      </c>
      <c r="AP102" s="1366">
        <f>VLOOKUP(AJ102,'[75]01.2022 Customer Count'!$A$5:$C$127,3,FALSE)</f>
        <v>1.4410465504994754E-4</v>
      </c>
    </row>
    <row r="103" spans="1:42" s="48" customFormat="1" ht="15.75">
      <c r="A103" s="1"/>
      <c r="B103" s="1"/>
      <c r="C103" s="1"/>
      <c r="D103" s="1"/>
      <c r="E103" s="1"/>
      <c r="F103" s="1"/>
      <c r="H103" s="1"/>
      <c r="J103" s="732"/>
      <c r="L103" s="732"/>
      <c r="N103" s="1"/>
      <c r="P103" s="732"/>
      <c r="R103" s="732"/>
      <c r="T103" s="1"/>
      <c r="V103" s="732"/>
      <c r="X103" s="732"/>
      <c r="Z103" s="1"/>
      <c r="AB103" s="732"/>
      <c r="AD103" s="732"/>
      <c r="AJ103" s="1837">
        <v>4101</v>
      </c>
      <c r="AK103" s="1838">
        <f>IFERROR(VLOOKUP($AJ103,'[74]Thru 8.2021 Customer Count'!$A$5:$C$110,3,FALSE),0)</f>
        <v>0</v>
      </c>
      <c r="AL103" s="1839">
        <f>IFERROR(VLOOKUP($AJ103,'[74]09.2021 Customer Count'!$A$5:$C$118,3,FALSE),0)</f>
        <v>0</v>
      </c>
      <c r="AM103" s="1839">
        <f>IFERROR(VLOOKUP(AJ103,'[74]10.2021 Customer Count'!$A$5:$C$119,3,FALSE),0)</f>
        <v>0</v>
      </c>
      <c r="AN103" s="1839">
        <f>IFERROR(VLOOKUP(AJ103,'[74]11.2021 Customer Count'!$A$5:$C$120,3,FALSE),0)</f>
        <v>0</v>
      </c>
      <c r="AO103" s="1839">
        <f>IFERROR(VLOOKUP(AJ103,'[74]12.2022 Customer Count'!$A$5:$C$124,3,FALSE),0)</f>
        <v>3.8005002642137105E-5</v>
      </c>
      <c r="AP103" s="1366">
        <f>VLOOKUP(AJ103,'[75]01.2022 Customer Count'!$A$5:$C$127,3,FALSE)</f>
        <v>3.7140375012873077E-5</v>
      </c>
    </row>
    <row r="104" spans="1:42" s="48" customFormat="1" ht="15.75">
      <c r="A104" s="1"/>
      <c r="B104" s="1"/>
      <c r="C104" s="1"/>
      <c r="D104" s="1"/>
      <c r="E104" s="1"/>
      <c r="F104" s="1"/>
      <c r="H104" s="1"/>
      <c r="J104" s="732"/>
      <c r="L104" s="732"/>
      <c r="N104" s="1"/>
      <c r="P104" s="732"/>
      <c r="R104" s="732"/>
      <c r="T104" s="1"/>
      <c r="V104" s="732"/>
      <c r="X104" s="732"/>
      <c r="Z104" s="1"/>
      <c r="AB104" s="732"/>
      <c r="AD104" s="732"/>
      <c r="AJ104" s="1837">
        <v>4102</v>
      </c>
      <c r="AK104" s="1838">
        <f>IFERROR(VLOOKUP($AJ104,'[74]Thru 8.2021 Customer Count'!$A$5:$C$110,3,FALSE),0)</f>
        <v>0</v>
      </c>
      <c r="AL104" s="1839">
        <f>IFERROR(VLOOKUP($AJ104,'[74]09.2021 Customer Count'!$A$5:$C$118,3,FALSE),0)</f>
        <v>0</v>
      </c>
      <c r="AM104" s="1839">
        <f>IFERROR(VLOOKUP(AJ104,'[74]10.2021 Customer Count'!$A$5:$C$119,3,FALSE),0)</f>
        <v>0</v>
      </c>
      <c r="AN104" s="1839">
        <f>IFERROR(VLOOKUP(AJ104,'[74]11.2021 Customer Count'!$A$5:$C$120,3,FALSE),0)</f>
        <v>0</v>
      </c>
      <c r="AO104" s="1839">
        <f>IFERROR(VLOOKUP(AJ104,'[74]12.2022 Customer Count'!$A$5:$C$124,3,FALSE),0)</f>
        <v>1.9002501321068553E-5</v>
      </c>
      <c r="AP104" s="1366">
        <f>VLOOKUP(AJ104,'[75]01.2022 Customer Count'!$A$5:$C$127,3,FALSE)</f>
        <v>1.8570187506436539E-5</v>
      </c>
    </row>
    <row r="105" spans="1:42" s="48" customFormat="1" ht="15.75">
      <c r="A105" s="1"/>
      <c r="B105" s="1"/>
      <c r="C105" s="1"/>
      <c r="D105" s="1"/>
      <c r="E105" s="1"/>
      <c r="F105" s="1"/>
      <c r="H105" s="1"/>
      <c r="J105" s="732"/>
      <c r="L105" s="732"/>
      <c r="N105" s="1"/>
      <c r="P105" s="732"/>
      <c r="R105" s="732"/>
      <c r="T105" s="1"/>
      <c r="V105" s="732"/>
      <c r="X105" s="732"/>
      <c r="Z105" s="1"/>
      <c r="AB105" s="732"/>
      <c r="AD105" s="732"/>
      <c r="AJ105" s="1837">
        <v>4105</v>
      </c>
      <c r="AK105" s="1838">
        <f>IFERROR(VLOOKUP($AJ105,'[74]Thru 8.2021 Customer Count'!$A$5:$C$110,3,FALSE),0)</f>
        <v>1.0681238945730964E-5</v>
      </c>
      <c r="AL105" s="1839">
        <f>IFERROR(VLOOKUP($AJ105,'[74]09.2021 Customer Count'!$A$5:$C$118,3,FALSE),0)</f>
        <v>1.0335282324050484E-5</v>
      </c>
      <c r="AM105" s="1839">
        <f>IFERROR(VLOOKUP(AJ105,'[74]10.2021 Customer Count'!$A$5:$C$119,3,FALSE),0)</f>
        <v>1.0041934540806851E-5</v>
      </c>
      <c r="AN105" s="1839">
        <f>IFERROR(VLOOKUP(AJ105,'[74]11.2021 Customer Count'!$A$5:$C$120,3,FALSE),0)</f>
        <v>9.9958380805329473E-6</v>
      </c>
      <c r="AO105" s="1839">
        <f>IFERROR(VLOOKUP(AJ105,'[74]12.2022 Customer Count'!$A$5:$C$124,3,FALSE),0)</f>
        <v>9.8813006869556479E-6</v>
      </c>
      <c r="AP105" s="1366">
        <f>VLOOKUP(AJ105,'[75]01.2022 Customer Count'!$A$5:$C$127,3,FALSE)</f>
        <v>1.2627727504376846E-5</v>
      </c>
    </row>
    <row r="106" spans="1:42" s="48" customFormat="1" ht="15.75">
      <c r="A106" s="1"/>
      <c r="B106" s="1"/>
      <c r="C106" s="1"/>
      <c r="D106" s="1"/>
      <c r="E106" s="1"/>
      <c r="F106" s="1"/>
      <c r="H106" s="1"/>
      <c r="J106" s="732"/>
      <c r="L106" s="732"/>
      <c r="N106" s="1"/>
      <c r="P106" s="732"/>
      <c r="R106" s="732"/>
      <c r="T106" s="1"/>
      <c r="V106" s="732"/>
      <c r="X106" s="732"/>
      <c r="Z106" s="1"/>
      <c r="AB106" s="732"/>
      <c r="AD106" s="732"/>
      <c r="AJ106" s="1837">
        <v>4110</v>
      </c>
      <c r="AK106" s="1838">
        <f>IFERROR(VLOOKUP($AJ106,'[74]Thru 8.2021 Customer Count'!$A$5:$C$110,3,FALSE),0)</f>
        <v>1.1968739055574074E-2</v>
      </c>
      <c r="AL106" s="1839">
        <f>IFERROR(VLOOKUP($AJ106,'[74]09.2021 Customer Count'!$A$5:$C$118,3,FALSE),0)</f>
        <v>1.1581081354957185E-2</v>
      </c>
      <c r="AM106" s="1839">
        <f>IFERROR(VLOOKUP(AJ106,'[74]10.2021 Customer Count'!$A$5:$C$119,3,FALSE),0)</f>
        <v>1.1252373881225646E-2</v>
      </c>
      <c r="AN106" s="1839">
        <f>IFERROR(VLOOKUP(AJ106,'[74]11.2021 Customer Count'!$A$5:$C$120,3,FALSE),0)</f>
        <v>1.1200721024547958E-2</v>
      </c>
      <c r="AO106" s="1839">
        <f>IFERROR(VLOOKUP(AJ106,'[74]12.2022 Customer Count'!$A$5:$C$124,3,FALSE),0)</f>
        <v>1.1072377469760223E-2</v>
      </c>
      <c r="AP106" s="1366">
        <f>VLOOKUP(AJ106,'[75]01.2022 Customer Count'!$A$5:$C$127,3,FALSE)</f>
        <v>1.0950468168795496E-2</v>
      </c>
    </row>
    <row r="107" spans="1:42" s="48" customFormat="1" ht="15.75">
      <c r="A107" s="1"/>
      <c r="B107" s="1"/>
      <c r="C107" s="1"/>
      <c r="D107" s="1"/>
      <c r="E107" s="1"/>
      <c r="F107" s="1"/>
      <c r="H107" s="1"/>
      <c r="J107" s="732"/>
      <c r="L107" s="732"/>
      <c r="N107" s="1"/>
      <c r="P107" s="732"/>
      <c r="R107" s="732"/>
      <c r="T107" s="1"/>
      <c r="V107" s="732"/>
      <c r="X107" s="732"/>
      <c r="Z107" s="1"/>
      <c r="AB107" s="732"/>
      <c r="AD107" s="732"/>
      <c r="AJ107" s="1837">
        <v>4120</v>
      </c>
      <c r="AK107" s="1838">
        <f>IFERROR(VLOOKUP($AJ107,'[74]Thru 8.2021 Customer Count'!$A$5:$C$110,3,FALSE),0)</f>
        <v>2.3885715183949604E-2</v>
      </c>
      <c r="AL107" s="1839">
        <f>IFERROR(VLOOKUP($AJ107,'[74]09.2021 Customer Count'!$A$5:$C$118,3,FALSE),0)</f>
        <v>2.3112076341728585E-2</v>
      </c>
      <c r="AM107" s="1839">
        <f>IFERROR(VLOOKUP(AJ107,'[74]10.2021 Customer Count'!$A$5:$C$119,3,FALSE),0)</f>
        <v>2.2456083002753535E-2</v>
      </c>
      <c r="AN107" s="1839">
        <f>IFERROR(VLOOKUP(AJ107,'[74]11.2021 Customer Count'!$A$5:$C$120,3,FALSE),0)</f>
        <v>2.2353000679936407E-2</v>
      </c>
      <c r="AO107" s="1839">
        <f>IFERROR(VLOOKUP(AJ107,'[74]12.2022 Customer Count'!$A$5:$C$124,3,FALSE),0)</f>
        <v>2.2096868636191355E-2</v>
      </c>
      <c r="AP107" s="1366">
        <f>VLOOKUP(AJ107,'[75]01.2022 Customer Count'!$A$5:$C$127,3,FALSE)</f>
        <v>1.9012900776589983E-2</v>
      </c>
    </row>
    <row r="108" spans="1:42" s="48" customFormat="1" ht="15.75">
      <c r="A108" s="1"/>
      <c r="B108" s="1"/>
      <c r="C108" s="1"/>
      <c r="D108" s="1"/>
      <c r="E108" s="1"/>
      <c r="F108" s="1"/>
      <c r="H108" s="1"/>
      <c r="J108" s="732"/>
      <c r="L108" s="732"/>
      <c r="N108" s="1"/>
      <c r="P108" s="732"/>
      <c r="R108" s="732"/>
      <c r="T108" s="1"/>
      <c r="V108" s="732"/>
      <c r="X108" s="732"/>
      <c r="Z108" s="1"/>
      <c r="AB108" s="732"/>
      <c r="AD108" s="732"/>
      <c r="AJ108" s="1837">
        <v>4130</v>
      </c>
      <c r="AK108" s="1838">
        <f>IFERROR(VLOOKUP($AJ108,'[74]Thru 8.2021 Customer Count'!$A$5:$C$110,3,FALSE),0)</f>
        <v>9.7084245679043904E-3</v>
      </c>
      <c r="AL108" s="1839">
        <f>IFERROR(VLOOKUP($AJ108,'[74]09.2021 Customer Count'!$A$5:$C$118,3,FALSE),0)</f>
        <v>9.3939766108446544E-3</v>
      </c>
      <c r="AM108" s="1839">
        <f>IFERROR(VLOOKUP(AJ108,'[74]10.2021 Customer Count'!$A$5:$C$119,3,FALSE),0)</f>
        <v>9.1273460410902889E-3</v>
      </c>
      <c r="AN108" s="1839">
        <f>IFERROR(VLOOKUP(AJ108,'[74]11.2021 Customer Count'!$A$5:$C$120,3,FALSE),0)</f>
        <v>9.0854479045828704E-3</v>
      </c>
      <c r="AO108" s="1839">
        <f>IFERROR(VLOOKUP(AJ108,'[74]12.2022 Customer Count'!$A$5:$C$124,3,FALSE),0)</f>
        <v>8.9813422243898398E-3</v>
      </c>
      <c r="AP108" s="1366">
        <f>VLOOKUP(AJ108,'[75]01.2022 Customer Count'!$A$5:$C$127,3,FALSE)</f>
        <v>7.8485040477203373E-3</v>
      </c>
    </row>
    <row r="109" spans="1:42" s="48" customFormat="1" ht="15.75">
      <c r="A109" s="1"/>
      <c r="B109" s="1"/>
      <c r="C109" s="1"/>
      <c r="D109" s="1"/>
      <c r="E109" s="1"/>
      <c r="F109" s="1"/>
      <c r="H109" s="1"/>
      <c r="J109" s="732"/>
      <c r="L109" s="732"/>
      <c r="N109" s="1"/>
      <c r="P109" s="732"/>
      <c r="R109" s="732"/>
      <c r="T109" s="1"/>
      <c r="V109" s="732"/>
      <c r="X109" s="732"/>
      <c r="Z109" s="1"/>
      <c r="AB109" s="732"/>
      <c r="AD109" s="732"/>
      <c r="AJ109" s="1837">
        <v>4140</v>
      </c>
      <c r="AK109" s="1838">
        <f>IFERROR(VLOOKUP($AJ109,'[74]Thru 8.2021 Customer Count'!$A$5:$C$110,3,FALSE),0)</f>
        <v>4.3209719704307035E-3</v>
      </c>
      <c r="AL109" s="1839">
        <f>IFERROR(VLOOKUP($AJ109,'[74]09.2021 Customer Count'!$A$5:$C$118,3,FALSE),0)</f>
        <v>4.181019210937038E-3</v>
      </c>
      <c r="AM109" s="1839">
        <f>IFERROR(VLOOKUP(AJ109,'[74]10.2021 Customer Count'!$A$5:$C$119,3,FALSE),0)</f>
        <v>4.0623487500079406E-3</v>
      </c>
      <c r="AN109" s="1839">
        <f>IFERROR(VLOOKUP(AJ109,'[74]11.2021 Customer Count'!$A$5:$C$120,3,FALSE),0)</f>
        <v>4.0437009588863669E-3</v>
      </c>
      <c r="AO109" s="1839">
        <f>IFERROR(VLOOKUP(AJ109,'[74]12.2022 Customer Count'!$A$5:$C$124,3,FALSE),0)</f>
        <v>3.9973661778999808E-3</v>
      </c>
      <c r="AP109" s="1366">
        <f>VLOOKUP(AJ109,'[75]01.2022 Customer Count'!$A$5:$C$127,3,FALSE)</f>
        <v>3.5417061612275764E-3</v>
      </c>
    </row>
    <row r="110" spans="1:42" s="48" customFormat="1" ht="15.75">
      <c r="A110" s="1"/>
      <c r="B110" s="1"/>
      <c r="C110" s="1"/>
      <c r="D110" s="1"/>
      <c r="E110" s="1"/>
      <c r="F110" s="1"/>
      <c r="H110" s="1"/>
      <c r="J110" s="732"/>
      <c r="L110" s="732"/>
      <c r="N110" s="1"/>
      <c r="P110" s="732"/>
      <c r="R110" s="732"/>
      <c r="T110" s="1"/>
      <c r="V110" s="732"/>
      <c r="X110" s="732"/>
      <c r="Z110" s="1"/>
      <c r="AB110" s="732"/>
      <c r="AD110" s="732"/>
      <c r="AJ110" s="1837">
        <v>4150</v>
      </c>
      <c r="AK110" s="1838">
        <f>IFERROR(VLOOKUP($AJ110,'[74]Thru 8.2021 Customer Count'!$A$5:$C$110,3,FALSE),0)</f>
        <v>1.1667199463798438E-4</v>
      </c>
      <c r="AL110" s="1839">
        <f>IFERROR(VLOOKUP($AJ110,'[74]09.2021 Customer Count'!$A$5:$C$118,3,FALSE),0)</f>
        <v>1.1289308384732067E-4</v>
      </c>
      <c r="AM110" s="1839">
        <f>IFERROR(VLOOKUP(AJ110,'[74]10.2021 Customer Count'!$A$5:$C$119,3,FALSE),0)</f>
        <v>1.0968882344573637E-4</v>
      </c>
      <c r="AN110" s="1839">
        <f>IFERROR(VLOOKUP(AJ110,'[74]11.2021 Customer Count'!$A$5:$C$120,3,FALSE),0)</f>
        <v>1.0918530826428296E-4</v>
      </c>
      <c r="AO110" s="1839">
        <f>IFERROR(VLOOKUP(AJ110,'[74]12.2022 Customer Count'!$A$5:$C$124,3,FALSE),0)</f>
        <v>1.0793420750366937E-4</v>
      </c>
      <c r="AP110" s="1366">
        <f>VLOOKUP(AJ110,'[75]01.2022 Customer Count'!$A$5:$C$127,3,FALSE)</f>
        <v>8.9879707531152845E-5</v>
      </c>
    </row>
    <row r="111" spans="1:42" s="48" customFormat="1" ht="15.75">
      <c r="A111" s="1"/>
      <c r="B111" s="1"/>
      <c r="C111" s="1"/>
      <c r="D111" s="1"/>
      <c r="E111" s="1"/>
      <c r="F111" s="1"/>
      <c r="H111" s="1"/>
      <c r="J111" s="732"/>
      <c r="L111" s="732"/>
      <c r="N111" s="1"/>
      <c r="P111" s="732"/>
      <c r="R111" s="732"/>
      <c r="T111" s="1"/>
      <c r="V111" s="732"/>
      <c r="X111" s="732"/>
      <c r="Z111" s="1"/>
      <c r="AB111" s="732"/>
      <c r="AD111" s="732"/>
      <c r="AJ111" s="1837">
        <v>4160</v>
      </c>
      <c r="AK111" s="1838">
        <f>IFERROR(VLOOKUP($AJ111,'[74]Thru 8.2021 Customer Count'!$A$5:$C$110,3,FALSE),0)</f>
        <v>0</v>
      </c>
      <c r="AL111" s="1839">
        <f>IFERROR(VLOOKUP($AJ111,'[74]09.2021 Customer Count'!$A$5:$C$118,3,FALSE),0)</f>
        <v>0</v>
      </c>
      <c r="AM111" s="1839">
        <f>IFERROR(VLOOKUP(AJ111,'[74]10.2021 Customer Count'!$A$5:$C$119,3,FALSE),0)</f>
        <v>0</v>
      </c>
      <c r="AN111" s="1839">
        <f>IFERROR(VLOOKUP(AJ111,'[74]11.2021 Customer Count'!$A$5:$C$120,3,FALSE),0)</f>
        <v>0</v>
      </c>
      <c r="AO111" s="1839">
        <f>IFERROR(VLOOKUP(AJ111,'[74]12.2022 Customer Count'!$A$5:$C$124,3,FALSE),0)</f>
        <v>0</v>
      </c>
      <c r="AP111" s="1366">
        <f>VLOOKUP(AJ111,'[75]01.2022 Customer Count'!$A$5:$C$127,3,FALSE)</f>
        <v>0</v>
      </c>
    </row>
    <row r="112" spans="1:42" s="48" customFormat="1" ht="15.75">
      <c r="A112" s="1"/>
      <c r="B112" s="1"/>
      <c r="C112" s="1"/>
      <c r="D112" s="1"/>
      <c r="E112" s="1"/>
      <c r="F112" s="1"/>
      <c r="H112" s="1"/>
      <c r="J112" s="732"/>
      <c r="L112" s="732"/>
      <c r="N112" s="1"/>
      <c r="P112" s="732"/>
      <c r="R112" s="732"/>
      <c r="T112" s="1"/>
      <c r="V112" s="732"/>
      <c r="X112" s="732"/>
      <c r="Z112" s="1"/>
      <c r="AB112" s="732"/>
      <c r="AD112" s="732"/>
      <c r="AJ112" s="1777">
        <v>4037</v>
      </c>
      <c r="AK112" s="1838">
        <f>IFERROR(VLOOKUP($AJ112,'[74]Thru 8.2021 Customer Count'!$A$5:$C$110,3,FALSE),0)</f>
        <v>0</v>
      </c>
      <c r="AL112" s="1839">
        <f>IFERROR(VLOOKUP($AJ112,'[74]09.2021 Customer Count'!$A$5:$C$118,3,FALSE),0)</f>
        <v>4.3606941190320698E-3</v>
      </c>
      <c r="AM112" s="1839">
        <f>IFERROR(VLOOKUP(AJ112,'[74]10.2021 Customer Count'!$A$5:$C$119,3,FALSE),0)</f>
        <v>4.2369239197173518E-3</v>
      </c>
      <c r="AN112" s="1839">
        <f>IFERROR(VLOOKUP(AJ112,'[74]11.2021 Customer Count'!$A$5:$C$120,3,FALSE),0)</f>
        <v>4.2174747593633245E-3</v>
      </c>
      <c r="AO112" s="1839">
        <f>IFERROR(VLOOKUP(AJ112,'[74]12.2022 Customer Count'!$A$5:$C$124,3,FALSE),0)</f>
        <v>4.1691487898424407E-3</v>
      </c>
      <c r="AP112" s="1366">
        <f>VLOOKUP(AJ112,'[75]01.2022 Customer Count'!$A$5:$C$127,3,FALSE)</f>
        <v>4.074299138912176E-3</v>
      </c>
    </row>
    <row r="113" spans="1:42" s="48" customFormat="1" ht="15.75">
      <c r="A113" s="1"/>
      <c r="B113" s="1"/>
      <c r="C113" s="1"/>
      <c r="D113" s="1"/>
      <c r="E113" s="1"/>
      <c r="F113" s="1"/>
      <c r="H113" s="1"/>
      <c r="J113" s="732"/>
      <c r="L113" s="732"/>
      <c r="N113" s="1"/>
      <c r="P113" s="732"/>
      <c r="R113" s="732"/>
      <c r="T113" s="1"/>
      <c r="V113" s="732"/>
      <c r="X113" s="732"/>
      <c r="Z113" s="1"/>
      <c r="AB113" s="732"/>
      <c r="AD113" s="732"/>
      <c r="AJ113" s="1777">
        <v>2311</v>
      </c>
      <c r="AK113" s="1838">
        <f>IFERROR(VLOOKUP($AJ113,'[74]Thru 8.2021 Customer Count'!$A$5:$C$110,3,FALSE),0)</f>
        <v>0</v>
      </c>
      <c r="AL113" s="1839">
        <f>IFERROR(VLOOKUP($AJ113,'[74]09.2021 Customer Count'!$A$5:$C$118,3,FALSE),0)</f>
        <v>1.2032653690346467E-2</v>
      </c>
      <c r="AM113" s="1839">
        <f>IFERROR(VLOOKUP(AJ113,'[74]10.2021 Customer Count'!$A$5:$C$119,3,FALSE),0)</f>
        <v>1.1691129175008591E-2</v>
      </c>
      <c r="AN113" s="1839">
        <f>IFERROR(VLOOKUP(AJ113,'[74]11.2021 Customer Count'!$A$5:$C$120,3,FALSE),0)</f>
        <v>1.1637462257605089E-2</v>
      </c>
      <c r="AO113" s="1839">
        <f>IFERROR(VLOOKUP(AJ113,'[74]12.2022 Customer Count'!$A$5:$C$124,3,FALSE),0)</f>
        <v>1.1504114299774902E-2</v>
      </c>
      <c r="AP113" s="1366">
        <f>VLOOKUP(AJ113,'[75]01.2022 Customer Count'!$A$5:$C$127,3,FALSE)</f>
        <v>1.124239151639668E-2</v>
      </c>
    </row>
    <row r="114" spans="1:42" s="48" customFormat="1" ht="15.75">
      <c r="A114" s="1"/>
      <c r="B114" s="1"/>
      <c r="C114" s="1"/>
      <c r="D114" s="1"/>
      <c r="E114" s="1"/>
      <c r="F114" s="1"/>
      <c r="H114" s="1"/>
      <c r="J114" s="732"/>
      <c r="L114" s="732"/>
      <c r="N114" s="1"/>
      <c r="P114" s="732"/>
      <c r="R114" s="732"/>
      <c r="T114" s="1"/>
      <c r="V114" s="732"/>
      <c r="X114" s="732"/>
      <c r="Z114" s="1"/>
      <c r="AB114" s="732"/>
      <c r="AD114" s="732"/>
      <c r="AJ114" s="1777">
        <v>2312</v>
      </c>
      <c r="AK114" s="1838">
        <f>IFERROR(VLOOKUP($AJ114,'[74]Thru 8.2021 Customer Count'!$A$5:$C$110,3,FALSE),0)</f>
        <v>0</v>
      </c>
      <c r="AL114" s="1839">
        <f>IFERROR(VLOOKUP($AJ114,'[74]09.2021 Customer Count'!$A$5:$C$118,3,FALSE),0)</f>
        <v>6.9166889399414775E-5</v>
      </c>
      <c r="AM114" s="1839">
        <f>IFERROR(VLOOKUP(AJ114,'[74]10.2021 Customer Count'!$A$5:$C$119,3,FALSE),0)</f>
        <v>6.7203715773092002E-5</v>
      </c>
      <c r="AN114" s="1839">
        <f>IFERROR(VLOOKUP(AJ114,'[74]11.2021 Customer Count'!$A$5:$C$120,3,FALSE),0)</f>
        <v>6.6895224077412796E-5</v>
      </c>
      <c r="AO114" s="1839">
        <f>IFERROR(VLOOKUP(AJ114,'[74]12.2022 Customer Count'!$A$5:$C$124,3,FALSE),0)</f>
        <v>6.6128704597318561E-5</v>
      </c>
      <c r="AP114" s="1366">
        <f>VLOOKUP(AJ114,'[75]01.2022 Customer Count'!$A$5:$C$127,3,FALSE)</f>
        <v>6.4624252522399147E-5</v>
      </c>
    </row>
    <row r="115" spans="1:42" s="48" customFormat="1" ht="15.75">
      <c r="A115" s="1"/>
      <c r="B115" s="1"/>
      <c r="C115" s="1"/>
      <c r="D115" s="1"/>
      <c r="E115" s="1"/>
      <c r="F115" s="1"/>
      <c r="H115" s="1"/>
      <c r="J115" s="732"/>
      <c r="L115" s="732"/>
      <c r="N115" s="1"/>
      <c r="P115" s="732"/>
      <c r="R115" s="732"/>
      <c r="T115" s="1"/>
      <c r="V115" s="732"/>
      <c r="X115" s="732"/>
      <c r="Z115" s="1"/>
      <c r="AB115" s="732"/>
      <c r="AD115" s="732"/>
      <c r="AJ115" s="1777">
        <v>2313</v>
      </c>
      <c r="AK115" s="1838">
        <f>IFERROR(VLOOKUP($AJ115,'[74]Thru 8.2021 Customer Count'!$A$5:$C$110,3,FALSE),0)</f>
        <v>0</v>
      </c>
      <c r="AL115" s="1839">
        <f>IFERROR(VLOOKUP($AJ115,'[74]09.2021 Customer Count'!$A$5:$C$118,3,FALSE),0)</f>
        <v>1.2720347475754442E-5</v>
      </c>
      <c r="AM115" s="1839">
        <f>IFERROR(VLOOKUP(AJ115,'[74]10.2021 Customer Count'!$A$5:$C$119,3,FALSE),0)</f>
        <v>1.2359304050223815E-5</v>
      </c>
      <c r="AN115" s="1839">
        <f>IFERROR(VLOOKUP(AJ115,'[74]11.2021 Customer Count'!$A$5:$C$120,3,FALSE),0)</f>
        <v>1.230256994527132E-5</v>
      </c>
      <c r="AO115" s="1839">
        <f>IFERROR(VLOOKUP(AJ115,'[74]12.2022 Customer Count'!$A$5:$C$124,3,FALSE),0)</f>
        <v>1.2161600845483874E-5</v>
      </c>
      <c r="AP115" s="1366">
        <f>VLOOKUP(AJ115,'[75]01.2022 Customer Count'!$A$5:$C$127,3,FALSE)</f>
        <v>1.1884920004119384E-5</v>
      </c>
    </row>
    <row r="116" spans="1:42" s="48" customFormat="1" ht="15.75">
      <c r="A116" s="1"/>
      <c r="B116" s="1"/>
      <c r="C116" s="1"/>
      <c r="D116" s="1"/>
      <c r="E116" s="1"/>
      <c r="F116" s="1"/>
      <c r="H116" s="1"/>
      <c r="J116" s="732"/>
      <c r="L116" s="732"/>
      <c r="N116" s="1"/>
      <c r="P116" s="732"/>
      <c r="R116" s="732"/>
      <c r="T116" s="1"/>
      <c r="V116" s="732"/>
      <c r="X116" s="732"/>
      <c r="Z116" s="1"/>
      <c r="AB116" s="732"/>
      <c r="AD116" s="732"/>
      <c r="AJ116" s="1777">
        <v>4032</v>
      </c>
      <c r="AK116" s="1838">
        <f>IFERROR(VLOOKUP($AJ116,'[74]Thru 8.2021 Customer Count'!$A$5:$C$110,3,FALSE),0)</f>
        <v>0</v>
      </c>
      <c r="AL116" s="1839">
        <f>IFERROR(VLOOKUP($AJ116,'[74]09.2021 Customer Count'!$A$5:$C$118,3,FALSE),0)</f>
        <v>4.3288932503426835E-3</v>
      </c>
      <c r="AM116" s="1839">
        <f>IFERROR(VLOOKUP(AJ116,'[74]10.2021 Customer Count'!$A$5:$C$119,3,FALSE),0)</f>
        <v>4.2060256595917922E-3</v>
      </c>
      <c r="AN116" s="1839">
        <f>IFERROR(VLOOKUP(AJ116,'[74]11.2021 Customer Count'!$A$5:$C$120,3,FALSE),0)</f>
        <v>4.1867183345001462E-3</v>
      </c>
      <c r="AO116" s="1839">
        <f>IFERROR(VLOOKUP(AJ116,'[74]12.2022 Customer Count'!$A$5:$C$124,3,FALSE),0)</f>
        <v>4.138744787728731E-3</v>
      </c>
      <c r="AP116" s="1366">
        <f>VLOOKUP(AJ116,'[75]01.2022 Customer Count'!$A$5:$C$127,3,FALSE)</f>
        <v>4.0445868389018778E-3</v>
      </c>
    </row>
    <row r="117" spans="1:42" s="48" customFormat="1" ht="15.75">
      <c r="A117" s="1"/>
      <c r="B117" s="1"/>
      <c r="C117" s="1"/>
      <c r="D117" s="1"/>
      <c r="E117" s="1"/>
      <c r="F117" s="1"/>
      <c r="H117" s="1"/>
      <c r="J117" s="732"/>
      <c r="L117" s="732"/>
      <c r="N117" s="1"/>
      <c r="P117" s="732"/>
      <c r="R117" s="732"/>
      <c r="T117" s="1"/>
      <c r="V117" s="732"/>
      <c r="X117" s="732"/>
      <c r="Z117" s="1"/>
      <c r="AB117" s="732"/>
      <c r="AD117" s="732"/>
      <c r="AJ117" s="1777">
        <v>4033</v>
      </c>
      <c r="AK117" s="1838">
        <f>IFERROR(VLOOKUP($AJ117,'[74]Thru 8.2021 Customer Count'!$A$5:$C$110,3,FALSE),0)</f>
        <v>0</v>
      </c>
      <c r="AL117" s="1839">
        <f>IFERROR(VLOOKUP($AJ117,'[74]09.2021 Customer Count'!$A$5:$C$118,3,FALSE),0)</f>
        <v>7.1925614758219019E-3</v>
      </c>
      <c r="AM117" s="1839">
        <f>IFERROR(VLOOKUP(AJ117,'[74]10.2021 Customer Count'!$A$5:$C$119,3,FALSE),0)</f>
        <v>6.9884139838984286E-3</v>
      </c>
      <c r="AN117" s="1839">
        <f>IFERROR(VLOOKUP(AJ117,'[74]11.2021 Customer Count'!$A$5:$C$120,3,FALSE),0)</f>
        <v>6.9563343934293522E-3</v>
      </c>
      <c r="AO117" s="1839">
        <f>IFERROR(VLOOKUP(AJ117,'[74]12.2022 Customer Count'!$A$5:$C$124,3,FALSE),0)</f>
        <v>6.8766251780682875E-3</v>
      </c>
      <c r="AP117" s="1366">
        <f>VLOOKUP(AJ117,'[75]01.2022 Customer Count'!$A$5:$C$127,3,FALSE)</f>
        <v>6.7201794548292539E-3</v>
      </c>
    </row>
    <row r="118" spans="1:42" s="48" customFormat="1" ht="15.75">
      <c r="A118" s="1"/>
      <c r="B118" s="1"/>
      <c r="C118" s="1"/>
      <c r="D118" s="1"/>
      <c r="E118" s="1"/>
      <c r="F118" s="1"/>
      <c r="H118" s="1"/>
      <c r="J118" s="732"/>
      <c r="L118" s="732"/>
      <c r="N118" s="1"/>
      <c r="P118" s="732"/>
      <c r="R118" s="732"/>
      <c r="T118" s="1"/>
      <c r="V118" s="732"/>
      <c r="X118" s="732"/>
      <c r="Z118" s="1"/>
      <c r="AB118" s="732"/>
      <c r="AD118" s="732"/>
      <c r="AJ118" s="1777">
        <v>4034</v>
      </c>
      <c r="AK118" s="1838">
        <f>IFERROR(VLOOKUP($AJ118,'[74]Thru 8.2021 Customer Count'!$A$5:$C$110,3,FALSE),0)</f>
        <v>0</v>
      </c>
      <c r="AL118" s="1839">
        <f>IFERROR(VLOOKUP($AJ118,'[74]09.2021 Customer Count'!$A$5:$C$118,3,FALSE),0)</f>
        <v>4.1579635811372327E-3</v>
      </c>
      <c r="AM118" s="1839">
        <f>IFERROR(VLOOKUP(AJ118,'[74]10.2021 Customer Count'!$A$5:$C$119,3,FALSE),0)</f>
        <v>4.03994751141691E-3</v>
      </c>
      <c r="AN118" s="1839">
        <f>IFERROR(VLOOKUP(AJ118,'[74]11.2021 Customer Count'!$A$5:$C$120,3,FALSE),0)</f>
        <v>4.0214025508605623E-3</v>
      </c>
      <c r="AO118" s="1839">
        <f>IFERROR(VLOOKUP(AJ118,'[74]12.2022 Customer Count'!$A$5:$C$124,3,FALSE),0)</f>
        <v>3.9753232763675411E-3</v>
      </c>
      <c r="AP118" s="1366">
        <f>VLOOKUP(AJ118,'[75]01.2022 Customer Count'!$A$5:$C$127,3,FALSE)</f>
        <v>3.8848832263465236E-3</v>
      </c>
    </row>
    <row r="119" spans="1:42" s="48" customFormat="1" ht="15.75">
      <c r="A119" s="1"/>
      <c r="B119" s="1"/>
      <c r="C119" s="1"/>
      <c r="D119" s="1"/>
      <c r="E119" s="1"/>
      <c r="F119" s="1"/>
      <c r="H119" s="1"/>
      <c r="J119" s="732"/>
      <c r="L119" s="732"/>
      <c r="N119" s="1"/>
      <c r="P119" s="732"/>
      <c r="R119" s="732"/>
      <c r="T119" s="1"/>
      <c r="V119" s="732"/>
      <c r="X119" s="732"/>
      <c r="Z119" s="1"/>
      <c r="AB119" s="732"/>
      <c r="AD119" s="732"/>
      <c r="AJ119" s="1777">
        <v>4035</v>
      </c>
      <c r="AK119" s="1838">
        <f>IFERROR(VLOOKUP($AJ119,'[74]Thru 8.2021 Customer Count'!$A$5:$C$110,3,FALSE),0)</f>
        <v>0</v>
      </c>
      <c r="AL119" s="1839">
        <f>IFERROR(VLOOKUP($AJ119,'[74]09.2021 Customer Count'!$A$5:$C$118,3,FALSE),0)</f>
        <v>1.7887988637779682E-4</v>
      </c>
      <c r="AM119" s="1839">
        <f>IFERROR(VLOOKUP(AJ119,'[74]10.2021 Customer Count'!$A$5:$C$119,3,FALSE),0)</f>
        <v>1.7380271320627242E-4</v>
      </c>
      <c r="AN119" s="1839">
        <f>IFERROR(VLOOKUP(AJ119,'[74]11.2021 Customer Count'!$A$5:$C$120,3,FALSE),0)</f>
        <v>1.7300488985537793E-4</v>
      </c>
      <c r="AO119" s="1839">
        <f>IFERROR(VLOOKUP(AJ119,'[74]12.2022 Customer Count'!$A$5:$C$124,3,FALSE),0)</f>
        <v>1.7102251188961696E-4</v>
      </c>
      <c r="AP119" s="1366">
        <f>VLOOKUP(AJ119,'[75]01.2022 Customer Count'!$A$5:$C$127,3,FALSE)</f>
        <v>1.6713168755792883E-4</v>
      </c>
    </row>
    <row r="120" spans="1:42" s="48" customFormat="1" ht="15.75">
      <c r="A120" s="1"/>
      <c r="B120" s="1"/>
      <c r="C120" s="1"/>
      <c r="D120" s="1"/>
      <c r="E120" s="1"/>
      <c r="F120" s="1"/>
      <c r="H120" s="1"/>
      <c r="J120" s="732"/>
      <c r="L120" s="732"/>
      <c r="N120" s="1"/>
      <c r="P120" s="732"/>
      <c r="R120" s="732"/>
      <c r="T120" s="1"/>
      <c r="V120" s="732"/>
      <c r="X120" s="732"/>
      <c r="Z120" s="1"/>
      <c r="AB120" s="732"/>
      <c r="AD120" s="732"/>
      <c r="AJ120" s="1777">
        <v>4036</v>
      </c>
      <c r="AK120" s="1838">
        <f>IFERROR(VLOOKUP($AJ120,'[74]Thru 8.2021 Customer Count'!$A$5:$C$110,3,FALSE),0)</f>
        <v>0</v>
      </c>
      <c r="AL120" s="1839">
        <f>IFERROR(VLOOKUP($AJ120,'[74]09.2021 Customer Count'!$A$5:$C$118,3,FALSE),0)</f>
        <v>5.5651520206425679E-5</v>
      </c>
      <c r="AM120" s="1839">
        <f>IFERROR(VLOOKUP(AJ120,'[74]10.2021 Customer Count'!$A$5:$C$119,3,FALSE),0)</f>
        <v>5.4071955219729193E-5</v>
      </c>
      <c r="AN120" s="1839">
        <f>IFERROR(VLOOKUP(AJ120,'[74]11.2021 Customer Count'!$A$5:$C$120,3,FALSE),0)</f>
        <v>5.3823743510562027E-5</v>
      </c>
      <c r="AO120" s="1839">
        <f>IFERROR(VLOOKUP(AJ120,'[74]12.2022 Customer Count'!$A$5:$C$124,3,FALSE),0)</f>
        <v>5.3207003698991946E-5</v>
      </c>
      <c r="AP120" s="1366">
        <f>VLOOKUP(AJ120,'[75]01.2022 Customer Count'!$A$5:$C$127,3,FALSE)</f>
        <v>5.1996525018022304E-5</v>
      </c>
    </row>
    <row r="121" spans="1:42" s="48" customFormat="1" ht="15.75">
      <c r="A121" s="1"/>
      <c r="B121" s="1"/>
      <c r="C121" s="1"/>
      <c r="D121" s="1"/>
      <c r="E121" s="1"/>
      <c r="F121" s="1"/>
      <c r="H121" s="1"/>
      <c r="J121" s="732"/>
      <c r="L121" s="732"/>
      <c r="N121" s="1"/>
      <c r="P121" s="732"/>
      <c r="R121" s="732"/>
      <c r="T121" s="1"/>
      <c r="V121" s="732"/>
      <c r="X121" s="732"/>
      <c r="Z121" s="1"/>
      <c r="AB121" s="732"/>
      <c r="AD121" s="732"/>
      <c r="AJ121" s="1837">
        <v>5411</v>
      </c>
      <c r="AK121" s="1838">
        <f>IFERROR(VLOOKUP($AJ121,'[74]Thru 8.2021 Customer Count'!$A$5:$C$110,3,FALSE),0)</f>
        <v>1.3097663848761331E-2</v>
      </c>
      <c r="AL121" s="1839">
        <f>IFERROR(VLOOKUP($AJ121,'[74]09.2021 Customer Count'!$A$5:$C$118,3,FALSE),0)</f>
        <v>1.2673441194437597E-2</v>
      </c>
      <c r="AM121" s="1839">
        <f>IFERROR(VLOOKUP(AJ121,'[74]10.2021 Customer Count'!$A$5:$C$119,3,FALSE),0)</f>
        <v>1.2313729116538616E-2</v>
      </c>
      <c r="AN121" s="1839">
        <f>IFERROR(VLOOKUP(AJ121,'[74]11.2021 Customer Count'!$A$5:$C$120,3,FALSE),0)</f>
        <v>1.2257204218598132E-2</v>
      </c>
      <c r="AO121" s="1839">
        <f>IFERROR(VLOOKUP(AJ121,'[74]12.2022 Customer Count'!$A$5:$C$124,3,FALSE),0)</f>
        <v>1.2116754942366151E-2</v>
      </c>
      <c r="AP121" s="1366">
        <f>VLOOKUP(AJ121,'[75]01.2022 Customer Count'!$A$5:$C$127,3,FALSE)</f>
        <v>1.2409342099301151E-2</v>
      </c>
    </row>
    <row r="122" spans="1:42" s="48" customFormat="1" ht="15.75">
      <c r="A122" s="1"/>
      <c r="B122" s="1"/>
      <c r="C122" s="1"/>
      <c r="D122" s="1"/>
      <c r="E122" s="1"/>
      <c r="F122" s="1"/>
      <c r="H122" s="1"/>
      <c r="J122" s="732"/>
      <c r="L122" s="732"/>
      <c r="N122" s="1"/>
      <c r="P122" s="732"/>
      <c r="R122" s="732"/>
      <c r="T122" s="1"/>
      <c r="V122" s="732"/>
      <c r="X122" s="732"/>
      <c r="Z122" s="1"/>
      <c r="AB122" s="732"/>
      <c r="AD122" s="732"/>
      <c r="AJ122" s="1837">
        <v>5412</v>
      </c>
      <c r="AK122" s="1838">
        <f>IFERROR(VLOOKUP($AJ122,'[74]Thru 8.2021 Customer Count'!$A$5:$C$110,3,FALSE),0)</f>
        <v>9.9836718791982259E-3</v>
      </c>
      <c r="AL122" s="1839">
        <f>IFERROR(VLOOKUP($AJ122,'[74]09.2021 Customer Count'!$A$5:$C$118,3,FALSE),0)</f>
        <v>9.6603088861182632E-3</v>
      </c>
      <c r="AM122" s="1839">
        <f>IFERROR(VLOOKUP(AJ122,'[74]10.2021 Customer Count'!$A$5:$C$119,3,FALSE),0)</f>
        <v>9.38611896964185E-3</v>
      </c>
      <c r="AN122" s="1839">
        <f>IFERROR(VLOOKUP(AJ122,'[74]11.2021 Customer Count'!$A$5:$C$120,3,FALSE),0)</f>
        <v>9.3430329628119875E-3</v>
      </c>
      <c r="AO122" s="1839">
        <f>IFERROR(VLOOKUP(AJ122,'[74]12.2022 Customer Count'!$A$5:$C$124,3,FALSE),0)</f>
        <v>9.235975742092159E-3</v>
      </c>
      <c r="AP122" s="1366">
        <f>VLOOKUP(AJ122,'[75]01.2022 Customer Count'!$A$5:$C$127,3,FALSE)</f>
        <v>9.8488846459136824E-3</v>
      </c>
    </row>
    <row r="123" spans="1:42" s="48" customFormat="1" ht="15.75">
      <c r="A123" s="1"/>
      <c r="B123" s="1"/>
      <c r="C123" s="1"/>
      <c r="D123" s="1"/>
      <c r="E123" s="1"/>
      <c r="F123" s="1"/>
      <c r="H123" s="1"/>
      <c r="J123" s="732"/>
      <c r="L123" s="732"/>
      <c r="N123" s="1"/>
      <c r="P123" s="732"/>
      <c r="R123" s="732"/>
      <c r="T123" s="1"/>
      <c r="V123" s="732"/>
      <c r="X123" s="732"/>
      <c r="Z123" s="1"/>
      <c r="AB123" s="732"/>
      <c r="AD123" s="732"/>
      <c r="AJ123" s="1837">
        <v>5414</v>
      </c>
      <c r="AK123" s="1838">
        <f>IFERROR(VLOOKUP($AJ123,'[74]Thru 8.2021 Customer Count'!$A$5:$C$110,3,FALSE),0)</f>
        <v>0</v>
      </c>
      <c r="AL123" s="1839">
        <f>IFERROR(VLOOKUP($AJ123,'[74]09.2021 Customer Count'!$A$5:$C$118,3,FALSE),0)</f>
        <v>0</v>
      </c>
      <c r="AM123" s="1839">
        <f>IFERROR(VLOOKUP(AJ123,'[74]10.2021 Customer Count'!$A$5:$C$119,3,FALSE),0)</f>
        <v>0</v>
      </c>
      <c r="AN123" s="1839">
        <f>IFERROR(VLOOKUP(AJ123,'[74]11.2021 Customer Count'!$A$5:$C$120,3,FALSE),0)</f>
        <v>0</v>
      </c>
      <c r="AO123" s="1839">
        <f>IFERROR(VLOOKUP(AJ123,'[74]12.2022 Customer Count'!$A$5:$C$124,3,FALSE),0)</f>
        <v>0</v>
      </c>
      <c r="AP123" s="1366">
        <f>VLOOKUP(AJ123,'[75]01.2022 Customer Count'!$A$5:$C$127,3,FALSE)</f>
        <v>0</v>
      </c>
    </row>
    <row r="124" spans="1:42" s="48" customFormat="1" ht="16.5" thickBot="1">
      <c r="A124" s="1"/>
      <c r="B124" s="1"/>
      <c r="C124" s="1"/>
      <c r="D124" s="1"/>
      <c r="E124" s="1"/>
      <c r="F124" s="1"/>
      <c r="H124" s="1"/>
      <c r="J124" s="732"/>
      <c r="L124" s="732"/>
      <c r="N124" s="1"/>
      <c r="P124" s="732"/>
      <c r="R124" s="732"/>
      <c r="T124" s="1"/>
      <c r="V124" s="732"/>
      <c r="X124" s="732"/>
      <c r="Z124" s="1"/>
      <c r="AB124" s="732"/>
      <c r="AD124" s="732"/>
      <c r="AJ124" s="1841" t="s">
        <v>742</v>
      </c>
      <c r="AK124" s="1842">
        <f t="shared" ref="AK124:AP124" si="3">+SUM(AK4:AK123)</f>
        <v>1</v>
      </c>
      <c r="AL124" s="1842">
        <f t="shared" si="3"/>
        <v>1</v>
      </c>
      <c r="AM124" s="1842">
        <f t="shared" si="3"/>
        <v>0.99999999999999978</v>
      </c>
      <c r="AN124" s="1843">
        <f t="shared" si="3"/>
        <v>1.0000000000000004</v>
      </c>
      <c r="AO124" s="1843">
        <f t="shared" si="3"/>
        <v>0.99999999999999978</v>
      </c>
      <c r="AP124" s="1844">
        <f t="shared" si="3"/>
        <v>0.99999999999999944</v>
      </c>
    </row>
    <row r="125" spans="1:42" s="48" customFormat="1" ht="15.75" thickTop="1">
      <c r="A125" s="1"/>
      <c r="B125" s="1"/>
      <c r="C125" s="1"/>
      <c r="D125" s="1"/>
      <c r="E125" s="1"/>
      <c r="F125" s="1"/>
      <c r="H125" s="1"/>
      <c r="J125" s="732"/>
      <c r="L125" s="732"/>
      <c r="N125" s="1"/>
      <c r="P125" s="732"/>
      <c r="R125" s="732"/>
      <c r="T125" s="1"/>
      <c r="V125" s="732"/>
      <c r="X125" s="732"/>
      <c r="Z125" s="1"/>
      <c r="AB125" s="732"/>
      <c r="AD125" s="732"/>
    </row>
    <row r="126" spans="1:42" s="48" customFormat="1" ht="15">
      <c r="A126" s="1"/>
      <c r="B126" s="1"/>
      <c r="C126" s="1"/>
      <c r="D126" s="1"/>
      <c r="E126" s="1"/>
      <c r="F126" s="1"/>
      <c r="H126" s="1"/>
      <c r="J126" s="732"/>
      <c r="L126" s="732"/>
      <c r="N126" s="1"/>
      <c r="P126" s="732"/>
      <c r="R126" s="732"/>
      <c r="T126" s="1"/>
      <c r="V126" s="732"/>
      <c r="X126" s="732"/>
      <c r="Z126" s="1"/>
      <c r="AB126" s="732"/>
      <c r="AD126" s="732"/>
    </row>
    <row r="127" spans="1:42" s="48" customFormat="1" ht="15">
      <c r="A127" s="1"/>
      <c r="B127" s="1"/>
      <c r="C127" s="1"/>
      <c r="D127" s="1"/>
      <c r="E127" s="1"/>
      <c r="F127" s="1"/>
      <c r="H127" s="1"/>
      <c r="J127" s="732"/>
      <c r="L127" s="732"/>
      <c r="N127" s="1"/>
      <c r="P127" s="732"/>
      <c r="R127" s="732"/>
      <c r="T127" s="1"/>
      <c r="V127" s="732"/>
      <c r="X127" s="732"/>
      <c r="Z127" s="1"/>
      <c r="AB127" s="732"/>
      <c r="AD127" s="732"/>
    </row>
    <row r="128" spans="1:42" s="48" customFormat="1" ht="15">
      <c r="A128" s="1"/>
      <c r="B128" s="1"/>
      <c r="C128" s="1"/>
      <c r="D128" s="1"/>
      <c r="E128" s="1"/>
      <c r="F128" s="1"/>
      <c r="H128" s="1"/>
      <c r="J128" s="732"/>
      <c r="L128" s="732"/>
      <c r="N128" s="1"/>
      <c r="P128" s="732"/>
      <c r="R128" s="732"/>
      <c r="T128" s="1"/>
      <c r="V128" s="732"/>
      <c r="X128" s="732"/>
      <c r="Z128" s="1"/>
      <c r="AB128" s="732"/>
      <c r="AD128" s="732"/>
    </row>
    <row r="129" spans="1:30" s="48" customFormat="1" ht="15">
      <c r="A129" s="1"/>
      <c r="B129" s="1"/>
      <c r="C129" s="1"/>
      <c r="D129" s="1"/>
      <c r="E129" s="1"/>
      <c r="F129" s="1"/>
      <c r="H129" s="1"/>
      <c r="J129" s="732"/>
      <c r="L129" s="732"/>
      <c r="N129" s="1"/>
      <c r="P129" s="732"/>
      <c r="R129" s="732"/>
      <c r="T129" s="1"/>
      <c r="V129" s="732"/>
      <c r="X129" s="732"/>
      <c r="Z129" s="1"/>
      <c r="AB129" s="732"/>
      <c r="AD129" s="732"/>
    </row>
    <row r="130" spans="1:30" s="48" customFormat="1" ht="15">
      <c r="A130" s="1"/>
      <c r="B130" s="1"/>
      <c r="C130" s="1"/>
      <c r="D130" s="1"/>
      <c r="E130" s="1"/>
      <c r="F130" s="1"/>
      <c r="H130" s="1"/>
      <c r="J130" s="732"/>
      <c r="L130" s="732"/>
      <c r="N130" s="1"/>
      <c r="P130" s="732"/>
      <c r="R130" s="732"/>
      <c r="T130" s="1"/>
      <c r="V130" s="732"/>
      <c r="X130" s="732"/>
      <c r="Z130" s="1"/>
      <c r="AB130" s="732"/>
      <c r="AD130" s="732"/>
    </row>
    <row r="131" spans="1:30" s="48" customFormat="1" ht="15">
      <c r="A131" s="1"/>
      <c r="B131" s="1"/>
      <c r="C131" s="1"/>
      <c r="D131" s="1"/>
      <c r="E131" s="1"/>
      <c r="F131" s="1"/>
      <c r="H131" s="1"/>
      <c r="J131" s="732"/>
      <c r="L131" s="732"/>
      <c r="N131" s="1"/>
      <c r="P131" s="732"/>
      <c r="R131" s="732"/>
      <c r="T131" s="1"/>
      <c r="V131" s="732"/>
      <c r="X131" s="732"/>
      <c r="Z131" s="1"/>
      <c r="AB131" s="732"/>
      <c r="AD131" s="732"/>
    </row>
    <row r="132" spans="1:30" s="48" customFormat="1" ht="15">
      <c r="A132" s="1"/>
      <c r="B132" s="1"/>
      <c r="C132" s="1"/>
      <c r="D132" s="1"/>
      <c r="E132" s="1"/>
      <c r="F132" s="1"/>
      <c r="H132" s="1"/>
      <c r="J132" s="732"/>
      <c r="L132" s="732"/>
      <c r="N132" s="1"/>
      <c r="P132" s="732"/>
      <c r="R132" s="732"/>
      <c r="T132" s="1"/>
      <c r="V132" s="732"/>
      <c r="X132" s="732"/>
      <c r="Z132" s="1"/>
      <c r="AB132" s="732"/>
      <c r="AD132" s="732"/>
    </row>
    <row r="133" spans="1:30" s="48" customFormat="1" ht="15">
      <c r="A133" s="1"/>
      <c r="B133" s="1"/>
      <c r="C133" s="1"/>
      <c r="D133" s="1"/>
      <c r="E133" s="1"/>
      <c r="F133" s="1"/>
      <c r="H133" s="1"/>
      <c r="J133" s="732"/>
      <c r="L133" s="732"/>
      <c r="N133" s="1"/>
      <c r="P133" s="732"/>
      <c r="R133" s="732"/>
      <c r="T133" s="1"/>
      <c r="V133" s="732"/>
      <c r="X133" s="732"/>
      <c r="Z133" s="1"/>
      <c r="AB133" s="732"/>
      <c r="AD133" s="732"/>
    </row>
    <row r="134" spans="1:30" s="48" customFormat="1" ht="15">
      <c r="A134" s="1"/>
      <c r="B134" s="1"/>
      <c r="C134" s="1"/>
      <c r="D134" s="1"/>
      <c r="E134" s="1"/>
      <c r="F134" s="1"/>
      <c r="H134" s="1"/>
      <c r="J134" s="732"/>
      <c r="L134" s="732"/>
      <c r="N134" s="1"/>
      <c r="P134" s="732"/>
      <c r="R134" s="732"/>
      <c r="T134" s="1"/>
      <c r="V134" s="732"/>
      <c r="X134" s="732"/>
      <c r="Z134" s="1"/>
      <c r="AB134" s="732"/>
      <c r="AD134" s="732"/>
    </row>
    <row r="135" spans="1:30" s="48" customFormat="1" ht="15">
      <c r="A135" s="1"/>
      <c r="B135" s="1"/>
      <c r="C135" s="1"/>
      <c r="D135" s="1"/>
      <c r="E135" s="1"/>
      <c r="F135" s="1"/>
      <c r="H135" s="1"/>
      <c r="J135" s="732"/>
      <c r="L135" s="732"/>
      <c r="N135" s="1"/>
      <c r="P135" s="732"/>
      <c r="R135" s="732"/>
      <c r="T135" s="1"/>
      <c r="V135" s="732"/>
      <c r="X135" s="732"/>
      <c r="Z135" s="1"/>
      <c r="AB135" s="732"/>
      <c r="AD135" s="732"/>
    </row>
    <row r="136" spans="1:30" s="48" customFormat="1" ht="15">
      <c r="A136" s="1"/>
      <c r="B136" s="1"/>
      <c r="C136" s="1"/>
      <c r="D136" s="1"/>
      <c r="E136" s="1"/>
      <c r="F136" s="1"/>
      <c r="H136" s="1"/>
      <c r="J136" s="732"/>
      <c r="L136" s="732"/>
      <c r="N136" s="1"/>
      <c r="P136" s="732"/>
      <c r="R136" s="732"/>
      <c r="T136" s="1"/>
      <c r="V136" s="732"/>
      <c r="X136" s="732"/>
      <c r="Z136" s="1"/>
      <c r="AB136" s="732"/>
      <c r="AD136" s="732"/>
    </row>
    <row r="137" spans="1:30" s="48" customFormat="1" ht="15">
      <c r="A137" s="1"/>
      <c r="B137" s="1"/>
      <c r="C137" s="1"/>
      <c r="D137" s="1"/>
      <c r="E137" s="1"/>
      <c r="F137" s="1"/>
      <c r="H137" s="1"/>
      <c r="J137" s="732"/>
      <c r="L137" s="732"/>
      <c r="N137" s="1"/>
      <c r="P137" s="732"/>
      <c r="R137" s="732"/>
      <c r="T137" s="1"/>
      <c r="V137" s="732"/>
      <c r="X137" s="732"/>
      <c r="Z137" s="1"/>
      <c r="AB137" s="732"/>
      <c r="AD137" s="732"/>
    </row>
    <row r="138" spans="1:30" s="48" customFormat="1" ht="15">
      <c r="A138" s="1"/>
      <c r="B138" s="1"/>
      <c r="C138" s="1"/>
      <c r="D138" s="1"/>
      <c r="E138" s="1"/>
      <c r="F138" s="1"/>
      <c r="H138" s="1"/>
      <c r="J138" s="732"/>
      <c r="L138" s="732"/>
      <c r="N138" s="1"/>
      <c r="P138" s="732"/>
      <c r="R138" s="732"/>
      <c r="T138" s="1"/>
      <c r="V138" s="732"/>
      <c r="X138" s="732"/>
      <c r="Z138" s="1"/>
      <c r="AB138" s="732"/>
      <c r="AD138" s="732"/>
    </row>
    <row r="139" spans="1:30" s="48" customFormat="1" ht="15">
      <c r="A139" s="1"/>
      <c r="B139" s="1"/>
      <c r="C139" s="1"/>
      <c r="D139" s="1"/>
      <c r="E139" s="1"/>
      <c r="F139" s="1"/>
      <c r="H139" s="1"/>
      <c r="J139" s="732"/>
      <c r="L139" s="732"/>
      <c r="N139" s="1"/>
      <c r="P139" s="732"/>
      <c r="R139" s="732"/>
      <c r="T139" s="1"/>
      <c r="V139" s="732"/>
      <c r="X139" s="732"/>
      <c r="Z139" s="1"/>
      <c r="AB139" s="732"/>
      <c r="AD139" s="732"/>
    </row>
    <row r="140" spans="1:30" s="48" customFormat="1" ht="15">
      <c r="A140" s="1"/>
      <c r="B140" s="1"/>
      <c r="C140" s="1"/>
      <c r="D140" s="1"/>
      <c r="E140" s="1"/>
      <c r="F140" s="1"/>
      <c r="H140" s="1"/>
      <c r="J140" s="732"/>
      <c r="L140" s="732"/>
      <c r="N140" s="1"/>
      <c r="P140" s="732"/>
      <c r="R140" s="732"/>
      <c r="T140" s="1"/>
      <c r="V140" s="732"/>
      <c r="X140" s="732"/>
      <c r="Z140" s="1"/>
      <c r="AB140" s="732"/>
      <c r="AD140" s="732"/>
    </row>
    <row r="141" spans="1:30" s="48" customFormat="1" ht="15">
      <c r="A141" s="1"/>
      <c r="B141" s="1"/>
      <c r="C141" s="1"/>
      <c r="D141" s="1"/>
      <c r="E141" s="1"/>
      <c r="F141" s="1"/>
      <c r="H141" s="1"/>
      <c r="J141" s="732"/>
      <c r="L141" s="732"/>
      <c r="N141" s="1"/>
      <c r="P141" s="732"/>
      <c r="R141" s="732"/>
      <c r="T141" s="1"/>
      <c r="V141" s="732"/>
      <c r="X141" s="732"/>
      <c r="Z141" s="1"/>
      <c r="AB141" s="732"/>
      <c r="AD141" s="732"/>
    </row>
    <row r="142" spans="1:30" s="48" customFormat="1" ht="15">
      <c r="A142" s="1"/>
      <c r="B142" s="1"/>
      <c r="C142" s="1"/>
      <c r="D142" s="1"/>
      <c r="E142" s="1"/>
      <c r="F142" s="1"/>
      <c r="H142" s="1"/>
      <c r="J142" s="732"/>
      <c r="L142" s="732"/>
      <c r="N142" s="1"/>
      <c r="P142" s="732"/>
      <c r="R142" s="732"/>
      <c r="T142" s="1"/>
      <c r="V142" s="732"/>
      <c r="X142" s="732"/>
      <c r="Z142" s="1"/>
      <c r="AB142" s="732"/>
      <c r="AD142" s="732"/>
    </row>
    <row r="143" spans="1:30" s="48" customFormat="1" ht="15">
      <c r="A143" s="1"/>
      <c r="B143" s="1"/>
      <c r="C143" s="1"/>
      <c r="D143" s="1"/>
      <c r="E143" s="1"/>
      <c r="F143" s="1"/>
      <c r="H143" s="1"/>
      <c r="J143" s="732"/>
      <c r="L143" s="732"/>
      <c r="N143" s="1"/>
      <c r="P143" s="732"/>
      <c r="R143" s="732"/>
      <c r="T143" s="1"/>
      <c r="V143" s="732"/>
      <c r="X143" s="732"/>
      <c r="Z143" s="1"/>
      <c r="AB143" s="732"/>
      <c r="AD143" s="732"/>
    </row>
    <row r="144" spans="1:30" s="48" customFormat="1" ht="15">
      <c r="A144" s="1"/>
      <c r="B144" s="1"/>
      <c r="C144" s="1"/>
      <c r="D144" s="1"/>
      <c r="E144" s="1"/>
      <c r="F144" s="1"/>
      <c r="H144" s="1"/>
      <c r="J144" s="732"/>
      <c r="L144" s="732"/>
      <c r="N144" s="1"/>
      <c r="P144" s="732"/>
      <c r="R144" s="732"/>
      <c r="T144" s="1"/>
      <c r="V144" s="732"/>
      <c r="X144" s="732"/>
      <c r="Z144" s="1"/>
      <c r="AB144" s="732"/>
      <c r="AD144" s="732"/>
    </row>
    <row r="145" spans="1:30" s="48" customFormat="1" ht="15">
      <c r="A145" s="1"/>
      <c r="B145" s="1"/>
      <c r="C145" s="1"/>
      <c r="D145" s="1"/>
      <c r="E145" s="1"/>
      <c r="F145" s="1"/>
      <c r="H145" s="1"/>
      <c r="J145" s="732"/>
      <c r="L145" s="732"/>
      <c r="N145" s="1"/>
      <c r="P145" s="732"/>
      <c r="R145" s="732"/>
      <c r="T145" s="1"/>
      <c r="V145" s="732"/>
      <c r="X145" s="732"/>
      <c r="Z145" s="1"/>
      <c r="AB145" s="732"/>
      <c r="AD145" s="732"/>
    </row>
    <row r="146" spans="1:30" s="48" customFormat="1" ht="15">
      <c r="A146" s="1"/>
      <c r="B146" s="1"/>
      <c r="C146" s="1"/>
      <c r="D146" s="1"/>
      <c r="E146" s="1"/>
      <c r="F146" s="1"/>
      <c r="H146" s="1"/>
      <c r="J146" s="732"/>
      <c r="L146" s="732"/>
      <c r="N146" s="1"/>
      <c r="P146" s="732"/>
      <c r="R146" s="732"/>
      <c r="T146" s="1"/>
      <c r="V146" s="732"/>
      <c r="X146" s="732"/>
      <c r="Z146" s="1"/>
      <c r="AB146" s="732"/>
      <c r="AD146" s="732"/>
    </row>
    <row r="147" spans="1:30" s="48" customFormat="1" ht="15">
      <c r="A147" s="1"/>
      <c r="B147" s="1"/>
      <c r="C147" s="1"/>
      <c r="D147" s="1"/>
      <c r="E147" s="1"/>
      <c r="F147" s="1"/>
      <c r="H147" s="1"/>
      <c r="J147" s="732"/>
      <c r="L147" s="732"/>
      <c r="N147" s="1"/>
      <c r="P147" s="732"/>
      <c r="R147" s="732"/>
      <c r="T147" s="1"/>
      <c r="V147" s="732"/>
      <c r="X147" s="732"/>
      <c r="Z147" s="1"/>
      <c r="AB147" s="732"/>
      <c r="AD147" s="732"/>
    </row>
    <row r="148" spans="1:30" s="48" customFormat="1" ht="15">
      <c r="A148" s="1"/>
      <c r="B148" s="1"/>
      <c r="C148" s="1"/>
      <c r="D148" s="1"/>
      <c r="E148" s="1"/>
      <c r="F148" s="1"/>
      <c r="H148" s="1"/>
      <c r="J148" s="732"/>
      <c r="L148" s="732"/>
      <c r="N148" s="1"/>
      <c r="P148" s="732"/>
      <c r="R148" s="732"/>
      <c r="T148" s="1"/>
      <c r="V148" s="732"/>
      <c r="X148" s="732"/>
      <c r="Z148" s="1"/>
      <c r="AB148" s="732"/>
      <c r="AD148" s="732"/>
    </row>
    <row r="149" spans="1:30" s="48" customFormat="1" ht="15">
      <c r="A149" s="1"/>
      <c r="B149" s="1"/>
      <c r="C149" s="1"/>
      <c r="D149" s="1"/>
      <c r="E149" s="1"/>
      <c r="F149" s="1"/>
      <c r="H149" s="1"/>
      <c r="J149" s="732"/>
      <c r="L149" s="732"/>
      <c r="N149" s="1"/>
      <c r="P149" s="732"/>
      <c r="R149" s="732"/>
      <c r="T149" s="1"/>
      <c r="V149" s="732"/>
      <c r="X149" s="732"/>
      <c r="Z149" s="1"/>
      <c r="AB149" s="732"/>
      <c r="AD149" s="732"/>
    </row>
    <row r="150" spans="1:30" s="48" customFormat="1" ht="15">
      <c r="A150" s="1"/>
      <c r="B150" s="1"/>
      <c r="C150" s="1"/>
      <c r="D150" s="1"/>
      <c r="E150" s="1"/>
      <c r="F150" s="1"/>
      <c r="H150" s="1"/>
      <c r="J150" s="732"/>
      <c r="L150" s="732"/>
      <c r="N150" s="1"/>
      <c r="P150" s="732"/>
      <c r="R150" s="732"/>
      <c r="T150" s="1"/>
      <c r="V150" s="732"/>
      <c r="X150" s="732"/>
      <c r="Z150" s="1"/>
      <c r="AB150" s="732"/>
      <c r="AD150" s="732"/>
    </row>
    <row r="151" spans="1:30" s="48" customFormat="1" ht="15">
      <c r="A151" s="1"/>
      <c r="B151" s="1"/>
      <c r="C151" s="1"/>
      <c r="D151" s="1"/>
      <c r="E151" s="1"/>
      <c r="F151" s="1"/>
      <c r="H151" s="1"/>
      <c r="J151" s="732"/>
      <c r="L151" s="732"/>
      <c r="N151" s="1"/>
      <c r="P151" s="732"/>
      <c r="R151" s="732"/>
      <c r="T151" s="1"/>
      <c r="V151" s="732"/>
      <c r="X151" s="732"/>
      <c r="Z151" s="1"/>
      <c r="AB151" s="732"/>
      <c r="AD151" s="732"/>
    </row>
    <row r="152" spans="1:30" s="48" customFormat="1" ht="15">
      <c r="A152" s="1"/>
      <c r="B152" s="1"/>
      <c r="C152" s="1"/>
      <c r="D152" s="1"/>
      <c r="E152" s="1"/>
      <c r="F152" s="1"/>
      <c r="H152" s="1"/>
      <c r="J152" s="732"/>
      <c r="L152" s="732"/>
      <c r="N152" s="1"/>
      <c r="P152" s="732"/>
      <c r="R152" s="732"/>
      <c r="T152" s="1"/>
      <c r="V152" s="732"/>
      <c r="X152" s="732"/>
      <c r="Z152" s="1"/>
      <c r="AB152" s="732"/>
      <c r="AD152" s="732"/>
    </row>
    <row r="153" spans="1:30" s="48" customFormat="1" ht="15">
      <c r="A153" s="1"/>
      <c r="B153" s="1"/>
      <c r="C153" s="1"/>
      <c r="D153" s="1"/>
      <c r="E153" s="1"/>
      <c r="F153" s="1"/>
      <c r="H153" s="1"/>
      <c r="J153" s="732"/>
      <c r="L153" s="732"/>
      <c r="N153" s="1"/>
      <c r="P153" s="732"/>
      <c r="R153" s="732"/>
      <c r="T153" s="1"/>
      <c r="V153" s="732"/>
      <c r="X153" s="732"/>
      <c r="Z153" s="1"/>
      <c r="AB153" s="732"/>
      <c r="AD153" s="732"/>
    </row>
    <row r="154" spans="1:30" s="48" customFormat="1" ht="15">
      <c r="A154" s="1"/>
      <c r="B154" s="1"/>
      <c r="C154" s="1"/>
      <c r="D154" s="1"/>
      <c r="E154" s="1"/>
      <c r="F154" s="1"/>
      <c r="H154" s="1"/>
      <c r="J154" s="732"/>
      <c r="L154" s="732"/>
      <c r="N154" s="1"/>
      <c r="P154" s="732"/>
      <c r="R154" s="732"/>
      <c r="T154" s="1"/>
      <c r="V154" s="732"/>
      <c r="X154" s="732"/>
      <c r="Z154" s="1"/>
      <c r="AB154" s="732"/>
      <c r="AD154" s="732"/>
    </row>
    <row r="155" spans="1:30" s="48" customFormat="1" ht="15">
      <c r="A155" s="1"/>
      <c r="B155" s="1"/>
      <c r="C155" s="1"/>
      <c r="D155" s="1"/>
      <c r="E155" s="1"/>
      <c r="F155" s="1"/>
      <c r="H155" s="1"/>
      <c r="J155" s="732"/>
      <c r="L155" s="732"/>
      <c r="N155" s="1"/>
      <c r="P155" s="732"/>
      <c r="R155" s="732"/>
      <c r="T155" s="1"/>
      <c r="V155" s="732"/>
      <c r="X155" s="732"/>
      <c r="Z155" s="1"/>
      <c r="AB155" s="732"/>
      <c r="AD155" s="732"/>
    </row>
    <row r="156" spans="1:30" s="48" customFormat="1" ht="15">
      <c r="A156" s="1"/>
      <c r="B156" s="1"/>
      <c r="C156" s="1"/>
      <c r="D156" s="1"/>
      <c r="E156" s="1"/>
      <c r="F156" s="1"/>
      <c r="H156" s="1"/>
      <c r="J156" s="732"/>
      <c r="L156" s="732"/>
      <c r="N156" s="1"/>
      <c r="P156" s="732"/>
      <c r="R156" s="732"/>
      <c r="T156" s="1"/>
      <c r="V156" s="732"/>
      <c r="X156" s="732"/>
      <c r="Z156" s="1"/>
      <c r="AB156" s="732"/>
      <c r="AD156" s="732"/>
    </row>
    <row r="157" spans="1:30" s="48" customFormat="1" ht="15">
      <c r="A157" s="1"/>
      <c r="B157" s="1"/>
      <c r="C157" s="1"/>
      <c r="D157" s="1"/>
      <c r="E157" s="1"/>
      <c r="F157" s="1"/>
      <c r="H157" s="1"/>
      <c r="J157" s="732"/>
      <c r="L157" s="732"/>
      <c r="N157" s="1"/>
      <c r="P157" s="732"/>
      <c r="R157" s="732"/>
      <c r="T157" s="1"/>
      <c r="V157" s="732"/>
      <c r="X157" s="732"/>
      <c r="Z157" s="1"/>
      <c r="AB157" s="732"/>
      <c r="AD157" s="732"/>
    </row>
    <row r="158" spans="1:30" s="48" customFormat="1" ht="15">
      <c r="A158" s="1"/>
      <c r="B158" s="1"/>
      <c r="C158" s="1"/>
      <c r="D158" s="1"/>
      <c r="E158" s="1"/>
      <c r="F158" s="1"/>
      <c r="H158" s="1"/>
      <c r="J158" s="732"/>
      <c r="L158" s="732"/>
      <c r="N158" s="1"/>
      <c r="P158" s="732"/>
      <c r="R158" s="732"/>
      <c r="T158" s="1"/>
      <c r="V158" s="732"/>
      <c r="X158" s="732"/>
      <c r="Z158" s="1"/>
      <c r="AB158" s="732"/>
      <c r="AD158" s="732"/>
    </row>
    <row r="159" spans="1:30" s="48" customFormat="1" ht="15">
      <c r="A159" s="1"/>
      <c r="B159" s="1"/>
      <c r="C159" s="1"/>
      <c r="D159" s="1"/>
      <c r="E159" s="1"/>
      <c r="F159" s="1"/>
      <c r="H159" s="1"/>
      <c r="J159" s="732"/>
      <c r="L159" s="732"/>
      <c r="N159" s="1"/>
      <c r="P159" s="732"/>
      <c r="R159" s="732"/>
      <c r="T159" s="1"/>
      <c r="V159" s="732"/>
      <c r="X159" s="732"/>
      <c r="Z159" s="1"/>
      <c r="AB159" s="732"/>
      <c r="AD159" s="732"/>
    </row>
    <row r="160" spans="1:30" s="48" customFormat="1" ht="15">
      <c r="A160" s="1"/>
      <c r="B160" s="1"/>
      <c r="C160" s="1"/>
      <c r="D160" s="1"/>
      <c r="E160" s="1"/>
      <c r="F160" s="1"/>
      <c r="H160" s="1"/>
      <c r="J160" s="732"/>
      <c r="L160" s="732"/>
      <c r="N160" s="1"/>
      <c r="P160" s="732"/>
      <c r="R160" s="732"/>
      <c r="T160" s="1"/>
      <c r="V160" s="732"/>
      <c r="X160" s="732"/>
      <c r="Z160" s="1"/>
      <c r="AB160" s="732"/>
      <c r="AD160" s="732"/>
    </row>
    <row r="161" spans="1:30" s="48" customFormat="1" ht="15">
      <c r="A161" s="1"/>
      <c r="B161" s="1"/>
      <c r="C161" s="1"/>
      <c r="D161" s="1"/>
      <c r="E161" s="1"/>
      <c r="F161" s="1"/>
      <c r="H161" s="1"/>
      <c r="J161" s="732"/>
      <c r="L161" s="732"/>
      <c r="N161" s="1"/>
      <c r="P161" s="732"/>
      <c r="R161" s="732"/>
      <c r="T161" s="1"/>
      <c r="V161" s="732"/>
      <c r="X161" s="732"/>
      <c r="Z161" s="1"/>
      <c r="AB161" s="732"/>
      <c r="AD161" s="732"/>
    </row>
    <row r="162" spans="1:30" s="48" customFormat="1" ht="15">
      <c r="A162" s="1"/>
      <c r="B162" s="1"/>
      <c r="C162" s="1"/>
      <c r="D162" s="1"/>
      <c r="E162" s="1"/>
      <c r="F162" s="1"/>
      <c r="H162" s="1"/>
      <c r="J162" s="732"/>
      <c r="L162" s="732"/>
      <c r="N162" s="1"/>
      <c r="P162" s="732"/>
      <c r="R162" s="732"/>
      <c r="T162" s="1"/>
      <c r="V162" s="732"/>
      <c r="X162" s="732"/>
      <c r="Z162" s="1"/>
      <c r="AB162" s="732"/>
      <c r="AD162" s="732"/>
    </row>
    <row r="163" spans="1:30" s="48" customFormat="1" ht="15">
      <c r="A163" s="1"/>
      <c r="B163" s="1"/>
      <c r="C163" s="1"/>
      <c r="D163" s="1"/>
      <c r="E163" s="1"/>
      <c r="F163" s="1"/>
      <c r="H163" s="1"/>
      <c r="J163" s="732"/>
      <c r="L163" s="732"/>
      <c r="N163" s="1"/>
      <c r="P163" s="732"/>
      <c r="R163" s="732"/>
      <c r="T163" s="1"/>
      <c r="V163" s="732"/>
      <c r="X163" s="732"/>
      <c r="Z163" s="1"/>
      <c r="AB163" s="732"/>
      <c r="AD163" s="732"/>
    </row>
    <row r="164" spans="1:30" s="48" customFormat="1" ht="15">
      <c r="A164" s="1"/>
      <c r="B164" s="1"/>
      <c r="C164" s="1"/>
      <c r="D164" s="1"/>
      <c r="E164" s="1"/>
      <c r="F164" s="1"/>
      <c r="H164" s="1"/>
      <c r="J164" s="732"/>
      <c r="L164" s="732"/>
      <c r="N164" s="1"/>
      <c r="P164" s="732"/>
      <c r="R164" s="732"/>
      <c r="T164" s="1"/>
      <c r="V164" s="732"/>
      <c r="X164" s="732"/>
      <c r="Z164" s="1"/>
      <c r="AB164" s="732"/>
      <c r="AD164" s="732"/>
    </row>
    <row r="165" spans="1:30" s="48" customFormat="1" ht="15">
      <c r="A165" s="1"/>
      <c r="B165" s="1"/>
      <c r="C165" s="1"/>
      <c r="D165" s="1"/>
      <c r="E165" s="1"/>
      <c r="F165" s="1"/>
      <c r="H165" s="1"/>
      <c r="J165" s="732"/>
      <c r="L165" s="732"/>
      <c r="N165" s="1"/>
      <c r="P165" s="732"/>
      <c r="R165" s="732"/>
      <c r="T165" s="1"/>
      <c r="V165" s="732"/>
      <c r="X165" s="732"/>
      <c r="Z165" s="1"/>
      <c r="AB165" s="732"/>
      <c r="AD165" s="732"/>
    </row>
    <row r="166" spans="1:30" s="48" customFormat="1" ht="15">
      <c r="A166" s="1"/>
      <c r="B166" s="1"/>
      <c r="C166" s="1"/>
      <c r="D166" s="1"/>
      <c r="E166" s="1"/>
      <c r="F166" s="1"/>
      <c r="H166" s="1"/>
      <c r="J166" s="732"/>
      <c r="L166" s="732"/>
      <c r="N166" s="1"/>
      <c r="P166" s="732"/>
      <c r="R166" s="732"/>
      <c r="T166" s="1"/>
      <c r="V166" s="732"/>
      <c r="X166" s="732"/>
      <c r="Z166" s="1"/>
      <c r="AB166" s="732"/>
      <c r="AD166" s="732"/>
    </row>
    <row r="167" spans="1:30" s="48" customFormat="1" ht="15">
      <c r="A167" s="1"/>
      <c r="B167" s="1"/>
      <c r="C167" s="1"/>
      <c r="D167" s="1"/>
      <c r="E167" s="1"/>
      <c r="F167" s="1"/>
      <c r="H167" s="1"/>
      <c r="J167" s="732"/>
      <c r="L167" s="732"/>
      <c r="N167" s="1"/>
      <c r="P167" s="732"/>
      <c r="R167" s="732"/>
      <c r="T167" s="1"/>
      <c r="V167" s="732"/>
      <c r="X167" s="732"/>
      <c r="Z167" s="1"/>
      <c r="AB167" s="732"/>
      <c r="AD167" s="732"/>
    </row>
    <row r="168" spans="1:30" s="48" customFormat="1" ht="15">
      <c r="A168" s="1"/>
      <c r="B168" s="1"/>
      <c r="C168" s="1"/>
      <c r="D168" s="1"/>
      <c r="E168" s="1"/>
      <c r="F168" s="1"/>
      <c r="H168" s="1"/>
      <c r="J168" s="732"/>
      <c r="L168" s="732"/>
      <c r="N168" s="1"/>
      <c r="P168" s="732"/>
      <c r="R168" s="732"/>
      <c r="T168" s="1"/>
      <c r="V168" s="732"/>
      <c r="X168" s="732"/>
      <c r="Z168" s="1"/>
      <c r="AB168" s="732"/>
      <c r="AD168" s="732"/>
    </row>
    <row r="169" spans="1:30" s="48" customFormat="1" ht="15">
      <c r="A169" s="1"/>
      <c r="B169" s="1"/>
      <c r="C169" s="1"/>
      <c r="D169" s="1"/>
      <c r="E169" s="1"/>
      <c r="F169" s="1"/>
      <c r="H169" s="1"/>
      <c r="J169" s="732"/>
      <c r="L169" s="732"/>
      <c r="N169" s="1"/>
      <c r="P169" s="732"/>
      <c r="R169" s="732"/>
      <c r="T169" s="1"/>
      <c r="V169" s="732"/>
      <c r="X169" s="732"/>
      <c r="Z169" s="1"/>
      <c r="AB169" s="732"/>
      <c r="AD169" s="732"/>
    </row>
    <row r="170" spans="1:30" s="48" customFormat="1" ht="15">
      <c r="A170" s="1"/>
      <c r="B170" s="1"/>
      <c r="C170" s="1"/>
      <c r="D170" s="1"/>
      <c r="E170" s="1"/>
      <c r="F170" s="1"/>
      <c r="H170" s="1"/>
      <c r="J170" s="732"/>
      <c r="L170" s="732"/>
      <c r="N170" s="1"/>
      <c r="P170" s="732"/>
      <c r="R170" s="732"/>
      <c r="T170" s="1"/>
      <c r="V170" s="732"/>
      <c r="X170" s="732"/>
      <c r="Z170" s="1"/>
      <c r="AB170" s="732"/>
      <c r="AD170" s="732"/>
    </row>
    <row r="171" spans="1:30" s="48" customFormat="1" ht="15">
      <c r="A171" s="1"/>
      <c r="B171" s="1"/>
      <c r="C171" s="1"/>
      <c r="D171" s="1"/>
      <c r="E171" s="1"/>
      <c r="F171" s="1"/>
      <c r="H171" s="1"/>
      <c r="J171" s="732"/>
      <c r="L171" s="732"/>
      <c r="N171" s="1"/>
      <c r="P171" s="732"/>
      <c r="R171" s="732"/>
      <c r="T171" s="1"/>
      <c r="V171" s="732"/>
      <c r="X171" s="732"/>
      <c r="Z171" s="1"/>
      <c r="AB171" s="732"/>
      <c r="AD171" s="732"/>
    </row>
    <row r="172" spans="1:30" s="48" customFormat="1" ht="15">
      <c r="A172" s="1"/>
      <c r="B172" s="1"/>
      <c r="C172" s="1"/>
      <c r="D172" s="1"/>
      <c r="E172" s="1"/>
      <c r="F172" s="1"/>
      <c r="H172" s="1"/>
      <c r="J172" s="732"/>
      <c r="L172" s="732"/>
      <c r="N172" s="1"/>
      <c r="P172" s="732"/>
      <c r="R172" s="732"/>
      <c r="T172" s="1"/>
      <c r="V172" s="732"/>
      <c r="X172" s="732"/>
      <c r="Z172" s="1"/>
      <c r="AB172" s="732"/>
      <c r="AD172" s="732"/>
    </row>
    <row r="173" spans="1:30" s="48" customFormat="1" ht="15">
      <c r="A173" s="1"/>
      <c r="B173" s="1"/>
      <c r="C173" s="1"/>
      <c r="D173" s="1"/>
      <c r="E173" s="1"/>
      <c r="F173" s="1"/>
      <c r="H173" s="1"/>
      <c r="J173" s="732"/>
      <c r="L173" s="732"/>
      <c r="N173" s="1"/>
      <c r="P173" s="732"/>
      <c r="R173" s="732"/>
      <c r="T173" s="1"/>
      <c r="V173" s="732"/>
      <c r="X173" s="732"/>
      <c r="Z173" s="1"/>
      <c r="AB173" s="732"/>
      <c r="AD173" s="732"/>
    </row>
    <row r="174" spans="1:30" s="48" customFormat="1" ht="15">
      <c r="A174" s="1"/>
      <c r="B174" s="1"/>
      <c r="C174" s="1"/>
      <c r="D174" s="1"/>
      <c r="E174" s="1"/>
      <c r="F174" s="1"/>
      <c r="H174" s="1"/>
      <c r="J174" s="732"/>
      <c r="L174" s="732"/>
      <c r="N174" s="1"/>
      <c r="P174" s="732"/>
      <c r="R174" s="732"/>
      <c r="T174" s="1"/>
      <c r="V174" s="732"/>
      <c r="X174" s="732"/>
      <c r="Z174" s="1"/>
      <c r="AB174" s="732"/>
      <c r="AD174" s="732"/>
    </row>
    <row r="175" spans="1:30" s="48" customFormat="1" ht="15">
      <c r="A175" s="1"/>
      <c r="B175" s="1"/>
      <c r="C175" s="1"/>
      <c r="D175" s="1"/>
      <c r="E175" s="1"/>
      <c r="F175" s="1"/>
      <c r="H175" s="1"/>
      <c r="J175" s="732"/>
      <c r="L175" s="732"/>
      <c r="N175" s="1"/>
      <c r="P175" s="732"/>
      <c r="R175" s="732"/>
      <c r="T175" s="1"/>
      <c r="V175" s="732"/>
      <c r="X175" s="732"/>
      <c r="Z175" s="1"/>
      <c r="AB175" s="732"/>
      <c r="AD175" s="732"/>
    </row>
    <row r="176" spans="1:30" s="48" customFormat="1" ht="15">
      <c r="A176" s="1"/>
      <c r="B176" s="1"/>
      <c r="C176" s="1"/>
      <c r="D176" s="1"/>
      <c r="E176" s="1"/>
      <c r="F176" s="1"/>
      <c r="H176" s="1"/>
      <c r="J176" s="732"/>
      <c r="L176" s="732"/>
      <c r="N176" s="1"/>
      <c r="P176" s="732"/>
      <c r="R176" s="732"/>
      <c r="T176" s="1"/>
      <c r="V176" s="732"/>
      <c r="X176" s="732"/>
      <c r="Z176" s="1"/>
      <c r="AB176" s="732"/>
      <c r="AD176" s="732"/>
    </row>
    <row r="177" spans="1:30" s="48" customFormat="1" ht="15">
      <c r="A177" s="1"/>
      <c r="B177" s="1"/>
      <c r="C177" s="1"/>
      <c r="D177" s="1"/>
      <c r="E177" s="1"/>
      <c r="F177" s="1"/>
      <c r="H177" s="1"/>
      <c r="J177" s="732"/>
      <c r="L177" s="732"/>
      <c r="N177" s="1"/>
      <c r="P177" s="732"/>
      <c r="R177" s="732"/>
      <c r="T177" s="1"/>
      <c r="V177" s="732"/>
      <c r="X177" s="732"/>
      <c r="Z177" s="1"/>
      <c r="AB177" s="732"/>
      <c r="AD177" s="732"/>
    </row>
    <row r="178" spans="1:30" s="48" customFormat="1" ht="15">
      <c r="A178" s="1"/>
      <c r="B178" s="1"/>
      <c r="C178" s="1"/>
      <c r="D178" s="1"/>
      <c r="E178" s="1"/>
      <c r="F178" s="1"/>
      <c r="H178" s="1"/>
      <c r="J178" s="732"/>
      <c r="L178" s="732"/>
      <c r="N178" s="1"/>
      <c r="P178" s="732"/>
      <c r="R178" s="732"/>
      <c r="T178" s="1"/>
      <c r="V178" s="732"/>
      <c r="X178" s="732"/>
      <c r="Z178" s="1"/>
      <c r="AB178" s="732"/>
      <c r="AD178" s="732"/>
    </row>
    <row r="179" spans="1:30" s="48" customFormat="1" ht="15">
      <c r="A179" s="1"/>
      <c r="B179" s="1"/>
      <c r="C179" s="1"/>
      <c r="D179" s="1"/>
      <c r="E179" s="1"/>
      <c r="F179" s="1"/>
      <c r="H179" s="1"/>
      <c r="J179" s="732"/>
      <c r="L179" s="732"/>
      <c r="N179" s="1"/>
      <c r="P179" s="732"/>
      <c r="R179" s="732"/>
      <c r="T179" s="1"/>
      <c r="V179" s="732"/>
      <c r="X179" s="732"/>
      <c r="Z179" s="1"/>
      <c r="AB179" s="732"/>
      <c r="AD179" s="732"/>
    </row>
    <row r="180" spans="1:30" s="48" customFormat="1" ht="15">
      <c r="A180" s="1"/>
      <c r="B180" s="1"/>
      <c r="C180" s="1"/>
      <c r="D180" s="1"/>
      <c r="E180" s="1"/>
      <c r="F180" s="1"/>
      <c r="H180" s="1"/>
      <c r="J180" s="732"/>
      <c r="L180" s="732"/>
      <c r="N180" s="1"/>
      <c r="P180" s="732"/>
      <c r="R180" s="732"/>
      <c r="T180" s="1"/>
      <c r="V180" s="732"/>
      <c r="X180" s="732"/>
      <c r="Z180" s="1"/>
      <c r="AB180" s="732"/>
      <c r="AD180" s="732"/>
    </row>
    <row r="181" spans="1:30" s="48" customFormat="1" ht="15">
      <c r="A181" s="1"/>
      <c r="B181" s="1"/>
      <c r="C181" s="1"/>
      <c r="D181" s="1"/>
      <c r="E181" s="1"/>
      <c r="F181" s="1"/>
      <c r="H181" s="1"/>
      <c r="J181" s="732"/>
      <c r="L181" s="732"/>
      <c r="N181" s="1"/>
      <c r="P181" s="732"/>
      <c r="R181" s="732"/>
      <c r="T181" s="1"/>
      <c r="V181" s="732"/>
      <c r="X181" s="732"/>
      <c r="Z181" s="1"/>
      <c r="AB181" s="732"/>
      <c r="AD181" s="732"/>
    </row>
    <row r="182" spans="1:30" s="48" customFormat="1" ht="15">
      <c r="A182" s="1"/>
      <c r="B182" s="1"/>
      <c r="C182" s="1"/>
      <c r="D182" s="1"/>
      <c r="E182" s="1"/>
      <c r="F182" s="1"/>
      <c r="H182" s="1"/>
      <c r="J182" s="732"/>
      <c r="L182" s="732"/>
      <c r="N182" s="1"/>
      <c r="P182" s="732"/>
      <c r="R182" s="732"/>
      <c r="T182" s="1"/>
      <c r="V182" s="732"/>
      <c r="X182" s="732"/>
      <c r="Z182" s="1"/>
      <c r="AB182" s="732"/>
      <c r="AD182" s="732"/>
    </row>
    <row r="183" spans="1:30" s="48" customFormat="1" ht="15">
      <c r="A183" s="1"/>
      <c r="B183" s="1"/>
      <c r="C183" s="1"/>
      <c r="D183" s="1"/>
      <c r="E183" s="1"/>
      <c r="F183" s="1"/>
      <c r="H183" s="1"/>
      <c r="J183" s="732"/>
      <c r="L183" s="732"/>
      <c r="N183" s="1"/>
      <c r="P183" s="732"/>
      <c r="R183" s="732"/>
      <c r="T183" s="1"/>
      <c r="V183" s="732"/>
      <c r="X183" s="732"/>
      <c r="Z183" s="1"/>
      <c r="AB183" s="732"/>
      <c r="AD183" s="732"/>
    </row>
    <row r="184" spans="1:30" s="48" customFormat="1" ht="15">
      <c r="A184" s="1"/>
      <c r="B184" s="1"/>
      <c r="C184" s="1"/>
      <c r="D184" s="1"/>
      <c r="E184" s="1"/>
      <c r="F184" s="1"/>
      <c r="H184" s="1"/>
      <c r="J184" s="732"/>
      <c r="L184" s="732"/>
      <c r="N184" s="1"/>
      <c r="P184" s="732"/>
      <c r="R184" s="732"/>
      <c r="T184" s="1"/>
      <c r="V184" s="732"/>
      <c r="X184" s="732"/>
      <c r="Z184" s="1"/>
      <c r="AB184" s="732"/>
      <c r="AD184" s="732"/>
    </row>
    <row r="185" spans="1:30" s="48" customFormat="1" ht="15">
      <c r="A185" s="1"/>
      <c r="B185" s="1"/>
      <c r="C185" s="1"/>
      <c r="D185" s="1"/>
      <c r="E185" s="1"/>
      <c r="F185" s="1"/>
      <c r="H185" s="1"/>
      <c r="J185" s="732"/>
      <c r="L185" s="732"/>
      <c r="N185" s="1"/>
      <c r="P185" s="732"/>
      <c r="R185" s="732"/>
      <c r="T185" s="1"/>
      <c r="V185" s="732"/>
      <c r="X185" s="732"/>
      <c r="Z185" s="1"/>
      <c r="AB185" s="732"/>
      <c r="AD185" s="732"/>
    </row>
    <row r="186" spans="1:30" s="48" customFormat="1" ht="15">
      <c r="A186" s="1"/>
      <c r="B186" s="1"/>
      <c r="C186" s="1"/>
      <c r="D186" s="1"/>
      <c r="E186" s="1"/>
      <c r="F186" s="1"/>
      <c r="H186" s="1"/>
      <c r="J186" s="732"/>
      <c r="L186" s="732"/>
      <c r="N186" s="1"/>
      <c r="P186" s="732"/>
      <c r="R186" s="732"/>
      <c r="T186" s="1"/>
      <c r="V186" s="732"/>
      <c r="X186" s="732"/>
      <c r="Z186" s="1"/>
      <c r="AB186" s="732"/>
      <c r="AD186" s="732"/>
    </row>
    <row r="187" spans="1:30" s="48" customFormat="1" ht="15">
      <c r="A187" s="1"/>
      <c r="B187" s="1"/>
      <c r="C187" s="1"/>
      <c r="D187" s="1"/>
      <c r="E187" s="1"/>
      <c r="F187" s="1"/>
      <c r="H187" s="1"/>
      <c r="J187" s="732"/>
      <c r="L187" s="732"/>
      <c r="N187" s="1"/>
      <c r="P187" s="732"/>
      <c r="R187" s="732"/>
      <c r="T187" s="1"/>
      <c r="V187" s="732"/>
      <c r="X187" s="732"/>
      <c r="Z187" s="1"/>
      <c r="AB187" s="732"/>
      <c r="AD187" s="732"/>
    </row>
    <row r="188" spans="1:30" s="48" customFormat="1" ht="15">
      <c r="A188" s="1"/>
      <c r="B188" s="1"/>
      <c r="C188" s="1"/>
      <c r="D188" s="1"/>
      <c r="E188" s="1"/>
      <c r="F188" s="1"/>
      <c r="H188" s="1"/>
      <c r="J188" s="732"/>
      <c r="L188" s="732"/>
      <c r="N188" s="1"/>
      <c r="P188" s="732"/>
      <c r="R188" s="732"/>
      <c r="T188" s="1"/>
      <c r="V188" s="732"/>
      <c r="X188" s="732"/>
      <c r="Z188" s="1"/>
      <c r="AB188" s="732"/>
      <c r="AD188" s="732"/>
    </row>
    <row r="189" spans="1:30" s="48" customFormat="1" ht="15">
      <c r="A189" s="1"/>
      <c r="B189" s="1"/>
      <c r="C189" s="1"/>
      <c r="D189" s="1"/>
      <c r="E189" s="1"/>
      <c r="F189" s="1"/>
      <c r="H189" s="1"/>
      <c r="J189" s="732"/>
      <c r="L189" s="732"/>
      <c r="N189" s="1"/>
      <c r="P189" s="732"/>
      <c r="R189" s="732"/>
      <c r="T189" s="1"/>
      <c r="V189" s="732"/>
      <c r="X189" s="732"/>
      <c r="Z189" s="1"/>
      <c r="AB189" s="732"/>
      <c r="AD189" s="732"/>
    </row>
    <row r="190" spans="1:30" s="48" customFormat="1" ht="15">
      <c r="A190" s="1"/>
      <c r="B190" s="1"/>
      <c r="C190" s="1"/>
      <c r="D190" s="1"/>
      <c r="E190" s="1"/>
      <c r="F190" s="1"/>
      <c r="H190" s="1"/>
      <c r="J190" s="732"/>
      <c r="L190" s="732"/>
      <c r="N190" s="1"/>
      <c r="P190" s="732"/>
      <c r="R190" s="732"/>
      <c r="T190" s="1"/>
      <c r="V190" s="732"/>
      <c r="X190" s="732"/>
      <c r="Z190" s="1"/>
      <c r="AB190" s="732"/>
      <c r="AD190" s="732"/>
    </row>
    <row r="191" spans="1:30" s="48" customFormat="1" ht="15">
      <c r="A191" s="1"/>
      <c r="B191" s="1"/>
      <c r="C191" s="1"/>
      <c r="D191" s="1"/>
      <c r="E191" s="1"/>
      <c r="F191" s="1"/>
      <c r="H191" s="1"/>
      <c r="J191" s="732"/>
      <c r="L191" s="732"/>
      <c r="N191" s="1"/>
      <c r="P191" s="732"/>
      <c r="R191" s="732"/>
      <c r="T191" s="1"/>
      <c r="V191" s="732"/>
      <c r="X191" s="732"/>
      <c r="Z191" s="1"/>
      <c r="AB191" s="732"/>
      <c r="AD191" s="732"/>
    </row>
    <row r="192" spans="1:30" s="48" customFormat="1" ht="15">
      <c r="A192" s="1"/>
      <c r="B192" s="1"/>
      <c r="C192" s="1"/>
      <c r="D192" s="1"/>
      <c r="E192" s="1"/>
      <c r="F192" s="1"/>
      <c r="H192" s="1"/>
      <c r="J192" s="732"/>
      <c r="L192" s="732"/>
      <c r="N192" s="1"/>
      <c r="P192" s="732"/>
      <c r="R192" s="732"/>
      <c r="T192" s="1"/>
      <c r="V192" s="732"/>
      <c r="X192" s="732"/>
      <c r="Z192" s="1"/>
      <c r="AB192" s="732"/>
      <c r="AD192" s="732"/>
    </row>
    <row r="193" spans="1:30" s="48" customFormat="1" ht="15">
      <c r="A193" s="1"/>
      <c r="B193" s="1"/>
      <c r="C193" s="1"/>
      <c r="D193" s="1"/>
      <c r="E193" s="1"/>
      <c r="F193" s="1"/>
      <c r="H193" s="1"/>
      <c r="J193" s="732"/>
      <c r="L193" s="732"/>
      <c r="N193" s="1"/>
      <c r="P193" s="732"/>
      <c r="R193" s="732"/>
      <c r="T193" s="1"/>
      <c r="V193" s="732"/>
      <c r="X193" s="732"/>
      <c r="Z193" s="1"/>
      <c r="AB193" s="732"/>
      <c r="AD193" s="732"/>
    </row>
    <row r="194" spans="1:30" s="48" customFormat="1">
      <c r="A194" s="1"/>
      <c r="B194" s="1"/>
      <c r="C194" s="1"/>
      <c r="D194" s="1"/>
      <c r="E194" s="1"/>
      <c r="F194" s="1"/>
      <c r="H194" s="1"/>
      <c r="J194" s="1"/>
      <c r="L194" s="1"/>
      <c r="N194" s="1"/>
      <c r="P194" s="1"/>
      <c r="R194" s="1"/>
      <c r="T194" s="1"/>
      <c r="V194" s="1"/>
      <c r="X194" s="1"/>
      <c r="Z194" s="1"/>
      <c r="AB194" s="1"/>
      <c r="AD194" s="1"/>
    </row>
    <row r="195" spans="1:30" s="48" customFormat="1">
      <c r="A195" s="1"/>
      <c r="B195" s="1"/>
      <c r="C195" s="1"/>
      <c r="D195" s="1"/>
      <c r="E195" s="1"/>
      <c r="F195" s="1"/>
      <c r="H195" s="1"/>
      <c r="J195" s="1"/>
      <c r="L195" s="1"/>
      <c r="N195" s="1"/>
      <c r="P195" s="1"/>
      <c r="R195" s="1"/>
      <c r="T195" s="1"/>
      <c r="V195" s="1"/>
      <c r="X195" s="1"/>
      <c r="Z195" s="1"/>
      <c r="AB195" s="1"/>
      <c r="AD195" s="1"/>
    </row>
    <row r="196" spans="1:30" s="48" customFormat="1">
      <c r="A196" s="1"/>
      <c r="B196" s="1"/>
      <c r="C196" s="1"/>
      <c r="D196" s="1"/>
      <c r="E196" s="1"/>
      <c r="F196" s="1"/>
      <c r="H196" s="1"/>
      <c r="J196" s="1"/>
      <c r="L196" s="1"/>
      <c r="N196" s="1"/>
      <c r="P196" s="1"/>
      <c r="R196" s="1"/>
      <c r="T196" s="1"/>
      <c r="V196" s="1"/>
      <c r="X196" s="1"/>
      <c r="Z196" s="1"/>
      <c r="AB196" s="1"/>
      <c r="AD196" s="1"/>
    </row>
    <row r="197" spans="1:30" s="48" customFormat="1">
      <c r="A197" s="1"/>
      <c r="B197" s="1"/>
      <c r="C197" s="1"/>
      <c r="D197" s="1"/>
      <c r="E197" s="1"/>
      <c r="F197" s="1"/>
      <c r="H197" s="1"/>
      <c r="J197" s="1"/>
      <c r="L197" s="1"/>
      <c r="N197" s="1"/>
      <c r="P197" s="1"/>
      <c r="R197" s="1"/>
      <c r="T197" s="1"/>
      <c r="V197" s="1"/>
      <c r="X197" s="1"/>
      <c r="Z197" s="1"/>
      <c r="AB197" s="1"/>
      <c r="AD197" s="1"/>
    </row>
    <row r="198" spans="1:30" s="48" customFormat="1">
      <c r="A198" s="1"/>
      <c r="B198" s="1"/>
      <c r="C198" s="1"/>
      <c r="D198" s="1"/>
      <c r="E198" s="1"/>
      <c r="F198" s="1"/>
      <c r="H198" s="1"/>
      <c r="J198" s="1"/>
      <c r="L198" s="1"/>
      <c r="N198" s="1"/>
      <c r="P198" s="1"/>
      <c r="R198" s="1"/>
      <c r="T198" s="1"/>
      <c r="V198" s="1"/>
      <c r="X198" s="1"/>
      <c r="Z198" s="1"/>
      <c r="AB198" s="1"/>
      <c r="AD198" s="1"/>
    </row>
    <row r="199" spans="1:30" s="48" customFormat="1">
      <c r="A199" s="1"/>
      <c r="B199" s="1"/>
      <c r="C199" s="1"/>
      <c r="D199" s="1"/>
      <c r="E199" s="1"/>
      <c r="F199" s="1"/>
      <c r="H199" s="1"/>
      <c r="J199" s="1"/>
      <c r="L199" s="1"/>
      <c r="N199" s="1"/>
      <c r="P199" s="1"/>
      <c r="R199" s="1"/>
      <c r="T199" s="1"/>
      <c r="V199" s="1"/>
      <c r="X199" s="1"/>
      <c r="Z199" s="1"/>
      <c r="AB199" s="1"/>
      <c r="AD199" s="1"/>
    </row>
    <row r="200" spans="1:30" s="48" customFormat="1">
      <c r="A200" s="1"/>
      <c r="B200" s="1"/>
      <c r="C200" s="1"/>
      <c r="D200" s="1"/>
      <c r="E200" s="1"/>
      <c r="F200" s="1"/>
      <c r="H200" s="1"/>
      <c r="J200" s="1"/>
      <c r="L200" s="1"/>
      <c r="N200" s="1"/>
      <c r="P200" s="1"/>
      <c r="R200" s="1"/>
      <c r="T200" s="1"/>
      <c r="V200" s="1"/>
      <c r="X200" s="1"/>
      <c r="Z200" s="1"/>
      <c r="AB200" s="1"/>
      <c r="AD200" s="1"/>
    </row>
    <row r="201" spans="1:30" s="48" customFormat="1">
      <c r="A201" s="1"/>
      <c r="B201" s="1"/>
      <c r="C201" s="1"/>
      <c r="D201" s="1"/>
      <c r="E201" s="1"/>
      <c r="F201" s="1"/>
      <c r="H201" s="1"/>
      <c r="J201" s="1"/>
      <c r="L201" s="1"/>
      <c r="N201" s="1"/>
      <c r="P201" s="1"/>
      <c r="R201" s="1"/>
      <c r="T201" s="1"/>
      <c r="V201" s="1"/>
      <c r="X201" s="1"/>
      <c r="Z201" s="1"/>
      <c r="AB201" s="1"/>
      <c r="AD201" s="1"/>
    </row>
    <row r="202" spans="1:30" s="48" customFormat="1">
      <c r="A202" s="1"/>
      <c r="B202" s="1"/>
      <c r="C202" s="1"/>
      <c r="D202" s="1"/>
      <c r="E202" s="1"/>
      <c r="F202" s="1"/>
      <c r="H202" s="1"/>
      <c r="J202" s="1"/>
      <c r="L202" s="1"/>
      <c r="N202" s="1"/>
      <c r="P202" s="1"/>
      <c r="R202" s="1"/>
      <c r="T202" s="1"/>
      <c r="V202" s="1"/>
      <c r="X202" s="1"/>
      <c r="Z202" s="1"/>
      <c r="AB202" s="1"/>
      <c r="AD202" s="1"/>
    </row>
    <row r="203" spans="1:30" s="48" customFormat="1">
      <c r="A203" s="1"/>
      <c r="B203" s="1"/>
      <c r="C203" s="1"/>
      <c r="D203" s="1"/>
      <c r="E203" s="1"/>
      <c r="F203" s="1"/>
      <c r="H203" s="1"/>
      <c r="J203" s="1"/>
      <c r="L203" s="1"/>
      <c r="N203" s="1"/>
      <c r="P203" s="1"/>
      <c r="R203" s="1"/>
      <c r="T203" s="1"/>
      <c r="V203" s="1"/>
      <c r="X203" s="1"/>
      <c r="Z203" s="1"/>
      <c r="AB203" s="1"/>
      <c r="AD203" s="1"/>
    </row>
    <row r="204" spans="1:30" s="48" customFormat="1">
      <c r="A204" s="1"/>
      <c r="B204" s="1"/>
      <c r="C204" s="1"/>
      <c r="D204" s="1"/>
      <c r="E204" s="1"/>
      <c r="F204" s="1"/>
      <c r="H204" s="1"/>
      <c r="J204" s="1"/>
      <c r="L204" s="1"/>
      <c r="N204" s="1"/>
      <c r="P204" s="1"/>
      <c r="R204" s="1"/>
      <c r="T204" s="1"/>
      <c r="V204" s="1"/>
      <c r="X204" s="1"/>
      <c r="Z204" s="1"/>
      <c r="AB204" s="1"/>
      <c r="AD204" s="1"/>
    </row>
    <row r="205" spans="1:30" s="48" customFormat="1">
      <c r="A205" s="1"/>
      <c r="B205" s="1"/>
      <c r="C205" s="1"/>
      <c r="D205" s="1"/>
      <c r="E205" s="1"/>
      <c r="F205" s="1"/>
      <c r="H205" s="1"/>
      <c r="J205" s="1"/>
      <c r="L205" s="1"/>
      <c r="N205" s="1"/>
      <c r="P205" s="1"/>
      <c r="R205" s="1"/>
      <c r="T205" s="1"/>
      <c r="V205" s="1"/>
      <c r="X205" s="1"/>
      <c r="Z205" s="1"/>
      <c r="AB205" s="1"/>
      <c r="AD205" s="1"/>
    </row>
    <row r="206" spans="1:30" s="48" customFormat="1">
      <c r="A206" s="1"/>
      <c r="B206" s="1"/>
      <c r="C206" s="1"/>
      <c r="D206" s="1"/>
      <c r="E206" s="1"/>
      <c r="F206" s="1"/>
      <c r="H206" s="1"/>
      <c r="J206" s="1"/>
      <c r="L206" s="1"/>
      <c r="N206" s="1"/>
      <c r="P206" s="1"/>
      <c r="R206" s="1"/>
      <c r="T206" s="1"/>
      <c r="V206" s="1"/>
      <c r="X206" s="1"/>
      <c r="Z206" s="1"/>
      <c r="AB206" s="1"/>
      <c r="AD206" s="1"/>
    </row>
    <row r="207" spans="1:30" s="48" customFormat="1">
      <c r="A207" s="1"/>
      <c r="B207" s="1"/>
      <c r="C207" s="1"/>
      <c r="D207" s="1"/>
      <c r="E207" s="1"/>
      <c r="F207" s="1"/>
      <c r="H207" s="1"/>
      <c r="J207" s="1"/>
      <c r="L207" s="1"/>
      <c r="N207" s="1"/>
      <c r="P207" s="1"/>
      <c r="R207" s="1"/>
      <c r="T207" s="1"/>
      <c r="V207" s="1"/>
      <c r="X207" s="1"/>
      <c r="Z207" s="1"/>
      <c r="AB207" s="1"/>
      <c r="AD207" s="1"/>
    </row>
    <row r="208" spans="1:30" s="48" customFormat="1">
      <c r="A208" s="1"/>
      <c r="B208" s="1"/>
      <c r="C208" s="1"/>
      <c r="D208" s="1"/>
      <c r="E208" s="1"/>
      <c r="F208" s="1"/>
      <c r="H208" s="1"/>
      <c r="J208" s="1"/>
      <c r="L208" s="1"/>
      <c r="N208" s="1"/>
      <c r="P208" s="1"/>
      <c r="R208" s="1"/>
      <c r="T208" s="1"/>
      <c r="V208" s="1"/>
      <c r="X208" s="1"/>
      <c r="Z208" s="1"/>
      <c r="AB208" s="1"/>
      <c r="AD208" s="1"/>
    </row>
  </sheetData>
  <mergeCells count="3">
    <mergeCell ref="AH4:AH6"/>
    <mergeCell ref="AG5:AG6"/>
    <mergeCell ref="G51:AE52"/>
  </mergeCells>
  <pageMargins left="0.25" right="0.25" top="0.27" bottom="0.4" header="0.18" footer="0.25"/>
  <pageSetup scale="37" orientation="portrait" errors="blank" r:id="rId1"/>
  <headerFooter alignWithMargins="0">
    <oddHeader>&amp;C&amp;"-,Bold"&amp;14&amp;KFF0000TEXT IN RED BOX CONFIDENTIAL PER WAC 480-07-160</oddHeader>
    <oddFooter>&amp;L&amp;F - &amp;A&amp;CPrinted &amp;D - &amp;T&amp;RPage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36"/>
  <sheetViews>
    <sheetView showGridLines="0" view="pageBreakPreview" topLeftCell="A5" zoomScaleNormal="115" zoomScaleSheetLayoutView="100" workbookViewId="0">
      <pane xSplit="2" ySplit="10" topLeftCell="C307" activePane="bottomRight" state="frozen"/>
      <selection activeCell="AL35" sqref="AL35"/>
      <selection pane="topRight" activeCell="AL35" sqref="AL35"/>
      <selection pane="bottomLeft" activeCell="AL35" sqref="AL35"/>
      <selection pane="bottomRight" activeCell="B15" sqref="B15:H335"/>
    </sheetView>
  </sheetViews>
  <sheetFormatPr defaultColWidth="9.140625" defaultRowHeight="12.75" outlineLevelRow="1"/>
  <cols>
    <col min="1" max="1" width="8.85546875" style="58" customWidth="1"/>
    <col min="2" max="2" width="9.140625" style="537" customWidth="1"/>
    <col min="3" max="3" width="39.42578125" style="39" customWidth="1"/>
    <col min="4" max="4" width="10.28515625" style="39" customWidth="1"/>
    <col min="5" max="5" width="13.5703125" style="512" bestFit="1" customWidth="1"/>
    <col min="6" max="6" width="11.28515625" style="512" bestFit="1" customWidth="1"/>
    <col min="7" max="7" width="7.7109375" style="512" bestFit="1" customWidth="1"/>
    <col min="8" max="8" width="10.42578125" style="512" bestFit="1" customWidth="1"/>
    <col min="9" max="9" width="13" style="513" bestFit="1" customWidth="1"/>
    <col min="10" max="16384" width="9.140625" style="513"/>
  </cols>
  <sheetData>
    <row r="1" spans="1:14">
      <c r="A1" s="509" t="str">
        <f>+'Master IS (C)'!B1</f>
        <v>Yakima Waste Systems, Inc. G-98</v>
      </c>
      <c r="B1" s="510"/>
      <c r="C1" s="511"/>
    </row>
    <row r="2" spans="1:14">
      <c r="A2" s="509" t="s">
        <v>1014</v>
      </c>
      <c r="B2" s="510"/>
      <c r="C2" s="511"/>
      <c r="D2" s="513"/>
    </row>
    <row r="3" spans="1:14">
      <c r="A3" s="509" t="s">
        <v>1015</v>
      </c>
      <c r="B3" s="510"/>
      <c r="C3" s="509"/>
      <c r="D3" s="513"/>
    </row>
    <row r="4" spans="1:14">
      <c r="A4" s="509"/>
      <c r="B4" s="510"/>
      <c r="C4" s="509"/>
      <c r="D4" s="514"/>
      <c r="E4" s="515"/>
      <c r="F4" s="515"/>
      <c r="G4" s="515"/>
      <c r="H4" s="515"/>
    </row>
    <row r="5" spans="1:14" outlineLevel="1">
      <c r="A5" s="516"/>
      <c r="B5" s="517"/>
      <c r="C5" s="518"/>
      <c r="D5" s="519"/>
      <c r="E5" s="520"/>
      <c r="F5" s="520"/>
      <c r="G5" s="520"/>
      <c r="H5" s="520"/>
    </row>
    <row r="6" spans="1:14" outlineLevel="1">
      <c r="A6" s="516"/>
      <c r="B6" s="517"/>
      <c r="C6" s="518"/>
      <c r="D6" s="518"/>
      <c r="E6" s="520"/>
      <c r="F6" s="520"/>
      <c r="G6" s="520"/>
      <c r="H6" s="520"/>
    </row>
    <row r="7" spans="1:14" outlineLevel="1">
      <c r="A7" s="516"/>
      <c r="B7" s="517"/>
      <c r="C7" s="250"/>
      <c r="D7" s="68" t="s">
        <v>195</v>
      </c>
      <c r="E7" s="521"/>
      <c r="F7" s="521"/>
      <c r="G7" s="521"/>
      <c r="H7" s="521"/>
    </row>
    <row r="8" spans="1:14" outlineLevel="1">
      <c r="A8" s="516"/>
      <c r="B8" s="517"/>
      <c r="C8" s="86"/>
      <c r="D8" s="87"/>
      <c r="E8" s="522"/>
      <c r="F8" s="523" t="s">
        <v>594</v>
      </c>
      <c r="G8" s="523" t="s">
        <v>223</v>
      </c>
      <c r="H8" s="523" t="s">
        <v>595</v>
      </c>
    </row>
    <row r="9" spans="1:14" outlineLevel="1">
      <c r="A9" s="516"/>
      <c r="B9" s="517"/>
      <c r="C9" s="251" t="s">
        <v>183</v>
      </c>
      <c r="D9" s="66" t="s">
        <v>187</v>
      </c>
      <c r="E9" s="524"/>
      <c r="F9" s="525">
        <f>'Allocators (C)'!C86</f>
        <v>0.95273636851452415</v>
      </c>
      <c r="G9" s="525">
        <f>+'Allocators (C)'!C82</f>
        <v>5.2263207652131528E-3</v>
      </c>
      <c r="H9" s="525">
        <f>'Allocators (C)'!C87</f>
        <v>4.2037310720262705E-2</v>
      </c>
      <c r="I9" s="526">
        <f>+SUM(F9:H9)</f>
        <v>1</v>
      </c>
    </row>
    <row r="10" spans="1:14" outlineLevel="1">
      <c r="A10" s="516"/>
      <c r="B10" s="517"/>
      <c r="C10" s="252" t="s">
        <v>45</v>
      </c>
      <c r="D10" s="67" t="s">
        <v>485</v>
      </c>
      <c r="E10" s="527"/>
      <c r="F10" s="528">
        <f>F25</f>
        <v>0.96671301908328255</v>
      </c>
      <c r="G10" s="528">
        <f>+G25</f>
        <v>6.3494693344222902E-3</v>
      </c>
      <c r="H10" s="528">
        <f>H25</f>
        <v>2.6937511582295008E-2</v>
      </c>
      <c r="I10" s="526">
        <f>+SUM(F10:H10)</f>
        <v>0.99999999999999978</v>
      </c>
    </row>
    <row r="11" spans="1:14" outlineLevel="1">
      <c r="A11" s="516"/>
      <c r="B11" s="517"/>
      <c r="C11" s="251" t="s">
        <v>445</v>
      </c>
      <c r="D11" s="66" t="s">
        <v>486</v>
      </c>
      <c r="E11" s="524"/>
      <c r="F11" s="525">
        <f>'Allocators (C)'!C39+'Allocators (C)'!C40+'Allocators (C)'!C45</f>
        <v>0.85113329978157648</v>
      </c>
      <c r="G11" s="525">
        <f>+'Allocators (C)'!C44</f>
        <v>2.5428577081838686E-2</v>
      </c>
      <c r="H11" s="525">
        <f>'Allocators (C)'!C41+'Allocators (C)'!C43+'Allocators (C)'!C42</f>
        <v>0.12343812313658498</v>
      </c>
      <c r="I11" s="526">
        <f>+SUM(F11:H11)</f>
        <v>1</v>
      </c>
    </row>
    <row r="12" spans="1:14">
      <c r="A12" s="516"/>
      <c r="B12" s="517"/>
      <c r="C12" s="529" t="s">
        <v>205</v>
      </c>
      <c r="D12" s="39" t="s">
        <v>186</v>
      </c>
    </row>
    <row r="13" spans="1:14" ht="26.25" customHeight="1">
      <c r="A13" s="64" t="s">
        <v>441</v>
      </c>
      <c r="B13" s="530" t="s">
        <v>184</v>
      </c>
      <c r="C13" s="64" t="s">
        <v>185</v>
      </c>
      <c r="D13" s="64" t="s">
        <v>436</v>
      </c>
      <c r="E13" s="523" t="s">
        <v>1417</v>
      </c>
      <c r="F13" s="523" t="s">
        <v>594</v>
      </c>
      <c r="G13" s="523" t="s">
        <v>223</v>
      </c>
      <c r="H13" s="523" t="s">
        <v>595</v>
      </c>
      <c r="N13" s="620"/>
    </row>
    <row r="14" spans="1:14" ht="13.5" thickBot="1">
      <c r="A14" s="65"/>
      <c r="B14" s="531" t="s">
        <v>45</v>
      </c>
      <c r="C14" s="65"/>
      <c r="D14" s="65"/>
      <c r="E14" s="532"/>
      <c r="F14" s="532"/>
      <c r="G14" s="532"/>
      <c r="H14" s="532"/>
      <c r="I14" s="533" t="s">
        <v>179</v>
      </c>
    </row>
    <row r="15" spans="1:14" ht="13.5" thickTop="1">
      <c r="B15" s="1233">
        <v>31000</v>
      </c>
      <c r="C15" s="1234" t="s">
        <v>233</v>
      </c>
      <c r="D15" s="1234" t="s">
        <v>186</v>
      </c>
      <c r="E15" s="1235">
        <f>+'Master IS (C)'!L24</f>
        <v>2262552.1500000008</v>
      </c>
      <c r="F15" s="1235">
        <f>E15</f>
        <v>2262552.1500000008</v>
      </c>
      <c r="G15" s="1235"/>
      <c r="H15" s="1236"/>
      <c r="I15" s="534">
        <f>+E15-SUM(F15:H15)</f>
        <v>0</v>
      </c>
    </row>
    <row r="16" spans="1:14">
      <c r="B16" s="1237">
        <v>31100</v>
      </c>
      <c r="C16" s="1238" t="s">
        <v>615</v>
      </c>
      <c r="D16" s="1238" t="s">
        <v>186</v>
      </c>
      <c r="E16" s="1239">
        <f>+'Master IS (C)'!L25</f>
        <v>367488.70000000007</v>
      </c>
      <c r="F16" s="1239"/>
      <c r="G16" s="1239"/>
      <c r="H16" s="1240">
        <f>+E16</f>
        <v>367488.70000000007</v>
      </c>
      <c r="I16" s="534">
        <f t="shared" ref="I16:I24" si="0">+E16-SUM(F16:H16)</f>
        <v>0</v>
      </c>
    </row>
    <row r="17" spans="1:15">
      <c r="B17" s="1237">
        <v>31110</v>
      </c>
      <c r="C17" s="1238" t="s">
        <v>616</v>
      </c>
      <c r="D17" s="1238" t="s">
        <v>186</v>
      </c>
      <c r="E17" s="1239">
        <f>+'Master IS (C)'!L26</f>
        <v>86621.15</v>
      </c>
      <c r="F17" s="1239"/>
      <c r="G17" s="1239">
        <f>+E17</f>
        <v>86621.15</v>
      </c>
      <c r="H17" s="1240"/>
      <c r="I17" s="534">
        <f t="shared" si="0"/>
        <v>0</v>
      </c>
    </row>
    <row r="18" spans="1:15">
      <c r="B18" s="1237">
        <v>32000</v>
      </c>
      <c r="C18" s="1238" t="s">
        <v>467</v>
      </c>
      <c r="D18" s="1238" t="s">
        <v>186</v>
      </c>
      <c r="E18" s="1239">
        <f>+'Master IS (C)'!L27</f>
        <v>6840498.089999998</v>
      </c>
      <c r="F18" s="1239">
        <f>E18</f>
        <v>6840498.089999998</v>
      </c>
      <c r="G18" s="1239"/>
      <c r="H18" s="1240"/>
      <c r="I18" s="534">
        <f t="shared" si="0"/>
        <v>0</v>
      </c>
    </row>
    <row r="19" spans="1:15">
      <c r="B19" s="1237">
        <v>33000</v>
      </c>
      <c r="C19" s="1238" t="s">
        <v>617</v>
      </c>
      <c r="D19" s="1238" t="s">
        <v>186</v>
      </c>
      <c r="E19" s="1239">
        <f>+'Master IS (C)'!L28</f>
        <v>2496027.3799999994</v>
      </c>
      <c r="F19" s="1239">
        <f>+E19</f>
        <v>2496027.3799999994</v>
      </c>
      <c r="G19" s="1239"/>
      <c r="H19" s="1240"/>
      <c r="I19" s="534">
        <f t="shared" si="0"/>
        <v>0</v>
      </c>
    </row>
    <row r="20" spans="1:15">
      <c r="B20" s="1237">
        <v>33104</v>
      </c>
      <c r="C20" s="1238" t="s">
        <v>618</v>
      </c>
      <c r="D20" s="1238" t="s">
        <v>186</v>
      </c>
      <c r="E20" s="1239">
        <f>+'Master IS (C)'!L29</f>
        <v>0</v>
      </c>
      <c r="F20" s="1239"/>
      <c r="G20" s="1239"/>
      <c r="H20" s="1240">
        <f>+E20</f>
        <v>0</v>
      </c>
      <c r="I20" s="534">
        <f t="shared" si="0"/>
        <v>0</v>
      </c>
    </row>
    <row r="21" spans="1:15">
      <c r="B21" s="1237">
        <v>33100</v>
      </c>
      <c r="C21" s="1238" t="s">
        <v>234</v>
      </c>
      <c r="D21" s="1238" t="s">
        <v>186</v>
      </c>
      <c r="E21" s="1239">
        <f>+'Master IS (C)'!L30</f>
        <v>1589078.5899999999</v>
      </c>
      <c r="F21" s="1239">
        <f>E21</f>
        <v>1589078.5899999999</v>
      </c>
      <c r="G21" s="1239"/>
      <c r="H21" s="1240"/>
      <c r="I21" s="534">
        <f t="shared" si="0"/>
        <v>0</v>
      </c>
    </row>
    <row r="22" spans="1:15">
      <c r="B22" s="1237">
        <v>34000</v>
      </c>
      <c r="C22" s="1238" t="s">
        <v>225</v>
      </c>
      <c r="D22" s="1238" t="s">
        <v>186</v>
      </c>
      <c r="E22" s="1239">
        <f>+'Master IS (C)'!L31</f>
        <v>0</v>
      </c>
      <c r="F22" s="1239"/>
      <c r="G22" s="1239"/>
      <c r="H22" s="1240">
        <f>+E22</f>
        <v>0</v>
      </c>
      <c r="I22" s="534">
        <f t="shared" si="0"/>
        <v>0</v>
      </c>
    </row>
    <row r="23" spans="1:15">
      <c r="B23" s="1237"/>
      <c r="C23" s="1238"/>
      <c r="D23" s="1238"/>
      <c r="E23" s="1239"/>
      <c r="F23" s="1239"/>
      <c r="G23" s="1239"/>
      <c r="H23" s="1241"/>
      <c r="I23" s="534">
        <f t="shared" si="0"/>
        <v>0</v>
      </c>
    </row>
    <row r="24" spans="1:15">
      <c r="A24" s="254"/>
      <c r="B24" s="1242"/>
      <c r="C24" s="1243" t="s">
        <v>531</v>
      </c>
      <c r="D24" s="1243"/>
      <c r="E24" s="1244">
        <f>SUM(E15:E23)</f>
        <v>13642266.059999999</v>
      </c>
      <c r="F24" s="1244">
        <f>SUM(F15:F23)</f>
        <v>13188156.209999997</v>
      </c>
      <c r="G24" s="1244">
        <f>SUM(G15:G23)</f>
        <v>86621.15</v>
      </c>
      <c r="H24" s="1245">
        <f>SUM(H15:H23)</f>
        <v>367488.70000000007</v>
      </c>
      <c r="I24" s="534">
        <f t="shared" si="0"/>
        <v>0</v>
      </c>
      <c r="N24" s="57"/>
      <c r="O24" s="234"/>
    </row>
    <row r="25" spans="1:15">
      <c r="B25" s="1237"/>
      <c r="C25" s="1246"/>
      <c r="D25" s="1246"/>
      <c r="E25" s="1239"/>
      <c r="F25" s="1247">
        <f>F24/$E$24</f>
        <v>0.96671301908328255</v>
      </c>
      <c r="G25" s="1247">
        <f>G24/$E$24</f>
        <v>6.3494693344222902E-3</v>
      </c>
      <c r="H25" s="1248">
        <f>H24/E24</f>
        <v>2.6937511582295008E-2</v>
      </c>
      <c r="I25" s="534"/>
      <c r="N25" s="57"/>
      <c r="O25" s="234"/>
    </row>
    <row r="26" spans="1:15">
      <c r="B26" s="1237"/>
      <c r="C26" s="1246"/>
      <c r="D26" s="1246"/>
      <c r="E26" s="1249"/>
      <c r="F26" s="1249"/>
      <c r="G26" s="1249"/>
      <c r="H26" s="1250"/>
      <c r="I26" s="534">
        <f t="shared" ref="I26:I41" si="1">+E26-SUM(F26:H26)</f>
        <v>0</v>
      </c>
    </row>
    <row r="27" spans="1:15">
      <c r="B27" s="1251">
        <v>35510</v>
      </c>
      <c r="C27" s="1238" t="s">
        <v>36</v>
      </c>
      <c r="D27" s="1238" t="s">
        <v>186</v>
      </c>
      <c r="E27" s="1249">
        <f>VLOOKUP(B27,'Master IS (C)'!$B$34:L$330,11,FALSE)</f>
        <v>0</v>
      </c>
      <c r="F27" s="1249">
        <v>0</v>
      </c>
      <c r="G27" s="1249">
        <v>0</v>
      </c>
      <c r="H27" s="1252">
        <f>+E27</f>
        <v>0</v>
      </c>
      <c r="I27" s="534">
        <f t="shared" si="1"/>
        <v>0</v>
      </c>
    </row>
    <row r="28" spans="1:15">
      <c r="B28" s="1251">
        <v>35517</v>
      </c>
      <c r="C28" s="1238" t="s">
        <v>602</v>
      </c>
      <c r="D28" s="1238" t="s">
        <v>186</v>
      </c>
      <c r="E28" s="1249">
        <f>VLOOKUP(B28,'Master IS (C)'!$B$34:L$330,11,FALSE)</f>
        <v>0</v>
      </c>
      <c r="F28" s="1249">
        <v>0</v>
      </c>
      <c r="G28" s="1249">
        <v>0</v>
      </c>
      <c r="H28" s="1252">
        <f t="shared" ref="H28" si="2">+E28</f>
        <v>0</v>
      </c>
      <c r="I28" s="534">
        <f t="shared" si="1"/>
        <v>0</v>
      </c>
    </row>
    <row r="29" spans="1:15">
      <c r="B29" s="1251">
        <v>35518</v>
      </c>
      <c r="C29" s="1238" t="s">
        <v>1116</v>
      </c>
      <c r="D29" s="1238" t="s">
        <v>186</v>
      </c>
      <c r="E29" s="1249">
        <f>VLOOKUP(B29,'Master IS (C)'!$B$34:L$330,11,FALSE)</f>
        <v>0</v>
      </c>
      <c r="F29" s="1249">
        <v>0</v>
      </c>
      <c r="G29" s="1249">
        <v>0</v>
      </c>
      <c r="H29" s="1252">
        <f>+E29</f>
        <v>0</v>
      </c>
      <c r="I29" s="534">
        <f t="shared" si="1"/>
        <v>0</v>
      </c>
    </row>
    <row r="30" spans="1:15">
      <c r="B30" s="1251">
        <v>35519</v>
      </c>
      <c r="C30" s="1238" t="s">
        <v>2016</v>
      </c>
      <c r="D30" s="1238" t="s">
        <v>186</v>
      </c>
      <c r="E30" s="1239">
        <f>VLOOKUP(B30,'Master IS (C)'!$B$34:L$330,11,FALSE)</f>
        <v>20256.521019940388</v>
      </c>
      <c r="F30" s="1239">
        <v>0</v>
      </c>
      <c r="G30" s="1239">
        <v>0</v>
      </c>
      <c r="H30" s="1240">
        <f>+E30</f>
        <v>20256.521019940388</v>
      </c>
      <c r="I30" s="534">
        <f t="shared" ref="I30" si="3">+E30-SUM(F30:H30)</f>
        <v>0</v>
      </c>
    </row>
    <row r="31" spans="1:15">
      <c r="B31" s="1251">
        <v>35571</v>
      </c>
      <c r="C31" s="1238" t="s">
        <v>1117</v>
      </c>
      <c r="D31" s="1238" t="s">
        <v>186</v>
      </c>
      <c r="E31" s="1249">
        <f>VLOOKUP(B31,'Master IS (C)'!$B$34:L$330,11,FALSE)</f>
        <v>0</v>
      </c>
      <c r="F31" s="1249">
        <v>0</v>
      </c>
      <c r="G31" s="1249">
        <v>0</v>
      </c>
      <c r="H31" s="1252">
        <f>+E31</f>
        <v>0</v>
      </c>
      <c r="I31" s="534">
        <f t="shared" si="1"/>
        <v>0</v>
      </c>
    </row>
    <row r="32" spans="1:15">
      <c r="B32" s="1237"/>
      <c r="C32" s="1238"/>
      <c r="D32" s="1238"/>
      <c r="E32" s="1239"/>
      <c r="F32" s="1239"/>
      <c r="G32" s="1239"/>
      <c r="H32" s="1240"/>
      <c r="I32" s="534">
        <f t="shared" si="1"/>
        <v>0</v>
      </c>
    </row>
    <row r="33" spans="1:9">
      <c r="B33" s="1237"/>
      <c r="C33" s="1238"/>
      <c r="D33" s="1238"/>
      <c r="E33" s="1239"/>
      <c r="F33" s="1239"/>
      <c r="G33" s="1239"/>
      <c r="H33" s="1241"/>
      <c r="I33" s="534">
        <f t="shared" si="1"/>
        <v>0</v>
      </c>
    </row>
    <row r="34" spans="1:9">
      <c r="A34" s="56"/>
      <c r="B34" s="1253"/>
      <c r="C34" s="1254" t="s">
        <v>469</v>
      </c>
      <c r="D34" s="1254"/>
      <c r="E34" s="1255">
        <f>SUM(E27:E33)</f>
        <v>20256.521019940388</v>
      </c>
      <c r="F34" s="1255">
        <f>SUM(F27:F33)</f>
        <v>0</v>
      </c>
      <c r="G34" s="1255">
        <f>SUM(G27:G33)</f>
        <v>0</v>
      </c>
      <c r="H34" s="1256">
        <f>SUM(H27:H33)</f>
        <v>20256.521019940388</v>
      </c>
      <c r="I34" s="534">
        <f t="shared" si="1"/>
        <v>0</v>
      </c>
    </row>
    <row r="35" spans="1:9">
      <c r="B35" s="1237"/>
      <c r="C35" s="1246"/>
      <c r="D35" s="1246"/>
      <c r="E35" s="1239"/>
      <c r="F35" s="1239"/>
      <c r="G35" s="1239"/>
      <c r="H35" s="1257"/>
      <c r="I35" s="534">
        <f t="shared" si="1"/>
        <v>0</v>
      </c>
    </row>
    <row r="36" spans="1:9">
      <c r="B36" s="1237">
        <v>38000</v>
      </c>
      <c r="C36" s="1238" t="s">
        <v>43</v>
      </c>
      <c r="D36" s="1238" t="s">
        <v>485</v>
      </c>
      <c r="E36" s="1239">
        <f>VLOOKUP(B36,'Master IS (C)'!$B$34:L$330,11,FALSE)</f>
        <v>28813.649999999998</v>
      </c>
      <c r="F36" s="1223">
        <f>IF(($E36=0),0,IF(($D36="ACT"),"0",(VLOOKUP($D36,$D$9:$H$12,3,FALSE)*$E36)))</f>
        <v>27854.530582309024</v>
      </c>
      <c r="G36" s="1223">
        <f>IF(($E36=0),0,IF(($D36="ACT"),"0",(VLOOKUP($D36,$D$9:$H$12,4,FALSE)*$E36)))</f>
        <v>182.95138708777679</v>
      </c>
      <c r="H36" s="1224">
        <f>IF(($E36=0),0,IF(($D36="ACT"),"0",(VLOOKUP($D36,$D$9:$H$12,5,FALSE)*$E36)))</f>
        <v>776.16803060319455</v>
      </c>
      <c r="I36" s="534">
        <f t="shared" si="1"/>
        <v>0</v>
      </c>
    </row>
    <row r="37" spans="1:9">
      <c r="A37" s="253"/>
      <c r="B37" s="1237">
        <v>38001</v>
      </c>
      <c r="C37" s="1238" t="s">
        <v>44</v>
      </c>
      <c r="D37" s="1238" t="s">
        <v>485</v>
      </c>
      <c r="E37" s="1239">
        <f>VLOOKUP(B37,'Master IS (C)'!$B$34:L$330,11,FALSE)</f>
        <v>0</v>
      </c>
      <c r="F37" s="1223">
        <f>IF(($E37=0),0,IF(($D37="ACT"),"0",(VLOOKUP($D37,$D$9:$H$12,3,FALSE)*$E37)))</f>
        <v>0</v>
      </c>
      <c r="G37" s="1223">
        <f>IF(($E37=0),0,IF(($D37="ACT"),"0",(VLOOKUP($D37,$D$9:$H$12,4,FALSE)*$E37)))</f>
        <v>0</v>
      </c>
      <c r="H37" s="1224">
        <f>IF(($E37=0),0,IF(($D37="ACT"),"0",(VLOOKUP($D37,$D$9:$H$12,5,FALSE)*$E37)))</f>
        <v>0</v>
      </c>
      <c r="I37" s="534">
        <f t="shared" si="1"/>
        <v>0</v>
      </c>
    </row>
    <row r="38" spans="1:9">
      <c r="B38" s="1237"/>
      <c r="C38" s="1238"/>
      <c r="D38" s="1238"/>
      <c r="E38" s="1239"/>
      <c r="F38" s="1239"/>
      <c r="G38" s="1223"/>
      <c r="H38" s="1241"/>
      <c r="I38" s="534">
        <f t="shared" si="1"/>
        <v>0</v>
      </c>
    </row>
    <row r="39" spans="1:9">
      <c r="A39" s="56"/>
      <c r="B39" s="1253"/>
      <c r="C39" s="1254" t="s">
        <v>203</v>
      </c>
      <c r="D39" s="1254"/>
      <c r="E39" s="1255">
        <f>SUM(E36:E38)</f>
        <v>28813.649999999998</v>
      </c>
      <c r="F39" s="1255">
        <f>SUM(F36:F38)</f>
        <v>27854.530582309024</v>
      </c>
      <c r="G39" s="1255">
        <f>SUM(G36:G38)</f>
        <v>182.95138708777679</v>
      </c>
      <c r="H39" s="1256">
        <f>SUM(H36:H38)</f>
        <v>776.16803060319455</v>
      </c>
      <c r="I39" s="534">
        <f t="shared" si="1"/>
        <v>0</v>
      </c>
    </row>
    <row r="40" spans="1:9">
      <c r="B40" s="1237"/>
      <c r="C40" s="1246"/>
      <c r="D40" s="1246"/>
      <c r="E40" s="1239"/>
      <c r="F40" s="1239"/>
      <c r="G40" s="1239"/>
      <c r="H40" s="1240"/>
      <c r="I40" s="534">
        <f t="shared" si="1"/>
        <v>0</v>
      </c>
    </row>
    <row r="41" spans="1:9" ht="13.5" thickBot="1">
      <c r="B41" s="1237"/>
      <c r="C41" s="1258" t="s">
        <v>446</v>
      </c>
      <c r="D41" s="1258"/>
      <c r="E41" s="1259">
        <f>E39+E34+E24</f>
        <v>13691336.231019938</v>
      </c>
      <c r="F41" s="1259">
        <f>F39+F34+F24</f>
        <v>13216010.740582306</v>
      </c>
      <c r="G41" s="1259">
        <f>G39+G34+G24</f>
        <v>86804.101387087765</v>
      </c>
      <c r="H41" s="1260">
        <f>H39+H34+H24</f>
        <v>388521.38905054366</v>
      </c>
      <c r="I41" s="534">
        <f t="shared" si="1"/>
        <v>0</v>
      </c>
    </row>
    <row r="42" spans="1:9">
      <c r="B42" s="1237"/>
      <c r="C42" s="1246"/>
      <c r="D42" s="1246"/>
      <c r="E42" s="1239">
        <f>+E41-'Master IS (C)'!L50</f>
        <v>0</v>
      </c>
      <c r="F42" s="1239"/>
      <c r="G42" s="1239"/>
      <c r="H42" s="1240"/>
    </row>
    <row r="43" spans="1:9">
      <c r="B43" s="1237"/>
      <c r="C43" s="1246"/>
      <c r="D43" s="1225"/>
      <c r="E43" s="1239"/>
      <c r="F43" s="1239"/>
      <c r="G43" s="1239"/>
      <c r="H43" s="1240"/>
    </row>
    <row r="44" spans="1:9">
      <c r="A44" s="65"/>
      <c r="B44" s="1226" t="s">
        <v>596</v>
      </c>
      <c r="C44" s="1261"/>
      <c r="D44" s="1262"/>
      <c r="E44" s="1263"/>
      <c r="F44" s="1263"/>
      <c r="G44" s="1263"/>
      <c r="H44" s="1264"/>
    </row>
    <row r="45" spans="1:9">
      <c r="B45" s="1227"/>
      <c r="C45" s="1225"/>
      <c r="D45" s="1225"/>
      <c r="E45" s="1239"/>
      <c r="F45" s="1239"/>
      <c r="G45" s="1239"/>
      <c r="H45" s="1240"/>
    </row>
    <row r="46" spans="1:9">
      <c r="A46" s="58">
        <v>4115</v>
      </c>
      <c r="B46" s="1265">
        <v>52010</v>
      </c>
      <c r="C46" s="1266" t="s">
        <v>62</v>
      </c>
      <c r="D46" s="1238" t="s">
        <v>187</v>
      </c>
      <c r="E46" s="1239">
        <f>VLOOKUP(B46,'Master IS (C)'!$B$34:L$330,11,FALSE)</f>
        <v>79852.333847846501</v>
      </c>
      <c r="F46" s="1223">
        <f t="shared" ref="F46:F52" si="4">IF(($E46=0),0,IF(($D46="ACT"),"0",(VLOOKUP($D46,$D$9:$H$12,3,FALSE)*$E46)))</f>
        <v>76078.222567606688</v>
      </c>
      <c r="G46" s="1223">
        <f t="shared" ref="G46:G59" si="5">IF(($E46=0),0,IF(($D46="ACT"),"0",(VLOOKUP($D46,$D$9:$H$12,4,FALSE)*$E46)))</f>
        <v>417.33391053973327</v>
      </c>
      <c r="H46" s="1224">
        <f t="shared" ref="H46:H59" si="6">IF(($E46=0),0,IF(($D46="ACT"),"0",(VLOOKUP($D46,$D$9:$H$12,5,FALSE)*$E46)))</f>
        <v>3356.7773697000744</v>
      </c>
      <c r="I46" s="534">
        <f t="shared" ref="I46:I59" si="7">+E46-SUM(F46:H46)</f>
        <v>0</v>
      </c>
    </row>
    <row r="47" spans="1:9">
      <c r="A47" s="58">
        <v>4115</v>
      </c>
      <c r="B47" s="1265">
        <v>52020</v>
      </c>
      <c r="C47" s="1267" t="s">
        <v>235</v>
      </c>
      <c r="D47" s="1238" t="s">
        <v>187</v>
      </c>
      <c r="E47" s="1239">
        <f>VLOOKUP(B47,'Master IS (C)'!$B$34:L$330,11,FALSE)</f>
        <v>368220.37288938597</v>
      </c>
      <c r="F47" s="1223">
        <f t="shared" si="4"/>
        <v>350816.9408796975</v>
      </c>
      <c r="G47" s="1223">
        <f t="shared" si="5"/>
        <v>1924.4377810063281</v>
      </c>
      <c r="H47" s="1224">
        <f t="shared" si="6"/>
        <v>15478.994228682115</v>
      </c>
      <c r="I47" s="534">
        <f t="shared" si="7"/>
        <v>0</v>
      </c>
    </row>
    <row r="48" spans="1:9">
      <c r="A48" s="58">
        <v>4115</v>
      </c>
      <c r="B48" s="1265">
        <v>52025</v>
      </c>
      <c r="C48" s="1266" t="s">
        <v>236</v>
      </c>
      <c r="D48" s="1238" t="s">
        <v>187</v>
      </c>
      <c r="E48" s="1239">
        <f>VLOOKUP(B48,'Master IS (C)'!$B$34:L$330,11,FALSE)</f>
        <v>35588.416529228773</v>
      </c>
      <c r="F48" s="1223">
        <f t="shared" si="4"/>
        <v>33906.378725239687</v>
      </c>
      <c r="G48" s="1223">
        <f t="shared" si="5"/>
        <v>185.99648030776333</v>
      </c>
      <c r="H48" s="1224">
        <f t="shared" si="6"/>
        <v>1496.0413236813231</v>
      </c>
      <c r="I48" s="534">
        <f t="shared" si="7"/>
        <v>0</v>
      </c>
    </row>
    <row r="49" spans="1:9">
      <c r="A49" s="58">
        <v>4115</v>
      </c>
      <c r="B49" s="1265">
        <v>52035</v>
      </c>
      <c r="C49" s="1266" t="s">
        <v>237</v>
      </c>
      <c r="D49" s="1238" t="s">
        <v>187</v>
      </c>
      <c r="E49" s="1239">
        <f>VLOOKUP(B49,'Master IS (C)'!$B$34:L$330,11,FALSE)</f>
        <v>8766.1561223999579</v>
      </c>
      <c r="F49" s="1223">
        <f t="shared" si="4"/>
        <v>8351.835749886699</v>
      </c>
      <c r="G49" s="1223">
        <f t="shared" si="5"/>
        <v>45.814743773599311</v>
      </c>
      <c r="H49" s="1224">
        <f t="shared" si="6"/>
        <v>368.50562873966027</v>
      </c>
      <c r="I49" s="534">
        <f t="shared" si="7"/>
        <v>0</v>
      </c>
    </row>
    <row r="50" spans="1:9">
      <c r="A50" s="58">
        <v>4115</v>
      </c>
      <c r="B50" s="1265">
        <v>52036</v>
      </c>
      <c r="C50" s="1266" t="s">
        <v>66</v>
      </c>
      <c r="D50" s="1238" t="s">
        <v>187</v>
      </c>
      <c r="E50" s="1239">
        <f>VLOOKUP(B50,'Master IS (C)'!$B$34:L$330,11,FALSE)</f>
        <v>8687.7265699412746</v>
      </c>
      <c r="F50" s="1223">
        <f t="shared" si="4"/>
        <v>8277.1130628929932</v>
      </c>
      <c r="G50" s="1223">
        <f t="shared" si="5"/>
        <v>45.404845774978121</v>
      </c>
      <c r="H50" s="1224">
        <f t="shared" si="6"/>
        <v>365.20866127330351</v>
      </c>
      <c r="I50" s="534">
        <f t="shared" si="7"/>
        <v>0</v>
      </c>
    </row>
    <row r="51" spans="1:9">
      <c r="A51" s="58">
        <v>4115</v>
      </c>
      <c r="B51" s="1229">
        <v>52065</v>
      </c>
      <c r="C51" s="1266" t="s">
        <v>70</v>
      </c>
      <c r="D51" s="1238" t="s">
        <v>187</v>
      </c>
      <c r="E51" s="1239">
        <f>VLOOKUP(B51,'Master IS (C)'!$B$34:L$330,11,FALSE)</f>
        <v>13799.57993309121</v>
      </c>
      <c r="F51" s="1223">
        <f t="shared" si="4"/>
        <v>13147.361672479219</v>
      </c>
      <c r="G51" s="1223">
        <f t="shared" si="5"/>
        <v>72.121031155533331</v>
      </c>
      <c r="H51" s="1224">
        <f t="shared" si="6"/>
        <v>580.09722945645728</v>
      </c>
      <c r="I51" s="534">
        <f t="shared" si="7"/>
        <v>0</v>
      </c>
    </row>
    <row r="52" spans="1:9">
      <c r="A52" s="58">
        <v>4115</v>
      </c>
      <c r="B52" s="1229">
        <v>52070</v>
      </c>
      <c r="C52" s="1266" t="s">
        <v>71</v>
      </c>
      <c r="D52" s="1238" t="s">
        <v>187</v>
      </c>
      <c r="E52" s="1239">
        <f>VLOOKUP(B52,'Master IS (C)'!$B$34:L$330,11,FALSE)</f>
        <v>16853.082054188904</v>
      </c>
      <c r="F52" s="1223">
        <f t="shared" si="4"/>
        <v>16056.544194585233</v>
      </c>
      <c r="G52" s="1223">
        <f t="shared" si="5"/>
        <v>88.079612697648614</v>
      </c>
      <c r="H52" s="1224">
        <f t="shared" si="6"/>
        <v>708.45824690602228</v>
      </c>
      <c r="I52" s="534">
        <f t="shared" si="7"/>
        <v>0</v>
      </c>
    </row>
    <row r="53" spans="1:9">
      <c r="A53" s="58">
        <v>4115</v>
      </c>
      <c r="B53" s="1229">
        <v>55020</v>
      </c>
      <c r="C53" s="1266" t="s">
        <v>63</v>
      </c>
      <c r="D53" s="1238" t="s">
        <v>186</v>
      </c>
      <c r="E53" s="1239">
        <f>VLOOKUP(B53,'Master IS (C)'!$B$34:L$330,11,FALSE)</f>
        <v>116886.01492856501</v>
      </c>
      <c r="F53" s="1223">
        <f>+E53</f>
        <v>116886.01492856501</v>
      </c>
      <c r="G53" s="1223" t="str">
        <f t="shared" si="5"/>
        <v>0</v>
      </c>
      <c r="H53" s="1224" t="str">
        <f t="shared" si="6"/>
        <v>0</v>
      </c>
      <c r="I53" s="534">
        <f t="shared" si="7"/>
        <v>0</v>
      </c>
    </row>
    <row r="54" spans="1:9">
      <c r="A54" s="58">
        <v>4115</v>
      </c>
      <c r="B54" s="1229">
        <v>55025</v>
      </c>
      <c r="C54" s="1266" t="s">
        <v>64</v>
      </c>
      <c r="D54" s="1238" t="s">
        <v>186</v>
      </c>
      <c r="E54" s="1239">
        <f>VLOOKUP(B54,'Master IS (C)'!$B$34:L$330,11,FALSE)</f>
        <v>2737.0416625519083</v>
      </c>
      <c r="F54" s="1223">
        <f t="shared" ref="F54:F59" si="8">+E54</f>
        <v>2737.0416625519083</v>
      </c>
      <c r="G54" s="1223" t="str">
        <f t="shared" si="5"/>
        <v>0</v>
      </c>
      <c r="H54" s="1224" t="str">
        <f t="shared" si="6"/>
        <v>0</v>
      </c>
      <c r="I54" s="534">
        <f t="shared" si="7"/>
        <v>0</v>
      </c>
    </row>
    <row r="55" spans="1:9">
      <c r="A55" s="58">
        <v>4115</v>
      </c>
      <c r="B55" s="1229">
        <v>55035</v>
      </c>
      <c r="C55" s="1266" t="s">
        <v>65</v>
      </c>
      <c r="D55" s="1238" t="s">
        <v>186</v>
      </c>
      <c r="E55" s="1239">
        <f>VLOOKUP(B55,'Master IS (C)'!$B$34:L$330,11,FALSE)</f>
        <v>1800.0709579324366</v>
      </c>
      <c r="F55" s="1223">
        <f t="shared" ref="F55" si="9">+E55</f>
        <v>1800.0709579324366</v>
      </c>
      <c r="G55" s="1223" t="str">
        <f t="shared" si="5"/>
        <v>0</v>
      </c>
      <c r="H55" s="1224" t="str">
        <f t="shared" si="6"/>
        <v>0</v>
      </c>
      <c r="I55" s="534">
        <f t="shared" ref="I55" si="10">+E55-SUM(F55:H55)</f>
        <v>0</v>
      </c>
    </row>
    <row r="56" spans="1:9">
      <c r="A56" s="58">
        <v>4115</v>
      </c>
      <c r="B56" s="1229">
        <v>55036</v>
      </c>
      <c r="C56" s="1266" t="s">
        <v>66</v>
      </c>
      <c r="D56" s="1238" t="s">
        <v>186</v>
      </c>
      <c r="E56" s="1239">
        <f>VLOOKUP(B56,'Master IS (C)'!$B$34:L$330,11,FALSE)</f>
        <v>389.59882614151553</v>
      </c>
      <c r="F56" s="1223">
        <f t="shared" si="8"/>
        <v>389.59882614151553</v>
      </c>
      <c r="G56" s="1223" t="str">
        <f t="shared" si="5"/>
        <v>0</v>
      </c>
      <c r="H56" s="1224" t="str">
        <f t="shared" si="6"/>
        <v>0</v>
      </c>
      <c r="I56" s="534">
        <f t="shared" si="7"/>
        <v>0</v>
      </c>
    </row>
    <row r="57" spans="1:9">
      <c r="A57" s="58">
        <v>4115</v>
      </c>
      <c r="B57" s="1229">
        <v>55045</v>
      </c>
      <c r="C57" s="1266" t="s">
        <v>67</v>
      </c>
      <c r="D57" s="1238" t="s">
        <v>186</v>
      </c>
      <c r="E57" s="1239">
        <f>VLOOKUP(B57,'Master IS (C)'!$B$34:L$330,11,FALSE)</f>
        <v>5159.4850252739916</v>
      </c>
      <c r="F57" s="1223">
        <f t="shared" ref="F57" si="11">+E57</f>
        <v>5159.4850252739916</v>
      </c>
      <c r="G57" s="1223" t="str">
        <f t="shared" si="5"/>
        <v>0</v>
      </c>
      <c r="H57" s="1224" t="str">
        <f t="shared" si="6"/>
        <v>0</v>
      </c>
      <c r="I57" s="534">
        <f t="shared" ref="I57" si="12">+E57-SUM(F57:H57)</f>
        <v>0</v>
      </c>
    </row>
    <row r="58" spans="1:9">
      <c r="A58" s="58">
        <v>4115</v>
      </c>
      <c r="B58" s="1229">
        <v>55065</v>
      </c>
      <c r="C58" s="1266" t="s">
        <v>70</v>
      </c>
      <c r="D58" s="1238" t="s">
        <v>186</v>
      </c>
      <c r="E58" s="1239">
        <f>VLOOKUP(B58,'Master IS (C)'!$B$34:L$330,11,FALSE)</f>
        <v>3662.2522963109982</v>
      </c>
      <c r="F58" s="1223">
        <f t="shared" si="8"/>
        <v>3662.2522963109982</v>
      </c>
      <c r="G58" s="1223" t="str">
        <f t="shared" si="5"/>
        <v>0</v>
      </c>
      <c r="H58" s="1224" t="str">
        <f t="shared" si="6"/>
        <v>0</v>
      </c>
      <c r="I58" s="534">
        <f t="shared" si="7"/>
        <v>0</v>
      </c>
    </row>
    <row r="59" spans="1:9">
      <c r="A59" s="58">
        <v>4115</v>
      </c>
      <c r="B59" s="1229">
        <v>55070</v>
      </c>
      <c r="C59" s="1266" t="s">
        <v>71</v>
      </c>
      <c r="D59" s="1238" t="s">
        <v>186</v>
      </c>
      <c r="E59" s="1239">
        <f>VLOOKUP(B59,'Master IS (C)'!$B$34:L$330,11,FALSE)</f>
        <v>1649.5158040161932</v>
      </c>
      <c r="F59" s="1223">
        <f t="shared" si="8"/>
        <v>1649.5158040161932</v>
      </c>
      <c r="G59" s="1223" t="str">
        <f t="shared" si="5"/>
        <v>0</v>
      </c>
      <c r="H59" s="1224" t="str">
        <f t="shared" si="6"/>
        <v>0</v>
      </c>
      <c r="I59" s="534">
        <f t="shared" si="7"/>
        <v>0</v>
      </c>
    </row>
    <row r="60" spans="1:9">
      <c r="B60" s="1229"/>
      <c r="C60" s="1266"/>
      <c r="D60" s="1238"/>
      <c r="E60" s="1239"/>
      <c r="F60" s="1223"/>
      <c r="G60" s="1223"/>
      <c r="H60" s="1224"/>
      <c r="I60" s="534"/>
    </row>
    <row r="61" spans="1:9">
      <c r="A61" s="535"/>
      <c r="B61" s="1268"/>
      <c r="C61" s="1269" t="s">
        <v>443</v>
      </c>
      <c r="D61" s="1270"/>
      <c r="E61" s="1255">
        <f>SUM(E46:E60)</f>
        <v>664051.64744687453</v>
      </c>
      <c r="F61" s="1271">
        <f>SUM(F46:F60)</f>
        <v>638918.37635317992</v>
      </c>
      <c r="G61" s="1271">
        <f>SUM(G46:G60)</f>
        <v>2779.1884052555843</v>
      </c>
      <c r="H61" s="1272">
        <f>SUM(H46:H60)</f>
        <v>22354.082688438957</v>
      </c>
      <c r="I61" s="534">
        <f t="shared" ref="I61:I123" si="13">+E61-SUM(F61:H61)</f>
        <v>0</v>
      </c>
    </row>
    <row r="62" spans="1:9">
      <c r="A62" s="513"/>
      <c r="B62" s="1229"/>
      <c r="C62" s="1266"/>
      <c r="D62" s="1238"/>
      <c r="E62" s="1239"/>
      <c r="F62" s="1223"/>
      <c r="G62" s="1223"/>
      <c r="H62" s="1224"/>
      <c r="I62" s="534">
        <f t="shared" si="13"/>
        <v>0</v>
      </c>
    </row>
    <row r="63" spans="1:9">
      <c r="A63" s="58">
        <v>4120</v>
      </c>
      <c r="B63" s="1229">
        <v>57147</v>
      </c>
      <c r="C63" s="1267" t="s">
        <v>923</v>
      </c>
      <c r="D63" s="1238" t="s">
        <v>187</v>
      </c>
      <c r="E63" s="1239">
        <f>VLOOKUP(B63,'Master IS (C)'!$B$34:L$330,11,FALSE)</f>
        <v>55624.868789431785</v>
      </c>
      <c r="F63" s="1223">
        <f>IF(($E63=0),0,IF(($D63="ACT"),"0",(VLOOKUP($D63,$D$9:$H$12,3,FALSE)*$E63)))</f>
        <v>52995.835489540135</v>
      </c>
      <c r="G63" s="1223">
        <f>IF(($E63=0),0,IF(($D63="ACT"),"0",(VLOOKUP($D63,$D$9:$H$12,4,FALSE)*$E63)))</f>
        <v>290.71340681646433</v>
      </c>
      <c r="H63" s="1224">
        <f>IF(($E63=0),0,IF(($D63="ACT"),"0",(VLOOKUP($D63,$D$9:$H$12,5,FALSE)*$E63)))</f>
        <v>2338.3198930751869</v>
      </c>
      <c r="I63" s="534">
        <f t="shared" si="13"/>
        <v>0</v>
      </c>
    </row>
    <row r="64" spans="1:9">
      <c r="A64" s="58">
        <v>4120</v>
      </c>
      <c r="B64" s="1229">
        <v>70147</v>
      </c>
      <c r="C64" s="1267" t="s">
        <v>128</v>
      </c>
      <c r="D64" s="1238" t="s">
        <v>486</v>
      </c>
      <c r="E64" s="1239">
        <f>VLOOKUP(B64,'Master IS (C)'!$B$34:L$330,11,FALSE)</f>
        <v>4185.9371216408645</v>
      </c>
      <c r="F64" s="1223">
        <f>IF(($E64=0),0,IF(($D64="ACT"),"0",(VLOOKUP($D64,$D$9:$H$12,3,FALSE)*$E64)))</f>
        <v>3562.7904750203834</v>
      </c>
      <c r="G64" s="1223">
        <f>IF(($E64=0),0,IF(($D64="ACT"),"0",(VLOOKUP($D64,$D$9:$H$12,4,FALSE)*$E64)))</f>
        <v>106.44242475737468</v>
      </c>
      <c r="H64" s="1224">
        <f>IF(($E64=0),0,IF(($D64="ACT"),"0",(VLOOKUP($D64,$D$9:$H$12,5,FALSE)*$E64)))</f>
        <v>516.70422186310714</v>
      </c>
      <c r="I64" s="534">
        <f t="shared" si="13"/>
        <v>0</v>
      </c>
    </row>
    <row r="65" spans="1:9">
      <c r="B65" s="1229"/>
      <c r="C65" s="1267"/>
      <c r="D65" s="1238"/>
      <c r="E65" s="1239"/>
      <c r="F65" s="1223"/>
      <c r="G65" s="1223"/>
      <c r="H65" s="1224"/>
      <c r="I65" s="534">
        <f t="shared" si="13"/>
        <v>0</v>
      </c>
    </row>
    <row r="66" spans="1:9">
      <c r="A66" s="535"/>
      <c r="B66" s="1268"/>
      <c r="C66" s="1269" t="s">
        <v>442</v>
      </c>
      <c r="D66" s="1270"/>
      <c r="E66" s="1255">
        <f>SUM(E63:E65)</f>
        <v>59810.805911072646</v>
      </c>
      <c r="F66" s="1271">
        <f>SUM(F63:F65)</f>
        <v>56558.625964560517</v>
      </c>
      <c r="G66" s="1271">
        <f>SUM(G63:G65)</f>
        <v>397.15583157383901</v>
      </c>
      <c r="H66" s="1272">
        <f>SUM(H63:H65)</f>
        <v>2855.0241149382941</v>
      </c>
      <c r="I66" s="534">
        <f t="shared" si="13"/>
        <v>0</v>
      </c>
    </row>
    <row r="67" spans="1:9">
      <c r="B67" s="1229"/>
      <c r="C67" s="1266"/>
      <c r="D67" s="1238"/>
      <c r="E67" s="1239"/>
      <c r="F67" s="1223"/>
      <c r="G67" s="1223"/>
      <c r="H67" s="1224"/>
      <c r="I67" s="534">
        <f t="shared" si="13"/>
        <v>0</v>
      </c>
    </row>
    <row r="68" spans="1:9">
      <c r="A68" s="58">
        <v>4130</v>
      </c>
      <c r="B68" s="1265">
        <v>52120</v>
      </c>
      <c r="C68" s="1266" t="s">
        <v>238</v>
      </c>
      <c r="D68" s="1238" t="s">
        <v>187</v>
      </c>
      <c r="E68" s="1239">
        <f>VLOOKUP(B68,'Master IS (C)'!$B$34:L$330,11,FALSE)</f>
        <v>416637.42024390661</v>
      </c>
      <c r="F68" s="1223">
        <f>IF(($E68=0),0,IF(($D68="ACT"),"0",(VLOOKUP($D68,$D$9:$H$12,3,FALSE)*$E68)))</f>
        <v>396945.62275043927</v>
      </c>
      <c r="G68" s="1223">
        <f t="shared" ref="G68:G76" si="14">IF(($E68=0),0,IF(($D68="ACT"),"0",(VLOOKUP($D68,$D$9:$H$12,4,FALSE)*$E68)))</f>
        <v>2177.4808009855678</v>
      </c>
      <c r="H68" s="1224">
        <f t="shared" ref="H68:H76" si="15">IF(($E68=0),0,IF(($D68="ACT"),"0",(VLOOKUP($D68,$D$9:$H$12,5,FALSE)*$E68)))</f>
        <v>17514.316692481774</v>
      </c>
      <c r="I68" s="534">
        <f t="shared" si="13"/>
        <v>0</v>
      </c>
    </row>
    <row r="69" spans="1:9">
      <c r="A69" s="58">
        <v>4130</v>
      </c>
      <c r="B69" s="1265">
        <v>52125</v>
      </c>
      <c r="C69" s="1266" t="s">
        <v>81</v>
      </c>
      <c r="D69" s="1238" t="s">
        <v>187</v>
      </c>
      <c r="E69" s="1239">
        <f>VLOOKUP(B69,'Master IS (C)'!$B$34:L$330,11,FALSE)</f>
        <v>31501.17042020298</v>
      </c>
      <c r="F69" s="1223">
        <f>IF(($E69=0),0,IF(($D69="ACT"),"0",(VLOOKUP($D69,$D$9:$H$12,3,FALSE)*$E69)))</f>
        <v>30012.310710101334</v>
      </c>
      <c r="G69" s="1223">
        <f t="shared" si="14"/>
        <v>164.63522109562518</v>
      </c>
      <c r="H69" s="1224">
        <f t="shared" si="15"/>
        <v>1324.224489006021</v>
      </c>
      <c r="I69" s="534">
        <f t="shared" si="13"/>
        <v>0</v>
      </c>
    </row>
    <row r="70" spans="1:9">
      <c r="A70" s="58">
        <v>4130</v>
      </c>
      <c r="B70" s="1265">
        <v>52135</v>
      </c>
      <c r="C70" s="1266" t="s">
        <v>239</v>
      </c>
      <c r="D70" s="1238" t="s">
        <v>187</v>
      </c>
      <c r="E70" s="1239">
        <f>VLOOKUP(B70,'Master IS (C)'!$B$34:L$330,11,FALSE)</f>
        <v>35060.489513648121</v>
      </c>
      <c r="F70" s="1223">
        <f>IF(($E70=0),0,IF(($D70="ACT"),"0",(VLOOKUP($D70,$D$9:$H$12,3,FALSE)*$E70)))</f>
        <v>33403.403457574663</v>
      </c>
      <c r="G70" s="1223">
        <f t="shared" si="14"/>
        <v>183.23736438371716</v>
      </c>
      <c r="H70" s="1224">
        <f t="shared" si="15"/>
        <v>1473.8486916897384</v>
      </c>
      <c r="I70" s="534">
        <f t="shared" si="13"/>
        <v>0</v>
      </c>
    </row>
    <row r="71" spans="1:9">
      <c r="A71" s="58">
        <v>4130</v>
      </c>
      <c r="B71" s="1265">
        <v>52175</v>
      </c>
      <c r="C71" s="1266" t="s">
        <v>90</v>
      </c>
      <c r="D71" s="1238" t="s">
        <v>187</v>
      </c>
      <c r="E71" s="1239">
        <f>VLOOKUP(B71,'Master IS (C)'!$B$34:L$330,11,FALSE)</f>
        <v>1352.0092503557771</v>
      </c>
      <c r="F71" s="1223">
        <f>IF(($E71=0),0,IF(($D71="ACT"),"0",(VLOOKUP($D71,$D$9:$H$12,3,FALSE)*$E71)))</f>
        <v>1288.1083833820071</v>
      </c>
      <c r="G71" s="1223">
        <f t="shared" si="14"/>
        <v>7.0660340198946665</v>
      </c>
      <c r="H71" s="1224">
        <f t="shared" si="15"/>
        <v>56.834832953875249</v>
      </c>
      <c r="I71" s="534">
        <f t="shared" ref="I71" si="16">+E71-SUM(F71:H71)</f>
        <v>0</v>
      </c>
    </row>
    <row r="72" spans="1:9">
      <c r="A72" s="58">
        <v>4130</v>
      </c>
      <c r="B72" s="1265">
        <v>55120</v>
      </c>
      <c r="C72" s="1266" t="s">
        <v>238</v>
      </c>
      <c r="D72" s="1238" t="s">
        <v>186</v>
      </c>
      <c r="E72" s="1239">
        <f>VLOOKUP(B72,'Master IS (C)'!$B$34:L$330,11,FALSE)</f>
        <v>85967.612604726164</v>
      </c>
      <c r="F72" s="1223">
        <f>+E72</f>
        <v>85967.612604726164</v>
      </c>
      <c r="G72" s="1223" t="str">
        <f t="shared" si="14"/>
        <v>0</v>
      </c>
      <c r="H72" s="1224" t="str">
        <f t="shared" si="15"/>
        <v>0</v>
      </c>
      <c r="I72" s="534">
        <f t="shared" si="13"/>
        <v>0</v>
      </c>
    </row>
    <row r="73" spans="1:9">
      <c r="A73" s="58">
        <v>4130</v>
      </c>
      <c r="B73" s="1265">
        <v>55125</v>
      </c>
      <c r="C73" s="1266" t="s">
        <v>81</v>
      </c>
      <c r="D73" s="1238" t="s">
        <v>186</v>
      </c>
      <c r="E73" s="1239">
        <f>VLOOKUP(B73,'Master IS (C)'!$B$34:L$330,11,FALSE)</f>
        <v>17102.569710044259</v>
      </c>
      <c r="F73" s="1223">
        <f>+E73</f>
        <v>17102.569710044259</v>
      </c>
      <c r="G73" s="1223" t="str">
        <f t="shared" si="14"/>
        <v>0</v>
      </c>
      <c r="H73" s="1224" t="str">
        <f t="shared" si="15"/>
        <v>0</v>
      </c>
      <c r="I73" s="534">
        <f t="shared" si="13"/>
        <v>0</v>
      </c>
    </row>
    <row r="74" spans="1:9">
      <c r="A74" s="58">
        <v>4130</v>
      </c>
      <c r="B74" s="1229">
        <v>52147</v>
      </c>
      <c r="C74" s="1266" t="s">
        <v>240</v>
      </c>
      <c r="D74" s="1238" t="s">
        <v>187</v>
      </c>
      <c r="E74" s="1239">
        <f>VLOOKUP(B74,'Master IS (C)'!$B$34:L$330,11,FALSE)</f>
        <v>69873.470166076659</v>
      </c>
      <c r="F74" s="1223">
        <f>IF(($E74=0),0,IF(($D74="ACT"),"0",(VLOOKUP($D74,$D$9:$H$12,3,FALSE)*$E74)))</f>
        <v>66570.996221535825</v>
      </c>
      <c r="G74" s="1223">
        <f t="shared" si="14"/>
        <v>365.18116806646816</v>
      </c>
      <c r="H74" s="1224">
        <f t="shared" si="15"/>
        <v>2937.2927764743704</v>
      </c>
      <c r="I74" s="534">
        <f t="shared" si="13"/>
        <v>0</v>
      </c>
    </row>
    <row r="75" spans="1:9">
      <c r="A75" s="58">
        <v>4130</v>
      </c>
      <c r="B75" s="1229">
        <v>52181</v>
      </c>
      <c r="C75" s="1266" t="s">
        <v>606</v>
      </c>
      <c r="D75" s="1238" t="s">
        <v>187</v>
      </c>
      <c r="E75" s="1239">
        <f>VLOOKUP(B75,'Master IS (C)'!$B$34:L$330,11,FALSE)</f>
        <v>129.86808491641051</v>
      </c>
      <c r="F75" s="1223">
        <f>IF(($E75=0),0,IF(($D75="ACT"),"0",(VLOOKUP($D75,$D$9:$H$12,3,FALSE)*$E75)))</f>
        <v>123.7300476091968</v>
      </c>
      <c r="G75" s="1223">
        <f t="shared" si="14"/>
        <v>0.67873226893710126</v>
      </c>
      <c r="H75" s="1224">
        <f t="shared" si="15"/>
        <v>5.4593050382766108</v>
      </c>
      <c r="I75" s="534">
        <f t="shared" si="13"/>
        <v>0</v>
      </c>
    </row>
    <row r="76" spans="1:9">
      <c r="A76" s="58">
        <v>4130</v>
      </c>
      <c r="B76" s="1229">
        <v>56125</v>
      </c>
      <c r="C76" s="1266" t="s">
        <v>81</v>
      </c>
      <c r="D76" s="1238" t="s">
        <v>187</v>
      </c>
      <c r="E76" s="1239">
        <f>VLOOKUP(B76,'Master IS (C)'!$B$34:L$330,11,FALSE)</f>
        <v>14.785025696758586</v>
      </c>
      <c r="F76" s="1223">
        <f>IF(($E76=0),0,IF(($D76="ACT"),"0",(VLOOKUP($D76,$D$9:$H$12,3,FALSE)*$E76)))</f>
        <v>14.086231690723697</v>
      </c>
      <c r="G76" s="1223">
        <f t="shared" si="14"/>
        <v>7.7271286813179463E-2</v>
      </c>
      <c r="H76" s="1224">
        <f t="shared" si="15"/>
        <v>0.62152271922170932</v>
      </c>
      <c r="I76" s="534">
        <f t="shared" ref="I76" si="17">+E76-SUM(F76:H76)</f>
        <v>0</v>
      </c>
    </row>
    <row r="77" spans="1:9">
      <c r="B77" s="1265"/>
      <c r="C77" s="1266"/>
      <c r="D77" s="1238"/>
      <c r="E77" s="1239"/>
      <c r="F77" s="1223"/>
      <c r="G77" s="1223"/>
      <c r="H77" s="1224"/>
      <c r="I77" s="534">
        <f t="shared" si="13"/>
        <v>0</v>
      </c>
    </row>
    <row r="78" spans="1:9">
      <c r="A78" s="539"/>
      <c r="B78" s="1268"/>
      <c r="C78" s="1269" t="s">
        <v>489</v>
      </c>
      <c r="D78" s="1270"/>
      <c r="E78" s="1255">
        <f>SUM(E68:E77)</f>
        <v>657639.39501957374</v>
      </c>
      <c r="F78" s="1255">
        <f>SUM(F68:F77)</f>
        <v>631428.44011710351</v>
      </c>
      <c r="G78" s="1255">
        <f>SUM(G68:G77)</f>
        <v>2898.3565921070235</v>
      </c>
      <c r="H78" s="1256">
        <f>SUM(H68:H77)</f>
        <v>23312.598310363275</v>
      </c>
      <c r="I78" s="534">
        <f t="shared" si="13"/>
        <v>0</v>
      </c>
    </row>
    <row r="79" spans="1:9">
      <c r="A79" s="538"/>
      <c r="B79" s="1229"/>
      <c r="C79" s="1266"/>
      <c r="D79" s="1238"/>
      <c r="E79" s="1239"/>
      <c r="F79" s="1223"/>
      <c r="G79" s="1223"/>
      <c r="H79" s="1224"/>
      <c r="I79" s="534">
        <f t="shared" si="13"/>
        <v>0</v>
      </c>
    </row>
    <row r="80" spans="1:9">
      <c r="A80" s="58">
        <v>4160</v>
      </c>
      <c r="B80" s="1229">
        <v>52140</v>
      </c>
      <c r="C80" s="1266" t="s">
        <v>241</v>
      </c>
      <c r="D80" s="1238" t="s">
        <v>187</v>
      </c>
      <c r="E80" s="1239">
        <f>VLOOKUP(B80,'Master IS (C)'!$B$34:L$330,11,FALSE)</f>
        <v>245738.99204548742</v>
      </c>
      <c r="F80" s="1223">
        <f>IF(($E80=0),0,IF(($D80="ACT"),"0",(VLOOKUP($D80,$D$9:$H$12,3,FALSE)*$E80)))</f>
        <v>234124.47488383722</v>
      </c>
      <c r="G80" s="1223">
        <f>IF(($E80=0),0,IF(($D80="ACT"),"0",(VLOOKUP($D80,$D$9:$H$12,4,FALSE)*$E80)))</f>
        <v>1284.3107969498808</v>
      </c>
      <c r="H80" s="1224">
        <f>IF(($E80=0),0,IF(($D80="ACT"),"0",(VLOOKUP($D80,$D$9:$H$12,5,FALSE)*$E80)))</f>
        <v>10330.20636470032</v>
      </c>
      <c r="I80" s="534">
        <f t="shared" si="13"/>
        <v>0</v>
      </c>
    </row>
    <row r="81" spans="1:9">
      <c r="B81" s="1229"/>
      <c r="C81" s="1266"/>
      <c r="D81" s="1238"/>
      <c r="E81" s="1239"/>
      <c r="F81" s="1223"/>
      <c r="G81" s="1223"/>
      <c r="H81" s="1224"/>
      <c r="I81" s="534">
        <f t="shared" si="13"/>
        <v>0</v>
      </c>
    </row>
    <row r="82" spans="1:9">
      <c r="A82" s="536"/>
      <c r="B82" s="1229"/>
      <c r="C82" s="1270" t="s">
        <v>491</v>
      </c>
      <c r="D82" s="1270"/>
      <c r="E82" s="1255">
        <f>SUM(E80:E81)</f>
        <v>245738.99204548742</v>
      </c>
      <c r="F82" s="1271">
        <f>SUM(F80:F81)</f>
        <v>234124.47488383722</v>
      </c>
      <c r="G82" s="1271">
        <f>SUM(G80:G81)</f>
        <v>1284.3107969498808</v>
      </c>
      <c r="H82" s="1272">
        <f>SUM(H80:H81)</f>
        <v>10330.20636470032</v>
      </c>
      <c r="I82" s="534">
        <f t="shared" si="13"/>
        <v>0</v>
      </c>
    </row>
    <row r="83" spans="1:9">
      <c r="A83" s="538"/>
      <c r="B83" s="1229"/>
      <c r="C83" s="1266"/>
      <c r="D83" s="1238"/>
      <c r="E83" s="1239"/>
      <c r="F83" s="1223"/>
      <c r="G83" s="1223"/>
      <c r="H83" s="1224"/>
      <c r="I83" s="534">
        <f t="shared" si="13"/>
        <v>0</v>
      </c>
    </row>
    <row r="84" spans="1:9">
      <c r="A84" s="58">
        <v>4180</v>
      </c>
      <c r="B84" s="1265">
        <v>52090</v>
      </c>
      <c r="C84" s="1266" t="s">
        <v>73</v>
      </c>
      <c r="D84" s="1238" t="s">
        <v>187</v>
      </c>
      <c r="E84" s="1239">
        <f>VLOOKUP(B84,'Master IS (C)'!$B$34:L$330,11,FALSE)</f>
        <v>4329.9592507137622</v>
      </c>
      <c r="F84" s="1223">
        <f>IF(($E84=0),0,IF(($D84="ACT"),"0",(VLOOKUP($D84,$D$9:$H$12,3,FALSE)*$E84)))</f>
        <v>4125.3096523408994</v>
      </c>
      <c r="G84" s="1223">
        <f>IF(($E84=0),0,IF(($D84="ACT"),"0",(VLOOKUP($D84,$D$9:$H$12,4,FALSE)*$E84)))</f>
        <v>22.629755944532121</v>
      </c>
      <c r="H84" s="1224">
        <f>IF(($E84=0),0,IF(($D84="ACT"),"0",(VLOOKUP($D84,$D$9:$H$12,5,FALSE)*$E84)))</f>
        <v>182.01984242833029</v>
      </c>
      <c r="I84" s="534">
        <f t="shared" si="13"/>
        <v>0</v>
      </c>
    </row>
    <row r="85" spans="1:9">
      <c r="A85" s="58">
        <v>4180</v>
      </c>
      <c r="B85" s="1265">
        <v>52182</v>
      </c>
      <c r="C85" s="1266" t="s">
        <v>91</v>
      </c>
      <c r="D85" s="1238" t="s">
        <v>187</v>
      </c>
      <c r="E85" s="1239">
        <f>VLOOKUP(B85,'Master IS (C)'!$B$34:L$330,11,FALSE)</f>
        <v>10508.515628320998</v>
      </c>
      <c r="F85" s="1223">
        <f>IF(($E85=0),0,IF(($D85="ACT"),"0",(VLOOKUP($D85,$D$9:$H$12,3,FALSE)*$E85)))</f>
        <v>10011.845018204671</v>
      </c>
      <c r="G85" s="1223">
        <f>IF(($E85=0),0,IF(($D85="ACT"),"0",(VLOOKUP($D85,$D$9:$H$12,4,FALSE)*$E85)))</f>
        <v>54.920873439860976</v>
      </c>
      <c r="H85" s="1224">
        <f>IF(($E85=0),0,IF(($D85="ACT"),"0",(VLOOKUP($D85,$D$9:$H$12,5,FALSE)*$E85)))</f>
        <v>441.74973667646645</v>
      </c>
      <c r="I85" s="534">
        <f t="shared" si="13"/>
        <v>0</v>
      </c>
    </row>
    <row r="86" spans="1:9">
      <c r="A86" s="58">
        <v>4180</v>
      </c>
      <c r="B86" s="1265">
        <v>52200</v>
      </c>
      <c r="C86" s="1266" t="s">
        <v>935</v>
      </c>
      <c r="D86" s="1238" t="s">
        <v>187</v>
      </c>
      <c r="E86" s="1239">
        <f>VLOOKUP(B86,'Master IS (C)'!$B$34:L$330,11,FALSE)</f>
        <v>0</v>
      </c>
      <c r="F86" s="1223">
        <f>IF(($E86=0),0,IF(($D86="ACT"),"0",(VLOOKUP($D86,$D$9:$H$12,3,FALSE)*$E86)))</f>
        <v>0</v>
      </c>
      <c r="G86" s="1223">
        <f>IF(($E86=0),0,IF(($D86="ACT"),"0",(VLOOKUP($D86,$D$9:$H$12,4,FALSE)*$E86)))</f>
        <v>0</v>
      </c>
      <c r="H86" s="1224">
        <f>IF(($E86=0),0,IF(($D86="ACT"),"0",(VLOOKUP($D86,$D$9:$H$12,5,FALSE)*$E86)))</f>
        <v>0</v>
      </c>
      <c r="I86" s="534">
        <f t="shared" si="13"/>
        <v>0</v>
      </c>
    </row>
    <row r="87" spans="1:9">
      <c r="B87" s="1265"/>
      <c r="C87" s="1266"/>
      <c r="D87" s="1238"/>
      <c r="E87" s="1239"/>
      <c r="F87" s="1223"/>
      <c r="G87" s="1223"/>
      <c r="H87" s="1224"/>
      <c r="I87" s="534">
        <f t="shared" si="13"/>
        <v>0</v>
      </c>
    </row>
    <row r="88" spans="1:9">
      <c r="A88" s="536"/>
      <c r="B88" s="1229"/>
      <c r="C88" s="1270" t="s">
        <v>492</v>
      </c>
      <c r="D88" s="1270"/>
      <c r="E88" s="1255">
        <f>SUM(E84:E87)</f>
        <v>14838.47487903476</v>
      </c>
      <c r="F88" s="1271">
        <f>SUM(F84:F87)</f>
        <v>14137.154670545569</v>
      </c>
      <c r="G88" s="1271">
        <f>SUM(G84:G87)</f>
        <v>77.550629384393091</v>
      </c>
      <c r="H88" s="1272">
        <f>SUM(H84:H87)</f>
        <v>623.76957910479678</v>
      </c>
      <c r="I88" s="534">
        <f t="shared" si="13"/>
        <v>0</v>
      </c>
    </row>
    <row r="89" spans="1:9">
      <c r="A89" s="538"/>
      <c r="B89" s="1229"/>
      <c r="C89" s="1228"/>
      <c r="D89" s="1238"/>
      <c r="E89" s="1239"/>
      <c r="F89" s="1223"/>
      <c r="G89" s="1223"/>
      <c r="H89" s="1224"/>
      <c r="I89" s="534">
        <f t="shared" si="13"/>
        <v>0</v>
      </c>
    </row>
    <row r="90" spans="1:9">
      <c r="A90" s="536"/>
      <c r="B90" s="1229"/>
      <c r="C90" s="1273" t="s">
        <v>522</v>
      </c>
      <c r="D90" s="1273"/>
      <c r="E90" s="1244">
        <f>E88+E82+E78+E66+E61</f>
        <v>1642079.3153020432</v>
      </c>
      <c r="F90" s="1274">
        <f>F88+F82+F78+F66+F61</f>
        <v>1575167.0719892266</v>
      </c>
      <c r="G90" s="1274">
        <f>G88+G82+G78+G66+G61</f>
        <v>7436.5622552707209</v>
      </c>
      <c r="H90" s="1275">
        <f>H88+H82+H78+H66+H61</f>
        <v>59475.681057545647</v>
      </c>
      <c r="I90" s="534">
        <f t="shared" si="13"/>
        <v>0</v>
      </c>
    </row>
    <row r="91" spans="1:9">
      <c r="B91" s="1229"/>
      <c r="C91" s="1266"/>
      <c r="D91" s="1238"/>
      <c r="E91" s="1239"/>
      <c r="F91" s="1223"/>
      <c r="G91" s="1223"/>
      <c r="H91" s="1224"/>
      <c r="I91" s="534">
        <f t="shared" si="13"/>
        <v>0</v>
      </c>
    </row>
    <row r="92" spans="1:9">
      <c r="A92" s="58">
        <v>4210</v>
      </c>
      <c r="B92" s="1265">
        <v>56010</v>
      </c>
      <c r="C92" s="1266" t="s">
        <v>244</v>
      </c>
      <c r="D92" s="1238" t="s">
        <v>187</v>
      </c>
      <c r="E92" s="1239">
        <f>VLOOKUP(B92,'Master IS (C)'!$B$34:L$330,11,FALSE)</f>
        <v>235323.74072870961</v>
      </c>
      <c r="F92" s="1223">
        <f>IF(($E92=0),0,IF(($D92="ACT"),"0",(VLOOKUP($D92,$D$9:$H$12,3,FALSE)*$E92)))</f>
        <v>224201.48616712421</v>
      </c>
      <c r="G92" s="1223">
        <f>IF(($E92=0),0,IF(($D92="ACT"),"0",(VLOOKUP($D92,$D$9:$H$12,4,FALSE)*$E92)))</f>
        <v>1229.8773527180913</v>
      </c>
      <c r="H92" s="1224">
        <f>IF(($E92=0),0,IF(($D92="ACT"),"0",(VLOOKUP($D92,$D$9:$H$12,5,FALSE)*$E92)))</f>
        <v>9892.3772088673068</v>
      </c>
      <c r="I92" s="534">
        <f t="shared" si="13"/>
        <v>0</v>
      </c>
    </row>
    <row r="93" spans="1:9">
      <c r="A93" s="58">
        <v>4210</v>
      </c>
      <c r="B93" s="1265">
        <v>56036</v>
      </c>
      <c r="C93" s="1266" t="s">
        <v>66</v>
      </c>
      <c r="D93" s="1238" t="s">
        <v>187</v>
      </c>
      <c r="E93" s="1239">
        <f>VLOOKUP(B93,'Master IS (C)'!$B$34:L$330,11,FALSE)</f>
        <v>1403.1920111051518</v>
      </c>
      <c r="F93" s="1223">
        <f>IF(($E93=0),0,IF(($D93="ACT"),"0",(VLOOKUP($D93,$D$9:$H$12,3,FALSE)*$E93)))</f>
        <v>1336.8720609889142</v>
      </c>
      <c r="G93" s="1223">
        <f>IF(($E93=0),0,IF(($D93="ACT"),"0",(VLOOKUP($D93,$D$9:$H$12,4,FALSE)*$E93)))</f>
        <v>7.33353154522006</v>
      </c>
      <c r="H93" s="1224">
        <f>IF(($E93=0),0,IF(($D93="ACT"),"0",(VLOOKUP($D93,$D$9:$H$12,5,FALSE)*$E93)))</f>
        <v>58.98641857101758</v>
      </c>
      <c r="I93" s="534">
        <f t="shared" si="13"/>
        <v>0</v>
      </c>
    </row>
    <row r="94" spans="1:9">
      <c r="B94" s="1229"/>
      <c r="C94" s="1266"/>
      <c r="D94" s="1238"/>
      <c r="E94" s="1239"/>
      <c r="F94" s="1223"/>
      <c r="G94" s="1223"/>
      <c r="H94" s="1224"/>
      <c r="I94" s="534">
        <f t="shared" si="13"/>
        <v>0</v>
      </c>
    </row>
    <row r="95" spans="1:9">
      <c r="A95" s="536"/>
      <c r="B95" s="1229"/>
      <c r="C95" s="1270" t="s">
        <v>245</v>
      </c>
      <c r="D95" s="1270"/>
      <c r="E95" s="1255">
        <f>SUM(E92:E94)</f>
        <v>236726.93273981477</v>
      </c>
      <c r="F95" s="1271">
        <f>SUM(F92:F94)</f>
        <v>225538.35822811312</v>
      </c>
      <c r="G95" s="1271">
        <f>SUM(G92:G94)</f>
        <v>1237.2108842633113</v>
      </c>
      <c r="H95" s="1272">
        <f>SUM(H92:H94)</f>
        <v>9951.3636274383243</v>
      </c>
      <c r="I95" s="534">
        <f t="shared" si="13"/>
        <v>0</v>
      </c>
    </row>
    <row r="96" spans="1:9">
      <c r="A96" s="538"/>
      <c r="B96" s="1229"/>
      <c r="C96" s="1266"/>
      <c r="D96" s="1238"/>
      <c r="E96" s="1239"/>
      <c r="F96" s="1223"/>
      <c r="G96" s="1223"/>
      <c r="H96" s="1224"/>
      <c r="I96" s="534">
        <f t="shared" si="13"/>
        <v>0</v>
      </c>
    </row>
    <row r="97" spans="1:9">
      <c r="A97" s="58">
        <v>4213</v>
      </c>
      <c r="B97" s="1265">
        <v>50020</v>
      </c>
      <c r="C97" s="1266" t="s">
        <v>63</v>
      </c>
      <c r="D97" s="1238" t="s">
        <v>187</v>
      </c>
      <c r="E97" s="1239">
        <f>VLOOKUP(B97,'Master IS (C)'!$B$34:L$330,11,FALSE)</f>
        <v>1985462.8583262376</v>
      </c>
      <c r="F97" s="1223">
        <f t="shared" ref="F97:F103" si="18">IF(($E97=0),0,IF(($D97="ACT"),"0",(VLOOKUP($D97,$D$9:$H$12,3,FALSE)*$E97)))</f>
        <v>1891622.6734622067</v>
      </c>
      <c r="G97" s="1223">
        <f t="shared" ref="G97:G103" si="19">IF(($E97=0),0,IF(($D97="ACT"),"0",(VLOOKUP($D97,$D$9:$H$12,4,FALSE)*$E97)))</f>
        <v>10376.665765029877</v>
      </c>
      <c r="H97" s="1224">
        <f t="shared" ref="H97:H103" si="20">IF(($E97=0),0,IF(($D97="ACT"),"0",(VLOOKUP($D97,$D$9:$H$12,5,FALSE)*$E97)))</f>
        <v>83463.519099000987</v>
      </c>
      <c r="I97" s="534">
        <f t="shared" si="13"/>
        <v>0</v>
      </c>
    </row>
    <row r="98" spans="1:9">
      <c r="A98" s="58">
        <v>4213</v>
      </c>
      <c r="B98" s="1265"/>
      <c r="C98" s="1266" t="s">
        <v>2985</v>
      </c>
      <c r="D98" s="1238" t="s">
        <v>186</v>
      </c>
      <c r="E98" s="1239">
        <f>+'Master IS (C)'!L57</f>
        <v>29551.321014243113</v>
      </c>
      <c r="F98" s="1223">
        <f>+E98</f>
        <v>29551.321014243113</v>
      </c>
      <c r="G98" s="1223">
        <v>0</v>
      </c>
      <c r="H98" s="1224">
        <v>0</v>
      </c>
      <c r="I98" s="534">
        <v>0</v>
      </c>
    </row>
    <row r="99" spans="1:9">
      <c r="A99" s="58">
        <v>4213</v>
      </c>
      <c r="B99" s="1265">
        <v>50025</v>
      </c>
      <c r="C99" s="1266" t="s">
        <v>246</v>
      </c>
      <c r="D99" s="1238" t="s">
        <v>187</v>
      </c>
      <c r="E99" s="1239">
        <f>VLOOKUP(B99,'Master IS (C)'!$B$34:L$330,11,FALSE)</f>
        <v>480987.64246348629</v>
      </c>
      <c r="F99" s="1223">
        <f t="shared" si="18"/>
        <v>458254.41978102428</v>
      </c>
      <c r="G99" s="1223">
        <f t="shared" si="19"/>
        <v>2513.7957036178382</v>
      </c>
      <c r="H99" s="1224">
        <f t="shared" si="20"/>
        <v>20219.426978844196</v>
      </c>
      <c r="I99" s="534">
        <f t="shared" si="13"/>
        <v>0</v>
      </c>
    </row>
    <row r="100" spans="1:9">
      <c r="A100" s="58">
        <v>4213</v>
      </c>
      <c r="B100" s="1265">
        <v>50035</v>
      </c>
      <c r="C100" s="1266" t="s">
        <v>247</v>
      </c>
      <c r="D100" s="1238" t="s">
        <v>187</v>
      </c>
      <c r="E100" s="1239">
        <f>VLOOKUP(B100,'Master IS (C)'!$B$34:L$330,11,FALSE)</f>
        <v>39878.446974360711</v>
      </c>
      <c r="F100" s="1223">
        <f t="shared" si="18"/>
        <v>37993.646752351437</v>
      </c>
      <c r="G100" s="1223">
        <f t="shared" si="19"/>
        <v>208.41755550655301</v>
      </c>
      <c r="H100" s="1224">
        <f t="shared" si="20"/>
        <v>1676.3826665027213</v>
      </c>
      <c r="I100" s="534">
        <f t="shared" si="13"/>
        <v>0</v>
      </c>
    </row>
    <row r="101" spans="1:9">
      <c r="A101" s="58">
        <v>4213</v>
      </c>
      <c r="B101" s="1265">
        <v>50036</v>
      </c>
      <c r="C101" s="1266" t="s">
        <v>66</v>
      </c>
      <c r="D101" s="1238" t="s">
        <v>187</v>
      </c>
      <c r="E101" s="1239">
        <f>VLOOKUP(B101,'Master IS (C)'!$B$34:L$330,11,FALSE)</f>
        <v>16093.354823143354</v>
      </c>
      <c r="F101" s="1223">
        <f t="shared" si="18"/>
        <v>15332.724431417302</v>
      </c>
      <c r="G101" s="1223">
        <f t="shared" si="19"/>
        <v>84.109034494137362</v>
      </c>
      <c r="H101" s="1224">
        <f t="shared" si="20"/>
        <v>676.52135723191566</v>
      </c>
      <c r="I101" s="534">
        <f t="shared" si="13"/>
        <v>0</v>
      </c>
    </row>
    <row r="102" spans="1:9">
      <c r="A102" s="58">
        <v>4213</v>
      </c>
      <c r="B102" s="1265">
        <v>50065</v>
      </c>
      <c r="C102" s="1266" t="s">
        <v>70</v>
      </c>
      <c r="D102" s="1238" t="s">
        <v>187</v>
      </c>
      <c r="E102" s="1239">
        <f>VLOOKUP(B102,'Master IS (C)'!$B$34:L$330,11,FALSE)</f>
        <v>115100.52984828639</v>
      </c>
      <c r="F102" s="1223">
        <f t="shared" si="18"/>
        <v>109660.46082175396</v>
      </c>
      <c r="G102" s="1223">
        <f t="shared" si="19"/>
        <v>601.55228923313541</v>
      </c>
      <c r="H102" s="1224">
        <f t="shared" si="20"/>
        <v>4838.5167372992864</v>
      </c>
      <c r="I102" s="534">
        <f t="shared" si="13"/>
        <v>0</v>
      </c>
    </row>
    <row r="103" spans="1:9">
      <c r="A103" s="58">
        <v>4213</v>
      </c>
      <c r="B103" s="1265">
        <v>50070</v>
      </c>
      <c r="C103" s="1266" t="s">
        <v>71</v>
      </c>
      <c r="D103" s="1238" t="s">
        <v>187</v>
      </c>
      <c r="E103" s="1239">
        <f>VLOOKUP(B103,'Master IS (C)'!$B$34:L$330,11,FALSE)</f>
        <v>122947.8332131966</v>
      </c>
      <c r="F103" s="1223">
        <f t="shared" si="18"/>
        <v>117136.87213227033</v>
      </c>
      <c r="G103" s="1223">
        <f t="shared" si="19"/>
        <v>642.56481376009276</v>
      </c>
      <c r="H103" s="1224">
        <f t="shared" si="20"/>
        <v>5168.3962671661802</v>
      </c>
      <c r="I103" s="534">
        <f t="shared" si="13"/>
        <v>0</v>
      </c>
    </row>
    <row r="104" spans="1:9">
      <c r="B104" s="1265"/>
      <c r="C104" s="1266"/>
      <c r="D104" s="1238"/>
      <c r="E104" s="1239"/>
      <c r="F104" s="1223"/>
      <c r="G104" s="1223"/>
      <c r="H104" s="1224"/>
      <c r="I104" s="534">
        <f t="shared" si="13"/>
        <v>0</v>
      </c>
    </row>
    <row r="105" spans="1:9">
      <c r="A105" s="536"/>
      <c r="B105" s="1229"/>
      <c r="C105" s="1270" t="s">
        <v>248</v>
      </c>
      <c r="D105" s="1270"/>
      <c r="E105" s="1255">
        <f>SUM(E97:E104)</f>
        <v>2790021.9866629541</v>
      </c>
      <c r="F105" s="1255">
        <f>SUM(F97:F104)</f>
        <v>2659552.1183952671</v>
      </c>
      <c r="G105" s="1255">
        <f>SUM(G97:G104)</f>
        <v>14427.105161641632</v>
      </c>
      <c r="H105" s="1256">
        <f>SUM(H97:H104)</f>
        <v>116042.76310604528</v>
      </c>
      <c r="I105" s="534">
        <f t="shared" si="13"/>
        <v>0</v>
      </c>
    </row>
    <row r="106" spans="1:9">
      <c r="A106" s="538"/>
      <c r="B106" s="1229"/>
      <c r="C106" s="1266"/>
      <c r="D106" s="1238"/>
      <c r="E106" s="1239"/>
      <c r="F106" s="1223"/>
      <c r="G106" s="1223"/>
      <c r="H106" s="1224"/>
      <c r="I106" s="534">
        <f t="shared" si="13"/>
        <v>0</v>
      </c>
    </row>
    <row r="107" spans="1:9">
      <c r="A107" s="58">
        <v>4240</v>
      </c>
      <c r="B107" s="1265">
        <v>52142</v>
      </c>
      <c r="C107" s="1266" t="s">
        <v>83</v>
      </c>
      <c r="D107" s="1238" t="s">
        <v>187</v>
      </c>
      <c r="E107" s="1239">
        <f>VLOOKUP(B107,'Master IS (C)'!$B$34:L$330,11,FALSE)</f>
        <v>744326.51311339694</v>
      </c>
      <c r="F107" s="1223">
        <f>IF(($E107=0),0,IF(($D107="ACT"),"0",(VLOOKUP($D107,$D$9:$H$12,3,FALSE)*$E107)))</f>
        <v>709146.93909273611</v>
      </c>
      <c r="G107" s="1223">
        <f>IF(($E107=0),0,IF(($D107="ACT"),"0",(VLOOKUP($D107,$D$9:$H$12,4,FALSE)*$E107)))</f>
        <v>3890.0891115832464</v>
      </c>
      <c r="H107" s="1224">
        <f>IF(($E107=0),0,IF(($D107="ACT"),"0",(VLOOKUP($D107,$D$9:$H$12,5,FALSE)*$E107)))</f>
        <v>31289.484909077561</v>
      </c>
      <c r="I107" s="534">
        <f t="shared" si="13"/>
        <v>0</v>
      </c>
    </row>
    <row r="108" spans="1:9">
      <c r="A108" s="58">
        <v>4240</v>
      </c>
      <c r="B108" s="1265">
        <v>52144</v>
      </c>
      <c r="C108" s="1266" t="s">
        <v>84</v>
      </c>
      <c r="D108" s="1238" t="s">
        <v>187</v>
      </c>
      <c r="E108" s="1239">
        <f>VLOOKUP(B108,'Master IS (C)'!$B$34:L$330,11,FALSE)</f>
        <v>14079.756525283272</v>
      </c>
      <c r="F108" s="1223">
        <f>IF(($E108=0),0,IF(($D108="ACT"),"0",(VLOOKUP($D108,$D$9:$H$12,3,FALSE)*$E108)))</f>
        <v>13414.29610146706</v>
      </c>
      <c r="G108" s="1223">
        <f>IF(($E108=0),0,IF(($D108="ACT"),"0",(VLOOKUP($D108,$D$9:$H$12,4,FALSE)*$E108)))</f>
        <v>73.585323897233351</v>
      </c>
      <c r="H108" s="1224">
        <f>IF(($E108=0),0,IF(($D108="ACT"),"0",(VLOOKUP($D108,$D$9:$H$12,5,FALSE)*$E108)))</f>
        <v>591.87509991897923</v>
      </c>
      <c r="I108" s="534">
        <f t="shared" si="13"/>
        <v>0</v>
      </c>
    </row>
    <row r="109" spans="1:9">
      <c r="A109" s="58">
        <v>4240</v>
      </c>
      <c r="B109" s="1265">
        <v>52146</v>
      </c>
      <c r="C109" s="1266" t="s">
        <v>85</v>
      </c>
      <c r="D109" s="1238" t="s">
        <v>187</v>
      </c>
      <c r="E109" s="1239">
        <f>VLOOKUP(B109,'Master IS (C)'!$B$34:L$330,11,FALSE)</f>
        <v>61250.809076832578</v>
      </c>
      <c r="F109" s="1223">
        <f>IF(($E109=0),0,IF(($D109="ACT"),"0",(VLOOKUP($D109,$D$9:$H$12,3,FALSE)*$E109)))</f>
        <v>58355.873408437925</v>
      </c>
      <c r="G109" s="1223">
        <f>IF(($E109=0),0,IF(($D109="ACT"),"0",(VLOOKUP($D109,$D$9:$H$12,4,FALSE)*$E109)))</f>
        <v>320.11637536435637</v>
      </c>
      <c r="H109" s="1224">
        <f>IF(($E109=0),0,IF(($D109="ACT"),"0",(VLOOKUP($D109,$D$9:$H$12,5,FALSE)*$E109)))</f>
        <v>2574.8192930302985</v>
      </c>
      <c r="I109" s="534">
        <f t="shared" si="13"/>
        <v>0</v>
      </c>
    </row>
    <row r="110" spans="1:9">
      <c r="B110" s="1265"/>
      <c r="C110" s="1266"/>
      <c r="D110" s="1238"/>
      <c r="E110" s="1239"/>
      <c r="F110" s="1223"/>
      <c r="G110" s="1223"/>
      <c r="H110" s="1224"/>
      <c r="I110" s="534">
        <f t="shared" si="13"/>
        <v>0</v>
      </c>
    </row>
    <row r="111" spans="1:9">
      <c r="A111" s="536"/>
      <c r="B111" s="1229"/>
      <c r="C111" s="1270" t="s">
        <v>249</v>
      </c>
      <c r="D111" s="1270"/>
      <c r="E111" s="1255">
        <f>SUM(E107:E110)</f>
        <v>819657.07871551276</v>
      </c>
      <c r="F111" s="1271">
        <f>SUM(F107:F110)</f>
        <v>780917.10860264115</v>
      </c>
      <c r="G111" s="1271">
        <f>SUM(G107:G110)</f>
        <v>4283.7908108448355</v>
      </c>
      <c r="H111" s="1272">
        <f>SUM(H107:H110)</f>
        <v>34456.179302026838</v>
      </c>
      <c r="I111" s="534">
        <f t="shared" si="13"/>
        <v>0</v>
      </c>
    </row>
    <row r="112" spans="1:9">
      <c r="A112" s="538"/>
      <c r="B112" s="1229"/>
      <c r="C112" s="1228"/>
      <c r="D112" s="1238"/>
      <c r="E112" s="1239"/>
      <c r="F112" s="1223"/>
      <c r="G112" s="1223"/>
      <c r="H112" s="1224"/>
      <c r="I112" s="534">
        <f t="shared" si="13"/>
        <v>0</v>
      </c>
    </row>
    <row r="113" spans="1:9">
      <c r="A113" s="58">
        <v>4260</v>
      </c>
      <c r="B113" s="1265">
        <v>41121</v>
      </c>
      <c r="C113" s="1228" t="s">
        <v>52</v>
      </c>
      <c r="D113" s="1238" t="s">
        <v>186</v>
      </c>
      <c r="E113" s="1239">
        <f>VLOOKUP(B113,'Master IS (C)'!$B$34:L$330,11,FALSE)</f>
        <v>33093.952044321872</v>
      </c>
      <c r="F113" s="1223">
        <f>('Master IS (C)'!$E$122*'Master IS (C)'!$L$16*'Allocators (C)'!$C$135)</f>
        <v>0</v>
      </c>
      <c r="G113" s="1223">
        <v>0</v>
      </c>
      <c r="H113" s="1224">
        <f>E113-F113</f>
        <v>33093.952044321872</v>
      </c>
      <c r="I113" s="534">
        <f t="shared" si="13"/>
        <v>0</v>
      </c>
    </row>
    <row r="114" spans="1:9">
      <c r="B114" s="1265"/>
      <c r="C114" s="1228"/>
      <c r="D114" s="1238"/>
      <c r="E114" s="1239"/>
      <c r="F114" s="1223"/>
      <c r="G114" s="1223"/>
      <c r="H114" s="1224"/>
      <c r="I114" s="534">
        <f t="shared" si="13"/>
        <v>0</v>
      </c>
    </row>
    <row r="115" spans="1:9">
      <c r="A115" s="536"/>
      <c r="B115" s="1229"/>
      <c r="C115" s="1270" t="s">
        <v>495</v>
      </c>
      <c r="D115" s="1270"/>
      <c r="E115" s="1255">
        <f>SUM(E113:E114)</f>
        <v>33093.952044321872</v>
      </c>
      <c r="F115" s="1271">
        <f>SUM(F113:F114)</f>
        <v>0</v>
      </c>
      <c r="G115" s="1271">
        <f>SUM(G113:G114)</f>
        <v>0</v>
      </c>
      <c r="H115" s="1272">
        <f>SUM(H113:H114)</f>
        <v>33093.952044321872</v>
      </c>
      <c r="I115" s="534">
        <f t="shared" si="13"/>
        <v>0</v>
      </c>
    </row>
    <row r="116" spans="1:9">
      <c r="A116" s="538"/>
      <c r="B116" s="1229"/>
      <c r="C116" s="1266"/>
      <c r="D116" s="1238"/>
      <c r="E116" s="1239"/>
      <c r="F116" s="1223"/>
      <c r="G116" s="1223"/>
      <c r="H116" s="1224"/>
      <c r="I116" s="534">
        <f t="shared" si="13"/>
        <v>0</v>
      </c>
    </row>
    <row r="117" spans="1:9">
      <c r="A117" s="58">
        <v>4280</v>
      </c>
      <c r="B117" s="1265">
        <v>57125</v>
      </c>
      <c r="C117" s="1266" t="s">
        <v>81</v>
      </c>
      <c r="D117" s="1238" t="s">
        <v>187</v>
      </c>
      <c r="E117" s="1239">
        <f>VLOOKUP(B117,'Master IS (C)'!$B$34:L$330,11,FALSE)</f>
        <v>2727.2582023233258</v>
      </c>
      <c r="F117" s="1223">
        <f t="shared" ref="F117:F122" si="21">IF(($E117=0),0,IF(($D117="ACT"),"0",(VLOOKUP($D117,$D$9:$H$12,3,FALSE)*$E117)))</f>
        <v>2598.3580756829747</v>
      </c>
      <c r="G117" s="1223">
        <f t="shared" ref="G117:G122" si="22">IF(($E117=0),0,IF(($D117="ACT"),"0",(VLOOKUP($D117,$D$9:$H$12,4,FALSE)*$E117)))</f>
        <v>14.253526174900292</v>
      </c>
      <c r="H117" s="1224">
        <f t="shared" ref="H117:H122" si="23">IF(($E117=0),0,IF(($D117="ACT"),"0",(VLOOKUP($D117,$D$9:$H$12,5,FALSE)*$E117)))</f>
        <v>114.64660046545073</v>
      </c>
      <c r="I117" s="534">
        <f t="shared" si="13"/>
        <v>0</v>
      </c>
    </row>
    <row r="118" spans="1:9">
      <c r="A118" s="58">
        <v>4280</v>
      </c>
      <c r="B118" s="1265">
        <v>57255</v>
      </c>
      <c r="C118" s="1266" t="s">
        <v>140</v>
      </c>
      <c r="D118" s="1238" t="s">
        <v>187</v>
      </c>
      <c r="E118" s="1239">
        <f>VLOOKUP(B118,'Master IS (C)'!$B$34:L$330,11,FALSE)</f>
        <v>0</v>
      </c>
      <c r="F118" s="1223">
        <f t="shared" si="21"/>
        <v>0</v>
      </c>
      <c r="G118" s="1223">
        <f t="shared" si="22"/>
        <v>0</v>
      </c>
      <c r="H118" s="1224">
        <f t="shared" si="23"/>
        <v>0</v>
      </c>
      <c r="I118" s="534">
        <f t="shared" si="13"/>
        <v>0</v>
      </c>
    </row>
    <row r="119" spans="1:9">
      <c r="A119" s="58">
        <v>4260</v>
      </c>
      <c r="B119" s="1265">
        <v>57324</v>
      </c>
      <c r="C119" s="1266" t="s">
        <v>106</v>
      </c>
      <c r="D119" s="1238" t="s">
        <v>187</v>
      </c>
      <c r="E119" s="1239">
        <f>VLOOKUP(B119,'Master IS (C)'!$B$34:L$330,11,FALSE)</f>
        <v>0</v>
      </c>
      <c r="F119" s="1223">
        <f t="shared" si="21"/>
        <v>0</v>
      </c>
      <c r="G119" s="1223">
        <f t="shared" si="22"/>
        <v>0</v>
      </c>
      <c r="H119" s="1224">
        <f t="shared" si="23"/>
        <v>0</v>
      </c>
      <c r="I119" s="534">
        <f t="shared" si="13"/>
        <v>0</v>
      </c>
    </row>
    <row r="120" spans="1:9">
      <c r="A120" s="58">
        <v>4280</v>
      </c>
      <c r="B120" s="1265">
        <v>50090</v>
      </c>
      <c r="C120" s="1266" t="s">
        <v>73</v>
      </c>
      <c r="D120" s="1238" t="s">
        <v>187</v>
      </c>
      <c r="E120" s="1239">
        <f>VLOOKUP(B120,'Master IS (C)'!$B$34:L$330,11,FALSE)</f>
        <v>45230.19999040672</v>
      </c>
      <c r="F120" s="1223">
        <f t="shared" si="21"/>
        <v>43092.456486045761</v>
      </c>
      <c r="G120" s="1223">
        <f t="shared" si="22"/>
        <v>236.38753342460637</v>
      </c>
      <c r="H120" s="1224">
        <f t="shared" si="23"/>
        <v>1901.3559709363506</v>
      </c>
      <c r="I120" s="534">
        <f t="shared" si="13"/>
        <v>0</v>
      </c>
    </row>
    <row r="121" spans="1:9">
      <c r="A121" s="58">
        <v>4280</v>
      </c>
      <c r="B121" s="1265">
        <v>56090</v>
      </c>
      <c r="C121" s="1266" t="s">
        <v>73</v>
      </c>
      <c r="D121" s="1238" t="s">
        <v>187</v>
      </c>
      <c r="E121" s="1239">
        <f>VLOOKUP(B121,'Master IS (C)'!$B$34:L$330,11,FALSE)</f>
        <v>147.5660661805266</v>
      </c>
      <c r="F121" s="1223">
        <f t="shared" si="21"/>
        <v>140.59155800880885</v>
      </c>
      <c r="G121" s="1223">
        <f t="shared" si="22"/>
        <v>0.77122759592010459</v>
      </c>
      <c r="H121" s="1224">
        <f t="shared" si="23"/>
        <v>6.2032805757976472</v>
      </c>
      <c r="I121" s="534">
        <f t="shared" ref="I121" si="24">+E121-SUM(F121:H121)</f>
        <v>0</v>
      </c>
    </row>
    <row r="122" spans="1:9">
      <c r="A122" s="58">
        <v>4280</v>
      </c>
      <c r="B122" s="1265">
        <v>70324</v>
      </c>
      <c r="C122" s="1266" t="s">
        <v>106</v>
      </c>
      <c r="D122" s="1238" t="s">
        <v>486</v>
      </c>
      <c r="E122" s="1239">
        <f>VLOOKUP(B122,'Master IS (C)'!$B$34:L$330,11,FALSE)</f>
        <v>0</v>
      </c>
      <c r="F122" s="1223">
        <f t="shared" si="21"/>
        <v>0</v>
      </c>
      <c r="G122" s="1223">
        <f t="shared" si="22"/>
        <v>0</v>
      </c>
      <c r="H122" s="1224">
        <f t="shared" si="23"/>
        <v>0</v>
      </c>
      <c r="I122" s="534">
        <f t="shared" si="13"/>
        <v>0</v>
      </c>
    </row>
    <row r="123" spans="1:9">
      <c r="B123" s="1229"/>
      <c r="C123" s="1266"/>
      <c r="D123" s="1238"/>
      <c r="E123" s="1239"/>
      <c r="F123" s="1223"/>
      <c r="G123" s="1223"/>
      <c r="H123" s="1224"/>
      <c r="I123" s="534">
        <f t="shared" si="13"/>
        <v>0</v>
      </c>
    </row>
    <row r="124" spans="1:9">
      <c r="A124" s="536"/>
      <c r="B124" s="1229"/>
      <c r="C124" s="1270" t="s">
        <v>496</v>
      </c>
      <c r="D124" s="1270"/>
      <c r="E124" s="1255">
        <f>SUM(E117:E123)</f>
        <v>48105.024258910569</v>
      </c>
      <c r="F124" s="1271">
        <f>SUM(F117:F123)</f>
        <v>45831.406119737549</v>
      </c>
      <c r="G124" s="1271">
        <f>SUM(G117:G123)</f>
        <v>251.41228719542676</v>
      </c>
      <c r="H124" s="1272">
        <f>SUM(H117:H123)</f>
        <v>2022.205851977599</v>
      </c>
      <c r="I124" s="534">
        <f t="shared" ref="I124:I140" si="25">+E124-SUM(F124:H124)</f>
        <v>0</v>
      </c>
    </row>
    <row r="125" spans="1:9">
      <c r="A125" s="538"/>
      <c r="B125" s="1229"/>
      <c r="C125" s="1228"/>
      <c r="D125" s="1238"/>
      <c r="E125" s="1239"/>
      <c r="F125" s="1223">
        <f>IF(($E125=0),0,IF(($D125="ACT"),"0",(VLOOKUP($D125,$D$9:$H$12,3,FALSE)*$E125)))</f>
        <v>0</v>
      </c>
      <c r="G125" s="1223"/>
      <c r="H125" s="1224">
        <f>IF(($E125=0),0,IF(($D125="ACT"),"0",(VLOOKUP($D125,$D$9:$H$12,5,FALSE)*$E125)))</f>
        <v>0</v>
      </c>
      <c r="I125" s="534">
        <f t="shared" si="25"/>
        <v>0</v>
      </c>
    </row>
    <row r="126" spans="1:9">
      <c r="A126" s="536"/>
      <c r="B126" s="1229"/>
      <c r="C126" s="1273" t="s">
        <v>521</v>
      </c>
      <c r="D126" s="1273"/>
      <c r="E126" s="1244">
        <f>E124+E115+E111+E105+E95</f>
        <v>3927604.9744215142</v>
      </c>
      <c r="F126" s="1274">
        <f>F124+F115+F111+F105+F95</f>
        <v>3711838.991345759</v>
      </c>
      <c r="G126" s="1274">
        <f>G124+G115+G111+G105+G95</f>
        <v>20199.519143945203</v>
      </c>
      <c r="H126" s="1275">
        <f>H124+H115+H111+H105+H95</f>
        <v>195566.46393180991</v>
      </c>
      <c r="I126" s="534">
        <f t="shared" si="25"/>
        <v>0</v>
      </c>
    </row>
    <row r="127" spans="1:9">
      <c r="A127" s="538"/>
      <c r="B127" s="1229"/>
      <c r="C127" s="1266"/>
      <c r="D127" s="1238"/>
      <c r="E127" s="1239"/>
      <c r="F127" s="1223"/>
      <c r="G127" s="1223"/>
      <c r="H127" s="1224"/>
      <c r="I127" s="534">
        <f t="shared" si="25"/>
        <v>0</v>
      </c>
    </row>
    <row r="128" spans="1:9">
      <c r="A128" s="58">
        <v>4360</v>
      </c>
      <c r="B128" s="1265">
        <v>40101</v>
      </c>
      <c r="C128" s="1266" t="s">
        <v>47</v>
      </c>
      <c r="D128" s="1238" t="s">
        <v>186</v>
      </c>
      <c r="E128" s="1239">
        <f>VLOOKUP(B128,'Master IS (C)'!$B$34:L$330,11,FALSE)</f>
        <v>1948596.909609549</v>
      </c>
      <c r="F128" s="1223">
        <f>E128-G128</f>
        <v>1945236.0199999998</v>
      </c>
      <c r="G128" s="1223">
        <f>'Disposal 4.21-3-22'!D59</f>
        <v>3360.8896095491909</v>
      </c>
      <c r="H128" s="1224" t="str">
        <f>IF(($E128=0),0,IF(($D128="ACT"),"0",(VLOOKUP($D128,$D$9:$H$12,5,FALSE)*$E128)))</f>
        <v>0</v>
      </c>
      <c r="I128" s="534">
        <f t="shared" si="25"/>
        <v>0</v>
      </c>
    </row>
    <row r="129" spans="1:9">
      <c r="B129" s="1265"/>
      <c r="C129" s="1266" t="s">
        <v>234</v>
      </c>
      <c r="D129" s="1238" t="s">
        <v>186</v>
      </c>
      <c r="E129" s="1239">
        <f>'Master IS (C)'!L138</f>
        <v>1589078.5899999999</v>
      </c>
      <c r="F129" s="1223">
        <f>E129</f>
        <v>1589078.5899999999</v>
      </c>
      <c r="G129" s="1223" t="str">
        <f>IF(($E129=0),0,IF(($D129="ACT"),"0",(VLOOKUP($D129,$D$9:$H$12,4,FALSE)*$E129)))</f>
        <v>0</v>
      </c>
      <c r="H129" s="1224" t="str">
        <f>IF(($E129=0),0,IF(($D129="ACT"),"0",(VLOOKUP($D129,$D$9:$H$12,5,FALSE)*$E129)))</f>
        <v>0</v>
      </c>
      <c r="I129" s="534">
        <f t="shared" si="25"/>
        <v>0</v>
      </c>
    </row>
    <row r="130" spans="1:9">
      <c r="A130" s="58">
        <v>4360</v>
      </c>
      <c r="B130" s="1265">
        <v>40139</v>
      </c>
      <c r="C130" s="1266" t="s">
        <v>2015</v>
      </c>
      <c r="D130" s="1238" t="s">
        <v>186</v>
      </c>
      <c r="E130" s="1239">
        <f>VLOOKUP(B130,'Master IS (C)'!$B$34:L$330,11,FALSE)</f>
        <v>0</v>
      </c>
      <c r="F130" s="1223">
        <f>IF(($E130=0),0,IF(($D130="ACT"),"0",(VLOOKUP($D130,$D$9:$H$12,3,FALSE)*$E130)))</f>
        <v>0</v>
      </c>
      <c r="G130" s="1223">
        <f>IF(($E130=0),0,IF(($D130="ACT"),"0",(VLOOKUP($D130,$D$9:$H$12,4,FALSE)*$E130)))</f>
        <v>0</v>
      </c>
      <c r="H130" s="1224">
        <f>+E130</f>
        <v>0</v>
      </c>
      <c r="I130" s="534">
        <f t="shared" ref="I130" si="26">+E130-SUM(F130:H130)</f>
        <v>0</v>
      </c>
    </row>
    <row r="131" spans="1:9">
      <c r="A131" s="58">
        <v>4360</v>
      </c>
      <c r="B131" s="1265">
        <v>40861</v>
      </c>
      <c r="C131" s="1266" t="s">
        <v>607</v>
      </c>
      <c r="D131" s="1238" t="s">
        <v>186</v>
      </c>
      <c r="E131" s="1239">
        <f>VLOOKUP(B131,'Master IS (C)'!$B$34:L$330,11,FALSE)</f>
        <v>0</v>
      </c>
      <c r="F131" s="1223">
        <f>IF(($E131=0),0,IF(($D131="ACT"),"0",(VLOOKUP($D131,$D$9:$H$12,3,FALSE)*$E131)))</f>
        <v>0</v>
      </c>
      <c r="G131" s="1223">
        <f>IF(($E131=0),0,IF(($D131="ACT"),"0",(VLOOKUP($D131,$D$9:$H$12,4,FALSE)*$E131)))</f>
        <v>0</v>
      </c>
      <c r="H131" s="1224">
        <f>+E131</f>
        <v>0</v>
      </c>
      <c r="I131" s="534">
        <f t="shared" si="25"/>
        <v>0</v>
      </c>
    </row>
    <row r="132" spans="1:9">
      <c r="B132" s="1265"/>
      <c r="C132" s="1266"/>
      <c r="D132" s="1238"/>
      <c r="E132" s="1239"/>
      <c r="F132" s="1223"/>
      <c r="G132" s="1223"/>
      <c r="H132" s="1224"/>
      <c r="I132" s="534">
        <f t="shared" si="25"/>
        <v>0</v>
      </c>
    </row>
    <row r="133" spans="1:9">
      <c r="A133" s="536"/>
      <c r="B133" s="1229"/>
      <c r="C133" s="1270" t="s">
        <v>507</v>
      </c>
      <c r="D133" s="1270"/>
      <c r="E133" s="1255">
        <f>SUM(E128:E132)</f>
        <v>3537675.4996095486</v>
      </c>
      <c r="F133" s="1255">
        <f>SUM(F128:F132)</f>
        <v>3534314.6099999994</v>
      </c>
      <c r="G133" s="1255">
        <f>SUM(G128:G132)</f>
        <v>3360.8896095491909</v>
      </c>
      <c r="H133" s="1256">
        <f>SUM(H128:H132)</f>
        <v>0</v>
      </c>
      <c r="I133" s="534">
        <f t="shared" si="25"/>
        <v>0</v>
      </c>
    </row>
    <row r="134" spans="1:9">
      <c r="A134" s="538"/>
      <c r="B134" s="1229"/>
      <c r="C134" s="1228"/>
      <c r="D134" s="1238"/>
      <c r="E134" s="1239"/>
      <c r="F134" s="1223"/>
      <c r="G134" s="1223"/>
      <c r="H134" s="1224"/>
      <c r="I134" s="534">
        <f t="shared" si="25"/>
        <v>0</v>
      </c>
    </row>
    <row r="135" spans="1:9">
      <c r="A135" s="538"/>
      <c r="B135" s="1229"/>
      <c r="C135" s="1228"/>
      <c r="D135" s="1238"/>
      <c r="E135" s="1239"/>
      <c r="F135" s="1223"/>
      <c r="G135" s="1223"/>
      <c r="H135" s="1224"/>
      <c r="I135" s="534">
        <f t="shared" si="25"/>
        <v>0</v>
      </c>
    </row>
    <row r="136" spans="1:9">
      <c r="A136" s="536"/>
      <c r="B136" s="1229"/>
      <c r="C136" s="1273" t="s">
        <v>519</v>
      </c>
      <c r="D136" s="1273"/>
      <c r="E136" s="1244">
        <f>E133</f>
        <v>3537675.4996095486</v>
      </c>
      <c r="F136" s="1244">
        <f>F133</f>
        <v>3534314.6099999994</v>
      </c>
      <c r="G136" s="1244">
        <f>G133</f>
        <v>3360.8896095491909</v>
      </c>
      <c r="H136" s="1245">
        <f>H133</f>
        <v>0</v>
      </c>
      <c r="I136" s="534">
        <f t="shared" si="25"/>
        <v>0</v>
      </c>
    </row>
    <row r="137" spans="1:9">
      <c r="A137" s="538"/>
      <c r="B137" s="1229"/>
      <c r="C137" s="1228"/>
      <c r="D137" s="1238"/>
      <c r="E137" s="1239"/>
      <c r="F137" s="1223"/>
      <c r="G137" s="1223"/>
      <c r="H137" s="1224"/>
      <c r="I137" s="534">
        <f t="shared" si="25"/>
        <v>0</v>
      </c>
    </row>
    <row r="138" spans="1:9">
      <c r="A138" s="58">
        <v>4450</v>
      </c>
      <c r="B138" s="1265">
        <v>70225</v>
      </c>
      <c r="C138" s="1228" t="s">
        <v>123</v>
      </c>
      <c r="D138" s="1238" t="s">
        <v>486</v>
      </c>
      <c r="E138" s="1239">
        <f>VLOOKUP(B138,'Master IS (C)'!$B$34:L$330,11,FALSE)</f>
        <v>4969.0579031008701</v>
      </c>
      <c r="F138" s="1223">
        <f>IF(($E138=0),0,IF(($D138="ACT"),"0",(VLOOKUP($D138,$D$9:$H$12,3,FALSE)*$E138)))</f>
        <v>4229.3306498719649</v>
      </c>
      <c r="G138" s="1223">
        <f>IF(($E138=0),0,IF(($D138="ACT"),"0",(VLOOKUP($D138,$D$9:$H$12,4,FALSE)*$E138)))</f>
        <v>126.35607191312019</v>
      </c>
      <c r="H138" s="1224">
        <f>IF(($E138=0),0,IF(($D138="ACT"),"0",(VLOOKUP($D138,$D$9:$H$12,5,FALSE)*$E138)))</f>
        <v>613.37118131578598</v>
      </c>
      <c r="I138" s="534">
        <f t="shared" si="25"/>
        <v>0</v>
      </c>
    </row>
    <row r="139" spans="1:9">
      <c r="A139" s="538"/>
      <c r="B139" s="1229"/>
      <c r="C139" s="1228"/>
      <c r="D139" s="1238"/>
      <c r="E139" s="1239"/>
      <c r="F139" s="1223"/>
      <c r="G139" s="1223"/>
      <c r="H139" s="1224"/>
      <c r="I139" s="534">
        <f t="shared" si="25"/>
        <v>0</v>
      </c>
    </row>
    <row r="140" spans="1:9">
      <c r="A140" s="536"/>
      <c r="B140" s="1229"/>
      <c r="C140" s="1270" t="s">
        <v>497</v>
      </c>
      <c r="D140" s="1270"/>
      <c r="E140" s="1255">
        <f>SUM(E138:E139)</f>
        <v>4969.0579031008701</v>
      </c>
      <c r="F140" s="1271">
        <f>SUM(F138:F139)</f>
        <v>4229.3306498719649</v>
      </c>
      <c r="G140" s="1271">
        <f>SUM(G138:G139)</f>
        <v>126.35607191312019</v>
      </c>
      <c r="H140" s="1272">
        <f>SUM(H138:H139)</f>
        <v>613.37118131578598</v>
      </c>
      <c r="I140" s="534">
        <f t="shared" si="25"/>
        <v>0</v>
      </c>
    </row>
    <row r="141" spans="1:9">
      <c r="A141" s="536"/>
      <c r="B141" s="1229"/>
      <c r="C141" s="1276"/>
      <c r="D141" s="1276"/>
      <c r="E141" s="1239"/>
      <c r="F141" s="1277"/>
      <c r="G141" s="1277"/>
      <c r="H141" s="1278"/>
      <c r="I141" s="534"/>
    </row>
    <row r="142" spans="1:9">
      <c r="A142" s="538"/>
      <c r="B142" s="1229"/>
      <c r="C142" s="1228"/>
      <c r="D142" s="1238"/>
      <c r="E142" s="1239"/>
      <c r="F142" s="1223"/>
      <c r="G142" s="1223"/>
      <c r="H142" s="1224"/>
      <c r="I142" s="534"/>
    </row>
    <row r="143" spans="1:9">
      <c r="A143" s="536"/>
      <c r="B143" s="1229"/>
      <c r="C143" s="1273" t="s">
        <v>520</v>
      </c>
      <c r="D143" s="1273"/>
      <c r="E143" s="1244">
        <f>E140</f>
        <v>4969.0579031008701</v>
      </c>
      <c r="F143" s="1244">
        <f>F140</f>
        <v>4229.3306498719649</v>
      </c>
      <c r="G143" s="1244">
        <f>G140</f>
        <v>126.35607191312019</v>
      </c>
      <c r="H143" s="1245">
        <f>H140</f>
        <v>613.37118131578598</v>
      </c>
      <c r="I143" s="534">
        <f t="shared" ref="I143" si="27">+E143-SUM(F143:H143)</f>
        <v>0</v>
      </c>
    </row>
    <row r="144" spans="1:9">
      <c r="A144" s="536"/>
      <c r="B144" s="1229"/>
      <c r="C144" s="1279"/>
      <c r="D144" s="1279"/>
      <c r="E144" s="1280"/>
      <c r="F144" s="1280"/>
      <c r="G144" s="1280"/>
      <c r="H144" s="1281"/>
      <c r="I144" s="534"/>
    </row>
    <row r="145" spans="1:9">
      <c r="A145" s="58">
        <v>4530</v>
      </c>
      <c r="B145" s="1265">
        <v>59340</v>
      </c>
      <c r="C145" s="1266" t="s">
        <v>112</v>
      </c>
      <c r="D145" s="1238" t="s">
        <v>187</v>
      </c>
      <c r="E145" s="1239">
        <f>VLOOKUP(B145,'Master IS (C)'!$B$34:L$330,11,FALSE)</f>
        <v>79323.659303388893</v>
      </c>
      <c r="F145" s="1223">
        <f>IF(($E145=0),0,IF(($D145="ACT"),"0",(VLOOKUP($D145,$D$9:$H$12,3,FALSE)*$E145)))</f>
        <v>75574.535101994086</v>
      </c>
      <c r="G145" s="1223">
        <f>IF(($E145=0),0,IF(($D145="ACT"),"0",(VLOOKUP($D145,$D$9:$H$12,4,FALSE)*$E145)))</f>
        <v>414.57088778999486</v>
      </c>
      <c r="H145" s="1224">
        <f>IF(($E145=0),0,IF(($D145="ACT"),"0",(VLOOKUP($D145,$D$9:$H$12,5,FALSE)*$E145)))</f>
        <v>3334.5533136048161</v>
      </c>
      <c r="I145" s="534">
        <f t="shared" ref="I145:I206" si="28">+E145-SUM(F145:H145)</f>
        <v>0</v>
      </c>
    </row>
    <row r="146" spans="1:9">
      <c r="A146" s="58">
        <v>4530</v>
      </c>
      <c r="B146" s="1265">
        <v>59341</v>
      </c>
      <c r="C146" s="1266" t="s">
        <v>609</v>
      </c>
      <c r="D146" s="1238" t="s">
        <v>187</v>
      </c>
      <c r="E146" s="1239">
        <f>VLOOKUP(B146,'Master IS (C)'!$B$34:L$330,11,FALSE)</f>
        <v>22442.377360552349</v>
      </c>
      <c r="F146" s="1223">
        <f>IF(($E146=0),0,IF(($D146="ACT"),"0",(VLOOKUP($D146,$D$9:$H$12,3,FALSE)*$E146)))</f>
        <v>21381.669107325215</v>
      </c>
      <c r="G146" s="1223">
        <f>IF(($E146=0),0,IF(($D146="ACT"),"0",(VLOOKUP($D146,$D$9:$H$12,4,FALSE)*$E146)))</f>
        <v>117.29106282020429</v>
      </c>
      <c r="H146" s="1224">
        <f>IF(($E146=0),0,IF(($D146="ACT"),"0",(VLOOKUP($D146,$D$9:$H$12,5,FALSE)*$E146)))</f>
        <v>943.41719040692828</v>
      </c>
      <c r="I146" s="534">
        <f t="shared" si="28"/>
        <v>0</v>
      </c>
    </row>
    <row r="147" spans="1:9">
      <c r="A147" s="58">
        <v>4530</v>
      </c>
      <c r="B147" s="1265">
        <v>59342</v>
      </c>
      <c r="C147" s="1266" t="s">
        <v>252</v>
      </c>
      <c r="D147" s="1238" t="s">
        <v>187</v>
      </c>
      <c r="E147" s="1239">
        <f>VLOOKUP(B147,'Master IS (C)'!$B$34:L$330,11,FALSE)</f>
        <v>3490.2095778480616</v>
      </c>
      <c r="F147" s="1223">
        <f>IF(($E147=0),0,IF(($D147="ACT"),"0",(VLOOKUP($D147,$D$9:$H$12,3,FALSE)*$E147)))</f>
        <v>3325.2495985535725</v>
      </c>
      <c r="G147" s="1223">
        <f>IF(($E147=0),0,IF(($D147="ACT"),"0",(VLOOKUP($D147,$D$9:$H$12,4,FALSE)*$E147)))</f>
        <v>18.240954791653156</v>
      </c>
      <c r="H147" s="1224">
        <f>IF(($E147=0),0,IF(($D147="ACT"),"0",(VLOOKUP($D147,$D$9:$H$12,5,FALSE)*$E147)))</f>
        <v>146.71902450283588</v>
      </c>
      <c r="I147" s="534">
        <f t="shared" si="28"/>
        <v>0</v>
      </c>
    </row>
    <row r="148" spans="1:9">
      <c r="A148" s="58">
        <v>4530</v>
      </c>
      <c r="B148" s="1265">
        <v>59343</v>
      </c>
      <c r="C148" s="1266" t="s">
        <v>604</v>
      </c>
      <c r="D148" s="1238" t="s">
        <v>187</v>
      </c>
      <c r="E148" s="1239">
        <f>VLOOKUP(B148,'Master IS (C)'!$B$34:L$330,11,FALSE)</f>
        <v>22384.25039792118</v>
      </c>
      <c r="F148" s="1223">
        <f>IF(($E148=0),0,IF(($D148="ACT"),"0",(VLOOKUP($D148,$D$9:$H$12,3,FALSE)*$E148)))</f>
        <v>21326.289436035218</v>
      </c>
      <c r="G148" s="1223">
        <f>IF(($E148=0),0,IF(($D148="ACT"),"0",(VLOOKUP($D148,$D$9:$H$12,4,FALSE)*$E148)))</f>
        <v>116.98727266838624</v>
      </c>
      <c r="H148" s="1224">
        <f>IF(($E148=0),0,IF(($D148="ACT"),"0",(VLOOKUP($D148,$D$9:$H$12,5,FALSE)*$E148)))</f>
        <v>940.97368921757675</v>
      </c>
      <c r="I148" s="534">
        <f t="shared" si="28"/>
        <v>0</v>
      </c>
    </row>
    <row r="149" spans="1:9">
      <c r="A149" s="58">
        <v>4530</v>
      </c>
      <c r="B149" s="1229">
        <v>59400</v>
      </c>
      <c r="C149" s="1266" t="s">
        <v>490</v>
      </c>
      <c r="D149" s="1238" t="s">
        <v>187</v>
      </c>
      <c r="E149" s="1239">
        <f>VLOOKUP(B149,'Master IS (C)'!$B$34:L$330,11,FALSE)</f>
        <v>12093.179087456781</v>
      </c>
      <c r="F149" s="1223">
        <f>IF(($E149=0),0,IF(($D149="ACT"),"0",(VLOOKUP($D149,$D$9:$H$12,3,FALSE)*$E149)))</f>
        <v>11521.611527579362</v>
      </c>
      <c r="G149" s="1223">
        <f>IF(($E149=0),0,IF(($D149="ACT"),"0",(VLOOKUP($D149,$D$9:$H$12,4,FALSE)*$E149)))</f>
        <v>63.202832982216826</v>
      </c>
      <c r="H149" s="1224">
        <f>IF(($E149=0),0,IF(($D149="ACT"),"0",(VLOOKUP($D149,$D$9:$H$12,5,FALSE)*$E149)))</f>
        <v>508.36472689520372</v>
      </c>
      <c r="I149" s="534">
        <f t="shared" si="28"/>
        <v>0</v>
      </c>
    </row>
    <row r="150" spans="1:9">
      <c r="B150" s="1265"/>
      <c r="C150" s="1266"/>
      <c r="D150" s="1238"/>
      <c r="E150" s="1239"/>
      <c r="F150" s="1223"/>
      <c r="G150" s="1223"/>
      <c r="H150" s="1224"/>
      <c r="I150" s="534">
        <f t="shared" si="28"/>
        <v>0</v>
      </c>
    </row>
    <row r="151" spans="1:9">
      <c r="A151" s="536"/>
      <c r="B151" s="1229"/>
      <c r="C151" s="1270" t="s">
        <v>253</v>
      </c>
      <c r="D151" s="1270"/>
      <c r="E151" s="1255">
        <f>SUM(E145:E150)</f>
        <v>139733.67572716725</v>
      </c>
      <c r="F151" s="1255">
        <f>SUM(F145:F150)</f>
        <v>133129.35477148747</v>
      </c>
      <c r="G151" s="1255">
        <f>SUM(G145:G150)</f>
        <v>730.29301105245543</v>
      </c>
      <c r="H151" s="1256">
        <f>SUM(H145:H150)</f>
        <v>5874.0279446273607</v>
      </c>
      <c r="I151" s="534">
        <f t="shared" si="28"/>
        <v>0</v>
      </c>
    </row>
    <row r="152" spans="1:9">
      <c r="B152" s="1265"/>
      <c r="C152" s="1266"/>
      <c r="D152" s="1238"/>
      <c r="E152" s="1239"/>
      <c r="F152" s="1223"/>
      <c r="G152" s="1223"/>
      <c r="H152" s="1224"/>
      <c r="I152" s="534">
        <f t="shared" si="28"/>
        <v>0</v>
      </c>
    </row>
    <row r="153" spans="1:9">
      <c r="A153" s="58">
        <v>4540</v>
      </c>
      <c r="B153" s="1265">
        <v>59344</v>
      </c>
      <c r="C153" s="1266" t="s">
        <v>254</v>
      </c>
      <c r="D153" s="1238" t="s">
        <v>187</v>
      </c>
      <c r="E153" s="1239">
        <f>VLOOKUP(B153,'Master IS (C)'!$B$34:L$330,11,FALSE)</f>
        <v>11322.200743151552</v>
      </c>
      <c r="F153" s="1223">
        <f>IF(($E153=0),0,IF(($D153="ACT"),"0",(VLOOKUP($D153,$D$9:$H$12,3,FALSE)*$E153)))</f>
        <v>10787.072419622657</v>
      </c>
      <c r="G153" s="1223">
        <f>IF(($E153=0),0,IF(($D153="ACT"),"0",(VLOOKUP($D153,$D$9:$H$12,4,FALSE)*$E153)))</f>
        <v>59.17345285184475</v>
      </c>
      <c r="H153" s="1224">
        <f>IF(($E153=0),0,IF(($D153="ACT"),"0",(VLOOKUP($D153,$D$9:$H$12,5,FALSE)*$E153)))</f>
        <v>475.95487067705113</v>
      </c>
      <c r="I153" s="534">
        <f t="shared" si="28"/>
        <v>0</v>
      </c>
    </row>
    <row r="154" spans="1:9">
      <c r="A154" s="58">
        <v>4540</v>
      </c>
      <c r="B154" s="1265">
        <v>59500</v>
      </c>
      <c r="C154" s="1266" t="s">
        <v>255</v>
      </c>
      <c r="D154" s="1238" t="s">
        <v>187</v>
      </c>
      <c r="E154" s="1239">
        <f>VLOOKUP(B154,'Master IS (C)'!$B$34:L$330,11,FALSE)</f>
        <v>14176.793469524659</v>
      </c>
      <c r="F154" s="1223">
        <f>IF(($E154=0),0,IF(($D154="ACT"),"0",(VLOOKUP($D154,$D$9:$H$12,3,FALSE)*$E154)))</f>
        <v>13506.746727335345</v>
      </c>
      <c r="G154" s="1223">
        <f>IF(($E154=0),0,IF(($D154="ACT"),"0",(VLOOKUP($D154,$D$9:$H$12,4,FALSE)*$E154)))</f>
        <v>74.09247009391494</v>
      </c>
      <c r="H154" s="1224">
        <f>IF(($E154=0),0,IF(($D154="ACT"),"0",(VLOOKUP($D154,$D$9:$H$12,5,FALSE)*$E154)))</f>
        <v>595.95427209539923</v>
      </c>
      <c r="I154" s="534">
        <f t="shared" si="28"/>
        <v>0</v>
      </c>
    </row>
    <row r="155" spans="1:9">
      <c r="A155" s="58">
        <v>4540</v>
      </c>
      <c r="B155" s="1229">
        <v>57370</v>
      </c>
      <c r="C155" s="1266" t="s">
        <v>256</v>
      </c>
      <c r="D155" s="1238" t="s">
        <v>187</v>
      </c>
      <c r="E155" s="1239">
        <f>VLOOKUP(B155,'Master IS (C)'!$B$34:L$330,11,FALSE)</f>
        <v>1197.5870814374455</v>
      </c>
      <c r="F155" s="1223">
        <f>IF(($E155=0),0,IF(($D155="ACT"),"0",(VLOOKUP($D155,$D$9:$H$12,3,FALSE)*$E155)))</f>
        <v>1140.9847669486194</v>
      </c>
      <c r="G155" s="1223">
        <f>IF(($E155=0),0,IF(($D155="ACT"),"0",(VLOOKUP($D155,$D$9:$H$12,4,FALSE)*$E155)))</f>
        <v>6.2589742318675361</v>
      </c>
      <c r="H155" s="1224">
        <f>IF(($E155=0),0,IF(($D155="ACT"),"0",(VLOOKUP($D155,$D$9:$H$12,5,FALSE)*$E155)))</f>
        <v>50.343340256958449</v>
      </c>
      <c r="I155" s="534">
        <f t="shared" si="28"/>
        <v>0</v>
      </c>
    </row>
    <row r="156" spans="1:9">
      <c r="B156" s="1229"/>
      <c r="C156" s="1266"/>
      <c r="D156" s="1238"/>
      <c r="E156" s="1239"/>
      <c r="F156" s="1223">
        <f>IF(($E156=0),0,IF(($D156="ACT"),"0",(VLOOKUP($D156,$D$9:$H$12,3,FALSE)*$E156)))</f>
        <v>0</v>
      </c>
      <c r="G156" s="1223"/>
      <c r="H156" s="1224">
        <f>IF(($E156=0),0,IF(($D156="ACT"),"0",(VLOOKUP($D156,$D$9:$H$12,5,FALSE)*$E156)))</f>
        <v>0</v>
      </c>
      <c r="I156" s="534">
        <f t="shared" si="28"/>
        <v>0</v>
      </c>
    </row>
    <row r="157" spans="1:9">
      <c r="A157" s="536"/>
      <c r="B157" s="1229"/>
      <c r="C157" s="1270" t="s">
        <v>257</v>
      </c>
      <c r="D157" s="1270"/>
      <c r="E157" s="1255">
        <f>SUM(E153:E156)</f>
        <v>26696.581294113657</v>
      </c>
      <c r="F157" s="1271">
        <f>SUM(F153:F156)</f>
        <v>25434.80391390662</v>
      </c>
      <c r="G157" s="1271">
        <f>SUM(G153:G156)</f>
        <v>139.52489717762722</v>
      </c>
      <c r="H157" s="1272">
        <f>SUM(H153:H156)</f>
        <v>1122.2524830294089</v>
      </c>
      <c r="I157" s="534">
        <f t="shared" si="28"/>
        <v>0</v>
      </c>
    </row>
    <row r="158" spans="1:9">
      <c r="B158" s="1229"/>
      <c r="C158" s="1266"/>
      <c r="D158" s="1238"/>
      <c r="E158" s="1239"/>
      <c r="F158" s="1223"/>
      <c r="G158" s="1223"/>
      <c r="H158" s="1224"/>
      <c r="I158" s="534">
        <f t="shared" si="28"/>
        <v>0</v>
      </c>
    </row>
    <row r="159" spans="1:9">
      <c r="A159" s="58">
        <v>4580</v>
      </c>
      <c r="B159" s="1265">
        <v>57254</v>
      </c>
      <c r="C159" s="1266" t="s">
        <v>243</v>
      </c>
      <c r="D159" s="1238" t="s">
        <v>187</v>
      </c>
      <c r="E159" s="1239">
        <f>VLOOKUP(B159,'Master IS (C)'!$B$34:L$330,11,FALSE)</f>
        <v>34348.02321049053</v>
      </c>
      <c r="F159" s="1223">
        <f>IF(($E159=0),0,IF(($D159="ACT"),"0",(VLOOKUP($D159,$D$9:$H$12,3,FALSE)*$E159)))</f>
        <v>32724.610899215335</v>
      </c>
      <c r="G159" s="1223">
        <f>IF(($E159=0),0,IF(($D159="ACT"),"0",(VLOOKUP($D159,$D$9:$H$12,4,FALSE)*$E159)))</f>
        <v>179.51378694901001</v>
      </c>
      <c r="H159" s="1224">
        <f>IF(($E159=0),0,IF(($D159="ACT"),"0",(VLOOKUP($D159,$D$9:$H$12,5,FALSE)*$E159)))</f>
        <v>1443.8985243261857</v>
      </c>
      <c r="I159" s="534">
        <f t="shared" si="28"/>
        <v>0</v>
      </c>
    </row>
    <row r="160" spans="1:9">
      <c r="A160" s="58">
        <v>4580</v>
      </c>
      <c r="B160" s="1265">
        <v>50086</v>
      </c>
      <c r="C160" s="1266" t="s">
        <v>242</v>
      </c>
      <c r="D160" s="1238" t="s">
        <v>187</v>
      </c>
      <c r="E160" s="1239">
        <f>VLOOKUP(B160,'Master IS (C)'!$B$34:L$330,11,FALSE)</f>
        <v>21129.222674603316</v>
      </c>
      <c r="F160" s="1223">
        <f>IF(($E160=0),0,IF(($D160="ACT"),"0",(VLOOKUP($D160,$D$9:$H$12,3,FALSE)*$E160)))</f>
        <v>20130.578880536304</v>
      </c>
      <c r="G160" s="1223">
        <f>IF(($E160=0),0,IF(($D160="ACT"),"0",(VLOOKUP($D160,$D$9:$H$12,4,FALSE)*$E160)))</f>
        <v>110.42809521709189</v>
      </c>
      <c r="H160" s="1224">
        <f>IF(($E160=0),0,IF(($D160="ACT"),"0",(VLOOKUP($D160,$D$9:$H$12,5,FALSE)*$E160)))</f>
        <v>888.21569884991982</v>
      </c>
      <c r="I160" s="534">
        <f t="shared" si="28"/>
        <v>0</v>
      </c>
    </row>
    <row r="161" spans="1:9">
      <c r="A161" s="58">
        <v>4580</v>
      </c>
      <c r="B161" s="1265">
        <v>52086</v>
      </c>
      <c r="C161" s="1266" t="s">
        <v>242</v>
      </c>
      <c r="D161" s="1238" t="s">
        <v>187</v>
      </c>
      <c r="E161" s="1239">
        <f>VLOOKUP(B161,'Master IS (C)'!$B$34:L$330,11,FALSE)</f>
        <v>10766.830844218523</v>
      </c>
      <c r="F161" s="1223">
        <f>IF(($E161=0),0,IF(($D161="ACT"),"0",(VLOOKUP($D161,$D$9:$H$12,3,FALSE)*$E161)))</f>
        <v>10257.951318930924</v>
      </c>
      <c r="G161" s="1223">
        <f>IF(($E161=0),0,IF(($D161="ACT"),"0",(VLOOKUP($D161,$D$9:$H$12,4,FALSE)*$E161)))</f>
        <v>56.270911616676727</v>
      </c>
      <c r="H161" s="1224">
        <f>IF(($E161=0),0,IF(($D161="ACT"),"0",(VLOOKUP($D161,$D$9:$H$12,5,FALSE)*$E161)))</f>
        <v>452.60861367092247</v>
      </c>
      <c r="I161" s="534">
        <f t="shared" si="28"/>
        <v>0</v>
      </c>
    </row>
    <row r="162" spans="1:9">
      <c r="A162" s="58">
        <v>4580</v>
      </c>
      <c r="B162" s="1265">
        <v>56086</v>
      </c>
      <c r="C162" s="1266" t="s">
        <v>242</v>
      </c>
      <c r="D162" s="1238" t="s">
        <v>187</v>
      </c>
      <c r="E162" s="1239">
        <f>VLOOKUP(B162,'Master IS (C)'!$B$34:L$330,11,FALSE)</f>
        <v>2276.3326804963804</v>
      </c>
      <c r="F162" s="1223">
        <f>IF(($E162=0),0,IF(($D162="ACT"),"0",(VLOOKUP($D162,$D$9:$H$12,3,FALSE)*$E162)))</f>
        <v>2168.744931547054</v>
      </c>
      <c r="G162" s="1223">
        <f>IF(($E162=0),0,IF(($D162="ACT"),"0",(VLOOKUP($D162,$D$9:$H$12,4,FALSE)*$E162)))</f>
        <v>11.89684475661155</v>
      </c>
      <c r="H162" s="1224">
        <f>IF(($E162=0),0,IF(($D162="ACT"),"0",(VLOOKUP($D162,$D$9:$H$12,5,FALSE)*$E162)))</f>
        <v>95.690904192714825</v>
      </c>
      <c r="I162" s="534">
        <f t="shared" ref="I162" si="29">+E162-SUM(F162:H162)</f>
        <v>0</v>
      </c>
    </row>
    <row r="163" spans="1:9">
      <c r="A163" s="58">
        <v>4580</v>
      </c>
      <c r="B163" s="1229">
        <v>70086</v>
      </c>
      <c r="C163" s="1266" t="s">
        <v>72</v>
      </c>
      <c r="D163" s="1238" t="s">
        <v>486</v>
      </c>
      <c r="E163" s="1239">
        <f>VLOOKUP(B163,'Master IS (C)'!$B$34:L$330,11,FALSE)</f>
        <v>68.46478772719766</v>
      </c>
      <c r="F163" s="1223">
        <f>IF(($E163=0),0,IF(($D163="ACT"),"0",(VLOOKUP($D163,$D$9:$H$12,3,FALSE)*$E163)))</f>
        <v>58.272660697094921</v>
      </c>
      <c r="G163" s="1223">
        <f>IF(($E163=0),0,IF(($D163="ACT"),"0",(VLOOKUP($D163,$D$9:$H$12,4,FALSE)*$E163)))</f>
        <v>1.7409621321127688</v>
      </c>
      <c r="H163" s="1224">
        <f>IF(($E163=0),0,IF(($D163="ACT"),"0",(VLOOKUP($D163,$D$9:$H$12,5,FALSE)*$E163)))</f>
        <v>8.4511648979899761</v>
      </c>
      <c r="I163" s="534">
        <f t="shared" si="28"/>
        <v>0</v>
      </c>
    </row>
    <row r="164" spans="1:9">
      <c r="B164" s="1265"/>
      <c r="C164" s="1266"/>
      <c r="D164" s="1238"/>
      <c r="E164" s="1239"/>
      <c r="F164" s="1223"/>
      <c r="G164" s="1223"/>
      <c r="H164" s="1224"/>
      <c r="I164" s="534">
        <f t="shared" si="28"/>
        <v>0</v>
      </c>
    </row>
    <row r="165" spans="1:9">
      <c r="A165" s="536"/>
      <c r="B165" s="1229"/>
      <c r="C165" s="1270" t="s">
        <v>493</v>
      </c>
      <c r="D165" s="1270"/>
      <c r="E165" s="1255">
        <f>SUM(E159:E164)</f>
        <v>68588.874197535944</v>
      </c>
      <c r="F165" s="1271">
        <f>SUM(F159:F164)</f>
        <v>65340.158690926713</v>
      </c>
      <c r="G165" s="1271">
        <f>SUM(G159:G164)</f>
        <v>359.85060067150289</v>
      </c>
      <c r="H165" s="1272">
        <f>SUM(H159:H164)</f>
        <v>2888.8649059377326</v>
      </c>
      <c r="I165" s="534">
        <f t="shared" si="28"/>
        <v>0</v>
      </c>
    </row>
    <row r="166" spans="1:9">
      <c r="B166" s="1227"/>
      <c r="C166" s="1225"/>
      <c r="D166" s="1238"/>
      <c r="E166" s="1239"/>
      <c r="F166" s="1223"/>
      <c r="G166" s="1223"/>
      <c r="H166" s="1224"/>
      <c r="I166" s="534">
        <f t="shared" si="28"/>
        <v>0</v>
      </c>
    </row>
    <row r="167" spans="1:9">
      <c r="A167" s="536"/>
      <c r="B167" s="1229"/>
      <c r="C167" s="1273" t="s">
        <v>494</v>
      </c>
      <c r="D167" s="1273"/>
      <c r="E167" s="1244">
        <f>E151+E157+E165</f>
        <v>235019.13121881685</v>
      </c>
      <c r="F167" s="1274">
        <f>F151+F157+F165</f>
        <v>223904.3173763208</v>
      </c>
      <c r="G167" s="1274">
        <f>G151+G157+G165</f>
        <v>1229.6685089015855</v>
      </c>
      <c r="H167" s="1275">
        <f>H151+H157+H165</f>
        <v>9885.1453335945025</v>
      </c>
      <c r="I167" s="534">
        <f t="shared" si="28"/>
        <v>0</v>
      </c>
    </row>
    <row r="168" spans="1:9">
      <c r="B168" s="1227"/>
      <c r="C168" s="1225"/>
      <c r="D168" s="1238"/>
      <c r="E168" s="1239"/>
      <c r="F168" s="1223"/>
      <c r="G168" s="1223"/>
      <c r="H168" s="1224"/>
      <c r="I168" s="534">
        <f t="shared" si="28"/>
        <v>0</v>
      </c>
    </row>
    <row r="169" spans="1:9">
      <c r="A169" s="58">
        <v>4611</v>
      </c>
      <c r="B169" s="1265">
        <v>70010</v>
      </c>
      <c r="C169" s="1266" t="s">
        <v>62</v>
      </c>
      <c r="D169" s="1238" t="s">
        <v>486</v>
      </c>
      <c r="E169" s="1239">
        <f>VLOOKUP(B169,'Master IS (C)'!$B$34:L$330,11,FALSE)</f>
        <v>351790.60459944734</v>
      </c>
      <c r="F169" s="1223">
        <f>IF(($E169=0),0,IF(($D169="ACT"),"0",(VLOOKUP($D169,$D$9:$H$12,3,FALSE)*$E169)))</f>
        <v>299420.69812488346</v>
      </c>
      <c r="G169" s="1223">
        <f>IF(($E169=0),0,IF(($D169="ACT"),"0",(VLOOKUP($D169,$D$9:$H$12,4,FALSE)*$E169)))</f>
        <v>8945.5345057236809</v>
      </c>
      <c r="H169" s="1224">
        <f>IF(($E169=0),0,IF(($D169="ACT"),"0",(VLOOKUP($D169,$D$9:$H$12,5,FALSE)*$E169)))</f>
        <v>43424.371968840256</v>
      </c>
      <c r="I169" s="534">
        <f t="shared" si="28"/>
        <v>0</v>
      </c>
    </row>
    <row r="170" spans="1:9">
      <c r="B170" s="1265"/>
      <c r="C170" s="1266"/>
      <c r="D170" s="1238"/>
      <c r="E170" s="1239"/>
      <c r="F170" s="1223"/>
      <c r="G170" s="1223"/>
      <c r="H170" s="1224"/>
      <c r="I170" s="534">
        <f t="shared" si="28"/>
        <v>0</v>
      </c>
    </row>
    <row r="171" spans="1:9">
      <c r="A171" s="536"/>
      <c r="B171" s="1229"/>
      <c r="C171" s="1270" t="s">
        <v>498</v>
      </c>
      <c r="D171" s="1270"/>
      <c r="E171" s="1255">
        <f>SUM(E169:E170)</f>
        <v>351790.60459944734</v>
      </c>
      <c r="F171" s="1271">
        <f>SUM(F169:F170)</f>
        <v>299420.69812488346</v>
      </c>
      <c r="G171" s="1271">
        <f>SUM(G169:G170)</f>
        <v>8945.5345057236809</v>
      </c>
      <c r="H171" s="1272">
        <f>SUM(H169:H170)</f>
        <v>43424.371968840256</v>
      </c>
      <c r="I171" s="534">
        <f t="shared" si="28"/>
        <v>0</v>
      </c>
    </row>
    <row r="172" spans="1:9">
      <c r="B172" s="1265"/>
      <c r="C172" s="1266"/>
      <c r="D172" s="1238"/>
      <c r="E172" s="1239"/>
      <c r="F172" s="1223"/>
      <c r="G172" s="1223"/>
      <c r="H172" s="1224"/>
      <c r="I172" s="534">
        <f t="shared" si="28"/>
        <v>0</v>
      </c>
    </row>
    <row r="173" spans="1:9">
      <c r="A173" s="58">
        <v>4613</v>
      </c>
      <c r="B173" s="1265">
        <v>70020</v>
      </c>
      <c r="C173" s="1266" t="s">
        <v>63</v>
      </c>
      <c r="D173" s="1238" t="s">
        <v>486</v>
      </c>
      <c r="E173" s="1239">
        <f>VLOOKUP(B173,'Master IS (C)'!$B$34:L$330,11,FALSE)</f>
        <v>208371.84086985819</v>
      </c>
      <c r="F173" s="1223">
        <f>IF(($E173=0),0,IF(($D173="ACT"),"0",(VLOOKUP($D173,$D$9:$H$12,3,FALSE)*$E173)))</f>
        <v>177352.21250112396</v>
      </c>
      <c r="G173" s="1223">
        <f>IF(($E173=0),0,IF(($D173="ACT"),"0",(VLOOKUP($D173,$D$9:$H$12,4,FALSE)*$E173)))</f>
        <v>5298.5994172438141</v>
      </c>
      <c r="H173" s="1224">
        <f>IF(($E173=0),0,IF(($D173="ACT"),"0",(VLOOKUP($D173,$D$9:$H$12,5,FALSE)*$E173)))</f>
        <v>25721.028951490447</v>
      </c>
      <c r="I173" s="534">
        <f t="shared" si="28"/>
        <v>0</v>
      </c>
    </row>
    <row r="174" spans="1:9">
      <c r="A174" s="58">
        <v>4613</v>
      </c>
      <c r="B174" s="1265">
        <v>70025</v>
      </c>
      <c r="C174" s="1266" t="s">
        <v>246</v>
      </c>
      <c r="D174" s="1238" t="s">
        <v>486</v>
      </c>
      <c r="E174" s="1239">
        <f>VLOOKUP(B174,'Master IS (C)'!$B$34:L$330,11,FALSE)</f>
        <v>4376.2692315224749</v>
      </c>
      <c r="F174" s="1223">
        <f>IF(($E174=0),0,IF(($D174="ACT"),"0",(VLOOKUP($D174,$D$9:$H$12,3,FALSE)*$E174)))</f>
        <v>3724.7884717583079</v>
      </c>
      <c r="G174" s="1223">
        <f>IF(($E174=0),0,IF(($D174="ACT"),"0",(VLOOKUP($D174,$D$9:$H$12,4,FALSE)*$E174)))</f>
        <v>111.28229948464821</v>
      </c>
      <c r="H174" s="1224">
        <f>IF(($E174=0),0,IF(($D174="ACT"),"0",(VLOOKUP($D174,$D$9:$H$12,5,FALSE)*$E174)))</f>
        <v>540.1984602795194</v>
      </c>
      <c r="I174" s="534">
        <f t="shared" si="28"/>
        <v>0</v>
      </c>
    </row>
    <row r="175" spans="1:9">
      <c r="A175" s="58">
        <v>4613</v>
      </c>
      <c r="B175" s="1265">
        <v>70036</v>
      </c>
      <c r="C175" s="1266" t="s">
        <v>258</v>
      </c>
      <c r="D175" s="1238" t="s">
        <v>486</v>
      </c>
      <c r="E175" s="1239">
        <f>VLOOKUP(B175,'Master IS (C)'!$B$34:L$330,11,FALSE)</f>
        <v>15568.023226360612</v>
      </c>
      <c r="F175" s="1223">
        <f>IF(($E175=0),0,IF(($D175="ACT"),"0",(VLOOKUP($D175,$D$9:$H$12,3,FALSE)*$E175)))</f>
        <v>13250.462979728532</v>
      </c>
      <c r="G175" s="1223">
        <f>IF(($E175=0),0,IF(($D175="ACT"),"0",(VLOOKUP($D175,$D$9:$H$12,4,FALSE)*$E175)))</f>
        <v>395.8726786233658</v>
      </c>
      <c r="H175" s="1224">
        <f>IF(($E175=0),0,IF(($D175="ACT"),"0",(VLOOKUP($D175,$D$9:$H$12,5,FALSE)*$E175)))</f>
        <v>1921.6875680087162</v>
      </c>
      <c r="I175" s="534">
        <f t="shared" si="28"/>
        <v>0</v>
      </c>
    </row>
    <row r="176" spans="1:9">
      <c r="A176" s="58">
        <v>4613</v>
      </c>
      <c r="B176" s="1265">
        <v>70065</v>
      </c>
      <c r="C176" s="1266" t="s">
        <v>259</v>
      </c>
      <c r="D176" s="1238" t="s">
        <v>486</v>
      </c>
      <c r="E176" s="1239">
        <f>VLOOKUP(B176,'Master IS (C)'!$B$34:L$330,11,FALSE)</f>
        <v>9048.4912009533073</v>
      </c>
      <c r="F176" s="1223">
        <f>IF(($E176=0),0,IF(($D176="ACT"),"0",(VLOOKUP($D176,$D$9:$H$12,3,FALSE)*$E176)))</f>
        <v>7701.4721739119486</v>
      </c>
      <c r="G176" s="1223">
        <f>IF(($E176=0),0,IF(($D176="ACT"),"0",(VLOOKUP($D176,$D$9:$H$12,4,FALSE)*$E176)))</f>
        <v>230.09025597778029</v>
      </c>
      <c r="H176" s="1224">
        <f>IF(($E176=0),0,IF(($D176="ACT"),"0",(VLOOKUP($D176,$D$9:$H$12,5,FALSE)*$E176)))</f>
        <v>1116.9287710635799</v>
      </c>
      <c r="I176" s="534">
        <f t="shared" si="28"/>
        <v>0</v>
      </c>
    </row>
    <row r="177" spans="1:9">
      <c r="A177" s="58">
        <v>4613</v>
      </c>
      <c r="B177" s="1229">
        <v>70070</v>
      </c>
      <c r="C177" s="1266" t="s">
        <v>260</v>
      </c>
      <c r="D177" s="1238" t="s">
        <v>486</v>
      </c>
      <c r="E177" s="1239">
        <f>VLOOKUP(B177,'Master IS (C)'!$B$34:L$330,11,FALSE)</f>
        <v>4096.5631877417818</v>
      </c>
      <c r="F177" s="1223">
        <f>IF(($E177=0),0,IF(($D177="ACT"),"0",(VLOOKUP($D177,$D$9:$H$12,3,FALSE)*$E177)))</f>
        <v>3486.7213437463965</v>
      </c>
      <c r="G177" s="1223">
        <f>IF(($E177=0),0,IF(($D177="ACT"),"0",(VLOOKUP($D177,$D$9:$H$12,4,FALSE)*$E177)))</f>
        <v>104.16977279011471</v>
      </c>
      <c r="H177" s="1224">
        <f>IF(($E177=0),0,IF(($D177="ACT"),"0",(VLOOKUP($D177,$D$9:$H$12,5,FALSE)*$E177)))</f>
        <v>505.67207120527115</v>
      </c>
      <c r="I177" s="534">
        <f t="shared" si="28"/>
        <v>0</v>
      </c>
    </row>
    <row r="178" spans="1:9">
      <c r="B178" s="1229"/>
      <c r="C178" s="1266"/>
      <c r="D178" s="1238"/>
      <c r="E178" s="1239"/>
      <c r="F178" s="1223"/>
      <c r="G178" s="1223"/>
      <c r="H178" s="1224"/>
      <c r="I178" s="534">
        <f t="shared" si="28"/>
        <v>0</v>
      </c>
    </row>
    <row r="179" spans="1:9">
      <c r="A179" s="536"/>
      <c r="B179" s="1229"/>
      <c r="C179" s="1270" t="s">
        <v>508</v>
      </c>
      <c r="D179" s="1270"/>
      <c r="E179" s="1255">
        <f>SUM(E173:E178)</f>
        <v>241461.1877164364</v>
      </c>
      <c r="F179" s="1271">
        <f>SUM(F173:F178)</f>
        <v>205515.65747026916</v>
      </c>
      <c r="G179" s="1271">
        <f>SUM(G173:G178)</f>
        <v>6140.0144241197231</v>
      </c>
      <c r="H179" s="1272">
        <f>SUM(H173:H178)</f>
        <v>29805.515822047535</v>
      </c>
      <c r="I179" s="534">
        <f t="shared" si="28"/>
        <v>0</v>
      </c>
    </row>
    <row r="180" spans="1:9">
      <c r="B180" s="1229"/>
      <c r="C180" s="1266"/>
      <c r="D180" s="1238"/>
      <c r="E180" s="1239"/>
      <c r="F180" s="1223"/>
      <c r="G180" s="1223"/>
      <c r="H180" s="1224"/>
      <c r="I180" s="534">
        <f t="shared" si="28"/>
        <v>0</v>
      </c>
    </row>
    <row r="181" spans="1:9">
      <c r="A181" s="58">
        <v>4620</v>
      </c>
      <c r="B181" s="1229">
        <v>57345</v>
      </c>
      <c r="C181" s="1266" t="s">
        <v>145</v>
      </c>
      <c r="D181" s="1238" t="s">
        <v>187</v>
      </c>
      <c r="E181" s="1239">
        <f>VLOOKUP(B181,'Master IS (C)'!$B$34:L$330,11,FALSE)</f>
        <v>0</v>
      </c>
      <c r="F181" s="1223">
        <f t="shared" ref="F181:F187" si="30">IF(($E181=0),0,IF(($D181="ACT"),"0",(VLOOKUP($D181,$D$9:$H$12,3,FALSE)*$E181)))</f>
        <v>0</v>
      </c>
      <c r="G181" s="1223">
        <f t="shared" ref="G181:G187" si="31">IF(($E181=0),0,IF(($D181="ACT"),"0",(VLOOKUP($D181,$D$9:$H$12,4,FALSE)*$E181)))</f>
        <v>0</v>
      </c>
      <c r="H181" s="1224">
        <f t="shared" ref="H181:H187" si="32">IF(($E181=0),0,IF(($D181="ACT"),"0",(VLOOKUP($D181,$D$9:$H$12,5,FALSE)*$E181)))</f>
        <v>0</v>
      </c>
      <c r="I181" s="534">
        <f t="shared" si="28"/>
        <v>0</v>
      </c>
    </row>
    <row r="182" spans="1:9">
      <c r="A182" s="58">
        <v>4620</v>
      </c>
      <c r="B182" s="1229">
        <v>57353</v>
      </c>
      <c r="C182" s="1266" t="s">
        <v>605</v>
      </c>
      <c r="D182" s="1238" t="s">
        <v>187</v>
      </c>
      <c r="E182" s="1239">
        <f>VLOOKUP(B182,'Master IS (C)'!$B$34:L$330,11,FALSE)</f>
        <v>832.35218667854656</v>
      </c>
      <c r="F182" s="1223">
        <f t="shared" si="30"/>
        <v>793.01219966124177</v>
      </c>
      <c r="G182" s="1223">
        <f t="shared" si="31"/>
        <v>4.3501395172086621</v>
      </c>
      <c r="H182" s="1224">
        <f t="shared" si="32"/>
        <v>34.989847500096168</v>
      </c>
      <c r="I182" s="534">
        <f t="shared" si="28"/>
        <v>0</v>
      </c>
    </row>
    <row r="183" spans="1:9">
      <c r="A183" s="58">
        <v>4620</v>
      </c>
      <c r="B183" s="1229">
        <v>70185</v>
      </c>
      <c r="C183" s="1266" t="s">
        <v>104</v>
      </c>
      <c r="D183" s="1238" t="s">
        <v>486</v>
      </c>
      <c r="E183" s="1239">
        <f>VLOOKUP(B183,'Master IS (C)'!$B$34:L$330,11,FALSE)</f>
        <v>10101.000382683516</v>
      </c>
      <c r="F183" s="1223">
        <f t="shared" si="30"/>
        <v>8597.2977868083872</v>
      </c>
      <c r="G183" s="1223">
        <f t="shared" si="31"/>
        <v>256.85406683474986</v>
      </c>
      <c r="H183" s="1224">
        <f t="shared" si="32"/>
        <v>1246.8485290403798</v>
      </c>
      <c r="I183" s="534">
        <f t="shared" si="28"/>
        <v>0</v>
      </c>
    </row>
    <row r="184" spans="1:9">
      <c r="A184" s="58">
        <v>4620</v>
      </c>
      <c r="B184" s="1265">
        <v>70210</v>
      </c>
      <c r="C184" s="1266" t="s">
        <v>444</v>
      </c>
      <c r="D184" s="1238" t="s">
        <v>486</v>
      </c>
      <c r="E184" s="1239">
        <f>VLOOKUP(B184,'Master IS (C)'!$B$34:L$330,11,FALSE)</f>
        <v>11856.971565353135</v>
      </c>
      <c r="F184" s="1223">
        <f t="shared" si="30"/>
        <v>10091.863333835337</v>
      </c>
      <c r="G184" s="1223">
        <f t="shared" si="31"/>
        <v>301.50591540675168</v>
      </c>
      <c r="H184" s="1224">
        <f t="shared" si="32"/>
        <v>1463.602316111047</v>
      </c>
      <c r="I184" s="534">
        <f t="shared" si="28"/>
        <v>0</v>
      </c>
    </row>
    <row r="185" spans="1:9">
      <c r="B185" s="1265"/>
      <c r="C185" s="1266" t="s">
        <v>440</v>
      </c>
      <c r="D185" s="1238" t="s">
        <v>486</v>
      </c>
      <c r="E185" s="1239">
        <f>'Master IS (C)'!L194</f>
        <v>7395.3237339429188</v>
      </c>
      <c r="F185" s="1223">
        <f t="shared" si="30"/>
        <v>6294.4062926238457</v>
      </c>
      <c r="G185" s="1223">
        <f t="shared" si="31"/>
        <v>188.05255961371861</v>
      </c>
      <c r="H185" s="1224">
        <f t="shared" si="32"/>
        <v>912.8648817053554</v>
      </c>
      <c r="I185" s="534">
        <f t="shared" si="28"/>
        <v>0</v>
      </c>
    </row>
    <row r="186" spans="1:9">
      <c r="A186" s="58">
        <v>4620</v>
      </c>
      <c r="B186" s="1229">
        <v>70302</v>
      </c>
      <c r="C186" s="1266" t="s">
        <v>142</v>
      </c>
      <c r="D186" s="1238" t="s">
        <v>486</v>
      </c>
      <c r="E186" s="1239">
        <f>VLOOKUP(B186,'Master IS (C)'!$B$34:L$330,11,FALSE)</f>
        <v>1427.2785832701172</v>
      </c>
      <c r="F186" s="1223">
        <f t="shared" si="30"/>
        <v>1214.8043302862684</v>
      </c>
      <c r="G186" s="1223">
        <f t="shared" si="31"/>
        <v>36.293663471941692</v>
      </c>
      <c r="H186" s="1224">
        <f t="shared" si="32"/>
        <v>176.18058951190727</v>
      </c>
      <c r="I186" s="534">
        <f t="shared" si="28"/>
        <v>0</v>
      </c>
    </row>
    <row r="187" spans="1:9">
      <c r="A187" s="58">
        <v>4620</v>
      </c>
      <c r="B187" s="1265">
        <v>70214</v>
      </c>
      <c r="C187" s="1266" t="s">
        <v>137</v>
      </c>
      <c r="D187" s="1238" t="s">
        <v>486</v>
      </c>
      <c r="E187" s="1239">
        <f>VLOOKUP(B187,'Master IS (C)'!$B$34:L$330,11,FALSE)</f>
        <v>46648.873367216169</v>
      </c>
      <c r="F187" s="1223">
        <f t="shared" si="30"/>
        <v>39704.409520131601</v>
      </c>
      <c r="G187" s="1223">
        <f t="shared" si="31"/>
        <v>1186.2144721991881</v>
      </c>
      <c r="H187" s="1224">
        <f t="shared" si="32"/>
        <v>5758.2493748853885</v>
      </c>
      <c r="I187" s="534">
        <f t="shared" si="28"/>
        <v>0</v>
      </c>
    </row>
    <row r="188" spans="1:9">
      <c r="B188" s="1229"/>
      <c r="C188" s="1266"/>
      <c r="D188" s="1238"/>
      <c r="E188" s="1239"/>
      <c r="F188" s="1223"/>
      <c r="G188" s="1223"/>
      <c r="H188" s="1224"/>
      <c r="I188" s="534">
        <f t="shared" si="28"/>
        <v>0</v>
      </c>
    </row>
    <row r="189" spans="1:9">
      <c r="A189" s="536"/>
      <c r="B189" s="1229"/>
      <c r="C189" s="1270" t="s">
        <v>499</v>
      </c>
      <c r="D189" s="1270"/>
      <c r="E189" s="1255">
        <f>SUM(E181:E188)</f>
        <v>78261.799819144406</v>
      </c>
      <c r="F189" s="1255">
        <f>SUM(F181:F188)</f>
        <v>66695.793463346679</v>
      </c>
      <c r="G189" s="1255">
        <f>SUM(G181:G188)</f>
        <v>1973.2708170435585</v>
      </c>
      <c r="H189" s="1272">
        <f>SUM(H181:H188)</f>
        <v>9592.7355387541738</v>
      </c>
      <c r="I189" s="534">
        <f t="shared" si="28"/>
        <v>0</v>
      </c>
    </row>
    <row r="190" spans="1:9">
      <c r="B190" s="1229"/>
      <c r="C190" s="1266"/>
      <c r="D190" s="1238"/>
      <c r="E190" s="1239"/>
      <c r="F190" s="1223"/>
      <c r="G190" s="1223"/>
      <c r="H190" s="1224"/>
      <c r="I190" s="534">
        <f t="shared" si="28"/>
        <v>0</v>
      </c>
    </row>
    <row r="191" spans="1:9">
      <c r="A191" s="58">
        <v>4630</v>
      </c>
      <c r="B191" s="1229">
        <v>70235</v>
      </c>
      <c r="C191" s="1266" t="s">
        <v>139</v>
      </c>
      <c r="D191" s="1238" t="s">
        <v>187</v>
      </c>
      <c r="E191" s="1239">
        <f>VLOOKUP(B191,'Master IS (C)'!$B$34:L$330,11,FALSE)</f>
        <v>22711.088147483402</v>
      </c>
      <c r="F191" s="1223">
        <f>IF(($E191=0),0,IF(($D191="ACT"),"0",(VLOOKUP($D191,$D$9:$H$12,3,FALSE)*$E191)))</f>
        <v>21637.679646646589</v>
      </c>
      <c r="G191" s="1223">
        <f>IF(($E191=0),0,IF(($D191="ACT"),"0",(VLOOKUP($D191,$D$9:$H$12,4,FALSE)*$E191)))</f>
        <v>118.69543158577882</v>
      </c>
      <c r="H191" s="1224">
        <f>IF(($E191=0),0,IF(($D191="ACT"),"0",(VLOOKUP($D191,$D$9:$H$12,5,FALSE)*$E191)))</f>
        <v>954.71306925103534</v>
      </c>
      <c r="I191" s="534">
        <f t="shared" si="28"/>
        <v>0</v>
      </c>
    </row>
    <row r="192" spans="1:9">
      <c r="B192" s="1229"/>
      <c r="C192" s="1266"/>
      <c r="D192" s="1238"/>
      <c r="E192" s="1239"/>
      <c r="F192" s="1223"/>
      <c r="G192" s="1223"/>
      <c r="H192" s="1224"/>
      <c r="I192" s="534">
        <f t="shared" si="28"/>
        <v>0</v>
      </c>
    </row>
    <row r="193" spans="1:9">
      <c r="A193" s="536"/>
      <c r="B193" s="1229"/>
      <c r="C193" s="1270" t="s">
        <v>500</v>
      </c>
      <c r="D193" s="1270"/>
      <c r="E193" s="1255">
        <f>SUM(E191:E192)</f>
        <v>22711.088147483402</v>
      </c>
      <c r="F193" s="1271">
        <f>SUM(F191:F192)</f>
        <v>21637.679646646589</v>
      </c>
      <c r="G193" s="1271">
        <f>SUM(G191:G192)</f>
        <v>118.69543158577882</v>
      </c>
      <c r="H193" s="1272">
        <f>SUM(H191:H192)</f>
        <v>954.71306925103534</v>
      </c>
      <c r="I193" s="534">
        <f t="shared" si="28"/>
        <v>0</v>
      </c>
    </row>
    <row r="194" spans="1:9">
      <c r="B194" s="1229"/>
      <c r="C194" s="1266"/>
      <c r="D194" s="1238"/>
      <c r="E194" s="1239"/>
      <c r="F194" s="1223"/>
      <c r="G194" s="1223"/>
      <c r="H194" s="1224"/>
      <c r="I194" s="534">
        <f t="shared" si="28"/>
        <v>0</v>
      </c>
    </row>
    <row r="195" spans="1:9">
      <c r="A195" s="58">
        <v>4640</v>
      </c>
      <c r="B195" s="1229">
        <v>52165</v>
      </c>
      <c r="C195" s="1266" t="s">
        <v>262</v>
      </c>
      <c r="D195" s="1238" t="s">
        <v>187</v>
      </c>
      <c r="E195" s="1239">
        <f>VLOOKUP(B195,'Master IS (C)'!$B$34:L$330,11,FALSE)</f>
        <v>2677.2619381099234</v>
      </c>
      <c r="F195" s="1223">
        <f t="shared" ref="F195:F200" si="33">IF(($E195=0),0,IF(($D195="ACT"),"0",(VLOOKUP($D195,$D$9:$H$12,3,FALSE)*$E195)))</f>
        <v>2550.7248164770053</v>
      </c>
      <c r="G195" s="1223">
        <f t="shared" ref="G195:G200" si="34">IF(($E195=0),0,IF(($D195="ACT"),"0",(VLOOKUP($D195,$D$9:$H$12,4,FALSE)*$E195)))</f>
        <v>13.992229661058703</v>
      </c>
      <c r="H195" s="1224">
        <f t="shared" ref="H195:H200" si="35">IF(($E195=0),0,IF(($D195="ACT"),"0",(VLOOKUP($D195,$D$9:$H$12,5,FALSE)*$E195)))</f>
        <v>112.54489197185958</v>
      </c>
      <c r="I195" s="534">
        <f t="shared" si="28"/>
        <v>0</v>
      </c>
    </row>
    <row r="196" spans="1:9">
      <c r="A196" s="58">
        <v>4640</v>
      </c>
      <c r="B196" s="1229">
        <v>56165</v>
      </c>
      <c r="C196" s="1266" t="s">
        <v>262</v>
      </c>
      <c r="D196" s="1238" t="s">
        <v>187</v>
      </c>
      <c r="E196" s="1239">
        <f>VLOOKUP(B196,'Master IS (C)'!$B$34:L$330,11,FALSE)</f>
        <v>42.628618058890687</v>
      </c>
      <c r="F196" s="1223">
        <f t="shared" si="33"/>
        <v>40.613834764220179</v>
      </c>
      <c r="G196" s="1223">
        <f t="shared" si="34"/>
        <v>0.2227908317535208</v>
      </c>
      <c r="H196" s="1224">
        <f t="shared" si="35"/>
        <v>1.7919924629169899</v>
      </c>
      <c r="I196" s="534">
        <f t="shared" ref="I196" si="36">+E196-SUM(F196:H196)</f>
        <v>0</v>
      </c>
    </row>
    <row r="197" spans="1:9">
      <c r="A197" s="58">
        <v>4640</v>
      </c>
      <c r="B197" s="1229">
        <v>57150</v>
      </c>
      <c r="C197" s="1266" t="s">
        <v>88</v>
      </c>
      <c r="D197" s="1238" t="s">
        <v>187</v>
      </c>
      <c r="E197" s="1239">
        <f>VLOOKUP(B197,'Master IS (C)'!$B$34:L$330,11,FALSE)</f>
        <v>32309.103513503458</v>
      </c>
      <c r="F197" s="1223">
        <f t="shared" si="33"/>
        <v>30782.057951415136</v>
      </c>
      <c r="G197" s="1223">
        <f t="shared" si="34"/>
        <v>168.85773859804436</v>
      </c>
      <c r="H197" s="1224">
        <f t="shared" si="35"/>
        <v>1358.1878234902763</v>
      </c>
      <c r="I197" s="534">
        <f t="shared" si="28"/>
        <v>0</v>
      </c>
    </row>
    <row r="198" spans="1:9">
      <c r="A198" s="58">
        <v>4640</v>
      </c>
      <c r="B198" s="1229">
        <v>70165</v>
      </c>
      <c r="C198" s="1266" t="s">
        <v>262</v>
      </c>
      <c r="D198" s="1238" t="s">
        <v>486</v>
      </c>
      <c r="E198" s="1239">
        <f>VLOOKUP(B198,'Master IS (C)'!$B$34:L$330,11,FALSE)</f>
        <v>15477.745557263532</v>
      </c>
      <c r="F198" s="1223">
        <f t="shared" si="33"/>
        <v>13173.624649333346</v>
      </c>
      <c r="G198" s="1223">
        <f t="shared" si="34"/>
        <v>393.57704595596198</v>
      </c>
      <c r="H198" s="1224">
        <f t="shared" si="35"/>
        <v>1910.543861974227</v>
      </c>
      <c r="I198" s="534">
        <f t="shared" si="28"/>
        <v>0</v>
      </c>
    </row>
    <row r="199" spans="1:9">
      <c r="A199" s="58">
        <v>4640</v>
      </c>
      <c r="B199" s="1229">
        <v>70167</v>
      </c>
      <c r="C199" s="1266" t="s">
        <v>263</v>
      </c>
      <c r="D199" s="1238" t="s">
        <v>486</v>
      </c>
      <c r="E199" s="1239">
        <f>VLOOKUP(B199,'Master IS (C)'!$B$34:L$330,11,FALSE)</f>
        <v>4282.479318814987</v>
      </c>
      <c r="F199" s="1223">
        <f t="shared" si="33"/>
        <v>3644.9607538693576</v>
      </c>
      <c r="G199" s="1223">
        <f t="shared" si="34"/>
        <v>108.89735545986693</v>
      </c>
      <c r="H199" s="1224">
        <f t="shared" si="35"/>
        <v>528.62120948576296</v>
      </c>
      <c r="I199" s="534">
        <f t="shared" si="28"/>
        <v>0</v>
      </c>
    </row>
    <row r="200" spans="1:9">
      <c r="A200" s="58">
        <v>4640</v>
      </c>
      <c r="B200" s="1229">
        <v>57165</v>
      </c>
      <c r="C200" s="1266" t="s">
        <v>89</v>
      </c>
      <c r="D200" s="1238" t="s">
        <v>187</v>
      </c>
      <c r="E200" s="1239">
        <f>VLOOKUP(B200,'Master IS (C)'!$B$34:L$330,11,FALSE)</f>
        <v>8884.3013373501744</v>
      </c>
      <c r="F200" s="1223">
        <f t="shared" si="33"/>
        <v>8464.3969929357354</v>
      </c>
      <c r="G200" s="1223">
        <f t="shared" si="34"/>
        <v>46.432208563804203</v>
      </c>
      <c r="H200" s="1224">
        <f t="shared" si="35"/>
        <v>373.4721358506348</v>
      </c>
      <c r="I200" s="534">
        <f t="shared" si="28"/>
        <v>0</v>
      </c>
    </row>
    <row r="201" spans="1:9">
      <c r="B201" s="1229"/>
      <c r="C201" s="1266"/>
      <c r="D201" s="1238"/>
      <c r="E201" s="1239"/>
      <c r="F201" s="1223"/>
      <c r="G201" s="1223"/>
      <c r="H201" s="1224"/>
      <c r="I201" s="534">
        <f t="shared" si="28"/>
        <v>0</v>
      </c>
    </row>
    <row r="202" spans="1:9">
      <c r="A202" s="536"/>
      <c r="B202" s="1229"/>
      <c r="C202" s="1270" t="s">
        <v>501</v>
      </c>
      <c r="D202" s="1270"/>
      <c r="E202" s="1255">
        <f>SUM(E195:E201)</f>
        <v>63673.520283100959</v>
      </c>
      <c r="F202" s="1255">
        <f>SUM(F195:F201)</f>
        <v>58656.378998794797</v>
      </c>
      <c r="G202" s="1255">
        <f>SUM(G195:G201)</f>
        <v>731.97936907048972</v>
      </c>
      <c r="H202" s="1256">
        <f>SUM(H195:H201)</f>
        <v>4285.161915235677</v>
      </c>
      <c r="I202" s="534">
        <f t="shared" si="28"/>
        <v>0</v>
      </c>
    </row>
    <row r="203" spans="1:9">
      <c r="B203" s="1229"/>
      <c r="C203" s="1266"/>
      <c r="D203" s="1238"/>
      <c r="E203" s="1239"/>
      <c r="F203" s="1223"/>
      <c r="G203" s="1223"/>
      <c r="H203" s="1224"/>
      <c r="I203" s="534">
        <f t="shared" si="28"/>
        <v>0</v>
      </c>
    </row>
    <row r="204" spans="1:9">
      <c r="A204" s="58">
        <v>4645</v>
      </c>
      <c r="B204" s="1229">
        <v>70149</v>
      </c>
      <c r="C204" s="1266" t="s">
        <v>261</v>
      </c>
      <c r="D204" s="1238" t="s">
        <v>485</v>
      </c>
      <c r="E204" s="1239">
        <f>VLOOKUP(B204,'Master IS (C)'!$B$34:L$330,11,FALSE)</f>
        <v>259388.87286671693</v>
      </c>
      <c r="F204" s="1223">
        <f>IF(($E204=0),0,IF(($D204="ACT"),"0",(VLOOKUP($D204,$D$9:$H$12,3,FALSE)*$E204)))</f>
        <v>250754.60040559369</v>
      </c>
      <c r="G204" s="1223">
        <f>IF(($E204=0),0,IF(($D204="ACT"),"0",(VLOOKUP($D204,$D$9:$H$12,4,FALSE)*$E204)))</f>
        <v>1646.9816939575812</v>
      </c>
      <c r="H204" s="1224">
        <f>IF(($E204=0),0,IF(($D204="ACT"),"0",(VLOOKUP($D204,$D$9:$H$12,5,FALSE)*$E204)))</f>
        <v>6987.2907671656349</v>
      </c>
      <c r="I204" s="534">
        <f t="shared" si="28"/>
        <v>0</v>
      </c>
    </row>
    <row r="205" spans="1:9">
      <c r="A205" s="58">
        <v>4645</v>
      </c>
      <c r="B205" s="1229">
        <v>70148</v>
      </c>
      <c r="C205" s="1266" t="s">
        <v>267</v>
      </c>
      <c r="D205" s="1238" t="s">
        <v>486</v>
      </c>
      <c r="E205" s="1239">
        <f>VLOOKUP(B205,'Master IS (C)'!$B$34:L$330,11,FALSE)</f>
        <v>29820.005570646004</v>
      </c>
      <c r="F205" s="1223">
        <f>IF(($E205=0),0,IF(($D205="ACT"),"0",(VLOOKUP($D205,$D$9:$H$12,3,FALSE)*$E205)))</f>
        <v>25380.799740848925</v>
      </c>
      <c r="G205" s="1223">
        <f>IF(($E205=0),0,IF(($D205="ACT"),"0",(VLOOKUP($D205,$D$9:$H$12,4,FALSE)*$E205)))</f>
        <v>758.28031023403094</v>
      </c>
      <c r="H205" s="1224">
        <f>IF(($E205=0),0,IF(($D205="ACT"),"0",(VLOOKUP($D205,$D$9:$H$12,5,FALSE)*$E205)))</f>
        <v>3680.9255195630512</v>
      </c>
      <c r="I205" s="534">
        <f t="shared" si="28"/>
        <v>0</v>
      </c>
    </row>
    <row r="206" spans="1:9">
      <c r="B206" s="1229"/>
      <c r="C206" s="1266"/>
      <c r="D206" s="1238"/>
      <c r="E206" s="1239"/>
      <c r="F206" s="1223"/>
      <c r="G206" s="1223"/>
      <c r="H206" s="1224"/>
      <c r="I206" s="534">
        <f t="shared" si="28"/>
        <v>0</v>
      </c>
    </row>
    <row r="207" spans="1:9">
      <c r="A207" s="536"/>
      <c r="B207" s="1229"/>
      <c r="C207" s="1270" t="s">
        <v>502</v>
      </c>
      <c r="D207" s="1270"/>
      <c r="E207" s="1255">
        <f>SUM(E204:E206)</f>
        <v>289208.87843736296</v>
      </c>
      <c r="F207" s="1271">
        <f>SUM(F204:F206)</f>
        <v>276135.40014644264</v>
      </c>
      <c r="G207" s="1271">
        <f>SUM(G204:G206)</f>
        <v>2405.262004191612</v>
      </c>
      <c r="H207" s="1272">
        <f>SUM(H204:H206)</f>
        <v>10668.216286728686</v>
      </c>
      <c r="I207" s="534">
        <f t="shared" ref="I207:I270" si="37">+E207-SUM(F207:H207)</f>
        <v>0</v>
      </c>
    </row>
    <row r="208" spans="1:9">
      <c r="B208" s="1229"/>
      <c r="C208" s="1266"/>
      <c r="D208" s="1238"/>
      <c r="E208" s="1239"/>
      <c r="F208" s="1223"/>
      <c r="G208" s="1223"/>
      <c r="H208" s="1224"/>
      <c r="I208" s="534">
        <f t="shared" si="37"/>
        <v>0</v>
      </c>
    </row>
    <row r="209" spans="1:9">
      <c r="A209" s="58">
        <v>4650</v>
      </c>
      <c r="B209" s="1229">
        <v>50060</v>
      </c>
      <c r="C209" s="1266" t="s">
        <v>69</v>
      </c>
      <c r="D209" s="1238" t="s">
        <v>187</v>
      </c>
      <c r="E209" s="1239">
        <f>VLOOKUP(B209,'Master IS (C)'!$B$34:L$330,11,FALSE)</f>
        <v>512337.05270392948</v>
      </c>
      <c r="F209" s="1223">
        <f>IF(($E209=0),0,IF(($D209="ACT"),"0",(VLOOKUP($D209,$D$9:$H$12,3,FALSE)*$E209)))</f>
        <v>488122.14304857614</v>
      </c>
      <c r="G209" s="1223">
        <f t="shared" ref="G209:G218" si="38">IF(($E209=0),0,IF(($D209="ACT"),"0",(VLOOKUP($D209,$D$9:$H$12,4,FALSE)*$E209)))</f>
        <v>2677.6377773346521</v>
      </c>
      <c r="H209" s="1224">
        <f t="shared" ref="H209:H218" si="39">IF(($E209=0),0,IF(($D209="ACT"),"0",(VLOOKUP($D209,$D$9:$H$12,5,FALSE)*$E209)))</f>
        <v>21537.271878018695</v>
      </c>
      <c r="I209" s="534">
        <f t="shared" si="37"/>
        <v>0</v>
      </c>
    </row>
    <row r="210" spans="1:9">
      <c r="A210" s="58">
        <v>4650</v>
      </c>
      <c r="B210" s="1229">
        <v>52060</v>
      </c>
      <c r="C210" s="1266" t="s">
        <v>69</v>
      </c>
      <c r="D210" s="1238" t="s">
        <v>187</v>
      </c>
      <c r="E210" s="1239">
        <f>VLOOKUP(B210,'Master IS (C)'!$B$34:L$330,11,FALSE)</f>
        <v>108441.09608187345</v>
      </c>
      <c r="F210" s="1223">
        <f>IF(($E210=0),0,IF(($D210="ACT"),"0",(VLOOKUP($D210,$D$9:$H$12,3,FALSE)*$E210)))</f>
        <v>103315.7760787787</v>
      </c>
      <c r="G210" s="1223">
        <f t="shared" si="38"/>
        <v>566.74795225516982</v>
      </c>
      <c r="H210" s="1224">
        <f t="shared" si="39"/>
        <v>4558.5720508395771</v>
      </c>
      <c r="I210" s="534">
        <f t="shared" si="37"/>
        <v>0</v>
      </c>
    </row>
    <row r="211" spans="1:9">
      <c r="A211" s="58">
        <v>4650</v>
      </c>
      <c r="B211" s="1229">
        <v>55060</v>
      </c>
      <c r="C211" s="1266" t="s">
        <v>69</v>
      </c>
      <c r="D211" s="1238" t="s">
        <v>186</v>
      </c>
      <c r="E211" s="1239">
        <f>VLOOKUP(B211,'Master IS (C)'!$B$34:L$330,11,FALSE)</f>
        <v>19870.299187181343</v>
      </c>
      <c r="F211" s="1223">
        <f>+E211</f>
        <v>19870.299187181343</v>
      </c>
      <c r="G211" s="1223" t="str">
        <f t="shared" si="38"/>
        <v>0</v>
      </c>
      <c r="H211" s="1224" t="str">
        <f t="shared" si="39"/>
        <v>0</v>
      </c>
      <c r="I211" s="534">
        <f t="shared" si="37"/>
        <v>0</v>
      </c>
    </row>
    <row r="212" spans="1:9">
      <c r="A212" s="58">
        <v>4650</v>
      </c>
      <c r="B212" s="1229">
        <v>56060</v>
      </c>
      <c r="C212" s="1266" t="s">
        <v>69</v>
      </c>
      <c r="D212" s="1238" t="s">
        <v>187</v>
      </c>
      <c r="E212" s="1239">
        <f>VLOOKUP(B212,'Master IS (C)'!$B$34:L$330,11,FALSE)</f>
        <v>24843.005776165995</v>
      </c>
      <c r="F212" s="1223">
        <f>IF(($E212=0),0,IF(($D212="ACT"),"0",(VLOOKUP($D212,$D$9:$H$12,3,FALSE)*$E212)))</f>
        <v>23668.835106169739</v>
      </c>
      <c r="G212" s="1223">
        <f t="shared" si="38"/>
        <v>129.83751695828664</v>
      </c>
      <c r="H212" s="1224">
        <f t="shared" si="39"/>
        <v>1044.3331530379712</v>
      </c>
      <c r="I212" s="534">
        <f t="shared" si="37"/>
        <v>0</v>
      </c>
    </row>
    <row r="213" spans="1:9">
      <c r="A213" s="58">
        <v>4650</v>
      </c>
      <c r="B213" s="1229">
        <v>70060</v>
      </c>
      <c r="C213" s="1266" t="s">
        <v>69</v>
      </c>
      <c r="D213" s="1238" t="s">
        <v>486</v>
      </c>
      <c r="E213" s="1239">
        <f>VLOOKUP(B213,'Master IS (C)'!$B$34:L$330,11,FALSE)</f>
        <v>120310.0811753451</v>
      </c>
      <c r="F213" s="1223">
        <f>IF(($E213=0),0,IF(($D213="ACT"),"0",(VLOOKUP($D213,$D$9:$H$12,3,FALSE)*$E213)))</f>
        <v>102399.91638776079</v>
      </c>
      <c r="G213" s="1223">
        <f t="shared" si="38"/>
        <v>3059.3141728895321</v>
      </c>
      <c r="H213" s="1224">
        <f t="shared" si="39"/>
        <v>14850.850614694782</v>
      </c>
      <c r="I213" s="534">
        <f t="shared" si="37"/>
        <v>0</v>
      </c>
    </row>
    <row r="214" spans="1:9">
      <c r="A214" s="58">
        <v>4650</v>
      </c>
      <c r="B214" s="1229">
        <v>50115</v>
      </c>
      <c r="C214" s="1266" t="s">
        <v>264</v>
      </c>
      <c r="D214" s="1238" t="s">
        <v>187</v>
      </c>
      <c r="E214" s="1239">
        <f>VLOOKUP(B214,'Master IS (C)'!$B$34:L$330,11,FALSE)</f>
        <v>80407.690851087158</v>
      </c>
      <c r="F214" s="1223">
        <f>IF(($E214=0),0,IF(($D214="ACT"),"0",(VLOOKUP($D214,$D$9:$H$12,3,FALSE)*$E214)))</f>
        <v>76607.331382103308</v>
      </c>
      <c r="G214" s="1223">
        <f t="shared" si="38"/>
        <v>420.23638437787645</v>
      </c>
      <c r="H214" s="1224">
        <f t="shared" si="39"/>
        <v>3380.1230846059757</v>
      </c>
      <c r="I214" s="534">
        <f t="shared" si="37"/>
        <v>0</v>
      </c>
    </row>
    <row r="215" spans="1:9">
      <c r="A215" s="58">
        <v>4650</v>
      </c>
      <c r="B215" s="1229">
        <v>52115</v>
      </c>
      <c r="C215" s="1266" t="s">
        <v>264</v>
      </c>
      <c r="D215" s="1238" t="s">
        <v>187</v>
      </c>
      <c r="E215" s="1239">
        <f>VLOOKUP(B215,'Master IS (C)'!$B$34:L$330,11,FALSE)</f>
        <v>11571.140504983994</v>
      </c>
      <c r="F215" s="1223">
        <f>IF(($E215=0),0,IF(($D215="ACT"),"0",(VLOOKUP($D215,$D$9:$H$12,3,FALSE)*$E215)))</f>
        <v>11024.246384289767</v>
      </c>
      <c r="G215" s="1223">
        <f t="shared" si="38"/>
        <v>60.474491898396856</v>
      </c>
      <c r="H215" s="1224">
        <f t="shared" si="39"/>
        <v>486.41962879582968</v>
      </c>
      <c r="I215" s="534">
        <f t="shared" si="37"/>
        <v>0</v>
      </c>
    </row>
    <row r="216" spans="1:9">
      <c r="A216" s="58">
        <v>4650</v>
      </c>
      <c r="B216" s="1229">
        <v>55115</v>
      </c>
      <c r="C216" s="1266" t="s">
        <v>264</v>
      </c>
      <c r="D216" s="1238" t="s">
        <v>186</v>
      </c>
      <c r="E216" s="1239">
        <f>VLOOKUP(B216,'Master IS (C)'!$B$34:L$330,11,FALSE)</f>
        <v>1884.2141555763769</v>
      </c>
      <c r="F216" s="1223">
        <f>+E216</f>
        <v>1884.2141555763769</v>
      </c>
      <c r="G216" s="1223" t="str">
        <f t="shared" si="38"/>
        <v>0</v>
      </c>
      <c r="H216" s="1224" t="str">
        <f t="shared" si="39"/>
        <v>0</v>
      </c>
      <c r="I216" s="534">
        <f t="shared" si="37"/>
        <v>0</v>
      </c>
    </row>
    <row r="217" spans="1:9">
      <c r="A217" s="58">
        <v>4650</v>
      </c>
      <c r="B217" s="1229">
        <v>56115</v>
      </c>
      <c r="C217" s="1266" t="s">
        <v>264</v>
      </c>
      <c r="D217" s="1238" t="s">
        <v>187</v>
      </c>
      <c r="E217" s="1239">
        <f>VLOOKUP(B217,'Master IS (C)'!$B$34:L$330,11,FALSE)</f>
        <v>6440.7650072874703</v>
      </c>
      <c r="F217" s="1223">
        <f>IF(($E217=0),0,IF(($D217="ACT"),"0",(VLOOKUP($D217,$D$9:$H$12,3,FALSE)*$E217)))</f>
        <v>6136.3510634984868</v>
      </c>
      <c r="G217" s="1223">
        <f t="shared" si="38"/>
        <v>33.661503901444753</v>
      </c>
      <c r="H217" s="1224">
        <f t="shared" si="39"/>
        <v>270.75243988753846</v>
      </c>
      <c r="I217" s="534">
        <f t="shared" si="37"/>
        <v>0</v>
      </c>
    </row>
    <row r="218" spans="1:9">
      <c r="A218" s="58">
        <v>4650</v>
      </c>
      <c r="B218" s="1229">
        <v>70116</v>
      </c>
      <c r="C218" s="1266" t="s">
        <v>264</v>
      </c>
      <c r="D218" s="1238" t="s">
        <v>486</v>
      </c>
      <c r="E218" s="1239">
        <f>VLOOKUP(B218,'Master IS (C)'!$B$34:L$330,11,FALSE)</f>
        <v>16080.434237147276</v>
      </c>
      <c r="F218" s="1223">
        <f>IF(($E218=0),0,IF(($D218="ACT"),"0",(VLOOKUP($D218,$D$9:$H$12,3,FALSE)*$E218)))</f>
        <v>13686.593054183799</v>
      </c>
      <c r="G218" s="1223">
        <f t="shared" si="38"/>
        <v>408.90256150873739</v>
      </c>
      <c r="H218" s="1224">
        <f t="shared" si="39"/>
        <v>1984.9386214547424</v>
      </c>
      <c r="I218" s="534">
        <f t="shared" si="37"/>
        <v>0</v>
      </c>
    </row>
    <row r="219" spans="1:9">
      <c r="B219" s="1229"/>
      <c r="C219" s="1266"/>
      <c r="D219" s="1238"/>
      <c r="E219" s="1239"/>
      <c r="F219" s="1223"/>
      <c r="G219" s="1223"/>
      <c r="H219" s="1224"/>
      <c r="I219" s="534">
        <f t="shared" si="37"/>
        <v>0</v>
      </c>
    </row>
    <row r="220" spans="1:9">
      <c r="A220" s="536"/>
      <c r="B220" s="1229"/>
      <c r="C220" s="1270" t="s">
        <v>503</v>
      </c>
      <c r="D220" s="1270"/>
      <c r="E220" s="1255">
        <f>SUM(E209:E219)</f>
        <v>902185.77968057769</v>
      </c>
      <c r="F220" s="1271">
        <f>SUM(F209:F219)</f>
        <v>846715.70584811841</v>
      </c>
      <c r="G220" s="1271">
        <f>SUM(G209:G219)</f>
        <v>7356.8123611240962</v>
      </c>
      <c r="H220" s="1272">
        <f>SUM(H209:H219)</f>
        <v>48113.261471335121</v>
      </c>
      <c r="I220" s="534">
        <f t="shared" si="37"/>
        <v>0</v>
      </c>
    </row>
    <row r="221" spans="1:9">
      <c r="B221" s="1229"/>
      <c r="C221" s="1266"/>
      <c r="D221" s="1238"/>
      <c r="E221" s="1239"/>
      <c r="F221" s="1223"/>
      <c r="G221" s="1223"/>
      <c r="H221" s="1224"/>
      <c r="I221" s="534">
        <f t="shared" si="37"/>
        <v>0</v>
      </c>
    </row>
    <row r="222" spans="1:9">
      <c r="A222" s="58">
        <v>4660</v>
      </c>
      <c r="B222" s="1229">
        <v>70320</v>
      </c>
      <c r="C222" s="1266" t="s">
        <v>144</v>
      </c>
      <c r="D222" s="1238" t="s">
        <v>486</v>
      </c>
      <c r="E222" s="1239">
        <f>VLOOKUP(B222,'Master IS (C)'!$B$34:L$330,11,FALSE)</f>
        <v>4938.4678359443578</v>
      </c>
      <c r="F222" s="1223">
        <f>IF(($E222=0),0,IF(($D222="ACT"),"0",(VLOOKUP($D222,$D$9:$H$12,3,FALSE)*$E222)))</f>
        <v>4203.2944250725022</v>
      </c>
      <c r="G222" s="1223">
        <f>IF(($E222=0),0,IF(($D222="ACT"),"0",(VLOOKUP($D222,$D$9:$H$12,4,FALSE)*$E222)))</f>
        <v>125.57821003249219</v>
      </c>
      <c r="H222" s="1224">
        <f>IF(($E222=0),0,IF(($D222="ACT"),"0",(VLOOKUP($D222,$D$9:$H$12,5,FALSE)*$E222)))</f>
        <v>609.595200839364</v>
      </c>
      <c r="I222" s="534">
        <f t="shared" si="37"/>
        <v>0</v>
      </c>
    </row>
    <row r="223" spans="1:9">
      <c r="B223" s="1229"/>
      <c r="C223" s="1266"/>
      <c r="D223" s="1238"/>
      <c r="E223" s="1239"/>
      <c r="F223" s="1223"/>
      <c r="G223" s="1223"/>
      <c r="H223" s="1224"/>
      <c r="I223" s="534">
        <f t="shared" si="37"/>
        <v>0</v>
      </c>
    </row>
    <row r="224" spans="1:9">
      <c r="A224" s="536"/>
      <c r="B224" s="1229"/>
      <c r="C224" s="1270" t="s">
        <v>504</v>
      </c>
      <c r="D224" s="1270"/>
      <c r="E224" s="1255">
        <f>SUM(E222:E223)</f>
        <v>4938.4678359443578</v>
      </c>
      <c r="F224" s="1271">
        <f>SUM(F222:F223)</f>
        <v>4203.2944250725022</v>
      </c>
      <c r="G224" s="1271">
        <f>SUM(G222:G223)</f>
        <v>125.57821003249219</v>
      </c>
      <c r="H224" s="1272">
        <f>SUM(H222:H223)</f>
        <v>609.595200839364</v>
      </c>
      <c r="I224" s="534">
        <f t="shared" si="37"/>
        <v>0</v>
      </c>
    </row>
    <row r="225" spans="1:9">
      <c r="B225" s="1229"/>
      <c r="C225" s="1266"/>
      <c r="D225" s="1238"/>
      <c r="E225" s="1239"/>
      <c r="F225" s="1223"/>
      <c r="G225" s="1223"/>
      <c r="H225" s="1224"/>
      <c r="I225" s="534">
        <f t="shared" si="37"/>
        <v>0</v>
      </c>
    </row>
    <row r="226" spans="1:9">
      <c r="A226" s="58">
        <v>4670</v>
      </c>
      <c r="B226" s="1229">
        <v>70310</v>
      </c>
      <c r="C226" s="1266" t="s">
        <v>143</v>
      </c>
      <c r="D226" s="1238" t="s">
        <v>485</v>
      </c>
      <c r="E226" s="1239">
        <f>VLOOKUP(B226,'Master IS (C)'!$B$34:L$330,11,FALSE)</f>
        <v>38716.483086892324</v>
      </c>
      <c r="F226" s="1223">
        <f>IF(($E226=0),0,IF(($D226="ACT"),"0",(VLOOKUP($D226,$D$9:$H$12,3,FALSE)*$E226)))</f>
        <v>37427.728253216526</v>
      </c>
      <c r="G226" s="1223">
        <f>IF(($E226=0),0,IF(($D226="ACT"),"0",(VLOOKUP($D226,$D$9:$H$12,4,FALSE)*$E226)))</f>
        <v>245.82912209690207</v>
      </c>
      <c r="H226" s="1224">
        <f>IF(($E226=0),0,IF(($D226="ACT"),"0",(VLOOKUP($D226,$D$9:$H$12,5,FALSE)*$E226)))</f>
        <v>1042.9257115788907</v>
      </c>
      <c r="I226" s="534">
        <f t="shared" si="37"/>
        <v>0</v>
      </c>
    </row>
    <row r="227" spans="1:9">
      <c r="A227" s="58">
        <v>4670</v>
      </c>
      <c r="B227" s="1229">
        <v>70315</v>
      </c>
      <c r="C227" s="1266" t="s">
        <v>2010</v>
      </c>
      <c r="D227" s="1238" t="s">
        <v>485</v>
      </c>
      <c r="E227" s="1239">
        <f>VLOOKUP(B227,'Master IS (C)'!$B$34:L$330,11,FALSE)</f>
        <v>0</v>
      </c>
      <c r="F227" s="1223">
        <f>IF(($E227=0),0,IF(($D227="ACT"),"0",(VLOOKUP($D227,$D$9:$H$12,3,FALSE)*$E227)))</f>
        <v>0</v>
      </c>
      <c r="G227" s="1223">
        <f>IF(($E227=0),0,IF(($D227="ACT"),"0",(VLOOKUP($D227,$D$9:$H$12,4,FALSE)*$E227)))</f>
        <v>0</v>
      </c>
      <c r="H227" s="1224">
        <f>IF(($E227=0),0,IF(($D227="ACT"),"0",(VLOOKUP($D227,$D$9:$H$12,5,FALSE)*$E227)))</f>
        <v>0</v>
      </c>
      <c r="I227" s="534">
        <f t="shared" ref="I227" si="40">+E227-SUM(F227:H227)</f>
        <v>0</v>
      </c>
    </row>
    <row r="228" spans="1:9">
      <c r="B228" s="1229"/>
      <c r="C228" s="1266"/>
      <c r="D228" s="1238"/>
      <c r="E228" s="1239"/>
      <c r="F228" s="1223"/>
      <c r="G228" s="1223"/>
      <c r="H228" s="1224"/>
      <c r="I228" s="534">
        <f t="shared" si="37"/>
        <v>0</v>
      </c>
    </row>
    <row r="229" spans="1:9">
      <c r="A229" s="536"/>
      <c r="B229" s="1229"/>
      <c r="C229" s="1270" t="s">
        <v>505</v>
      </c>
      <c r="D229" s="1270"/>
      <c r="E229" s="1255">
        <f>SUM(E226:E228)</f>
        <v>38716.483086892324</v>
      </c>
      <c r="F229" s="1271">
        <f>SUM(F226:F228)</f>
        <v>37427.728253216526</v>
      </c>
      <c r="G229" s="1271">
        <f>SUM(G226:G228)</f>
        <v>245.82912209690207</v>
      </c>
      <c r="H229" s="1272">
        <f>SUM(H226:H228)</f>
        <v>1042.9257115788907</v>
      </c>
      <c r="I229" s="534">
        <f t="shared" si="37"/>
        <v>0</v>
      </c>
    </row>
    <row r="230" spans="1:9">
      <c r="A230" s="538"/>
      <c r="B230" s="1229"/>
      <c r="C230" s="1266"/>
      <c r="D230" s="1238"/>
      <c r="E230" s="1239"/>
      <c r="F230" s="1223"/>
      <c r="G230" s="1223"/>
      <c r="H230" s="1224"/>
      <c r="I230" s="534">
        <f t="shared" si="37"/>
        <v>0</v>
      </c>
    </row>
    <row r="231" spans="1:9">
      <c r="A231" s="58">
        <v>4680</v>
      </c>
      <c r="B231" s="1265">
        <v>43002</v>
      </c>
      <c r="C231" s="1266" t="s">
        <v>250</v>
      </c>
      <c r="D231" s="1238" t="s">
        <v>485</v>
      </c>
      <c r="E231" s="1239">
        <f>VLOOKUP(B231,'Master IS (C)'!$B$34:L$330,11,FALSE)</f>
        <v>69722.506521000003</v>
      </c>
      <c r="F231" s="1223">
        <f>IF(($E231=0),0,IF(($D231="ACT"),"0",(VLOOKUP($D231,$D$9:$H$12,3,FALSE)*$E231)))</f>
        <v>67401.654776969764</v>
      </c>
      <c r="G231" s="1223">
        <f>IF(($E231=0),0,IF(($D231="ACT"),"0",(VLOOKUP($D231,$D$9:$H$12,4,FALSE)*$E231)))</f>
        <v>442.7009170741477</v>
      </c>
      <c r="H231" s="1224">
        <f>IF(($E231=0),0,IF(($D231="ACT"),"0",(VLOOKUP($D231,$D$9:$H$12,5,FALSE)*$E231)))</f>
        <v>1878.1508269560768</v>
      </c>
      <c r="I231" s="534">
        <f t="shared" si="37"/>
        <v>0</v>
      </c>
    </row>
    <row r="232" spans="1:9">
      <c r="B232" s="1265"/>
      <c r="C232" s="1266"/>
      <c r="D232" s="1238"/>
      <c r="E232" s="1239"/>
      <c r="F232" s="1223"/>
      <c r="G232" s="1223"/>
      <c r="H232" s="1224"/>
      <c r="I232" s="534">
        <f t="shared" si="37"/>
        <v>0</v>
      </c>
    </row>
    <row r="233" spans="1:9">
      <c r="A233" s="536"/>
      <c r="B233" s="1229"/>
      <c r="C233" s="1270" t="s">
        <v>506</v>
      </c>
      <c r="D233" s="1270"/>
      <c r="E233" s="1255">
        <f>SUM(E231:E232)</f>
        <v>69722.506521000003</v>
      </c>
      <c r="F233" s="1271">
        <f>SUM(F231:F232)</f>
        <v>67401.654776969764</v>
      </c>
      <c r="G233" s="1271">
        <f>SUM(G231:G232)</f>
        <v>442.7009170741477</v>
      </c>
      <c r="H233" s="1272">
        <f>SUM(H231:H232)</f>
        <v>1878.1508269560768</v>
      </c>
      <c r="I233" s="534">
        <f t="shared" si="37"/>
        <v>0</v>
      </c>
    </row>
    <row r="234" spans="1:9">
      <c r="B234" s="1229"/>
      <c r="C234" s="1266"/>
      <c r="D234" s="1238"/>
      <c r="E234" s="1239"/>
      <c r="F234" s="1223"/>
      <c r="G234" s="1223"/>
      <c r="H234" s="1224"/>
      <c r="I234" s="534">
        <f t="shared" si="37"/>
        <v>0</v>
      </c>
    </row>
    <row r="235" spans="1:9">
      <c r="A235" s="58">
        <v>4690</v>
      </c>
      <c r="B235" s="1229">
        <v>52185</v>
      </c>
      <c r="C235" s="1266" t="s">
        <v>266</v>
      </c>
      <c r="D235" s="1238" t="s">
        <v>187</v>
      </c>
      <c r="E235" s="1239">
        <f>VLOOKUP(B235,'Master IS (C)'!$B$34:L$330,11,FALSE)</f>
        <v>345.49073982795602</v>
      </c>
      <c r="F235" s="1223">
        <f t="shared" ref="F235:F255" si="41">IF(($E235=0),0,IF(($D235="ACT"),"0",(VLOOKUP($D235,$D$9:$H$12,3,FALSE)*$E235)))</f>
        <v>329.16159281908307</v>
      </c>
      <c r="G235" s="1223">
        <f t="shared" ref="G235:G255" si="42">IF(($E235=0),0,IF(($D235="ACT"),"0",(VLOOKUP($D235,$D$9:$H$12,4,FALSE)*$E235)))</f>
        <v>1.8056454277517013</v>
      </c>
      <c r="H235" s="1224">
        <f t="shared" ref="H235:H255" si="43">IF(($E235=0),0,IF(($D235="ACT"),"0",(VLOOKUP($D235,$D$9:$H$12,5,FALSE)*$E235)))</f>
        <v>14.523501581121229</v>
      </c>
      <c r="I235" s="534">
        <f t="shared" si="37"/>
        <v>0</v>
      </c>
    </row>
    <row r="236" spans="1:9">
      <c r="A236" s="58">
        <v>4690</v>
      </c>
      <c r="B236" s="1229">
        <v>56201</v>
      </c>
      <c r="C236" s="1266" t="s">
        <v>2012</v>
      </c>
      <c r="D236" s="1238" t="s">
        <v>187</v>
      </c>
      <c r="E236" s="1239">
        <f>VLOOKUP(B236,'Master IS (C)'!$B$34:L$330,11,FALSE)</f>
        <v>149.53408738091207</v>
      </c>
      <c r="F236" s="1223">
        <f t="shared" si="41"/>
        <v>142.46656338042371</v>
      </c>
      <c r="G236" s="1223">
        <f t="shared" si="42"/>
        <v>0.78151310598605883</v>
      </c>
      <c r="H236" s="1224">
        <f t="shared" si="43"/>
        <v>6.286010894502315</v>
      </c>
      <c r="I236" s="534">
        <f t="shared" ref="I236" si="44">+E236-SUM(F236:H236)</f>
        <v>0</v>
      </c>
    </row>
    <row r="237" spans="1:9">
      <c r="A237" s="58">
        <v>4690</v>
      </c>
      <c r="B237" s="1229">
        <v>70300</v>
      </c>
      <c r="C237" s="1266" t="s">
        <v>141</v>
      </c>
      <c r="D237" s="1238" t="s">
        <v>486</v>
      </c>
      <c r="E237" s="1239">
        <f>VLOOKUP(B237,'Master IS (C)'!$B$34:L$330,11,FALSE)</f>
        <v>60807.062838219565</v>
      </c>
      <c r="F237" s="1223">
        <f t="shared" si="41"/>
        <v>51754.916043519494</v>
      </c>
      <c r="G237" s="1223">
        <f t="shared" si="42"/>
        <v>1546.237084501875</v>
      </c>
      <c r="H237" s="1224">
        <f t="shared" si="43"/>
        <v>7505.909710198207</v>
      </c>
      <c r="I237" s="534">
        <f t="shared" si="37"/>
        <v>0</v>
      </c>
    </row>
    <row r="238" spans="1:9">
      <c r="A238" s="58">
        <v>4690</v>
      </c>
      <c r="B238" s="1265">
        <v>70095</v>
      </c>
      <c r="C238" s="1266" t="s">
        <v>266</v>
      </c>
      <c r="D238" s="1238" t="s">
        <v>486</v>
      </c>
      <c r="E238" s="1239">
        <f>VLOOKUP(B238,'Master IS (C)'!$B$34:L$330,11,FALSE)</f>
        <v>0</v>
      </c>
      <c r="F238" s="1223">
        <f t="shared" si="41"/>
        <v>0</v>
      </c>
      <c r="G238" s="1223">
        <f t="shared" si="42"/>
        <v>0</v>
      </c>
      <c r="H238" s="1224">
        <f t="shared" si="43"/>
        <v>0</v>
      </c>
      <c r="I238" s="534">
        <f t="shared" si="37"/>
        <v>0</v>
      </c>
    </row>
    <row r="239" spans="1:9">
      <c r="A239" s="58">
        <v>4690</v>
      </c>
      <c r="B239" s="1265">
        <v>70105</v>
      </c>
      <c r="C239" s="1266" t="s">
        <v>100</v>
      </c>
      <c r="D239" s="1238" t="s">
        <v>486</v>
      </c>
      <c r="E239" s="1239">
        <f>VLOOKUP(B239,'Master IS (C)'!$B$34:L$330,11,FALSE)</f>
        <v>13822.157446359526</v>
      </c>
      <c r="F239" s="1223">
        <f t="shared" si="41"/>
        <v>11764.498477420471</v>
      </c>
      <c r="G239" s="1223">
        <f t="shared" si="42"/>
        <v>351.47779606206376</v>
      </c>
      <c r="H239" s="1224">
        <f t="shared" si="43"/>
        <v>1706.1811728769922</v>
      </c>
      <c r="I239" s="534">
        <f t="shared" si="37"/>
        <v>0</v>
      </c>
    </row>
    <row r="240" spans="1:9">
      <c r="A240" s="58">
        <v>4690</v>
      </c>
      <c r="B240" s="1265">
        <v>70110</v>
      </c>
      <c r="C240" s="1266" t="s">
        <v>126</v>
      </c>
      <c r="D240" s="1238" t="s">
        <v>486</v>
      </c>
      <c r="E240" s="1239">
        <f>VLOOKUP(B240,'Master IS (C)'!$B$34:L$330,11,FALSE)</f>
        <v>0</v>
      </c>
      <c r="F240" s="1223">
        <f t="shared" si="41"/>
        <v>0</v>
      </c>
      <c r="G240" s="1223">
        <f t="shared" si="42"/>
        <v>0</v>
      </c>
      <c r="H240" s="1224">
        <f t="shared" si="43"/>
        <v>0</v>
      </c>
      <c r="I240" s="534">
        <f t="shared" si="37"/>
        <v>0</v>
      </c>
    </row>
    <row r="241" spans="1:9">
      <c r="A241" s="58">
        <v>4690</v>
      </c>
      <c r="B241" s="1265">
        <v>70112</v>
      </c>
      <c r="C241" s="1266" t="s">
        <v>127</v>
      </c>
      <c r="D241" s="1238" t="s">
        <v>486</v>
      </c>
      <c r="E241" s="1239">
        <f>VLOOKUP(B241,'Master IS (C)'!$B$34:L$330,11,FALSE)</f>
        <v>0</v>
      </c>
      <c r="F241" s="1223">
        <f t="shared" si="41"/>
        <v>0</v>
      </c>
      <c r="G241" s="1223">
        <f t="shared" si="42"/>
        <v>0</v>
      </c>
      <c r="H241" s="1224">
        <f t="shared" si="43"/>
        <v>0</v>
      </c>
      <c r="I241" s="534">
        <f t="shared" ref="I241" si="45">+E241-SUM(F241:H241)</f>
        <v>0</v>
      </c>
    </row>
    <row r="242" spans="1:9">
      <c r="A242" s="58">
        <v>4690</v>
      </c>
      <c r="B242" s="1229">
        <v>70195</v>
      </c>
      <c r="C242" s="1266" t="s">
        <v>269</v>
      </c>
      <c r="D242" s="1238" t="s">
        <v>486</v>
      </c>
      <c r="E242" s="1239">
        <f>VLOOKUP(B242,'Master IS (C)'!$B$34:L$330,11,FALSE)</f>
        <v>3647.2788932123772</v>
      </c>
      <c r="F242" s="1223">
        <f t="shared" si="41"/>
        <v>3104.3205196035465</v>
      </c>
      <c r="G242" s="1223">
        <f t="shared" si="42"/>
        <v>92.745112475014224</v>
      </c>
      <c r="H242" s="1224">
        <f t="shared" si="43"/>
        <v>450.21326113381679</v>
      </c>
      <c r="I242" s="534">
        <f t="shared" si="37"/>
        <v>0</v>
      </c>
    </row>
    <row r="243" spans="1:9">
      <c r="A243" s="58">
        <v>4690</v>
      </c>
      <c r="B243" s="1229">
        <v>70200</v>
      </c>
      <c r="C243" s="1266" t="s">
        <v>92</v>
      </c>
      <c r="D243" s="1238" t="s">
        <v>486</v>
      </c>
      <c r="E243" s="1239">
        <f>VLOOKUP(B243,'Master IS (C)'!$B$34:L$330,11,FALSE)</f>
        <v>4005.648796118835</v>
      </c>
      <c r="F243" s="1223">
        <f t="shared" si="41"/>
        <v>3409.3410776067235</v>
      </c>
      <c r="G243" s="1223">
        <f t="shared" si="42"/>
        <v>101.85794917488214</v>
      </c>
      <c r="H243" s="1224">
        <f t="shared" si="43"/>
        <v>494.44976933723012</v>
      </c>
      <c r="I243" s="534">
        <f t="shared" si="37"/>
        <v>0</v>
      </c>
    </row>
    <row r="244" spans="1:9">
      <c r="A244" s="58">
        <v>4690</v>
      </c>
      <c r="B244" s="1229">
        <v>70202</v>
      </c>
      <c r="C244" s="1266" t="s">
        <v>132</v>
      </c>
      <c r="D244" s="1238" t="s">
        <v>486</v>
      </c>
      <c r="E244" s="1239">
        <f>VLOOKUP(B244,'Master IS (C)'!$B$34:L$330,11,FALSE)</f>
        <v>185.18355784452424</v>
      </c>
      <c r="F244" s="1223">
        <f t="shared" si="41"/>
        <v>157.61589265350236</v>
      </c>
      <c r="G244" s="1223">
        <f t="shared" si="42"/>
        <v>4.7089543749386182</v>
      </c>
      <c r="H244" s="1224">
        <f t="shared" si="43"/>
        <v>22.858710816083292</v>
      </c>
      <c r="I244" s="534">
        <f t="shared" ref="I244:I245" si="46">+E244-SUM(F244:H244)</f>
        <v>0</v>
      </c>
    </row>
    <row r="245" spans="1:9">
      <c r="A245" s="58">
        <v>4690</v>
      </c>
      <c r="B245" s="1229">
        <v>70203</v>
      </c>
      <c r="C245" s="1266" t="s">
        <v>133</v>
      </c>
      <c r="D245" s="1238" t="s">
        <v>486</v>
      </c>
      <c r="E245" s="1239">
        <f>VLOOKUP(B245,'Master IS (C)'!$B$34:L$330,11,FALSE)</f>
        <v>2677.7263127984279</v>
      </c>
      <c r="F245" s="1223">
        <f t="shared" si="41"/>
        <v>2279.1020325240797</v>
      </c>
      <c r="G245" s="1223">
        <f t="shared" si="42"/>
        <v>68.090769949062519</v>
      </c>
      <c r="H245" s="1224">
        <f t="shared" si="43"/>
        <v>330.53351032528599</v>
      </c>
      <c r="I245" s="534">
        <f t="shared" si="46"/>
        <v>0</v>
      </c>
    </row>
    <row r="246" spans="1:9">
      <c r="A246" s="58">
        <v>4690</v>
      </c>
      <c r="B246" s="1265">
        <v>70205</v>
      </c>
      <c r="C246" s="1266" t="s">
        <v>270</v>
      </c>
      <c r="D246" s="1238" t="s">
        <v>486</v>
      </c>
      <c r="E246" s="1239">
        <f>VLOOKUP(B246,'Master IS (C)'!$B$34:L$330,11,FALSE)</f>
        <v>1513.9276186176583</v>
      </c>
      <c r="F246" s="1223">
        <f t="shared" si="41"/>
        <v>1288.5542096645115</v>
      </c>
      <c r="G246" s="1223">
        <f t="shared" si="42"/>
        <v>38.497025146343603</v>
      </c>
      <c r="H246" s="1224">
        <f t="shared" si="43"/>
        <v>186.87638380680335</v>
      </c>
      <c r="I246" s="534">
        <f t="shared" si="37"/>
        <v>0</v>
      </c>
    </row>
    <row r="247" spans="1:9">
      <c r="A247" s="58">
        <v>4690</v>
      </c>
      <c r="B247" s="1265">
        <v>70206</v>
      </c>
      <c r="C247" s="1266" t="s">
        <v>271</v>
      </c>
      <c r="D247" s="1238" t="s">
        <v>486</v>
      </c>
      <c r="E247" s="1239">
        <f>VLOOKUP(B247,'Master IS (C)'!$B$34:L$330,11,FALSE)</f>
        <v>3417.7074315115256</v>
      </c>
      <c r="F247" s="1223">
        <f t="shared" si="41"/>
        <v>2908.9246038704209</v>
      </c>
      <c r="G247" s="1223">
        <f t="shared" si="42"/>
        <v>86.907436865363735</v>
      </c>
      <c r="H247" s="1224">
        <f t="shared" si="43"/>
        <v>421.87539077574127</v>
      </c>
      <c r="I247" s="534">
        <f t="shared" si="37"/>
        <v>0</v>
      </c>
    </row>
    <row r="248" spans="1:9">
      <c r="A248" s="58">
        <v>4690</v>
      </c>
      <c r="B248" s="1265">
        <v>70220</v>
      </c>
      <c r="C248" s="1266" t="s">
        <v>1113</v>
      </c>
      <c r="D248" s="1238" t="s">
        <v>486</v>
      </c>
      <c r="E248" s="1239">
        <f>VLOOKUP(B248,'Master IS (C)'!$B$34:L$330,11,FALSE)</f>
        <v>0</v>
      </c>
      <c r="F248" s="1223">
        <f t="shared" si="41"/>
        <v>0</v>
      </c>
      <c r="G248" s="1223">
        <f t="shared" si="42"/>
        <v>0</v>
      </c>
      <c r="H248" s="1224">
        <f t="shared" si="43"/>
        <v>0</v>
      </c>
      <c r="I248" s="534">
        <f t="shared" si="37"/>
        <v>0</v>
      </c>
    </row>
    <row r="249" spans="1:9">
      <c r="A249" s="58">
        <v>4690</v>
      </c>
      <c r="B249" s="1265">
        <v>70255</v>
      </c>
      <c r="C249" s="1266" t="s">
        <v>140</v>
      </c>
      <c r="D249" s="1238" t="s">
        <v>486</v>
      </c>
      <c r="E249" s="1239">
        <f>VLOOKUP(B249,'Master IS (C)'!$B$34:L$330,11,FALSE)</f>
        <v>8012.6668879922172</v>
      </c>
      <c r="F249" s="1223">
        <f t="shared" si="41"/>
        <v>6819.8476084273916</v>
      </c>
      <c r="G249" s="1223">
        <f t="shared" si="42"/>
        <v>203.7507175924066</v>
      </c>
      <c r="H249" s="1224">
        <f t="shared" si="43"/>
        <v>989.06856197242041</v>
      </c>
      <c r="I249" s="534">
        <f t="shared" si="37"/>
        <v>0</v>
      </c>
    </row>
    <row r="250" spans="1:9">
      <c r="A250" s="58">
        <v>4690</v>
      </c>
      <c r="B250" s="1265">
        <v>70231</v>
      </c>
      <c r="C250" s="1266" t="s">
        <v>552</v>
      </c>
      <c r="D250" s="1238" t="s">
        <v>486</v>
      </c>
      <c r="E250" s="1239">
        <f>VLOOKUP(B250,'Master IS (C)'!$B$34:L$330,11,FALSE)</f>
        <v>0</v>
      </c>
      <c r="F250" s="1223">
        <f t="shared" si="41"/>
        <v>0</v>
      </c>
      <c r="G250" s="1223">
        <f t="shared" si="42"/>
        <v>0</v>
      </c>
      <c r="H250" s="1224">
        <f t="shared" si="43"/>
        <v>0</v>
      </c>
      <c r="I250" s="534">
        <f t="shared" si="37"/>
        <v>0</v>
      </c>
    </row>
    <row r="251" spans="1:9">
      <c r="A251" s="58">
        <v>4690</v>
      </c>
      <c r="B251" s="1265">
        <v>70232</v>
      </c>
      <c r="C251" s="1266" t="s">
        <v>428</v>
      </c>
      <c r="D251" s="1238" t="s">
        <v>486</v>
      </c>
      <c r="E251" s="1239">
        <f>VLOOKUP(B251,'Master IS (C)'!$B$34:L$330,11,FALSE)</f>
        <v>314.41769115838252</v>
      </c>
      <c r="F251" s="1223">
        <f t="shared" si="41"/>
        <v>267.61136698533875</v>
      </c>
      <c r="G251" s="1223">
        <f t="shared" si="42"/>
        <v>7.9951944955146796</v>
      </c>
      <c r="H251" s="1224">
        <f t="shared" si="43"/>
        <v>38.811129677529166</v>
      </c>
      <c r="I251" s="534">
        <f t="shared" ref="I251:I252" si="47">+E251-SUM(F251:H251)</f>
        <v>0</v>
      </c>
    </row>
    <row r="252" spans="1:9">
      <c r="A252" s="58">
        <v>4690</v>
      </c>
      <c r="B252" s="1265">
        <v>70335</v>
      </c>
      <c r="C252" s="1266" t="s">
        <v>2011</v>
      </c>
      <c r="D252" s="1238" t="s">
        <v>486</v>
      </c>
      <c r="E252" s="1239">
        <f>VLOOKUP(B252,'Master IS (C)'!$B$34:L$330,11,FALSE)</f>
        <v>-2.7385915090879065E-2</v>
      </c>
      <c r="F252" s="1223">
        <f t="shared" si="41"/>
        <v>-2.3309064278837971E-2</v>
      </c>
      <c r="G252" s="1223">
        <f t="shared" si="42"/>
        <v>-6.9638485284510756E-4</v>
      </c>
      <c r="H252" s="1224">
        <f t="shared" si="43"/>
        <v>-3.3804659591959909E-3</v>
      </c>
      <c r="I252" s="534">
        <f t="shared" si="47"/>
        <v>0</v>
      </c>
    </row>
    <row r="253" spans="1:9">
      <c r="A253" s="58">
        <v>4690</v>
      </c>
      <c r="B253" s="1265">
        <v>70301</v>
      </c>
      <c r="C253" s="1266" t="s">
        <v>272</v>
      </c>
      <c r="D253" s="1238" t="s">
        <v>486</v>
      </c>
      <c r="E253" s="1239">
        <f>VLOOKUP(B253,'Master IS (C)'!$B$34:L$330,11,FALSE)</f>
        <v>118.38931093787019</v>
      </c>
      <c r="F253" s="1223">
        <f t="shared" si="41"/>
        <v>100.76508487741654</v>
      </c>
      <c r="G253" s="1223">
        <f t="shared" si="42"/>
        <v>3.0104717188493999</v>
      </c>
      <c r="H253" s="1224">
        <f t="shared" si="43"/>
        <v>14.613754341604267</v>
      </c>
      <c r="I253" s="534">
        <f t="shared" si="37"/>
        <v>0</v>
      </c>
    </row>
    <row r="254" spans="1:9">
      <c r="A254" s="58">
        <v>4690</v>
      </c>
      <c r="B254" s="1265">
        <v>70303</v>
      </c>
      <c r="C254" s="1266" t="s">
        <v>438</v>
      </c>
      <c r="D254" s="1238" t="s">
        <v>486</v>
      </c>
      <c r="E254" s="1239">
        <f>VLOOKUP(B254,'Master IS (C)'!$B$34:L$330,11,FALSE)</f>
        <v>155.71631320673836</v>
      </c>
      <c r="F254" s="1223">
        <f t="shared" si="41"/>
        <v>132.5353394894727</v>
      </c>
      <c r="G254" s="1223">
        <f t="shared" si="42"/>
        <v>3.9596442732772816</v>
      </c>
      <c r="H254" s="1224">
        <f t="shared" si="43"/>
        <v>19.221329443988402</v>
      </c>
      <c r="I254" s="534">
        <f t="shared" si="37"/>
        <v>0</v>
      </c>
    </row>
    <row r="255" spans="1:9">
      <c r="A255" s="58">
        <v>4690</v>
      </c>
      <c r="B255" s="1265">
        <v>70336</v>
      </c>
      <c r="C255" s="1266" t="s">
        <v>424</v>
      </c>
      <c r="D255" s="1238" t="s">
        <v>486</v>
      </c>
      <c r="E255" s="1239">
        <f>VLOOKUP(B255,'Master IS (C)'!$B$34:L$330,11,FALSE)</f>
        <v>160.20075680286982</v>
      </c>
      <c r="F255" s="1223">
        <f t="shared" si="41"/>
        <v>136.35219876513241</v>
      </c>
      <c r="G255" s="1223">
        <f t="shared" si="42"/>
        <v>4.0736772929306682</v>
      </c>
      <c r="H255" s="1224">
        <f t="shared" si="43"/>
        <v>19.774880744806747</v>
      </c>
      <c r="I255" s="534">
        <f t="shared" si="37"/>
        <v>0</v>
      </c>
    </row>
    <row r="256" spans="1:9">
      <c r="B256" s="1265"/>
      <c r="C256" s="1266"/>
      <c r="D256" s="1238"/>
      <c r="E256" s="1239"/>
      <c r="F256" s="1223"/>
      <c r="G256" s="1223"/>
      <c r="H256" s="1224"/>
      <c r="I256" s="534">
        <f t="shared" si="37"/>
        <v>0</v>
      </c>
    </row>
    <row r="257" spans="1:9">
      <c r="A257" s="536"/>
      <c r="B257" s="1229"/>
      <c r="C257" s="1270" t="s">
        <v>509</v>
      </c>
      <c r="D257" s="1270"/>
      <c r="E257" s="1255">
        <f>SUM(E235:E256)</f>
        <v>99333.081296074291</v>
      </c>
      <c r="F257" s="1255">
        <f>SUM(F235:F256)</f>
        <v>84595.989302542715</v>
      </c>
      <c r="G257" s="1255">
        <f>SUM(G235:G256)</f>
        <v>2515.898296071407</v>
      </c>
      <c r="H257" s="1272">
        <f>SUM(H235:H256)</f>
        <v>12221.193697460172</v>
      </c>
      <c r="I257" s="534">
        <f t="shared" si="37"/>
        <v>0</v>
      </c>
    </row>
    <row r="258" spans="1:9">
      <c r="B258" s="1229"/>
      <c r="C258" s="1266"/>
      <c r="D258" s="1238"/>
      <c r="E258" s="1239"/>
      <c r="F258" s="1223">
        <f>IF(($E258=0),0,IF(($D258="ACT"),"0",(VLOOKUP($D258,$D$9:$H$12,3,FALSE)*$E258)))</f>
        <v>0</v>
      </c>
      <c r="G258" s="1223"/>
      <c r="H258" s="1224">
        <f>IF(($E258=0),0,IF(($D258="ACT"),"0",(VLOOKUP($D258,$D$9:$H$12,5,FALSE)*$E258)))</f>
        <v>0</v>
      </c>
      <c r="I258" s="534">
        <f t="shared" si="37"/>
        <v>0</v>
      </c>
    </row>
    <row r="259" spans="1:9">
      <c r="A259" s="536"/>
      <c r="B259" s="1229"/>
      <c r="C259" s="1273" t="s">
        <v>523</v>
      </c>
      <c r="D259" s="1273"/>
      <c r="E259" s="1244">
        <f>E257+E233+E229+E224+E220+E207+E202+E193+E189+E179+E171</f>
        <v>2162003.3974234639</v>
      </c>
      <c r="F259" s="1274">
        <f>F257+F233+F229+F224+F220+F207+F202+F193+F189+F179+F171</f>
        <v>1968405.9804563033</v>
      </c>
      <c r="G259" s="1274">
        <f>G257+G233+G229+G224+G220+G207+G202+G193+G189+G179+G171</f>
        <v>31001.575458133888</v>
      </c>
      <c r="H259" s="1275">
        <f>H257+H233+H229+H224+H220+H207+H202+H193+H189+H179+H171</f>
        <v>162595.84150902697</v>
      </c>
      <c r="I259" s="534">
        <f t="shared" si="37"/>
        <v>0</v>
      </c>
    </row>
    <row r="260" spans="1:9">
      <c r="B260" s="1229"/>
      <c r="C260" s="1266"/>
      <c r="D260" s="1238"/>
      <c r="E260" s="1239"/>
      <c r="F260" s="1223"/>
      <c r="G260" s="1223"/>
      <c r="H260" s="1224"/>
      <c r="I260" s="534">
        <f t="shared" si="37"/>
        <v>0</v>
      </c>
    </row>
    <row r="261" spans="1:9">
      <c r="A261" s="58">
        <v>5000</v>
      </c>
      <c r="B261" s="1229">
        <v>51260</v>
      </c>
      <c r="C261" s="1266" t="s">
        <v>273</v>
      </c>
      <c r="D261" s="1238" t="s">
        <v>186</v>
      </c>
      <c r="E261" s="1239">
        <f>VLOOKUP(B261,'Master IS (C)'!$B$34:L$330,11,FALSE)</f>
        <v>781108.65154993662</v>
      </c>
      <c r="F261" s="1223">
        <f>+'Depr Summary (C)'!J66</f>
        <v>755747.04001648095</v>
      </c>
      <c r="G261" s="1223">
        <f>+'Depr Summary (C)'!L66</f>
        <v>2804.4378485242123</v>
      </c>
      <c r="H261" s="1224">
        <f>+'Depr Summary (C)'!K66</f>
        <v>22557.173684931531</v>
      </c>
      <c r="I261" s="534">
        <f t="shared" si="37"/>
        <v>0</v>
      </c>
    </row>
    <row r="262" spans="1:9">
      <c r="A262" s="58">
        <v>5000</v>
      </c>
      <c r="B262" s="1229">
        <v>54260</v>
      </c>
      <c r="C262" s="1266" t="s">
        <v>274</v>
      </c>
      <c r="D262" s="1238" t="s">
        <v>186</v>
      </c>
      <c r="E262" s="1239">
        <f>VLOOKUP(B262,'Master IS (C)'!$B$34:L$330,11,FALSE)</f>
        <v>287347.12551243231</v>
      </c>
      <c r="F262" s="1223">
        <f>+'Depr Summary (C)'!J67</f>
        <v>274237.20896643662</v>
      </c>
      <c r="G262" s="1223">
        <f>+'Depr Summary (C)'!L67</f>
        <v>1024.9628588839321</v>
      </c>
      <c r="H262" s="1224">
        <f>+'Depr Summary (C)'!K67</f>
        <v>12084.95368711174</v>
      </c>
      <c r="I262" s="534">
        <f t="shared" si="37"/>
        <v>0</v>
      </c>
    </row>
    <row r="263" spans="1:9">
      <c r="A263" s="58">
        <v>5000</v>
      </c>
      <c r="B263" s="1229">
        <v>57260</v>
      </c>
      <c r="C263" s="1266" t="s">
        <v>276</v>
      </c>
      <c r="D263" s="1238" t="s">
        <v>187</v>
      </c>
      <c r="E263" s="1239">
        <f>VLOOKUP(B263,'Master IS (C)'!$B$34:L$330,11,FALSE)</f>
        <v>26068.675249168584</v>
      </c>
      <c r="F263" s="1223">
        <f>+'Depr Summary (C)'!J69</f>
        <v>24836.574988877335</v>
      </c>
      <c r="G263" s="1223">
        <f>+'Depr Summary (C)'!L69</f>
        <v>136.24325877632793</v>
      </c>
      <c r="H263" s="1224">
        <f>+'Depr Summary (C)'!K69</f>
        <v>1095.8570015149216</v>
      </c>
      <c r="I263" s="534">
        <f t="shared" si="37"/>
        <v>0</v>
      </c>
    </row>
    <row r="264" spans="1:9">
      <c r="A264" s="58">
        <v>5000</v>
      </c>
      <c r="B264" s="1229">
        <v>57260.1</v>
      </c>
      <c r="C264" s="1266" t="s">
        <v>275</v>
      </c>
      <c r="D264" s="1238" t="s">
        <v>187</v>
      </c>
      <c r="E264" s="1239">
        <f>VLOOKUP(B264,'Master IS (C)'!$B$34:L$330,11,FALSE)</f>
        <v>15136.004871161624</v>
      </c>
      <c r="F264" s="1223">
        <f>+'Depr Summary (C)'!J68</f>
        <v>14420.622314768672</v>
      </c>
      <c r="G264" s="1223">
        <f>+'Depr Summary (C)'!L68</f>
        <v>79.105616560519422</v>
      </c>
      <c r="H264" s="1224">
        <f>+'Depr Summary (C)'!K68</f>
        <v>636.27693983243103</v>
      </c>
      <c r="I264" s="534">
        <f t="shared" si="37"/>
        <v>0</v>
      </c>
    </row>
    <row r="265" spans="1:9">
      <c r="A265" s="58">
        <v>5000</v>
      </c>
      <c r="B265" s="1229">
        <v>70260</v>
      </c>
      <c r="C265" s="1266" t="s">
        <v>277</v>
      </c>
      <c r="D265" s="1238" t="s">
        <v>486</v>
      </c>
      <c r="E265" s="1239">
        <f>VLOOKUP(B265,'Master IS (C)'!$B$34:L$330,11,FALSE)</f>
        <v>1253.9006369893525</v>
      </c>
      <c r="F265" s="1223">
        <f>+'Depr Summary (C)'!J70</f>
        <v>1067.2365867589683</v>
      </c>
      <c r="G265" s="1223">
        <f>+'Depr Summary (C)'!L70</f>
        <v>31.884909000650378</v>
      </c>
      <c r="H265" s="1224">
        <f>+'Depr Summary (C)'!K70</f>
        <v>154.77914122973402</v>
      </c>
      <c r="I265" s="534">
        <f t="shared" si="37"/>
        <v>0</v>
      </c>
    </row>
    <row r="266" spans="1:9">
      <c r="A266" s="58">
        <v>5000</v>
      </c>
      <c r="B266" s="1229">
        <v>70260.100000000006</v>
      </c>
      <c r="C266" s="1266" t="s">
        <v>545</v>
      </c>
      <c r="D266" s="1238" t="s">
        <v>187</v>
      </c>
      <c r="E266" s="1239">
        <f>VLOOKUP(B266,'Master IS (C)'!$B$34:L$330,11,FALSE)</f>
        <v>28079.11500325616</v>
      </c>
      <c r="F266" s="1223">
        <f>+'Depr Summary (C)'!J73</f>
        <v>26751.994059303965</v>
      </c>
      <c r="G266" s="1223">
        <f>+'Depr Summary (C)'!L73</f>
        <v>146.75046181032585</v>
      </c>
      <c r="H266" s="1224">
        <f>+'Depr Summary (C)'!K73</f>
        <v>1180.3704821418696</v>
      </c>
      <c r="I266" s="534">
        <f t="shared" si="37"/>
        <v>0</v>
      </c>
    </row>
    <row r="267" spans="1:9">
      <c r="A267" s="58">
        <v>5000</v>
      </c>
      <c r="B267" s="1229">
        <v>70260.2</v>
      </c>
      <c r="C267" s="1266" t="s">
        <v>1289</v>
      </c>
      <c r="D267" s="1238" t="s">
        <v>486</v>
      </c>
      <c r="E267" s="1239">
        <f>VLOOKUP(B267,'Master IS (C)'!$B$34:L$330,11,FALSE)</f>
        <v>14375.243387534923</v>
      </c>
      <c r="F267" s="1223">
        <f>+'Depr Summary (C)'!J71</f>
        <v>12235.248339595886</v>
      </c>
      <c r="G267" s="1223">
        <f>+'Depr Summary (C)'!L71</f>
        <v>365.54198455012369</v>
      </c>
      <c r="H267" s="1224">
        <f>+'Depr Summary (C)'!K71</f>
        <v>1774.4530633889149</v>
      </c>
      <c r="I267" s="534">
        <f t="shared" si="37"/>
        <v>0</v>
      </c>
    </row>
    <row r="268" spans="1:9">
      <c r="A268" s="58">
        <v>5000</v>
      </c>
      <c r="B268" s="1229">
        <v>70260.3</v>
      </c>
      <c r="C268" s="1266" t="s">
        <v>1236</v>
      </c>
      <c r="D268" s="1238" t="s">
        <v>486</v>
      </c>
      <c r="E268" s="1239">
        <f>VLOOKUP(B268,'Master IS (C)'!$B$34:L$330,11,FALSE)</f>
        <v>2898.9449585503303</v>
      </c>
      <c r="F268" s="1223">
        <f>+'Depr Summary (C)'!J72</f>
        <v>0</v>
      </c>
      <c r="G268" s="1223">
        <f>+'Depr Summary (C)'!L72</f>
        <v>0</v>
      </c>
      <c r="H268" s="1224">
        <f>+'Depr Summary (C)'!K72</f>
        <v>2898.9449585503303</v>
      </c>
      <c r="I268" s="534">
        <f t="shared" si="37"/>
        <v>0</v>
      </c>
    </row>
    <row r="269" spans="1:9">
      <c r="B269" s="1229"/>
      <c r="C269" s="1266"/>
      <c r="D269" s="1238"/>
      <c r="E269" s="1239"/>
      <c r="F269" s="1223"/>
      <c r="G269" s="1223"/>
      <c r="H269" s="1224"/>
      <c r="I269" s="534">
        <f t="shared" si="37"/>
        <v>0</v>
      </c>
    </row>
    <row r="270" spans="1:9">
      <c r="A270" s="536"/>
      <c r="B270" s="1229"/>
      <c r="C270" s="1270" t="s">
        <v>510</v>
      </c>
      <c r="D270" s="1270"/>
      <c r="E270" s="1255">
        <f>SUM(E261:E269)</f>
        <v>1156267.6611690302</v>
      </c>
      <c r="F270" s="1271">
        <f>SUM(F261:F269)</f>
        <v>1109295.9252722224</v>
      </c>
      <c r="G270" s="1271">
        <f>SUM(G261:G269)</f>
        <v>4588.9269381060922</v>
      </c>
      <c r="H270" s="1272">
        <f>SUM(H261:H269)</f>
        <v>42382.808958701484</v>
      </c>
      <c r="I270" s="534">
        <f t="shared" si="37"/>
        <v>0</v>
      </c>
    </row>
    <row r="271" spans="1:9">
      <c r="B271" s="1229"/>
      <c r="C271" s="1228"/>
      <c r="D271" s="1238"/>
      <c r="E271" s="1239"/>
      <c r="F271" s="1223"/>
      <c r="G271" s="1223"/>
      <c r="H271" s="1224"/>
      <c r="I271" s="534">
        <f t="shared" ref="I271:I325" si="48">+E271-SUM(F271:H271)</f>
        <v>0</v>
      </c>
    </row>
    <row r="272" spans="1:9">
      <c r="A272" s="536"/>
      <c r="B272" s="1229"/>
      <c r="C272" s="1273" t="s">
        <v>524</v>
      </c>
      <c r="D272" s="1273"/>
      <c r="E272" s="1244">
        <f>E270</f>
        <v>1156267.6611690302</v>
      </c>
      <c r="F272" s="1274">
        <f>F270</f>
        <v>1109295.9252722224</v>
      </c>
      <c r="G272" s="1274">
        <f>G270</f>
        <v>4588.9269381060922</v>
      </c>
      <c r="H272" s="1275">
        <f>H270</f>
        <v>42382.808958701484</v>
      </c>
      <c r="I272" s="534">
        <f t="shared" si="48"/>
        <v>0</v>
      </c>
    </row>
    <row r="273" spans="1:9">
      <c r="B273" s="1229"/>
      <c r="C273" s="1266"/>
      <c r="D273" s="1238"/>
      <c r="E273" s="1239"/>
      <c r="F273" s="1223"/>
      <c r="G273" s="1223"/>
      <c r="H273" s="1224"/>
      <c r="I273" s="534">
        <f t="shared" si="48"/>
        <v>0</v>
      </c>
    </row>
    <row r="274" spans="1:9">
      <c r="A274" s="58">
        <v>5100</v>
      </c>
      <c r="B274" s="1229">
        <v>91010</v>
      </c>
      <c r="C274" s="1266" t="s">
        <v>278</v>
      </c>
      <c r="D274" s="1238" t="s">
        <v>186</v>
      </c>
      <c r="E274" s="1239">
        <f>VLOOKUP(B274,'Master IS (C)'!$B$34:L$330,11,FALSE)</f>
        <v>-4487.74651213573</v>
      </c>
      <c r="F274" s="1223">
        <f>+'91010 JE Query'!E59</f>
        <v>-4464.2407070312411</v>
      </c>
      <c r="G274" s="1223">
        <f>+'91010 JE Query'!F59</f>
        <v>-20.906578734031548</v>
      </c>
      <c r="H274" s="1224">
        <f>+'91010 JE Query'!G59</f>
        <v>-2.5992263704577425</v>
      </c>
      <c r="I274" s="534">
        <f t="shared" si="48"/>
        <v>0</v>
      </c>
    </row>
    <row r="275" spans="1:9">
      <c r="B275" s="1229"/>
      <c r="C275" s="1266"/>
      <c r="D275" s="1238"/>
      <c r="E275" s="1239"/>
      <c r="F275" s="1223"/>
      <c r="G275" s="1223"/>
      <c r="H275" s="1224"/>
      <c r="I275" s="534">
        <f t="shared" si="48"/>
        <v>0</v>
      </c>
    </row>
    <row r="276" spans="1:9">
      <c r="A276" s="536"/>
      <c r="B276" s="1229"/>
      <c r="C276" s="1270" t="s">
        <v>511</v>
      </c>
      <c r="D276" s="1270"/>
      <c r="E276" s="1255">
        <f>SUM(E274:E275)</f>
        <v>-4487.74651213573</v>
      </c>
      <c r="F276" s="1271">
        <f>SUM(F274:F275)</f>
        <v>-4464.2407070312411</v>
      </c>
      <c r="G276" s="1271">
        <f>SUM(G274:G275)</f>
        <v>-20.906578734031548</v>
      </c>
      <c r="H276" s="1272">
        <f>SUM(H274:H275)</f>
        <v>-2.5992263704577425</v>
      </c>
      <c r="I276" s="534">
        <f t="shared" si="48"/>
        <v>0</v>
      </c>
    </row>
    <row r="277" spans="1:9">
      <c r="A277" s="536"/>
      <c r="B277" s="1229"/>
      <c r="C277" s="1276"/>
      <c r="D277" s="1276"/>
      <c r="E277" s="1239"/>
      <c r="F277" s="1277"/>
      <c r="G277" s="1277"/>
      <c r="H277" s="1278"/>
      <c r="I277" s="534"/>
    </row>
    <row r="278" spans="1:9">
      <c r="A278" s="58">
        <v>5150</v>
      </c>
      <c r="B278" s="1229">
        <v>70269</v>
      </c>
      <c r="C278" s="1276" t="s">
        <v>603</v>
      </c>
      <c r="D278" s="1276" t="s">
        <v>486</v>
      </c>
      <c r="E278" s="1282">
        <f>VLOOKUP(B278,'Master IS (C)'!$B$34:L$330,11,FALSE)</f>
        <v>0</v>
      </c>
      <c r="F278" s="1223">
        <f>IF(($E278=0),0,IF(($D278="ACT"),"0",(VLOOKUP($D278,$D$9:$H$12,3,FALSE)*$E278)))</f>
        <v>0</v>
      </c>
      <c r="G278" s="1223">
        <f>IF(($E278=0),0,IF(($D278="ACT"),"0",(VLOOKUP($D278,$D$9:$H$12,4,FALSE)*$E278)))</f>
        <v>0</v>
      </c>
      <c r="H278" s="1224">
        <f>IF(($E278=0),0,IF(($D278="ACT"),"0",(VLOOKUP($D278,$D$9:$H$12,5,FALSE)*$E278)))</f>
        <v>0</v>
      </c>
      <c r="I278" s="534">
        <f t="shared" si="48"/>
        <v>0</v>
      </c>
    </row>
    <row r="279" spans="1:9">
      <c r="B279" s="1229"/>
      <c r="C279" s="1276"/>
      <c r="D279" s="1276"/>
      <c r="E279" s="1239"/>
      <c r="F279" s="1277"/>
      <c r="G279" s="1277"/>
      <c r="H279" s="1278"/>
      <c r="I279" s="534"/>
    </row>
    <row r="280" spans="1:9">
      <c r="A280" s="536"/>
      <c r="B280" s="1229"/>
      <c r="C280" s="1270" t="s">
        <v>610</v>
      </c>
      <c r="D280" s="1270"/>
      <c r="E280" s="1255">
        <f>+SUM(E278:E279)</f>
        <v>0</v>
      </c>
      <c r="F280" s="1255">
        <f>+SUM(F278:F279)</f>
        <v>0</v>
      </c>
      <c r="G280" s="1255">
        <f>+SUM(G278:G279)</f>
        <v>0</v>
      </c>
      <c r="H280" s="1256">
        <f>+SUM(H278:H279)</f>
        <v>0</v>
      </c>
      <c r="I280" s="534">
        <f t="shared" si="48"/>
        <v>0</v>
      </c>
    </row>
    <row r="281" spans="1:9">
      <c r="B281" s="1229"/>
      <c r="C281" s="1228"/>
      <c r="D281" s="1238"/>
      <c r="E281" s="1239"/>
      <c r="F281" s="1223"/>
      <c r="G281" s="1223"/>
      <c r="H281" s="1224"/>
      <c r="I281" s="534">
        <f t="shared" si="48"/>
        <v>0</v>
      </c>
    </row>
    <row r="282" spans="1:9">
      <c r="A282" s="536"/>
      <c r="B282" s="1229"/>
      <c r="C282" s="1273" t="s">
        <v>525</v>
      </c>
      <c r="D282" s="1273"/>
      <c r="E282" s="1244">
        <f>E276+E280</f>
        <v>-4487.74651213573</v>
      </c>
      <c r="F282" s="1244">
        <f t="shared" ref="F282:H282" si="49">F276+F280</f>
        <v>-4464.2407070312411</v>
      </c>
      <c r="G282" s="1244">
        <f t="shared" si="49"/>
        <v>-20.906578734031548</v>
      </c>
      <c r="H282" s="1245">
        <f t="shared" si="49"/>
        <v>-2.5992263704577425</v>
      </c>
      <c r="I282" s="534">
        <f t="shared" si="48"/>
        <v>0</v>
      </c>
    </row>
    <row r="283" spans="1:9">
      <c r="B283" s="1229"/>
      <c r="C283" s="1266"/>
      <c r="D283" s="1238"/>
      <c r="E283" s="1239"/>
      <c r="F283" s="1223"/>
      <c r="G283" s="1223"/>
      <c r="H283" s="1224"/>
      <c r="I283" s="534">
        <f t="shared" si="48"/>
        <v>0</v>
      </c>
    </row>
    <row r="284" spans="1:9">
      <c r="A284" s="58">
        <v>5220</v>
      </c>
      <c r="B284" s="1229">
        <v>51295</v>
      </c>
      <c r="C284" s="1266" t="s">
        <v>77</v>
      </c>
      <c r="D284" s="1238" t="s">
        <v>187</v>
      </c>
      <c r="E284" s="1239">
        <f>VLOOKUP(B284,'Master IS (C)'!$B$34:L$330,11,FALSE)</f>
        <v>35576.238954003289</v>
      </c>
      <c r="F284" s="1223">
        <f>IF(($E284=0),0,IF(($D284="ACT"),"0",(VLOOKUP($D284,$D$9:$H$12,3,FALSE)*$E284)))</f>
        <v>33894.776706442048</v>
      </c>
      <c r="G284" s="1223">
        <f>IF(($E284=0),0,IF(($D284="ACT"),"0",(VLOOKUP($D284,$D$9:$H$12,4,FALSE)*$E284)))</f>
        <v>185.93283639349244</v>
      </c>
      <c r="H284" s="1224">
        <f>IF(($E284=0),0,IF(($D284="ACT"),"0",(VLOOKUP($D284,$D$9:$H$12,5,FALSE)*$E284)))</f>
        <v>1495.5294111677501</v>
      </c>
      <c r="I284" s="534">
        <f t="shared" si="48"/>
        <v>0</v>
      </c>
    </row>
    <row r="285" spans="1:9">
      <c r="A285" s="58">
        <v>5220</v>
      </c>
      <c r="B285" s="1229">
        <v>57357</v>
      </c>
      <c r="C285" s="1266" t="s">
        <v>107</v>
      </c>
      <c r="D285" s="1238" t="s">
        <v>187</v>
      </c>
      <c r="E285" s="1239">
        <f>VLOOKUP(B285,'Master IS (C)'!$B$34:L$330,11,FALSE)</f>
        <v>382.23660859471983</v>
      </c>
      <c r="F285" s="1223">
        <f>IF(($E285=0),0,IF(($D285="ACT"),"0",(VLOOKUP($D285,$D$9:$H$12,3,FALSE)*$E285)))</f>
        <v>364.17071838584093</v>
      </c>
      <c r="G285" s="1223">
        <f>IF(($E285=0),0,IF(($D285="ACT"),"0",(VLOOKUP($D285,$D$9:$H$12,4,FALSE)*$E285)))</f>
        <v>1.9976911247232365</v>
      </c>
      <c r="H285" s="1224">
        <f>IF(($E285=0),0,IF(($D285="ACT"),"0",(VLOOKUP($D285,$D$9:$H$12,5,FALSE)*$E285)))</f>
        <v>16.068199084155676</v>
      </c>
      <c r="I285" s="534">
        <f t="shared" si="48"/>
        <v>0</v>
      </c>
    </row>
    <row r="286" spans="1:9">
      <c r="A286" s="58">
        <v>5220</v>
      </c>
      <c r="B286" s="1229">
        <v>70357</v>
      </c>
      <c r="C286" s="1266" t="s">
        <v>107</v>
      </c>
      <c r="D286" s="1238" t="s">
        <v>486</v>
      </c>
      <c r="E286" s="1239">
        <f>VLOOKUP(B286,'Master IS (C)'!$B$34:L$330,11,FALSE)</f>
        <v>96.535350695348697</v>
      </c>
      <c r="F286" s="1223">
        <f>IF(($E286=0),0,IF(($D286="ACT"),"0",(VLOOKUP($D286,$D$9:$H$12,3,FALSE)*$E286)))</f>
        <v>82.164451582903837</v>
      </c>
      <c r="G286" s="1223">
        <f>IF(($E286=0),0,IF(($D286="ACT"),"0",(VLOOKUP($D286,$D$9:$H$12,4,FALSE)*$E286)))</f>
        <v>2.454756606279004</v>
      </c>
      <c r="H286" s="1224">
        <f>IF(($E286=0),0,IF(($D286="ACT"),"0",(VLOOKUP($D286,$D$9:$H$12,5,FALSE)*$E286)))</f>
        <v>11.916142506165867</v>
      </c>
      <c r="I286" s="534">
        <f t="shared" si="48"/>
        <v>0</v>
      </c>
    </row>
    <row r="287" spans="1:9">
      <c r="B287" s="1229"/>
      <c r="C287" s="1266"/>
      <c r="D287" s="1238"/>
      <c r="E287" s="1239"/>
      <c r="F287" s="1223"/>
      <c r="G287" s="1223"/>
      <c r="H287" s="1224"/>
      <c r="I287" s="534">
        <f t="shared" si="48"/>
        <v>0</v>
      </c>
    </row>
    <row r="288" spans="1:9">
      <c r="A288" s="536"/>
      <c r="B288" s="1229"/>
      <c r="C288" s="1270" t="s">
        <v>512</v>
      </c>
      <c r="D288" s="1270"/>
      <c r="E288" s="1255">
        <f>SUM(E284:E287)</f>
        <v>36055.010913293358</v>
      </c>
      <c r="F288" s="1271">
        <f>SUM(F284:F287)</f>
        <v>34341.111876410789</v>
      </c>
      <c r="G288" s="1271">
        <f>SUM(G284:G287)</f>
        <v>190.38528412449469</v>
      </c>
      <c r="H288" s="1272">
        <f>SUM(H284:H287)</f>
        <v>1523.5137527580716</v>
      </c>
      <c r="I288" s="534">
        <f t="shared" si="48"/>
        <v>0</v>
      </c>
    </row>
    <row r="289" spans="1:9">
      <c r="B289" s="1229"/>
      <c r="C289" s="1266"/>
      <c r="D289" s="1238"/>
      <c r="E289" s="1239"/>
      <c r="F289" s="1223"/>
      <c r="G289" s="1223"/>
      <c r="H289" s="1224"/>
      <c r="I289" s="534">
        <f t="shared" si="48"/>
        <v>0</v>
      </c>
    </row>
    <row r="290" spans="1:9">
      <c r="A290" s="58">
        <v>5230</v>
      </c>
      <c r="B290" s="1229">
        <v>57275</v>
      </c>
      <c r="C290" s="1266" t="s">
        <v>281</v>
      </c>
      <c r="D290" s="1238" t="s">
        <v>187</v>
      </c>
      <c r="E290" s="1239">
        <f>VLOOKUP(B290,'Master IS (C)'!$B$34:L$330,11,FALSE)</f>
        <v>31201.363349394811</v>
      </c>
      <c r="F290" s="1223">
        <f>IF(($E290=0),0,IF(($D290="ACT"),"0",(VLOOKUP($D290,$D$9:$H$12,3,FALSE)*$E290)))</f>
        <v>29726.673610204583</v>
      </c>
      <c r="G290" s="1223">
        <f>IF(($E290=0),0,IF(($D290="ACT"),"0",(VLOOKUP($D290,$D$9:$H$12,4,FALSE)*$E290)))</f>
        <v>163.06833317590272</v>
      </c>
      <c r="H290" s="1224">
        <f>IF(($E290=0),0,IF(($D290="ACT"),"0",(VLOOKUP($D290,$D$9:$H$12,5,FALSE)*$E290)))</f>
        <v>1311.6214060143263</v>
      </c>
      <c r="I290" s="534">
        <f t="shared" si="48"/>
        <v>0</v>
      </c>
    </row>
    <row r="291" spans="1:9">
      <c r="A291" s="58">
        <v>5230</v>
      </c>
      <c r="B291" s="1229">
        <v>54275</v>
      </c>
      <c r="C291" s="1266" t="s">
        <v>281</v>
      </c>
      <c r="D291" s="1238" t="s">
        <v>486</v>
      </c>
      <c r="E291" s="1239">
        <f>VLOOKUP(B291,'Master IS (C)'!$B$34:L$330,11,FALSE)</f>
        <v>0</v>
      </c>
      <c r="F291" s="1223">
        <f>IF(($E291=0),0,IF(($D291="ACT"),"0",(VLOOKUP($D291,$D$9:$H$12,3,FALSE)*$E291)))</f>
        <v>0</v>
      </c>
      <c r="G291" s="1223">
        <f>IF(($E291=0),0,IF(($D291="ACT"),"0",(VLOOKUP($D291,$D$9:$H$12,4,FALSE)*$E291)))</f>
        <v>0</v>
      </c>
      <c r="H291" s="1224">
        <f>IF(($E291=0),0,IF(($D291="ACT"),"0",(VLOOKUP($D291,$D$9:$H$12,5,FALSE)*$E291)))</f>
        <v>0</v>
      </c>
      <c r="I291" s="534">
        <f t="shared" si="48"/>
        <v>0</v>
      </c>
    </row>
    <row r="292" spans="1:9">
      <c r="B292" s="1229"/>
      <c r="C292" s="1266"/>
      <c r="D292" s="1238"/>
      <c r="E292" s="1239"/>
      <c r="F292" s="1223"/>
      <c r="G292" s="1223"/>
      <c r="H292" s="1224"/>
      <c r="I292" s="534">
        <f t="shared" si="48"/>
        <v>0</v>
      </c>
    </row>
    <row r="293" spans="1:9">
      <c r="A293" s="536"/>
      <c r="B293" s="1229"/>
      <c r="C293" s="1270" t="s">
        <v>515</v>
      </c>
      <c r="D293" s="1270"/>
      <c r="E293" s="1255">
        <f>SUM(E290:E292)</f>
        <v>31201.363349394811</v>
      </c>
      <c r="F293" s="1255">
        <f>SUM(F290:F292)</f>
        <v>29726.673610204583</v>
      </c>
      <c r="G293" s="1255">
        <f>SUM(G290:G292)</f>
        <v>163.06833317590272</v>
      </c>
      <c r="H293" s="1256">
        <f>SUM(H290:H292)</f>
        <v>1311.6214060143263</v>
      </c>
      <c r="I293" s="534">
        <f t="shared" si="48"/>
        <v>0</v>
      </c>
    </row>
    <row r="294" spans="1:9">
      <c r="B294" s="1229"/>
      <c r="C294" s="1266"/>
      <c r="D294" s="1238"/>
      <c r="E294" s="1239"/>
      <c r="F294" s="1223"/>
      <c r="G294" s="1223"/>
      <c r="H294" s="1224"/>
      <c r="I294" s="534">
        <f t="shared" si="48"/>
        <v>0</v>
      </c>
    </row>
    <row r="295" spans="1:9">
      <c r="A295" s="58">
        <v>5242</v>
      </c>
      <c r="B295" s="1229">
        <v>50050</v>
      </c>
      <c r="C295" s="1266" t="s">
        <v>68</v>
      </c>
      <c r="D295" s="1238" t="s">
        <v>187</v>
      </c>
      <c r="E295" s="1239">
        <f>VLOOKUP(B295,'Master IS (C)'!$B$34:L$330,11,FALSE)</f>
        <v>225631.30906805824</v>
      </c>
      <c r="F295" s="1223">
        <f>IF(($E295=0),0,IF(($D295="ACT"),"0",(VLOOKUP($D295,$D$9:$H$12,3,FALSE)*$E295)))</f>
        <v>214967.15402468003</v>
      </c>
      <c r="G295" s="1223">
        <f>IF(($E295=0),0,IF(($D295="ACT"),"0",(VLOOKUP($D295,$D$9:$H$12,4,FALSE)*$E295)))</f>
        <v>1179.2215958646195</v>
      </c>
      <c r="H295" s="1224">
        <f>IF(($E295=0),0,IF(($D295="ACT"),"0",(VLOOKUP($D295,$D$9:$H$12,5,FALSE)*$E295)))</f>
        <v>9484.9334475135929</v>
      </c>
      <c r="I295" s="534">
        <f t="shared" si="48"/>
        <v>0</v>
      </c>
    </row>
    <row r="296" spans="1:9">
      <c r="A296" s="58">
        <v>5242</v>
      </c>
      <c r="B296" s="1229">
        <v>52050</v>
      </c>
      <c r="C296" s="1266" t="s">
        <v>68</v>
      </c>
      <c r="D296" s="1238" t="s">
        <v>187</v>
      </c>
      <c r="E296" s="1239">
        <f>VLOOKUP(B296,'Master IS (C)'!$B$34:L$330,11,FALSE)</f>
        <v>41324.637310522026</v>
      </c>
      <c r="F296" s="1223">
        <f>IF(($E296=0),0,IF(($D296="ACT"),"0",(VLOOKUP($D296,$D$9:$H$12,3,FALSE)*$E296)))</f>
        <v>39371.48488140657</v>
      </c>
      <c r="G296" s="1223">
        <f>IF(($E296=0),0,IF(($D296="ACT"),"0",(VLOOKUP($D296,$D$9:$H$12,4,FALSE)*$E296)))</f>
        <v>215.97581009088347</v>
      </c>
      <c r="H296" s="1224">
        <f>IF(($E296=0),0,IF(($D296="ACT"),"0",(VLOOKUP($D296,$D$9:$H$12,5,FALSE)*$E296)))</f>
        <v>1737.1766190245758</v>
      </c>
      <c r="I296" s="534">
        <f t="shared" si="48"/>
        <v>0</v>
      </c>
    </row>
    <row r="297" spans="1:9">
      <c r="A297" s="58">
        <v>4115</v>
      </c>
      <c r="B297" s="1229">
        <v>55050</v>
      </c>
      <c r="C297" s="1266" t="s">
        <v>68</v>
      </c>
      <c r="D297" s="1238" t="s">
        <v>186</v>
      </c>
      <c r="E297" s="1239">
        <f>VLOOKUP(B297,'Master IS (C)'!$B$34:L$330,11,FALSE)</f>
        <v>10124.620452607318</v>
      </c>
      <c r="F297" s="1223">
        <f>+E297</f>
        <v>10124.620452607318</v>
      </c>
      <c r="G297" s="1223" t="str">
        <f>IF(($E297=0),0,IF(($D297="ACT"),"0",(VLOOKUP($D297,$D$9:$H$12,4,FALSE)*$E297)))</f>
        <v>0</v>
      </c>
      <c r="H297" s="1224" t="str">
        <f>IF(($E297=0),0,IF(($D297="ACT"),"0",(VLOOKUP($D297,$D$9:$H$12,5,FALSE)*$E297)))</f>
        <v>0</v>
      </c>
      <c r="I297" s="534">
        <f>+E297-SUM(F297:H297)</f>
        <v>0</v>
      </c>
    </row>
    <row r="298" spans="1:9">
      <c r="A298" s="58">
        <v>5242</v>
      </c>
      <c r="B298" s="1229">
        <v>56050</v>
      </c>
      <c r="C298" s="1266" t="s">
        <v>68</v>
      </c>
      <c r="D298" s="1238" t="s">
        <v>187</v>
      </c>
      <c r="E298" s="1239">
        <f>VLOOKUP(B298,'Master IS (C)'!$B$34:L$330,11,FALSE)</f>
        <v>16987.722139363377</v>
      </c>
      <c r="F298" s="1223">
        <f>IF(($E298=0),0,IF(($D298="ACT"),"0",(VLOOKUP($D298,$D$9:$H$12,3,FALSE)*$E298)))</f>
        <v>16184.820700390846</v>
      </c>
      <c r="G298" s="1223">
        <f>IF(($E298=0),0,IF(($D298="ACT"),"0",(VLOOKUP($D298,$D$9:$H$12,4,FALSE)*$E298)))</f>
        <v>88.783284970626028</v>
      </c>
      <c r="H298" s="1224">
        <f>IF(($E298=0),0,IF(($D298="ACT"),"0",(VLOOKUP($D298,$D$9:$H$12,5,FALSE)*$E298)))</f>
        <v>714.11815400190414</v>
      </c>
      <c r="I298" s="534">
        <f t="shared" si="48"/>
        <v>0</v>
      </c>
    </row>
    <row r="299" spans="1:9">
      <c r="A299" s="58">
        <v>5242</v>
      </c>
      <c r="B299" s="1229">
        <v>70050</v>
      </c>
      <c r="C299" s="1266" t="s">
        <v>68</v>
      </c>
      <c r="D299" s="1238" t="s">
        <v>486</v>
      </c>
      <c r="E299" s="1239">
        <f>VLOOKUP(B299,'Master IS (C)'!$B$34:L$330,11,FALSE)</f>
        <v>36974.730082309979</v>
      </c>
      <c r="F299" s="1223">
        <f>IF(($E299=0),0,IF(($D299="ACT"),"0",(VLOOKUP($D299,$D$9:$H$12,3,FALSE)*$E299)))</f>
        <v>31470.424023489613</v>
      </c>
      <c r="G299" s="1223">
        <f>IF(($E299=0),0,IF(($D299="ACT"),"0",(VLOOKUP($D299,$D$9:$H$12,4,FALSE)*$E299)))</f>
        <v>940.21477397819899</v>
      </c>
      <c r="H299" s="1224">
        <f>IF(($E299=0),0,IF(($D299="ACT"),"0",(VLOOKUP($D299,$D$9:$H$12,5,FALSE)*$E299)))</f>
        <v>4564.0912848421722</v>
      </c>
      <c r="I299" s="534">
        <f t="shared" si="48"/>
        <v>0</v>
      </c>
    </row>
    <row r="300" spans="1:9">
      <c r="B300" s="1229"/>
      <c r="C300" s="1266"/>
      <c r="D300" s="1238"/>
      <c r="E300" s="1239"/>
      <c r="F300" s="1223"/>
      <c r="G300" s="1223"/>
      <c r="H300" s="1224"/>
      <c r="I300" s="534">
        <f t="shared" si="48"/>
        <v>0</v>
      </c>
    </row>
    <row r="301" spans="1:9">
      <c r="A301" s="536"/>
      <c r="B301" s="1229"/>
      <c r="C301" s="1270" t="s">
        <v>516</v>
      </c>
      <c r="D301" s="1270"/>
      <c r="E301" s="1255">
        <f>SUM(E295:E300)</f>
        <v>331043.01905286097</v>
      </c>
      <c r="F301" s="1271">
        <f>SUM(F295:F300)</f>
        <v>312118.50408257439</v>
      </c>
      <c r="G301" s="1271">
        <f>SUM(G295:G300)</f>
        <v>2424.1954649043282</v>
      </c>
      <c r="H301" s="1272">
        <f>SUM(H295:H300)</f>
        <v>16500.319505382246</v>
      </c>
      <c r="I301" s="534">
        <f t="shared" si="48"/>
        <v>0</v>
      </c>
    </row>
    <row r="302" spans="1:9">
      <c r="B302" s="1229"/>
      <c r="C302" s="1266"/>
      <c r="D302" s="1238"/>
      <c r="E302" s="1239"/>
      <c r="F302" s="1223"/>
      <c r="G302" s="1223"/>
      <c r="H302" s="1224"/>
      <c r="I302" s="534">
        <f t="shared" si="48"/>
        <v>0</v>
      </c>
    </row>
    <row r="303" spans="1:9">
      <c r="A303" s="58">
        <v>5260</v>
      </c>
      <c r="B303" s="1229">
        <v>43001</v>
      </c>
      <c r="C303" s="1266" t="s">
        <v>280</v>
      </c>
      <c r="D303" s="1238" t="s">
        <v>485</v>
      </c>
      <c r="E303" s="1239">
        <f>VLOOKUP(B303,'Master IS (C)'!$B$34:L$330,11,FALSE)</f>
        <v>225473.48289999671</v>
      </c>
      <c r="F303" s="1223">
        <f>IF(($E303=0),0,IF(($D303="ACT"),"0",(VLOOKUP($D303,$D$9:$H$12,3,FALSE)*$E303)))</f>
        <v>217968.1513774787</v>
      </c>
      <c r="G303" s="1223">
        <f>IF(($E303=0),0,IF(($D303="ACT"),"0",(VLOOKUP($D303,$D$9:$H$12,4,FALSE)*$E303)))</f>
        <v>1431.6369653989177</v>
      </c>
      <c r="H303" s="1224">
        <f>IF(($E303=0),0,IF(($D303="ACT"),"0",(VLOOKUP($D303,$D$9:$H$12,5,FALSE)*$E303)))</f>
        <v>6073.6945571190572</v>
      </c>
      <c r="I303" s="534">
        <f t="shared" si="48"/>
        <v>0</v>
      </c>
    </row>
    <row r="304" spans="1:9">
      <c r="A304" s="58">
        <v>5260</v>
      </c>
      <c r="B304" s="1229">
        <v>43001.1</v>
      </c>
      <c r="C304" s="1267" t="s">
        <v>1023</v>
      </c>
      <c r="D304" s="1238" t="s">
        <v>186</v>
      </c>
      <c r="E304" s="1239">
        <f>VLOOKUP(B304,'Master IS (C)'!$B$34:L$330,11,FALSE)</f>
        <v>152.57171599296757</v>
      </c>
      <c r="F304" s="1223">
        <f>+E304</f>
        <v>152.57171599296757</v>
      </c>
      <c r="G304" s="1223" t="str">
        <f>IF(($E304=0),0,IF(($D304="ACT"),"0",(VLOOKUP($D304,$D$9:$H$12,4,FALSE)*$E304)))</f>
        <v>0</v>
      </c>
      <c r="H304" s="1224" t="str">
        <f>IF(($E304=0),0,IF(($D304="ACT"),"0",(VLOOKUP($D304,$D$9:$H$12,5,FALSE)*$E304)))</f>
        <v>0</v>
      </c>
      <c r="I304" s="534">
        <f t="shared" si="48"/>
        <v>0</v>
      </c>
    </row>
    <row r="305" spans="1:9">
      <c r="A305" s="58">
        <v>5260</v>
      </c>
      <c r="B305" s="1229">
        <v>43001.2</v>
      </c>
      <c r="C305" s="1267" t="s">
        <v>2211</v>
      </c>
      <c r="D305" s="1238" t="s">
        <v>485</v>
      </c>
      <c r="E305" s="1239">
        <f>VLOOKUP(B305,'Master IS (C)'!$B$34:L$330,11,FALSE)</f>
        <v>2417.6669697095863</v>
      </c>
      <c r="F305" s="1223">
        <f>IF(($E305=0),0,IF(($D305="ACT"),"0",(VLOOKUP($D305,$D$9:$H$12,3,FALSE)*$E305)))</f>
        <v>2337.1901354258853</v>
      </c>
      <c r="G305" s="1223">
        <f>IF(($E305=0),0,IF(($D305="ACT"),"0",(VLOOKUP($D305,$D$9:$H$12,4,FALSE)*$E305)))</f>
        <v>15.350902285016682</v>
      </c>
      <c r="H305" s="1224">
        <f>IF(($E305=0),0,IF(($D305="ACT"),"0",(VLOOKUP($D305,$D$9:$H$12,5,FALSE)*$E305)))</f>
        <v>65.125931998684052</v>
      </c>
      <c r="I305" s="534">
        <f t="shared" si="48"/>
        <v>0</v>
      </c>
    </row>
    <row r="306" spans="1:9">
      <c r="A306" s="58">
        <v>5260</v>
      </c>
      <c r="B306" s="1229">
        <v>43001.3</v>
      </c>
      <c r="C306" s="1267" t="s">
        <v>1024</v>
      </c>
      <c r="D306" s="1238" t="s">
        <v>186</v>
      </c>
      <c r="E306" s="1239">
        <f>VLOOKUP(B306,'Master IS (C)'!$B$34:L$330,11,FALSE)</f>
        <v>0</v>
      </c>
      <c r="F306" s="1223">
        <f>IF(($E306=0),0,IF(($D306="ACT"),"0",(VLOOKUP($D306,$D$9:$H$12,3,FALSE)*$E306)))</f>
        <v>0</v>
      </c>
      <c r="G306" s="1223">
        <f>IF(($E306=0),0,IF(($D306="ACT"),"0",(VLOOKUP($D306,$D$9:$H$12,4,FALSE)*$E306)))</f>
        <v>0</v>
      </c>
      <c r="H306" s="1224">
        <f>IF(($E306=0),0,IF(($D306="ACT"),"0",(VLOOKUP($D306,$D$9:$H$12,5,FALSE)*$E306)))</f>
        <v>0</v>
      </c>
      <c r="I306" s="534">
        <f t="shared" si="48"/>
        <v>0</v>
      </c>
    </row>
    <row r="307" spans="1:9">
      <c r="A307" s="58">
        <v>5260</v>
      </c>
      <c r="B307" s="1229">
        <v>57280</v>
      </c>
      <c r="C307" s="1267" t="s">
        <v>1058</v>
      </c>
      <c r="D307" s="1238" t="s">
        <v>186</v>
      </c>
      <c r="E307" s="1239" t="str">
        <f>VLOOKUP(B307,'Master IS (C)'!$B$34:L$330,11,FALSE)</f>
        <v>0</v>
      </c>
      <c r="F307" s="1223" t="str">
        <f>IF(($E307=0),0,IF(($D307="ACT"),"0",(VLOOKUP($D307,$D$9:$H$12,3,FALSE)*$E307)))</f>
        <v>0</v>
      </c>
      <c r="G307" s="1223" t="str">
        <f>IF(($E307=0),0,IF(($D307="ACT"),"0",(VLOOKUP($D307,$D$9:$H$12,4,FALSE)*$E307)))</f>
        <v>0</v>
      </c>
      <c r="H307" s="1224" t="str">
        <f>IF(($E307=0),0,IF(($D307="ACT"),"0",(VLOOKUP($D307,$D$9:$H$12,5,FALSE)*$E307)))</f>
        <v>0</v>
      </c>
      <c r="I307" s="534">
        <f t="shared" si="48"/>
        <v>0</v>
      </c>
    </row>
    <row r="308" spans="1:9">
      <c r="B308" s="1229"/>
      <c r="C308" s="1267"/>
      <c r="D308" s="1238"/>
      <c r="E308" s="1239"/>
      <c r="F308" s="1223"/>
      <c r="G308" s="1223"/>
      <c r="H308" s="1224"/>
      <c r="I308" s="534">
        <f t="shared" si="48"/>
        <v>0</v>
      </c>
    </row>
    <row r="309" spans="1:9">
      <c r="A309" s="536"/>
      <c r="B309" s="1229"/>
      <c r="C309" s="1270" t="s">
        <v>513</v>
      </c>
      <c r="D309" s="1270"/>
      <c r="E309" s="1255">
        <f>SUM(E303:E308)</f>
        <v>228043.72158569927</v>
      </c>
      <c r="F309" s="1271">
        <f>SUM(F303:F308)</f>
        <v>220457.91322889755</v>
      </c>
      <c r="G309" s="1271">
        <f>SUM(G303:G308)</f>
        <v>1446.9878676839344</v>
      </c>
      <c r="H309" s="1272">
        <f>SUM(H303:H308)</f>
        <v>6138.8204891177411</v>
      </c>
      <c r="I309" s="534">
        <f t="shared" si="48"/>
        <v>0</v>
      </c>
    </row>
    <row r="310" spans="1:9">
      <c r="B310" s="1229"/>
      <c r="C310" s="1266"/>
      <c r="D310" s="1238"/>
      <c r="E310" s="1239"/>
      <c r="F310" s="1223"/>
      <c r="G310" s="1223"/>
      <c r="H310" s="1224"/>
      <c r="I310" s="534">
        <f t="shared" si="48"/>
        <v>0</v>
      </c>
    </row>
    <row r="311" spans="1:9">
      <c r="A311" s="58">
        <v>5270</v>
      </c>
      <c r="B311" s="1229">
        <v>41201</v>
      </c>
      <c r="C311" s="1266" t="s">
        <v>279</v>
      </c>
      <c r="D311" s="1238" t="s">
        <v>186</v>
      </c>
      <c r="E311" s="1239">
        <f>VLOOKUP(B311,'Master IS (C)'!$B$34:L$330,11,FALSE)</f>
        <v>0</v>
      </c>
      <c r="F311" s="1223">
        <f>IF(($E311=0),0,IF(($D311="ACT"),"0",(VLOOKUP($D311,$D$9:$H$12,3,FALSE)*$E311)))</f>
        <v>0</v>
      </c>
      <c r="G311" s="1223">
        <f>IF(($E311=0),0,IF(($D311="ACT"),"0",(VLOOKUP($D311,$D$9:$H$12,4,FALSE)*$E311)))</f>
        <v>0</v>
      </c>
      <c r="H311" s="1224">
        <f>IF(($E311=0),0,IF(($D311="ACT"),"0",(VLOOKUP($D311,$D$9:$H$12,5,FALSE)*$E311)))</f>
        <v>0</v>
      </c>
      <c r="I311" s="534">
        <f t="shared" si="48"/>
        <v>0</v>
      </c>
    </row>
    <row r="312" spans="1:9">
      <c r="B312" s="1229"/>
      <c r="C312" s="1266"/>
      <c r="D312" s="1238"/>
      <c r="E312" s="1239"/>
      <c r="F312" s="1223"/>
      <c r="G312" s="1223"/>
      <c r="H312" s="1224"/>
      <c r="I312" s="534">
        <f t="shared" si="48"/>
        <v>0</v>
      </c>
    </row>
    <row r="313" spans="1:9">
      <c r="A313" s="536"/>
      <c r="B313" s="1229"/>
      <c r="C313" s="1270" t="s">
        <v>514</v>
      </c>
      <c r="D313" s="1270"/>
      <c r="E313" s="1255">
        <f>SUM(E311:E312)</f>
        <v>0</v>
      </c>
      <c r="F313" s="1271">
        <f>SUM(F311:F312)</f>
        <v>0</v>
      </c>
      <c r="G313" s="1271">
        <f>SUM(G311:G312)</f>
        <v>0</v>
      </c>
      <c r="H313" s="1272">
        <f>SUM(H311:H312)</f>
        <v>0</v>
      </c>
      <c r="I313" s="534">
        <f t="shared" si="48"/>
        <v>0</v>
      </c>
    </row>
    <row r="314" spans="1:9">
      <c r="B314" s="1227"/>
      <c r="C314" s="1225"/>
      <c r="D314" s="1238"/>
      <c r="E314" s="1239"/>
      <c r="F314" s="1223"/>
      <c r="G314" s="1223"/>
      <c r="H314" s="1224"/>
      <c r="I314" s="534">
        <f t="shared" si="48"/>
        <v>0</v>
      </c>
    </row>
    <row r="315" spans="1:9">
      <c r="A315" s="536"/>
      <c r="B315" s="1229"/>
      <c r="C315" s="1273" t="s">
        <v>526</v>
      </c>
      <c r="D315" s="1273"/>
      <c r="E315" s="1244">
        <f>E313+E309+E301+E293+E288</f>
        <v>626343.11490124837</v>
      </c>
      <c r="F315" s="1274">
        <f>F313+F309+F301+F293+F288</f>
        <v>596644.20279808727</v>
      </c>
      <c r="G315" s="1274">
        <f>G313+G309+G301+G293+G288</f>
        <v>4224.6369498886597</v>
      </c>
      <c r="H315" s="1275">
        <f>H313+H309+H301+H293+H288</f>
        <v>25474.275153272381</v>
      </c>
      <c r="I315" s="534">
        <f t="shared" si="48"/>
        <v>0</v>
      </c>
    </row>
    <row r="316" spans="1:9">
      <c r="B316" s="1229"/>
      <c r="C316" s="1266"/>
      <c r="D316" s="1238"/>
      <c r="E316" s="1239"/>
      <c r="F316" s="1223"/>
      <c r="G316" s="1223"/>
      <c r="H316" s="1224"/>
      <c r="I316" s="534">
        <f t="shared" si="48"/>
        <v>0</v>
      </c>
    </row>
    <row r="317" spans="1:9">
      <c r="A317" s="58">
        <v>5320</v>
      </c>
      <c r="B317" s="1229">
        <v>57175</v>
      </c>
      <c r="C317" s="1228" t="s">
        <v>423</v>
      </c>
      <c r="D317" s="1238" t="s">
        <v>486</v>
      </c>
      <c r="E317" s="1239">
        <f>VLOOKUP(B317,'Master IS (C)'!$B$34:L$330,11,FALSE)</f>
        <v>1066.2432181482855</v>
      </c>
      <c r="F317" s="1223">
        <f>IF(($E317=0),0,IF(($D317="ACT"),"0",(VLOOKUP($D317,$D$9:$H$12,3,FALSE)*$E317)))</f>
        <v>907.51510863227747</v>
      </c>
      <c r="G317" s="1223">
        <f>IF(($E317=0),0,IF(($D317="ACT"),"0",(VLOOKUP($D317,$D$9:$H$12,4,FALSE)*$E317)))</f>
        <v>27.113047860671418</v>
      </c>
      <c r="H317" s="1224">
        <f>IF(($E317=0),0,IF(($D317="ACT"),"0",(VLOOKUP($D317,$D$9:$H$12,5,FALSE)*$E317)))</f>
        <v>131.61506165533669</v>
      </c>
      <c r="I317" s="534">
        <f t="shared" si="48"/>
        <v>0</v>
      </c>
    </row>
    <row r="318" spans="1:9">
      <c r="B318" s="1229"/>
      <c r="C318" s="1266"/>
      <c r="D318" s="1238"/>
      <c r="E318" s="1239"/>
      <c r="F318" s="1223"/>
      <c r="G318" s="1223"/>
      <c r="H318" s="1224"/>
      <c r="I318" s="534">
        <f t="shared" si="48"/>
        <v>0</v>
      </c>
    </row>
    <row r="319" spans="1:9">
      <c r="A319" s="536"/>
      <c r="B319" s="1229"/>
      <c r="C319" s="1270" t="s">
        <v>517</v>
      </c>
      <c r="D319" s="1270"/>
      <c r="E319" s="1255">
        <f>SUM(E317:E318)</f>
        <v>1066.2432181482855</v>
      </c>
      <c r="F319" s="1271">
        <f>SUM(F317:F318)</f>
        <v>907.51510863227747</v>
      </c>
      <c r="G319" s="1271">
        <f>SUM(G317:G318)</f>
        <v>27.113047860671418</v>
      </c>
      <c r="H319" s="1272">
        <f>SUM(H317:H318)</f>
        <v>131.61506165533669</v>
      </c>
      <c r="I319" s="534">
        <f t="shared" si="48"/>
        <v>0</v>
      </c>
    </row>
    <row r="320" spans="1:9">
      <c r="B320" s="1229"/>
      <c r="C320" s="1266"/>
      <c r="D320" s="1238"/>
      <c r="E320" s="1239"/>
      <c r="F320" s="1223"/>
      <c r="G320" s="1223"/>
      <c r="H320" s="1224"/>
      <c r="I320" s="534">
        <f t="shared" si="48"/>
        <v>0</v>
      </c>
    </row>
    <row r="321" spans="1:9">
      <c r="A321" s="58">
        <v>5340</v>
      </c>
      <c r="B321" s="1229">
        <v>70175</v>
      </c>
      <c r="C321" s="1266" t="s">
        <v>268</v>
      </c>
      <c r="D321" s="1238" t="s">
        <v>486</v>
      </c>
      <c r="E321" s="1239">
        <f>VLOOKUP(B321,'Master IS (C)'!$B$34:L$330,11,FALSE)</f>
        <v>11208.301934031801</v>
      </c>
      <c r="F321" s="1223">
        <f>IF(($E321=0),0,IF(($D321="ACT"),"0",(VLOOKUP($D321,$D$9:$H$12,3,FALSE)*$E321)))</f>
        <v>9539.7590100607122</v>
      </c>
      <c r="G321" s="1223">
        <f>IF(($E321=0),0,IF(($D321="ACT"),"0",(VLOOKUP($D321,$D$9:$H$12,4,FALSE)*$E321)))</f>
        <v>285.01116968604924</v>
      </c>
      <c r="H321" s="1224">
        <f>IF(($E321=0),0,IF(($D321="ACT"),"0",(VLOOKUP($D321,$D$9:$H$12,5,FALSE)*$E321)))</f>
        <v>1383.531754285041</v>
      </c>
      <c r="I321" s="534">
        <f t="shared" si="48"/>
        <v>0</v>
      </c>
    </row>
    <row r="322" spans="1:9">
      <c r="B322" s="1229"/>
      <c r="C322" s="1266"/>
      <c r="D322" s="1238"/>
      <c r="E322" s="1239"/>
      <c r="F322" s="1223"/>
      <c r="G322" s="1223"/>
      <c r="H322" s="1224"/>
      <c r="I322" s="534">
        <f t="shared" si="48"/>
        <v>0</v>
      </c>
    </row>
    <row r="323" spans="1:9">
      <c r="A323" s="536"/>
      <c r="B323" s="1229"/>
      <c r="C323" s="1270" t="s">
        <v>518</v>
      </c>
      <c r="D323" s="1270"/>
      <c r="E323" s="1255">
        <f>SUM(E321:E322)</f>
        <v>11208.301934031801</v>
      </c>
      <c r="F323" s="1255">
        <f>SUM(F321:F322)</f>
        <v>9539.7590100607122</v>
      </c>
      <c r="G323" s="1255">
        <f>SUM(G321:G322)</f>
        <v>285.01116968604924</v>
      </c>
      <c r="H323" s="1256">
        <f>SUM(H321:H322)</f>
        <v>1383.531754285041</v>
      </c>
      <c r="I323" s="534">
        <f t="shared" si="48"/>
        <v>0</v>
      </c>
    </row>
    <row r="324" spans="1:9">
      <c r="B324" s="1229"/>
      <c r="C324" s="1266"/>
      <c r="D324" s="1238"/>
      <c r="E324" s="1239"/>
      <c r="F324" s="1239"/>
      <c r="G324" s="1239"/>
      <c r="H324" s="1240"/>
      <c r="I324" s="534">
        <f t="shared" si="48"/>
        <v>0</v>
      </c>
    </row>
    <row r="325" spans="1:9">
      <c r="A325" s="536"/>
      <c r="B325" s="1229"/>
      <c r="C325" s="1273" t="s">
        <v>527</v>
      </c>
      <c r="D325" s="1273"/>
      <c r="E325" s="1244">
        <f>E323+E319</f>
        <v>12274.545152180086</v>
      </c>
      <c r="F325" s="1244">
        <f>F323+F319</f>
        <v>10447.274118692989</v>
      </c>
      <c r="G325" s="1244">
        <f>G323+G319</f>
        <v>312.12421754672067</v>
      </c>
      <c r="H325" s="1245">
        <f>H323+H319</f>
        <v>1515.1468159403776</v>
      </c>
      <c r="I325" s="534">
        <f t="shared" si="48"/>
        <v>0</v>
      </c>
    </row>
    <row r="326" spans="1:9">
      <c r="B326" s="1229"/>
      <c r="C326" s="1266"/>
      <c r="D326" s="1238"/>
      <c r="E326" s="1239"/>
      <c r="F326" s="1239"/>
      <c r="G326" s="1239"/>
      <c r="H326" s="1240"/>
      <c r="I326" s="534"/>
    </row>
    <row r="327" spans="1:9">
      <c r="A327" s="536"/>
      <c r="B327" s="1229"/>
      <c r="C327" s="1273" t="s">
        <v>488</v>
      </c>
      <c r="D327" s="1273"/>
      <c r="E327" s="1244">
        <f>E325+E315+E282+E272+E259+E167+E143+E136+E126+E90</f>
        <v>13299748.950588811</v>
      </c>
      <c r="F327" s="1244">
        <f>F325+F315+F282+F272+F259+F167+F143+F136+F126+F90</f>
        <v>12729783.463299453</v>
      </c>
      <c r="G327" s="1244">
        <f>G325+G315+G282+G272+G259+G167+G143+G136+G126+G90</f>
        <v>72459.352574521152</v>
      </c>
      <c r="H327" s="1245">
        <f>H325+H315+H282+H272+H259+H167+H143+H136+H126+H90</f>
        <v>497506.13471483655</v>
      </c>
    </row>
    <row r="328" spans="1:9">
      <c r="B328" s="1229"/>
      <c r="C328" s="1283"/>
      <c r="D328" s="1246"/>
      <c r="E328" s="1239">
        <f>E327-'Master IS (C)'!L336</f>
        <v>0</v>
      </c>
      <c r="F328" s="1239"/>
      <c r="G328" s="1239"/>
      <c r="H328" s="1240"/>
    </row>
    <row r="329" spans="1:9">
      <c r="A329" s="536"/>
      <c r="B329" s="1229"/>
      <c r="C329" s="1273" t="s">
        <v>173</v>
      </c>
      <c r="D329" s="1273"/>
      <c r="E329" s="1244">
        <f>E41-E327</f>
        <v>391587.28043112718</v>
      </c>
      <c r="F329" s="1244">
        <f>F41-F327</f>
        <v>486227.27728285268</v>
      </c>
      <c r="G329" s="1244">
        <f>G41-G327</f>
        <v>14344.748812566613</v>
      </c>
      <c r="H329" s="1245">
        <f>H41-H327</f>
        <v>-108984.74566429289</v>
      </c>
      <c r="I329" s="534">
        <f t="shared" ref="I329" si="50">+E329-SUM(F329:H329)</f>
        <v>7.5669959187507629E-10</v>
      </c>
    </row>
    <row r="330" spans="1:9">
      <c r="B330" s="1229"/>
      <c r="C330" s="1283"/>
      <c r="D330" s="1246"/>
      <c r="E330" s="1239">
        <f>E329-'Master IS (C)'!L338</f>
        <v>-1.862645149230957E-9</v>
      </c>
      <c r="F330" s="1280"/>
      <c r="G330" s="1280"/>
      <c r="H330" s="1281"/>
    </row>
    <row r="331" spans="1:9">
      <c r="A331" s="536"/>
      <c r="B331" s="1229"/>
      <c r="C331" s="1273" t="s">
        <v>282</v>
      </c>
      <c r="D331" s="1273"/>
      <c r="E331" s="1244"/>
      <c r="F331" s="1284">
        <f>F327/F41</f>
        <v>0.96320922502054285</v>
      </c>
      <c r="G331" s="1284">
        <f>G327/G41</f>
        <v>0.83474572533619462</v>
      </c>
      <c r="H331" s="1285">
        <f>H327/H41</f>
        <v>1.2805115721701354</v>
      </c>
    </row>
    <row r="332" spans="1:9">
      <c r="B332" s="1227"/>
      <c r="C332" s="1225"/>
      <c r="D332" s="1238"/>
      <c r="E332" s="1239"/>
      <c r="F332" s="1239"/>
      <c r="G332" s="1239"/>
      <c r="H332" s="1240"/>
    </row>
    <row r="333" spans="1:9">
      <c r="B333" s="1227"/>
      <c r="C333" s="1230" t="s">
        <v>532</v>
      </c>
      <c r="D333" s="1238"/>
      <c r="E333" s="1239"/>
      <c r="F333" s="1239"/>
      <c r="G333" s="1239"/>
      <c r="H333" s="1240"/>
    </row>
    <row r="334" spans="1:9">
      <c r="B334" s="1227"/>
      <c r="C334" s="1273" t="s">
        <v>599</v>
      </c>
      <c r="D334" s="1273"/>
      <c r="E334" s="1244">
        <f>+'Depr Summary (C)'!M59</f>
        <v>7636657.7941931393</v>
      </c>
      <c r="F334" s="1244">
        <f>+'Depr Summary (C)'!N75</f>
        <v>7356231.523354331</v>
      </c>
      <c r="G334" s="1244">
        <f>+'Depr Summary (C)'!P75</f>
        <v>25845.575307018429</v>
      </c>
      <c r="H334" s="1245">
        <f>+'Depr Summary (C)'!O75</f>
        <v>254580.69553178799</v>
      </c>
      <c r="I334" s="534">
        <f t="shared" ref="I334" si="51">+E334-SUM(F334:H334)</f>
        <v>0</v>
      </c>
    </row>
    <row r="335" spans="1:9" ht="13.5" thickBot="1">
      <c r="B335" s="1231"/>
      <c r="C335" s="1232"/>
      <c r="D335" s="1232"/>
      <c r="E335" s="1286">
        <f>+'Depr Summary (C)'!M59-'Yakima LOB (C)'!E334</f>
        <v>0</v>
      </c>
      <c r="F335" s="1286"/>
      <c r="G335" s="1286"/>
      <c r="H335" s="1287"/>
    </row>
    <row r="336" spans="1:9" ht="13.5" thickTop="1"/>
  </sheetData>
  <customSheetViews>
    <customSheetView guid="{156AD3D1-5094-4CD1-83C8-30E58A5AFCB6}" scale="85" topLeftCell="A319">
      <selection activeCell="H344" sqref="H344"/>
      <pageMargins left="0.7" right="0.7" top="0.75" bottom="0.75" header="0.3" footer="0.3"/>
    </customSheetView>
    <customSheetView guid="{591FF4D1-4D4D-4220-B124-BC7A16E8B120}" topLeftCell="A300">
      <selection activeCell="O327" sqref="O327"/>
      <pageMargins left="0.7" right="0.7" top="0.75" bottom="0.75" header="0.3" footer="0.3"/>
      <pageSetup paperSize="0" orientation="portrait" horizontalDpi="0" verticalDpi="0" copies="0"/>
    </customSheetView>
  </customSheetViews>
  <conditionalFormatting sqref="B32">
    <cfRule type="duplicateValues" dxfId="219" priority="5"/>
  </conditionalFormatting>
  <conditionalFormatting sqref="B93">
    <cfRule type="duplicateValues" dxfId="218" priority="4"/>
  </conditionalFormatting>
  <conditionalFormatting sqref="B27:B29 B31">
    <cfRule type="duplicateValues" dxfId="217" priority="333"/>
  </conditionalFormatting>
  <conditionalFormatting sqref="B1:B12">
    <cfRule type="duplicateValues" dxfId="216" priority="334"/>
  </conditionalFormatting>
  <conditionalFormatting sqref="N24:N25">
    <cfRule type="duplicateValues" dxfId="215" priority="349"/>
  </conditionalFormatting>
  <conditionalFormatting sqref="B30">
    <cfRule type="duplicateValues" dxfId="214" priority="1"/>
  </conditionalFormatting>
  <dataValidations count="1">
    <dataValidation type="list" allowBlank="1" showInputMessage="1" showErrorMessage="1" sqref="D36:D37 D15:D22 D46:D333 D27:D32" xr:uid="{00000000-0002-0000-0200-000000000000}">
      <formula1>$D$9:$D$12</formula1>
    </dataValidation>
  </dataValidations>
  <pageMargins left="0.7" right="0.7" top="0.75" bottom="0.75" header="0.3" footer="0.3"/>
  <pageSetup scale="56" orientation="portrait" r:id="rId1"/>
  <headerFooter>
    <oddHeader xml:space="preserve">&amp;C&amp;"-,Bold"&amp;KFF0000TEXT IN RED BOX CONFIDENTIAL PER WAC 480-07-160&amp;"-,Regular"&amp;K01+000
</oddHeader>
  </headerFooter>
  <rowBreaks count="2" manualBreakCount="2">
    <brk id="90" max="9" man="1"/>
    <brk id="179"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pageSetUpPr fitToPage="1"/>
  </sheetPr>
  <dimension ref="A1:J92"/>
  <sheetViews>
    <sheetView view="pageBreakPreview" zoomScale="60" zoomScaleNormal="100" workbookViewId="0">
      <selection activeCell="A9" sqref="A9:H91"/>
    </sheetView>
  </sheetViews>
  <sheetFormatPr defaultRowHeight="15" outlineLevelRow="1"/>
  <cols>
    <col min="1" max="1" width="9.140625" style="249"/>
    <col min="2" max="2" width="36.140625" style="249" bestFit="1" customWidth="1"/>
    <col min="3" max="4" width="18" style="249" bestFit="1" customWidth="1"/>
    <col min="5" max="5" width="17.140625" style="249" customWidth="1"/>
    <col min="6" max="6" width="13.85546875" style="752" bestFit="1" customWidth="1"/>
    <col min="7" max="7" width="14.28515625" style="753" bestFit="1" customWidth="1"/>
    <col min="8" max="8" width="25" style="754" customWidth="1"/>
    <col min="9" max="10" width="9.140625" style="289"/>
    <col min="11" max="257" width="9.140625" style="249"/>
    <col min="258" max="258" width="36.140625" style="249" bestFit="1" customWidth="1"/>
    <col min="259" max="260" width="18" style="249" bestFit="1" customWidth="1"/>
    <col min="261" max="261" width="13.5703125" style="249" customWidth="1"/>
    <col min="262" max="513" width="9.140625" style="249"/>
    <col min="514" max="514" width="36.140625" style="249" bestFit="1" customWidth="1"/>
    <col min="515" max="516" width="18" style="249" bestFit="1" customWidth="1"/>
    <col min="517" max="517" width="13.5703125" style="249" customWidth="1"/>
    <col min="518" max="769" width="9.140625" style="249"/>
    <col min="770" max="770" width="36.140625" style="249" bestFit="1" customWidth="1"/>
    <col min="771" max="772" width="18" style="249" bestFit="1" customWidth="1"/>
    <col min="773" max="773" width="13.5703125" style="249" customWidth="1"/>
    <col min="774" max="1025" width="9.140625" style="249"/>
    <col min="1026" max="1026" width="36.140625" style="249" bestFit="1" customWidth="1"/>
    <col min="1027" max="1028" width="18" style="249" bestFit="1" customWidth="1"/>
    <col min="1029" max="1029" width="13.5703125" style="249" customWidth="1"/>
    <col min="1030" max="1281" width="9.140625" style="249"/>
    <col min="1282" max="1282" width="36.140625" style="249" bestFit="1" customWidth="1"/>
    <col min="1283" max="1284" width="18" style="249" bestFit="1" customWidth="1"/>
    <col min="1285" max="1285" width="13.5703125" style="249" customWidth="1"/>
    <col min="1286" max="1537" width="9.140625" style="249"/>
    <col min="1538" max="1538" width="36.140625" style="249" bestFit="1" customWidth="1"/>
    <col min="1539" max="1540" width="18" style="249" bestFit="1" customWidth="1"/>
    <col min="1541" max="1541" width="13.5703125" style="249" customWidth="1"/>
    <col min="1542" max="1793" width="9.140625" style="249"/>
    <col min="1794" max="1794" width="36.140625" style="249" bestFit="1" customWidth="1"/>
    <col min="1795" max="1796" width="18" style="249" bestFit="1" customWidth="1"/>
    <col min="1797" max="1797" width="13.5703125" style="249" customWidth="1"/>
    <col min="1798" max="2049" width="9.140625" style="249"/>
    <col min="2050" max="2050" width="36.140625" style="249" bestFit="1" customWidth="1"/>
    <col min="2051" max="2052" width="18" style="249" bestFit="1" customWidth="1"/>
    <col min="2053" max="2053" width="13.5703125" style="249" customWidth="1"/>
    <col min="2054" max="2305" width="9.140625" style="249"/>
    <col min="2306" max="2306" width="36.140625" style="249" bestFit="1" customWidth="1"/>
    <col min="2307" max="2308" width="18" style="249" bestFit="1" customWidth="1"/>
    <col min="2309" max="2309" width="13.5703125" style="249" customWidth="1"/>
    <col min="2310" max="2561" width="9.140625" style="249"/>
    <col min="2562" max="2562" width="36.140625" style="249" bestFit="1" customWidth="1"/>
    <col min="2563" max="2564" width="18" style="249" bestFit="1" customWidth="1"/>
    <col min="2565" max="2565" width="13.5703125" style="249" customWidth="1"/>
    <col min="2566" max="2817" width="9.140625" style="249"/>
    <col min="2818" max="2818" width="36.140625" style="249" bestFit="1" customWidth="1"/>
    <col min="2819" max="2820" width="18" style="249" bestFit="1" customWidth="1"/>
    <col min="2821" max="2821" width="13.5703125" style="249" customWidth="1"/>
    <col min="2822" max="3073" width="9.140625" style="249"/>
    <col min="3074" max="3074" width="36.140625" style="249" bestFit="1" customWidth="1"/>
    <col min="3075" max="3076" width="18" style="249" bestFit="1" customWidth="1"/>
    <col min="3077" max="3077" width="13.5703125" style="249" customWidth="1"/>
    <col min="3078" max="3329" width="9.140625" style="249"/>
    <col min="3330" max="3330" width="36.140625" style="249" bestFit="1" customWidth="1"/>
    <col min="3331" max="3332" width="18" style="249" bestFit="1" customWidth="1"/>
    <col min="3333" max="3333" width="13.5703125" style="249" customWidth="1"/>
    <col min="3334" max="3585" width="9.140625" style="249"/>
    <col min="3586" max="3586" width="36.140625" style="249" bestFit="1" customWidth="1"/>
    <col min="3587" max="3588" width="18" style="249" bestFit="1" customWidth="1"/>
    <col min="3589" max="3589" width="13.5703125" style="249" customWidth="1"/>
    <col min="3590" max="3841" width="9.140625" style="249"/>
    <col min="3842" max="3842" width="36.140625" style="249" bestFit="1" customWidth="1"/>
    <col min="3843" max="3844" width="18" style="249" bestFit="1" customWidth="1"/>
    <col min="3845" max="3845" width="13.5703125" style="249" customWidth="1"/>
    <col min="3846" max="4097" width="9.140625" style="249"/>
    <col min="4098" max="4098" width="36.140625" style="249" bestFit="1" customWidth="1"/>
    <col min="4099" max="4100" width="18" style="249" bestFit="1" customWidth="1"/>
    <col min="4101" max="4101" width="13.5703125" style="249" customWidth="1"/>
    <col min="4102" max="4353" width="9.140625" style="249"/>
    <col min="4354" max="4354" width="36.140625" style="249" bestFit="1" customWidth="1"/>
    <col min="4355" max="4356" width="18" style="249" bestFit="1" customWidth="1"/>
    <col min="4357" max="4357" width="13.5703125" style="249" customWidth="1"/>
    <col min="4358" max="4609" width="9.140625" style="249"/>
    <col min="4610" max="4610" width="36.140625" style="249" bestFit="1" customWidth="1"/>
    <col min="4611" max="4612" width="18" style="249" bestFit="1" customWidth="1"/>
    <col min="4613" max="4613" width="13.5703125" style="249" customWidth="1"/>
    <col min="4614" max="4865" width="9.140625" style="249"/>
    <col min="4866" max="4866" width="36.140625" style="249" bestFit="1" customWidth="1"/>
    <col min="4867" max="4868" width="18" style="249" bestFit="1" customWidth="1"/>
    <col min="4869" max="4869" width="13.5703125" style="249" customWidth="1"/>
    <col min="4870" max="5121" width="9.140625" style="249"/>
    <col min="5122" max="5122" width="36.140625" style="249" bestFit="1" customWidth="1"/>
    <col min="5123" max="5124" width="18" style="249" bestFit="1" customWidth="1"/>
    <col min="5125" max="5125" width="13.5703125" style="249" customWidth="1"/>
    <col min="5126" max="5377" width="9.140625" style="249"/>
    <col min="5378" max="5378" width="36.140625" style="249" bestFit="1" customWidth="1"/>
    <col min="5379" max="5380" width="18" style="249" bestFit="1" customWidth="1"/>
    <col min="5381" max="5381" width="13.5703125" style="249" customWidth="1"/>
    <col min="5382" max="5633" width="9.140625" style="249"/>
    <col min="5634" max="5634" width="36.140625" style="249" bestFit="1" customWidth="1"/>
    <col min="5635" max="5636" width="18" style="249" bestFit="1" customWidth="1"/>
    <col min="5637" max="5637" width="13.5703125" style="249" customWidth="1"/>
    <col min="5638" max="5889" width="9.140625" style="249"/>
    <col min="5890" max="5890" width="36.140625" style="249" bestFit="1" customWidth="1"/>
    <col min="5891" max="5892" width="18" style="249" bestFit="1" customWidth="1"/>
    <col min="5893" max="5893" width="13.5703125" style="249" customWidth="1"/>
    <col min="5894" max="6145" width="9.140625" style="249"/>
    <col min="6146" max="6146" width="36.140625" style="249" bestFit="1" customWidth="1"/>
    <col min="6147" max="6148" width="18" style="249" bestFit="1" customWidth="1"/>
    <col min="6149" max="6149" width="13.5703125" style="249" customWidth="1"/>
    <col min="6150" max="6401" width="9.140625" style="249"/>
    <col min="6402" max="6402" width="36.140625" style="249" bestFit="1" customWidth="1"/>
    <col min="6403" max="6404" width="18" style="249" bestFit="1" customWidth="1"/>
    <col min="6405" max="6405" width="13.5703125" style="249" customWidth="1"/>
    <col min="6406" max="6657" width="9.140625" style="249"/>
    <col min="6658" max="6658" width="36.140625" style="249" bestFit="1" customWidth="1"/>
    <col min="6659" max="6660" width="18" style="249" bestFit="1" customWidth="1"/>
    <col min="6661" max="6661" width="13.5703125" style="249" customWidth="1"/>
    <col min="6662" max="6913" width="9.140625" style="249"/>
    <col min="6914" max="6914" width="36.140625" style="249" bestFit="1" customWidth="1"/>
    <col min="6915" max="6916" width="18" style="249" bestFit="1" customWidth="1"/>
    <col min="6917" max="6917" width="13.5703125" style="249" customWidth="1"/>
    <col min="6918" max="7169" width="9.140625" style="249"/>
    <col min="7170" max="7170" width="36.140625" style="249" bestFit="1" customWidth="1"/>
    <col min="7171" max="7172" width="18" style="249" bestFit="1" customWidth="1"/>
    <col min="7173" max="7173" width="13.5703125" style="249" customWidth="1"/>
    <col min="7174" max="7425" width="9.140625" style="249"/>
    <col min="7426" max="7426" width="36.140625" style="249" bestFit="1" customWidth="1"/>
    <col min="7427" max="7428" width="18" style="249" bestFit="1" customWidth="1"/>
    <col min="7429" max="7429" width="13.5703125" style="249" customWidth="1"/>
    <col min="7430" max="7681" width="9.140625" style="249"/>
    <col min="7682" max="7682" width="36.140625" style="249" bestFit="1" customWidth="1"/>
    <col min="7683" max="7684" width="18" style="249" bestFit="1" customWidth="1"/>
    <col min="7685" max="7685" width="13.5703125" style="249" customWidth="1"/>
    <col min="7686" max="7937" width="9.140625" style="249"/>
    <col min="7938" max="7938" width="36.140625" style="249" bestFit="1" customWidth="1"/>
    <col min="7939" max="7940" width="18" style="249" bestFit="1" customWidth="1"/>
    <col min="7941" max="7941" width="13.5703125" style="249" customWidth="1"/>
    <col min="7942" max="8193" width="9.140625" style="249"/>
    <col min="8194" max="8194" width="36.140625" style="249" bestFit="1" customWidth="1"/>
    <col min="8195" max="8196" width="18" style="249" bestFit="1" customWidth="1"/>
    <col min="8197" max="8197" width="13.5703125" style="249" customWidth="1"/>
    <col min="8198" max="8449" width="9.140625" style="249"/>
    <col min="8450" max="8450" width="36.140625" style="249" bestFit="1" customWidth="1"/>
    <col min="8451" max="8452" width="18" style="249" bestFit="1" customWidth="1"/>
    <col min="8453" max="8453" width="13.5703125" style="249" customWidth="1"/>
    <col min="8454" max="8705" width="9.140625" style="249"/>
    <col min="8706" max="8706" width="36.140625" style="249" bestFit="1" customWidth="1"/>
    <col min="8707" max="8708" width="18" style="249" bestFit="1" customWidth="1"/>
    <col min="8709" max="8709" width="13.5703125" style="249" customWidth="1"/>
    <col min="8710" max="8961" width="9.140625" style="249"/>
    <col min="8962" max="8962" width="36.140625" style="249" bestFit="1" customWidth="1"/>
    <col min="8963" max="8964" width="18" style="249" bestFit="1" customWidth="1"/>
    <col min="8965" max="8965" width="13.5703125" style="249" customWidth="1"/>
    <col min="8966" max="9217" width="9.140625" style="249"/>
    <col min="9218" max="9218" width="36.140625" style="249" bestFit="1" customWidth="1"/>
    <col min="9219" max="9220" width="18" style="249" bestFit="1" customWidth="1"/>
    <col min="9221" max="9221" width="13.5703125" style="249" customWidth="1"/>
    <col min="9222" max="9473" width="9.140625" style="249"/>
    <col min="9474" max="9474" width="36.140625" style="249" bestFit="1" customWidth="1"/>
    <col min="9475" max="9476" width="18" style="249" bestFit="1" customWidth="1"/>
    <col min="9477" max="9477" width="13.5703125" style="249" customWidth="1"/>
    <col min="9478" max="9729" width="9.140625" style="249"/>
    <col min="9730" max="9730" width="36.140625" style="249" bestFit="1" customWidth="1"/>
    <col min="9731" max="9732" width="18" style="249" bestFit="1" customWidth="1"/>
    <col min="9733" max="9733" width="13.5703125" style="249" customWidth="1"/>
    <col min="9734" max="9985" width="9.140625" style="249"/>
    <col min="9986" max="9986" width="36.140625" style="249" bestFit="1" customWidth="1"/>
    <col min="9987" max="9988" width="18" style="249" bestFit="1" customWidth="1"/>
    <col min="9989" max="9989" width="13.5703125" style="249" customWidth="1"/>
    <col min="9990" max="10241" width="9.140625" style="249"/>
    <col min="10242" max="10242" width="36.140625" style="249" bestFit="1" customWidth="1"/>
    <col min="10243" max="10244" width="18" style="249" bestFit="1" customWidth="1"/>
    <col min="10245" max="10245" width="13.5703125" style="249" customWidth="1"/>
    <col min="10246" max="10497" width="9.140625" style="249"/>
    <col min="10498" max="10498" width="36.140625" style="249" bestFit="1" customWidth="1"/>
    <col min="10499" max="10500" width="18" style="249" bestFit="1" customWidth="1"/>
    <col min="10501" max="10501" width="13.5703125" style="249" customWidth="1"/>
    <col min="10502" max="10753" width="9.140625" style="249"/>
    <col min="10754" max="10754" width="36.140625" style="249" bestFit="1" customWidth="1"/>
    <col min="10755" max="10756" width="18" style="249" bestFit="1" customWidth="1"/>
    <col min="10757" max="10757" width="13.5703125" style="249" customWidth="1"/>
    <col min="10758" max="11009" width="9.140625" style="249"/>
    <col min="11010" max="11010" width="36.140625" style="249" bestFit="1" customWidth="1"/>
    <col min="11011" max="11012" width="18" style="249" bestFit="1" customWidth="1"/>
    <col min="11013" max="11013" width="13.5703125" style="249" customWidth="1"/>
    <col min="11014" max="11265" width="9.140625" style="249"/>
    <col min="11266" max="11266" width="36.140625" style="249" bestFit="1" customWidth="1"/>
    <col min="11267" max="11268" width="18" style="249" bestFit="1" customWidth="1"/>
    <col min="11269" max="11269" width="13.5703125" style="249" customWidth="1"/>
    <col min="11270" max="11521" width="9.140625" style="249"/>
    <col min="11522" max="11522" width="36.140625" style="249" bestFit="1" customWidth="1"/>
    <col min="11523" max="11524" width="18" style="249" bestFit="1" customWidth="1"/>
    <col min="11525" max="11525" width="13.5703125" style="249" customWidth="1"/>
    <col min="11526" max="11777" width="9.140625" style="249"/>
    <col min="11778" max="11778" width="36.140625" style="249" bestFit="1" customWidth="1"/>
    <col min="11779" max="11780" width="18" style="249" bestFit="1" customWidth="1"/>
    <col min="11781" max="11781" width="13.5703125" style="249" customWidth="1"/>
    <col min="11782" max="12033" width="9.140625" style="249"/>
    <col min="12034" max="12034" width="36.140625" style="249" bestFit="1" customWidth="1"/>
    <col min="12035" max="12036" width="18" style="249" bestFit="1" customWidth="1"/>
    <col min="12037" max="12037" width="13.5703125" style="249" customWidth="1"/>
    <col min="12038" max="12289" width="9.140625" style="249"/>
    <col min="12290" max="12290" width="36.140625" style="249" bestFit="1" customWidth="1"/>
    <col min="12291" max="12292" width="18" style="249" bestFit="1" customWidth="1"/>
    <col min="12293" max="12293" width="13.5703125" style="249" customWidth="1"/>
    <col min="12294" max="12545" width="9.140625" style="249"/>
    <col min="12546" max="12546" width="36.140625" style="249" bestFit="1" customWidth="1"/>
    <col min="12547" max="12548" width="18" style="249" bestFit="1" customWidth="1"/>
    <col min="12549" max="12549" width="13.5703125" style="249" customWidth="1"/>
    <col min="12550" max="12801" width="9.140625" style="249"/>
    <col min="12802" max="12802" width="36.140625" style="249" bestFit="1" customWidth="1"/>
    <col min="12803" max="12804" width="18" style="249" bestFit="1" customWidth="1"/>
    <col min="12805" max="12805" width="13.5703125" style="249" customWidth="1"/>
    <col min="12806" max="13057" width="9.140625" style="249"/>
    <col min="13058" max="13058" width="36.140625" style="249" bestFit="1" customWidth="1"/>
    <col min="13059" max="13060" width="18" style="249" bestFit="1" customWidth="1"/>
    <col min="13061" max="13061" width="13.5703125" style="249" customWidth="1"/>
    <col min="13062" max="13313" width="9.140625" style="249"/>
    <col min="13314" max="13314" width="36.140625" style="249" bestFit="1" customWidth="1"/>
    <col min="13315" max="13316" width="18" style="249" bestFit="1" customWidth="1"/>
    <col min="13317" max="13317" width="13.5703125" style="249" customWidth="1"/>
    <col min="13318" max="13569" width="9.140625" style="249"/>
    <col min="13570" max="13570" width="36.140625" style="249" bestFit="1" customWidth="1"/>
    <col min="13571" max="13572" width="18" style="249" bestFit="1" customWidth="1"/>
    <col min="13573" max="13573" width="13.5703125" style="249" customWidth="1"/>
    <col min="13574" max="13825" width="9.140625" style="249"/>
    <col min="13826" max="13826" width="36.140625" style="249" bestFit="1" customWidth="1"/>
    <col min="13827" max="13828" width="18" style="249" bestFit="1" customWidth="1"/>
    <col min="13829" max="13829" width="13.5703125" style="249" customWidth="1"/>
    <col min="13830" max="14081" width="9.140625" style="249"/>
    <col min="14082" max="14082" width="36.140625" style="249" bestFit="1" customWidth="1"/>
    <col min="14083" max="14084" width="18" style="249" bestFit="1" customWidth="1"/>
    <col min="14085" max="14085" width="13.5703125" style="249" customWidth="1"/>
    <col min="14086" max="14337" width="9.140625" style="249"/>
    <col min="14338" max="14338" width="36.140625" style="249" bestFit="1" customWidth="1"/>
    <col min="14339" max="14340" width="18" style="249" bestFit="1" customWidth="1"/>
    <col min="14341" max="14341" width="13.5703125" style="249" customWidth="1"/>
    <col min="14342" max="14593" width="9.140625" style="249"/>
    <col min="14594" max="14594" width="36.140625" style="249" bestFit="1" customWidth="1"/>
    <col min="14595" max="14596" width="18" style="249" bestFit="1" customWidth="1"/>
    <col min="14597" max="14597" width="13.5703125" style="249" customWidth="1"/>
    <col min="14598" max="14849" width="9.140625" style="249"/>
    <col min="14850" max="14850" width="36.140625" style="249" bestFit="1" customWidth="1"/>
    <col min="14851" max="14852" width="18" style="249" bestFit="1" customWidth="1"/>
    <col min="14853" max="14853" width="13.5703125" style="249" customWidth="1"/>
    <col min="14854" max="15105" width="9.140625" style="249"/>
    <col min="15106" max="15106" width="36.140625" style="249" bestFit="1" customWidth="1"/>
    <col min="15107" max="15108" width="18" style="249" bestFit="1" customWidth="1"/>
    <col min="15109" max="15109" width="13.5703125" style="249" customWidth="1"/>
    <col min="15110" max="15361" width="9.140625" style="249"/>
    <col min="15362" max="15362" width="36.140625" style="249" bestFit="1" customWidth="1"/>
    <col min="15363" max="15364" width="18" style="249" bestFit="1" customWidth="1"/>
    <col min="15365" max="15365" width="13.5703125" style="249" customWidth="1"/>
    <col min="15366" max="15617" width="9.140625" style="249"/>
    <col min="15618" max="15618" width="36.140625" style="249" bestFit="1" customWidth="1"/>
    <col min="15619" max="15620" width="18" style="249" bestFit="1" customWidth="1"/>
    <col min="15621" max="15621" width="13.5703125" style="249" customWidth="1"/>
    <col min="15622" max="15873" width="9.140625" style="249"/>
    <col min="15874" max="15874" width="36.140625" style="249" bestFit="1" customWidth="1"/>
    <col min="15875" max="15876" width="18" style="249" bestFit="1" customWidth="1"/>
    <col min="15877" max="15877" width="13.5703125" style="249" customWidth="1"/>
    <col min="15878" max="16129" width="9.140625" style="249"/>
    <col min="16130" max="16130" width="36.140625" style="249" bestFit="1" customWidth="1"/>
    <col min="16131" max="16132" width="18" style="249" bestFit="1" customWidth="1"/>
    <col min="16133" max="16133" width="13.5703125" style="249" customWidth="1"/>
    <col min="16134" max="16384" width="9.140625" style="249"/>
  </cols>
  <sheetData>
    <row r="1" spans="1:9" outlineLevel="1">
      <c r="C1" s="249" t="s">
        <v>555</v>
      </c>
      <c r="D1" s="249" t="s">
        <v>555</v>
      </c>
    </row>
    <row r="2" spans="1:9" outlineLevel="1">
      <c r="C2" s="249" t="s">
        <v>556</v>
      </c>
      <c r="D2" s="249" t="s">
        <v>556</v>
      </c>
    </row>
    <row r="3" spans="1:9" outlineLevel="1">
      <c r="C3" s="249" t="s">
        <v>556</v>
      </c>
      <c r="D3" s="249" t="s">
        <v>556</v>
      </c>
    </row>
    <row r="4" spans="1:9" outlineLevel="1">
      <c r="C4" s="249" t="s">
        <v>557</v>
      </c>
      <c r="D4" s="249" t="s">
        <v>557</v>
      </c>
    </row>
    <row r="5" spans="1:9">
      <c r="A5" s="290" t="s">
        <v>14</v>
      </c>
      <c r="B5" s="291"/>
      <c r="C5" s="292"/>
      <c r="D5" s="292"/>
    </row>
    <row r="6" spans="1:9">
      <c r="A6" s="290" t="s">
        <v>558</v>
      </c>
    </row>
    <row r="7" spans="1:9">
      <c r="A7" s="290"/>
      <c r="E7" s="293"/>
      <c r="H7" s="755"/>
    </row>
    <row r="8" spans="1:9" ht="15.75" thickBot="1">
      <c r="A8" s="290"/>
      <c r="C8" s="756" t="s">
        <v>2353</v>
      </c>
      <c r="D8" s="756" t="s">
        <v>2354</v>
      </c>
      <c r="E8" s="293"/>
    </row>
    <row r="9" spans="1:9" ht="15.75" thickTop="1">
      <c r="A9" s="1845"/>
      <c r="B9" s="1856"/>
      <c r="C9" s="1857" t="s">
        <v>2355</v>
      </c>
      <c r="D9" s="1857" t="s">
        <v>2356</v>
      </c>
      <c r="E9" s="1858"/>
      <c r="F9" s="1859"/>
      <c r="G9" s="1860"/>
      <c r="H9" s="1861"/>
    </row>
    <row r="10" spans="1:9">
      <c r="A10" s="1299"/>
      <c r="B10" s="1862"/>
      <c r="C10" s="1846" t="s">
        <v>205</v>
      </c>
      <c r="D10" s="1846" t="s">
        <v>205</v>
      </c>
      <c r="E10" s="1863" t="s">
        <v>2357</v>
      </c>
      <c r="F10" s="1864" t="s">
        <v>559</v>
      </c>
      <c r="G10" s="1865" t="s">
        <v>560</v>
      </c>
      <c r="H10" s="1866" t="s">
        <v>2358</v>
      </c>
    </row>
    <row r="11" spans="1:9">
      <c r="A11" s="1847">
        <v>50086</v>
      </c>
      <c r="B11" s="1848" t="s">
        <v>72</v>
      </c>
      <c r="C11" s="1849">
        <f>VLOOKUP($A11,'[76]Corp-OH'!$A$11:$D$86,3,FALSE)</f>
        <v>1454.67</v>
      </c>
      <c r="D11" s="1849">
        <f>VLOOKUP($A11,'[76]Corp-OH'!$A$11:$D$86,4,FALSE)</f>
        <v>1917.41</v>
      </c>
      <c r="E11" s="1867">
        <f>+C11+D11</f>
        <v>3372.08</v>
      </c>
      <c r="F11" s="1868"/>
      <c r="G11" s="1869">
        <f>E11+F11</f>
        <v>3372.08</v>
      </c>
      <c r="H11" s="1870"/>
    </row>
    <row r="12" spans="1:9" ht="30">
      <c r="A12" s="1847">
        <v>51260</v>
      </c>
      <c r="B12" s="1848" t="s">
        <v>154</v>
      </c>
      <c r="C12" s="1849">
        <f>VLOOKUP($A12,'[76]Corp-OH'!$A$11:$D$86,3,FALSE)</f>
        <v>813072.89</v>
      </c>
      <c r="D12" s="1849">
        <f>VLOOKUP($A12,'[76]Corp-OH'!$A$11:$D$86,4,FALSE)</f>
        <v>441024.44</v>
      </c>
      <c r="E12" s="1867">
        <f t="shared" ref="E12:E75" si="0">+C12+D12</f>
        <v>1254097.33</v>
      </c>
      <c r="F12" s="1868">
        <v>-865000</v>
      </c>
      <c r="G12" s="1869">
        <f t="shared" ref="G12:G75" si="1">E12+F12</f>
        <v>389097.33000000007</v>
      </c>
      <c r="H12" s="1871" t="s">
        <v>1052</v>
      </c>
    </row>
    <row r="13" spans="1:9">
      <c r="A13" s="1847">
        <v>52090</v>
      </c>
      <c r="B13" s="1848" t="s">
        <v>73</v>
      </c>
      <c r="C13" s="1849">
        <f>VLOOKUP($A13,'[76]Corp-OH'!$A$11:$D$86,3,FALSE)</f>
        <v>0</v>
      </c>
      <c r="D13" s="1849">
        <f>VLOOKUP($A13,'[76]Corp-OH'!$A$11:$D$86,4,FALSE)</f>
        <v>0</v>
      </c>
      <c r="E13" s="1867">
        <f t="shared" si="0"/>
        <v>0</v>
      </c>
      <c r="F13" s="1868"/>
      <c r="G13" s="1869">
        <f t="shared" si="1"/>
        <v>0</v>
      </c>
      <c r="H13" s="1870"/>
    </row>
    <row r="14" spans="1:9">
      <c r="A14" s="1847">
        <v>52120</v>
      </c>
      <c r="B14" s="1848" t="s">
        <v>80</v>
      </c>
      <c r="C14" s="1849">
        <f>VLOOKUP($A14,'[76]Corp-OH'!$A$11:$D$86,3,FALSE)</f>
        <v>-172777.22</v>
      </c>
      <c r="D14" s="1849">
        <f>VLOOKUP($A14,'[76]Corp-OH'!$A$11:$D$86,4,FALSE)</f>
        <v>-84809.54</v>
      </c>
      <c r="E14" s="1867">
        <f t="shared" si="0"/>
        <v>-257586.76</v>
      </c>
      <c r="F14" s="1868">
        <f>-E14</f>
        <v>257586.76</v>
      </c>
      <c r="G14" s="1869">
        <f t="shared" si="1"/>
        <v>0</v>
      </c>
      <c r="H14" s="1870"/>
      <c r="I14" s="757"/>
    </row>
    <row r="15" spans="1:9">
      <c r="A15" s="1847">
        <v>56037</v>
      </c>
      <c r="B15" s="1848" t="s">
        <v>550</v>
      </c>
      <c r="C15" s="1849">
        <f>VLOOKUP($A15,'[76]Corp-OH'!$A$11:$D$86,3,FALSE)</f>
        <v>0</v>
      </c>
      <c r="D15" s="1849">
        <f>VLOOKUP($A15,'[76]Corp-OH'!$A$11:$D$86,4,FALSE)</f>
        <v>0</v>
      </c>
      <c r="E15" s="1867">
        <f t="shared" si="0"/>
        <v>0</v>
      </c>
      <c r="F15" s="1868"/>
      <c r="G15" s="1869">
        <f t="shared" si="1"/>
        <v>0</v>
      </c>
      <c r="H15" s="1870"/>
    </row>
    <row r="16" spans="1:9">
      <c r="A16" s="1847">
        <v>57255</v>
      </c>
      <c r="B16" s="1848" t="s">
        <v>140</v>
      </c>
      <c r="C16" s="1849">
        <f>VLOOKUP($A16,'[76]Corp-OH'!$A$11:$D$86,3,FALSE)</f>
        <v>0</v>
      </c>
      <c r="D16" s="1849">
        <f>VLOOKUP($A16,'[76]Corp-OH'!$A$11:$D$86,4,FALSE)</f>
        <v>0</v>
      </c>
      <c r="E16" s="1867">
        <f t="shared" si="0"/>
        <v>0</v>
      </c>
      <c r="F16" s="1868"/>
      <c r="G16" s="1869">
        <f t="shared" si="1"/>
        <v>0</v>
      </c>
      <c r="H16" s="1870"/>
    </row>
    <row r="17" spans="1:8">
      <c r="A17" s="1847">
        <v>57260</v>
      </c>
      <c r="B17" s="1848" t="s">
        <v>154</v>
      </c>
      <c r="C17" s="1849">
        <f>VLOOKUP($A17,'[76]Corp-OH'!$A$11:$D$86,3,FALSE)</f>
        <v>790132.23</v>
      </c>
      <c r="D17" s="1849">
        <f>VLOOKUP($A17,'[76]Corp-OH'!$A$11:$D$86,4,FALSE)</f>
        <v>253978.87</v>
      </c>
      <c r="E17" s="1867">
        <f t="shared" si="0"/>
        <v>1044111.1</v>
      </c>
      <c r="F17" s="1868"/>
      <c r="G17" s="1869">
        <f t="shared" si="1"/>
        <v>1044111.1</v>
      </c>
      <c r="H17" s="1870"/>
    </row>
    <row r="18" spans="1:8">
      <c r="A18" s="1847">
        <v>59271</v>
      </c>
      <c r="B18" s="1848" t="s">
        <v>561</v>
      </c>
      <c r="C18" s="1849">
        <f>VLOOKUP($A18,'[76]Corp-OH'!$A$11:$D$86,3,FALSE)</f>
        <v>11000</v>
      </c>
      <c r="D18" s="1849">
        <f>VLOOKUP($A18,'[76]Corp-OH'!$A$11:$D$86,4,FALSE)</f>
        <v>-3805.53</v>
      </c>
      <c r="E18" s="1867">
        <f t="shared" si="0"/>
        <v>7194.4699999999993</v>
      </c>
      <c r="F18" s="1868"/>
      <c r="G18" s="1869">
        <f t="shared" si="1"/>
        <v>7194.4699999999993</v>
      </c>
      <c r="H18" s="1870"/>
    </row>
    <row r="19" spans="1:8">
      <c r="A19" s="1847">
        <v>59331</v>
      </c>
      <c r="B19" s="1848" t="s">
        <v>562</v>
      </c>
      <c r="C19" s="1849">
        <f>VLOOKUP($A19,'[76]Corp-OH'!$A$11:$D$86,3,FALSE)</f>
        <v>1255885.68</v>
      </c>
      <c r="D19" s="1849">
        <f>VLOOKUP($A19,'[76]Corp-OH'!$A$11:$D$86,4,FALSE)</f>
        <v>427943.21</v>
      </c>
      <c r="E19" s="1867">
        <f t="shared" si="0"/>
        <v>1683828.89</v>
      </c>
      <c r="F19" s="1868"/>
      <c r="G19" s="1869">
        <f t="shared" si="1"/>
        <v>1683828.89</v>
      </c>
      <c r="H19" s="1870"/>
    </row>
    <row r="20" spans="1:8">
      <c r="A20" s="1847">
        <v>59340</v>
      </c>
      <c r="B20" s="1848" t="s">
        <v>112</v>
      </c>
      <c r="C20" s="1849">
        <f>VLOOKUP($A20,'[76]Corp-OH'!$A$11:$D$86,3,FALSE)</f>
        <v>0.03</v>
      </c>
      <c r="D20" s="1849">
        <f>VLOOKUP($A20,'[76]Corp-OH'!$A$11:$D$86,4,FALSE)</f>
        <v>-0.01</v>
      </c>
      <c r="E20" s="1867">
        <f t="shared" si="0"/>
        <v>1.9999999999999997E-2</v>
      </c>
      <c r="F20" s="1868"/>
      <c r="G20" s="1869">
        <f t="shared" si="1"/>
        <v>1.9999999999999997E-2</v>
      </c>
      <c r="H20" s="1870"/>
    </row>
    <row r="21" spans="1:8">
      <c r="A21" s="1847">
        <v>70010</v>
      </c>
      <c r="B21" s="1848" t="s">
        <v>62</v>
      </c>
      <c r="C21" s="1849">
        <f>VLOOKUP($A21,'[76]Corp-OH'!$A$11:$D$86,3,FALSE)</f>
        <v>50303605.5</v>
      </c>
      <c r="D21" s="1849">
        <f>VLOOKUP($A21,'[76]Corp-OH'!$A$11:$D$86,4,FALSE)</f>
        <v>17299878.850000001</v>
      </c>
      <c r="E21" s="1867">
        <f t="shared" si="0"/>
        <v>67603484.349999994</v>
      </c>
      <c r="F21" s="1868"/>
      <c r="G21" s="1869">
        <f t="shared" si="1"/>
        <v>67603484.349999994</v>
      </c>
      <c r="H21" s="1870"/>
    </row>
    <row r="22" spans="1:8">
      <c r="A22" s="1847">
        <v>70015</v>
      </c>
      <c r="B22" s="1848" t="s">
        <v>563</v>
      </c>
      <c r="C22" s="1849">
        <f>VLOOKUP($A22,'[76]Corp-OH'!$A$11:$D$86,3,FALSE)</f>
        <v>3118450.63</v>
      </c>
      <c r="D22" s="1849">
        <f>VLOOKUP($A22,'[76]Corp-OH'!$A$11:$D$86,4,FALSE)</f>
        <v>-1767478.43</v>
      </c>
      <c r="E22" s="1867">
        <f t="shared" si="0"/>
        <v>1350972.2</v>
      </c>
      <c r="F22" s="1868"/>
      <c r="G22" s="1869">
        <f t="shared" si="1"/>
        <v>1350972.2</v>
      </c>
      <c r="H22" s="1870"/>
    </row>
    <row r="23" spans="1:8">
      <c r="A23" s="1847">
        <v>70020</v>
      </c>
      <c r="B23" s="1848" t="s">
        <v>63</v>
      </c>
      <c r="C23" s="1849">
        <f>VLOOKUP($A23,'[76]Corp-OH'!$A$11:$D$86,3,FALSE)</f>
        <v>843528.94</v>
      </c>
      <c r="D23" s="1849">
        <f>VLOOKUP($A23,'[76]Corp-OH'!$A$11:$D$86,4,FALSE)</f>
        <v>333687.34999999998</v>
      </c>
      <c r="E23" s="1867">
        <f t="shared" si="0"/>
        <v>1177216.29</v>
      </c>
      <c r="F23" s="1868"/>
      <c r="G23" s="1869">
        <f t="shared" si="1"/>
        <v>1177216.29</v>
      </c>
      <c r="H23" s="1870"/>
    </row>
    <row r="24" spans="1:8">
      <c r="A24" s="1847">
        <v>70025</v>
      </c>
      <c r="B24" s="1848" t="s">
        <v>64</v>
      </c>
      <c r="C24" s="1849">
        <f>VLOOKUP($A24,'[76]Corp-OH'!$A$11:$D$86,3,FALSE)</f>
        <v>14306.64</v>
      </c>
      <c r="D24" s="1849">
        <f>VLOOKUP($A24,'[76]Corp-OH'!$A$11:$D$86,4,FALSE)</f>
        <v>7892.5</v>
      </c>
      <c r="E24" s="1867">
        <f t="shared" si="0"/>
        <v>22199.14</v>
      </c>
      <c r="F24" s="1868"/>
      <c r="G24" s="1869">
        <f t="shared" si="1"/>
        <v>22199.14</v>
      </c>
      <c r="H24" s="1870"/>
    </row>
    <row r="25" spans="1:8">
      <c r="A25" s="1847">
        <v>70030</v>
      </c>
      <c r="B25" s="1848" t="s">
        <v>564</v>
      </c>
      <c r="C25" s="1849">
        <f>VLOOKUP($A25,'[76]Corp-OH'!$A$11:$D$86,3,FALSE)</f>
        <v>36000000</v>
      </c>
      <c r="D25" s="1849">
        <f>VLOOKUP($A25,'[76]Corp-OH'!$A$11:$D$86,4,FALSE)</f>
        <v>13269576.93</v>
      </c>
      <c r="E25" s="1867">
        <f t="shared" si="0"/>
        <v>49269576.93</v>
      </c>
      <c r="F25" s="1868">
        <f>-E25</f>
        <v>-49269576.93</v>
      </c>
      <c r="G25" s="1869">
        <f t="shared" si="1"/>
        <v>0</v>
      </c>
      <c r="H25" s="1870" t="s">
        <v>1053</v>
      </c>
    </row>
    <row r="26" spans="1:8">
      <c r="A26" s="1847">
        <v>70036</v>
      </c>
      <c r="B26" s="1848" t="s">
        <v>66</v>
      </c>
      <c r="C26" s="1849">
        <f>VLOOKUP($A26,'[76]Corp-OH'!$A$11:$D$86,3,FALSE)</f>
        <v>376970.57</v>
      </c>
      <c r="D26" s="1849">
        <f>VLOOKUP($A26,'[76]Corp-OH'!$A$11:$D$86,4,FALSE)</f>
        <v>-4861549.5199999996</v>
      </c>
      <c r="E26" s="1867">
        <f t="shared" si="0"/>
        <v>-4484578.9499999993</v>
      </c>
      <c r="F26" s="1868">
        <f>-E26</f>
        <v>4484578.9499999993</v>
      </c>
      <c r="G26" s="1869">
        <f t="shared" si="1"/>
        <v>0</v>
      </c>
      <c r="H26" s="1872">
        <f>E29/SUM(E21:E26)</f>
        <v>3.7636661483669245E-2</v>
      </c>
    </row>
    <row r="27" spans="1:8">
      <c r="A27" s="1847">
        <v>70037</v>
      </c>
      <c r="B27" s="1848" t="s">
        <v>550</v>
      </c>
      <c r="C27" s="1849">
        <f>VLOOKUP($A27,'[76]Corp-OH'!$A$11:$D$86,3,FALSE)</f>
        <v>128847.74</v>
      </c>
      <c r="D27" s="1849">
        <f>VLOOKUP($A27,'[76]Corp-OH'!$A$11:$D$86,4,FALSE)</f>
        <v>0</v>
      </c>
      <c r="E27" s="1867">
        <f t="shared" si="0"/>
        <v>128847.74</v>
      </c>
      <c r="F27" s="1868">
        <f>-E27</f>
        <v>-128847.74</v>
      </c>
      <c r="G27" s="1869">
        <f t="shared" si="1"/>
        <v>0</v>
      </c>
      <c r="H27" s="1870"/>
    </row>
    <row r="28" spans="1:8">
      <c r="A28" s="1847">
        <v>70045</v>
      </c>
      <c r="B28" s="1848" t="s">
        <v>67</v>
      </c>
      <c r="C28" s="1849">
        <f>VLOOKUP($A28,'[76]Corp-OH'!$A$11:$D$86,3,FALSE)</f>
        <v>503426.33</v>
      </c>
      <c r="D28" s="1849">
        <f>VLOOKUP($A28,'[76]Corp-OH'!$A$11:$D$86,4,FALSE)</f>
        <v>201521.97</v>
      </c>
      <c r="E28" s="1867">
        <f t="shared" si="0"/>
        <v>704948.3</v>
      </c>
      <c r="F28" s="1868"/>
      <c r="G28" s="1869">
        <f t="shared" si="1"/>
        <v>704948.3</v>
      </c>
      <c r="H28" s="1870"/>
    </row>
    <row r="29" spans="1:8">
      <c r="A29" s="1847">
        <v>70050</v>
      </c>
      <c r="B29" s="1848" t="s">
        <v>68</v>
      </c>
      <c r="C29" s="1849">
        <f>VLOOKUP($A29,'[76]Corp-OH'!$A$11:$D$86,3,FALSE)</f>
        <v>3098603.82</v>
      </c>
      <c r="D29" s="1849">
        <f>VLOOKUP($A29,'[76]Corp-OH'!$A$11:$D$86,4,FALSE)</f>
        <v>1227311.52</v>
      </c>
      <c r="E29" s="1867">
        <f t="shared" si="0"/>
        <v>4325915.34</v>
      </c>
      <c r="F29" s="1868">
        <f>SUM(F25:F27)*H26</f>
        <v>-1690407.207293387</v>
      </c>
      <c r="G29" s="1869">
        <f t="shared" si="1"/>
        <v>2635508.1327066128</v>
      </c>
      <c r="H29" s="1870"/>
    </row>
    <row r="30" spans="1:8">
      <c r="A30" s="1847">
        <v>70060</v>
      </c>
      <c r="B30" s="1848" t="s">
        <v>69</v>
      </c>
      <c r="C30" s="1849">
        <f>VLOOKUP($A30,'[76]Corp-OH'!$A$11:$D$86,3,FALSE)</f>
        <v>1365862.48</v>
      </c>
      <c r="D30" s="1849">
        <f>VLOOKUP($A30,'[76]Corp-OH'!$A$11:$D$86,4,FALSE)</f>
        <v>465662.79</v>
      </c>
      <c r="E30" s="1867">
        <f t="shared" si="0"/>
        <v>1831525.27</v>
      </c>
      <c r="F30" s="1868"/>
      <c r="G30" s="1869">
        <f t="shared" si="1"/>
        <v>1831525.27</v>
      </c>
      <c r="H30" s="1870"/>
    </row>
    <row r="31" spans="1:8">
      <c r="A31" s="1847">
        <v>70065</v>
      </c>
      <c r="B31" s="1848" t="s">
        <v>70</v>
      </c>
      <c r="C31" s="1849">
        <f>VLOOKUP($A31,'[76]Corp-OH'!$A$11:$D$86,3,FALSE)</f>
        <v>56960.37</v>
      </c>
      <c r="D31" s="1849">
        <f>VLOOKUP($A31,'[76]Corp-OH'!$A$11:$D$86,4,FALSE)</f>
        <v>21312.799999999999</v>
      </c>
      <c r="E31" s="1867">
        <f t="shared" si="0"/>
        <v>78273.17</v>
      </c>
      <c r="F31" s="1868"/>
      <c r="G31" s="1869">
        <f t="shared" si="1"/>
        <v>78273.17</v>
      </c>
      <c r="H31" s="1870"/>
    </row>
    <row r="32" spans="1:8">
      <c r="A32" s="1847">
        <v>70070</v>
      </c>
      <c r="B32" s="1848" t="s">
        <v>71</v>
      </c>
      <c r="C32" s="1849">
        <f>VLOOKUP($A32,'[76]Corp-OH'!$A$11:$D$86,3,FALSE)</f>
        <v>0</v>
      </c>
      <c r="D32" s="1849">
        <f>VLOOKUP($A32,'[76]Corp-OH'!$A$11:$D$86,4,FALSE)</f>
        <v>0</v>
      </c>
      <c r="E32" s="1867">
        <f t="shared" si="0"/>
        <v>0</v>
      </c>
      <c r="F32" s="1868"/>
      <c r="G32" s="1869">
        <f t="shared" si="1"/>
        <v>0</v>
      </c>
      <c r="H32" s="1870"/>
    </row>
    <row r="33" spans="1:8">
      <c r="A33" s="1847">
        <v>70086</v>
      </c>
      <c r="B33" s="1848" t="s">
        <v>72</v>
      </c>
      <c r="C33" s="1849">
        <f>VLOOKUP($A33,'[76]Corp-OH'!$A$11:$D$86,3,FALSE)</f>
        <v>735805.48</v>
      </c>
      <c r="D33" s="1849">
        <f>VLOOKUP($A33,'[76]Corp-OH'!$A$11:$D$86,4,FALSE)</f>
        <v>182942.92</v>
      </c>
      <c r="E33" s="1867">
        <f t="shared" si="0"/>
        <v>918748.4</v>
      </c>
      <c r="F33" s="1868"/>
      <c r="G33" s="1869">
        <f t="shared" si="1"/>
        <v>918748.4</v>
      </c>
      <c r="H33" s="1870"/>
    </row>
    <row r="34" spans="1:8">
      <c r="A34" s="1847">
        <v>70090</v>
      </c>
      <c r="B34" s="1848" t="s">
        <v>209</v>
      </c>
      <c r="C34" s="1849">
        <f>VLOOKUP($A34,'[76]Corp-OH'!$A$11:$D$86,3,FALSE)</f>
        <v>690188.04</v>
      </c>
      <c r="D34" s="1849">
        <f>VLOOKUP($A34,'[76]Corp-OH'!$A$11:$D$86,4,FALSE)</f>
        <v>1125038.47</v>
      </c>
      <c r="E34" s="1867">
        <f t="shared" si="0"/>
        <v>1815226.51</v>
      </c>
      <c r="F34" s="1868"/>
      <c r="G34" s="1869">
        <f t="shared" si="1"/>
        <v>1815226.51</v>
      </c>
      <c r="H34" s="1870"/>
    </row>
    <row r="35" spans="1:8">
      <c r="A35" s="1847">
        <v>70095</v>
      </c>
      <c r="B35" s="1848" t="s">
        <v>99</v>
      </c>
      <c r="C35" s="1849">
        <f>VLOOKUP($A35,'[76]Corp-OH'!$A$11:$D$86,3,FALSE)</f>
        <v>994325.1</v>
      </c>
      <c r="D35" s="1849">
        <f>VLOOKUP($A35,'[76]Corp-OH'!$A$11:$D$86,4,FALSE)</f>
        <v>812361.86</v>
      </c>
      <c r="E35" s="1867">
        <f t="shared" si="0"/>
        <v>1806686.96</v>
      </c>
      <c r="F35" s="1868">
        <f>-E35</f>
        <v>-1806686.96</v>
      </c>
      <c r="G35" s="1869">
        <f t="shared" si="1"/>
        <v>0</v>
      </c>
      <c r="H35" s="1870"/>
    </row>
    <row r="36" spans="1:8">
      <c r="A36" s="1847">
        <v>70105</v>
      </c>
      <c r="B36" s="1848" t="s">
        <v>100</v>
      </c>
      <c r="C36" s="1849">
        <f>VLOOKUP($A36,'[76]Corp-OH'!$A$11:$D$86,3,FALSE)</f>
        <v>5918673.1699999999</v>
      </c>
      <c r="D36" s="1849">
        <f>VLOOKUP($A36,'[76]Corp-OH'!$A$11:$D$86,4,FALSE)</f>
        <v>1397162.77</v>
      </c>
      <c r="E36" s="1867">
        <f t="shared" si="0"/>
        <v>7315835.9399999995</v>
      </c>
      <c r="F36" s="1868">
        <f>-E36</f>
        <v>-7315835.9399999995</v>
      </c>
      <c r="G36" s="1869">
        <f t="shared" si="1"/>
        <v>0</v>
      </c>
      <c r="H36" s="1870"/>
    </row>
    <row r="37" spans="1:8">
      <c r="A37" s="1847">
        <v>70106</v>
      </c>
      <c r="B37" s="1848" t="s">
        <v>565</v>
      </c>
      <c r="C37" s="1849">
        <f>VLOOKUP($A37,'[76]Corp-OH'!$A$11:$D$86,3,FALSE)</f>
        <v>0</v>
      </c>
      <c r="D37" s="1849">
        <f>VLOOKUP($A37,'[76]Corp-OH'!$A$11:$D$86,4,FALSE)</f>
        <v>0</v>
      </c>
      <c r="E37" s="1867">
        <f t="shared" si="0"/>
        <v>0</v>
      </c>
      <c r="F37" s="1868"/>
      <c r="G37" s="1869">
        <f t="shared" si="1"/>
        <v>0</v>
      </c>
      <c r="H37" s="1870"/>
    </row>
    <row r="38" spans="1:8">
      <c r="A38" s="1847">
        <v>70110</v>
      </c>
      <c r="B38" s="1848" t="s">
        <v>126</v>
      </c>
      <c r="C38" s="1849">
        <f>VLOOKUP($A38,'[76]Corp-OH'!$A$11:$D$86,3,FALSE)</f>
        <v>465842.16</v>
      </c>
      <c r="D38" s="1849">
        <f>VLOOKUP($A38,'[76]Corp-OH'!$A$11:$D$86,4,FALSE)</f>
        <v>-4531.2700000000004</v>
      </c>
      <c r="E38" s="1867">
        <f t="shared" si="0"/>
        <v>461310.88999999996</v>
      </c>
      <c r="F38" s="1868">
        <f>-E38</f>
        <v>-461310.88999999996</v>
      </c>
      <c r="G38" s="1869">
        <f t="shared" si="1"/>
        <v>0</v>
      </c>
      <c r="H38" s="1870"/>
    </row>
    <row r="39" spans="1:8">
      <c r="A39" s="1847">
        <v>70112</v>
      </c>
      <c r="B39" s="1848" t="s">
        <v>127</v>
      </c>
      <c r="C39" s="1849">
        <f>VLOOKUP($A39,'[76]Corp-OH'!$A$11:$D$86,3,FALSE)</f>
        <v>0</v>
      </c>
      <c r="D39" s="1849">
        <f>VLOOKUP($A39,'[76]Corp-OH'!$A$11:$D$86,4,FALSE)</f>
        <v>0</v>
      </c>
      <c r="E39" s="1867">
        <f t="shared" si="0"/>
        <v>0</v>
      </c>
      <c r="F39" s="1868"/>
      <c r="G39" s="1869">
        <f t="shared" si="1"/>
        <v>0</v>
      </c>
      <c r="H39" s="1870"/>
    </row>
    <row r="40" spans="1:8">
      <c r="A40" s="1847">
        <v>70116</v>
      </c>
      <c r="B40" s="1848" t="s">
        <v>74</v>
      </c>
      <c r="C40" s="1849">
        <f>VLOOKUP($A40,'[76]Corp-OH'!$A$11:$D$86,3,FALSE)</f>
        <v>386091.69</v>
      </c>
      <c r="D40" s="1849">
        <f>VLOOKUP($A40,'[76]Corp-OH'!$A$11:$D$86,4,FALSE)</f>
        <v>1517269.69</v>
      </c>
      <c r="E40" s="1867">
        <f t="shared" si="0"/>
        <v>1903361.38</v>
      </c>
      <c r="F40" s="1868"/>
      <c r="G40" s="1869">
        <f t="shared" si="1"/>
        <v>1903361.38</v>
      </c>
      <c r="H40" s="1870"/>
    </row>
    <row r="41" spans="1:8">
      <c r="A41" s="1847">
        <v>70120</v>
      </c>
      <c r="B41" s="1848" t="s">
        <v>566</v>
      </c>
      <c r="C41" s="1849">
        <f>VLOOKUP($A41,'[76]Corp-OH'!$A$11:$D$86,3,FALSE)</f>
        <v>238787.92</v>
      </c>
      <c r="D41" s="1849">
        <f>VLOOKUP($A41,'[76]Corp-OH'!$A$11:$D$86,4,FALSE)</f>
        <v>8985.65</v>
      </c>
      <c r="E41" s="1867">
        <f t="shared" si="0"/>
        <v>247773.57</v>
      </c>
      <c r="F41" s="1868">
        <f>-E41</f>
        <v>-247773.57</v>
      </c>
      <c r="G41" s="1869">
        <f t="shared" si="1"/>
        <v>0</v>
      </c>
      <c r="H41" s="1870"/>
    </row>
    <row r="42" spans="1:8">
      <c r="A42" s="1847">
        <v>70142</v>
      </c>
      <c r="B42" s="1848" t="s">
        <v>83</v>
      </c>
      <c r="C42" s="1849">
        <f>VLOOKUP($A42,'[76]Corp-OH'!$A$11:$D$86,3,FALSE)</f>
        <v>185993.27</v>
      </c>
      <c r="D42" s="1849">
        <f>VLOOKUP($A42,'[76]Corp-OH'!$A$11:$D$86,4,FALSE)</f>
        <v>130228.1</v>
      </c>
      <c r="E42" s="1867">
        <f t="shared" si="0"/>
        <v>316221.37</v>
      </c>
      <c r="F42" s="1868"/>
      <c r="G42" s="1869">
        <f t="shared" si="1"/>
        <v>316221.37</v>
      </c>
      <c r="H42" s="1870"/>
    </row>
    <row r="43" spans="1:8">
      <c r="A43" s="1847">
        <v>70145</v>
      </c>
      <c r="B43" s="1848" t="s">
        <v>86</v>
      </c>
      <c r="C43" s="1849">
        <f>VLOOKUP($A43,'[76]Corp-OH'!$A$11:$D$86,3,FALSE)</f>
        <v>243850.64</v>
      </c>
      <c r="D43" s="1849">
        <f>VLOOKUP($A43,'[76]Corp-OH'!$A$11:$D$86,4,FALSE)</f>
        <v>-131128.91</v>
      </c>
      <c r="E43" s="1867">
        <f t="shared" si="0"/>
        <v>112721.73000000001</v>
      </c>
      <c r="F43" s="1868"/>
      <c r="G43" s="1869">
        <f t="shared" si="1"/>
        <v>112721.73000000001</v>
      </c>
      <c r="H43" s="1870"/>
    </row>
    <row r="44" spans="1:8">
      <c r="A44" s="1847">
        <v>70146</v>
      </c>
      <c r="B44" s="1848" t="s">
        <v>567</v>
      </c>
      <c r="C44" s="1849">
        <f>VLOOKUP($A44,'[76]Corp-OH'!$A$11:$D$86,3,FALSE)</f>
        <v>2807.42</v>
      </c>
      <c r="D44" s="1849">
        <f>VLOOKUP($A44,'[76]Corp-OH'!$A$11:$D$86,4,FALSE)</f>
        <v>172.21</v>
      </c>
      <c r="E44" s="1867">
        <f t="shared" si="0"/>
        <v>2979.63</v>
      </c>
      <c r="F44" s="1868">
        <f>-E44</f>
        <v>-2979.63</v>
      </c>
      <c r="G44" s="1869">
        <f t="shared" si="1"/>
        <v>0</v>
      </c>
      <c r="H44" s="1870"/>
    </row>
    <row r="45" spans="1:8">
      <c r="A45" s="1847">
        <v>70147</v>
      </c>
      <c r="B45" s="1848" t="s">
        <v>128</v>
      </c>
      <c r="C45" s="1849">
        <f>VLOOKUP($A45,'[76]Corp-OH'!$A$11:$D$86,3,FALSE)</f>
        <v>-30991.05</v>
      </c>
      <c r="D45" s="1849">
        <f>VLOOKUP($A45,'[76]Corp-OH'!$A$11:$D$86,4,FALSE)</f>
        <v>16391.25</v>
      </c>
      <c r="E45" s="1867">
        <f t="shared" si="0"/>
        <v>-14599.8</v>
      </c>
      <c r="F45" s="1868"/>
      <c r="G45" s="1869">
        <f t="shared" si="1"/>
        <v>-14599.8</v>
      </c>
      <c r="H45" s="1870"/>
    </row>
    <row r="46" spans="1:8">
      <c r="A46" s="1847">
        <v>70165</v>
      </c>
      <c r="B46" s="1848" t="s">
        <v>89</v>
      </c>
      <c r="C46" s="1849">
        <f>VLOOKUP($A46,'[76]Corp-OH'!$A$11:$D$86,3,FALSE)</f>
        <v>286420.13</v>
      </c>
      <c r="D46" s="1849">
        <f>VLOOKUP($A46,'[76]Corp-OH'!$A$11:$D$86,4,FALSE)</f>
        <v>81988.600000000006</v>
      </c>
      <c r="E46" s="1867">
        <f t="shared" si="0"/>
        <v>368408.73</v>
      </c>
      <c r="F46" s="1868"/>
      <c r="G46" s="1869">
        <f t="shared" si="1"/>
        <v>368408.73</v>
      </c>
      <c r="H46" s="1870"/>
    </row>
    <row r="47" spans="1:8">
      <c r="A47" s="1847">
        <v>70167</v>
      </c>
      <c r="B47" s="1848" t="s">
        <v>129</v>
      </c>
      <c r="C47" s="1849">
        <f>VLOOKUP($A47,'[76]Corp-OH'!$A$11:$D$86,3,FALSE)</f>
        <v>103311.9</v>
      </c>
      <c r="D47" s="1849">
        <f>VLOOKUP($A47,'[76]Corp-OH'!$A$11:$D$86,4,FALSE)</f>
        <v>41544.949999999997</v>
      </c>
      <c r="E47" s="1867">
        <f t="shared" si="0"/>
        <v>144856.84999999998</v>
      </c>
      <c r="F47" s="1868"/>
      <c r="G47" s="1869">
        <f t="shared" si="1"/>
        <v>144856.84999999998</v>
      </c>
      <c r="H47" s="1870"/>
    </row>
    <row r="48" spans="1:8">
      <c r="A48" s="1847">
        <v>70170</v>
      </c>
      <c r="B48" s="1848" t="s">
        <v>568</v>
      </c>
      <c r="C48" s="1849">
        <f>VLOOKUP($A48,'[76]Corp-OH'!$A$11:$D$86,3,FALSE)</f>
        <v>2611902.92</v>
      </c>
      <c r="D48" s="1849">
        <f>VLOOKUP($A48,'[76]Corp-OH'!$A$11:$D$86,4,FALSE)</f>
        <v>882131.31</v>
      </c>
      <c r="E48" s="1867">
        <f t="shared" si="0"/>
        <v>3494034.23</v>
      </c>
      <c r="F48" s="1868"/>
      <c r="G48" s="1869">
        <f t="shared" si="1"/>
        <v>3494034.23</v>
      </c>
      <c r="H48" s="1870"/>
    </row>
    <row r="49" spans="1:8">
      <c r="A49" s="1847">
        <v>70175</v>
      </c>
      <c r="B49" s="1848" t="s">
        <v>90</v>
      </c>
      <c r="C49" s="1849">
        <f>VLOOKUP($A49,'[76]Corp-OH'!$A$11:$D$86,3,FALSE)</f>
        <v>5184</v>
      </c>
      <c r="D49" s="1849">
        <f>VLOOKUP($A49,'[76]Corp-OH'!$A$11:$D$86,4,FALSE)</f>
        <v>1728</v>
      </c>
      <c r="E49" s="1867">
        <f t="shared" si="0"/>
        <v>6912</v>
      </c>
      <c r="F49" s="1868"/>
      <c r="G49" s="1869">
        <f t="shared" si="1"/>
        <v>6912</v>
      </c>
      <c r="H49" s="1870"/>
    </row>
    <row r="50" spans="1:8">
      <c r="A50" s="1847">
        <v>70185</v>
      </c>
      <c r="B50" s="1848" t="s">
        <v>104</v>
      </c>
      <c r="C50" s="1849">
        <f>VLOOKUP($A50,'[76]Corp-OH'!$A$11:$D$86,3,FALSE)</f>
        <v>562439.47</v>
      </c>
      <c r="D50" s="1849">
        <f>VLOOKUP($A50,'[76]Corp-OH'!$A$11:$D$86,4,FALSE)</f>
        <v>214865.83</v>
      </c>
      <c r="E50" s="1867">
        <f t="shared" si="0"/>
        <v>777305.29999999993</v>
      </c>
      <c r="F50" s="1868"/>
      <c r="G50" s="1869">
        <f t="shared" si="1"/>
        <v>777305.29999999993</v>
      </c>
      <c r="H50" s="1870"/>
    </row>
    <row r="51" spans="1:8">
      <c r="A51" s="1847">
        <v>70190</v>
      </c>
      <c r="B51" s="1848" t="s">
        <v>551</v>
      </c>
      <c r="C51" s="1849">
        <f>VLOOKUP($A51,'[76]Corp-OH'!$A$11:$D$86,3,FALSE)</f>
        <v>1001451.33</v>
      </c>
      <c r="D51" s="1849">
        <f>VLOOKUP($A51,'[76]Corp-OH'!$A$11:$D$86,4,FALSE)</f>
        <v>395381.08</v>
      </c>
      <c r="E51" s="1867">
        <f t="shared" si="0"/>
        <v>1396832.41</v>
      </c>
      <c r="F51" s="1868"/>
      <c r="G51" s="1869">
        <f t="shared" si="1"/>
        <v>1396832.41</v>
      </c>
      <c r="H51" s="1870"/>
    </row>
    <row r="52" spans="1:8">
      <c r="A52" s="1847">
        <v>70195</v>
      </c>
      <c r="B52" s="1848" t="s">
        <v>130</v>
      </c>
      <c r="C52" s="1849">
        <f>VLOOKUP($A52,'[76]Corp-OH'!$A$11:$D$86,3,FALSE)</f>
        <v>1443347.72</v>
      </c>
      <c r="D52" s="1849">
        <f>VLOOKUP($A52,'[76]Corp-OH'!$A$11:$D$86,4,FALSE)</f>
        <v>833765.22</v>
      </c>
      <c r="E52" s="1867">
        <f t="shared" si="0"/>
        <v>2277112.94</v>
      </c>
      <c r="F52" s="1868"/>
      <c r="G52" s="1869">
        <f t="shared" si="1"/>
        <v>2277112.94</v>
      </c>
      <c r="H52" s="1870"/>
    </row>
    <row r="53" spans="1:8">
      <c r="A53" s="1847">
        <v>70196</v>
      </c>
      <c r="B53" s="1848" t="s">
        <v>569</v>
      </c>
      <c r="C53" s="1849">
        <f>VLOOKUP($A53,'[76]Corp-OH'!$A$11:$D$86,3,FALSE)</f>
        <v>47619.53</v>
      </c>
      <c r="D53" s="1849">
        <f>VLOOKUP($A53,'[76]Corp-OH'!$A$11:$D$86,4,FALSE)</f>
        <v>60188.7</v>
      </c>
      <c r="E53" s="1867">
        <f t="shared" si="0"/>
        <v>107808.23</v>
      </c>
      <c r="F53" s="1868">
        <f>-E53</f>
        <v>-107808.23</v>
      </c>
      <c r="G53" s="1869">
        <f t="shared" si="1"/>
        <v>0</v>
      </c>
      <c r="H53" s="1870"/>
    </row>
    <row r="54" spans="1:8">
      <c r="A54" s="1847">
        <v>70200</v>
      </c>
      <c r="B54" s="1848" t="s">
        <v>92</v>
      </c>
      <c r="C54" s="1849">
        <f>VLOOKUP($A54,'[76]Corp-OH'!$A$11:$D$86,3,FALSE)</f>
        <v>361756.82</v>
      </c>
      <c r="D54" s="1849">
        <f>VLOOKUP($A54,'[76]Corp-OH'!$A$11:$D$86,4,FALSE)</f>
        <v>161553.16</v>
      </c>
      <c r="E54" s="1867">
        <f t="shared" si="0"/>
        <v>523309.98</v>
      </c>
      <c r="F54" s="1868"/>
      <c r="G54" s="1869">
        <f t="shared" si="1"/>
        <v>523309.98</v>
      </c>
      <c r="H54" s="1870"/>
    </row>
    <row r="55" spans="1:8">
      <c r="A55" s="1847">
        <v>70201</v>
      </c>
      <c r="B55" s="1848" t="s">
        <v>131</v>
      </c>
      <c r="C55" s="1849">
        <f>VLOOKUP($A55,'[76]Corp-OH'!$A$11:$D$86,3,FALSE)</f>
        <v>127578.91</v>
      </c>
      <c r="D55" s="1849">
        <f>VLOOKUP($A55,'[76]Corp-OH'!$A$11:$D$86,4,FALSE)</f>
        <v>24104.58</v>
      </c>
      <c r="E55" s="1867">
        <f t="shared" si="0"/>
        <v>151683.49</v>
      </c>
      <c r="F55" s="1868">
        <f>-E55</f>
        <v>-151683.49</v>
      </c>
      <c r="G55" s="1869">
        <f t="shared" si="1"/>
        <v>0</v>
      </c>
      <c r="H55" s="1870"/>
    </row>
    <row r="56" spans="1:8">
      <c r="A56" s="1847">
        <v>70202</v>
      </c>
      <c r="B56" s="1848" t="s">
        <v>132</v>
      </c>
      <c r="C56" s="1849">
        <f>VLOOKUP($A56,'[76]Corp-OH'!$A$11:$D$86,3,FALSE)</f>
        <v>1131729.0900000001</v>
      </c>
      <c r="D56" s="1849">
        <f>VLOOKUP($A56,'[76]Corp-OH'!$A$11:$D$86,4,FALSE)</f>
        <v>108004.6</v>
      </c>
      <c r="E56" s="1867">
        <f t="shared" si="0"/>
        <v>1239733.6900000002</v>
      </c>
      <c r="F56" s="1868"/>
      <c r="G56" s="1869">
        <f t="shared" si="1"/>
        <v>1239733.6900000002</v>
      </c>
      <c r="H56" s="1870"/>
    </row>
    <row r="57" spans="1:8">
      <c r="A57" s="1847">
        <v>70203</v>
      </c>
      <c r="B57" s="1848" t="s">
        <v>133</v>
      </c>
      <c r="C57" s="1849">
        <f>VLOOKUP($A57,'[76]Corp-OH'!$A$11:$D$86,3,FALSE)</f>
        <v>317114.99</v>
      </c>
      <c r="D57" s="1849">
        <f>VLOOKUP($A57,'[76]Corp-OH'!$A$11:$D$86,4,FALSE)</f>
        <v>118697.41</v>
      </c>
      <c r="E57" s="1867">
        <f t="shared" si="0"/>
        <v>435812.4</v>
      </c>
      <c r="F57" s="1868"/>
      <c r="G57" s="1869">
        <f t="shared" si="1"/>
        <v>435812.4</v>
      </c>
      <c r="H57" s="1870"/>
    </row>
    <row r="58" spans="1:8">
      <c r="A58" s="1847">
        <v>70205</v>
      </c>
      <c r="B58" s="1848" t="s">
        <v>134</v>
      </c>
      <c r="C58" s="1849">
        <f>VLOOKUP($A58,'[76]Corp-OH'!$A$11:$D$86,3,FALSE)</f>
        <v>172427.7</v>
      </c>
      <c r="D58" s="1849">
        <f>VLOOKUP($A58,'[76]Corp-OH'!$A$11:$D$86,4,FALSE)</f>
        <v>56746.12</v>
      </c>
      <c r="E58" s="1867">
        <f t="shared" si="0"/>
        <v>229173.82</v>
      </c>
      <c r="F58" s="1868"/>
      <c r="G58" s="1869">
        <f t="shared" si="1"/>
        <v>229173.82</v>
      </c>
      <c r="H58" s="1870"/>
    </row>
    <row r="59" spans="1:8">
      <c r="A59" s="1847">
        <v>70206</v>
      </c>
      <c r="B59" s="1848" t="s">
        <v>135</v>
      </c>
      <c r="C59" s="1849">
        <f>VLOOKUP($A59,'[76]Corp-OH'!$A$11:$D$86,3,FALSE)</f>
        <v>283068.57</v>
      </c>
      <c r="D59" s="1849">
        <f>VLOOKUP($A59,'[76]Corp-OH'!$A$11:$D$86,4,FALSE)</f>
        <v>95023.46</v>
      </c>
      <c r="E59" s="1867">
        <f t="shared" si="0"/>
        <v>378092.03</v>
      </c>
      <c r="F59" s="1868"/>
      <c r="G59" s="1869">
        <f t="shared" si="1"/>
        <v>378092.03</v>
      </c>
      <c r="H59" s="1870"/>
    </row>
    <row r="60" spans="1:8">
      <c r="A60" s="1847">
        <v>70210</v>
      </c>
      <c r="B60" s="1848" t="s">
        <v>136</v>
      </c>
      <c r="C60" s="1849">
        <f>VLOOKUP($A60,'[76]Corp-OH'!$A$11:$D$86,3,FALSE)</f>
        <v>112807.96</v>
      </c>
      <c r="D60" s="1849">
        <f>VLOOKUP($A60,'[76]Corp-OH'!$A$11:$D$86,4,FALSE)</f>
        <v>65606.11</v>
      </c>
      <c r="E60" s="1867">
        <f t="shared" si="0"/>
        <v>178414.07</v>
      </c>
      <c r="F60" s="1868"/>
      <c r="G60" s="1869">
        <f t="shared" si="1"/>
        <v>178414.07</v>
      </c>
      <c r="H60" s="1870"/>
    </row>
    <row r="61" spans="1:8">
      <c r="A61" s="1847">
        <v>70214</v>
      </c>
      <c r="B61" s="1848" t="s">
        <v>137</v>
      </c>
      <c r="C61" s="1849">
        <f>VLOOKUP($A61,'[76]Corp-OH'!$A$11:$D$86,3,FALSE)</f>
        <v>9341.57</v>
      </c>
      <c r="D61" s="1849">
        <f>VLOOKUP($A61,'[76]Corp-OH'!$A$11:$D$86,4,FALSE)</f>
        <v>39825.129999999997</v>
      </c>
      <c r="E61" s="1867">
        <f t="shared" si="0"/>
        <v>49166.7</v>
      </c>
      <c r="F61" s="1868"/>
      <c r="G61" s="1869">
        <f t="shared" si="1"/>
        <v>49166.7</v>
      </c>
      <c r="H61" s="1870"/>
    </row>
    <row r="62" spans="1:8">
      <c r="A62" s="1847">
        <v>70215</v>
      </c>
      <c r="B62" s="1848" t="s">
        <v>138</v>
      </c>
      <c r="C62" s="1849">
        <f>VLOOKUP($A62,'[76]Corp-OH'!$A$11:$D$86,3,FALSE)</f>
        <v>3600263.43</v>
      </c>
      <c r="D62" s="1849">
        <f>VLOOKUP($A62,'[76]Corp-OH'!$A$11:$D$86,4,FALSE)</f>
        <v>1139269.4099999999</v>
      </c>
      <c r="E62" s="1867">
        <f t="shared" si="0"/>
        <v>4739532.84</v>
      </c>
      <c r="F62" s="1868"/>
      <c r="G62" s="1869">
        <f t="shared" si="1"/>
        <v>4739532.84</v>
      </c>
      <c r="H62" s="1870"/>
    </row>
    <row r="63" spans="1:8">
      <c r="A63" s="1847">
        <v>70216</v>
      </c>
      <c r="B63" s="1848" t="s">
        <v>570</v>
      </c>
      <c r="C63" s="1849">
        <f>VLOOKUP($A63,'[76]Corp-OH'!$A$11:$D$86,3,FALSE)</f>
        <v>149271.85</v>
      </c>
      <c r="D63" s="1849">
        <f>VLOOKUP($A63,'[76]Corp-OH'!$A$11:$D$86,4,FALSE)</f>
        <v>44953.79</v>
      </c>
      <c r="E63" s="1867">
        <f t="shared" si="0"/>
        <v>194225.64</v>
      </c>
      <c r="F63" s="1868"/>
      <c r="G63" s="1869">
        <f t="shared" si="1"/>
        <v>194225.64</v>
      </c>
      <c r="H63" s="1870"/>
    </row>
    <row r="64" spans="1:8">
      <c r="A64" s="1847">
        <v>70230</v>
      </c>
      <c r="B64" s="1848" t="s">
        <v>437</v>
      </c>
      <c r="C64" s="1849">
        <f>VLOOKUP($A64,'[76]Corp-OH'!$A$11:$D$86,3,FALSE)</f>
        <v>146540</v>
      </c>
      <c r="D64" s="1849">
        <f>VLOOKUP($A64,'[76]Corp-OH'!$A$11:$D$86,4,FALSE)</f>
        <v>0</v>
      </c>
      <c r="E64" s="1867">
        <f t="shared" si="0"/>
        <v>146540</v>
      </c>
      <c r="F64" s="1868"/>
      <c r="G64" s="1869">
        <f t="shared" si="1"/>
        <v>146540</v>
      </c>
      <c r="H64" s="1870"/>
    </row>
    <row r="65" spans="1:8">
      <c r="A65" s="1847">
        <v>70231</v>
      </c>
      <c r="B65" s="1848" t="s">
        <v>552</v>
      </c>
      <c r="C65" s="1849">
        <f>VLOOKUP($A65,'[76]Corp-OH'!$A$11:$D$86,3,FALSE)</f>
        <v>327097.37</v>
      </c>
      <c r="D65" s="1849">
        <f>VLOOKUP($A65,'[76]Corp-OH'!$A$11:$D$86,4,FALSE)</f>
        <v>635046.87</v>
      </c>
      <c r="E65" s="1867">
        <f t="shared" si="0"/>
        <v>962144.24</v>
      </c>
      <c r="F65" s="1868"/>
      <c r="G65" s="1869">
        <f t="shared" si="1"/>
        <v>962144.24</v>
      </c>
      <c r="H65" s="1870"/>
    </row>
    <row r="66" spans="1:8">
      <c r="A66" s="1847">
        <v>70232</v>
      </c>
      <c r="B66" s="1848" t="s">
        <v>428</v>
      </c>
      <c r="C66" s="1849">
        <f>VLOOKUP($A66,'[76]Corp-OH'!$A$11:$D$86,3,FALSE)</f>
        <v>0</v>
      </c>
      <c r="D66" s="1849">
        <f>VLOOKUP($A66,'[76]Corp-OH'!$A$11:$D$86,4,FALSE)</f>
        <v>0</v>
      </c>
      <c r="E66" s="1867">
        <f t="shared" si="0"/>
        <v>0</v>
      </c>
      <c r="F66" s="1868"/>
      <c r="G66" s="1869">
        <f t="shared" si="1"/>
        <v>0</v>
      </c>
      <c r="H66" s="1870"/>
    </row>
    <row r="67" spans="1:8">
      <c r="A67" s="1847">
        <v>70235</v>
      </c>
      <c r="B67" s="1848" t="s">
        <v>139</v>
      </c>
      <c r="C67" s="1849">
        <f>VLOOKUP($A67,'[76]Corp-OH'!$A$11:$D$86,3,FALSE)</f>
        <v>1543604.36</v>
      </c>
      <c r="D67" s="1849">
        <f>VLOOKUP($A67,'[76]Corp-OH'!$A$11:$D$86,4,FALSE)</f>
        <v>1430266.85</v>
      </c>
      <c r="E67" s="1867">
        <f t="shared" si="0"/>
        <v>2973871.21</v>
      </c>
      <c r="F67" s="1868">
        <f>-E67</f>
        <v>-2973871.21</v>
      </c>
      <c r="G67" s="1869">
        <f t="shared" si="1"/>
        <v>0</v>
      </c>
      <c r="H67" s="1870"/>
    </row>
    <row r="68" spans="1:8">
      <c r="A68" s="1847">
        <v>70240</v>
      </c>
      <c r="B68" s="1848" t="s">
        <v>571</v>
      </c>
      <c r="C68" s="1849">
        <f>VLOOKUP($A68,'[76]Corp-OH'!$A$11:$D$86,3,FALSE)</f>
        <v>3829169</v>
      </c>
      <c r="D68" s="1849">
        <f>VLOOKUP($A68,'[76]Corp-OH'!$A$11:$D$86,4,FALSE)</f>
        <v>879748</v>
      </c>
      <c r="E68" s="1867">
        <f t="shared" si="0"/>
        <v>4708917</v>
      </c>
      <c r="F68" s="1868"/>
      <c r="G68" s="1869">
        <f t="shared" si="1"/>
        <v>4708917</v>
      </c>
      <c r="H68" s="1870"/>
    </row>
    <row r="69" spans="1:8">
      <c r="A69" s="1847">
        <v>70245</v>
      </c>
      <c r="B69" s="1848" t="s">
        <v>572</v>
      </c>
      <c r="C69" s="1849">
        <f>VLOOKUP($A69,'[76]Corp-OH'!$A$11:$D$86,3,FALSE)</f>
        <v>612131.43000000005</v>
      </c>
      <c r="D69" s="1849">
        <f>VLOOKUP($A69,'[76]Corp-OH'!$A$11:$D$86,4,FALSE)</f>
        <v>361921.34</v>
      </c>
      <c r="E69" s="1867">
        <f t="shared" si="0"/>
        <v>974052.77</v>
      </c>
      <c r="F69" s="1868"/>
      <c r="G69" s="1869">
        <f t="shared" si="1"/>
        <v>974052.77</v>
      </c>
      <c r="H69" s="1870"/>
    </row>
    <row r="70" spans="1:8">
      <c r="A70" s="1847">
        <v>70250</v>
      </c>
      <c r="B70" s="1848" t="s">
        <v>573</v>
      </c>
      <c r="C70" s="1849">
        <f>VLOOKUP($A70,'[76]Corp-OH'!$A$11:$D$86,3,FALSE)</f>
        <v>10225194.630000001</v>
      </c>
      <c r="D70" s="1849">
        <f>VLOOKUP($A70,'[76]Corp-OH'!$A$11:$D$86,4,FALSE)</f>
        <v>3679771.44</v>
      </c>
      <c r="E70" s="1867">
        <f t="shared" si="0"/>
        <v>13904966.07</v>
      </c>
      <c r="F70" s="1868">
        <f>-E70</f>
        <v>-13904966.07</v>
      </c>
      <c r="G70" s="1869">
        <f t="shared" si="1"/>
        <v>0</v>
      </c>
      <c r="H70" s="1870"/>
    </row>
    <row r="71" spans="1:8">
      <c r="A71" s="1847">
        <v>70255</v>
      </c>
      <c r="B71" s="1848" t="s">
        <v>140</v>
      </c>
      <c r="C71" s="1849">
        <f>VLOOKUP($A71,'[76]Corp-OH'!$A$11:$D$86,3,FALSE)</f>
        <v>3315086.97</v>
      </c>
      <c r="D71" s="1849">
        <f>VLOOKUP($A71,'[76]Corp-OH'!$A$11:$D$86,4,FALSE)</f>
        <v>1324581.6100000001</v>
      </c>
      <c r="E71" s="1867">
        <f t="shared" si="0"/>
        <v>4639668.58</v>
      </c>
      <c r="F71" s="1868"/>
      <c r="G71" s="1869">
        <f t="shared" si="1"/>
        <v>4639668.58</v>
      </c>
      <c r="H71" s="1870"/>
    </row>
    <row r="72" spans="1:8">
      <c r="A72" s="1847">
        <v>70260</v>
      </c>
      <c r="B72" s="1848" t="s">
        <v>154</v>
      </c>
      <c r="C72" s="1849">
        <f>VLOOKUP($A72,'[76]Corp-OH'!$A$11:$D$86,3,FALSE)</f>
        <v>4891923.24</v>
      </c>
      <c r="D72" s="1849">
        <f>VLOOKUP($A72,'[76]Corp-OH'!$A$11:$D$86,4,FALSE)</f>
        <v>1816305.63</v>
      </c>
      <c r="E72" s="1867">
        <f t="shared" si="0"/>
        <v>6708228.8700000001</v>
      </c>
      <c r="F72" s="1868"/>
      <c r="G72" s="1869">
        <f t="shared" si="1"/>
        <v>6708228.8700000001</v>
      </c>
      <c r="H72" s="1870"/>
    </row>
    <row r="73" spans="1:8">
      <c r="A73" s="1847">
        <v>70271</v>
      </c>
      <c r="B73" s="1848" t="s">
        <v>561</v>
      </c>
      <c r="C73" s="1849">
        <f>VLOOKUP($A73,'[76]Corp-OH'!$A$11:$D$86,3,FALSE)</f>
        <v>850489.2</v>
      </c>
      <c r="D73" s="1849">
        <f>VLOOKUP($A73,'[76]Corp-OH'!$A$11:$D$86,4,FALSE)</f>
        <v>257421.7</v>
      </c>
      <c r="E73" s="1867">
        <f t="shared" si="0"/>
        <v>1107910.8999999999</v>
      </c>
      <c r="F73" s="1868"/>
      <c r="G73" s="1869">
        <f t="shared" si="1"/>
        <v>1107910.8999999999</v>
      </c>
      <c r="H73" s="1870"/>
    </row>
    <row r="74" spans="1:8">
      <c r="A74" s="1847">
        <v>70273</v>
      </c>
      <c r="B74" s="1848" t="s">
        <v>574</v>
      </c>
      <c r="C74" s="1849">
        <f>VLOOKUP($A74,'[76]Corp-OH'!$A$11:$D$86,3,FALSE)</f>
        <v>71208</v>
      </c>
      <c r="D74" s="1849">
        <f>VLOOKUP($A74,'[76]Corp-OH'!$A$11:$D$86,4,FALSE)</f>
        <v>23736</v>
      </c>
      <c r="E74" s="1867">
        <f t="shared" si="0"/>
        <v>94944</v>
      </c>
      <c r="F74" s="1868"/>
      <c r="G74" s="1869">
        <f t="shared" si="1"/>
        <v>94944</v>
      </c>
      <c r="H74" s="1870"/>
    </row>
    <row r="75" spans="1:8">
      <c r="A75" s="1847">
        <v>70275</v>
      </c>
      <c r="B75" s="1848" t="s">
        <v>96</v>
      </c>
      <c r="C75" s="1849">
        <f>VLOOKUP($A75,'[76]Corp-OH'!$A$11:$D$86,3,FALSE)</f>
        <v>112616.15</v>
      </c>
      <c r="D75" s="1849">
        <f>VLOOKUP($A75,'[76]Corp-OH'!$A$11:$D$86,4,FALSE)</f>
        <v>53897.67</v>
      </c>
      <c r="E75" s="1867">
        <f t="shared" si="0"/>
        <v>166513.82</v>
      </c>
      <c r="F75" s="1868"/>
      <c r="G75" s="1869">
        <f t="shared" si="1"/>
        <v>166513.82</v>
      </c>
      <c r="H75" s="1870"/>
    </row>
    <row r="76" spans="1:8">
      <c r="A76" s="1847">
        <v>70300</v>
      </c>
      <c r="B76" s="1848" t="s">
        <v>141</v>
      </c>
      <c r="C76" s="1849">
        <f>VLOOKUP($A76,'[76]Corp-OH'!$A$11:$D$86,3,FALSE)</f>
        <v>368918.64</v>
      </c>
      <c r="D76" s="1849">
        <f>VLOOKUP($A76,'[76]Corp-OH'!$A$11:$D$86,4,FALSE)</f>
        <v>-117488.9</v>
      </c>
      <c r="E76" s="1867">
        <f t="shared" ref="E76:E90" si="2">+C76+D76</f>
        <v>251429.74000000002</v>
      </c>
      <c r="F76" s="1868"/>
      <c r="G76" s="1869">
        <f t="shared" ref="G76:G84" si="3">E76+F76</f>
        <v>251429.74000000002</v>
      </c>
      <c r="H76" s="1870"/>
    </row>
    <row r="77" spans="1:8">
      <c r="A77" s="1847">
        <v>70301</v>
      </c>
      <c r="B77" s="1848" t="s">
        <v>272</v>
      </c>
      <c r="C77" s="1849">
        <f>VLOOKUP($A77,'[76]Corp-OH'!$A$11:$D$86,3,FALSE)</f>
        <v>61079.68</v>
      </c>
      <c r="D77" s="1849">
        <f>VLOOKUP($A77,'[76]Corp-OH'!$A$11:$D$86,4,FALSE)</f>
        <v>8281.92</v>
      </c>
      <c r="E77" s="1867">
        <f t="shared" si="2"/>
        <v>69361.600000000006</v>
      </c>
      <c r="F77" s="1868"/>
      <c r="G77" s="1869">
        <f t="shared" si="3"/>
        <v>69361.600000000006</v>
      </c>
      <c r="H77" s="1870"/>
    </row>
    <row r="78" spans="1:8">
      <c r="A78" s="1847">
        <v>70302</v>
      </c>
      <c r="B78" s="1848" t="s">
        <v>142</v>
      </c>
      <c r="C78" s="1849">
        <f>VLOOKUP($A78,'[76]Corp-OH'!$A$11:$D$86,3,FALSE)</f>
        <v>64731.08</v>
      </c>
      <c r="D78" s="1849">
        <f>VLOOKUP($A78,'[76]Corp-OH'!$A$11:$D$86,4,FALSE)</f>
        <v>22673.53</v>
      </c>
      <c r="E78" s="1867">
        <f t="shared" si="2"/>
        <v>87404.61</v>
      </c>
      <c r="F78" s="1868"/>
      <c r="G78" s="1869">
        <f t="shared" si="3"/>
        <v>87404.61</v>
      </c>
      <c r="H78" s="1870"/>
    </row>
    <row r="79" spans="1:8">
      <c r="A79" s="1847">
        <v>70324</v>
      </c>
      <c r="B79" s="1848" t="s">
        <v>106</v>
      </c>
      <c r="C79" s="1849">
        <f>VLOOKUP($A79,'[76]Corp-OH'!$A$11:$D$86,3,FALSE)</f>
        <v>49196.1</v>
      </c>
      <c r="D79" s="1849">
        <f>VLOOKUP($A79,'[76]Corp-OH'!$A$11:$D$86,4,FALSE)</f>
        <v>4926.66</v>
      </c>
      <c r="E79" s="1867">
        <f t="shared" si="2"/>
        <v>54122.759999999995</v>
      </c>
      <c r="F79" s="1868">
        <f>-E79</f>
        <v>-54122.759999999995</v>
      </c>
      <c r="G79" s="1869">
        <f t="shared" si="3"/>
        <v>0</v>
      </c>
      <c r="H79" s="1870"/>
    </row>
    <row r="80" spans="1:8">
      <c r="A80" s="1847">
        <v>70345</v>
      </c>
      <c r="B80" s="1848" t="s">
        <v>145</v>
      </c>
      <c r="C80" s="1849">
        <f>VLOOKUP($A80,'[76]Corp-OH'!$A$11:$D$86,3,FALSE)</f>
        <v>0</v>
      </c>
      <c r="D80" s="1849">
        <f>VLOOKUP($A80,'[76]Corp-OH'!$A$11:$D$86,4,FALSE)</f>
        <v>0</v>
      </c>
      <c r="E80" s="1867">
        <f t="shared" si="2"/>
        <v>0</v>
      </c>
      <c r="F80" s="1868"/>
      <c r="G80" s="1869">
        <f t="shared" si="3"/>
        <v>0</v>
      </c>
      <c r="H80" s="1870"/>
    </row>
    <row r="81" spans="1:8">
      <c r="A81" s="1847">
        <v>70357</v>
      </c>
      <c r="B81" s="1848" t="s">
        <v>107</v>
      </c>
      <c r="C81" s="1849">
        <f>VLOOKUP($A81,'[76]Corp-OH'!$A$11:$D$86,3,FALSE)</f>
        <v>0</v>
      </c>
      <c r="D81" s="1849">
        <f>VLOOKUP($A81,'[76]Corp-OH'!$A$11:$D$86,4,FALSE)</f>
        <v>0</v>
      </c>
      <c r="E81" s="1867">
        <f t="shared" si="2"/>
        <v>0</v>
      </c>
      <c r="F81" s="1868"/>
      <c r="G81" s="1869">
        <f t="shared" si="3"/>
        <v>0</v>
      </c>
      <c r="H81" s="1870"/>
    </row>
    <row r="82" spans="1:8">
      <c r="A82" s="1847">
        <v>70371</v>
      </c>
      <c r="B82" s="1848" t="s">
        <v>575</v>
      </c>
      <c r="C82" s="1849">
        <f>VLOOKUP($A82,'[76]Corp-OH'!$A$11:$D$86,3,FALSE)</f>
        <v>441302.14</v>
      </c>
      <c r="D82" s="1849">
        <f>VLOOKUP($A82,'[76]Corp-OH'!$A$11:$D$86,4,FALSE)</f>
        <v>147585.29999999999</v>
      </c>
      <c r="E82" s="1867">
        <f t="shared" si="2"/>
        <v>588887.43999999994</v>
      </c>
      <c r="F82" s="1868"/>
      <c r="G82" s="1869">
        <f t="shared" si="3"/>
        <v>588887.43999999994</v>
      </c>
      <c r="H82" s="1870"/>
    </row>
    <row r="83" spans="1:8">
      <c r="A83" s="1847">
        <v>70372</v>
      </c>
      <c r="B83" s="1848" t="s">
        <v>576</v>
      </c>
      <c r="C83" s="1849">
        <f>VLOOKUP($A83,'[76]Corp-OH'!$A$11:$D$86,3,FALSE)</f>
        <v>16277.11</v>
      </c>
      <c r="D83" s="1849">
        <f>VLOOKUP($A83,'[76]Corp-OH'!$A$11:$D$86,4,FALSE)</f>
        <v>21033.98</v>
      </c>
      <c r="E83" s="1867">
        <f t="shared" si="2"/>
        <v>37311.089999999997</v>
      </c>
      <c r="F83" s="1868"/>
      <c r="G83" s="1869">
        <f t="shared" si="3"/>
        <v>37311.089999999997</v>
      </c>
      <c r="H83" s="1870"/>
    </row>
    <row r="84" spans="1:8">
      <c r="A84" s="1847">
        <v>70475</v>
      </c>
      <c r="B84" s="1848" t="s">
        <v>577</v>
      </c>
      <c r="C84" s="1849">
        <f>VLOOKUP($A84,'[76]Corp-OH'!$A$11:$D$86,3,FALSE)</f>
        <v>256688.65</v>
      </c>
      <c r="D84" s="1849">
        <f>VLOOKUP($A84,'[76]Corp-OH'!$A$11:$D$86,4,FALSE)</f>
        <v>16793.68</v>
      </c>
      <c r="E84" s="1867">
        <f t="shared" si="2"/>
        <v>273482.33</v>
      </c>
      <c r="F84" s="1868">
        <f>-E84</f>
        <v>-273482.33</v>
      </c>
      <c r="G84" s="1869">
        <f t="shared" si="3"/>
        <v>0</v>
      </c>
      <c r="H84" s="1870"/>
    </row>
    <row r="85" spans="1:8">
      <c r="A85" s="1850"/>
      <c r="B85" s="1848" t="s">
        <v>578</v>
      </c>
      <c r="C85" s="1851">
        <f>SUM(C11:C84)</f>
        <v>147850996.78</v>
      </c>
      <c r="D85" s="1851">
        <f t="shared" ref="D85:G85" si="4">SUM(D11:D84)</f>
        <v>47220839.089999996</v>
      </c>
      <c r="E85" s="1851">
        <f t="shared" si="4"/>
        <v>195071835.86999995</v>
      </c>
      <c r="F85" s="1868"/>
      <c r="G85" s="1873">
        <f t="shared" si="4"/>
        <v>120559648.62270661</v>
      </c>
      <c r="H85" s="1870"/>
    </row>
    <row r="86" spans="1:8">
      <c r="A86" s="1850" t="s">
        <v>579</v>
      </c>
      <c r="B86" s="1848" t="s">
        <v>580</v>
      </c>
      <c r="C86" s="1849">
        <f>VLOOKUP($A86,'[76]Corp-OH'!$A$11:$D$86,3,FALSE)</f>
        <v>4755418947.04</v>
      </c>
      <c r="D86" s="1849">
        <f>VLOOKUP($A86,'[76]Corp-OH'!$A$11:$D$86,4,FALSE)</f>
        <v>1646255138.3599999</v>
      </c>
      <c r="E86" s="1867">
        <f t="shared" si="2"/>
        <v>6401674085.3999996</v>
      </c>
      <c r="F86" s="1868"/>
      <c r="G86" s="1869">
        <f>E86</f>
        <v>6401674085.3999996</v>
      </c>
      <c r="H86" s="1870"/>
    </row>
    <row r="87" spans="1:8" ht="15.75" thickBot="1">
      <c r="A87" s="1850"/>
      <c r="B87" s="1848"/>
      <c r="C87" s="1852"/>
      <c r="D87" s="1852"/>
      <c r="E87" s="1853">
        <f>+E85/E86</f>
        <v>3.0472003614631243E-2</v>
      </c>
      <c r="F87" s="1868"/>
      <c r="G87" s="1874">
        <f>G85/G86</f>
        <v>1.8832518965259632E-2</v>
      </c>
      <c r="H87" s="1870"/>
    </row>
    <row r="88" spans="1:8">
      <c r="A88" s="1299"/>
      <c r="B88" s="1862"/>
      <c r="C88" s="1849"/>
      <c r="D88" s="1849"/>
      <c r="E88" s="1862"/>
      <c r="F88" s="1868"/>
      <c r="G88" s="1869"/>
      <c r="H88" s="1870"/>
    </row>
    <row r="89" spans="1:8">
      <c r="A89" s="1299"/>
      <c r="B89" s="1854" t="s">
        <v>2359</v>
      </c>
      <c r="C89" s="1875">
        <f>'[76]Corp-OH'!$C$89</f>
        <v>680770822.68999958</v>
      </c>
      <c r="D89" s="1875">
        <f>'[76]Corp-OH'!$D$89</f>
        <v>223260671.86000013</v>
      </c>
      <c r="E89" s="1867">
        <f t="shared" si="2"/>
        <v>904031494.54999971</v>
      </c>
      <c r="F89" s="1868"/>
      <c r="G89" s="1869"/>
      <c r="H89" s="1870"/>
    </row>
    <row r="90" spans="1:8">
      <c r="A90" s="1299" t="s">
        <v>581</v>
      </c>
      <c r="B90" s="1854" t="s">
        <v>582</v>
      </c>
      <c r="C90" s="1849">
        <f>'[76]Corp-OH'!$C$90</f>
        <v>5436189769.7299995</v>
      </c>
      <c r="D90" s="1849">
        <f>'[76]Corp-OH'!$D$90</f>
        <v>1869515810.22</v>
      </c>
      <c r="E90" s="1867">
        <f t="shared" si="2"/>
        <v>7305705579.9499998</v>
      </c>
      <c r="F90" s="1868"/>
      <c r="G90" s="1869"/>
      <c r="H90" s="1870"/>
    </row>
    <row r="91" spans="1:8" ht="15.75" thickBot="1">
      <c r="A91" s="1876"/>
      <c r="B91" s="1855" t="s">
        <v>583</v>
      </c>
      <c r="C91" s="1877"/>
      <c r="D91" s="1877"/>
      <c r="E91" s="1877"/>
      <c r="F91" s="1878"/>
      <c r="G91" s="1879"/>
      <c r="H91" s="1880"/>
    </row>
    <row r="92" spans="1:8" ht="15.75" thickTop="1">
      <c r="C92" s="596"/>
      <c r="D92" s="596"/>
    </row>
  </sheetData>
  <pageMargins left="0.7" right="0.7" top="0.75" bottom="0.75" header="0.3" footer="0.3"/>
  <pageSetup scale="81" fitToHeight="0" orientation="landscape" r:id="rId1"/>
  <headerFooter>
    <oddHeader>&amp;C&amp;"-,Bold"&amp;14&amp;KFF0000TEXT IN RED BOX CONFIDENTIAL PER WAC 480-07-160</oddHeader>
    <oddFooter>&amp;L&amp;F - &amp;A&amp;R&amp;P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N91"/>
  <sheetViews>
    <sheetView tabSelected="1" showWhiteSpace="0" view="pageLayout" topLeftCell="A60" zoomScaleNormal="100" workbookViewId="0">
      <selection activeCell="AL35" sqref="AL35"/>
    </sheetView>
  </sheetViews>
  <sheetFormatPr defaultColWidth="9.140625" defaultRowHeight="15"/>
  <cols>
    <col min="1" max="1" width="25" style="249" customWidth="1"/>
    <col min="2" max="2" width="48.42578125" style="249" customWidth="1"/>
    <col min="3" max="3" width="15.7109375" style="249" customWidth="1"/>
    <col min="4" max="6" width="9.140625" style="249"/>
    <col min="7" max="7" width="17.42578125" style="249" bestFit="1" customWidth="1"/>
    <col min="8" max="8" width="16" style="597" bestFit="1" customWidth="1"/>
    <col min="9" max="10" width="17.42578125" style="249" bestFit="1" customWidth="1"/>
    <col min="11" max="11" width="9.140625" style="249"/>
    <col min="12" max="12" width="12" style="249" bestFit="1" customWidth="1"/>
    <col min="13" max="13" width="16" style="249" bestFit="1" customWidth="1"/>
    <col min="14" max="14" width="9.140625" style="249"/>
    <col min="15" max="15" width="15.42578125" style="249" bestFit="1" customWidth="1"/>
    <col min="16" max="16384" width="9.140625" style="249"/>
  </cols>
  <sheetData>
    <row r="1" spans="1:14">
      <c r="B1" s="291"/>
      <c r="C1" s="291"/>
    </row>
    <row r="2" spans="1:14" ht="21">
      <c r="B2" s="291"/>
      <c r="C2" s="291"/>
      <c r="I2" s="758" t="s">
        <v>2360</v>
      </c>
    </row>
    <row r="3" spans="1:14" ht="15.75" thickBot="1">
      <c r="B3" s="291"/>
      <c r="C3" s="291"/>
    </row>
    <row r="4" spans="1:14">
      <c r="B4" s="291"/>
      <c r="C4" s="291"/>
      <c r="I4" s="297"/>
      <c r="J4" s="759" t="s">
        <v>585</v>
      </c>
      <c r="K4" s="759"/>
      <c r="L4" s="760" t="s">
        <v>586</v>
      </c>
    </row>
    <row r="5" spans="1:14">
      <c r="B5" s="291"/>
      <c r="C5" s="291"/>
      <c r="I5" s="1012" t="s">
        <v>329</v>
      </c>
      <c r="J5" s="773">
        <f>I30+I32</f>
        <v>5046520000</v>
      </c>
      <c r="K5" s="1013">
        <f>J5/J7</f>
        <v>0.41914391658184569</v>
      </c>
      <c r="L5" s="1014">
        <v>0.4</v>
      </c>
      <c r="M5" s="991"/>
      <c r="N5" s="991"/>
    </row>
    <row r="6" spans="1:14">
      <c r="I6" s="1012" t="s">
        <v>327</v>
      </c>
      <c r="J6" s="1015">
        <f>I48</f>
        <v>6993545000</v>
      </c>
      <c r="K6" s="1013">
        <f>J6/J7</f>
        <v>0.58085608341815431</v>
      </c>
      <c r="L6" s="1014">
        <v>0.6</v>
      </c>
      <c r="M6" s="991"/>
      <c r="N6" s="991"/>
    </row>
    <row r="7" spans="1:14">
      <c r="A7" s="291"/>
      <c r="B7" s="290"/>
      <c r="I7" s="1012" t="s">
        <v>587</v>
      </c>
      <c r="J7" s="771">
        <f>+J5+J6</f>
        <v>12040065000</v>
      </c>
      <c r="K7" s="1016"/>
      <c r="L7" s="1017"/>
      <c r="M7" s="991"/>
      <c r="N7" s="991"/>
    </row>
    <row r="8" spans="1:14" ht="15.75" thickBot="1">
      <c r="A8" s="291"/>
      <c r="B8" s="290"/>
      <c r="C8" s="291"/>
      <c r="F8" s="621"/>
      <c r="I8" s="1018"/>
      <c r="J8" s="1019"/>
      <c r="K8" s="1019"/>
      <c r="L8" s="1020"/>
      <c r="M8" s="991"/>
      <c r="N8" s="991"/>
    </row>
    <row r="9" spans="1:14" ht="15.75" thickBot="1">
      <c r="A9" s="291"/>
      <c r="B9" s="290"/>
      <c r="C9" s="291"/>
      <c r="I9" s="991"/>
      <c r="J9" s="991"/>
      <c r="K9" s="991"/>
      <c r="L9" s="991"/>
      <c r="M9" s="991"/>
      <c r="N9" s="991"/>
    </row>
    <row r="10" spans="1:14">
      <c r="A10" s="291"/>
      <c r="B10" s="291"/>
      <c r="C10" s="762"/>
      <c r="I10" s="1021"/>
      <c r="J10" s="1022" t="s">
        <v>588</v>
      </c>
      <c r="K10" s="1023"/>
      <c r="L10" s="991"/>
      <c r="M10" s="991"/>
      <c r="N10" s="991"/>
    </row>
    <row r="11" spans="1:14">
      <c r="B11" s="763"/>
      <c r="C11" s="764"/>
      <c r="I11" s="1012" t="s">
        <v>204</v>
      </c>
      <c r="J11" s="1024">
        <f>I66</f>
        <v>162796000</v>
      </c>
      <c r="K11" s="1025"/>
      <c r="L11" s="991"/>
      <c r="M11" s="991"/>
      <c r="N11" s="991"/>
    </row>
    <row r="12" spans="1:14">
      <c r="B12" s="763"/>
      <c r="C12" s="765"/>
      <c r="I12" s="1012" t="s">
        <v>329</v>
      </c>
      <c r="J12" s="1026">
        <f>J5</f>
        <v>5046520000</v>
      </c>
      <c r="K12" s="1025"/>
      <c r="L12" s="991"/>
      <c r="M12" s="991"/>
      <c r="N12" s="991"/>
    </row>
    <row r="13" spans="1:14">
      <c r="B13" s="766"/>
      <c r="C13" s="767"/>
      <c r="I13" s="1027"/>
      <c r="J13" s="1016"/>
      <c r="K13" s="1017"/>
      <c r="L13" s="991"/>
      <c r="M13" s="991"/>
      <c r="N13" s="991"/>
    </row>
    <row r="14" spans="1:14" ht="15.75" thickBot="1">
      <c r="B14" s="768"/>
      <c r="C14" s="547"/>
      <c r="G14" s="761"/>
      <c r="H14" s="769"/>
      <c r="I14" s="1028" t="s">
        <v>588</v>
      </c>
      <c r="J14" s="1029">
        <f>J11/J12</f>
        <v>3.2259061690035909E-2</v>
      </c>
      <c r="K14" s="1030"/>
      <c r="L14" s="991"/>
      <c r="M14" s="991"/>
      <c r="N14" s="991"/>
    </row>
    <row r="15" spans="1:14">
      <c r="B15" s="768"/>
      <c r="C15" s="264"/>
      <c r="G15" s="769"/>
      <c r="H15" s="770"/>
      <c r="I15" s="771"/>
      <c r="J15" s="772"/>
      <c r="K15" s="991"/>
      <c r="L15" s="1031"/>
      <c r="M15" s="1031"/>
      <c r="N15" s="1032"/>
    </row>
    <row r="16" spans="1:14">
      <c r="B16" s="768"/>
      <c r="C16" s="264"/>
      <c r="G16" s="769"/>
      <c r="H16" s="770"/>
      <c r="I16" s="773"/>
      <c r="J16" s="774"/>
      <c r="K16" s="991"/>
      <c r="L16" s="1031"/>
      <c r="M16" s="991"/>
      <c r="N16" s="991"/>
    </row>
    <row r="17" spans="2:14">
      <c r="B17" s="768"/>
      <c r="C17" s="264"/>
      <c r="G17" s="769"/>
      <c r="H17" s="770"/>
      <c r="I17" s="773"/>
      <c r="J17" s="1016"/>
      <c r="K17" s="991"/>
      <c r="L17" s="991"/>
      <c r="M17" s="991"/>
      <c r="N17" s="991"/>
    </row>
    <row r="18" spans="2:14">
      <c r="B18" s="768"/>
      <c r="C18" s="264"/>
      <c r="G18" s="761"/>
      <c r="H18" s="769"/>
      <c r="I18" s="773"/>
      <c r="J18" s="1016"/>
      <c r="K18" s="991"/>
      <c r="L18" s="991"/>
      <c r="M18" s="991"/>
      <c r="N18" s="991"/>
    </row>
    <row r="19" spans="2:14">
      <c r="B19" s="768"/>
      <c r="C19" s="264"/>
      <c r="I19" s="775"/>
    </row>
    <row r="20" spans="2:14">
      <c r="B20" s="768"/>
      <c r="C20" s="264"/>
      <c r="I20" s="775"/>
    </row>
    <row r="21" spans="2:14">
      <c r="B21" s="768"/>
      <c r="C21" s="767"/>
      <c r="H21" s="769"/>
      <c r="I21" s="775"/>
    </row>
    <row r="22" spans="2:14">
      <c r="B22" s="768"/>
      <c r="C22" s="776"/>
      <c r="G22" s="769"/>
      <c r="H22" s="777"/>
      <c r="I22" s="773"/>
      <c r="L22" s="778"/>
    </row>
    <row r="23" spans="2:14">
      <c r="B23" s="768"/>
      <c r="C23" s="767"/>
      <c r="G23" s="769"/>
      <c r="H23" s="779"/>
      <c r="I23" s="773"/>
      <c r="L23" s="467"/>
    </row>
    <row r="24" spans="2:14">
      <c r="B24" s="766"/>
      <c r="C24" s="767"/>
      <c r="G24" s="761"/>
      <c r="H24" s="769"/>
      <c r="I24" s="773"/>
    </row>
    <row r="25" spans="2:14">
      <c r="B25" s="768"/>
      <c r="C25" s="264"/>
      <c r="G25" s="769"/>
      <c r="H25" s="780"/>
      <c r="I25" s="773"/>
    </row>
    <row r="26" spans="2:14">
      <c r="B26" s="768"/>
      <c r="C26" s="264"/>
      <c r="I26" s="775"/>
    </row>
    <row r="27" spans="2:14">
      <c r="B27" s="768"/>
      <c r="C27" s="264"/>
      <c r="I27" s="775"/>
    </row>
    <row r="28" spans="2:14">
      <c r="B28" s="768"/>
      <c r="C28" s="264"/>
      <c r="I28" s="775"/>
    </row>
    <row r="29" spans="2:14">
      <c r="B29" s="768"/>
      <c r="C29" s="264"/>
      <c r="I29" s="775"/>
    </row>
    <row r="30" spans="2:14">
      <c r="B30" s="768"/>
      <c r="C30" s="767"/>
      <c r="H30" s="597" t="s">
        <v>2361</v>
      </c>
      <c r="I30" s="775">
        <f>6020*1000</f>
        <v>6020000</v>
      </c>
    </row>
    <row r="31" spans="2:14">
      <c r="B31" s="768"/>
      <c r="C31" s="776"/>
      <c r="I31" s="775"/>
    </row>
    <row r="32" spans="2:14">
      <c r="B32" s="768"/>
      <c r="C32" s="767"/>
      <c r="H32" s="597" t="s">
        <v>2362</v>
      </c>
      <c r="I32" s="775">
        <f>5040500*1000</f>
        <v>5040500000</v>
      </c>
    </row>
    <row r="33" spans="2:9">
      <c r="B33" s="768"/>
      <c r="C33" s="776"/>
      <c r="I33" s="775"/>
    </row>
    <row r="34" spans="2:9">
      <c r="B34" s="768"/>
      <c r="C34" s="767"/>
      <c r="I34" s="775"/>
    </row>
    <row r="35" spans="2:9">
      <c r="B35" s="766"/>
      <c r="C35" s="767"/>
      <c r="I35" s="775"/>
    </row>
    <row r="36" spans="2:9">
      <c r="B36" s="768"/>
      <c r="C36" s="264"/>
      <c r="I36" s="775"/>
    </row>
    <row r="37" spans="2:9">
      <c r="B37" s="768"/>
      <c r="C37" s="264"/>
      <c r="I37" s="775"/>
    </row>
    <row r="38" spans="2:9">
      <c r="B38" s="768"/>
      <c r="C38" s="264"/>
      <c r="I38" s="775"/>
    </row>
    <row r="39" spans="2:9">
      <c r="B39" s="768"/>
      <c r="C39" s="264"/>
      <c r="I39" s="775"/>
    </row>
    <row r="40" spans="2:9">
      <c r="B40" s="768"/>
      <c r="C40" s="264"/>
      <c r="I40" s="775"/>
    </row>
    <row r="41" spans="2:9">
      <c r="B41" s="768"/>
      <c r="C41" s="264"/>
      <c r="I41" s="775"/>
    </row>
    <row r="42" spans="2:9">
      <c r="B42" s="768"/>
      <c r="C42" s="264"/>
      <c r="I42" s="775"/>
    </row>
    <row r="43" spans="2:9">
      <c r="B43" s="768"/>
      <c r="C43" s="264"/>
      <c r="I43" s="775"/>
    </row>
    <row r="44" spans="2:9">
      <c r="B44" s="768"/>
      <c r="C44" s="767"/>
      <c r="I44" s="775"/>
    </row>
    <row r="45" spans="2:9">
      <c r="B45" s="768"/>
      <c r="C45" s="776"/>
      <c r="I45" s="775"/>
    </row>
    <row r="46" spans="2:9">
      <c r="B46" s="768"/>
      <c r="C46" s="767"/>
      <c r="I46" s="775"/>
    </row>
    <row r="47" spans="2:9">
      <c r="B47" s="768"/>
      <c r="C47" s="776"/>
      <c r="I47" s="775"/>
    </row>
    <row r="48" spans="2:9">
      <c r="B48" s="768"/>
      <c r="C48" s="767"/>
      <c r="H48" s="597" t="s">
        <v>327</v>
      </c>
      <c r="I48" s="775">
        <f>6993545*1000</f>
        <v>6993545000</v>
      </c>
    </row>
    <row r="49" spans="2:9">
      <c r="B49" s="766"/>
      <c r="C49" s="767"/>
      <c r="I49" s="775"/>
    </row>
    <row r="50" spans="2:9">
      <c r="B50" s="768"/>
      <c r="C50" s="264"/>
      <c r="I50" s="775"/>
    </row>
    <row r="51" spans="2:9">
      <c r="B51" s="768"/>
      <c r="C51" s="264"/>
      <c r="I51" s="775"/>
    </row>
    <row r="52" spans="2:9">
      <c r="B52" s="768"/>
      <c r="C52" s="767"/>
      <c r="I52" s="775"/>
    </row>
    <row r="53" spans="2:9">
      <c r="B53" s="768"/>
      <c r="C53" s="776"/>
      <c r="I53" s="775"/>
    </row>
    <row r="54" spans="2:9">
      <c r="B54" s="768"/>
      <c r="C54" s="767"/>
      <c r="I54" s="775"/>
    </row>
    <row r="55" spans="2:9">
      <c r="B55" s="768"/>
      <c r="C55" s="776"/>
      <c r="I55" s="775"/>
    </row>
    <row r="56" spans="2:9">
      <c r="B56" s="768"/>
      <c r="C56" s="767"/>
      <c r="I56" s="775"/>
    </row>
    <row r="57" spans="2:9">
      <c r="B57" s="768"/>
      <c r="C57" s="264"/>
      <c r="I57" s="775"/>
    </row>
    <row r="58" spans="2:9">
      <c r="B58" s="768"/>
      <c r="C58" s="767"/>
      <c r="I58" s="775"/>
    </row>
    <row r="59" spans="2:9">
      <c r="B59" s="768"/>
      <c r="C59" s="776"/>
      <c r="I59" s="775"/>
    </row>
    <row r="60" spans="2:9">
      <c r="B60" s="768"/>
      <c r="C60" s="767"/>
      <c r="I60" s="775"/>
    </row>
    <row r="61" spans="2:9">
      <c r="B61" s="766"/>
      <c r="C61" s="767"/>
      <c r="I61" s="775"/>
    </row>
    <row r="62" spans="2:9">
      <c r="B62" s="768"/>
      <c r="C62" s="264"/>
      <c r="I62" s="775"/>
    </row>
    <row r="63" spans="2:9">
      <c r="B63" s="768"/>
      <c r="C63" s="264"/>
      <c r="I63" s="775"/>
    </row>
    <row r="64" spans="2:9">
      <c r="B64" s="768"/>
      <c r="C64" s="264"/>
      <c r="I64" s="775"/>
    </row>
    <row r="65" spans="2:9">
      <c r="B65" s="768"/>
      <c r="C65" s="767"/>
      <c r="I65" s="775"/>
    </row>
    <row r="66" spans="2:9">
      <c r="B66" s="768"/>
      <c r="C66" s="776"/>
      <c r="H66" s="597" t="s">
        <v>204</v>
      </c>
      <c r="I66" s="775">
        <f>(162796)*1000</f>
        <v>162796000</v>
      </c>
    </row>
    <row r="67" spans="2:9">
      <c r="B67" s="768"/>
      <c r="C67" s="767"/>
      <c r="I67" s="775"/>
    </row>
    <row r="68" spans="2:9">
      <c r="B68" s="768"/>
      <c r="C68" s="776"/>
      <c r="I68" s="775"/>
    </row>
    <row r="69" spans="2:9">
      <c r="B69" s="768"/>
      <c r="C69" s="767"/>
      <c r="I69" s="775"/>
    </row>
    <row r="70" spans="2:9">
      <c r="B70" s="766"/>
      <c r="C70" s="767"/>
      <c r="I70" s="775"/>
    </row>
    <row r="71" spans="2:9">
      <c r="B71" s="768"/>
      <c r="C71" s="264"/>
      <c r="I71" s="775"/>
    </row>
    <row r="72" spans="2:9">
      <c r="B72" s="768"/>
      <c r="C72" s="264"/>
      <c r="I72" s="775"/>
    </row>
    <row r="73" spans="2:9">
      <c r="B73" s="768"/>
      <c r="C73" s="264"/>
      <c r="I73" s="775"/>
    </row>
    <row r="74" spans="2:9">
      <c r="B74" s="768"/>
      <c r="C74" s="264"/>
      <c r="I74" s="775"/>
    </row>
    <row r="75" spans="2:9">
      <c r="B75" s="768"/>
      <c r="C75" s="767"/>
      <c r="I75" s="775"/>
    </row>
    <row r="76" spans="2:9">
      <c r="B76" s="768"/>
      <c r="C76" s="776"/>
      <c r="I76" s="775"/>
    </row>
    <row r="77" spans="2:9">
      <c r="B77" s="768"/>
      <c r="C77" s="767"/>
      <c r="I77" s="775"/>
    </row>
    <row r="78" spans="2:9">
      <c r="B78" s="768"/>
      <c r="C78" s="776"/>
      <c r="I78" s="775"/>
    </row>
    <row r="79" spans="2:9">
      <c r="B79" s="768"/>
      <c r="C79" s="767"/>
      <c r="I79" s="775"/>
    </row>
    <row r="80" spans="2:9">
      <c r="B80" s="768"/>
      <c r="C80" s="264"/>
      <c r="I80" s="775"/>
    </row>
    <row r="81" spans="1:9">
      <c r="B81" s="768"/>
      <c r="C81" s="767"/>
      <c r="I81" s="775"/>
    </row>
    <row r="82" spans="1:9">
      <c r="B82" s="768"/>
      <c r="C82" s="776"/>
      <c r="I82" s="775"/>
    </row>
    <row r="83" spans="1:9">
      <c r="B83" s="768"/>
      <c r="C83" s="767"/>
    </row>
    <row r="84" spans="1:9">
      <c r="B84" s="768"/>
      <c r="C84" s="264"/>
    </row>
    <row r="85" spans="1:9">
      <c r="B85" s="768"/>
      <c r="C85" s="767"/>
    </row>
    <row r="86" spans="1:9">
      <c r="B86" s="768"/>
      <c r="C86" s="776"/>
    </row>
    <row r="87" spans="1:9">
      <c r="A87" s="291"/>
      <c r="B87" s="291"/>
    </row>
    <row r="88" spans="1:9">
      <c r="B88" s="291"/>
      <c r="C88" s="264"/>
    </row>
    <row r="89" spans="1:9">
      <c r="A89" s="291"/>
      <c r="B89" s="291"/>
      <c r="C89" s="291"/>
    </row>
    <row r="90" spans="1:9">
      <c r="A90" s="291"/>
      <c r="B90" s="291"/>
      <c r="C90" s="781"/>
    </row>
    <row r="91" spans="1:9">
      <c r="A91" s="291"/>
      <c r="B91" s="291"/>
      <c r="C91" s="291"/>
    </row>
  </sheetData>
  <dataValidations count="1">
    <dataValidation type="list" allowBlank="1" showInputMessage="1" showErrorMessage="1" sqref="C5" xr:uid="{00000000-0002-0000-1E00-000000000000}">
      <formula1>"USD,CAD"</formula1>
    </dataValidation>
  </dataValidations>
  <pageMargins left="0.25" right="0.25" top="0.27" bottom="0.4" header="0.18" footer="0.25"/>
  <pageSetup scale="65" pageOrder="overThenDown" orientation="landscape" errors="blank" r:id="rId1"/>
  <headerFooter alignWithMargins="0">
    <oddHeader>&amp;R&amp;F
&amp;A
&amp;P</oddHeader>
    <oddFooter>&amp;L&amp;F - &amp;A&amp;RPage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H118"/>
  <sheetViews>
    <sheetView showGridLines="0" view="pageBreakPreview" topLeftCell="A28" zoomScale="85" zoomScaleNormal="85" zoomScaleSheetLayoutView="85" workbookViewId="0">
      <selection activeCell="B50" activeCellId="1" sqref="A52:B56 A42:B50"/>
    </sheetView>
  </sheetViews>
  <sheetFormatPr defaultRowHeight="15"/>
  <cols>
    <col min="1" max="1" width="36.7109375" style="255" customWidth="1"/>
    <col min="2" max="3" width="21.28515625" style="255" bestFit="1" customWidth="1"/>
    <col min="4" max="4" width="5.42578125" style="256" customWidth="1"/>
    <col min="5" max="6" width="16.5703125" style="255" bestFit="1" customWidth="1"/>
    <col min="7" max="7" width="13.7109375" style="255" customWidth="1"/>
    <col min="8" max="8" width="11.7109375" style="255" bestFit="1" customWidth="1"/>
    <col min="9" max="9" width="10.85546875" style="255" customWidth="1"/>
    <col min="10" max="10" width="10.42578125" style="255" bestFit="1" customWidth="1"/>
    <col min="11" max="11" width="10.5703125" style="255" bestFit="1" customWidth="1"/>
    <col min="12" max="237" width="8.85546875" style="255"/>
    <col min="238" max="238" width="24.140625" style="255" customWidth="1"/>
    <col min="239" max="239" width="12.42578125" style="255" customWidth="1"/>
    <col min="240" max="240" width="13.140625" style="255" customWidth="1"/>
    <col min="241" max="241" width="12" style="255" customWidth="1"/>
    <col min="242" max="242" width="10.7109375" style="255" customWidth="1"/>
    <col min="243" max="243" width="1.42578125" style="255" customWidth="1"/>
    <col min="244" max="244" width="11.140625" style="255" customWidth="1"/>
    <col min="245" max="245" width="10.28515625" style="255" customWidth="1"/>
    <col min="246" max="246" width="10" style="255" customWidth="1"/>
    <col min="247" max="247" width="11" style="255" customWidth="1"/>
    <col min="248" max="493" width="8.85546875" style="255"/>
    <col min="494" max="494" width="24.140625" style="255" customWidth="1"/>
    <col min="495" max="495" width="12.42578125" style="255" customWidth="1"/>
    <col min="496" max="496" width="13.140625" style="255" customWidth="1"/>
    <col min="497" max="497" width="12" style="255" customWidth="1"/>
    <col min="498" max="498" width="10.7109375" style="255" customWidth="1"/>
    <col min="499" max="499" width="1.42578125" style="255" customWidth="1"/>
    <col min="500" max="500" width="11.140625" style="255" customWidth="1"/>
    <col min="501" max="501" width="10.28515625" style="255" customWidth="1"/>
    <col min="502" max="502" width="10" style="255" customWidth="1"/>
    <col min="503" max="503" width="11" style="255" customWidth="1"/>
    <col min="504" max="749" width="8.85546875" style="255"/>
    <col min="750" max="750" width="24.140625" style="255" customWidth="1"/>
    <col min="751" max="751" width="12.42578125" style="255" customWidth="1"/>
    <col min="752" max="752" width="13.140625" style="255" customWidth="1"/>
    <col min="753" max="753" width="12" style="255" customWidth="1"/>
    <col min="754" max="754" width="10.7109375" style="255" customWidth="1"/>
    <col min="755" max="755" width="1.42578125" style="255" customWidth="1"/>
    <col min="756" max="756" width="11.140625" style="255" customWidth="1"/>
    <col min="757" max="757" width="10.28515625" style="255" customWidth="1"/>
    <col min="758" max="758" width="10" style="255" customWidth="1"/>
    <col min="759" max="759" width="11" style="255" customWidth="1"/>
    <col min="760" max="1005" width="8.85546875" style="255"/>
    <col min="1006" max="1006" width="24.140625" style="255" customWidth="1"/>
    <col min="1007" max="1007" width="12.42578125" style="255" customWidth="1"/>
    <col min="1008" max="1008" width="13.140625" style="255" customWidth="1"/>
    <col min="1009" max="1009" width="12" style="255" customWidth="1"/>
    <col min="1010" max="1010" width="10.7109375" style="255" customWidth="1"/>
    <col min="1011" max="1011" width="1.42578125" style="255" customWidth="1"/>
    <col min="1012" max="1012" width="11.140625" style="255" customWidth="1"/>
    <col min="1013" max="1013" width="10.28515625" style="255" customWidth="1"/>
    <col min="1014" max="1014" width="10" style="255" customWidth="1"/>
    <col min="1015" max="1015" width="11" style="255" customWidth="1"/>
    <col min="1016" max="1261" width="8.85546875" style="255"/>
    <col min="1262" max="1262" width="24.140625" style="255" customWidth="1"/>
    <col min="1263" max="1263" width="12.42578125" style="255" customWidth="1"/>
    <col min="1264" max="1264" width="13.140625" style="255" customWidth="1"/>
    <col min="1265" max="1265" width="12" style="255" customWidth="1"/>
    <col min="1266" max="1266" width="10.7109375" style="255" customWidth="1"/>
    <col min="1267" max="1267" width="1.42578125" style="255" customWidth="1"/>
    <col min="1268" max="1268" width="11.140625" style="255" customWidth="1"/>
    <col min="1269" max="1269" width="10.28515625" style="255" customWidth="1"/>
    <col min="1270" max="1270" width="10" style="255" customWidth="1"/>
    <col min="1271" max="1271" width="11" style="255" customWidth="1"/>
    <col min="1272" max="1517" width="8.85546875" style="255"/>
    <col min="1518" max="1518" width="24.140625" style="255" customWidth="1"/>
    <col min="1519" max="1519" width="12.42578125" style="255" customWidth="1"/>
    <col min="1520" max="1520" width="13.140625" style="255" customWidth="1"/>
    <col min="1521" max="1521" width="12" style="255" customWidth="1"/>
    <col min="1522" max="1522" width="10.7109375" style="255" customWidth="1"/>
    <col min="1523" max="1523" width="1.42578125" style="255" customWidth="1"/>
    <col min="1524" max="1524" width="11.140625" style="255" customWidth="1"/>
    <col min="1525" max="1525" width="10.28515625" style="255" customWidth="1"/>
    <col min="1526" max="1526" width="10" style="255" customWidth="1"/>
    <col min="1527" max="1527" width="11" style="255" customWidth="1"/>
    <col min="1528" max="1773" width="8.85546875" style="255"/>
    <col min="1774" max="1774" width="24.140625" style="255" customWidth="1"/>
    <col min="1775" max="1775" width="12.42578125" style="255" customWidth="1"/>
    <col min="1776" max="1776" width="13.140625" style="255" customWidth="1"/>
    <col min="1777" max="1777" width="12" style="255" customWidth="1"/>
    <col min="1778" max="1778" width="10.7109375" style="255" customWidth="1"/>
    <col min="1779" max="1779" width="1.42578125" style="255" customWidth="1"/>
    <col min="1780" max="1780" width="11.140625" style="255" customWidth="1"/>
    <col min="1781" max="1781" width="10.28515625" style="255" customWidth="1"/>
    <col min="1782" max="1782" width="10" style="255" customWidth="1"/>
    <col min="1783" max="1783" width="11" style="255" customWidth="1"/>
    <col min="1784" max="2029" width="8.85546875" style="255"/>
    <col min="2030" max="2030" width="24.140625" style="255" customWidth="1"/>
    <col min="2031" max="2031" width="12.42578125" style="255" customWidth="1"/>
    <col min="2032" max="2032" width="13.140625" style="255" customWidth="1"/>
    <col min="2033" max="2033" width="12" style="255" customWidth="1"/>
    <col min="2034" max="2034" width="10.7109375" style="255" customWidth="1"/>
    <col min="2035" max="2035" width="1.42578125" style="255" customWidth="1"/>
    <col min="2036" max="2036" width="11.140625" style="255" customWidth="1"/>
    <col min="2037" max="2037" width="10.28515625" style="255" customWidth="1"/>
    <col min="2038" max="2038" width="10" style="255" customWidth="1"/>
    <col min="2039" max="2039" width="11" style="255" customWidth="1"/>
    <col min="2040" max="2285" width="8.85546875" style="255"/>
    <col min="2286" max="2286" width="24.140625" style="255" customWidth="1"/>
    <col min="2287" max="2287" width="12.42578125" style="255" customWidth="1"/>
    <col min="2288" max="2288" width="13.140625" style="255" customWidth="1"/>
    <col min="2289" max="2289" width="12" style="255" customWidth="1"/>
    <col min="2290" max="2290" width="10.7109375" style="255" customWidth="1"/>
    <col min="2291" max="2291" width="1.42578125" style="255" customWidth="1"/>
    <col min="2292" max="2292" width="11.140625" style="255" customWidth="1"/>
    <col min="2293" max="2293" width="10.28515625" style="255" customWidth="1"/>
    <col min="2294" max="2294" width="10" style="255" customWidth="1"/>
    <col min="2295" max="2295" width="11" style="255" customWidth="1"/>
    <col min="2296" max="2541" width="8.85546875" style="255"/>
    <col min="2542" max="2542" width="24.140625" style="255" customWidth="1"/>
    <col min="2543" max="2543" width="12.42578125" style="255" customWidth="1"/>
    <col min="2544" max="2544" width="13.140625" style="255" customWidth="1"/>
    <col min="2545" max="2545" width="12" style="255" customWidth="1"/>
    <col min="2546" max="2546" width="10.7109375" style="255" customWidth="1"/>
    <col min="2547" max="2547" width="1.42578125" style="255" customWidth="1"/>
    <col min="2548" max="2548" width="11.140625" style="255" customWidth="1"/>
    <col min="2549" max="2549" width="10.28515625" style="255" customWidth="1"/>
    <col min="2550" max="2550" width="10" style="255" customWidth="1"/>
    <col min="2551" max="2551" width="11" style="255" customWidth="1"/>
    <col min="2552" max="2797" width="8.85546875" style="255"/>
    <col min="2798" max="2798" width="24.140625" style="255" customWidth="1"/>
    <col min="2799" max="2799" width="12.42578125" style="255" customWidth="1"/>
    <col min="2800" max="2800" width="13.140625" style="255" customWidth="1"/>
    <col min="2801" max="2801" width="12" style="255" customWidth="1"/>
    <col min="2802" max="2802" width="10.7109375" style="255" customWidth="1"/>
    <col min="2803" max="2803" width="1.42578125" style="255" customWidth="1"/>
    <col min="2804" max="2804" width="11.140625" style="255" customWidth="1"/>
    <col min="2805" max="2805" width="10.28515625" style="255" customWidth="1"/>
    <col min="2806" max="2806" width="10" style="255" customWidth="1"/>
    <col min="2807" max="2807" width="11" style="255" customWidth="1"/>
    <col min="2808" max="3053" width="8.85546875" style="255"/>
    <col min="3054" max="3054" width="24.140625" style="255" customWidth="1"/>
    <col min="3055" max="3055" width="12.42578125" style="255" customWidth="1"/>
    <col min="3056" max="3056" width="13.140625" style="255" customWidth="1"/>
    <col min="3057" max="3057" width="12" style="255" customWidth="1"/>
    <col min="3058" max="3058" width="10.7109375" style="255" customWidth="1"/>
    <col min="3059" max="3059" width="1.42578125" style="255" customWidth="1"/>
    <col min="3060" max="3060" width="11.140625" style="255" customWidth="1"/>
    <col min="3061" max="3061" width="10.28515625" style="255" customWidth="1"/>
    <col min="3062" max="3062" width="10" style="255" customWidth="1"/>
    <col min="3063" max="3063" width="11" style="255" customWidth="1"/>
    <col min="3064" max="3309" width="8.85546875" style="255"/>
    <col min="3310" max="3310" width="24.140625" style="255" customWidth="1"/>
    <col min="3311" max="3311" width="12.42578125" style="255" customWidth="1"/>
    <col min="3312" max="3312" width="13.140625" style="255" customWidth="1"/>
    <col min="3313" max="3313" width="12" style="255" customWidth="1"/>
    <col min="3314" max="3314" width="10.7109375" style="255" customWidth="1"/>
    <col min="3315" max="3315" width="1.42578125" style="255" customWidth="1"/>
    <col min="3316" max="3316" width="11.140625" style="255" customWidth="1"/>
    <col min="3317" max="3317" width="10.28515625" style="255" customWidth="1"/>
    <col min="3318" max="3318" width="10" style="255" customWidth="1"/>
    <col min="3319" max="3319" width="11" style="255" customWidth="1"/>
    <col min="3320" max="3565" width="8.85546875" style="255"/>
    <col min="3566" max="3566" width="24.140625" style="255" customWidth="1"/>
    <col min="3567" max="3567" width="12.42578125" style="255" customWidth="1"/>
    <col min="3568" max="3568" width="13.140625" style="255" customWidth="1"/>
    <col min="3569" max="3569" width="12" style="255" customWidth="1"/>
    <col min="3570" max="3570" width="10.7109375" style="255" customWidth="1"/>
    <col min="3571" max="3571" width="1.42578125" style="255" customWidth="1"/>
    <col min="3572" max="3572" width="11.140625" style="255" customWidth="1"/>
    <col min="3573" max="3573" width="10.28515625" style="255" customWidth="1"/>
    <col min="3574" max="3574" width="10" style="255" customWidth="1"/>
    <col min="3575" max="3575" width="11" style="255" customWidth="1"/>
    <col min="3576" max="3821" width="8.85546875" style="255"/>
    <col min="3822" max="3822" width="24.140625" style="255" customWidth="1"/>
    <col min="3823" max="3823" width="12.42578125" style="255" customWidth="1"/>
    <col min="3824" max="3824" width="13.140625" style="255" customWidth="1"/>
    <col min="3825" max="3825" width="12" style="255" customWidth="1"/>
    <col min="3826" max="3826" width="10.7109375" style="255" customWidth="1"/>
    <col min="3827" max="3827" width="1.42578125" style="255" customWidth="1"/>
    <col min="3828" max="3828" width="11.140625" style="255" customWidth="1"/>
    <col min="3829" max="3829" width="10.28515625" style="255" customWidth="1"/>
    <col min="3830" max="3830" width="10" style="255" customWidth="1"/>
    <col min="3831" max="3831" width="11" style="255" customWidth="1"/>
    <col min="3832" max="4077" width="8.85546875" style="255"/>
    <col min="4078" max="4078" width="24.140625" style="255" customWidth="1"/>
    <col min="4079" max="4079" width="12.42578125" style="255" customWidth="1"/>
    <col min="4080" max="4080" width="13.140625" style="255" customWidth="1"/>
    <col min="4081" max="4081" width="12" style="255" customWidth="1"/>
    <col min="4082" max="4082" width="10.7109375" style="255" customWidth="1"/>
    <col min="4083" max="4083" width="1.42578125" style="255" customWidth="1"/>
    <col min="4084" max="4084" width="11.140625" style="255" customWidth="1"/>
    <col min="4085" max="4085" width="10.28515625" style="255" customWidth="1"/>
    <col min="4086" max="4086" width="10" style="255" customWidth="1"/>
    <col min="4087" max="4087" width="11" style="255" customWidth="1"/>
    <col min="4088" max="4333" width="8.85546875" style="255"/>
    <col min="4334" max="4334" width="24.140625" style="255" customWidth="1"/>
    <col min="4335" max="4335" width="12.42578125" style="255" customWidth="1"/>
    <col min="4336" max="4336" width="13.140625" style="255" customWidth="1"/>
    <col min="4337" max="4337" width="12" style="255" customWidth="1"/>
    <col min="4338" max="4338" width="10.7109375" style="255" customWidth="1"/>
    <col min="4339" max="4339" width="1.42578125" style="255" customWidth="1"/>
    <col min="4340" max="4340" width="11.140625" style="255" customWidth="1"/>
    <col min="4341" max="4341" width="10.28515625" style="255" customWidth="1"/>
    <col min="4342" max="4342" width="10" style="255" customWidth="1"/>
    <col min="4343" max="4343" width="11" style="255" customWidth="1"/>
    <col min="4344" max="4589" width="8.85546875" style="255"/>
    <col min="4590" max="4590" width="24.140625" style="255" customWidth="1"/>
    <col min="4591" max="4591" width="12.42578125" style="255" customWidth="1"/>
    <col min="4592" max="4592" width="13.140625" style="255" customWidth="1"/>
    <col min="4593" max="4593" width="12" style="255" customWidth="1"/>
    <col min="4594" max="4594" width="10.7109375" style="255" customWidth="1"/>
    <col min="4595" max="4595" width="1.42578125" style="255" customWidth="1"/>
    <col min="4596" max="4596" width="11.140625" style="255" customWidth="1"/>
    <col min="4597" max="4597" width="10.28515625" style="255" customWidth="1"/>
    <col min="4598" max="4598" width="10" style="255" customWidth="1"/>
    <col min="4599" max="4599" width="11" style="255" customWidth="1"/>
    <col min="4600" max="4845" width="8.85546875" style="255"/>
    <col min="4846" max="4846" width="24.140625" style="255" customWidth="1"/>
    <col min="4847" max="4847" width="12.42578125" style="255" customWidth="1"/>
    <col min="4848" max="4848" width="13.140625" style="255" customWidth="1"/>
    <col min="4849" max="4849" width="12" style="255" customWidth="1"/>
    <col min="4850" max="4850" width="10.7109375" style="255" customWidth="1"/>
    <col min="4851" max="4851" width="1.42578125" style="255" customWidth="1"/>
    <col min="4852" max="4852" width="11.140625" style="255" customWidth="1"/>
    <col min="4853" max="4853" width="10.28515625" style="255" customWidth="1"/>
    <col min="4854" max="4854" width="10" style="255" customWidth="1"/>
    <col min="4855" max="4855" width="11" style="255" customWidth="1"/>
    <col min="4856" max="5101" width="8.85546875" style="255"/>
    <col min="5102" max="5102" width="24.140625" style="255" customWidth="1"/>
    <col min="5103" max="5103" width="12.42578125" style="255" customWidth="1"/>
    <col min="5104" max="5104" width="13.140625" style="255" customWidth="1"/>
    <col min="5105" max="5105" width="12" style="255" customWidth="1"/>
    <col min="5106" max="5106" width="10.7109375" style="255" customWidth="1"/>
    <col min="5107" max="5107" width="1.42578125" style="255" customWidth="1"/>
    <col min="5108" max="5108" width="11.140625" style="255" customWidth="1"/>
    <col min="5109" max="5109" width="10.28515625" style="255" customWidth="1"/>
    <col min="5110" max="5110" width="10" style="255" customWidth="1"/>
    <col min="5111" max="5111" width="11" style="255" customWidth="1"/>
    <col min="5112" max="5357" width="8.85546875" style="255"/>
    <col min="5358" max="5358" width="24.140625" style="255" customWidth="1"/>
    <col min="5359" max="5359" width="12.42578125" style="255" customWidth="1"/>
    <col min="5360" max="5360" width="13.140625" style="255" customWidth="1"/>
    <col min="5361" max="5361" width="12" style="255" customWidth="1"/>
    <col min="5362" max="5362" width="10.7109375" style="255" customWidth="1"/>
    <col min="5363" max="5363" width="1.42578125" style="255" customWidth="1"/>
    <col min="5364" max="5364" width="11.140625" style="255" customWidth="1"/>
    <col min="5365" max="5365" width="10.28515625" style="255" customWidth="1"/>
    <col min="5366" max="5366" width="10" style="255" customWidth="1"/>
    <col min="5367" max="5367" width="11" style="255" customWidth="1"/>
    <col min="5368" max="5613" width="8.85546875" style="255"/>
    <col min="5614" max="5614" width="24.140625" style="255" customWidth="1"/>
    <col min="5615" max="5615" width="12.42578125" style="255" customWidth="1"/>
    <col min="5616" max="5616" width="13.140625" style="255" customWidth="1"/>
    <col min="5617" max="5617" width="12" style="255" customWidth="1"/>
    <col min="5618" max="5618" width="10.7109375" style="255" customWidth="1"/>
    <col min="5619" max="5619" width="1.42578125" style="255" customWidth="1"/>
    <col min="5620" max="5620" width="11.140625" style="255" customWidth="1"/>
    <col min="5621" max="5621" width="10.28515625" style="255" customWidth="1"/>
    <col min="5622" max="5622" width="10" style="255" customWidth="1"/>
    <col min="5623" max="5623" width="11" style="255" customWidth="1"/>
    <col min="5624" max="5869" width="8.85546875" style="255"/>
    <col min="5870" max="5870" width="24.140625" style="255" customWidth="1"/>
    <col min="5871" max="5871" width="12.42578125" style="255" customWidth="1"/>
    <col min="5872" max="5872" width="13.140625" style="255" customWidth="1"/>
    <col min="5873" max="5873" width="12" style="255" customWidth="1"/>
    <col min="5874" max="5874" width="10.7109375" style="255" customWidth="1"/>
    <col min="5875" max="5875" width="1.42578125" style="255" customWidth="1"/>
    <col min="5876" max="5876" width="11.140625" style="255" customWidth="1"/>
    <col min="5877" max="5877" width="10.28515625" style="255" customWidth="1"/>
    <col min="5878" max="5878" width="10" style="255" customWidth="1"/>
    <col min="5879" max="5879" width="11" style="255" customWidth="1"/>
    <col min="5880" max="6125" width="8.85546875" style="255"/>
    <col min="6126" max="6126" width="24.140625" style="255" customWidth="1"/>
    <col min="6127" max="6127" width="12.42578125" style="255" customWidth="1"/>
    <col min="6128" max="6128" width="13.140625" style="255" customWidth="1"/>
    <col min="6129" max="6129" width="12" style="255" customWidth="1"/>
    <col min="6130" max="6130" width="10.7109375" style="255" customWidth="1"/>
    <col min="6131" max="6131" width="1.42578125" style="255" customWidth="1"/>
    <col min="6132" max="6132" width="11.140625" style="255" customWidth="1"/>
    <col min="6133" max="6133" width="10.28515625" style="255" customWidth="1"/>
    <col min="6134" max="6134" width="10" style="255" customWidth="1"/>
    <col min="6135" max="6135" width="11" style="255" customWidth="1"/>
    <col min="6136" max="6381" width="8.85546875" style="255"/>
    <col min="6382" max="6382" width="24.140625" style="255" customWidth="1"/>
    <col min="6383" max="6383" width="12.42578125" style="255" customWidth="1"/>
    <col min="6384" max="6384" width="13.140625" style="255" customWidth="1"/>
    <col min="6385" max="6385" width="12" style="255" customWidth="1"/>
    <col min="6386" max="6386" width="10.7109375" style="255" customWidth="1"/>
    <col min="6387" max="6387" width="1.42578125" style="255" customWidth="1"/>
    <col min="6388" max="6388" width="11.140625" style="255" customWidth="1"/>
    <col min="6389" max="6389" width="10.28515625" style="255" customWidth="1"/>
    <col min="6390" max="6390" width="10" style="255" customWidth="1"/>
    <col min="6391" max="6391" width="11" style="255" customWidth="1"/>
    <col min="6392" max="6637" width="8.85546875" style="255"/>
    <col min="6638" max="6638" width="24.140625" style="255" customWidth="1"/>
    <col min="6639" max="6639" width="12.42578125" style="255" customWidth="1"/>
    <col min="6640" max="6640" width="13.140625" style="255" customWidth="1"/>
    <col min="6641" max="6641" width="12" style="255" customWidth="1"/>
    <col min="6642" max="6642" width="10.7109375" style="255" customWidth="1"/>
    <col min="6643" max="6643" width="1.42578125" style="255" customWidth="1"/>
    <col min="6644" max="6644" width="11.140625" style="255" customWidth="1"/>
    <col min="6645" max="6645" width="10.28515625" style="255" customWidth="1"/>
    <col min="6646" max="6646" width="10" style="255" customWidth="1"/>
    <col min="6647" max="6647" width="11" style="255" customWidth="1"/>
    <col min="6648" max="6893" width="8.85546875" style="255"/>
    <col min="6894" max="6894" width="24.140625" style="255" customWidth="1"/>
    <col min="6895" max="6895" width="12.42578125" style="255" customWidth="1"/>
    <col min="6896" max="6896" width="13.140625" style="255" customWidth="1"/>
    <col min="6897" max="6897" width="12" style="255" customWidth="1"/>
    <col min="6898" max="6898" width="10.7109375" style="255" customWidth="1"/>
    <col min="6899" max="6899" width="1.42578125" style="255" customWidth="1"/>
    <col min="6900" max="6900" width="11.140625" style="255" customWidth="1"/>
    <col min="6901" max="6901" width="10.28515625" style="255" customWidth="1"/>
    <col min="6902" max="6902" width="10" style="255" customWidth="1"/>
    <col min="6903" max="6903" width="11" style="255" customWidth="1"/>
    <col min="6904" max="7149" width="8.85546875" style="255"/>
    <col min="7150" max="7150" width="24.140625" style="255" customWidth="1"/>
    <col min="7151" max="7151" width="12.42578125" style="255" customWidth="1"/>
    <col min="7152" max="7152" width="13.140625" style="255" customWidth="1"/>
    <col min="7153" max="7153" width="12" style="255" customWidth="1"/>
    <col min="7154" max="7154" width="10.7109375" style="255" customWidth="1"/>
    <col min="7155" max="7155" width="1.42578125" style="255" customWidth="1"/>
    <col min="7156" max="7156" width="11.140625" style="255" customWidth="1"/>
    <col min="7157" max="7157" width="10.28515625" style="255" customWidth="1"/>
    <col min="7158" max="7158" width="10" style="255" customWidth="1"/>
    <col min="7159" max="7159" width="11" style="255" customWidth="1"/>
    <col min="7160" max="7405" width="8.85546875" style="255"/>
    <col min="7406" max="7406" width="24.140625" style="255" customWidth="1"/>
    <col min="7407" max="7407" width="12.42578125" style="255" customWidth="1"/>
    <col min="7408" max="7408" width="13.140625" style="255" customWidth="1"/>
    <col min="7409" max="7409" width="12" style="255" customWidth="1"/>
    <col min="7410" max="7410" width="10.7109375" style="255" customWidth="1"/>
    <col min="7411" max="7411" width="1.42578125" style="255" customWidth="1"/>
    <col min="7412" max="7412" width="11.140625" style="255" customWidth="1"/>
    <col min="7413" max="7413" width="10.28515625" style="255" customWidth="1"/>
    <col min="7414" max="7414" width="10" style="255" customWidth="1"/>
    <col min="7415" max="7415" width="11" style="255" customWidth="1"/>
    <col min="7416" max="7661" width="8.85546875" style="255"/>
    <col min="7662" max="7662" width="24.140625" style="255" customWidth="1"/>
    <col min="7663" max="7663" width="12.42578125" style="255" customWidth="1"/>
    <col min="7664" max="7664" width="13.140625" style="255" customWidth="1"/>
    <col min="7665" max="7665" width="12" style="255" customWidth="1"/>
    <col min="7666" max="7666" width="10.7109375" style="255" customWidth="1"/>
    <col min="7667" max="7667" width="1.42578125" style="255" customWidth="1"/>
    <col min="7668" max="7668" width="11.140625" style="255" customWidth="1"/>
    <col min="7669" max="7669" width="10.28515625" style="255" customWidth="1"/>
    <col min="7670" max="7670" width="10" style="255" customWidth="1"/>
    <col min="7671" max="7671" width="11" style="255" customWidth="1"/>
    <col min="7672" max="7917" width="8.85546875" style="255"/>
    <col min="7918" max="7918" width="24.140625" style="255" customWidth="1"/>
    <col min="7919" max="7919" width="12.42578125" style="255" customWidth="1"/>
    <col min="7920" max="7920" width="13.140625" style="255" customWidth="1"/>
    <col min="7921" max="7921" width="12" style="255" customWidth="1"/>
    <col min="7922" max="7922" width="10.7109375" style="255" customWidth="1"/>
    <col min="7923" max="7923" width="1.42578125" style="255" customWidth="1"/>
    <col min="7924" max="7924" width="11.140625" style="255" customWidth="1"/>
    <col min="7925" max="7925" width="10.28515625" style="255" customWidth="1"/>
    <col min="7926" max="7926" width="10" style="255" customWidth="1"/>
    <col min="7927" max="7927" width="11" style="255" customWidth="1"/>
    <col min="7928" max="8173" width="8.85546875" style="255"/>
    <col min="8174" max="8174" width="24.140625" style="255" customWidth="1"/>
    <col min="8175" max="8175" width="12.42578125" style="255" customWidth="1"/>
    <col min="8176" max="8176" width="13.140625" style="255" customWidth="1"/>
    <col min="8177" max="8177" width="12" style="255" customWidth="1"/>
    <col min="8178" max="8178" width="10.7109375" style="255" customWidth="1"/>
    <col min="8179" max="8179" width="1.42578125" style="255" customWidth="1"/>
    <col min="8180" max="8180" width="11.140625" style="255" customWidth="1"/>
    <col min="8181" max="8181" width="10.28515625" style="255" customWidth="1"/>
    <col min="8182" max="8182" width="10" style="255" customWidth="1"/>
    <col min="8183" max="8183" width="11" style="255" customWidth="1"/>
    <col min="8184" max="8429" width="8.85546875" style="255"/>
    <col min="8430" max="8430" width="24.140625" style="255" customWidth="1"/>
    <col min="8431" max="8431" width="12.42578125" style="255" customWidth="1"/>
    <col min="8432" max="8432" width="13.140625" style="255" customWidth="1"/>
    <col min="8433" max="8433" width="12" style="255" customWidth="1"/>
    <col min="8434" max="8434" width="10.7109375" style="255" customWidth="1"/>
    <col min="8435" max="8435" width="1.42578125" style="255" customWidth="1"/>
    <col min="8436" max="8436" width="11.140625" style="255" customWidth="1"/>
    <col min="8437" max="8437" width="10.28515625" style="255" customWidth="1"/>
    <col min="8438" max="8438" width="10" style="255" customWidth="1"/>
    <col min="8439" max="8439" width="11" style="255" customWidth="1"/>
    <col min="8440" max="8685" width="8.85546875" style="255"/>
    <col min="8686" max="8686" width="24.140625" style="255" customWidth="1"/>
    <col min="8687" max="8687" width="12.42578125" style="255" customWidth="1"/>
    <col min="8688" max="8688" width="13.140625" style="255" customWidth="1"/>
    <col min="8689" max="8689" width="12" style="255" customWidth="1"/>
    <col min="8690" max="8690" width="10.7109375" style="255" customWidth="1"/>
    <col min="8691" max="8691" width="1.42578125" style="255" customWidth="1"/>
    <col min="8692" max="8692" width="11.140625" style="255" customWidth="1"/>
    <col min="8693" max="8693" width="10.28515625" style="255" customWidth="1"/>
    <col min="8694" max="8694" width="10" style="255" customWidth="1"/>
    <col min="8695" max="8695" width="11" style="255" customWidth="1"/>
    <col min="8696" max="8941" width="8.85546875" style="255"/>
    <col min="8942" max="8942" width="24.140625" style="255" customWidth="1"/>
    <col min="8943" max="8943" width="12.42578125" style="255" customWidth="1"/>
    <col min="8944" max="8944" width="13.140625" style="255" customWidth="1"/>
    <col min="8945" max="8945" width="12" style="255" customWidth="1"/>
    <col min="8946" max="8946" width="10.7109375" style="255" customWidth="1"/>
    <col min="8947" max="8947" width="1.42578125" style="255" customWidth="1"/>
    <col min="8948" max="8948" width="11.140625" style="255" customWidth="1"/>
    <col min="8949" max="8949" width="10.28515625" style="255" customWidth="1"/>
    <col min="8950" max="8950" width="10" style="255" customWidth="1"/>
    <col min="8951" max="8951" width="11" style="255" customWidth="1"/>
    <col min="8952" max="9197" width="8.85546875" style="255"/>
    <col min="9198" max="9198" width="24.140625" style="255" customWidth="1"/>
    <col min="9199" max="9199" width="12.42578125" style="255" customWidth="1"/>
    <col min="9200" max="9200" width="13.140625" style="255" customWidth="1"/>
    <col min="9201" max="9201" width="12" style="255" customWidth="1"/>
    <col min="9202" max="9202" width="10.7109375" style="255" customWidth="1"/>
    <col min="9203" max="9203" width="1.42578125" style="255" customWidth="1"/>
    <col min="9204" max="9204" width="11.140625" style="255" customWidth="1"/>
    <col min="9205" max="9205" width="10.28515625" style="255" customWidth="1"/>
    <col min="9206" max="9206" width="10" style="255" customWidth="1"/>
    <col min="9207" max="9207" width="11" style="255" customWidth="1"/>
    <col min="9208" max="9453" width="8.85546875" style="255"/>
    <col min="9454" max="9454" width="24.140625" style="255" customWidth="1"/>
    <col min="9455" max="9455" width="12.42578125" style="255" customWidth="1"/>
    <col min="9456" max="9456" width="13.140625" style="255" customWidth="1"/>
    <col min="9457" max="9457" width="12" style="255" customWidth="1"/>
    <col min="9458" max="9458" width="10.7109375" style="255" customWidth="1"/>
    <col min="9459" max="9459" width="1.42578125" style="255" customWidth="1"/>
    <col min="9460" max="9460" width="11.140625" style="255" customWidth="1"/>
    <col min="9461" max="9461" width="10.28515625" style="255" customWidth="1"/>
    <col min="9462" max="9462" width="10" style="255" customWidth="1"/>
    <col min="9463" max="9463" width="11" style="255" customWidth="1"/>
    <col min="9464" max="9709" width="8.85546875" style="255"/>
    <col min="9710" max="9710" width="24.140625" style="255" customWidth="1"/>
    <col min="9711" max="9711" width="12.42578125" style="255" customWidth="1"/>
    <col min="9712" max="9712" width="13.140625" style="255" customWidth="1"/>
    <col min="9713" max="9713" width="12" style="255" customWidth="1"/>
    <col min="9714" max="9714" width="10.7109375" style="255" customWidth="1"/>
    <col min="9715" max="9715" width="1.42578125" style="255" customWidth="1"/>
    <col min="9716" max="9716" width="11.140625" style="255" customWidth="1"/>
    <col min="9717" max="9717" width="10.28515625" style="255" customWidth="1"/>
    <col min="9718" max="9718" width="10" style="255" customWidth="1"/>
    <col min="9719" max="9719" width="11" style="255" customWidth="1"/>
    <col min="9720" max="9965" width="8.85546875" style="255"/>
    <col min="9966" max="9966" width="24.140625" style="255" customWidth="1"/>
    <col min="9967" max="9967" width="12.42578125" style="255" customWidth="1"/>
    <col min="9968" max="9968" width="13.140625" style="255" customWidth="1"/>
    <col min="9969" max="9969" width="12" style="255" customWidth="1"/>
    <col min="9970" max="9970" width="10.7109375" style="255" customWidth="1"/>
    <col min="9971" max="9971" width="1.42578125" style="255" customWidth="1"/>
    <col min="9972" max="9972" width="11.140625" style="255" customWidth="1"/>
    <col min="9973" max="9973" width="10.28515625" style="255" customWidth="1"/>
    <col min="9974" max="9974" width="10" style="255" customWidth="1"/>
    <col min="9975" max="9975" width="11" style="255" customWidth="1"/>
    <col min="9976" max="10221" width="8.85546875" style="255"/>
    <col min="10222" max="10222" width="24.140625" style="255" customWidth="1"/>
    <col min="10223" max="10223" width="12.42578125" style="255" customWidth="1"/>
    <col min="10224" max="10224" width="13.140625" style="255" customWidth="1"/>
    <col min="10225" max="10225" width="12" style="255" customWidth="1"/>
    <col min="10226" max="10226" width="10.7109375" style="255" customWidth="1"/>
    <col min="10227" max="10227" width="1.42578125" style="255" customWidth="1"/>
    <col min="10228" max="10228" width="11.140625" style="255" customWidth="1"/>
    <col min="10229" max="10229" width="10.28515625" style="255" customWidth="1"/>
    <col min="10230" max="10230" width="10" style="255" customWidth="1"/>
    <col min="10231" max="10231" width="11" style="255" customWidth="1"/>
    <col min="10232" max="10477" width="8.85546875" style="255"/>
    <col min="10478" max="10478" width="24.140625" style="255" customWidth="1"/>
    <col min="10479" max="10479" width="12.42578125" style="255" customWidth="1"/>
    <col min="10480" max="10480" width="13.140625" style="255" customWidth="1"/>
    <col min="10481" max="10481" width="12" style="255" customWidth="1"/>
    <col min="10482" max="10482" width="10.7109375" style="255" customWidth="1"/>
    <col min="10483" max="10483" width="1.42578125" style="255" customWidth="1"/>
    <col min="10484" max="10484" width="11.140625" style="255" customWidth="1"/>
    <col min="10485" max="10485" width="10.28515625" style="255" customWidth="1"/>
    <col min="10486" max="10486" width="10" style="255" customWidth="1"/>
    <col min="10487" max="10487" width="11" style="255" customWidth="1"/>
    <col min="10488" max="10733" width="8.85546875" style="255"/>
    <col min="10734" max="10734" width="24.140625" style="255" customWidth="1"/>
    <col min="10735" max="10735" width="12.42578125" style="255" customWidth="1"/>
    <col min="10736" max="10736" width="13.140625" style="255" customWidth="1"/>
    <col min="10737" max="10737" width="12" style="255" customWidth="1"/>
    <col min="10738" max="10738" width="10.7109375" style="255" customWidth="1"/>
    <col min="10739" max="10739" width="1.42578125" style="255" customWidth="1"/>
    <col min="10740" max="10740" width="11.140625" style="255" customWidth="1"/>
    <col min="10741" max="10741" width="10.28515625" style="255" customWidth="1"/>
    <col min="10742" max="10742" width="10" style="255" customWidth="1"/>
    <col min="10743" max="10743" width="11" style="255" customWidth="1"/>
    <col min="10744" max="10989" width="8.85546875" style="255"/>
    <col min="10990" max="10990" width="24.140625" style="255" customWidth="1"/>
    <col min="10991" max="10991" width="12.42578125" style="255" customWidth="1"/>
    <col min="10992" max="10992" width="13.140625" style="255" customWidth="1"/>
    <col min="10993" max="10993" width="12" style="255" customWidth="1"/>
    <col min="10994" max="10994" width="10.7109375" style="255" customWidth="1"/>
    <col min="10995" max="10995" width="1.42578125" style="255" customWidth="1"/>
    <col min="10996" max="10996" width="11.140625" style="255" customWidth="1"/>
    <col min="10997" max="10997" width="10.28515625" style="255" customWidth="1"/>
    <col min="10998" max="10998" width="10" style="255" customWidth="1"/>
    <col min="10999" max="10999" width="11" style="255" customWidth="1"/>
    <col min="11000" max="11245" width="8.85546875" style="255"/>
    <col min="11246" max="11246" width="24.140625" style="255" customWidth="1"/>
    <col min="11247" max="11247" width="12.42578125" style="255" customWidth="1"/>
    <col min="11248" max="11248" width="13.140625" style="255" customWidth="1"/>
    <col min="11249" max="11249" width="12" style="255" customWidth="1"/>
    <col min="11250" max="11250" width="10.7109375" style="255" customWidth="1"/>
    <col min="11251" max="11251" width="1.42578125" style="255" customWidth="1"/>
    <col min="11252" max="11252" width="11.140625" style="255" customWidth="1"/>
    <col min="11253" max="11253" width="10.28515625" style="255" customWidth="1"/>
    <col min="11254" max="11254" width="10" style="255" customWidth="1"/>
    <col min="11255" max="11255" width="11" style="255" customWidth="1"/>
    <col min="11256" max="11501" width="8.85546875" style="255"/>
    <col min="11502" max="11502" width="24.140625" style="255" customWidth="1"/>
    <col min="11503" max="11503" width="12.42578125" style="255" customWidth="1"/>
    <col min="11504" max="11504" width="13.140625" style="255" customWidth="1"/>
    <col min="11505" max="11505" width="12" style="255" customWidth="1"/>
    <col min="11506" max="11506" width="10.7109375" style="255" customWidth="1"/>
    <col min="11507" max="11507" width="1.42578125" style="255" customWidth="1"/>
    <col min="11508" max="11508" width="11.140625" style="255" customWidth="1"/>
    <col min="11509" max="11509" width="10.28515625" style="255" customWidth="1"/>
    <col min="11510" max="11510" width="10" style="255" customWidth="1"/>
    <col min="11511" max="11511" width="11" style="255" customWidth="1"/>
    <col min="11512" max="11757" width="8.85546875" style="255"/>
    <col min="11758" max="11758" width="24.140625" style="255" customWidth="1"/>
    <col min="11759" max="11759" width="12.42578125" style="255" customWidth="1"/>
    <col min="11760" max="11760" width="13.140625" style="255" customWidth="1"/>
    <col min="11761" max="11761" width="12" style="255" customWidth="1"/>
    <col min="11762" max="11762" width="10.7109375" style="255" customWidth="1"/>
    <col min="11763" max="11763" width="1.42578125" style="255" customWidth="1"/>
    <col min="11764" max="11764" width="11.140625" style="255" customWidth="1"/>
    <col min="11765" max="11765" width="10.28515625" style="255" customWidth="1"/>
    <col min="11766" max="11766" width="10" style="255" customWidth="1"/>
    <col min="11767" max="11767" width="11" style="255" customWidth="1"/>
    <col min="11768" max="12013" width="8.85546875" style="255"/>
    <col min="12014" max="12014" width="24.140625" style="255" customWidth="1"/>
    <col min="12015" max="12015" width="12.42578125" style="255" customWidth="1"/>
    <col min="12016" max="12016" width="13.140625" style="255" customWidth="1"/>
    <col min="12017" max="12017" width="12" style="255" customWidth="1"/>
    <col min="12018" max="12018" width="10.7109375" style="255" customWidth="1"/>
    <col min="12019" max="12019" width="1.42578125" style="255" customWidth="1"/>
    <col min="12020" max="12020" width="11.140625" style="255" customWidth="1"/>
    <col min="12021" max="12021" width="10.28515625" style="255" customWidth="1"/>
    <col min="12022" max="12022" width="10" style="255" customWidth="1"/>
    <col min="12023" max="12023" width="11" style="255" customWidth="1"/>
    <col min="12024" max="12269" width="8.85546875" style="255"/>
    <col min="12270" max="12270" width="24.140625" style="255" customWidth="1"/>
    <col min="12271" max="12271" width="12.42578125" style="255" customWidth="1"/>
    <col min="12272" max="12272" width="13.140625" style="255" customWidth="1"/>
    <col min="12273" max="12273" width="12" style="255" customWidth="1"/>
    <col min="12274" max="12274" width="10.7109375" style="255" customWidth="1"/>
    <col min="12275" max="12275" width="1.42578125" style="255" customWidth="1"/>
    <col min="12276" max="12276" width="11.140625" style="255" customWidth="1"/>
    <col min="12277" max="12277" width="10.28515625" style="255" customWidth="1"/>
    <col min="12278" max="12278" width="10" style="255" customWidth="1"/>
    <col min="12279" max="12279" width="11" style="255" customWidth="1"/>
    <col min="12280" max="12525" width="8.85546875" style="255"/>
    <col min="12526" max="12526" width="24.140625" style="255" customWidth="1"/>
    <col min="12527" max="12527" width="12.42578125" style="255" customWidth="1"/>
    <col min="12528" max="12528" width="13.140625" style="255" customWidth="1"/>
    <col min="12529" max="12529" width="12" style="255" customWidth="1"/>
    <col min="12530" max="12530" width="10.7109375" style="255" customWidth="1"/>
    <col min="12531" max="12531" width="1.42578125" style="255" customWidth="1"/>
    <col min="12532" max="12532" width="11.140625" style="255" customWidth="1"/>
    <col min="12533" max="12533" width="10.28515625" style="255" customWidth="1"/>
    <col min="12534" max="12534" width="10" style="255" customWidth="1"/>
    <col min="12535" max="12535" width="11" style="255" customWidth="1"/>
    <col min="12536" max="12781" width="8.85546875" style="255"/>
    <col min="12782" max="12782" width="24.140625" style="255" customWidth="1"/>
    <col min="12783" max="12783" width="12.42578125" style="255" customWidth="1"/>
    <col min="12784" max="12784" width="13.140625" style="255" customWidth="1"/>
    <col min="12785" max="12785" width="12" style="255" customWidth="1"/>
    <col min="12786" max="12786" width="10.7109375" style="255" customWidth="1"/>
    <col min="12787" max="12787" width="1.42578125" style="255" customWidth="1"/>
    <col min="12788" max="12788" width="11.140625" style="255" customWidth="1"/>
    <col min="12789" max="12789" width="10.28515625" style="255" customWidth="1"/>
    <col min="12790" max="12790" width="10" style="255" customWidth="1"/>
    <col min="12791" max="12791" width="11" style="255" customWidth="1"/>
    <col min="12792" max="13037" width="8.85546875" style="255"/>
    <col min="13038" max="13038" width="24.140625" style="255" customWidth="1"/>
    <col min="13039" max="13039" width="12.42578125" style="255" customWidth="1"/>
    <col min="13040" max="13040" width="13.140625" style="255" customWidth="1"/>
    <col min="13041" max="13041" width="12" style="255" customWidth="1"/>
    <col min="13042" max="13042" width="10.7109375" style="255" customWidth="1"/>
    <col min="13043" max="13043" width="1.42578125" style="255" customWidth="1"/>
    <col min="13044" max="13044" width="11.140625" style="255" customWidth="1"/>
    <col min="13045" max="13045" width="10.28515625" style="255" customWidth="1"/>
    <col min="13046" max="13046" width="10" style="255" customWidth="1"/>
    <col min="13047" max="13047" width="11" style="255" customWidth="1"/>
    <col min="13048" max="13293" width="8.85546875" style="255"/>
    <col min="13294" max="13294" width="24.140625" style="255" customWidth="1"/>
    <col min="13295" max="13295" width="12.42578125" style="255" customWidth="1"/>
    <col min="13296" max="13296" width="13.140625" style="255" customWidth="1"/>
    <col min="13297" max="13297" width="12" style="255" customWidth="1"/>
    <col min="13298" max="13298" width="10.7109375" style="255" customWidth="1"/>
    <col min="13299" max="13299" width="1.42578125" style="255" customWidth="1"/>
    <col min="13300" max="13300" width="11.140625" style="255" customWidth="1"/>
    <col min="13301" max="13301" width="10.28515625" style="255" customWidth="1"/>
    <col min="13302" max="13302" width="10" style="255" customWidth="1"/>
    <col min="13303" max="13303" width="11" style="255" customWidth="1"/>
    <col min="13304" max="13549" width="8.85546875" style="255"/>
    <col min="13550" max="13550" width="24.140625" style="255" customWidth="1"/>
    <col min="13551" max="13551" width="12.42578125" style="255" customWidth="1"/>
    <col min="13552" max="13552" width="13.140625" style="255" customWidth="1"/>
    <col min="13553" max="13553" width="12" style="255" customWidth="1"/>
    <col min="13554" max="13554" width="10.7109375" style="255" customWidth="1"/>
    <col min="13555" max="13555" width="1.42578125" style="255" customWidth="1"/>
    <col min="13556" max="13556" width="11.140625" style="255" customWidth="1"/>
    <col min="13557" max="13557" width="10.28515625" style="255" customWidth="1"/>
    <col min="13558" max="13558" width="10" style="255" customWidth="1"/>
    <col min="13559" max="13559" width="11" style="255" customWidth="1"/>
    <col min="13560" max="13805" width="8.85546875" style="255"/>
    <col min="13806" max="13806" width="24.140625" style="255" customWidth="1"/>
    <col min="13807" max="13807" width="12.42578125" style="255" customWidth="1"/>
    <col min="13808" max="13808" width="13.140625" style="255" customWidth="1"/>
    <col min="13809" max="13809" width="12" style="255" customWidth="1"/>
    <col min="13810" max="13810" width="10.7109375" style="255" customWidth="1"/>
    <col min="13811" max="13811" width="1.42578125" style="255" customWidth="1"/>
    <col min="13812" max="13812" width="11.140625" style="255" customWidth="1"/>
    <col min="13813" max="13813" width="10.28515625" style="255" customWidth="1"/>
    <col min="13814" max="13814" width="10" style="255" customWidth="1"/>
    <col min="13815" max="13815" width="11" style="255" customWidth="1"/>
    <col min="13816" max="14061" width="8.85546875" style="255"/>
    <col min="14062" max="14062" width="24.140625" style="255" customWidth="1"/>
    <col min="14063" max="14063" width="12.42578125" style="255" customWidth="1"/>
    <col min="14064" max="14064" width="13.140625" style="255" customWidth="1"/>
    <col min="14065" max="14065" width="12" style="255" customWidth="1"/>
    <col min="14066" max="14066" width="10.7109375" style="255" customWidth="1"/>
    <col min="14067" max="14067" width="1.42578125" style="255" customWidth="1"/>
    <col min="14068" max="14068" width="11.140625" style="255" customWidth="1"/>
    <col min="14069" max="14069" width="10.28515625" style="255" customWidth="1"/>
    <col min="14070" max="14070" width="10" style="255" customWidth="1"/>
    <col min="14071" max="14071" width="11" style="255" customWidth="1"/>
    <col min="14072" max="14317" width="8.85546875" style="255"/>
    <col min="14318" max="14318" width="24.140625" style="255" customWidth="1"/>
    <col min="14319" max="14319" width="12.42578125" style="255" customWidth="1"/>
    <col min="14320" max="14320" width="13.140625" style="255" customWidth="1"/>
    <col min="14321" max="14321" width="12" style="255" customWidth="1"/>
    <col min="14322" max="14322" width="10.7109375" style="255" customWidth="1"/>
    <col min="14323" max="14323" width="1.42578125" style="255" customWidth="1"/>
    <col min="14324" max="14324" width="11.140625" style="255" customWidth="1"/>
    <col min="14325" max="14325" width="10.28515625" style="255" customWidth="1"/>
    <col min="14326" max="14326" width="10" style="255" customWidth="1"/>
    <col min="14327" max="14327" width="11" style="255" customWidth="1"/>
    <col min="14328" max="14573" width="8.85546875" style="255"/>
    <col min="14574" max="14574" width="24.140625" style="255" customWidth="1"/>
    <col min="14575" max="14575" width="12.42578125" style="255" customWidth="1"/>
    <col min="14576" max="14576" width="13.140625" style="255" customWidth="1"/>
    <col min="14577" max="14577" width="12" style="255" customWidth="1"/>
    <col min="14578" max="14578" width="10.7109375" style="255" customWidth="1"/>
    <col min="14579" max="14579" width="1.42578125" style="255" customWidth="1"/>
    <col min="14580" max="14580" width="11.140625" style="255" customWidth="1"/>
    <col min="14581" max="14581" width="10.28515625" style="255" customWidth="1"/>
    <col min="14582" max="14582" width="10" style="255" customWidth="1"/>
    <col min="14583" max="14583" width="11" style="255" customWidth="1"/>
    <col min="14584" max="14829" width="8.85546875" style="255"/>
    <col min="14830" max="14830" width="24.140625" style="255" customWidth="1"/>
    <col min="14831" max="14831" width="12.42578125" style="255" customWidth="1"/>
    <col min="14832" max="14832" width="13.140625" style="255" customWidth="1"/>
    <col min="14833" max="14833" width="12" style="255" customWidth="1"/>
    <col min="14834" max="14834" width="10.7109375" style="255" customWidth="1"/>
    <col min="14835" max="14835" width="1.42578125" style="255" customWidth="1"/>
    <col min="14836" max="14836" width="11.140625" style="255" customWidth="1"/>
    <col min="14837" max="14837" width="10.28515625" style="255" customWidth="1"/>
    <col min="14838" max="14838" width="10" style="255" customWidth="1"/>
    <col min="14839" max="14839" width="11" style="255" customWidth="1"/>
    <col min="14840" max="15085" width="8.85546875" style="255"/>
    <col min="15086" max="15086" width="24.140625" style="255" customWidth="1"/>
    <col min="15087" max="15087" width="12.42578125" style="255" customWidth="1"/>
    <col min="15088" max="15088" width="13.140625" style="255" customWidth="1"/>
    <col min="15089" max="15089" width="12" style="255" customWidth="1"/>
    <col min="15090" max="15090" width="10.7109375" style="255" customWidth="1"/>
    <col min="15091" max="15091" width="1.42578125" style="255" customWidth="1"/>
    <col min="15092" max="15092" width="11.140625" style="255" customWidth="1"/>
    <col min="15093" max="15093" width="10.28515625" style="255" customWidth="1"/>
    <col min="15094" max="15094" width="10" style="255" customWidth="1"/>
    <col min="15095" max="15095" width="11" style="255" customWidth="1"/>
    <col min="15096" max="15341" width="8.85546875" style="255"/>
    <col min="15342" max="15342" width="24.140625" style="255" customWidth="1"/>
    <col min="15343" max="15343" width="12.42578125" style="255" customWidth="1"/>
    <col min="15344" max="15344" width="13.140625" style="255" customWidth="1"/>
    <col min="15345" max="15345" width="12" style="255" customWidth="1"/>
    <col min="15346" max="15346" width="10.7109375" style="255" customWidth="1"/>
    <col min="15347" max="15347" width="1.42578125" style="255" customWidth="1"/>
    <col min="15348" max="15348" width="11.140625" style="255" customWidth="1"/>
    <col min="15349" max="15349" width="10.28515625" style="255" customWidth="1"/>
    <col min="15350" max="15350" width="10" style="255" customWidth="1"/>
    <col min="15351" max="15351" width="11" style="255" customWidth="1"/>
    <col min="15352" max="15597" width="8.85546875" style="255"/>
    <col min="15598" max="15598" width="24.140625" style="255" customWidth="1"/>
    <col min="15599" max="15599" width="12.42578125" style="255" customWidth="1"/>
    <col min="15600" max="15600" width="13.140625" style="255" customWidth="1"/>
    <col min="15601" max="15601" width="12" style="255" customWidth="1"/>
    <col min="15602" max="15602" width="10.7109375" style="255" customWidth="1"/>
    <col min="15603" max="15603" width="1.42578125" style="255" customWidth="1"/>
    <col min="15604" max="15604" width="11.140625" style="255" customWidth="1"/>
    <col min="15605" max="15605" width="10.28515625" style="255" customWidth="1"/>
    <col min="15606" max="15606" width="10" style="255" customWidth="1"/>
    <col min="15607" max="15607" width="11" style="255" customWidth="1"/>
    <col min="15608" max="15853" width="8.85546875" style="255"/>
    <col min="15854" max="15854" width="24.140625" style="255" customWidth="1"/>
    <col min="15855" max="15855" width="12.42578125" style="255" customWidth="1"/>
    <col min="15856" max="15856" width="13.140625" style="255" customWidth="1"/>
    <col min="15857" max="15857" width="12" style="255" customWidth="1"/>
    <col min="15858" max="15858" width="10.7109375" style="255" customWidth="1"/>
    <col min="15859" max="15859" width="1.42578125" style="255" customWidth="1"/>
    <col min="15860" max="15860" width="11.140625" style="255" customWidth="1"/>
    <col min="15861" max="15861" width="10.28515625" style="255" customWidth="1"/>
    <col min="15862" max="15862" width="10" style="255" customWidth="1"/>
    <col min="15863" max="15863" width="11" style="255" customWidth="1"/>
    <col min="15864" max="16109" width="8.85546875" style="255"/>
    <col min="16110" max="16110" width="24.140625" style="255" customWidth="1"/>
    <col min="16111" max="16111" width="12.42578125" style="255" customWidth="1"/>
    <col min="16112" max="16112" width="13.140625" style="255" customWidth="1"/>
    <col min="16113" max="16113" width="12" style="255" customWidth="1"/>
    <col min="16114" max="16114" width="10.7109375" style="255" customWidth="1"/>
    <col min="16115" max="16115" width="1.42578125" style="255" customWidth="1"/>
    <col min="16116" max="16116" width="11.140625" style="255" customWidth="1"/>
    <col min="16117" max="16117" width="10.28515625" style="255" customWidth="1"/>
    <col min="16118" max="16118" width="10" style="255" customWidth="1"/>
    <col min="16119" max="16119" width="11" style="255" customWidth="1"/>
    <col min="16120" max="16383" width="8.85546875" style="255"/>
    <col min="16384" max="16384" width="8.85546875" style="255" customWidth="1"/>
  </cols>
  <sheetData>
    <row r="1" spans="1:8" ht="15.75">
      <c r="A1" s="384" t="str">
        <f>+'Master IS (C)'!B1</f>
        <v>Yakima Waste Systems, Inc. G-98</v>
      </c>
    </row>
    <row r="2" spans="1:8" ht="15.75">
      <c r="A2" s="384" t="s">
        <v>429</v>
      </c>
    </row>
    <row r="3" spans="1:8" ht="15.75">
      <c r="A3" s="384" t="str">
        <f>+'Master IS (C)'!B3</f>
        <v>Test Year Ended March 31, 2022</v>
      </c>
    </row>
    <row r="5" spans="1:8">
      <c r="A5" s="257"/>
      <c r="B5" s="257"/>
      <c r="C5" s="257"/>
      <c r="D5" s="258"/>
      <c r="E5" s="257"/>
      <c r="F5" s="257"/>
      <c r="G5" s="257"/>
    </row>
    <row r="6" spans="1:8">
      <c r="A6" s="259" t="s">
        <v>447</v>
      </c>
      <c r="B6" s="260"/>
      <c r="C6" s="260"/>
      <c r="D6" s="260"/>
      <c r="E6" s="260"/>
      <c r="F6" s="260"/>
      <c r="G6" s="260"/>
      <c r="H6" s="260"/>
    </row>
    <row r="7" spans="1:8" ht="15.75" thickBot="1">
      <c r="B7" s="260"/>
      <c r="C7" s="260"/>
      <c r="D7" s="260"/>
      <c r="E7" s="260"/>
      <c r="F7" s="260"/>
      <c r="G7" s="260"/>
      <c r="H7" s="260"/>
    </row>
    <row r="8" spans="1:8" ht="19.5" customHeight="1" thickTop="1">
      <c r="A8" s="1288"/>
      <c r="B8" s="1289"/>
      <c r="C8" s="1289"/>
      <c r="D8" s="1289"/>
      <c r="E8" s="1289"/>
      <c r="F8" s="1289"/>
      <c r="G8" s="1289"/>
      <c r="H8" s="1290"/>
    </row>
    <row r="9" spans="1:8">
      <c r="A9" s="1299"/>
      <c r="B9" s="1300" t="s">
        <v>916</v>
      </c>
      <c r="C9" s="1300" t="s">
        <v>611</v>
      </c>
      <c r="D9" s="1300"/>
      <c r="E9" s="1300" t="s">
        <v>388</v>
      </c>
      <c r="F9" s="1300" t="s">
        <v>468</v>
      </c>
      <c r="G9" s="1301" t="s">
        <v>193</v>
      </c>
      <c r="H9" s="1292"/>
    </row>
    <row r="10" spans="1:8" ht="30" customHeight="1">
      <c r="A10" s="1302" t="s">
        <v>207</v>
      </c>
      <c r="B10" s="1293">
        <f>+'Yakima Regulated Price Out'!S45</f>
        <v>2262552.1500000008</v>
      </c>
      <c r="C10" s="1293">
        <f>+'[65]Revenue Summary'!$L$6</f>
        <v>1731368.6199999999</v>
      </c>
      <c r="D10" s="1303"/>
      <c r="E10" s="1303">
        <f t="shared" ref="E10:E20" si="0">SUM(B10:D10)</f>
        <v>3993920.7700000005</v>
      </c>
      <c r="F10" s="1303">
        <f>+'Master IS (C)'!E24</f>
        <v>4009161.7</v>
      </c>
      <c r="G10" s="1303">
        <f>E10-F10</f>
        <v>-15240.929999999702</v>
      </c>
      <c r="H10" s="1292"/>
    </row>
    <row r="11" spans="1:8">
      <c r="A11" s="1302" t="s">
        <v>222</v>
      </c>
      <c r="B11" s="1293">
        <f>+'Yakima Regulated Price Out'!S50</f>
        <v>367488.70000000007</v>
      </c>
      <c r="C11" s="1293">
        <v>0</v>
      </c>
      <c r="D11" s="1303"/>
      <c r="E11" s="1303">
        <f t="shared" si="0"/>
        <v>367488.70000000007</v>
      </c>
      <c r="F11" s="1303">
        <f>+'Master IS (C)'!E25</f>
        <v>333728.44</v>
      </c>
      <c r="G11" s="1303">
        <f t="shared" ref="G11:G20" si="1">E11-F11</f>
        <v>33760.260000000068</v>
      </c>
      <c r="H11" s="1292"/>
    </row>
    <row r="12" spans="1:8">
      <c r="A12" s="1302" t="s">
        <v>223</v>
      </c>
      <c r="B12" s="1293">
        <f>+'Yakima Regulated Price Out'!S55</f>
        <v>86621.15</v>
      </c>
      <c r="C12" s="1293">
        <f>+'[65]Revenue Summary'!$L$8</f>
        <v>41384.5</v>
      </c>
      <c r="D12" s="1303"/>
      <c r="E12" s="1303">
        <f t="shared" si="0"/>
        <v>128005.65</v>
      </c>
      <c r="F12" s="1303">
        <f>+'Master IS (C)'!E26</f>
        <v>127811.7</v>
      </c>
      <c r="G12" s="1303">
        <f t="shared" si="1"/>
        <v>193.94999999999709</v>
      </c>
      <c r="H12" s="1292"/>
    </row>
    <row r="13" spans="1:8">
      <c r="A13" s="1302" t="s">
        <v>224</v>
      </c>
      <c r="B13" s="1293">
        <f>+'Yakima Regulated Price Out'!S145</f>
        <v>6840498.089999998</v>
      </c>
      <c r="C13" s="1293">
        <f>+'[65]Revenue Summary'!$L$9</f>
        <v>1964515.9399999997</v>
      </c>
      <c r="D13" s="1303"/>
      <c r="E13" s="1303">
        <f t="shared" si="0"/>
        <v>8805014.0299999975</v>
      </c>
      <c r="F13" s="1303">
        <f>+'Master IS (C)'!E27</f>
        <v>8810593.839999998</v>
      </c>
      <c r="G13" s="1303">
        <f t="shared" si="1"/>
        <v>-5579.8100000005215</v>
      </c>
      <c r="H13" s="1292"/>
    </row>
    <row r="14" spans="1:8">
      <c r="A14" s="1302" t="s">
        <v>612</v>
      </c>
      <c r="B14" s="1293">
        <v>0</v>
      </c>
      <c r="C14" s="1293">
        <v>0</v>
      </c>
      <c r="D14" s="1303"/>
      <c r="E14" s="1303">
        <f t="shared" si="0"/>
        <v>0</v>
      </c>
      <c r="F14" s="1303"/>
      <c r="G14" s="1303">
        <f t="shared" si="1"/>
        <v>0</v>
      </c>
      <c r="H14" s="1292"/>
    </row>
    <row r="15" spans="1:8">
      <c r="A15" s="1302" t="s">
        <v>225</v>
      </c>
      <c r="B15" s="1293">
        <v>0</v>
      </c>
      <c r="C15" s="1293">
        <f>+'[65]Revenue Summary'!$L$12</f>
        <v>969814.21000000008</v>
      </c>
      <c r="D15" s="1303"/>
      <c r="E15" s="1303">
        <f t="shared" si="0"/>
        <v>969814.21000000008</v>
      </c>
      <c r="F15" s="1303">
        <f>+'Master IS (C)'!E31</f>
        <v>978871.1</v>
      </c>
      <c r="G15" s="1303">
        <f t="shared" si="1"/>
        <v>-9056.8899999998976</v>
      </c>
      <c r="H15" s="1292"/>
    </row>
    <row r="16" spans="1:8">
      <c r="A16" s="1302" t="s">
        <v>226</v>
      </c>
      <c r="B16" s="1293">
        <f>+'Yakima Regulated Price Out'!S178</f>
        <v>2496027.3799999994</v>
      </c>
      <c r="C16" s="1293">
        <f>+'[65]Revenue Summary'!$L$13</f>
        <v>1002513.2099999998</v>
      </c>
      <c r="D16" s="1303"/>
      <c r="E16" s="1303">
        <f t="shared" si="0"/>
        <v>3498540.5899999994</v>
      </c>
      <c r="F16" s="1303">
        <f>+'Master IS (C)'!E28</f>
        <v>3633958.27</v>
      </c>
      <c r="G16" s="1303">
        <f t="shared" si="1"/>
        <v>-135417.68000000063</v>
      </c>
      <c r="H16" s="1292"/>
    </row>
    <row r="17" spans="1:8">
      <c r="A17" s="1302" t="s">
        <v>227</v>
      </c>
      <c r="B17" s="1293">
        <v>0</v>
      </c>
      <c r="C17" s="1293">
        <f>+'[65]Revenue Summary'!$L$14</f>
        <v>126038.98</v>
      </c>
      <c r="D17" s="1303"/>
      <c r="E17" s="1303">
        <f t="shared" si="0"/>
        <v>126038.98</v>
      </c>
      <c r="F17" s="1303"/>
      <c r="G17" s="1303">
        <f t="shared" si="1"/>
        <v>126038.98</v>
      </c>
      <c r="H17" s="1292"/>
    </row>
    <row r="18" spans="1:8">
      <c r="A18" s="1302" t="s">
        <v>228</v>
      </c>
      <c r="B18" s="1293">
        <f>+'Yakima Regulated Price Out'!S183</f>
        <v>1589078.5899999999</v>
      </c>
      <c r="C18" s="1293">
        <f>+'[65]Revenue Summary'!$L$15</f>
        <v>546513.17000000004</v>
      </c>
      <c r="D18" s="1303"/>
      <c r="E18" s="1303">
        <f t="shared" si="0"/>
        <v>2135591.7599999998</v>
      </c>
      <c r="F18" s="1303">
        <f>+'Master IS (C)'!E30</f>
        <v>2136839</v>
      </c>
      <c r="G18" s="1303">
        <f t="shared" si="1"/>
        <v>-1247.2400000002235</v>
      </c>
      <c r="H18" s="1292"/>
    </row>
    <row r="19" spans="1:8">
      <c r="A19" s="1302" t="s">
        <v>1416</v>
      </c>
      <c r="B19" s="1293">
        <v>0</v>
      </c>
      <c r="C19" s="1293">
        <f>+'[65]Revenue Summary'!$L$16</f>
        <v>8327.9199999999983</v>
      </c>
      <c r="D19" s="1303"/>
      <c r="E19" s="1303">
        <f t="shared" si="0"/>
        <v>8327.9199999999983</v>
      </c>
      <c r="F19" s="1303">
        <v>0</v>
      </c>
      <c r="G19" s="1303">
        <f t="shared" si="1"/>
        <v>8327.9199999999983</v>
      </c>
      <c r="H19" s="1292"/>
    </row>
    <row r="20" spans="1:8">
      <c r="A20" s="1302" t="s">
        <v>229</v>
      </c>
      <c r="B20" s="1294">
        <f>+'Yakima Regulated Price Out'!S194</f>
        <v>28813.649999999998</v>
      </c>
      <c r="C20" s="1294">
        <f>+'[65]Revenue Summary'!$L$17</f>
        <v>10342.210000000001</v>
      </c>
      <c r="D20" s="1304"/>
      <c r="E20" s="1304">
        <f t="shared" si="0"/>
        <v>39155.86</v>
      </c>
      <c r="F20" s="1304">
        <f>'Master IS (C)'!E45</f>
        <v>43975.040000000001</v>
      </c>
      <c r="G20" s="1304">
        <f t="shared" si="1"/>
        <v>-4819.18</v>
      </c>
      <c r="H20" s="1292"/>
    </row>
    <row r="21" spans="1:8">
      <c r="A21" s="1299"/>
      <c r="B21" s="1305">
        <f>SUM(B10:B20)</f>
        <v>13671079.709999999</v>
      </c>
      <c r="C21" s="1305">
        <f>SUM(C10:C20)</f>
        <v>6400818.7599999998</v>
      </c>
      <c r="D21" s="1305"/>
      <c r="E21" s="1305">
        <f>SUM(E10:E20)</f>
        <v>20071898.469999999</v>
      </c>
      <c r="F21" s="1305">
        <f>SUM(F10:F20)</f>
        <v>20074939.09</v>
      </c>
      <c r="G21" s="1303">
        <f>SUM(G10:G20)</f>
        <v>-3040.6200000009048</v>
      </c>
      <c r="H21" s="1292"/>
    </row>
    <row r="22" spans="1:8" ht="15.75" thickBot="1">
      <c r="A22" s="1295"/>
      <c r="B22" s="1296">
        <f>+'[65]Revenue Summary'!$B$18-B21</f>
        <v>0</v>
      </c>
      <c r="C22" s="1296">
        <v>0</v>
      </c>
      <c r="D22" s="1296"/>
      <c r="E22" s="1296">
        <f>+'[65]Revenue Summary'!$M$18-E21</f>
        <v>0</v>
      </c>
      <c r="F22" s="1297">
        <f>+F21-'Master IS (C)'!E34-'Restating Adj (C)'!F20</f>
        <v>-8.9494278654456139E-10</v>
      </c>
      <c r="G22" s="1298">
        <f>G21/F21</f>
        <v>-1.5146347325733803E-4</v>
      </c>
      <c r="H22" s="1306" t="s">
        <v>614</v>
      </c>
    </row>
    <row r="23" spans="1:8" ht="15.75" thickTop="1">
      <c r="B23" s="265"/>
      <c r="C23" s="265"/>
      <c r="D23" s="265"/>
      <c r="E23" s="265"/>
    </row>
    <row r="24" spans="1:8">
      <c r="A24" s="257"/>
      <c r="B24" s="257"/>
      <c r="C24" s="266"/>
      <c r="D24" s="267"/>
      <c r="E24" s="266"/>
      <c r="F24" s="266"/>
      <c r="G24" s="257"/>
      <c r="H24" s="257"/>
    </row>
    <row r="25" spans="1:8" s="266" customFormat="1">
      <c r="A25" s="273" t="s">
        <v>448</v>
      </c>
      <c r="B25" s="274"/>
      <c r="C25" s="256"/>
      <c r="D25" s="255"/>
      <c r="F25" s="255"/>
      <c r="G25" s="255"/>
    </row>
    <row r="26" spans="1:8" s="266" customFormat="1">
      <c r="A26" s="273" t="s">
        <v>1055</v>
      </c>
      <c r="B26" s="274"/>
      <c r="C26" s="256"/>
      <c r="D26" s="255"/>
      <c r="F26" s="255"/>
      <c r="G26" s="255"/>
    </row>
    <row r="27" spans="1:8" s="266" customFormat="1">
      <c r="A27" s="275" t="s">
        <v>432</v>
      </c>
      <c r="B27" s="298">
        <f>VLOOKUP($C$27,'2195_BS 03-2021 (C)'!$D:$T,13,FALSE)</f>
        <v>1086739.74</v>
      </c>
      <c r="C27" s="276">
        <v>11902</v>
      </c>
      <c r="D27" s="255"/>
      <c r="E27" s="255"/>
      <c r="F27" s="255"/>
      <c r="G27" s="255"/>
    </row>
    <row r="28" spans="1:8">
      <c r="A28" s="275" t="s">
        <v>433</v>
      </c>
      <c r="B28" s="386">
        <f>VLOOKUP($C$27,'2195_BS 03-2022 (C)'!$D:$T,13,FALSE)</f>
        <v>1180649.53</v>
      </c>
      <c r="C28" s="277"/>
      <c r="D28" s="266"/>
    </row>
    <row r="29" spans="1:8">
      <c r="A29" s="275" t="s">
        <v>431</v>
      </c>
      <c r="B29" s="298">
        <f>B28-B27</f>
        <v>93909.790000000037</v>
      </c>
      <c r="C29" s="277"/>
      <c r="D29" s="255"/>
    </row>
    <row r="30" spans="1:8">
      <c r="A30" s="275"/>
      <c r="B30" s="298"/>
      <c r="C30" s="277"/>
      <c r="D30" s="255"/>
    </row>
    <row r="31" spans="1:8">
      <c r="A31" s="273" t="s">
        <v>1056</v>
      </c>
      <c r="B31" s="298"/>
      <c r="C31" s="277"/>
      <c r="D31" s="255"/>
    </row>
    <row r="32" spans="1:8">
      <c r="A32" s="275" t="s">
        <v>432</v>
      </c>
      <c r="B32" s="298">
        <f>-VLOOKUP($C$32,'2195_BS 03-2021 (C)'!$D:$T,13,FALSE)</f>
        <v>285954.74</v>
      </c>
      <c r="C32" s="276">
        <v>11903</v>
      </c>
      <c r="D32" s="255"/>
    </row>
    <row r="33" spans="1:8">
      <c r="A33" s="275" t="s">
        <v>433</v>
      </c>
      <c r="B33" s="386">
        <f>-VLOOKUP($C$32,'2195_BS 03-2022 (C)'!$D:$T,13,FALSE)</f>
        <v>323012</v>
      </c>
      <c r="C33" s="277"/>
      <c r="D33" s="255"/>
    </row>
    <row r="34" spans="1:8">
      <c r="A34" s="275" t="s">
        <v>449</v>
      </c>
      <c r="B34" s="277">
        <f>B33-B32</f>
        <v>37057.260000000009</v>
      </c>
      <c r="C34" s="277"/>
      <c r="D34" s="255"/>
    </row>
    <row r="35" spans="1:8">
      <c r="A35" s="275"/>
      <c r="B35" s="277"/>
      <c r="C35" s="277"/>
      <c r="D35" s="255"/>
    </row>
    <row r="36" spans="1:8">
      <c r="A36" s="275" t="s">
        <v>450</v>
      </c>
      <c r="B36" s="277">
        <f>B29-B34</f>
        <v>56852.530000000028</v>
      </c>
      <c r="C36" s="277"/>
      <c r="D36" s="255"/>
    </row>
    <row r="37" spans="1:8">
      <c r="A37" s="275"/>
      <c r="B37" s="277"/>
      <c r="C37" s="277"/>
      <c r="D37" s="255"/>
    </row>
    <row r="38" spans="1:8" s="272" customFormat="1">
      <c r="A38" s="275" t="s">
        <v>434</v>
      </c>
      <c r="B38" s="298">
        <f>'Master IS (C)'!E235</f>
        <v>66063.23</v>
      </c>
      <c r="C38" s="277"/>
      <c r="D38" s="255"/>
      <c r="E38" s="255"/>
      <c r="F38" s="255"/>
      <c r="G38" s="255"/>
    </row>
    <row r="39" spans="1:8">
      <c r="A39" s="275"/>
      <c r="B39" s="277"/>
      <c r="C39" s="256"/>
      <c r="D39" s="255"/>
    </row>
    <row r="40" spans="1:8" ht="15.75" thickBot="1">
      <c r="A40" s="295" t="s">
        <v>589</v>
      </c>
      <c r="B40" s="698">
        <f>B36-B38</f>
        <v>-9210.699999999968</v>
      </c>
      <c r="C40" s="267"/>
      <c r="D40" s="266"/>
      <c r="E40" s="266"/>
      <c r="F40" s="266"/>
      <c r="G40" s="266"/>
      <c r="H40" s="266"/>
    </row>
    <row r="41" spans="1:8" ht="15.75" thickBot="1">
      <c r="A41" s="299"/>
      <c r="B41" s="540"/>
      <c r="C41" s="267"/>
      <c r="D41" s="266"/>
      <c r="E41" s="266"/>
      <c r="F41" s="266"/>
      <c r="G41" s="266"/>
      <c r="H41" s="266"/>
    </row>
    <row r="42" spans="1:8" ht="15.75" thickTop="1">
      <c r="A42" s="1288"/>
      <c r="B42" s="1314"/>
      <c r="C42" s="266"/>
      <c r="D42" s="267"/>
      <c r="E42" s="266"/>
      <c r="F42" s="266"/>
      <c r="G42" s="266"/>
      <c r="H42" s="266"/>
    </row>
    <row r="43" spans="1:8">
      <c r="A43" s="1315" t="s">
        <v>451</v>
      </c>
      <c r="B43" s="1316">
        <v>2149</v>
      </c>
      <c r="C43" s="267"/>
      <c r="D43" s="267"/>
      <c r="E43" s="266"/>
      <c r="F43" s="266"/>
      <c r="G43" s="266"/>
      <c r="H43" s="266"/>
    </row>
    <row r="44" spans="1:8">
      <c r="A44" s="1317" t="s">
        <v>45</v>
      </c>
      <c r="B44" s="1318">
        <f>+'Master IS (C)'!J50</f>
        <v>20225386.259999998</v>
      </c>
      <c r="C44" s="267"/>
      <c r="D44" s="267"/>
      <c r="E44" s="266"/>
      <c r="F44" s="266"/>
      <c r="G44" s="266"/>
      <c r="H44" s="266"/>
    </row>
    <row r="45" spans="1:8">
      <c r="A45" s="1317" t="s">
        <v>430</v>
      </c>
      <c r="B45" s="1319">
        <f>+'Corp-OH (C)'!G87</f>
        <v>1.8832518965259632E-2</v>
      </c>
      <c r="C45" s="267"/>
      <c r="D45" s="267"/>
      <c r="E45" s="266"/>
      <c r="F45" s="266"/>
      <c r="G45" s="266"/>
      <c r="H45" s="266"/>
    </row>
    <row r="46" spans="1:8">
      <c r="A46" s="1317" t="s">
        <v>452</v>
      </c>
      <c r="B46" s="1318">
        <f>B44*B45</f>
        <v>380894.97032115154</v>
      </c>
      <c r="C46" s="267"/>
      <c r="D46" s="267"/>
      <c r="E46" s="294"/>
      <c r="F46" s="266"/>
      <c r="G46" s="266"/>
      <c r="H46" s="266"/>
    </row>
    <row r="47" spans="1:8">
      <c r="A47" s="1317"/>
      <c r="B47" s="1318"/>
      <c r="C47" s="267"/>
      <c r="D47" s="267"/>
      <c r="E47" s="266"/>
      <c r="F47" s="266"/>
      <c r="G47" s="266"/>
      <c r="H47" s="266"/>
    </row>
    <row r="48" spans="1:8">
      <c r="A48" s="1317" t="s">
        <v>404</v>
      </c>
      <c r="B48" s="1318">
        <f>'Master IS (C)'!E213</f>
        <v>432478.71</v>
      </c>
      <c r="C48" s="267"/>
      <c r="D48" s="267"/>
      <c r="E48" s="266"/>
      <c r="F48" s="266"/>
      <c r="G48" s="266"/>
      <c r="H48" s="266"/>
    </row>
    <row r="49" spans="1:8">
      <c r="A49" s="1317"/>
      <c r="B49" s="1318"/>
      <c r="C49" s="267"/>
      <c r="D49" s="267"/>
      <c r="E49" s="266"/>
      <c r="F49" s="266"/>
      <c r="G49" s="266"/>
      <c r="H49" s="266"/>
    </row>
    <row r="50" spans="1:8" ht="15.75" thickBot="1">
      <c r="A50" s="1320" t="s">
        <v>584</v>
      </c>
      <c r="B50" s="1321">
        <f>B46-B48</f>
        <v>-51583.739678848477</v>
      </c>
      <c r="C50" s="267"/>
      <c r="D50" s="271"/>
      <c r="E50" s="266"/>
      <c r="F50" s="266"/>
      <c r="G50" s="266"/>
      <c r="H50" s="266"/>
    </row>
    <row r="51" spans="1:8" ht="16.5" thickTop="1" thickBot="1">
      <c r="A51" s="266"/>
      <c r="B51" s="266"/>
      <c r="C51" s="267"/>
      <c r="D51" s="267"/>
      <c r="E51" s="266"/>
      <c r="F51" s="266"/>
      <c r="G51" s="266"/>
      <c r="H51" s="266"/>
    </row>
    <row r="52" spans="1:8" ht="15.75" thickTop="1">
      <c r="A52" s="1307" t="s">
        <v>2364</v>
      </c>
      <c r="B52" s="1308"/>
      <c r="C52" s="267"/>
      <c r="D52" s="267"/>
      <c r="E52" s="266"/>
      <c r="F52" s="266"/>
      <c r="G52" s="266"/>
      <c r="H52" s="266"/>
    </row>
    <row r="53" spans="1:8">
      <c r="A53" s="1291"/>
      <c r="B53" s="1309"/>
      <c r="C53" s="267"/>
      <c r="D53" s="267"/>
      <c r="E53" s="266"/>
      <c r="F53" s="266"/>
      <c r="G53" s="266"/>
      <c r="H53" s="266"/>
    </row>
    <row r="54" spans="1:8">
      <c r="A54" s="1291" t="s">
        <v>914</v>
      </c>
      <c r="B54" s="1310">
        <f>+'Master IS (C)'!E214</f>
        <v>57259.820000000007</v>
      </c>
      <c r="C54" s="267"/>
      <c r="D54" s="267"/>
      <c r="E54" s="266"/>
      <c r="F54" s="266"/>
      <c r="G54" s="266"/>
      <c r="H54" s="266"/>
    </row>
    <row r="55" spans="1:8">
      <c r="A55" s="1291" t="s">
        <v>2365</v>
      </c>
      <c r="B55" s="1311">
        <f>+'Region OH (C)'!AH49</f>
        <v>43555.244324229454</v>
      </c>
      <c r="C55" s="267"/>
      <c r="D55" s="267"/>
      <c r="E55" s="266"/>
      <c r="F55" s="266"/>
      <c r="G55" s="266"/>
      <c r="H55" s="266"/>
    </row>
    <row r="56" spans="1:8" ht="15.75" thickBot="1">
      <c r="A56" s="1312" t="s">
        <v>2366</v>
      </c>
      <c r="B56" s="1313">
        <f>B55-B54</f>
        <v>-13704.575675770553</v>
      </c>
      <c r="C56" s="267"/>
      <c r="D56" s="267"/>
      <c r="E56" s="266"/>
      <c r="F56" s="266"/>
      <c r="G56" s="266"/>
      <c r="H56" s="266"/>
    </row>
    <row r="57" spans="1:8" ht="15.75" thickTop="1">
      <c r="A57" s="266"/>
      <c r="B57" s="266"/>
      <c r="C57" s="267"/>
      <c r="D57" s="267"/>
      <c r="E57" s="266"/>
      <c r="F57" s="266"/>
      <c r="G57" s="266"/>
      <c r="H57" s="266"/>
    </row>
    <row r="58" spans="1:8">
      <c r="A58" s="266"/>
      <c r="B58" s="266"/>
      <c r="C58" s="267"/>
      <c r="D58" s="267"/>
      <c r="E58" s="266"/>
      <c r="F58" s="266"/>
      <c r="G58" s="266"/>
      <c r="H58" s="266"/>
    </row>
    <row r="59" spans="1:8">
      <c r="A59" s="266"/>
      <c r="B59" s="266"/>
      <c r="C59" s="266"/>
      <c r="D59" s="267"/>
      <c r="E59" s="266"/>
      <c r="F59" s="266"/>
      <c r="G59" s="266"/>
      <c r="H59" s="266"/>
    </row>
    <row r="60" spans="1:8" s="272" customFormat="1">
      <c r="A60" s="266"/>
      <c r="B60" s="266"/>
      <c r="C60" s="266"/>
      <c r="D60" s="267"/>
      <c r="E60" s="266"/>
      <c r="F60" s="266"/>
      <c r="G60" s="266"/>
      <c r="H60" s="266"/>
    </row>
    <row r="61" spans="1:8">
      <c r="A61" s="544" t="s">
        <v>453</v>
      </c>
      <c r="B61" s="298">
        <f>B36</f>
        <v>56852.530000000028</v>
      </c>
      <c r="C61" s="298"/>
      <c r="D61" s="267"/>
      <c r="E61" s="266"/>
      <c r="F61" s="266"/>
      <c r="G61" s="266"/>
      <c r="H61" s="266"/>
    </row>
    <row r="62" spans="1:8">
      <c r="A62" s="541"/>
      <c r="B62" s="298"/>
      <c r="C62" s="298"/>
      <c r="D62" s="267"/>
      <c r="E62" s="266"/>
      <c r="F62" s="266"/>
      <c r="G62" s="266"/>
      <c r="H62" s="266"/>
    </row>
    <row r="63" spans="1:8">
      <c r="A63" s="541" t="s">
        <v>45</v>
      </c>
      <c r="B63" s="298">
        <f>B44</f>
        <v>20225386.259999998</v>
      </c>
      <c r="C63" s="298"/>
      <c r="D63" s="267"/>
      <c r="E63" s="266"/>
      <c r="F63" s="266"/>
      <c r="G63" s="266"/>
      <c r="H63" s="266"/>
    </row>
    <row r="64" spans="1:8">
      <c r="A64" s="541"/>
      <c r="B64" s="298"/>
      <c r="C64" s="298"/>
      <c r="D64" s="267"/>
      <c r="E64" s="266"/>
      <c r="F64" s="266"/>
      <c r="G64" s="266"/>
      <c r="H64" s="266"/>
    </row>
    <row r="65" spans="1:8" ht="15.75" thickBot="1">
      <c r="A65" s="542" t="s">
        <v>454</v>
      </c>
      <c r="B65" s="994">
        <f>B61/B63</f>
        <v>2.8109490354919944E-3</v>
      </c>
      <c r="C65" s="295" t="s">
        <v>455</v>
      </c>
      <c r="D65" s="267"/>
      <c r="E65" s="266"/>
      <c r="F65" s="266"/>
      <c r="G65" s="266"/>
      <c r="H65" s="266"/>
    </row>
    <row r="66" spans="1:8">
      <c r="A66" s="541"/>
      <c r="B66" s="298"/>
      <c r="C66" s="298"/>
      <c r="D66" s="267"/>
      <c r="E66" s="266"/>
      <c r="F66" s="266"/>
      <c r="G66" s="266"/>
      <c r="H66" s="266"/>
    </row>
    <row r="67" spans="1:8">
      <c r="A67" s="541"/>
      <c r="B67" s="298"/>
      <c r="C67" s="298"/>
      <c r="D67" s="267"/>
      <c r="E67" s="266"/>
      <c r="F67" s="266"/>
      <c r="G67" s="266"/>
      <c r="H67" s="266"/>
    </row>
    <row r="68" spans="1:8">
      <c r="A68" s="448" t="s">
        <v>912</v>
      </c>
      <c r="B68" s="266"/>
      <c r="C68" s="266"/>
      <c r="D68" s="267"/>
      <c r="E68" s="266"/>
      <c r="F68" s="266"/>
      <c r="G68" s="266"/>
      <c r="H68" s="266"/>
    </row>
    <row r="69" spans="1:8">
      <c r="A69" s="266"/>
      <c r="B69" s="266"/>
      <c r="C69" s="266"/>
      <c r="D69" s="267"/>
      <c r="E69" s="266"/>
      <c r="F69" s="266"/>
      <c r="G69" s="266"/>
      <c r="H69" s="266"/>
    </row>
    <row r="70" spans="1:8">
      <c r="A70" s="266" t="s">
        <v>913</v>
      </c>
      <c r="B70" s="385">
        <f>+B21</f>
        <v>13671079.709999999</v>
      </c>
      <c r="C70" s="266"/>
      <c r="D70" s="267"/>
      <c r="E70" s="266"/>
      <c r="F70" s="266"/>
      <c r="G70" s="266"/>
      <c r="H70" s="266"/>
    </row>
    <row r="71" spans="1:8">
      <c r="A71" s="266" t="s">
        <v>250</v>
      </c>
      <c r="B71" s="543">
        <v>5.1000000000000004E-3</v>
      </c>
      <c r="C71" s="266"/>
      <c r="D71" s="267"/>
      <c r="E71" s="266"/>
      <c r="F71" s="266"/>
      <c r="G71" s="266"/>
      <c r="H71" s="266"/>
    </row>
    <row r="72" spans="1:8" s="266" customFormat="1">
      <c r="B72" s="264">
        <f>+B71*B70</f>
        <v>69722.506521000003</v>
      </c>
    </row>
    <row r="73" spans="1:8" s="272" customFormat="1">
      <c r="A73" s="268"/>
      <c r="B73" s="268"/>
      <c r="C73" s="268"/>
      <c r="D73" s="268"/>
      <c r="E73" s="268"/>
      <c r="F73" s="268"/>
      <c r="G73" s="268"/>
      <c r="H73" s="268"/>
    </row>
    <row r="74" spans="1:8" s="272" customFormat="1">
      <c r="A74" s="266" t="s">
        <v>914</v>
      </c>
      <c r="B74" s="449">
        <f>+'Master IS (C)'!E240</f>
        <v>68947.010000000009</v>
      </c>
      <c r="C74" s="268"/>
      <c r="D74" s="268"/>
      <c r="E74" s="268"/>
      <c r="F74" s="268"/>
      <c r="G74" s="268"/>
      <c r="H74" s="268"/>
    </row>
    <row r="75" spans="1:8">
      <c r="A75" s="266"/>
      <c r="B75" s="385">
        <f>+B72-B74</f>
        <v>775.49652099999366</v>
      </c>
      <c r="C75" s="266"/>
      <c r="D75" s="267"/>
      <c r="E75" s="266"/>
      <c r="F75" s="266"/>
      <c r="G75" s="266"/>
      <c r="H75" s="266"/>
    </row>
    <row r="76" spans="1:8">
      <c r="A76" s="541"/>
      <c r="B76" s="298"/>
      <c r="C76" s="298"/>
      <c r="D76" s="267"/>
      <c r="E76" s="266"/>
      <c r="F76" s="266"/>
      <c r="G76" s="266"/>
      <c r="H76" s="266"/>
    </row>
    <row r="77" spans="1:8">
      <c r="A77" s="266"/>
      <c r="B77" s="266"/>
      <c r="C77" s="266"/>
      <c r="D77" s="267"/>
      <c r="E77" s="266"/>
      <c r="F77" s="266"/>
      <c r="G77" s="266"/>
      <c r="H77" s="266"/>
    </row>
    <row r="78" spans="1:8" s="266" customFormat="1"/>
    <row r="79" spans="1:8" s="266" customFormat="1"/>
    <row r="80" spans="1:8" s="266" customFormat="1"/>
    <row r="81" spans="1:8" s="266" customFormat="1"/>
    <row r="82" spans="1:8" s="266" customFormat="1"/>
    <row r="83" spans="1:8" s="266" customFormat="1"/>
    <row r="84" spans="1:8" s="266" customFormat="1"/>
    <row r="85" spans="1:8" s="266" customFormat="1"/>
    <row r="86" spans="1:8" s="266" customFormat="1"/>
    <row r="87" spans="1:8">
      <c r="A87" s="266"/>
      <c r="B87" s="266"/>
      <c r="C87" s="266"/>
      <c r="D87" s="267"/>
      <c r="E87" s="266"/>
      <c r="F87" s="266"/>
      <c r="G87" s="266"/>
      <c r="H87" s="266"/>
    </row>
    <row r="88" spans="1:8" s="266" customFormat="1">
      <c r="A88" s="268"/>
      <c r="B88" s="269"/>
      <c r="C88" s="269"/>
      <c r="D88" s="267"/>
    </row>
    <row r="89" spans="1:8" s="266" customFormat="1">
      <c r="B89" s="260"/>
      <c r="C89" s="260"/>
      <c r="D89" s="267"/>
    </row>
    <row r="90" spans="1:8" s="266" customFormat="1">
      <c r="B90" s="260"/>
      <c r="C90" s="260"/>
      <c r="D90" s="267"/>
    </row>
    <row r="91" spans="1:8" s="266" customFormat="1">
      <c r="B91" s="260"/>
      <c r="C91" s="260"/>
      <c r="D91" s="267"/>
    </row>
    <row r="92" spans="1:8" s="266" customFormat="1">
      <c r="B92" s="270"/>
      <c r="C92" s="270"/>
      <c r="D92" s="267"/>
    </row>
    <row r="93" spans="1:8" s="266" customFormat="1">
      <c r="D93" s="267"/>
    </row>
    <row r="94" spans="1:8">
      <c r="A94" s="266"/>
      <c r="B94" s="266"/>
      <c r="C94" s="266"/>
      <c r="D94" s="267"/>
      <c r="E94" s="266"/>
      <c r="F94" s="266"/>
      <c r="G94" s="266"/>
      <c r="H94" s="266"/>
    </row>
    <row r="95" spans="1:8" s="266" customFormat="1">
      <c r="A95" s="268"/>
      <c r="B95" s="269"/>
      <c r="C95" s="269"/>
      <c r="D95" s="278"/>
    </row>
    <row r="96" spans="1:8" s="266" customFormat="1">
      <c r="B96" s="264"/>
      <c r="C96" s="264"/>
      <c r="D96" s="264"/>
      <c r="E96" s="260"/>
    </row>
    <row r="97" spans="1:8" s="266" customFormat="1">
      <c r="B97" s="264"/>
      <c r="C97" s="264"/>
      <c r="D97" s="264"/>
      <c r="E97" s="260"/>
    </row>
    <row r="98" spans="1:8" s="266" customFormat="1">
      <c r="B98" s="264"/>
      <c r="C98" s="264"/>
      <c r="D98" s="264"/>
      <c r="E98" s="260"/>
    </row>
    <row r="99" spans="1:8" s="266" customFormat="1">
      <c r="B99" s="264"/>
      <c r="C99" s="264"/>
      <c r="D99" s="264"/>
      <c r="E99" s="260"/>
    </row>
    <row r="100" spans="1:8" s="266" customFormat="1">
      <c r="B100" s="264"/>
      <c r="C100" s="264"/>
      <c r="D100" s="264"/>
      <c r="E100" s="260"/>
    </row>
    <row r="101" spans="1:8" s="266" customFormat="1">
      <c r="B101" s="264"/>
      <c r="C101" s="264"/>
      <c r="D101" s="264"/>
      <c r="E101" s="260"/>
    </row>
    <row r="102" spans="1:8" s="266" customFormat="1">
      <c r="B102" s="264"/>
      <c r="C102" s="264"/>
      <c r="D102" s="264"/>
      <c r="E102" s="260"/>
    </row>
    <row r="103" spans="1:8" s="266" customFormat="1">
      <c r="B103" s="264"/>
      <c r="C103" s="264"/>
      <c r="D103" s="264"/>
      <c r="E103" s="260"/>
    </row>
    <row r="104" spans="1:8" s="266" customFormat="1">
      <c r="B104" s="264"/>
      <c r="C104" s="264"/>
      <c r="D104" s="264"/>
    </row>
    <row r="105" spans="1:8" s="266" customFormat="1">
      <c r="B105" s="264"/>
      <c r="C105" s="264"/>
      <c r="D105" s="264"/>
    </row>
    <row r="106" spans="1:8" s="266" customFormat="1">
      <c r="B106" s="264"/>
      <c r="C106" s="264"/>
      <c r="D106" s="264"/>
    </row>
    <row r="107" spans="1:8" s="266" customFormat="1">
      <c r="B107" s="263"/>
      <c r="C107" s="263"/>
      <c r="D107" s="263"/>
      <c r="E107" s="261"/>
    </row>
    <row r="108" spans="1:8" s="266" customFormat="1">
      <c r="B108" s="264"/>
      <c r="C108" s="264"/>
      <c r="D108" s="264"/>
    </row>
    <row r="109" spans="1:8" s="266" customFormat="1">
      <c r="C109" s="260"/>
      <c r="D109" s="267"/>
    </row>
    <row r="110" spans="1:8" s="266" customFormat="1">
      <c r="D110" s="267"/>
    </row>
    <row r="111" spans="1:8">
      <c r="A111" s="266"/>
      <c r="B111" s="266"/>
      <c r="C111" s="266"/>
      <c r="D111" s="267"/>
      <c r="E111" s="266"/>
      <c r="F111" s="266"/>
      <c r="G111" s="266"/>
      <c r="H111" s="266"/>
    </row>
    <row r="112" spans="1:8">
      <c r="A112" s="266"/>
      <c r="B112" s="266"/>
      <c r="C112" s="266"/>
      <c r="D112" s="267"/>
      <c r="E112" s="266"/>
      <c r="F112" s="266"/>
      <c r="G112" s="266"/>
      <c r="H112" s="266"/>
    </row>
    <row r="113" spans="1:8">
      <c r="A113" s="266"/>
      <c r="B113" s="266"/>
      <c r="C113" s="266"/>
      <c r="D113" s="267"/>
      <c r="E113" s="266"/>
      <c r="F113" s="266"/>
      <c r="G113" s="266"/>
      <c r="H113" s="266"/>
    </row>
    <row r="114" spans="1:8">
      <c r="A114" s="266"/>
      <c r="B114" s="266"/>
      <c r="C114" s="266"/>
      <c r="D114" s="267"/>
      <c r="E114" s="266"/>
      <c r="F114" s="266"/>
      <c r="G114" s="266"/>
      <c r="H114" s="266"/>
    </row>
    <row r="115" spans="1:8">
      <c r="A115" s="266"/>
      <c r="B115" s="266"/>
      <c r="C115" s="266"/>
      <c r="D115" s="267"/>
      <c r="E115" s="266"/>
      <c r="F115" s="266"/>
      <c r="G115" s="266"/>
      <c r="H115" s="266"/>
    </row>
    <row r="116" spans="1:8">
      <c r="A116" s="266"/>
      <c r="B116" s="266"/>
      <c r="C116" s="266"/>
      <c r="D116" s="267"/>
      <c r="E116" s="266"/>
      <c r="F116" s="266"/>
      <c r="G116" s="266"/>
      <c r="H116" s="266"/>
    </row>
    <row r="117" spans="1:8">
      <c r="A117" s="266"/>
      <c r="B117" s="266"/>
      <c r="C117" s="266"/>
      <c r="D117" s="267"/>
      <c r="E117" s="266"/>
      <c r="F117" s="266"/>
      <c r="G117" s="266"/>
      <c r="H117" s="266"/>
    </row>
    <row r="118" spans="1:8">
      <c r="A118" s="266"/>
      <c r="B118" s="266"/>
      <c r="C118" s="266"/>
      <c r="D118" s="267"/>
      <c r="E118" s="266"/>
      <c r="F118" s="266"/>
      <c r="G118" s="266"/>
      <c r="H118" s="266"/>
    </row>
  </sheetData>
  <customSheetViews>
    <customSheetView guid="{156AD3D1-5094-4CD1-83C8-30E58A5AFCB6}" scale="85" showPageBreaks="1" showGridLines="0" printArea="1" topLeftCell="A7">
      <selection activeCell="D38" sqref="D38"/>
      <pageMargins left="0.75" right="0.75" top="1" bottom="1" header="0.5" footer="0.5"/>
      <pageSetup orientation="portrait" r:id="rId1"/>
      <headerFooter alignWithMargins="0"/>
    </customSheetView>
    <customSheetView guid="{591FF4D1-4D4D-4220-B124-BC7A16E8B120}" scale="85" showGridLines="0" topLeftCell="A7">
      <selection activeCell="D38" sqref="D38"/>
      <pageMargins left="0.75" right="0.75" top="1" bottom="1" header="0.5" footer="0.5"/>
      <pageSetup orientation="portrait" r:id="rId2"/>
      <headerFooter alignWithMargins="0"/>
    </customSheetView>
  </customSheetViews>
  <pageMargins left="0.75" right="0.75" top="0.5" bottom="0.5" header="0.5" footer="0.5"/>
  <pageSetup scale="55" orientation="landscape" r:id="rId3"/>
  <headerFooter alignWithMargins="0">
    <oddHeader xml:space="preserve">&amp;C&amp;"-,Bold"&amp;KFF0000TEXT IN RED BOX CONFIDENTIAL PER WAC 480-07-160&amp;"-,Regular"&amp;K01+000
</oddHeader>
  </headerFooter>
  <rowBreaks count="1" manualBreakCount="1">
    <brk id="6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XEX56"/>
  <sheetViews>
    <sheetView showGridLines="0" view="pageBreakPreview" topLeftCell="A19" zoomScale="90" zoomScaleNormal="100" zoomScaleSheetLayoutView="90" workbookViewId="0">
      <selection activeCell="E40" sqref="A40:E55"/>
    </sheetView>
  </sheetViews>
  <sheetFormatPr defaultRowHeight="12"/>
  <cols>
    <col min="1" max="1" width="38.7109375" style="427" customWidth="1"/>
    <col min="2" max="2" width="11.5703125" style="427" bestFit="1" customWidth="1"/>
    <col min="3" max="3" width="12.28515625" style="427" customWidth="1"/>
    <col min="4" max="4" width="15" style="427" customWidth="1"/>
    <col min="5" max="5" width="11.5703125" style="427" bestFit="1" customWidth="1"/>
    <col min="6" max="6" width="10.7109375" style="427" customWidth="1"/>
    <col min="7" max="7" width="8.85546875" style="427"/>
    <col min="8" max="256" width="8.85546875" style="428"/>
    <col min="257" max="257" width="21.85546875" style="428" customWidth="1"/>
    <col min="258" max="258" width="10.85546875" style="428" customWidth="1"/>
    <col min="259" max="259" width="12.28515625" style="428" customWidth="1"/>
    <col min="260" max="260" width="15" style="428" customWidth="1"/>
    <col min="261" max="512" width="8.85546875" style="428"/>
    <col min="513" max="513" width="21.85546875" style="428" customWidth="1"/>
    <col min="514" max="514" width="10.85546875" style="428" customWidth="1"/>
    <col min="515" max="515" width="12.28515625" style="428" customWidth="1"/>
    <col min="516" max="516" width="15" style="428" customWidth="1"/>
    <col min="517" max="768" width="8.85546875" style="428"/>
    <col min="769" max="769" width="21.85546875" style="428" customWidth="1"/>
    <col min="770" max="770" width="10.85546875" style="428" customWidth="1"/>
    <col min="771" max="771" width="12.28515625" style="428" customWidth="1"/>
    <col min="772" max="772" width="15" style="428" customWidth="1"/>
    <col min="773" max="1024" width="8.85546875" style="428"/>
    <col min="1025" max="1025" width="21.85546875" style="428" customWidth="1"/>
    <col min="1026" max="1026" width="10.85546875" style="428" customWidth="1"/>
    <col min="1027" max="1027" width="12.28515625" style="428" customWidth="1"/>
    <col min="1028" max="1028" width="15" style="428" customWidth="1"/>
    <col min="1029" max="1280" width="8.85546875" style="428"/>
    <col min="1281" max="1281" width="21.85546875" style="428" customWidth="1"/>
    <col min="1282" max="1282" width="10.85546875" style="428" customWidth="1"/>
    <col min="1283" max="1283" width="12.28515625" style="428" customWidth="1"/>
    <col min="1284" max="1284" width="15" style="428" customWidth="1"/>
    <col min="1285" max="1536" width="8.85546875" style="428"/>
    <col min="1537" max="1537" width="21.85546875" style="428" customWidth="1"/>
    <col min="1538" max="1538" width="10.85546875" style="428" customWidth="1"/>
    <col min="1539" max="1539" width="12.28515625" style="428" customWidth="1"/>
    <col min="1540" max="1540" width="15" style="428" customWidth="1"/>
    <col min="1541" max="1792" width="8.85546875" style="428"/>
    <col min="1793" max="1793" width="21.85546875" style="428" customWidth="1"/>
    <col min="1794" max="1794" width="10.85546875" style="428" customWidth="1"/>
    <col min="1795" max="1795" width="12.28515625" style="428" customWidth="1"/>
    <col min="1796" max="1796" width="15" style="428" customWidth="1"/>
    <col min="1797" max="2048" width="8.85546875" style="428"/>
    <col min="2049" max="2049" width="21.85546875" style="428" customWidth="1"/>
    <col min="2050" max="2050" width="10.85546875" style="428" customWidth="1"/>
    <col min="2051" max="2051" width="12.28515625" style="428" customWidth="1"/>
    <col min="2052" max="2052" width="15" style="428" customWidth="1"/>
    <col min="2053" max="2304" width="8.85546875" style="428"/>
    <col min="2305" max="2305" width="21.85546875" style="428" customWidth="1"/>
    <col min="2306" max="2306" width="10.85546875" style="428" customWidth="1"/>
    <col min="2307" max="2307" width="12.28515625" style="428" customWidth="1"/>
    <col min="2308" max="2308" width="15" style="428" customWidth="1"/>
    <col min="2309" max="2560" width="8.85546875" style="428"/>
    <col min="2561" max="2561" width="21.85546875" style="428" customWidth="1"/>
    <col min="2562" max="2562" width="10.85546875" style="428" customWidth="1"/>
    <col min="2563" max="2563" width="12.28515625" style="428" customWidth="1"/>
    <col min="2564" max="2564" width="15" style="428" customWidth="1"/>
    <col min="2565" max="2816" width="8.85546875" style="428"/>
    <col min="2817" max="2817" width="21.85546875" style="428" customWidth="1"/>
    <col min="2818" max="2818" width="10.85546875" style="428" customWidth="1"/>
    <col min="2819" max="2819" width="12.28515625" style="428" customWidth="1"/>
    <col min="2820" max="2820" width="15" style="428" customWidth="1"/>
    <col min="2821" max="3072" width="8.85546875" style="428"/>
    <col min="3073" max="3073" width="21.85546875" style="428" customWidth="1"/>
    <col min="3074" max="3074" width="10.85546875" style="428" customWidth="1"/>
    <col min="3075" max="3075" width="12.28515625" style="428" customWidth="1"/>
    <col min="3076" max="3076" width="15" style="428" customWidth="1"/>
    <col min="3077" max="3328" width="8.85546875" style="428"/>
    <col min="3329" max="3329" width="21.85546875" style="428" customWidth="1"/>
    <col min="3330" max="3330" width="10.85546875" style="428" customWidth="1"/>
    <col min="3331" max="3331" width="12.28515625" style="428" customWidth="1"/>
    <col min="3332" max="3332" width="15" style="428" customWidth="1"/>
    <col min="3333" max="3584" width="8.85546875" style="428"/>
    <col min="3585" max="3585" width="21.85546875" style="428" customWidth="1"/>
    <col min="3586" max="3586" width="10.85546875" style="428" customWidth="1"/>
    <col min="3587" max="3587" width="12.28515625" style="428" customWidth="1"/>
    <col min="3588" max="3588" width="15" style="428" customWidth="1"/>
    <col min="3589" max="3840" width="8.85546875" style="428"/>
    <col min="3841" max="3841" width="21.85546875" style="428" customWidth="1"/>
    <col min="3842" max="3842" width="10.85546875" style="428" customWidth="1"/>
    <col min="3843" max="3843" width="12.28515625" style="428" customWidth="1"/>
    <col min="3844" max="3844" width="15" style="428" customWidth="1"/>
    <col min="3845" max="4096" width="8.85546875" style="428"/>
    <col min="4097" max="4097" width="21.85546875" style="428" customWidth="1"/>
    <col min="4098" max="4098" width="10.85546875" style="428" customWidth="1"/>
    <col min="4099" max="4099" width="12.28515625" style="428" customWidth="1"/>
    <col min="4100" max="4100" width="15" style="428" customWidth="1"/>
    <col min="4101" max="4352" width="8.85546875" style="428"/>
    <col min="4353" max="4353" width="21.85546875" style="428" customWidth="1"/>
    <col min="4354" max="4354" width="10.85546875" style="428" customWidth="1"/>
    <col min="4355" max="4355" width="12.28515625" style="428" customWidth="1"/>
    <col min="4356" max="4356" width="15" style="428" customWidth="1"/>
    <col min="4357" max="4608" width="8.85546875" style="428"/>
    <col min="4609" max="4609" width="21.85546875" style="428" customWidth="1"/>
    <col min="4610" max="4610" width="10.85546875" style="428" customWidth="1"/>
    <col min="4611" max="4611" width="12.28515625" style="428" customWidth="1"/>
    <col min="4612" max="4612" width="15" style="428" customWidth="1"/>
    <col min="4613" max="4864" width="8.85546875" style="428"/>
    <col min="4865" max="4865" width="21.85546875" style="428" customWidth="1"/>
    <col min="4866" max="4866" width="10.85546875" style="428" customWidth="1"/>
    <col min="4867" max="4867" width="12.28515625" style="428" customWidth="1"/>
    <col min="4868" max="4868" width="15" style="428" customWidth="1"/>
    <col min="4869" max="5120" width="8.85546875" style="428"/>
    <col min="5121" max="5121" width="21.85546875" style="428" customWidth="1"/>
    <col min="5122" max="5122" width="10.85546875" style="428" customWidth="1"/>
    <col min="5123" max="5123" width="12.28515625" style="428" customWidth="1"/>
    <col min="5124" max="5124" width="15" style="428" customWidth="1"/>
    <col min="5125" max="5376" width="8.85546875" style="428"/>
    <col min="5377" max="5377" width="21.85546875" style="428" customWidth="1"/>
    <col min="5378" max="5378" width="10.85546875" style="428" customWidth="1"/>
    <col min="5379" max="5379" width="12.28515625" style="428" customWidth="1"/>
    <col min="5380" max="5380" width="15" style="428" customWidth="1"/>
    <col min="5381" max="5632" width="8.85546875" style="428"/>
    <col min="5633" max="5633" width="21.85546875" style="428" customWidth="1"/>
    <col min="5634" max="5634" width="10.85546875" style="428" customWidth="1"/>
    <col min="5635" max="5635" width="12.28515625" style="428" customWidth="1"/>
    <col min="5636" max="5636" width="15" style="428" customWidth="1"/>
    <col min="5637" max="5888" width="8.85546875" style="428"/>
    <col min="5889" max="5889" width="21.85546875" style="428" customWidth="1"/>
    <col min="5890" max="5890" width="10.85546875" style="428" customWidth="1"/>
    <col min="5891" max="5891" width="12.28515625" style="428" customWidth="1"/>
    <col min="5892" max="5892" width="15" style="428" customWidth="1"/>
    <col min="5893" max="6144" width="8.85546875" style="428"/>
    <col min="6145" max="6145" width="21.85546875" style="428" customWidth="1"/>
    <col min="6146" max="6146" width="10.85546875" style="428" customWidth="1"/>
    <col min="6147" max="6147" width="12.28515625" style="428" customWidth="1"/>
    <col min="6148" max="6148" width="15" style="428" customWidth="1"/>
    <col min="6149" max="6400" width="8.85546875" style="428"/>
    <col min="6401" max="6401" width="21.85546875" style="428" customWidth="1"/>
    <col min="6402" max="6402" width="10.85546875" style="428" customWidth="1"/>
    <col min="6403" max="6403" width="12.28515625" style="428" customWidth="1"/>
    <col min="6404" max="6404" width="15" style="428" customWidth="1"/>
    <col min="6405" max="6656" width="8.85546875" style="428"/>
    <col min="6657" max="6657" width="21.85546875" style="428" customWidth="1"/>
    <col min="6658" max="6658" width="10.85546875" style="428" customWidth="1"/>
    <col min="6659" max="6659" width="12.28515625" style="428" customWidth="1"/>
    <col min="6660" max="6660" width="15" style="428" customWidth="1"/>
    <col min="6661" max="6912" width="8.85546875" style="428"/>
    <col min="6913" max="6913" width="21.85546875" style="428" customWidth="1"/>
    <col min="6914" max="6914" width="10.85546875" style="428" customWidth="1"/>
    <col min="6915" max="6915" width="12.28515625" style="428" customWidth="1"/>
    <col min="6916" max="6916" width="15" style="428" customWidth="1"/>
    <col min="6917" max="7168" width="8.85546875" style="428"/>
    <col min="7169" max="7169" width="21.85546875" style="428" customWidth="1"/>
    <col min="7170" max="7170" width="10.85546875" style="428" customWidth="1"/>
    <col min="7171" max="7171" width="12.28515625" style="428" customWidth="1"/>
    <col min="7172" max="7172" width="15" style="428" customWidth="1"/>
    <col min="7173" max="7424" width="8.85546875" style="428"/>
    <col min="7425" max="7425" width="21.85546875" style="428" customWidth="1"/>
    <col min="7426" max="7426" width="10.85546875" style="428" customWidth="1"/>
    <col min="7427" max="7427" width="12.28515625" style="428" customWidth="1"/>
    <col min="7428" max="7428" width="15" style="428" customWidth="1"/>
    <col min="7429" max="7680" width="8.85546875" style="428"/>
    <col min="7681" max="7681" width="21.85546875" style="428" customWidth="1"/>
    <col min="7682" max="7682" width="10.85546875" style="428" customWidth="1"/>
    <col min="7683" max="7683" width="12.28515625" style="428" customWidth="1"/>
    <col min="7684" max="7684" width="15" style="428" customWidth="1"/>
    <col min="7685" max="7936" width="8.85546875" style="428"/>
    <col min="7937" max="7937" width="21.85546875" style="428" customWidth="1"/>
    <col min="7938" max="7938" width="10.85546875" style="428" customWidth="1"/>
    <col min="7939" max="7939" width="12.28515625" style="428" customWidth="1"/>
    <col min="7940" max="7940" width="15" style="428" customWidth="1"/>
    <col min="7941" max="8192" width="8.85546875" style="428"/>
    <col min="8193" max="8193" width="21.85546875" style="428" customWidth="1"/>
    <col min="8194" max="8194" width="10.85546875" style="428" customWidth="1"/>
    <col min="8195" max="8195" width="12.28515625" style="428" customWidth="1"/>
    <col min="8196" max="8196" width="15" style="428" customWidth="1"/>
    <col min="8197" max="8448" width="8.85546875" style="428"/>
    <col min="8449" max="8449" width="21.85546875" style="428" customWidth="1"/>
    <col min="8450" max="8450" width="10.85546875" style="428" customWidth="1"/>
    <col min="8451" max="8451" width="12.28515625" style="428" customWidth="1"/>
    <col min="8452" max="8452" width="15" style="428" customWidth="1"/>
    <col min="8453" max="8704" width="8.85546875" style="428"/>
    <col min="8705" max="8705" width="21.85546875" style="428" customWidth="1"/>
    <col min="8706" max="8706" width="10.85546875" style="428" customWidth="1"/>
    <col min="8707" max="8707" width="12.28515625" style="428" customWidth="1"/>
    <col min="8708" max="8708" width="15" style="428" customWidth="1"/>
    <col min="8709" max="8960" width="8.85546875" style="428"/>
    <col min="8961" max="8961" width="21.85546875" style="428" customWidth="1"/>
    <col min="8962" max="8962" width="10.85546875" style="428" customWidth="1"/>
    <col min="8963" max="8963" width="12.28515625" style="428" customWidth="1"/>
    <col min="8964" max="8964" width="15" style="428" customWidth="1"/>
    <col min="8965" max="9216" width="8.85546875" style="428"/>
    <col min="9217" max="9217" width="21.85546875" style="428" customWidth="1"/>
    <col min="9218" max="9218" width="10.85546875" style="428" customWidth="1"/>
    <col min="9219" max="9219" width="12.28515625" style="428" customWidth="1"/>
    <col min="9220" max="9220" width="15" style="428" customWidth="1"/>
    <col min="9221" max="9472" width="8.85546875" style="428"/>
    <col min="9473" max="9473" width="21.85546875" style="428" customWidth="1"/>
    <col min="9474" max="9474" width="10.85546875" style="428" customWidth="1"/>
    <col min="9475" max="9475" width="12.28515625" style="428" customWidth="1"/>
    <col min="9476" max="9476" width="15" style="428" customWidth="1"/>
    <col min="9477" max="9728" width="8.85546875" style="428"/>
    <col min="9729" max="9729" width="21.85546875" style="428" customWidth="1"/>
    <col min="9730" max="9730" width="10.85546875" style="428" customWidth="1"/>
    <col min="9731" max="9731" width="12.28515625" style="428" customWidth="1"/>
    <col min="9732" max="9732" width="15" style="428" customWidth="1"/>
    <col min="9733" max="9984" width="8.85546875" style="428"/>
    <col min="9985" max="9985" width="21.85546875" style="428" customWidth="1"/>
    <col min="9986" max="9986" width="10.85546875" style="428" customWidth="1"/>
    <col min="9987" max="9987" width="12.28515625" style="428" customWidth="1"/>
    <col min="9988" max="9988" width="15" style="428" customWidth="1"/>
    <col min="9989" max="10240" width="8.85546875" style="428"/>
    <col min="10241" max="10241" width="21.85546875" style="428" customWidth="1"/>
    <col min="10242" max="10242" width="10.85546875" style="428" customWidth="1"/>
    <col min="10243" max="10243" width="12.28515625" style="428" customWidth="1"/>
    <col min="10244" max="10244" width="15" style="428" customWidth="1"/>
    <col min="10245" max="10496" width="8.85546875" style="428"/>
    <col min="10497" max="10497" width="21.85546875" style="428" customWidth="1"/>
    <col min="10498" max="10498" width="10.85546875" style="428" customWidth="1"/>
    <col min="10499" max="10499" width="12.28515625" style="428" customWidth="1"/>
    <col min="10500" max="10500" width="15" style="428" customWidth="1"/>
    <col min="10501" max="10752" width="8.85546875" style="428"/>
    <col min="10753" max="10753" width="21.85546875" style="428" customWidth="1"/>
    <col min="10754" max="10754" width="10.85546875" style="428" customWidth="1"/>
    <col min="10755" max="10755" width="12.28515625" style="428" customWidth="1"/>
    <col min="10756" max="10756" width="15" style="428" customWidth="1"/>
    <col min="10757" max="11008" width="8.85546875" style="428"/>
    <col min="11009" max="11009" width="21.85546875" style="428" customWidth="1"/>
    <col min="11010" max="11010" width="10.85546875" style="428" customWidth="1"/>
    <col min="11011" max="11011" width="12.28515625" style="428" customWidth="1"/>
    <col min="11012" max="11012" width="15" style="428" customWidth="1"/>
    <col min="11013" max="11264" width="8.85546875" style="428"/>
    <col min="11265" max="11265" width="21.85546875" style="428" customWidth="1"/>
    <col min="11266" max="11266" width="10.85546875" style="428" customWidth="1"/>
    <col min="11267" max="11267" width="12.28515625" style="428" customWidth="1"/>
    <col min="11268" max="11268" width="15" style="428" customWidth="1"/>
    <col min="11269" max="11520" width="8.85546875" style="428"/>
    <col min="11521" max="11521" width="21.85546875" style="428" customWidth="1"/>
    <col min="11522" max="11522" width="10.85546875" style="428" customWidth="1"/>
    <col min="11523" max="11523" width="12.28515625" style="428" customWidth="1"/>
    <col min="11524" max="11524" width="15" style="428" customWidth="1"/>
    <col min="11525" max="11776" width="8.85546875" style="428"/>
    <col min="11777" max="11777" width="21.85546875" style="428" customWidth="1"/>
    <col min="11778" max="11778" width="10.85546875" style="428" customWidth="1"/>
    <col min="11779" max="11779" width="12.28515625" style="428" customWidth="1"/>
    <col min="11780" max="11780" width="15" style="428" customWidth="1"/>
    <col min="11781" max="12032" width="8.85546875" style="428"/>
    <col min="12033" max="12033" width="21.85546875" style="428" customWidth="1"/>
    <col min="12034" max="12034" width="10.85546875" style="428" customWidth="1"/>
    <col min="12035" max="12035" width="12.28515625" style="428" customWidth="1"/>
    <col min="12036" max="12036" width="15" style="428" customWidth="1"/>
    <col min="12037" max="12288" width="8.85546875" style="428"/>
    <col min="12289" max="12289" width="21.85546875" style="428" customWidth="1"/>
    <col min="12290" max="12290" width="10.85546875" style="428" customWidth="1"/>
    <col min="12291" max="12291" width="12.28515625" style="428" customWidth="1"/>
    <col min="12292" max="12292" width="15" style="428" customWidth="1"/>
    <col min="12293" max="12544" width="8.85546875" style="428"/>
    <col min="12545" max="12545" width="21.85546875" style="428" customWidth="1"/>
    <col min="12546" max="12546" width="10.85546875" style="428" customWidth="1"/>
    <col min="12547" max="12547" width="12.28515625" style="428" customWidth="1"/>
    <col min="12548" max="12548" width="15" style="428" customWidth="1"/>
    <col min="12549" max="12800" width="8.85546875" style="428"/>
    <col min="12801" max="12801" width="21.85546875" style="428" customWidth="1"/>
    <col min="12802" max="12802" width="10.85546875" style="428" customWidth="1"/>
    <col min="12803" max="12803" width="12.28515625" style="428" customWidth="1"/>
    <col min="12804" max="12804" width="15" style="428" customWidth="1"/>
    <col min="12805" max="13056" width="8.85546875" style="428"/>
    <col min="13057" max="13057" width="21.85546875" style="428" customWidth="1"/>
    <col min="13058" max="13058" width="10.85546875" style="428" customWidth="1"/>
    <col min="13059" max="13059" width="12.28515625" style="428" customWidth="1"/>
    <col min="13060" max="13060" width="15" style="428" customWidth="1"/>
    <col min="13061" max="13312" width="8.85546875" style="428"/>
    <col min="13313" max="13313" width="21.85546875" style="428" customWidth="1"/>
    <col min="13314" max="13314" width="10.85546875" style="428" customWidth="1"/>
    <col min="13315" max="13315" width="12.28515625" style="428" customWidth="1"/>
    <col min="13316" max="13316" width="15" style="428" customWidth="1"/>
    <col min="13317" max="13568" width="8.85546875" style="428"/>
    <col min="13569" max="13569" width="21.85546875" style="428" customWidth="1"/>
    <col min="13570" max="13570" width="10.85546875" style="428" customWidth="1"/>
    <col min="13571" max="13571" width="12.28515625" style="428" customWidth="1"/>
    <col min="13572" max="13572" width="15" style="428" customWidth="1"/>
    <col min="13573" max="13824" width="8.85546875" style="428"/>
    <col min="13825" max="13825" width="21.85546875" style="428" customWidth="1"/>
    <col min="13826" max="13826" width="10.85546875" style="428" customWidth="1"/>
    <col min="13827" max="13827" width="12.28515625" style="428" customWidth="1"/>
    <col min="13828" max="13828" width="15" style="428" customWidth="1"/>
    <col min="13829" max="14080" width="8.85546875" style="428"/>
    <col min="14081" max="14081" width="21.85546875" style="428" customWidth="1"/>
    <col min="14082" max="14082" width="10.85546875" style="428" customWidth="1"/>
    <col min="14083" max="14083" width="12.28515625" style="428" customWidth="1"/>
    <col min="14084" max="14084" width="15" style="428" customWidth="1"/>
    <col min="14085" max="14336" width="8.85546875" style="428"/>
    <col min="14337" max="14337" width="21.85546875" style="428" customWidth="1"/>
    <col min="14338" max="14338" width="10.85546875" style="428" customWidth="1"/>
    <col min="14339" max="14339" width="12.28515625" style="428" customWidth="1"/>
    <col min="14340" max="14340" width="15" style="428" customWidth="1"/>
    <col min="14341" max="14592" width="8.85546875" style="428"/>
    <col min="14593" max="14593" width="21.85546875" style="428" customWidth="1"/>
    <col min="14594" max="14594" width="10.85546875" style="428" customWidth="1"/>
    <col min="14595" max="14595" width="12.28515625" style="428" customWidth="1"/>
    <col min="14596" max="14596" width="15" style="428" customWidth="1"/>
    <col min="14597" max="14848" width="8.85546875" style="428"/>
    <col min="14849" max="14849" width="21.85546875" style="428" customWidth="1"/>
    <col min="14850" max="14850" width="10.85546875" style="428" customWidth="1"/>
    <col min="14851" max="14851" width="12.28515625" style="428" customWidth="1"/>
    <col min="14852" max="14852" width="15" style="428" customWidth="1"/>
    <col min="14853" max="15104" width="8.85546875" style="428"/>
    <col min="15105" max="15105" width="21.85546875" style="428" customWidth="1"/>
    <col min="15106" max="15106" width="10.85546875" style="428" customWidth="1"/>
    <col min="15107" max="15107" width="12.28515625" style="428" customWidth="1"/>
    <col min="15108" max="15108" width="15" style="428" customWidth="1"/>
    <col min="15109" max="15360" width="8.85546875" style="428"/>
    <col min="15361" max="15361" width="21.85546875" style="428" customWidth="1"/>
    <col min="15362" max="15362" width="10.85546875" style="428" customWidth="1"/>
    <col min="15363" max="15363" width="12.28515625" style="428" customWidth="1"/>
    <col min="15364" max="15364" width="15" style="428" customWidth="1"/>
    <col min="15365" max="15616" width="8.85546875" style="428"/>
    <col min="15617" max="15617" width="21.85546875" style="428" customWidth="1"/>
    <col min="15618" max="15618" width="10.85546875" style="428" customWidth="1"/>
    <col min="15619" max="15619" width="12.28515625" style="428" customWidth="1"/>
    <col min="15620" max="15620" width="15" style="428" customWidth="1"/>
    <col min="15621" max="15872" width="8.85546875" style="428"/>
    <col min="15873" max="15873" width="21.85546875" style="428" customWidth="1"/>
    <col min="15874" max="15874" width="10.85546875" style="428" customWidth="1"/>
    <col min="15875" max="15875" width="12.28515625" style="428" customWidth="1"/>
    <col min="15876" max="15876" width="15" style="428" customWidth="1"/>
    <col min="15877" max="16128" width="8.85546875" style="428"/>
    <col min="16129" max="16129" width="21.85546875" style="428" customWidth="1"/>
    <col min="16130" max="16130" width="10.85546875" style="428" customWidth="1"/>
    <col min="16131" max="16131" width="12.28515625" style="428" customWidth="1"/>
    <col min="16132" max="16132" width="15" style="428" customWidth="1"/>
    <col min="16133" max="16384" width="8.85546875" style="428"/>
  </cols>
  <sheetData>
    <row r="1" spans="1:1020 1027:2042 2049:3071 3078:4093 4100:5115 5122:6144 6151:7166 7173:8188 8195:9210 9217:10239 10246:11261 11268:12283 12290:13312 13319:14334 14341:15356 15363:16378">
      <c r="A1" s="426" t="str">
        <f>+'Master IS (C)'!B1</f>
        <v>Yakima Waste Systems, Inc. G-98</v>
      </c>
    </row>
    <row r="2" spans="1:1020 1027:2042 2049:3071 3078:4093 4100:5115 5122:6144 6151:7166 7173:8188 8195:9210 9217:10239 10246:11261 11268:12283 12290:13312 13319:14334 14341:15356 15363:16378">
      <c r="A2" s="426" t="s">
        <v>930</v>
      </c>
    </row>
    <row r="3" spans="1:1020 1027:2042 2049:3071 3078:4093 4100:5115 5122:6144 6151:7166 7173:8188 8195:9210 9217:10239 10246:11261 11268:12283 12290:13312 13319:14334 14341:15356 15363:16378">
      <c r="A3" s="426" t="str">
        <f>+'Master IS (C)'!B3</f>
        <v>Test Year Ended March 31, 2022</v>
      </c>
    </row>
    <row r="5" spans="1:1020 1027:2042 2049:3071 3078:4093 4100:5115 5122:6144 6151:7166 7173:8188 8195:9210 9217:10239 10246:11261 11268:12283 12290:13312 13319:14334 14341:15356 15363:16378">
      <c r="A5" s="429"/>
      <c r="B5" s="429"/>
      <c r="C5" s="429"/>
      <c r="D5" s="429"/>
      <c r="E5" s="430"/>
      <c r="F5" s="429"/>
      <c r="G5" s="429"/>
      <c r="L5" s="426"/>
      <c r="S5" s="426"/>
      <c r="Z5" s="426"/>
      <c r="AG5" s="426"/>
      <c r="AN5" s="426"/>
      <c r="AU5" s="426"/>
      <c r="BB5" s="426"/>
      <c r="BI5" s="426"/>
      <c r="BP5" s="426"/>
      <c r="BW5" s="426"/>
      <c r="CD5" s="426"/>
      <c r="CK5" s="426"/>
      <c r="CR5" s="426"/>
      <c r="CY5" s="426"/>
      <c r="DF5" s="426"/>
      <c r="DM5" s="426"/>
      <c r="DT5" s="426"/>
      <c r="EA5" s="426"/>
      <c r="EH5" s="426"/>
      <c r="EO5" s="426"/>
      <c r="EV5" s="426"/>
      <c r="FC5" s="426"/>
      <c r="FJ5" s="426"/>
      <c r="FQ5" s="426"/>
      <c r="FX5" s="426"/>
      <c r="GE5" s="426"/>
      <c r="GL5" s="426"/>
      <c r="GS5" s="426"/>
      <c r="GZ5" s="426"/>
      <c r="HG5" s="426"/>
      <c r="HN5" s="426"/>
      <c r="HU5" s="426"/>
      <c r="IB5" s="426"/>
      <c r="II5" s="426"/>
      <c r="IP5" s="426"/>
      <c r="IW5" s="426"/>
      <c r="JD5" s="426"/>
      <c r="JK5" s="426"/>
      <c r="JR5" s="426"/>
      <c r="JY5" s="426"/>
      <c r="KF5" s="426"/>
      <c r="KM5" s="426"/>
      <c r="KT5" s="426"/>
      <c r="LA5" s="426"/>
      <c r="LH5" s="426"/>
      <c r="LO5" s="426"/>
      <c r="LV5" s="426"/>
      <c r="MC5" s="426"/>
      <c r="MJ5" s="426"/>
      <c r="MQ5" s="426"/>
      <c r="MX5" s="426"/>
      <c r="NE5" s="426"/>
      <c r="NL5" s="426"/>
      <c r="NS5" s="426"/>
      <c r="NZ5" s="426"/>
      <c r="OG5" s="426"/>
      <c r="ON5" s="426"/>
      <c r="OU5" s="426"/>
      <c r="PB5" s="426"/>
      <c r="PI5" s="426"/>
      <c r="PP5" s="426"/>
      <c r="PW5" s="426"/>
      <c r="QD5" s="426"/>
      <c r="QK5" s="426"/>
      <c r="QR5" s="426"/>
      <c r="QY5" s="426"/>
      <c r="RF5" s="426"/>
      <c r="RM5" s="426"/>
      <c r="RT5" s="426"/>
      <c r="SA5" s="426"/>
      <c r="SH5" s="426"/>
      <c r="SO5" s="426"/>
      <c r="SV5" s="426"/>
      <c r="TC5" s="426"/>
      <c r="TJ5" s="426"/>
      <c r="TQ5" s="426"/>
      <c r="TX5" s="426"/>
      <c r="UE5" s="426"/>
      <c r="UL5" s="426"/>
      <c r="US5" s="426"/>
      <c r="UZ5" s="426"/>
      <c r="VG5" s="426"/>
      <c r="VN5" s="426"/>
      <c r="VU5" s="426"/>
      <c r="WB5" s="426"/>
      <c r="WI5" s="426"/>
      <c r="WP5" s="426"/>
      <c r="WW5" s="426"/>
      <c r="XD5" s="426"/>
      <c r="XK5" s="426"/>
      <c r="XR5" s="426"/>
      <c r="XY5" s="426"/>
      <c r="YF5" s="426"/>
      <c r="YM5" s="426"/>
      <c r="YT5" s="426"/>
      <c r="ZA5" s="426"/>
      <c r="ZH5" s="426"/>
      <c r="ZO5" s="426"/>
      <c r="ZV5" s="426"/>
      <c r="AAC5" s="426"/>
      <c r="AAJ5" s="426"/>
      <c r="AAQ5" s="426"/>
      <c r="AAX5" s="426"/>
      <c r="ABE5" s="426"/>
      <c r="ABL5" s="426"/>
      <c r="ABS5" s="426"/>
      <c r="ABZ5" s="426"/>
      <c r="ACG5" s="426"/>
      <c r="ACN5" s="426"/>
      <c r="ACU5" s="426"/>
      <c r="ADB5" s="426"/>
      <c r="ADI5" s="426"/>
      <c r="ADP5" s="426"/>
      <c r="ADW5" s="426"/>
      <c r="AED5" s="426"/>
      <c r="AEK5" s="426"/>
      <c r="AER5" s="426"/>
      <c r="AEY5" s="426"/>
      <c r="AFF5" s="426"/>
      <c r="AFM5" s="426"/>
      <c r="AFT5" s="426"/>
      <c r="AGA5" s="426"/>
      <c r="AGH5" s="426"/>
      <c r="AGO5" s="426"/>
      <c r="AGV5" s="426"/>
      <c r="AHC5" s="426"/>
      <c r="AHJ5" s="426"/>
      <c r="AHQ5" s="426"/>
      <c r="AHX5" s="426"/>
      <c r="AIE5" s="426"/>
      <c r="AIL5" s="426"/>
      <c r="AIS5" s="426"/>
      <c r="AIZ5" s="426"/>
      <c r="AJG5" s="426"/>
      <c r="AJN5" s="426"/>
      <c r="AJU5" s="426"/>
      <c r="AKB5" s="426"/>
      <c r="AKI5" s="426"/>
      <c r="AKP5" s="426"/>
      <c r="AKW5" s="426"/>
      <c r="ALD5" s="426"/>
      <c r="ALK5" s="426"/>
      <c r="ALR5" s="426"/>
      <c r="ALY5" s="426"/>
      <c r="AMF5" s="426"/>
      <c r="AMM5" s="426"/>
      <c r="AMT5" s="426"/>
      <c r="ANA5" s="426"/>
      <c r="ANH5" s="426"/>
      <c r="ANO5" s="426"/>
      <c r="ANV5" s="426"/>
      <c r="AOC5" s="426"/>
      <c r="AOJ5" s="426"/>
      <c r="AOQ5" s="426"/>
      <c r="AOX5" s="426"/>
      <c r="APE5" s="426"/>
      <c r="APL5" s="426"/>
      <c r="APS5" s="426"/>
      <c r="APZ5" s="426"/>
      <c r="AQG5" s="426"/>
      <c r="AQN5" s="426"/>
      <c r="AQU5" s="426"/>
      <c r="ARB5" s="426"/>
      <c r="ARI5" s="426"/>
      <c r="ARP5" s="426"/>
      <c r="ARW5" s="426"/>
      <c r="ASD5" s="426"/>
      <c r="ASK5" s="426"/>
      <c r="ASR5" s="426"/>
      <c r="ASY5" s="426"/>
      <c r="ATF5" s="426"/>
      <c r="ATM5" s="426"/>
      <c r="ATT5" s="426"/>
      <c r="AUA5" s="426"/>
      <c r="AUH5" s="426"/>
      <c r="AUO5" s="426"/>
      <c r="AUV5" s="426"/>
      <c r="AVC5" s="426"/>
      <c r="AVJ5" s="426"/>
      <c r="AVQ5" s="426"/>
      <c r="AVX5" s="426"/>
      <c r="AWE5" s="426"/>
      <c r="AWL5" s="426"/>
      <c r="AWS5" s="426"/>
      <c r="AWZ5" s="426"/>
      <c r="AXG5" s="426"/>
      <c r="AXN5" s="426"/>
      <c r="AXU5" s="426"/>
      <c r="AYB5" s="426"/>
      <c r="AYI5" s="426"/>
      <c r="AYP5" s="426"/>
      <c r="AYW5" s="426"/>
      <c r="AZD5" s="426"/>
      <c r="AZK5" s="426"/>
      <c r="AZR5" s="426"/>
      <c r="AZY5" s="426"/>
      <c r="BAF5" s="426"/>
      <c r="BAM5" s="426"/>
      <c r="BAT5" s="426"/>
      <c r="BBA5" s="426"/>
      <c r="BBH5" s="426"/>
      <c r="BBO5" s="426"/>
      <c r="BBV5" s="426"/>
      <c r="BCC5" s="426"/>
      <c r="BCJ5" s="426"/>
      <c r="BCQ5" s="426"/>
      <c r="BCX5" s="426"/>
      <c r="BDE5" s="426"/>
      <c r="BDL5" s="426"/>
      <c r="BDS5" s="426"/>
      <c r="BDZ5" s="426"/>
      <c r="BEG5" s="426"/>
      <c r="BEN5" s="426"/>
      <c r="BEU5" s="426"/>
      <c r="BFB5" s="426"/>
      <c r="BFI5" s="426"/>
      <c r="BFP5" s="426"/>
      <c r="BFW5" s="426"/>
      <c r="BGD5" s="426"/>
      <c r="BGK5" s="426"/>
      <c r="BGR5" s="426"/>
      <c r="BGY5" s="426"/>
      <c r="BHF5" s="426"/>
      <c r="BHM5" s="426"/>
      <c r="BHT5" s="426"/>
      <c r="BIA5" s="426"/>
      <c r="BIH5" s="426"/>
      <c r="BIO5" s="426"/>
      <c r="BIV5" s="426"/>
      <c r="BJC5" s="426"/>
      <c r="BJJ5" s="426"/>
      <c r="BJQ5" s="426"/>
      <c r="BJX5" s="426"/>
      <c r="BKE5" s="426"/>
      <c r="BKL5" s="426"/>
      <c r="BKS5" s="426"/>
      <c r="BKZ5" s="426"/>
      <c r="BLG5" s="426"/>
      <c r="BLN5" s="426"/>
      <c r="BLU5" s="426"/>
      <c r="BMB5" s="426"/>
      <c r="BMI5" s="426"/>
      <c r="BMP5" s="426"/>
      <c r="BMW5" s="426"/>
      <c r="BND5" s="426"/>
      <c r="BNK5" s="426"/>
      <c r="BNR5" s="426"/>
      <c r="BNY5" s="426"/>
      <c r="BOF5" s="426"/>
      <c r="BOM5" s="426"/>
      <c r="BOT5" s="426"/>
      <c r="BPA5" s="426"/>
      <c r="BPH5" s="426"/>
      <c r="BPO5" s="426"/>
      <c r="BPV5" s="426"/>
      <c r="BQC5" s="426"/>
      <c r="BQJ5" s="426"/>
      <c r="BQQ5" s="426"/>
      <c r="BQX5" s="426"/>
      <c r="BRE5" s="426"/>
      <c r="BRL5" s="426"/>
      <c r="BRS5" s="426"/>
      <c r="BRZ5" s="426"/>
      <c r="BSG5" s="426"/>
      <c r="BSN5" s="426"/>
      <c r="BSU5" s="426"/>
      <c r="BTB5" s="426"/>
      <c r="BTI5" s="426"/>
      <c r="BTP5" s="426"/>
      <c r="BTW5" s="426"/>
      <c r="BUD5" s="426"/>
      <c r="BUK5" s="426"/>
      <c r="BUR5" s="426"/>
      <c r="BUY5" s="426"/>
      <c r="BVF5" s="426"/>
      <c r="BVM5" s="426"/>
      <c r="BVT5" s="426"/>
      <c r="BWA5" s="426"/>
      <c r="BWH5" s="426"/>
      <c r="BWO5" s="426"/>
      <c r="BWV5" s="426"/>
      <c r="BXC5" s="426"/>
      <c r="BXJ5" s="426"/>
      <c r="BXQ5" s="426"/>
      <c r="BXX5" s="426"/>
      <c r="BYE5" s="426"/>
      <c r="BYL5" s="426"/>
      <c r="BYS5" s="426"/>
      <c r="BYZ5" s="426"/>
      <c r="BZG5" s="426"/>
      <c r="BZN5" s="426"/>
      <c r="BZU5" s="426"/>
      <c r="CAB5" s="426"/>
      <c r="CAI5" s="426"/>
      <c r="CAP5" s="426"/>
      <c r="CAW5" s="426"/>
      <c r="CBD5" s="426"/>
      <c r="CBK5" s="426"/>
      <c r="CBR5" s="426"/>
      <c r="CBY5" s="426"/>
      <c r="CCF5" s="426"/>
      <c r="CCM5" s="426"/>
      <c r="CCT5" s="426"/>
      <c r="CDA5" s="426"/>
      <c r="CDH5" s="426"/>
      <c r="CDO5" s="426"/>
      <c r="CDV5" s="426"/>
      <c r="CEC5" s="426"/>
      <c r="CEJ5" s="426"/>
      <c r="CEQ5" s="426"/>
      <c r="CEX5" s="426"/>
      <c r="CFE5" s="426"/>
      <c r="CFL5" s="426"/>
      <c r="CFS5" s="426"/>
      <c r="CFZ5" s="426"/>
      <c r="CGG5" s="426"/>
      <c r="CGN5" s="426"/>
      <c r="CGU5" s="426"/>
      <c r="CHB5" s="426"/>
      <c r="CHI5" s="426"/>
      <c r="CHP5" s="426"/>
      <c r="CHW5" s="426"/>
      <c r="CID5" s="426"/>
      <c r="CIK5" s="426"/>
      <c r="CIR5" s="426"/>
      <c r="CIY5" s="426"/>
      <c r="CJF5" s="426"/>
      <c r="CJM5" s="426"/>
      <c r="CJT5" s="426"/>
      <c r="CKA5" s="426"/>
      <c r="CKH5" s="426"/>
      <c r="CKO5" s="426"/>
      <c r="CKV5" s="426"/>
      <c r="CLC5" s="426"/>
      <c r="CLJ5" s="426"/>
      <c r="CLQ5" s="426"/>
      <c r="CLX5" s="426"/>
      <c r="CME5" s="426"/>
      <c r="CML5" s="426"/>
      <c r="CMS5" s="426"/>
      <c r="CMZ5" s="426"/>
      <c r="CNG5" s="426"/>
      <c r="CNN5" s="426"/>
      <c r="CNU5" s="426"/>
      <c r="COB5" s="426"/>
      <c r="COI5" s="426"/>
      <c r="COP5" s="426"/>
      <c r="COW5" s="426"/>
      <c r="CPD5" s="426"/>
      <c r="CPK5" s="426"/>
      <c r="CPR5" s="426"/>
      <c r="CPY5" s="426"/>
      <c r="CQF5" s="426"/>
      <c r="CQM5" s="426"/>
      <c r="CQT5" s="426"/>
      <c r="CRA5" s="426"/>
      <c r="CRH5" s="426"/>
      <c r="CRO5" s="426"/>
      <c r="CRV5" s="426"/>
      <c r="CSC5" s="426"/>
      <c r="CSJ5" s="426"/>
      <c r="CSQ5" s="426"/>
      <c r="CSX5" s="426"/>
      <c r="CTE5" s="426"/>
      <c r="CTL5" s="426"/>
      <c r="CTS5" s="426"/>
      <c r="CTZ5" s="426"/>
      <c r="CUG5" s="426"/>
      <c r="CUN5" s="426"/>
      <c r="CUU5" s="426"/>
      <c r="CVB5" s="426"/>
      <c r="CVI5" s="426"/>
      <c r="CVP5" s="426"/>
      <c r="CVW5" s="426"/>
      <c r="CWD5" s="426"/>
      <c r="CWK5" s="426"/>
      <c r="CWR5" s="426"/>
      <c r="CWY5" s="426"/>
      <c r="CXF5" s="426"/>
      <c r="CXM5" s="426"/>
      <c r="CXT5" s="426"/>
      <c r="CYA5" s="426"/>
      <c r="CYH5" s="426"/>
      <c r="CYO5" s="426"/>
      <c r="CYV5" s="426"/>
      <c r="CZC5" s="426"/>
      <c r="CZJ5" s="426"/>
      <c r="CZQ5" s="426"/>
      <c r="CZX5" s="426"/>
      <c r="DAE5" s="426"/>
      <c r="DAL5" s="426"/>
      <c r="DAS5" s="426"/>
      <c r="DAZ5" s="426"/>
      <c r="DBG5" s="426"/>
      <c r="DBN5" s="426"/>
      <c r="DBU5" s="426"/>
      <c r="DCB5" s="426"/>
      <c r="DCI5" s="426"/>
      <c r="DCP5" s="426"/>
      <c r="DCW5" s="426"/>
      <c r="DDD5" s="426"/>
      <c r="DDK5" s="426"/>
      <c r="DDR5" s="426"/>
      <c r="DDY5" s="426"/>
      <c r="DEF5" s="426"/>
      <c r="DEM5" s="426"/>
      <c r="DET5" s="426"/>
      <c r="DFA5" s="426"/>
      <c r="DFH5" s="426"/>
      <c r="DFO5" s="426"/>
      <c r="DFV5" s="426"/>
      <c r="DGC5" s="426"/>
      <c r="DGJ5" s="426"/>
      <c r="DGQ5" s="426"/>
      <c r="DGX5" s="426"/>
      <c r="DHE5" s="426"/>
      <c r="DHL5" s="426"/>
      <c r="DHS5" s="426"/>
      <c r="DHZ5" s="426"/>
      <c r="DIG5" s="426"/>
      <c r="DIN5" s="426"/>
      <c r="DIU5" s="426"/>
      <c r="DJB5" s="426"/>
      <c r="DJI5" s="426"/>
      <c r="DJP5" s="426"/>
      <c r="DJW5" s="426"/>
      <c r="DKD5" s="426"/>
      <c r="DKK5" s="426"/>
      <c r="DKR5" s="426"/>
      <c r="DKY5" s="426"/>
      <c r="DLF5" s="426"/>
      <c r="DLM5" s="426"/>
      <c r="DLT5" s="426"/>
      <c r="DMA5" s="426"/>
      <c r="DMH5" s="426"/>
      <c r="DMO5" s="426"/>
      <c r="DMV5" s="426"/>
      <c r="DNC5" s="426"/>
      <c r="DNJ5" s="426"/>
      <c r="DNQ5" s="426"/>
      <c r="DNX5" s="426"/>
      <c r="DOE5" s="426"/>
      <c r="DOL5" s="426"/>
      <c r="DOS5" s="426"/>
      <c r="DOZ5" s="426"/>
      <c r="DPG5" s="426"/>
      <c r="DPN5" s="426"/>
      <c r="DPU5" s="426"/>
      <c r="DQB5" s="426"/>
      <c r="DQI5" s="426"/>
      <c r="DQP5" s="426"/>
      <c r="DQW5" s="426"/>
      <c r="DRD5" s="426"/>
      <c r="DRK5" s="426"/>
      <c r="DRR5" s="426"/>
      <c r="DRY5" s="426"/>
      <c r="DSF5" s="426"/>
      <c r="DSM5" s="426"/>
      <c r="DST5" s="426"/>
      <c r="DTA5" s="426"/>
      <c r="DTH5" s="426"/>
      <c r="DTO5" s="426"/>
      <c r="DTV5" s="426"/>
      <c r="DUC5" s="426"/>
      <c r="DUJ5" s="426"/>
      <c r="DUQ5" s="426"/>
      <c r="DUX5" s="426"/>
      <c r="DVE5" s="426"/>
      <c r="DVL5" s="426"/>
      <c r="DVS5" s="426"/>
      <c r="DVZ5" s="426"/>
      <c r="DWG5" s="426"/>
      <c r="DWN5" s="426"/>
      <c r="DWU5" s="426"/>
      <c r="DXB5" s="426"/>
      <c r="DXI5" s="426"/>
      <c r="DXP5" s="426"/>
      <c r="DXW5" s="426"/>
      <c r="DYD5" s="426"/>
      <c r="DYK5" s="426"/>
      <c r="DYR5" s="426"/>
      <c r="DYY5" s="426"/>
      <c r="DZF5" s="426"/>
      <c r="DZM5" s="426"/>
      <c r="DZT5" s="426"/>
      <c r="EAA5" s="426"/>
      <c r="EAH5" s="426"/>
      <c r="EAO5" s="426"/>
      <c r="EAV5" s="426"/>
      <c r="EBC5" s="426"/>
      <c r="EBJ5" s="426"/>
      <c r="EBQ5" s="426"/>
      <c r="EBX5" s="426"/>
      <c r="ECE5" s="426"/>
      <c r="ECL5" s="426"/>
      <c r="ECS5" s="426"/>
      <c r="ECZ5" s="426"/>
      <c r="EDG5" s="426"/>
      <c r="EDN5" s="426"/>
      <c r="EDU5" s="426"/>
      <c r="EEB5" s="426"/>
      <c r="EEI5" s="426"/>
      <c r="EEP5" s="426"/>
      <c r="EEW5" s="426"/>
      <c r="EFD5" s="426"/>
      <c r="EFK5" s="426"/>
      <c r="EFR5" s="426"/>
      <c r="EFY5" s="426"/>
      <c r="EGF5" s="426"/>
      <c r="EGM5" s="426"/>
      <c r="EGT5" s="426"/>
      <c r="EHA5" s="426"/>
      <c r="EHH5" s="426"/>
      <c r="EHO5" s="426"/>
      <c r="EHV5" s="426"/>
      <c r="EIC5" s="426"/>
      <c r="EIJ5" s="426"/>
      <c r="EIQ5" s="426"/>
      <c r="EIX5" s="426"/>
      <c r="EJE5" s="426"/>
      <c r="EJL5" s="426"/>
      <c r="EJS5" s="426"/>
      <c r="EJZ5" s="426"/>
      <c r="EKG5" s="426"/>
      <c r="EKN5" s="426"/>
      <c r="EKU5" s="426"/>
      <c r="ELB5" s="426"/>
      <c r="ELI5" s="426"/>
      <c r="ELP5" s="426"/>
      <c r="ELW5" s="426"/>
      <c r="EMD5" s="426"/>
      <c r="EMK5" s="426"/>
      <c r="EMR5" s="426"/>
      <c r="EMY5" s="426"/>
      <c r="ENF5" s="426"/>
      <c r="ENM5" s="426"/>
      <c r="ENT5" s="426"/>
      <c r="EOA5" s="426"/>
      <c r="EOH5" s="426"/>
      <c r="EOO5" s="426"/>
      <c r="EOV5" s="426"/>
      <c r="EPC5" s="426"/>
      <c r="EPJ5" s="426"/>
      <c r="EPQ5" s="426"/>
      <c r="EPX5" s="426"/>
      <c r="EQE5" s="426"/>
      <c r="EQL5" s="426"/>
      <c r="EQS5" s="426"/>
      <c r="EQZ5" s="426"/>
      <c r="ERG5" s="426"/>
      <c r="ERN5" s="426"/>
      <c r="ERU5" s="426"/>
      <c r="ESB5" s="426"/>
      <c r="ESI5" s="426"/>
      <c r="ESP5" s="426"/>
      <c r="ESW5" s="426"/>
      <c r="ETD5" s="426"/>
      <c r="ETK5" s="426"/>
      <c r="ETR5" s="426"/>
      <c r="ETY5" s="426"/>
      <c r="EUF5" s="426"/>
      <c r="EUM5" s="426"/>
      <c r="EUT5" s="426"/>
      <c r="EVA5" s="426"/>
      <c r="EVH5" s="426"/>
      <c r="EVO5" s="426"/>
      <c r="EVV5" s="426"/>
      <c r="EWC5" s="426"/>
      <c r="EWJ5" s="426"/>
      <c r="EWQ5" s="426"/>
      <c r="EWX5" s="426"/>
      <c r="EXE5" s="426"/>
      <c r="EXL5" s="426"/>
      <c r="EXS5" s="426"/>
      <c r="EXZ5" s="426"/>
      <c r="EYG5" s="426"/>
      <c r="EYN5" s="426"/>
      <c r="EYU5" s="426"/>
      <c r="EZB5" s="426"/>
      <c r="EZI5" s="426"/>
      <c r="EZP5" s="426"/>
      <c r="EZW5" s="426"/>
      <c r="FAD5" s="426"/>
      <c r="FAK5" s="426"/>
      <c r="FAR5" s="426"/>
      <c r="FAY5" s="426"/>
      <c r="FBF5" s="426"/>
      <c r="FBM5" s="426"/>
      <c r="FBT5" s="426"/>
      <c r="FCA5" s="426"/>
      <c r="FCH5" s="426"/>
      <c r="FCO5" s="426"/>
      <c r="FCV5" s="426"/>
      <c r="FDC5" s="426"/>
      <c r="FDJ5" s="426"/>
      <c r="FDQ5" s="426"/>
      <c r="FDX5" s="426"/>
      <c r="FEE5" s="426"/>
      <c r="FEL5" s="426"/>
      <c r="FES5" s="426"/>
      <c r="FEZ5" s="426"/>
      <c r="FFG5" s="426"/>
      <c r="FFN5" s="426"/>
      <c r="FFU5" s="426"/>
      <c r="FGB5" s="426"/>
      <c r="FGI5" s="426"/>
      <c r="FGP5" s="426"/>
      <c r="FGW5" s="426"/>
      <c r="FHD5" s="426"/>
      <c r="FHK5" s="426"/>
      <c r="FHR5" s="426"/>
      <c r="FHY5" s="426"/>
      <c r="FIF5" s="426"/>
      <c r="FIM5" s="426"/>
      <c r="FIT5" s="426"/>
      <c r="FJA5" s="426"/>
      <c r="FJH5" s="426"/>
      <c r="FJO5" s="426"/>
      <c r="FJV5" s="426"/>
      <c r="FKC5" s="426"/>
      <c r="FKJ5" s="426"/>
      <c r="FKQ5" s="426"/>
      <c r="FKX5" s="426"/>
      <c r="FLE5" s="426"/>
      <c r="FLL5" s="426"/>
      <c r="FLS5" s="426"/>
      <c r="FLZ5" s="426"/>
      <c r="FMG5" s="426"/>
      <c r="FMN5" s="426"/>
      <c r="FMU5" s="426"/>
      <c r="FNB5" s="426"/>
      <c r="FNI5" s="426"/>
      <c r="FNP5" s="426"/>
      <c r="FNW5" s="426"/>
      <c r="FOD5" s="426"/>
      <c r="FOK5" s="426"/>
      <c r="FOR5" s="426"/>
      <c r="FOY5" s="426"/>
      <c r="FPF5" s="426"/>
      <c r="FPM5" s="426"/>
      <c r="FPT5" s="426"/>
      <c r="FQA5" s="426"/>
      <c r="FQH5" s="426"/>
      <c r="FQO5" s="426"/>
      <c r="FQV5" s="426"/>
      <c r="FRC5" s="426"/>
      <c r="FRJ5" s="426"/>
      <c r="FRQ5" s="426"/>
      <c r="FRX5" s="426"/>
      <c r="FSE5" s="426"/>
      <c r="FSL5" s="426"/>
      <c r="FSS5" s="426"/>
      <c r="FSZ5" s="426"/>
      <c r="FTG5" s="426"/>
      <c r="FTN5" s="426"/>
      <c r="FTU5" s="426"/>
      <c r="FUB5" s="426"/>
      <c r="FUI5" s="426"/>
      <c r="FUP5" s="426"/>
      <c r="FUW5" s="426"/>
      <c r="FVD5" s="426"/>
      <c r="FVK5" s="426"/>
      <c r="FVR5" s="426"/>
      <c r="FVY5" s="426"/>
      <c r="FWF5" s="426"/>
      <c r="FWM5" s="426"/>
      <c r="FWT5" s="426"/>
      <c r="FXA5" s="426"/>
      <c r="FXH5" s="426"/>
      <c r="FXO5" s="426"/>
      <c r="FXV5" s="426"/>
      <c r="FYC5" s="426"/>
      <c r="FYJ5" s="426"/>
      <c r="FYQ5" s="426"/>
      <c r="FYX5" s="426"/>
      <c r="FZE5" s="426"/>
      <c r="FZL5" s="426"/>
      <c r="FZS5" s="426"/>
      <c r="FZZ5" s="426"/>
      <c r="GAG5" s="426"/>
      <c r="GAN5" s="426"/>
      <c r="GAU5" s="426"/>
      <c r="GBB5" s="426"/>
      <c r="GBI5" s="426"/>
      <c r="GBP5" s="426"/>
      <c r="GBW5" s="426"/>
      <c r="GCD5" s="426"/>
      <c r="GCK5" s="426"/>
      <c r="GCR5" s="426"/>
      <c r="GCY5" s="426"/>
      <c r="GDF5" s="426"/>
      <c r="GDM5" s="426"/>
      <c r="GDT5" s="426"/>
      <c r="GEA5" s="426"/>
      <c r="GEH5" s="426"/>
      <c r="GEO5" s="426"/>
      <c r="GEV5" s="426"/>
      <c r="GFC5" s="426"/>
      <c r="GFJ5" s="426"/>
      <c r="GFQ5" s="426"/>
      <c r="GFX5" s="426"/>
      <c r="GGE5" s="426"/>
      <c r="GGL5" s="426"/>
      <c r="GGS5" s="426"/>
      <c r="GGZ5" s="426"/>
      <c r="GHG5" s="426"/>
      <c r="GHN5" s="426"/>
      <c r="GHU5" s="426"/>
      <c r="GIB5" s="426"/>
      <c r="GII5" s="426"/>
      <c r="GIP5" s="426"/>
      <c r="GIW5" s="426"/>
      <c r="GJD5" s="426"/>
      <c r="GJK5" s="426"/>
      <c r="GJR5" s="426"/>
      <c r="GJY5" s="426"/>
      <c r="GKF5" s="426"/>
      <c r="GKM5" s="426"/>
      <c r="GKT5" s="426"/>
      <c r="GLA5" s="426"/>
      <c r="GLH5" s="426"/>
      <c r="GLO5" s="426"/>
      <c r="GLV5" s="426"/>
      <c r="GMC5" s="426"/>
      <c r="GMJ5" s="426"/>
      <c r="GMQ5" s="426"/>
      <c r="GMX5" s="426"/>
      <c r="GNE5" s="426"/>
      <c r="GNL5" s="426"/>
      <c r="GNS5" s="426"/>
      <c r="GNZ5" s="426"/>
      <c r="GOG5" s="426"/>
      <c r="GON5" s="426"/>
      <c r="GOU5" s="426"/>
      <c r="GPB5" s="426"/>
      <c r="GPI5" s="426"/>
      <c r="GPP5" s="426"/>
      <c r="GPW5" s="426"/>
      <c r="GQD5" s="426"/>
      <c r="GQK5" s="426"/>
      <c r="GQR5" s="426"/>
      <c r="GQY5" s="426"/>
      <c r="GRF5" s="426"/>
      <c r="GRM5" s="426"/>
      <c r="GRT5" s="426"/>
      <c r="GSA5" s="426"/>
      <c r="GSH5" s="426"/>
      <c r="GSO5" s="426"/>
      <c r="GSV5" s="426"/>
      <c r="GTC5" s="426"/>
      <c r="GTJ5" s="426"/>
      <c r="GTQ5" s="426"/>
      <c r="GTX5" s="426"/>
      <c r="GUE5" s="426"/>
      <c r="GUL5" s="426"/>
      <c r="GUS5" s="426"/>
      <c r="GUZ5" s="426"/>
      <c r="GVG5" s="426"/>
      <c r="GVN5" s="426"/>
      <c r="GVU5" s="426"/>
      <c r="GWB5" s="426"/>
      <c r="GWI5" s="426"/>
      <c r="GWP5" s="426"/>
      <c r="GWW5" s="426"/>
      <c r="GXD5" s="426"/>
      <c r="GXK5" s="426"/>
      <c r="GXR5" s="426"/>
      <c r="GXY5" s="426"/>
      <c r="GYF5" s="426"/>
      <c r="GYM5" s="426"/>
      <c r="GYT5" s="426"/>
      <c r="GZA5" s="426"/>
      <c r="GZH5" s="426"/>
      <c r="GZO5" s="426"/>
      <c r="GZV5" s="426"/>
      <c r="HAC5" s="426"/>
      <c r="HAJ5" s="426"/>
      <c r="HAQ5" s="426"/>
      <c r="HAX5" s="426"/>
      <c r="HBE5" s="426"/>
      <c r="HBL5" s="426"/>
      <c r="HBS5" s="426"/>
      <c r="HBZ5" s="426"/>
      <c r="HCG5" s="426"/>
      <c r="HCN5" s="426"/>
      <c r="HCU5" s="426"/>
      <c r="HDB5" s="426"/>
      <c r="HDI5" s="426"/>
      <c r="HDP5" s="426"/>
      <c r="HDW5" s="426"/>
      <c r="HED5" s="426"/>
      <c r="HEK5" s="426"/>
      <c r="HER5" s="426"/>
      <c r="HEY5" s="426"/>
      <c r="HFF5" s="426"/>
      <c r="HFM5" s="426"/>
      <c r="HFT5" s="426"/>
      <c r="HGA5" s="426"/>
      <c r="HGH5" s="426"/>
      <c r="HGO5" s="426"/>
      <c r="HGV5" s="426"/>
      <c r="HHC5" s="426"/>
      <c r="HHJ5" s="426"/>
      <c r="HHQ5" s="426"/>
      <c r="HHX5" s="426"/>
      <c r="HIE5" s="426"/>
      <c r="HIL5" s="426"/>
      <c r="HIS5" s="426"/>
      <c r="HIZ5" s="426"/>
      <c r="HJG5" s="426"/>
      <c r="HJN5" s="426"/>
      <c r="HJU5" s="426"/>
      <c r="HKB5" s="426"/>
      <c r="HKI5" s="426"/>
      <c r="HKP5" s="426"/>
      <c r="HKW5" s="426"/>
      <c r="HLD5" s="426"/>
      <c r="HLK5" s="426"/>
      <c r="HLR5" s="426"/>
      <c r="HLY5" s="426"/>
      <c r="HMF5" s="426"/>
      <c r="HMM5" s="426"/>
      <c r="HMT5" s="426"/>
      <c r="HNA5" s="426"/>
      <c r="HNH5" s="426"/>
      <c r="HNO5" s="426"/>
      <c r="HNV5" s="426"/>
      <c r="HOC5" s="426"/>
      <c r="HOJ5" s="426"/>
      <c r="HOQ5" s="426"/>
      <c r="HOX5" s="426"/>
      <c r="HPE5" s="426"/>
      <c r="HPL5" s="426"/>
      <c r="HPS5" s="426"/>
      <c r="HPZ5" s="426"/>
      <c r="HQG5" s="426"/>
      <c r="HQN5" s="426"/>
      <c r="HQU5" s="426"/>
      <c r="HRB5" s="426"/>
      <c r="HRI5" s="426"/>
      <c r="HRP5" s="426"/>
      <c r="HRW5" s="426"/>
      <c r="HSD5" s="426"/>
      <c r="HSK5" s="426"/>
      <c r="HSR5" s="426"/>
      <c r="HSY5" s="426"/>
      <c r="HTF5" s="426"/>
      <c r="HTM5" s="426"/>
      <c r="HTT5" s="426"/>
      <c r="HUA5" s="426"/>
      <c r="HUH5" s="426"/>
      <c r="HUO5" s="426"/>
      <c r="HUV5" s="426"/>
      <c r="HVC5" s="426"/>
      <c r="HVJ5" s="426"/>
      <c r="HVQ5" s="426"/>
      <c r="HVX5" s="426"/>
      <c r="HWE5" s="426"/>
      <c r="HWL5" s="426"/>
      <c r="HWS5" s="426"/>
      <c r="HWZ5" s="426"/>
      <c r="HXG5" s="426"/>
      <c r="HXN5" s="426"/>
      <c r="HXU5" s="426"/>
      <c r="HYB5" s="426"/>
      <c r="HYI5" s="426"/>
      <c r="HYP5" s="426"/>
      <c r="HYW5" s="426"/>
      <c r="HZD5" s="426"/>
      <c r="HZK5" s="426"/>
      <c r="HZR5" s="426"/>
      <c r="HZY5" s="426"/>
      <c r="IAF5" s="426"/>
      <c r="IAM5" s="426"/>
      <c r="IAT5" s="426"/>
      <c r="IBA5" s="426"/>
      <c r="IBH5" s="426"/>
      <c r="IBO5" s="426"/>
      <c r="IBV5" s="426"/>
      <c r="ICC5" s="426"/>
      <c r="ICJ5" s="426"/>
      <c r="ICQ5" s="426"/>
      <c r="ICX5" s="426"/>
      <c r="IDE5" s="426"/>
      <c r="IDL5" s="426"/>
      <c r="IDS5" s="426"/>
      <c r="IDZ5" s="426"/>
      <c r="IEG5" s="426"/>
      <c r="IEN5" s="426"/>
      <c r="IEU5" s="426"/>
      <c r="IFB5" s="426"/>
      <c r="IFI5" s="426"/>
      <c r="IFP5" s="426"/>
      <c r="IFW5" s="426"/>
      <c r="IGD5" s="426"/>
      <c r="IGK5" s="426"/>
      <c r="IGR5" s="426"/>
      <c r="IGY5" s="426"/>
      <c r="IHF5" s="426"/>
      <c r="IHM5" s="426"/>
      <c r="IHT5" s="426"/>
      <c r="IIA5" s="426"/>
      <c r="IIH5" s="426"/>
      <c r="IIO5" s="426"/>
      <c r="IIV5" s="426"/>
      <c r="IJC5" s="426"/>
      <c r="IJJ5" s="426"/>
      <c r="IJQ5" s="426"/>
      <c r="IJX5" s="426"/>
      <c r="IKE5" s="426"/>
      <c r="IKL5" s="426"/>
      <c r="IKS5" s="426"/>
      <c r="IKZ5" s="426"/>
      <c r="ILG5" s="426"/>
      <c r="ILN5" s="426"/>
      <c r="ILU5" s="426"/>
      <c r="IMB5" s="426"/>
      <c r="IMI5" s="426"/>
      <c r="IMP5" s="426"/>
      <c r="IMW5" s="426"/>
      <c r="IND5" s="426"/>
      <c r="INK5" s="426"/>
      <c r="INR5" s="426"/>
      <c r="INY5" s="426"/>
      <c r="IOF5" s="426"/>
      <c r="IOM5" s="426"/>
      <c r="IOT5" s="426"/>
      <c r="IPA5" s="426"/>
      <c r="IPH5" s="426"/>
      <c r="IPO5" s="426"/>
      <c r="IPV5" s="426"/>
      <c r="IQC5" s="426"/>
      <c r="IQJ5" s="426"/>
      <c r="IQQ5" s="426"/>
      <c r="IQX5" s="426"/>
      <c r="IRE5" s="426"/>
      <c r="IRL5" s="426"/>
      <c r="IRS5" s="426"/>
      <c r="IRZ5" s="426"/>
      <c r="ISG5" s="426"/>
      <c r="ISN5" s="426"/>
      <c r="ISU5" s="426"/>
      <c r="ITB5" s="426"/>
      <c r="ITI5" s="426"/>
      <c r="ITP5" s="426"/>
      <c r="ITW5" s="426"/>
      <c r="IUD5" s="426"/>
      <c r="IUK5" s="426"/>
      <c r="IUR5" s="426"/>
      <c r="IUY5" s="426"/>
      <c r="IVF5" s="426"/>
      <c r="IVM5" s="426"/>
      <c r="IVT5" s="426"/>
      <c r="IWA5" s="426"/>
      <c r="IWH5" s="426"/>
      <c r="IWO5" s="426"/>
      <c r="IWV5" s="426"/>
      <c r="IXC5" s="426"/>
      <c r="IXJ5" s="426"/>
      <c r="IXQ5" s="426"/>
      <c r="IXX5" s="426"/>
      <c r="IYE5" s="426"/>
      <c r="IYL5" s="426"/>
      <c r="IYS5" s="426"/>
      <c r="IYZ5" s="426"/>
      <c r="IZG5" s="426"/>
      <c r="IZN5" s="426"/>
      <c r="IZU5" s="426"/>
      <c r="JAB5" s="426"/>
      <c r="JAI5" s="426"/>
      <c r="JAP5" s="426"/>
      <c r="JAW5" s="426"/>
      <c r="JBD5" s="426"/>
      <c r="JBK5" s="426"/>
      <c r="JBR5" s="426"/>
      <c r="JBY5" s="426"/>
      <c r="JCF5" s="426"/>
      <c r="JCM5" s="426"/>
      <c r="JCT5" s="426"/>
      <c r="JDA5" s="426"/>
      <c r="JDH5" s="426"/>
      <c r="JDO5" s="426"/>
      <c r="JDV5" s="426"/>
      <c r="JEC5" s="426"/>
      <c r="JEJ5" s="426"/>
      <c r="JEQ5" s="426"/>
      <c r="JEX5" s="426"/>
      <c r="JFE5" s="426"/>
      <c r="JFL5" s="426"/>
      <c r="JFS5" s="426"/>
      <c r="JFZ5" s="426"/>
      <c r="JGG5" s="426"/>
      <c r="JGN5" s="426"/>
      <c r="JGU5" s="426"/>
      <c r="JHB5" s="426"/>
      <c r="JHI5" s="426"/>
      <c r="JHP5" s="426"/>
      <c r="JHW5" s="426"/>
      <c r="JID5" s="426"/>
      <c r="JIK5" s="426"/>
      <c r="JIR5" s="426"/>
      <c r="JIY5" s="426"/>
      <c r="JJF5" s="426"/>
      <c r="JJM5" s="426"/>
      <c r="JJT5" s="426"/>
      <c r="JKA5" s="426"/>
      <c r="JKH5" s="426"/>
      <c r="JKO5" s="426"/>
      <c r="JKV5" s="426"/>
      <c r="JLC5" s="426"/>
      <c r="JLJ5" s="426"/>
      <c r="JLQ5" s="426"/>
      <c r="JLX5" s="426"/>
      <c r="JME5" s="426"/>
      <c r="JML5" s="426"/>
      <c r="JMS5" s="426"/>
      <c r="JMZ5" s="426"/>
      <c r="JNG5" s="426"/>
      <c r="JNN5" s="426"/>
      <c r="JNU5" s="426"/>
      <c r="JOB5" s="426"/>
      <c r="JOI5" s="426"/>
      <c r="JOP5" s="426"/>
      <c r="JOW5" s="426"/>
      <c r="JPD5" s="426"/>
      <c r="JPK5" s="426"/>
      <c r="JPR5" s="426"/>
      <c r="JPY5" s="426"/>
      <c r="JQF5" s="426"/>
      <c r="JQM5" s="426"/>
      <c r="JQT5" s="426"/>
      <c r="JRA5" s="426"/>
      <c r="JRH5" s="426"/>
      <c r="JRO5" s="426"/>
      <c r="JRV5" s="426"/>
      <c r="JSC5" s="426"/>
      <c r="JSJ5" s="426"/>
      <c r="JSQ5" s="426"/>
      <c r="JSX5" s="426"/>
      <c r="JTE5" s="426"/>
      <c r="JTL5" s="426"/>
      <c r="JTS5" s="426"/>
      <c r="JTZ5" s="426"/>
      <c r="JUG5" s="426"/>
      <c r="JUN5" s="426"/>
      <c r="JUU5" s="426"/>
      <c r="JVB5" s="426"/>
      <c r="JVI5" s="426"/>
      <c r="JVP5" s="426"/>
      <c r="JVW5" s="426"/>
      <c r="JWD5" s="426"/>
      <c r="JWK5" s="426"/>
      <c r="JWR5" s="426"/>
      <c r="JWY5" s="426"/>
      <c r="JXF5" s="426"/>
      <c r="JXM5" s="426"/>
      <c r="JXT5" s="426"/>
      <c r="JYA5" s="426"/>
      <c r="JYH5" s="426"/>
      <c r="JYO5" s="426"/>
      <c r="JYV5" s="426"/>
      <c r="JZC5" s="426"/>
      <c r="JZJ5" s="426"/>
      <c r="JZQ5" s="426"/>
      <c r="JZX5" s="426"/>
      <c r="KAE5" s="426"/>
      <c r="KAL5" s="426"/>
      <c r="KAS5" s="426"/>
      <c r="KAZ5" s="426"/>
      <c r="KBG5" s="426"/>
      <c r="KBN5" s="426"/>
      <c r="KBU5" s="426"/>
      <c r="KCB5" s="426"/>
      <c r="KCI5" s="426"/>
      <c r="KCP5" s="426"/>
      <c r="KCW5" s="426"/>
      <c r="KDD5" s="426"/>
      <c r="KDK5" s="426"/>
      <c r="KDR5" s="426"/>
      <c r="KDY5" s="426"/>
      <c r="KEF5" s="426"/>
      <c r="KEM5" s="426"/>
      <c r="KET5" s="426"/>
      <c r="KFA5" s="426"/>
      <c r="KFH5" s="426"/>
      <c r="KFO5" s="426"/>
      <c r="KFV5" s="426"/>
      <c r="KGC5" s="426"/>
      <c r="KGJ5" s="426"/>
      <c r="KGQ5" s="426"/>
      <c r="KGX5" s="426"/>
      <c r="KHE5" s="426"/>
      <c r="KHL5" s="426"/>
      <c r="KHS5" s="426"/>
      <c r="KHZ5" s="426"/>
      <c r="KIG5" s="426"/>
      <c r="KIN5" s="426"/>
      <c r="KIU5" s="426"/>
      <c r="KJB5" s="426"/>
      <c r="KJI5" s="426"/>
      <c r="KJP5" s="426"/>
      <c r="KJW5" s="426"/>
      <c r="KKD5" s="426"/>
      <c r="KKK5" s="426"/>
      <c r="KKR5" s="426"/>
      <c r="KKY5" s="426"/>
      <c r="KLF5" s="426"/>
      <c r="KLM5" s="426"/>
      <c r="KLT5" s="426"/>
      <c r="KMA5" s="426"/>
      <c r="KMH5" s="426"/>
      <c r="KMO5" s="426"/>
      <c r="KMV5" s="426"/>
      <c r="KNC5" s="426"/>
      <c r="KNJ5" s="426"/>
      <c r="KNQ5" s="426"/>
      <c r="KNX5" s="426"/>
      <c r="KOE5" s="426"/>
      <c r="KOL5" s="426"/>
      <c r="KOS5" s="426"/>
      <c r="KOZ5" s="426"/>
      <c r="KPG5" s="426"/>
      <c r="KPN5" s="426"/>
      <c r="KPU5" s="426"/>
      <c r="KQB5" s="426"/>
      <c r="KQI5" s="426"/>
      <c r="KQP5" s="426"/>
      <c r="KQW5" s="426"/>
      <c r="KRD5" s="426"/>
      <c r="KRK5" s="426"/>
      <c r="KRR5" s="426"/>
      <c r="KRY5" s="426"/>
      <c r="KSF5" s="426"/>
      <c r="KSM5" s="426"/>
      <c r="KST5" s="426"/>
      <c r="KTA5" s="426"/>
      <c r="KTH5" s="426"/>
      <c r="KTO5" s="426"/>
      <c r="KTV5" s="426"/>
      <c r="KUC5" s="426"/>
      <c r="KUJ5" s="426"/>
      <c r="KUQ5" s="426"/>
      <c r="KUX5" s="426"/>
      <c r="KVE5" s="426"/>
      <c r="KVL5" s="426"/>
      <c r="KVS5" s="426"/>
      <c r="KVZ5" s="426"/>
      <c r="KWG5" s="426"/>
      <c r="KWN5" s="426"/>
      <c r="KWU5" s="426"/>
      <c r="KXB5" s="426"/>
      <c r="KXI5" s="426"/>
      <c r="KXP5" s="426"/>
      <c r="KXW5" s="426"/>
      <c r="KYD5" s="426"/>
      <c r="KYK5" s="426"/>
      <c r="KYR5" s="426"/>
      <c r="KYY5" s="426"/>
      <c r="KZF5" s="426"/>
      <c r="KZM5" s="426"/>
      <c r="KZT5" s="426"/>
      <c r="LAA5" s="426"/>
      <c r="LAH5" s="426"/>
      <c r="LAO5" s="426"/>
      <c r="LAV5" s="426"/>
      <c r="LBC5" s="426"/>
      <c r="LBJ5" s="426"/>
      <c r="LBQ5" s="426"/>
      <c r="LBX5" s="426"/>
      <c r="LCE5" s="426"/>
      <c r="LCL5" s="426"/>
      <c r="LCS5" s="426"/>
      <c r="LCZ5" s="426"/>
      <c r="LDG5" s="426"/>
      <c r="LDN5" s="426"/>
      <c r="LDU5" s="426"/>
      <c r="LEB5" s="426"/>
      <c r="LEI5" s="426"/>
      <c r="LEP5" s="426"/>
      <c r="LEW5" s="426"/>
      <c r="LFD5" s="426"/>
      <c r="LFK5" s="426"/>
      <c r="LFR5" s="426"/>
      <c r="LFY5" s="426"/>
      <c r="LGF5" s="426"/>
      <c r="LGM5" s="426"/>
      <c r="LGT5" s="426"/>
      <c r="LHA5" s="426"/>
      <c r="LHH5" s="426"/>
      <c r="LHO5" s="426"/>
      <c r="LHV5" s="426"/>
      <c r="LIC5" s="426"/>
      <c r="LIJ5" s="426"/>
      <c r="LIQ5" s="426"/>
      <c r="LIX5" s="426"/>
      <c r="LJE5" s="426"/>
      <c r="LJL5" s="426"/>
      <c r="LJS5" s="426"/>
      <c r="LJZ5" s="426"/>
      <c r="LKG5" s="426"/>
      <c r="LKN5" s="426"/>
      <c r="LKU5" s="426"/>
      <c r="LLB5" s="426"/>
      <c r="LLI5" s="426"/>
      <c r="LLP5" s="426"/>
      <c r="LLW5" s="426"/>
      <c r="LMD5" s="426"/>
      <c r="LMK5" s="426"/>
      <c r="LMR5" s="426"/>
      <c r="LMY5" s="426"/>
      <c r="LNF5" s="426"/>
      <c r="LNM5" s="426"/>
      <c r="LNT5" s="426"/>
      <c r="LOA5" s="426"/>
      <c r="LOH5" s="426"/>
      <c r="LOO5" s="426"/>
      <c r="LOV5" s="426"/>
      <c r="LPC5" s="426"/>
      <c r="LPJ5" s="426"/>
      <c r="LPQ5" s="426"/>
      <c r="LPX5" s="426"/>
      <c r="LQE5" s="426"/>
      <c r="LQL5" s="426"/>
      <c r="LQS5" s="426"/>
      <c r="LQZ5" s="426"/>
      <c r="LRG5" s="426"/>
      <c r="LRN5" s="426"/>
      <c r="LRU5" s="426"/>
      <c r="LSB5" s="426"/>
      <c r="LSI5" s="426"/>
      <c r="LSP5" s="426"/>
      <c r="LSW5" s="426"/>
      <c r="LTD5" s="426"/>
      <c r="LTK5" s="426"/>
      <c r="LTR5" s="426"/>
      <c r="LTY5" s="426"/>
      <c r="LUF5" s="426"/>
      <c r="LUM5" s="426"/>
      <c r="LUT5" s="426"/>
      <c r="LVA5" s="426"/>
      <c r="LVH5" s="426"/>
      <c r="LVO5" s="426"/>
      <c r="LVV5" s="426"/>
      <c r="LWC5" s="426"/>
      <c r="LWJ5" s="426"/>
      <c r="LWQ5" s="426"/>
      <c r="LWX5" s="426"/>
      <c r="LXE5" s="426"/>
      <c r="LXL5" s="426"/>
      <c r="LXS5" s="426"/>
      <c r="LXZ5" s="426"/>
      <c r="LYG5" s="426"/>
      <c r="LYN5" s="426"/>
      <c r="LYU5" s="426"/>
      <c r="LZB5" s="426"/>
      <c r="LZI5" s="426"/>
      <c r="LZP5" s="426"/>
      <c r="LZW5" s="426"/>
      <c r="MAD5" s="426"/>
      <c r="MAK5" s="426"/>
      <c r="MAR5" s="426"/>
      <c r="MAY5" s="426"/>
      <c r="MBF5" s="426"/>
      <c r="MBM5" s="426"/>
      <c r="MBT5" s="426"/>
      <c r="MCA5" s="426"/>
      <c r="MCH5" s="426"/>
      <c r="MCO5" s="426"/>
      <c r="MCV5" s="426"/>
      <c r="MDC5" s="426"/>
      <c r="MDJ5" s="426"/>
      <c r="MDQ5" s="426"/>
      <c r="MDX5" s="426"/>
      <c r="MEE5" s="426"/>
      <c r="MEL5" s="426"/>
      <c r="MES5" s="426"/>
      <c r="MEZ5" s="426"/>
      <c r="MFG5" s="426"/>
      <c r="MFN5" s="426"/>
      <c r="MFU5" s="426"/>
      <c r="MGB5" s="426"/>
      <c r="MGI5" s="426"/>
      <c r="MGP5" s="426"/>
      <c r="MGW5" s="426"/>
      <c r="MHD5" s="426"/>
      <c r="MHK5" s="426"/>
      <c r="MHR5" s="426"/>
      <c r="MHY5" s="426"/>
      <c r="MIF5" s="426"/>
      <c r="MIM5" s="426"/>
      <c r="MIT5" s="426"/>
      <c r="MJA5" s="426"/>
      <c r="MJH5" s="426"/>
      <c r="MJO5" s="426"/>
      <c r="MJV5" s="426"/>
      <c r="MKC5" s="426"/>
      <c r="MKJ5" s="426"/>
      <c r="MKQ5" s="426"/>
      <c r="MKX5" s="426"/>
      <c r="MLE5" s="426"/>
      <c r="MLL5" s="426"/>
      <c r="MLS5" s="426"/>
      <c r="MLZ5" s="426"/>
      <c r="MMG5" s="426"/>
      <c r="MMN5" s="426"/>
      <c r="MMU5" s="426"/>
      <c r="MNB5" s="426"/>
      <c r="MNI5" s="426"/>
      <c r="MNP5" s="426"/>
      <c r="MNW5" s="426"/>
      <c r="MOD5" s="426"/>
      <c r="MOK5" s="426"/>
      <c r="MOR5" s="426"/>
      <c r="MOY5" s="426"/>
      <c r="MPF5" s="426"/>
      <c r="MPM5" s="426"/>
      <c r="MPT5" s="426"/>
      <c r="MQA5" s="426"/>
      <c r="MQH5" s="426"/>
      <c r="MQO5" s="426"/>
      <c r="MQV5" s="426"/>
      <c r="MRC5" s="426"/>
      <c r="MRJ5" s="426"/>
      <c r="MRQ5" s="426"/>
      <c r="MRX5" s="426"/>
      <c r="MSE5" s="426"/>
      <c r="MSL5" s="426"/>
      <c r="MSS5" s="426"/>
      <c r="MSZ5" s="426"/>
      <c r="MTG5" s="426"/>
      <c r="MTN5" s="426"/>
      <c r="MTU5" s="426"/>
      <c r="MUB5" s="426"/>
      <c r="MUI5" s="426"/>
      <c r="MUP5" s="426"/>
      <c r="MUW5" s="426"/>
      <c r="MVD5" s="426"/>
      <c r="MVK5" s="426"/>
      <c r="MVR5" s="426"/>
      <c r="MVY5" s="426"/>
      <c r="MWF5" s="426"/>
      <c r="MWM5" s="426"/>
      <c r="MWT5" s="426"/>
      <c r="MXA5" s="426"/>
      <c r="MXH5" s="426"/>
      <c r="MXO5" s="426"/>
      <c r="MXV5" s="426"/>
      <c r="MYC5" s="426"/>
      <c r="MYJ5" s="426"/>
      <c r="MYQ5" s="426"/>
      <c r="MYX5" s="426"/>
      <c r="MZE5" s="426"/>
      <c r="MZL5" s="426"/>
      <c r="MZS5" s="426"/>
      <c r="MZZ5" s="426"/>
      <c r="NAG5" s="426"/>
      <c r="NAN5" s="426"/>
      <c r="NAU5" s="426"/>
      <c r="NBB5" s="426"/>
      <c r="NBI5" s="426"/>
      <c r="NBP5" s="426"/>
      <c r="NBW5" s="426"/>
      <c r="NCD5" s="426"/>
      <c r="NCK5" s="426"/>
      <c r="NCR5" s="426"/>
      <c r="NCY5" s="426"/>
      <c r="NDF5" s="426"/>
      <c r="NDM5" s="426"/>
      <c r="NDT5" s="426"/>
      <c r="NEA5" s="426"/>
      <c r="NEH5" s="426"/>
      <c r="NEO5" s="426"/>
      <c r="NEV5" s="426"/>
      <c r="NFC5" s="426"/>
      <c r="NFJ5" s="426"/>
      <c r="NFQ5" s="426"/>
      <c r="NFX5" s="426"/>
      <c r="NGE5" s="426"/>
      <c r="NGL5" s="426"/>
      <c r="NGS5" s="426"/>
      <c r="NGZ5" s="426"/>
      <c r="NHG5" s="426"/>
      <c r="NHN5" s="426"/>
      <c r="NHU5" s="426"/>
      <c r="NIB5" s="426"/>
      <c r="NII5" s="426"/>
      <c r="NIP5" s="426"/>
      <c r="NIW5" s="426"/>
      <c r="NJD5" s="426"/>
      <c r="NJK5" s="426"/>
      <c r="NJR5" s="426"/>
      <c r="NJY5" s="426"/>
      <c r="NKF5" s="426"/>
      <c r="NKM5" s="426"/>
      <c r="NKT5" s="426"/>
      <c r="NLA5" s="426"/>
      <c r="NLH5" s="426"/>
      <c r="NLO5" s="426"/>
      <c r="NLV5" s="426"/>
      <c r="NMC5" s="426"/>
      <c r="NMJ5" s="426"/>
      <c r="NMQ5" s="426"/>
      <c r="NMX5" s="426"/>
      <c r="NNE5" s="426"/>
      <c r="NNL5" s="426"/>
      <c r="NNS5" s="426"/>
      <c r="NNZ5" s="426"/>
      <c r="NOG5" s="426"/>
      <c r="NON5" s="426"/>
      <c r="NOU5" s="426"/>
      <c r="NPB5" s="426"/>
      <c r="NPI5" s="426"/>
      <c r="NPP5" s="426"/>
      <c r="NPW5" s="426"/>
      <c r="NQD5" s="426"/>
      <c r="NQK5" s="426"/>
      <c r="NQR5" s="426"/>
      <c r="NQY5" s="426"/>
      <c r="NRF5" s="426"/>
      <c r="NRM5" s="426"/>
      <c r="NRT5" s="426"/>
      <c r="NSA5" s="426"/>
      <c r="NSH5" s="426"/>
      <c r="NSO5" s="426"/>
      <c r="NSV5" s="426"/>
      <c r="NTC5" s="426"/>
      <c r="NTJ5" s="426"/>
      <c r="NTQ5" s="426"/>
      <c r="NTX5" s="426"/>
      <c r="NUE5" s="426"/>
      <c r="NUL5" s="426"/>
      <c r="NUS5" s="426"/>
      <c r="NUZ5" s="426"/>
      <c r="NVG5" s="426"/>
      <c r="NVN5" s="426"/>
      <c r="NVU5" s="426"/>
      <c r="NWB5" s="426"/>
      <c r="NWI5" s="426"/>
      <c r="NWP5" s="426"/>
      <c r="NWW5" s="426"/>
      <c r="NXD5" s="426"/>
      <c r="NXK5" s="426"/>
      <c r="NXR5" s="426"/>
      <c r="NXY5" s="426"/>
      <c r="NYF5" s="426"/>
      <c r="NYM5" s="426"/>
      <c r="NYT5" s="426"/>
      <c r="NZA5" s="426"/>
      <c r="NZH5" s="426"/>
      <c r="NZO5" s="426"/>
      <c r="NZV5" s="426"/>
      <c r="OAC5" s="426"/>
      <c r="OAJ5" s="426"/>
      <c r="OAQ5" s="426"/>
      <c r="OAX5" s="426"/>
      <c r="OBE5" s="426"/>
      <c r="OBL5" s="426"/>
      <c r="OBS5" s="426"/>
      <c r="OBZ5" s="426"/>
      <c r="OCG5" s="426"/>
      <c r="OCN5" s="426"/>
      <c r="OCU5" s="426"/>
      <c r="ODB5" s="426"/>
      <c r="ODI5" s="426"/>
      <c r="ODP5" s="426"/>
      <c r="ODW5" s="426"/>
      <c r="OED5" s="426"/>
      <c r="OEK5" s="426"/>
      <c r="OER5" s="426"/>
      <c r="OEY5" s="426"/>
      <c r="OFF5" s="426"/>
      <c r="OFM5" s="426"/>
      <c r="OFT5" s="426"/>
      <c r="OGA5" s="426"/>
      <c r="OGH5" s="426"/>
      <c r="OGO5" s="426"/>
      <c r="OGV5" s="426"/>
      <c r="OHC5" s="426"/>
      <c r="OHJ5" s="426"/>
      <c r="OHQ5" s="426"/>
      <c r="OHX5" s="426"/>
      <c r="OIE5" s="426"/>
      <c r="OIL5" s="426"/>
      <c r="OIS5" s="426"/>
      <c r="OIZ5" s="426"/>
      <c r="OJG5" s="426"/>
      <c r="OJN5" s="426"/>
      <c r="OJU5" s="426"/>
      <c r="OKB5" s="426"/>
      <c r="OKI5" s="426"/>
      <c r="OKP5" s="426"/>
      <c r="OKW5" s="426"/>
      <c r="OLD5" s="426"/>
      <c r="OLK5" s="426"/>
      <c r="OLR5" s="426"/>
      <c r="OLY5" s="426"/>
      <c r="OMF5" s="426"/>
      <c r="OMM5" s="426"/>
      <c r="OMT5" s="426"/>
      <c r="ONA5" s="426"/>
      <c r="ONH5" s="426"/>
      <c r="ONO5" s="426"/>
      <c r="ONV5" s="426"/>
      <c r="OOC5" s="426"/>
      <c r="OOJ5" s="426"/>
      <c r="OOQ5" s="426"/>
      <c r="OOX5" s="426"/>
      <c r="OPE5" s="426"/>
      <c r="OPL5" s="426"/>
      <c r="OPS5" s="426"/>
      <c r="OPZ5" s="426"/>
      <c r="OQG5" s="426"/>
      <c r="OQN5" s="426"/>
      <c r="OQU5" s="426"/>
      <c r="ORB5" s="426"/>
      <c r="ORI5" s="426"/>
      <c r="ORP5" s="426"/>
      <c r="ORW5" s="426"/>
      <c r="OSD5" s="426"/>
      <c r="OSK5" s="426"/>
      <c r="OSR5" s="426"/>
      <c r="OSY5" s="426"/>
      <c r="OTF5" s="426"/>
      <c r="OTM5" s="426"/>
      <c r="OTT5" s="426"/>
      <c r="OUA5" s="426"/>
      <c r="OUH5" s="426"/>
      <c r="OUO5" s="426"/>
      <c r="OUV5" s="426"/>
      <c r="OVC5" s="426"/>
      <c r="OVJ5" s="426"/>
      <c r="OVQ5" s="426"/>
      <c r="OVX5" s="426"/>
      <c r="OWE5" s="426"/>
      <c r="OWL5" s="426"/>
      <c r="OWS5" s="426"/>
      <c r="OWZ5" s="426"/>
      <c r="OXG5" s="426"/>
      <c r="OXN5" s="426"/>
      <c r="OXU5" s="426"/>
      <c r="OYB5" s="426"/>
      <c r="OYI5" s="426"/>
      <c r="OYP5" s="426"/>
      <c r="OYW5" s="426"/>
      <c r="OZD5" s="426"/>
      <c r="OZK5" s="426"/>
      <c r="OZR5" s="426"/>
      <c r="OZY5" s="426"/>
      <c r="PAF5" s="426"/>
      <c r="PAM5" s="426"/>
      <c r="PAT5" s="426"/>
      <c r="PBA5" s="426"/>
      <c r="PBH5" s="426"/>
      <c r="PBO5" s="426"/>
      <c r="PBV5" s="426"/>
      <c r="PCC5" s="426"/>
      <c r="PCJ5" s="426"/>
      <c r="PCQ5" s="426"/>
      <c r="PCX5" s="426"/>
      <c r="PDE5" s="426"/>
      <c r="PDL5" s="426"/>
      <c r="PDS5" s="426"/>
      <c r="PDZ5" s="426"/>
      <c r="PEG5" s="426"/>
      <c r="PEN5" s="426"/>
      <c r="PEU5" s="426"/>
      <c r="PFB5" s="426"/>
      <c r="PFI5" s="426"/>
      <c r="PFP5" s="426"/>
      <c r="PFW5" s="426"/>
      <c r="PGD5" s="426"/>
      <c r="PGK5" s="426"/>
      <c r="PGR5" s="426"/>
      <c r="PGY5" s="426"/>
      <c r="PHF5" s="426"/>
      <c r="PHM5" s="426"/>
      <c r="PHT5" s="426"/>
      <c r="PIA5" s="426"/>
      <c r="PIH5" s="426"/>
      <c r="PIO5" s="426"/>
      <c r="PIV5" s="426"/>
      <c r="PJC5" s="426"/>
      <c r="PJJ5" s="426"/>
      <c r="PJQ5" s="426"/>
      <c r="PJX5" s="426"/>
      <c r="PKE5" s="426"/>
      <c r="PKL5" s="426"/>
      <c r="PKS5" s="426"/>
      <c r="PKZ5" s="426"/>
      <c r="PLG5" s="426"/>
      <c r="PLN5" s="426"/>
      <c r="PLU5" s="426"/>
      <c r="PMB5" s="426"/>
      <c r="PMI5" s="426"/>
      <c r="PMP5" s="426"/>
      <c r="PMW5" s="426"/>
      <c r="PND5" s="426"/>
      <c r="PNK5" s="426"/>
      <c r="PNR5" s="426"/>
      <c r="PNY5" s="426"/>
      <c r="POF5" s="426"/>
      <c r="POM5" s="426"/>
      <c r="POT5" s="426"/>
      <c r="PPA5" s="426"/>
      <c r="PPH5" s="426"/>
      <c r="PPO5" s="426"/>
      <c r="PPV5" s="426"/>
      <c r="PQC5" s="426"/>
      <c r="PQJ5" s="426"/>
      <c r="PQQ5" s="426"/>
      <c r="PQX5" s="426"/>
      <c r="PRE5" s="426"/>
      <c r="PRL5" s="426"/>
      <c r="PRS5" s="426"/>
      <c r="PRZ5" s="426"/>
      <c r="PSG5" s="426"/>
      <c r="PSN5" s="426"/>
      <c r="PSU5" s="426"/>
      <c r="PTB5" s="426"/>
      <c r="PTI5" s="426"/>
      <c r="PTP5" s="426"/>
      <c r="PTW5" s="426"/>
      <c r="PUD5" s="426"/>
      <c r="PUK5" s="426"/>
      <c r="PUR5" s="426"/>
      <c r="PUY5" s="426"/>
      <c r="PVF5" s="426"/>
      <c r="PVM5" s="426"/>
      <c r="PVT5" s="426"/>
      <c r="PWA5" s="426"/>
      <c r="PWH5" s="426"/>
      <c r="PWO5" s="426"/>
      <c r="PWV5" s="426"/>
      <c r="PXC5" s="426"/>
      <c r="PXJ5" s="426"/>
      <c r="PXQ5" s="426"/>
      <c r="PXX5" s="426"/>
      <c r="PYE5" s="426"/>
      <c r="PYL5" s="426"/>
      <c r="PYS5" s="426"/>
      <c r="PYZ5" s="426"/>
      <c r="PZG5" s="426"/>
      <c r="PZN5" s="426"/>
      <c r="PZU5" s="426"/>
      <c r="QAB5" s="426"/>
      <c r="QAI5" s="426"/>
      <c r="QAP5" s="426"/>
      <c r="QAW5" s="426"/>
      <c r="QBD5" s="426"/>
      <c r="QBK5" s="426"/>
      <c r="QBR5" s="426"/>
      <c r="QBY5" s="426"/>
      <c r="QCF5" s="426"/>
      <c r="QCM5" s="426"/>
      <c r="QCT5" s="426"/>
      <c r="QDA5" s="426"/>
      <c r="QDH5" s="426"/>
      <c r="QDO5" s="426"/>
      <c r="QDV5" s="426"/>
      <c r="QEC5" s="426"/>
      <c r="QEJ5" s="426"/>
      <c r="QEQ5" s="426"/>
      <c r="QEX5" s="426"/>
      <c r="QFE5" s="426"/>
      <c r="QFL5" s="426"/>
      <c r="QFS5" s="426"/>
      <c r="QFZ5" s="426"/>
      <c r="QGG5" s="426"/>
      <c r="QGN5" s="426"/>
      <c r="QGU5" s="426"/>
      <c r="QHB5" s="426"/>
      <c r="QHI5" s="426"/>
      <c r="QHP5" s="426"/>
      <c r="QHW5" s="426"/>
      <c r="QID5" s="426"/>
      <c r="QIK5" s="426"/>
      <c r="QIR5" s="426"/>
      <c r="QIY5" s="426"/>
      <c r="QJF5" s="426"/>
      <c r="QJM5" s="426"/>
      <c r="QJT5" s="426"/>
      <c r="QKA5" s="426"/>
      <c r="QKH5" s="426"/>
      <c r="QKO5" s="426"/>
      <c r="QKV5" s="426"/>
      <c r="QLC5" s="426"/>
      <c r="QLJ5" s="426"/>
      <c r="QLQ5" s="426"/>
      <c r="QLX5" s="426"/>
      <c r="QME5" s="426"/>
      <c r="QML5" s="426"/>
      <c r="QMS5" s="426"/>
      <c r="QMZ5" s="426"/>
      <c r="QNG5" s="426"/>
      <c r="QNN5" s="426"/>
      <c r="QNU5" s="426"/>
      <c r="QOB5" s="426"/>
      <c r="QOI5" s="426"/>
      <c r="QOP5" s="426"/>
      <c r="QOW5" s="426"/>
      <c r="QPD5" s="426"/>
      <c r="QPK5" s="426"/>
      <c r="QPR5" s="426"/>
      <c r="QPY5" s="426"/>
      <c r="QQF5" s="426"/>
      <c r="QQM5" s="426"/>
      <c r="QQT5" s="426"/>
      <c r="QRA5" s="426"/>
      <c r="QRH5" s="426"/>
      <c r="QRO5" s="426"/>
      <c r="QRV5" s="426"/>
      <c r="QSC5" s="426"/>
      <c r="QSJ5" s="426"/>
      <c r="QSQ5" s="426"/>
      <c r="QSX5" s="426"/>
      <c r="QTE5" s="426"/>
      <c r="QTL5" s="426"/>
      <c r="QTS5" s="426"/>
      <c r="QTZ5" s="426"/>
      <c r="QUG5" s="426"/>
      <c r="QUN5" s="426"/>
      <c r="QUU5" s="426"/>
      <c r="QVB5" s="426"/>
      <c r="QVI5" s="426"/>
      <c r="QVP5" s="426"/>
      <c r="QVW5" s="426"/>
      <c r="QWD5" s="426"/>
      <c r="QWK5" s="426"/>
      <c r="QWR5" s="426"/>
      <c r="QWY5" s="426"/>
      <c r="QXF5" s="426"/>
      <c r="QXM5" s="426"/>
      <c r="QXT5" s="426"/>
      <c r="QYA5" s="426"/>
      <c r="QYH5" s="426"/>
      <c r="QYO5" s="426"/>
      <c r="QYV5" s="426"/>
      <c r="QZC5" s="426"/>
      <c r="QZJ5" s="426"/>
      <c r="QZQ5" s="426"/>
      <c r="QZX5" s="426"/>
      <c r="RAE5" s="426"/>
      <c r="RAL5" s="426"/>
      <c r="RAS5" s="426"/>
      <c r="RAZ5" s="426"/>
      <c r="RBG5" s="426"/>
      <c r="RBN5" s="426"/>
      <c r="RBU5" s="426"/>
      <c r="RCB5" s="426"/>
      <c r="RCI5" s="426"/>
      <c r="RCP5" s="426"/>
      <c r="RCW5" s="426"/>
      <c r="RDD5" s="426"/>
      <c r="RDK5" s="426"/>
      <c r="RDR5" s="426"/>
      <c r="RDY5" s="426"/>
      <c r="REF5" s="426"/>
      <c r="REM5" s="426"/>
      <c r="RET5" s="426"/>
      <c r="RFA5" s="426"/>
      <c r="RFH5" s="426"/>
      <c r="RFO5" s="426"/>
      <c r="RFV5" s="426"/>
      <c r="RGC5" s="426"/>
      <c r="RGJ5" s="426"/>
      <c r="RGQ5" s="426"/>
      <c r="RGX5" s="426"/>
      <c r="RHE5" s="426"/>
      <c r="RHL5" s="426"/>
      <c r="RHS5" s="426"/>
      <c r="RHZ5" s="426"/>
      <c r="RIG5" s="426"/>
      <c r="RIN5" s="426"/>
      <c r="RIU5" s="426"/>
      <c r="RJB5" s="426"/>
      <c r="RJI5" s="426"/>
      <c r="RJP5" s="426"/>
      <c r="RJW5" s="426"/>
      <c r="RKD5" s="426"/>
      <c r="RKK5" s="426"/>
      <c r="RKR5" s="426"/>
      <c r="RKY5" s="426"/>
      <c r="RLF5" s="426"/>
      <c r="RLM5" s="426"/>
      <c r="RLT5" s="426"/>
      <c r="RMA5" s="426"/>
      <c r="RMH5" s="426"/>
      <c r="RMO5" s="426"/>
      <c r="RMV5" s="426"/>
      <c r="RNC5" s="426"/>
      <c r="RNJ5" s="426"/>
      <c r="RNQ5" s="426"/>
      <c r="RNX5" s="426"/>
      <c r="ROE5" s="426"/>
      <c r="ROL5" s="426"/>
      <c r="ROS5" s="426"/>
      <c r="ROZ5" s="426"/>
      <c r="RPG5" s="426"/>
      <c r="RPN5" s="426"/>
      <c r="RPU5" s="426"/>
      <c r="RQB5" s="426"/>
      <c r="RQI5" s="426"/>
      <c r="RQP5" s="426"/>
      <c r="RQW5" s="426"/>
      <c r="RRD5" s="426"/>
      <c r="RRK5" s="426"/>
      <c r="RRR5" s="426"/>
      <c r="RRY5" s="426"/>
      <c r="RSF5" s="426"/>
      <c r="RSM5" s="426"/>
      <c r="RST5" s="426"/>
      <c r="RTA5" s="426"/>
      <c r="RTH5" s="426"/>
      <c r="RTO5" s="426"/>
      <c r="RTV5" s="426"/>
      <c r="RUC5" s="426"/>
      <c r="RUJ5" s="426"/>
      <c r="RUQ5" s="426"/>
      <c r="RUX5" s="426"/>
      <c r="RVE5" s="426"/>
      <c r="RVL5" s="426"/>
      <c r="RVS5" s="426"/>
      <c r="RVZ5" s="426"/>
      <c r="RWG5" s="426"/>
      <c r="RWN5" s="426"/>
      <c r="RWU5" s="426"/>
      <c r="RXB5" s="426"/>
      <c r="RXI5" s="426"/>
      <c r="RXP5" s="426"/>
      <c r="RXW5" s="426"/>
      <c r="RYD5" s="426"/>
      <c r="RYK5" s="426"/>
      <c r="RYR5" s="426"/>
      <c r="RYY5" s="426"/>
      <c r="RZF5" s="426"/>
      <c r="RZM5" s="426"/>
      <c r="RZT5" s="426"/>
      <c r="SAA5" s="426"/>
      <c r="SAH5" s="426"/>
      <c r="SAO5" s="426"/>
      <c r="SAV5" s="426"/>
      <c r="SBC5" s="426"/>
      <c r="SBJ5" s="426"/>
      <c r="SBQ5" s="426"/>
      <c r="SBX5" s="426"/>
      <c r="SCE5" s="426"/>
      <c r="SCL5" s="426"/>
      <c r="SCS5" s="426"/>
      <c r="SCZ5" s="426"/>
      <c r="SDG5" s="426"/>
      <c r="SDN5" s="426"/>
      <c r="SDU5" s="426"/>
      <c r="SEB5" s="426"/>
      <c r="SEI5" s="426"/>
      <c r="SEP5" s="426"/>
      <c r="SEW5" s="426"/>
      <c r="SFD5" s="426"/>
      <c r="SFK5" s="426"/>
      <c r="SFR5" s="426"/>
      <c r="SFY5" s="426"/>
      <c r="SGF5" s="426"/>
      <c r="SGM5" s="426"/>
      <c r="SGT5" s="426"/>
      <c r="SHA5" s="426"/>
      <c r="SHH5" s="426"/>
      <c r="SHO5" s="426"/>
      <c r="SHV5" s="426"/>
      <c r="SIC5" s="426"/>
      <c r="SIJ5" s="426"/>
      <c r="SIQ5" s="426"/>
      <c r="SIX5" s="426"/>
      <c r="SJE5" s="426"/>
      <c r="SJL5" s="426"/>
      <c r="SJS5" s="426"/>
      <c r="SJZ5" s="426"/>
      <c r="SKG5" s="426"/>
      <c r="SKN5" s="426"/>
      <c r="SKU5" s="426"/>
      <c r="SLB5" s="426"/>
      <c r="SLI5" s="426"/>
      <c r="SLP5" s="426"/>
      <c r="SLW5" s="426"/>
      <c r="SMD5" s="426"/>
      <c r="SMK5" s="426"/>
      <c r="SMR5" s="426"/>
      <c r="SMY5" s="426"/>
      <c r="SNF5" s="426"/>
      <c r="SNM5" s="426"/>
      <c r="SNT5" s="426"/>
      <c r="SOA5" s="426"/>
      <c r="SOH5" s="426"/>
      <c r="SOO5" s="426"/>
      <c r="SOV5" s="426"/>
      <c r="SPC5" s="426"/>
      <c r="SPJ5" s="426"/>
      <c r="SPQ5" s="426"/>
      <c r="SPX5" s="426"/>
      <c r="SQE5" s="426"/>
      <c r="SQL5" s="426"/>
      <c r="SQS5" s="426"/>
      <c r="SQZ5" s="426"/>
      <c r="SRG5" s="426"/>
      <c r="SRN5" s="426"/>
      <c r="SRU5" s="426"/>
      <c r="SSB5" s="426"/>
      <c r="SSI5" s="426"/>
      <c r="SSP5" s="426"/>
      <c r="SSW5" s="426"/>
      <c r="STD5" s="426"/>
      <c r="STK5" s="426"/>
      <c r="STR5" s="426"/>
      <c r="STY5" s="426"/>
      <c r="SUF5" s="426"/>
      <c r="SUM5" s="426"/>
      <c r="SUT5" s="426"/>
      <c r="SVA5" s="426"/>
      <c r="SVH5" s="426"/>
      <c r="SVO5" s="426"/>
      <c r="SVV5" s="426"/>
      <c r="SWC5" s="426"/>
      <c r="SWJ5" s="426"/>
      <c r="SWQ5" s="426"/>
      <c r="SWX5" s="426"/>
      <c r="SXE5" s="426"/>
      <c r="SXL5" s="426"/>
      <c r="SXS5" s="426"/>
      <c r="SXZ5" s="426"/>
      <c r="SYG5" s="426"/>
      <c r="SYN5" s="426"/>
      <c r="SYU5" s="426"/>
      <c r="SZB5" s="426"/>
      <c r="SZI5" s="426"/>
      <c r="SZP5" s="426"/>
      <c r="SZW5" s="426"/>
      <c r="TAD5" s="426"/>
      <c r="TAK5" s="426"/>
      <c r="TAR5" s="426"/>
      <c r="TAY5" s="426"/>
      <c r="TBF5" s="426"/>
      <c r="TBM5" s="426"/>
      <c r="TBT5" s="426"/>
      <c r="TCA5" s="426"/>
      <c r="TCH5" s="426"/>
      <c r="TCO5" s="426"/>
      <c r="TCV5" s="426"/>
      <c r="TDC5" s="426"/>
      <c r="TDJ5" s="426"/>
      <c r="TDQ5" s="426"/>
      <c r="TDX5" s="426"/>
      <c r="TEE5" s="426"/>
      <c r="TEL5" s="426"/>
      <c r="TES5" s="426"/>
      <c r="TEZ5" s="426"/>
      <c r="TFG5" s="426"/>
      <c r="TFN5" s="426"/>
      <c r="TFU5" s="426"/>
      <c r="TGB5" s="426"/>
      <c r="TGI5" s="426"/>
      <c r="TGP5" s="426"/>
      <c r="TGW5" s="426"/>
      <c r="THD5" s="426"/>
      <c r="THK5" s="426"/>
      <c r="THR5" s="426"/>
      <c r="THY5" s="426"/>
      <c r="TIF5" s="426"/>
      <c r="TIM5" s="426"/>
      <c r="TIT5" s="426"/>
      <c r="TJA5" s="426"/>
      <c r="TJH5" s="426"/>
      <c r="TJO5" s="426"/>
      <c r="TJV5" s="426"/>
      <c r="TKC5" s="426"/>
      <c r="TKJ5" s="426"/>
      <c r="TKQ5" s="426"/>
      <c r="TKX5" s="426"/>
      <c r="TLE5" s="426"/>
      <c r="TLL5" s="426"/>
      <c r="TLS5" s="426"/>
      <c r="TLZ5" s="426"/>
      <c r="TMG5" s="426"/>
      <c r="TMN5" s="426"/>
      <c r="TMU5" s="426"/>
      <c r="TNB5" s="426"/>
      <c r="TNI5" s="426"/>
      <c r="TNP5" s="426"/>
      <c r="TNW5" s="426"/>
      <c r="TOD5" s="426"/>
      <c r="TOK5" s="426"/>
      <c r="TOR5" s="426"/>
      <c r="TOY5" s="426"/>
      <c r="TPF5" s="426"/>
      <c r="TPM5" s="426"/>
      <c r="TPT5" s="426"/>
      <c r="TQA5" s="426"/>
      <c r="TQH5" s="426"/>
      <c r="TQO5" s="426"/>
      <c r="TQV5" s="426"/>
      <c r="TRC5" s="426"/>
      <c r="TRJ5" s="426"/>
      <c r="TRQ5" s="426"/>
      <c r="TRX5" s="426"/>
      <c r="TSE5" s="426"/>
      <c r="TSL5" s="426"/>
      <c r="TSS5" s="426"/>
      <c r="TSZ5" s="426"/>
      <c r="TTG5" s="426"/>
      <c r="TTN5" s="426"/>
      <c r="TTU5" s="426"/>
      <c r="TUB5" s="426"/>
      <c r="TUI5" s="426"/>
      <c r="TUP5" s="426"/>
      <c r="TUW5" s="426"/>
      <c r="TVD5" s="426"/>
      <c r="TVK5" s="426"/>
      <c r="TVR5" s="426"/>
      <c r="TVY5" s="426"/>
      <c r="TWF5" s="426"/>
      <c r="TWM5" s="426"/>
      <c r="TWT5" s="426"/>
      <c r="TXA5" s="426"/>
      <c r="TXH5" s="426"/>
      <c r="TXO5" s="426"/>
      <c r="TXV5" s="426"/>
      <c r="TYC5" s="426"/>
      <c r="TYJ5" s="426"/>
      <c r="TYQ5" s="426"/>
      <c r="TYX5" s="426"/>
      <c r="TZE5" s="426"/>
      <c r="TZL5" s="426"/>
      <c r="TZS5" s="426"/>
      <c r="TZZ5" s="426"/>
      <c r="UAG5" s="426"/>
      <c r="UAN5" s="426"/>
      <c r="UAU5" s="426"/>
      <c r="UBB5" s="426"/>
      <c r="UBI5" s="426"/>
      <c r="UBP5" s="426"/>
      <c r="UBW5" s="426"/>
      <c r="UCD5" s="426"/>
      <c r="UCK5" s="426"/>
      <c r="UCR5" s="426"/>
      <c r="UCY5" s="426"/>
      <c r="UDF5" s="426"/>
      <c r="UDM5" s="426"/>
      <c r="UDT5" s="426"/>
      <c r="UEA5" s="426"/>
      <c r="UEH5" s="426"/>
      <c r="UEO5" s="426"/>
      <c r="UEV5" s="426"/>
      <c r="UFC5" s="426"/>
      <c r="UFJ5" s="426"/>
      <c r="UFQ5" s="426"/>
      <c r="UFX5" s="426"/>
      <c r="UGE5" s="426"/>
      <c r="UGL5" s="426"/>
      <c r="UGS5" s="426"/>
      <c r="UGZ5" s="426"/>
      <c r="UHG5" s="426"/>
      <c r="UHN5" s="426"/>
      <c r="UHU5" s="426"/>
      <c r="UIB5" s="426"/>
      <c r="UII5" s="426"/>
      <c r="UIP5" s="426"/>
      <c r="UIW5" s="426"/>
      <c r="UJD5" s="426"/>
      <c r="UJK5" s="426"/>
      <c r="UJR5" s="426"/>
      <c r="UJY5" s="426"/>
      <c r="UKF5" s="426"/>
      <c r="UKM5" s="426"/>
      <c r="UKT5" s="426"/>
      <c r="ULA5" s="426"/>
      <c r="ULH5" s="426"/>
      <c r="ULO5" s="426"/>
      <c r="ULV5" s="426"/>
      <c r="UMC5" s="426"/>
      <c r="UMJ5" s="426"/>
      <c r="UMQ5" s="426"/>
      <c r="UMX5" s="426"/>
      <c r="UNE5" s="426"/>
      <c r="UNL5" s="426"/>
      <c r="UNS5" s="426"/>
      <c r="UNZ5" s="426"/>
      <c r="UOG5" s="426"/>
      <c r="UON5" s="426"/>
      <c r="UOU5" s="426"/>
      <c r="UPB5" s="426"/>
      <c r="UPI5" s="426"/>
      <c r="UPP5" s="426"/>
      <c r="UPW5" s="426"/>
      <c r="UQD5" s="426"/>
      <c r="UQK5" s="426"/>
      <c r="UQR5" s="426"/>
      <c r="UQY5" s="426"/>
      <c r="URF5" s="426"/>
      <c r="URM5" s="426"/>
      <c r="URT5" s="426"/>
      <c r="USA5" s="426"/>
      <c r="USH5" s="426"/>
      <c r="USO5" s="426"/>
      <c r="USV5" s="426"/>
      <c r="UTC5" s="426"/>
      <c r="UTJ5" s="426"/>
      <c r="UTQ5" s="426"/>
      <c r="UTX5" s="426"/>
      <c r="UUE5" s="426"/>
      <c r="UUL5" s="426"/>
      <c r="UUS5" s="426"/>
      <c r="UUZ5" s="426"/>
      <c r="UVG5" s="426"/>
      <c r="UVN5" s="426"/>
      <c r="UVU5" s="426"/>
      <c r="UWB5" s="426"/>
      <c r="UWI5" s="426"/>
      <c r="UWP5" s="426"/>
      <c r="UWW5" s="426"/>
      <c r="UXD5" s="426"/>
      <c r="UXK5" s="426"/>
      <c r="UXR5" s="426"/>
      <c r="UXY5" s="426"/>
      <c r="UYF5" s="426"/>
      <c r="UYM5" s="426"/>
      <c r="UYT5" s="426"/>
      <c r="UZA5" s="426"/>
      <c r="UZH5" s="426"/>
      <c r="UZO5" s="426"/>
      <c r="UZV5" s="426"/>
      <c r="VAC5" s="426"/>
      <c r="VAJ5" s="426"/>
      <c r="VAQ5" s="426"/>
      <c r="VAX5" s="426"/>
      <c r="VBE5" s="426"/>
      <c r="VBL5" s="426"/>
      <c r="VBS5" s="426"/>
      <c r="VBZ5" s="426"/>
      <c r="VCG5" s="426"/>
      <c r="VCN5" s="426"/>
      <c r="VCU5" s="426"/>
      <c r="VDB5" s="426"/>
      <c r="VDI5" s="426"/>
      <c r="VDP5" s="426"/>
      <c r="VDW5" s="426"/>
      <c r="VED5" s="426"/>
      <c r="VEK5" s="426"/>
      <c r="VER5" s="426"/>
      <c r="VEY5" s="426"/>
      <c r="VFF5" s="426"/>
      <c r="VFM5" s="426"/>
      <c r="VFT5" s="426"/>
      <c r="VGA5" s="426"/>
      <c r="VGH5" s="426"/>
      <c r="VGO5" s="426"/>
      <c r="VGV5" s="426"/>
      <c r="VHC5" s="426"/>
      <c r="VHJ5" s="426"/>
      <c r="VHQ5" s="426"/>
      <c r="VHX5" s="426"/>
      <c r="VIE5" s="426"/>
      <c r="VIL5" s="426"/>
      <c r="VIS5" s="426"/>
      <c r="VIZ5" s="426"/>
      <c r="VJG5" s="426"/>
      <c r="VJN5" s="426"/>
      <c r="VJU5" s="426"/>
      <c r="VKB5" s="426"/>
      <c r="VKI5" s="426"/>
      <c r="VKP5" s="426"/>
      <c r="VKW5" s="426"/>
      <c r="VLD5" s="426"/>
      <c r="VLK5" s="426"/>
      <c r="VLR5" s="426"/>
      <c r="VLY5" s="426"/>
      <c r="VMF5" s="426"/>
      <c r="VMM5" s="426"/>
      <c r="VMT5" s="426"/>
      <c r="VNA5" s="426"/>
      <c r="VNH5" s="426"/>
      <c r="VNO5" s="426"/>
      <c r="VNV5" s="426"/>
      <c r="VOC5" s="426"/>
      <c r="VOJ5" s="426"/>
      <c r="VOQ5" s="426"/>
      <c r="VOX5" s="426"/>
      <c r="VPE5" s="426"/>
      <c r="VPL5" s="426"/>
      <c r="VPS5" s="426"/>
      <c r="VPZ5" s="426"/>
      <c r="VQG5" s="426"/>
      <c r="VQN5" s="426"/>
      <c r="VQU5" s="426"/>
      <c r="VRB5" s="426"/>
      <c r="VRI5" s="426"/>
      <c r="VRP5" s="426"/>
      <c r="VRW5" s="426"/>
      <c r="VSD5" s="426"/>
      <c r="VSK5" s="426"/>
      <c r="VSR5" s="426"/>
      <c r="VSY5" s="426"/>
      <c r="VTF5" s="426"/>
      <c r="VTM5" s="426"/>
      <c r="VTT5" s="426"/>
      <c r="VUA5" s="426"/>
      <c r="VUH5" s="426"/>
      <c r="VUO5" s="426"/>
      <c r="VUV5" s="426"/>
      <c r="VVC5" s="426"/>
      <c r="VVJ5" s="426"/>
      <c r="VVQ5" s="426"/>
      <c r="VVX5" s="426"/>
      <c r="VWE5" s="426"/>
      <c r="VWL5" s="426"/>
      <c r="VWS5" s="426"/>
      <c r="VWZ5" s="426"/>
      <c r="VXG5" s="426"/>
      <c r="VXN5" s="426"/>
      <c r="VXU5" s="426"/>
      <c r="VYB5" s="426"/>
      <c r="VYI5" s="426"/>
      <c r="VYP5" s="426"/>
      <c r="VYW5" s="426"/>
      <c r="VZD5" s="426"/>
      <c r="VZK5" s="426"/>
      <c r="VZR5" s="426"/>
      <c r="VZY5" s="426"/>
      <c r="WAF5" s="426"/>
      <c r="WAM5" s="426"/>
      <c r="WAT5" s="426"/>
      <c r="WBA5" s="426"/>
      <c r="WBH5" s="426"/>
      <c r="WBO5" s="426"/>
      <c r="WBV5" s="426"/>
      <c r="WCC5" s="426"/>
      <c r="WCJ5" s="426"/>
      <c r="WCQ5" s="426"/>
      <c r="WCX5" s="426"/>
      <c r="WDE5" s="426"/>
      <c r="WDL5" s="426"/>
      <c r="WDS5" s="426"/>
      <c r="WDZ5" s="426"/>
      <c r="WEG5" s="426"/>
      <c r="WEN5" s="426"/>
      <c r="WEU5" s="426"/>
      <c r="WFB5" s="426"/>
      <c r="WFI5" s="426"/>
      <c r="WFP5" s="426"/>
      <c r="WFW5" s="426"/>
      <c r="WGD5" s="426"/>
      <c r="WGK5" s="426"/>
      <c r="WGR5" s="426"/>
      <c r="WGY5" s="426"/>
      <c r="WHF5" s="426"/>
      <c r="WHM5" s="426"/>
      <c r="WHT5" s="426"/>
      <c r="WIA5" s="426"/>
      <c r="WIH5" s="426"/>
      <c r="WIO5" s="426"/>
      <c r="WIV5" s="426"/>
      <c r="WJC5" s="426"/>
      <c r="WJJ5" s="426"/>
      <c r="WJQ5" s="426"/>
      <c r="WJX5" s="426"/>
      <c r="WKE5" s="426"/>
      <c r="WKL5" s="426"/>
      <c r="WKS5" s="426"/>
      <c r="WKZ5" s="426"/>
      <c r="WLG5" s="426"/>
      <c r="WLN5" s="426"/>
      <c r="WLU5" s="426"/>
      <c r="WMB5" s="426"/>
      <c r="WMI5" s="426"/>
      <c r="WMP5" s="426"/>
      <c r="WMW5" s="426"/>
      <c r="WND5" s="426"/>
      <c r="WNK5" s="426"/>
      <c r="WNR5" s="426"/>
      <c r="WNY5" s="426"/>
      <c r="WOF5" s="426"/>
      <c r="WOM5" s="426"/>
      <c r="WOT5" s="426"/>
      <c r="WPA5" s="426"/>
      <c r="WPH5" s="426"/>
      <c r="WPO5" s="426"/>
      <c r="WPV5" s="426"/>
      <c r="WQC5" s="426"/>
      <c r="WQJ5" s="426"/>
      <c r="WQQ5" s="426"/>
      <c r="WQX5" s="426"/>
      <c r="WRE5" s="426"/>
      <c r="WRL5" s="426"/>
      <c r="WRS5" s="426"/>
      <c r="WRZ5" s="426"/>
      <c r="WSG5" s="426"/>
      <c r="WSN5" s="426"/>
      <c r="WSU5" s="426"/>
      <c r="WTB5" s="426"/>
      <c r="WTI5" s="426"/>
      <c r="WTP5" s="426"/>
      <c r="WTW5" s="426"/>
      <c r="WUD5" s="426"/>
      <c r="WUK5" s="426"/>
      <c r="WUR5" s="426"/>
      <c r="WUY5" s="426"/>
      <c r="WVF5" s="426"/>
      <c r="WVM5" s="426"/>
      <c r="WVT5" s="426"/>
      <c r="WWA5" s="426"/>
      <c r="WWH5" s="426"/>
      <c r="WWO5" s="426"/>
      <c r="WWV5" s="426"/>
      <c r="WXC5" s="426"/>
      <c r="WXJ5" s="426"/>
      <c r="WXQ5" s="426"/>
      <c r="WXX5" s="426"/>
      <c r="WYE5" s="426"/>
      <c r="WYL5" s="426"/>
      <c r="WYS5" s="426"/>
      <c r="WYZ5" s="426"/>
      <c r="WZG5" s="426"/>
      <c r="WZN5" s="426"/>
      <c r="WZU5" s="426"/>
      <c r="XAB5" s="426"/>
      <c r="XAI5" s="426"/>
      <c r="XAP5" s="426"/>
      <c r="XAW5" s="426"/>
      <c r="XBD5" s="426"/>
      <c r="XBK5" s="426"/>
      <c r="XBR5" s="426"/>
      <c r="XBY5" s="426"/>
      <c r="XCF5" s="426"/>
      <c r="XCM5" s="426"/>
      <c r="XCT5" s="426"/>
      <c r="XDA5" s="426"/>
      <c r="XDH5" s="426"/>
      <c r="XDO5" s="426"/>
      <c r="XDV5" s="426"/>
      <c r="XEC5" s="426"/>
      <c r="XEJ5" s="426"/>
      <c r="XEQ5" s="426"/>
      <c r="XEX5" s="426"/>
    </row>
    <row r="6" spans="1:1020 1027:2042 2049:3071 3078:4093 4100:5115 5122:6144 6151:7166 7173:8188 8195:9210 9217:10239 10246:11261 11268:12283 12290:13312 13319:14334 14341:15356 15363:16378">
      <c r="A6" s="431" t="s">
        <v>932</v>
      </c>
      <c r="B6" s="432"/>
      <c r="C6" s="432"/>
      <c r="D6" s="432"/>
      <c r="E6" s="433"/>
      <c r="F6" s="428"/>
      <c r="G6" s="428"/>
      <c r="I6" s="426"/>
    </row>
    <row r="7" spans="1:1020 1027:2042 2049:3071 3078:4093 4100:5115 5122:6144 6151:7166 7173:8188 8195:9210 9217:10239 10246:11261 11268:12283 12290:13312 13319:14334 14341:15356 15363:16378" ht="12.75" thickBot="1">
      <c r="A7" s="431"/>
      <c r="B7" s="428"/>
      <c r="C7" s="428"/>
      <c r="D7" s="428"/>
      <c r="E7" s="433"/>
      <c r="F7" s="428"/>
      <c r="G7" s="428"/>
    </row>
    <row r="8" spans="1:1020 1027:2042 2049:3071 3078:4093 4100:5115 5122:6144 6151:7166 7173:8188 8195:9210 9217:10239 10246:11261 11268:12283 12290:13312 13319:14334 14341:15356 15363:16378" ht="12.75" thickTop="1">
      <c r="A8" s="1322" t="s">
        <v>2820</v>
      </c>
      <c r="B8" s="1323">
        <f>+'Payroll Summary (C)'!$T$194+'Payroll Summary (C)'!V116+'Payroll Summary (C)'!W116</f>
        <v>238822.60359906964</v>
      </c>
      <c r="C8" s="434"/>
      <c r="D8" s="434"/>
      <c r="E8" s="433"/>
      <c r="F8" s="428"/>
      <c r="G8" s="428"/>
    </row>
    <row r="9" spans="1:1020 1027:2042 2049:3071 3078:4093 4100:5115 5122:6144 6151:7166 7173:8188 8195:9210 9217:10239 10246:11261 11268:12283 12290:13312 13319:14334 14341:15356 15363:16378">
      <c r="A9" s="1324" t="s">
        <v>458</v>
      </c>
      <c r="B9" s="1325">
        <f>SUM(B8:B8)</f>
        <v>238822.60359906964</v>
      </c>
      <c r="C9" s="436">
        <f>+'Payroll Summary (C)'!$T$194-B9</f>
        <v>0</v>
      </c>
      <c r="D9" s="436" t="s">
        <v>553</v>
      </c>
      <c r="E9" s="435"/>
      <c r="F9" s="428"/>
      <c r="G9" s="428"/>
    </row>
    <row r="10" spans="1:1020 1027:2042 2049:3071 3078:4093 4100:5115 5122:6144 6151:7166 7173:8188 8195:9210 9217:10239 10246:11261 11268:12283 12290:13312 13319:14334 14341:15356 15363:16378">
      <c r="A10" s="1326"/>
      <c r="B10" s="1327"/>
      <c r="C10" s="437"/>
      <c r="D10" s="437"/>
      <c r="E10" s="437"/>
      <c r="F10" s="428"/>
      <c r="G10" s="428"/>
    </row>
    <row r="11" spans="1:1020 1027:2042 2049:3071 3078:4093 4100:5115 5122:6144 6151:7166 7173:8188 8195:9210 9217:10239 10246:11261 11268:12283 12290:13312 13319:14334 14341:15356 15363:16378">
      <c r="A11" s="1326" t="s">
        <v>459</v>
      </c>
      <c r="B11" s="1327">
        <f>+'Payroll Summary (C)'!$T$212+'Payroll Summary (C)'!V131+'Payroll Summary (C)'!W131-B12</f>
        <v>50012.095882022702</v>
      </c>
      <c r="C11" s="437"/>
      <c r="D11" s="437"/>
      <c r="E11" s="437"/>
      <c r="F11" s="434"/>
      <c r="G11" s="428"/>
    </row>
    <row r="12" spans="1:1020 1027:2042 2049:3071 3078:4093 4100:5115 5122:6144 6151:7166 7173:8188 8195:9210 9217:10239 10246:11261 11268:12283 12290:13312 13319:14334 14341:15356 15363:16378">
      <c r="A12" s="1326" t="s">
        <v>926</v>
      </c>
      <c r="B12" s="1327">
        <f>+'Payroll Summary (C)'!$T$212*'Payroll Summary (C)'!$U$203</f>
        <v>8359.4121507536111</v>
      </c>
      <c r="C12" s="437"/>
      <c r="D12" s="437"/>
      <c r="E12" s="437"/>
      <c r="F12" s="434"/>
      <c r="G12" s="428"/>
    </row>
    <row r="13" spans="1:1020 1027:2042 2049:3071 3078:4093 4100:5115 5122:6144 6151:7166 7173:8188 8195:9210 9217:10239 10246:11261 11268:12283 12290:13312 13319:14334 14341:15356 15363:16378">
      <c r="A13" s="1326" t="s">
        <v>460</v>
      </c>
      <c r="B13" s="1327">
        <f>+('Payroll Summary (C)'!$T$262*'Payroll Summary (C)'!$U$252)+'Payroll Summary (C)'!V157+'Payroll Summary (C)'!W157</f>
        <v>2889.07948223416</v>
      </c>
      <c r="C13" s="437"/>
      <c r="D13" s="437"/>
      <c r="E13" s="437"/>
      <c r="F13" s="428"/>
      <c r="G13" s="428"/>
    </row>
    <row r="14" spans="1:1020 1027:2042 2049:3071 3078:4093 4100:5115 5122:6144 6151:7166 7173:8188 8195:9210 9217:10239 10246:11261 11268:12283 12290:13312 13319:14334 14341:15356 15363:16378">
      <c r="A14" s="1326" t="s">
        <v>461</v>
      </c>
      <c r="B14" s="1327">
        <f>+'Payroll Summary (C)'!$T$262+'Payroll Summary (C)'!V162+'Payroll Summary (C)'!W162-B13</f>
        <v>-2262.9416916147497</v>
      </c>
      <c r="C14" s="437"/>
      <c r="D14" s="437"/>
      <c r="E14" s="437"/>
      <c r="F14" s="428"/>
      <c r="G14" s="428"/>
    </row>
    <row r="15" spans="1:1020 1027:2042 2049:3071 3078:4093 4100:5115 5122:6144 6151:7166 7173:8188 8195:9210 9217:10239 10246:11261 11268:12283 12290:13312 13319:14334 14341:15356 15363:16378">
      <c r="A15" s="1326" t="s">
        <v>554</v>
      </c>
      <c r="B15" s="1327">
        <f>+'Payroll Summary (C)'!$T$244+'Payroll Summary (C)'!V171+'Payroll Summary (C)'!W171</f>
        <v>95478.910000000047</v>
      </c>
      <c r="C15" s="437"/>
      <c r="D15" s="437"/>
      <c r="E15" s="437"/>
      <c r="F15" s="428"/>
      <c r="G15" s="428"/>
    </row>
    <row r="16" spans="1:1020 1027:2042 2049:3071 3078:4093 4100:5115 5122:6144 6151:7166 7173:8188 8195:9210 9217:10239 10246:11261 11268:12283 12290:13312 13319:14334 14341:15356 15363:16378">
      <c r="A16" s="1326" t="s">
        <v>1439</v>
      </c>
      <c r="B16" s="1328">
        <f>+'Payroll Summary (C)'!$T$281+'Payroll Summary (C)'!$W$143+'Payroll Summary (C)'!V143</f>
        <v>71846.823034025001</v>
      </c>
      <c r="C16" s="437"/>
      <c r="D16" s="437"/>
      <c r="E16" s="437"/>
      <c r="F16" s="428"/>
      <c r="G16" s="428"/>
    </row>
    <row r="17" spans="1:1020 1027:2042 2049:3071 3078:4093 4100:5115 5122:6144 6151:7166 7173:8188 8195:9210 9217:10239 10246:11261 11268:12283 12290:13312 13319:14334 14341:15356 15363:16378">
      <c r="A17" s="1326"/>
      <c r="B17" s="1325">
        <f>+SUM(B11:B16)</f>
        <v>226323.37885742079</v>
      </c>
      <c r="C17" s="436">
        <f>+B9+B17-'Payroll Summary (C)'!$T$286-'Payroll Summary (C)'!V173-'Payroll Summary (C)'!$W$173</f>
        <v>0</v>
      </c>
      <c r="D17" s="436" t="s">
        <v>553</v>
      </c>
      <c r="E17" s="435"/>
      <c r="F17" s="428"/>
      <c r="G17" s="428"/>
    </row>
    <row r="18" spans="1:1020 1027:2042 2049:3071 3078:4093 4100:5115 5122:6144 6151:7166 7173:8188 8195:9210 9217:10239 10246:11261 11268:12283 12290:13312 13319:14334 14341:15356 15363:16378">
      <c r="A18" s="1326"/>
      <c r="B18" s="1327"/>
      <c r="C18" s="436"/>
      <c r="D18" s="437"/>
      <c r="E18" s="437"/>
      <c r="F18" s="428"/>
      <c r="G18" s="428"/>
    </row>
    <row r="19" spans="1:1020 1027:2042 2049:3071 3078:4093 4100:5115 5122:6144 6151:7166 7173:8188 8195:9210 9217:10239 10246:11261 11268:12283 12290:13312 13319:14334 14341:15356 15363:16378" ht="12.75" thickBot="1">
      <c r="A19" s="1329" t="s">
        <v>462</v>
      </c>
      <c r="B19" s="1330">
        <f>B9+B17</f>
        <v>465145.9824564904</v>
      </c>
      <c r="C19" s="438"/>
      <c r="D19" s="435"/>
      <c r="E19" s="435"/>
      <c r="F19" s="434"/>
      <c r="G19" s="428"/>
    </row>
    <row r="20" spans="1:1020 1027:2042 2049:3071 3078:4093 4100:5115 5122:6144 6151:7166 7173:8188 8195:9210 9217:10239 10246:11261 11268:12283 12290:13312 13319:14334 14341:15356 15363:16378">
      <c r="A20" s="1326"/>
      <c r="B20" s="1327"/>
      <c r="C20" s="437"/>
      <c r="D20" s="437"/>
      <c r="E20" s="437"/>
      <c r="F20" s="434"/>
      <c r="G20" s="428"/>
    </row>
    <row r="21" spans="1:1020 1027:2042 2049:3071 3078:4093 4100:5115 5122:6144 6151:7166 7173:8188 8195:9210 9217:10239 10246:11261 11268:12283 12290:13312 13319:14334 14341:15356 15363:16378">
      <c r="A21" s="1324" t="s">
        <v>463</v>
      </c>
      <c r="B21" s="1327"/>
      <c r="C21" s="437"/>
      <c r="D21" s="437"/>
      <c r="E21" s="437"/>
      <c r="F21" s="434"/>
      <c r="G21" s="428"/>
    </row>
    <row r="22" spans="1:1020 1027:2042 2049:3071 3078:4093 4100:5115 5122:6144 6151:7166 7173:8188 8195:9210 9217:10239 10246:11261 11268:12283 12290:13312 13319:14334 14341:15356 15363:16378">
      <c r="A22" s="1326" t="s">
        <v>3021</v>
      </c>
      <c r="B22" s="1327">
        <f>(B9)*0.0765</f>
        <v>18269.929175328827</v>
      </c>
      <c r="C22" s="437"/>
      <c r="D22" s="437"/>
      <c r="E22" s="437"/>
      <c r="F22" s="434"/>
      <c r="G22" s="428"/>
    </row>
    <row r="23" spans="1:1020 1027:2042 2049:3071 3078:4093 4100:5115 5122:6144 6151:7166 7173:8188 8195:9210 9217:10239 10246:11261 11268:12283 12290:13312 13319:14334 14341:15356 15363:16378">
      <c r="A23" s="1326" t="s">
        <v>459</v>
      </c>
      <c r="B23" s="1327">
        <f>(B11+B12)*0.0765</f>
        <v>4465.4203645073876</v>
      </c>
      <c r="C23" s="437"/>
      <c r="D23" s="437"/>
      <c r="E23" s="437"/>
      <c r="F23" s="434"/>
      <c r="G23" s="428"/>
    </row>
    <row r="24" spans="1:1020 1027:2042 2049:3071 3078:4093 4100:5115 5122:6144 6151:7166 7173:8188 8195:9210 9217:10239 10246:11261 11268:12283 12290:13312 13319:14334 14341:15356 15363:16378">
      <c r="A24" s="1326" t="s">
        <v>464</v>
      </c>
      <c r="B24" s="1327">
        <f>(B13+B14)*0.0765</f>
        <v>47.899540982384885</v>
      </c>
      <c r="C24" s="437"/>
      <c r="D24" s="437"/>
      <c r="E24" s="437"/>
      <c r="F24" s="434"/>
      <c r="G24" s="428"/>
    </row>
    <row r="25" spans="1:1020 1027:2042 2049:3071 3078:4093 4100:5115 5122:6144 6151:7166 7173:8188 8195:9210 9217:10239 10246:11261 11268:12283 12290:13312 13319:14334 14341:15356 15363:16378">
      <c r="A25" s="1326" t="s">
        <v>554</v>
      </c>
      <c r="B25" s="1327">
        <f>(B15)*0.0765</f>
        <v>7304.1366150000031</v>
      </c>
      <c r="C25" s="437"/>
      <c r="D25" s="437"/>
      <c r="E25" s="437"/>
      <c r="F25" s="434"/>
      <c r="G25" s="439"/>
    </row>
    <row r="26" spans="1:1020 1027:2042 2049:3071 3078:4093 4100:5115 5122:6144 6151:7166 7173:8188 8195:9210 9217:10239 10246:11261 11268:12283 12290:13312 13319:14334 14341:15356 15363:16378">
      <c r="A26" s="1326" t="s">
        <v>1439</v>
      </c>
      <c r="B26" s="1327">
        <f>(B16)*0.0765</f>
        <v>5496.2819621029121</v>
      </c>
      <c r="C26" s="437"/>
      <c r="D26" s="437"/>
      <c r="E26" s="437"/>
      <c r="F26" s="434"/>
      <c r="G26" s="439"/>
    </row>
    <row r="27" spans="1:1020 1027:2042 2049:3071 3078:4093 4100:5115 5122:6144 6151:7166 7173:8188 8195:9210 9217:10239 10246:11261 11268:12283 12290:13312 13319:14334 14341:15356 15363:16378" ht="12.75" thickBot="1">
      <c r="A27" s="1331" t="s">
        <v>465</v>
      </c>
      <c r="B27" s="1332">
        <f>+SUM(B22:B26)</f>
        <v>35583.667657921513</v>
      </c>
      <c r="C27" s="438"/>
      <c r="D27" s="437"/>
      <c r="E27" s="440"/>
      <c r="F27" s="434"/>
      <c r="G27" s="428"/>
    </row>
    <row r="28" spans="1:1020 1027:2042 2049:3071 3078:4093 4100:5115 5122:6144 6151:7166 7173:8188 8195:9210 9217:10239 10246:11261 11268:12283 12290:13312 13319:14334 14341:15356 15363:16378" ht="12.75" thickTop="1">
      <c r="A28" s="428"/>
      <c r="B28" s="437"/>
      <c r="C28" s="437"/>
      <c r="D28" s="437"/>
      <c r="E28" s="437"/>
      <c r="F28" s="434"/>
      <c r="G28" s="428"/>
    </row>
    <row r="29" spans="1:1020 1027:2042 2049:3071 3078:4093 4100:5115 5122:6144 6151:7166 7173:8188 8195:9210 9217:10239 10246:11261 11268:12283 12290:13312 13319:14334 14341:15356 15363:16378">
      <c r="B29" s="441"/>
      <c r="C29" s="441"/>
    </row>
    <row r="30" spans="1:1020 1027:2042 2049:3071 3078:4093 4100:5115 5122:6144 6151:7166 7173:8188 8195:9210 9217:10239 10246:11261 11268:12283 12290:13312 13319:14334 14341:15356 15363:16378">
      <c r="A30" s="429"/>
      <c r="B30" s="429"/>
      <c r="C30" s="429"/>
      <c r="D30" s="429"/>
      <c r="E30" s="430"/>
      <c r="F30" s="429"/>
      <c r="G30" s="429"/>
      <c r="L30" s="426"/>
      <c r="S30" s="426"/>
      <c r="Z30" s="426"/>
      <c r="AG30" s="426"/>
      <c r="AN30" s="426"/>
      <c r="AU30" s="426"/>
      <c r="BB30" s="426"/>
      <c r="BI30" s="426"/>
      <c r="BP30" s="426"/>
      <c r="BW30" s="426"/>
      <c r="CD30" s="426"/>
      <c r="CK30" s="426"/>
      <c r="CR30" s="426"/>
      <c r="CY30" s="426"/>
      <c r="DF30" s="426"/>
      <c r="DM30" s="426"/>
      <c r="DT30" s="426"/>
      <c r="EA30" s="426"/>
      <c r="EH30" s="426"/>
      <c r="EO30" s="426"/>
      <c r="EV30" s="426"/>
      <c r="FC30" s="426"/>
      <c r="FJ30" s="426"/>
      <c r="FQ30" s="426"/>
      <c r="FX30" s="426"/>
      <c r="GE30" s="426"/>
      <c r="GL30" s="426"/>
      <c r="GS30" s="426"/>
      <c r="GZ30" s="426"/>
      <c r="HG30" s="426"/>
      <c r="HN30" s="426"/>
      <c r="HU30" s="426"/>
      <c r="IB30" s="426"/>
      <c r="II30" s="426"/>
      <c r="IP30" s="426"/>
      <c r="IW30" s="426"/>
      <c r="JD30" s="426"/>
      <c r="JK30" s="426"/>
      <c r="JR30" s="426"/>
      <c r="JY30" s="426"/>
      <c r="KF30" s="426"/>
      <c r="KM30" s="426"/>
      <c r="KT30" s="426"/>
      <c r="LA30" s="426"/>
      <c r="LH30" s="426"/>
      <c r="LO30" s="426"/>
      <c r="LV30" s="426"/>
      <c r="MC30" s="426"/>
      <c r="MJ30" s="426"/>
      <c r="MQ30" s="426"/>
      <c r="MX30" s="426"/>
      <c r="NE30" s="426"/>
      <c r="NL30" s="426"/>
      <c r="NS30" s="426"/>
      <c r="NZ30" s="426"/>
      <c r="OG30" s="426"/>
      <c r="ON30" s="426"/>
      <c r="OU30" s="426"/>
      <c r="PB30" s="426"/>
      <c r="PI30" s="426"/>
      <c r="PP30" s="426"/>
      <c r="PW30" s="426"/>
      <c r="QD30" s="426"/>
      <c r="QK30" s="426"/>
      <c r="QR30" s="426"/>
      <c r="QY30" s="426"/>
      <c r="RF30" s="426"/>
      <c r="RM30" s="426"/>
      <c r="RT30" s="426"/>
      <c r="SA30" s="426"/>
      <c r="SH30" s="426"/>
      <c r="SO30" s="426"/>
      <c r="SV30" s="426"/>
      <c r="TC30" s="426"/>
      <c r="TJ30" s="426"/>
      <c r="TQ30" s="426"/>
      <c r="TX30" s="426"/>
      <c r="UE30" s="426"/>
      <c r="UL30" s="426"/>
      <c r="US30" s="426"/>
      <c r="UZ30" s="426"/>
      <c r="VG30" s="426"/>
      <c r="VN30" s="426"/>
      <c r="VU30" s="426"/>
      <c r="WB30" s="426"/>
      <c r="WI30" s="426"/>
      <c r="WP30" s="426"/>
      <c r="WW30" s="426"/>
      <c r="XD30" s="426"/>
      <c r="XK30" s="426"/>
      <c r="XR30" s="426"/>
      <c r="XY30" s="426"/>
      <c r="YF30" s="426"/>
      <c r="YM30" s="426"/>
      <c r="YT30" s="426"/>
      <c r="ZA30" s="426"/>
      <c r="ZH30" s="426"/>
      <c r="ZO30" s="426"/>
      <c r="ZV30" s="426"/>
      <c r="AAC30" s="426"/>
      <c r="AAJ30" s="426"/>
      <c r="AAQ30" s="426"/>
      <c r="AAX30" s="426"/>
      <c r="ABE30" s="426"/>
      <c r="ABL30" s="426"/>
      <c r="ABS30" s="426"/>
      <c r="ABZ30" s="426"/>
      <c r="ACG30" s="426"/>
      <c r="ACN30" s="426"/>
      <c r="ACU30" s="426"/>
      <c r="ADB30" s="426"/>
      <c r="ADI30" s="426"/>
      <c r="ADP30" s="426"/>
      <c r="ADW30" s="426"/>
      <c r="AED30" s="426"/>
      <c r="AEK30" s="426"/>
      <c r="AER30" s="426"/>
      <c r="AEY30" s="426"/>
      <c r="AFF30" s="426"/>
      <c r="AFM30" s="426"/>
      <c r="AFT30" s="426"/>
      <c r="AGA30" s="426"/>
      <c r="AGH30" s="426"/>
      <c r="AGO30" s="426"/>
      <c r="AGV30" s="426"/>
      <c r="AHC30" s="426"/>
      <c r="AHJ30" s="426"/>
      <c r="AHQ30" s="426"/>
      <c r="AHX30" s="426"/>
      <c r="AIE30" s="426"/>
      <c r="AIL30" s="426"/>
      <c r="AIS30" s="426"/>
      <c r="AIZ30" s="426"/>
      <c r="AJG30" s="426"/>
      <c r="AJN30" s="426"/>
      <c r="AJU30" s="426"/>
      <c r="AKB30" s="426"/>
      <c r="AKI30" s="426"/>
      <c r="AKP30" s="426"/>
      <c r="AKW30" s="426"/>
      <c r="ALD30" s="426"/>
      <c r="ALK30" s="426"/>
      <c r="ALR30" s="426"/>
      <c r="ALY30" s="426"/>
      <c r="AMF30" s="426"/>
      <c r="AMM30" s="426"/>
      <c r="AMT30" s="426"/>
      <c r="ANA30" s="426"/>
      <c r="ANH30" s="426"/>
      <c r="ANO30" s="426"/>
      <c r="ANV30" s="426"/>
      <c r="AOC30" s="426"/>
      <c r="AOJ30" s="426"/>
      <c r="AOQ30" s="426"/>
      <c r="AOX30" s="426"/>
      <c r="APE30" s="426"/>
      <c r="APL30" s="426"/>
      <c r="APS30" s="426"/>
      <c r="APZ30" s="426"/>
      <c r="AQG30" s="426"/>
      <c r="AQN30" s="426"/>
      <c r="AQU30" s="426"/>
      <c r="ARB30" s="426"/>
      <c r="ARI30" s="426"/>
      <c r="ARP30" s="426"/>
      <c r="ARW30" s="426"/>
      <c r="ASD30" s="426"/>
      <c r="ASK30" s="426"/>
      <c r="ASR30" s="426"/>
      <c r="ASY30" s="426"/>
      <c r="ATF30" s="426"/>
      <c r="ATM30" s="426"/>
      <c r="ATT30" s="426"/>
      <c r="AUA30" s="426"/>
      <c r="AUH30" s="426"/>
      <c r="AUO30" s="426"/>
      <c r="AUV30" s="426"/>
      <c r="AVC30" s="426"/>
      <c r="AVJ30" s="426"/>
      <c r="AVQ30" s="426"/>
      <c r="AVX30" s="426"/>
      <c r="AWE30" s="426"/>
      <c r="AWL30" s="426"/>
      <c r="AWS30" s="426"/>
      <c r="AWZ30" s="426"/>
      <c r="AXG30" s="426"/>
      <c r="AXN30" s="426"/>
      <c r="AXU30" s="426"/>
      <c r="AYB30" s="426"/>
      <c r="AYI30" s="426"/>
      <c r="AYP30" s="426"/>
      <c r="AYW30" s="426"/>
      <c r="AZD30" s="426"/>
      <c r="AZK30" s="426"/>
      <c r="AZR30" s="426"/>
      <c r="AZY30" s="426"/>
      <c r="BAF30" s="426"/>
      <c r="BAM30" s="426"/>
      <c r="BAT30" s="426"/>
      <c r="BBA30" s="426"/>
      <c r="BBH30" s="426"/>
      <c r="BBO30" s="426"/>
      <c r="BBV30" s="426"/>
      <c r="BCC30" s="426"/>
      <c r="BCJ30" s="426"/>
      <c r="BCQ30" s="426"/>
      <c r="BCX30" s="426"/>
      <c r="BDE30" s="426"/>
      <c r="BDL30" s="426"/>
      <c r="BDS30" s="426"/>
      <c r="BDZ30" s="426"/>
      <c r="BEG30" s="426"/>
      <c r="BEN30" s="426"/>
      <c r="BEU30" s="426"/>
      <c r="BFB30" s="426"/>
      <c r="BFI30" s="426"/>
      <c r="BFP30" s="426"/>
      <c r="BFW30" s="426"/>
      <c r="BGD30" s="426"/>
      <c r="BGK30" s="426"/>
      <c r="BGR30" s="426"/>
      <c r="BGY30" s="426"/>
      <c r="BHF30" s="426"/>
      <c r="BHM30" s="426"/>
      <c r="BHT30" s="426"/>
      <c r="BIA30" s="426"/>
      <c r="BIH30" s="426"/>
      <c r="BIO30" s="426"/>
      <c r="BIV30" s="426"/>
      <c r="BJC30" s="426"/>
      <c r="BJJ30" s="426"/>
      <c r="BJQ30" s="426"/>
      <c r="BJX30" s="426"/>
      <c r="BKE30" s="426"/>
      <c r="BKL30" s="426"/>
      <c r="BKS30" s="426"/>
      <c r="BKZ30" s="426"/>
      <c r="BLG30" s="426"/>
      <c r="BLN30" s="426"/>
      <c r="BLU30" s="426"/>
      <c r="BMB30" s="426"/>
      <c r="BMI30" s="426"/>
      <c r="BMP30" s="426"/>
      <c r="BMW30" s="426"/>
      <c r="BND30" s="426"/>
      <c r="BNK30" s="426"/>
      <c r="BNR30" s="426"/>
      <c r="BNY30" s="426"/>
      <c r="BOF30" s="426"/>
      <c r="BOM30" s="426"/>
      <c r="BOT30" s="426"/>
      <c r="BPA30" s="426"/>
      <c r="BPH30" s="426"/>
      <c r="BPO30" s="426"/>
      <c r="BPV30" s="426"/>
      <c r="BQC30" s="426"/>
      <c r="BQJ30" s="426"/>
      <c r="BQQ30" s="426"/>
      <c r="BQX30" s="426"/>
      <c r="BRE30" s="426"/>
      <c r="BRL30" s="426"/>
      <c r="BRS30" s="426"/>
      <c r="BRZ30" s="426"/>
      <c r="BSG30" s="426"/>
      <c r="BSN30" s="426"/>
      <c r="BSU30" s="426"/>
      <c r="BTB30" s="426"/>
      <c r="BTI30" s="426"/>
      <c r="BTP30" s="426"/>
      <c r="BTW30" s="426"/>
      <c r="BUD30" s="426"/>
      <c r="BUK30" s="426"/>
      <c r="BUR30" s="426"/>
      <c r="BUY30" s="426"/>
      <c r="BVF30" s="426"/>
      <c r="BVM30" s="426"/>
      <c r="BVT30" s="426"/>
      <c r="BWA30" s="426"/>
      <c r="BWH30" s="426"/>
      <c r="BWO30" s="426"/>
      <c r="BWV30" s="426"/>
      <c r="BXC30" s="426"/>
      <c r="BXJ30" s="426"/>
      <c r="BXQ30" s="426"/>
      <c r="BXX30" s="426"/>
      <c r="BYE30" s="426"/>
      <c r="BYL30" s="426"/>
      <c r="BYS30" s="426"/>
      <c r="BYZ30" s="426"/>
      <c r="BZG30" s="426"/>
      <c r="BZN30" s="426"/>
      <c r="BZU30" s="426"/>
      <c r="CAB30" s="426"/>
      <c r="CAI30" s="426"/>
      <c r="CAP30" s="426"/>
      <c r="CAW30" s="426"/>
      <c r="CBD30" s="426"/>
      <c r="CBK30" s="426"/>
      <c r="CBR30" s="426"/>
      <c r="CBY30" s="426"/>
      <c r="CCF30" s="426"/>
      <c r="CCM30" s="426"/>
      <c r="CCT30" s="426"/>
      <c r="CDA30" s="426"/>
      <c r="CDH30" s="426"/>
      <c r="CDO30" s="426"/>
      <c r="CDV30" s="426"/>
      <c r="CEC30" s="426"/>
      <c r="CEJ30" s="426"/>
      <c r="CEQ30" s="426"/>
      <c r="CEX30" s="426"/>
      <c r="CFE30" s="426"/>
      <c r="CFL30" s="426"/>
      <c r="CFS30" s="426"/>
      <c r="CFZ30" s="426"/>
      <c r="CGG30" s="426"/>
      <c r="CGN30" s="426"/>
      <c r="CGU30" s="426"/>
      <c r="CHB30" s="426"/>
      <c r="CHI30" s="426"/>
      <c r="CHP30" s="426"/>
      <c r="CHW30" s="426"/>
      <c r="CID30" s="426"/>
      <c r="CIK30" s="426"/>
      <c r="CIR30" s="426"/>
      <c r="CIY30" s="426"/>
      <c r="CJF30" s="426"/>
      <c r="CJM30" s="426"/>
      <c r="CJT30" s="426"/>
      <c r="CKA30" s="426"/>
      <c r="CKH30" s="426"/>
      <c r="CKO30" s="426"/>
      <c r="CKV30" s="426"/>
      <c r="CLC30" s="426"/>
      <c r="CLJ30" s="426"/>
      <c r="CLQ30" s="426"/>
      <c r="CLX30" s="426"/>
      <c r="CME30" s="426"/>
      <c r="CML30" s="426"/>
      <c r="CMS30" s="426"/>
      <c r="CMZ30" s="426"/>
      <c r="CNG30" s="426"/>
      <c r="CNN30" s="426"/>
      <c r="CNU30" s="426"/>
      <c r="COB30" s="426"/>
      <c r="COI30" s="426"/>
      <c r="COP30" s="426"/>
      <c r="COW30" s="426"/>
      <c r="CPD30" s="426"/>
      <c r="CPK30" s="426"/>
      <c r="CPR30" s="426"/>
      <c r="CPY30" s="426"/>
      <c r="CQF30" s="426"/>
      <c r="CQM30" s="426"/>
      <c r="CQT30" s="426"/>
      <c r="CRA30" s="426"/>
      <c r="CRH30" s="426"/>
      <c r="CRO30" s="426"/>
      <c r="CRV30" s="426"/>
      <c r="CSC30" s="426"/>
      <c r="CSJ30" s="426"/>
      <c r="CSQ30" s="426"/>
      <c r="CSX30" s="426"/>
      <c r="CTE30" s="426"/>
      <c r="CTL30" s="426"/>
      <c r="CTS30" s="426"/>
      <c r="CTZ30" s="426"/>
      <c r="CUG30" s="426"/>
      <c r="CUN30" s="426"/>
      <c r="CUU30" s="426"/>
      <c r="CVB30" s="426"/>
      <c r="CVI30" s="426"/>
      <c r="CVP30" s="426"/>
      <c r="CVW30" s="426"/>
      <c r="CWD30" s="426"/>
      <c r="CWK30" s="426"/>
      <c r="CWR30" s="426"/>
      <c r="CWY30" s="426"/>
      <c r="CXF30" s="426"/>
      <c r="CXM30" s="426"/>
      <c r="CXT30" s="426"/>
      <c r="CYA30" s="426"/>
      <c r="CYH30" s="426"/>
      <c r="CYO30" s="426"/>
      <c r="CYV30" s="426"/>
      <c r="CZC30" s="426"/>
      <c r="CZJ30" s="426"/>
      <c r="CZQ30" s="426"/>
      <c r="CZX30" s="426"/>
      <c r="DAE30" s="426"/>
      <c r="DAL30" s="426"/>
      <c r="DAS30" s="426"/>
      <c r="DAZ30" s="426"/>
      <c r="DBG30" s="426"/>
      <c r="DBN30" s="426"/>
      <c r="DBU30" s="426"/>
      <c r="DCB30" s="426"/>
      <c r="DCI30" s="426"/>
      <c r="DCP30" s="426"/>
      <c r="DCW30" s="426"/>
      <c r="DDD30" s="426"/>
      <c r="DDK30" s="426"/>
      <c r="DDR30" s="426"/>
      <c r="DDY30" s="426"/>
      <c r="DEF30" s="426"/>
      <c r="DEM30" s="426"/>
      <c r="DET30" s="426"/>
      <c r="DFA30" s="426"/>
      <c r="DFH30" s="426"/>
      <c r="DFO30" s="426"/>
      <c r="DFV30" s="426"/>
      <c r="DGC30" s="426"/>
      <c r="DGJ30" s="426"/>
      <c r="DGQ30" s="426"/>
      <c r="DGX30" s="426"/>
      <c r="DHE30" s="426"/>
      <c r="DHL30" s="426"/>
      <c r="DHS30" s="426"/>
      <c r="DHZ30" s="426"/>
      <c r="DIG30" s="426"/>
      <c r="DIN30" s="426"/>
      <c r="DIU30" s="426"/>
      <c r="DJB30" s="426"/>
      <c r="DJI30" s="426"/>
      <c r="DJP30" s="426"/>
      <c r="DJW30" s="426"/>
      <c r="DKD30" s="426"/>
      <c r="DKK30" s="426"/>
      <c r="DKR30" s="426"/>
      <c r="DKY30" s="426"/>
      <c r="DLF30" s="426"/>
      <c r="DLM30" s="426"/>
      <c r="DLT30" s="426"/>
      <c r="DMA30" s="426"/>
      <c r="DMH30" s="426"/>
      <c r="DMO30" s="426"/>
      <c r="DMV30" s="426"/>
      <c r="DNC30" s="426"/>
      <c r="DNJ30" s="426"/>
      <c r="DNQ30" s="426"/>
      <c r="DNX30" s="426"/>
      <c r="DOE30" s="426"/>
      <c r="DOL30" s="426"/>
      <c r="DOS30" s="426"/>
      <c r="DOZ30" s="426"/>
      <c r="DPG30" s="426"/>
      <c r="DPN30" s="426"/>
      <c r="DPU30" s="426"/>
      <c r="DQB30" s="426"/>
      <c r="DQI30" s="426"/>
      <c r="DQP30" s="426"/>
      <c r="DQW30" s="426"/>
      <c r="DRD30" s="426"/>
      <c r="DRK30" s="426"/>
      <c r="DRR30" s="426"/>
      <c r="DRY30" s="426"/>
      <c r="DSF30" s="426"/>
      <c r="DSM30" s="426"/>
      <c r="DST30" s="426"/>
      <c r="DTA30" s="426"/>
      <c r="DTH30" s="426"/>
      <c r="DTO30" s="426"/>
      <c r="DTV30" s="426"/>
      <c r="DUC30" s="426"/>
      <c r="DUJ30" s="426"/>
      <c r="DUQ30" s="426"/>
      <c r="DUX30" s="426"/>
      <c r="DVE30" s="426"/>
      <c r="DVL30" s="426"/>
      <c r="DVS30" s="426"/>
      <c r="DVZ30" s="426"/>
      <c r="DWG30" s="426"/>
      <c r="DWN30" s="426"/>
      <c r="DWU30" s="426"/>
      <c r="DXB30" s="426"/>
      <c r="DXI30" s="426"/>
      <c r="DXP30" s="426"/>
      <c r="DXW30" s="426"/>
      <c r="DYD30" s="426"/>
      <c r="DYK30" s="426"/>
      <c r="DYR30" s="426"/>
      <c r="DYY30" s="426"/>
      <c r="DZF30" s="426"/>
      <c r="DZM30" s="426"/>
      <c r="DZT30" s="426"/>
      <c r="EAA30" s="426"/>
      <c r="EAH30" s="426"/>
      <c r="EAO30" s="426"/>
      <c r="EAV30" s="426"/>
      <c r="EBC30" s="426"/>
      <c r="EBJ30" s="426"/>
      <c r="EBQ30" s="426"/>
      <c r="EBX30" s="426"/>
      <c r="ECE30" s="426"/>
      <c r="ECL30" s="426"/>
      <c r="ECS30" s="426"/>
      <c r="ECZ30" s="426"/>
      <c r="EDG30" s="426"/>
      <c r="EDN30" s="426"/>
      <c r="EDU30" s="426"/>
      <c r="EEB30" s="426"/>
      <c r="EEI30" s="426"/>
      <c r="EEP30" s="426"/>
      <c r="EEW30" s="426"/>
      <c r="EFD30" s="426"/>
      <c r="EFK30" s="426"/>
      <c r="EFR30" s="426"/>
      <c r="EFY30" s="426"/>
      <c r="EGF30" s="426"/>
      <c r="EGM30" s="426"/>
      <c r="EGT30" s="426"/>
      <c r="EHA30" s="426"/>
      <c r="EHH30" s="426"/>
      <c r="EHO30" s="426"/>
      <c r="EHV30" s="426"/>
      <c r="EIC30" s="426"/>
      <c r="EIJ30" s="426"/>
      <c r="EIQ30" s="426"/>
      <c r="EIX30" s="426"/>
      <c r="EJE30" s="426"/>
      <c r="EJL30" s="426"/>
      <c r="EJS30" s="426"/>
      <c r="EJZ30" s="426"/>
      <c r="EKG30" s="426"/>
      <c r="EKN30" s="426"/>
      <c r="EKU30" s="426"/>
      <c r="ELB30" s="426"/>
      <c r="ELI30" s="426"/>
      <c r="ELP30" s="426"/>
      <c r="ELW30" s="426"/>
      <c r="EMD30" s="426"/>
      <c r="EMK30" s="426"/>
      <c r="EMR30" s="426"/>
      <c r="EMY30" s="426"/>
      <c r="ENF30" s="426"/>
      <c r="ENM30" s="426"/>
      <c r="ENT30" s="426"/>
      <c r="EOA30" s="426"/>
      <c r="EOH30" s="426"/>
      <c r="EOO30" s="426"/>
      <c r="EOV30" s="426"/>
      <c r="EPC30" s="426"/>
      <c r="EPJ30" s="426"/>
      <c r="EPQ30" s="426"/>
      <c r="EPX30" s="426"/>
      <c r="EQE30" s="426"/>
      <c r="EQL30" s="426"/>
      <c r="EQS30" s="426"/>
      <c r="EQZ30" s="426"/>
      <c r="ERG30" s="426"/>
      <c r="ERN30" s="426"/>
      <c r="ERU30" s="426"/>
      <c r="ESB30" s="426"/>
      <c r="ESI30" s="426"/>
      <c r="ESP30" s="426"/>
      <c r="ESW30" s="426"/>
      <c r="ETD30" s="426"/>
      <c r="ETK30" s="426"/>
      <c r="ETR30" s="426"/>
      <c r="ETY30" s="426"/>
      <c r="EUF30" s="426"/>
      <c r="EUM30" s="426"/>
      <c r="EUT30" s="426"/>
      <c r="EVA30" s="426"/>
      <c r="EVH30" s="426"/>
      <c r="EVO30" s="426"/>
      <c r="EVV30" s="426"/>
      <c r="EWC30" s="426"/>
      <c r="EWJ30" s="426"/>
      <c r="EWQ30" s="426"/>
      <c r="EWX30" s="426"/>
      <c r="EXE30" s="426"/>
      <c r="EXL30" s="426"/>
      <c r="EXS30" s="426"/>
      <c r="EXZ30" s="426"/>
      <c r="EYG30" s="426"/>
      <c r="EYN30" s="426"/>
      <c r="EYU30" s="426"/>
      <c r="EZB30" s="426"/>
      <c r="EZI30" s="426"/>
      <c r="EZP30" s="426"/>
      <c r="EZW30" s="426"/>
      <c r="FAD30" s="426"/>
      <c r="FAK30" s="426"/>
      <c r="FAR30" s="426"/>
      <c r="FAY30" s="426"/>
      <c r="FBF30" s="426"/>
      <c r="FBM30" s="426"/>
      <c r="FBT30" s="426"/>
      <c r="FCA30" s="426"/>
      <c r="FCH30" s="426"/>
      <c r="FCO30" s="426"/>
      <c r="FCV30" s="426"/>
      <c r="FDC30" s="426"/>
      <c r="FDJ30" s="426"/>
      <c r="FDQ30" s="426"/>
      <c r="FDX30" s="426"/>
      <c r="FEE30" s="426"/>
      <c r="FEL30" s="426"/>
      <c r="FES30" s="426"/>
      <c r="FEZ30" s="426"/>
      <c r="FFG30" s="426"/>
      <c r="FFN30" s="426"/>
      <c r="FFU30" s="426"/>
      <c r="FGB30" s="426"/>
      <c r="FGI30" s="426"/>
      <c r="FGP30" s="426"/>
      <c r="FGW30" s="426"/>
      <c r="FHD30" s="426"/>
      <c r="FHK30" s="426"/>
      <c r="FHR30" s="426"/>
      <c r="FHY30" s="426"/>
      <c r="FIF30" s="426"/>
      <c r="FIM30" s="426"/>
      <c r="FIT30" s="426"/>
      <c r="FJA30" s="426"/>
      <c r="FJH30" s="426"/>
      <c r="FJO30" s="426"/>
      <c r="FJV30" s="426"/>
      <c r="FKC30" s="426"/>
      <c r="FKJ30" s="426"/>
      <c r="FKQ30" s="426"/>
      <c r="FKX30" s="426"/>
      <c r="FLE30" s="426"/>
      <c r="FLL30" s="426"/>
      <c r="FLS30" s="426"/>
      <c r="FLZ30" s="426"/>
      <c r="FMG30" s="426"/>
      <c r="FMN30" s="426"/>
      <c r="FMU30" s="426"/>
      <c r="FNB30" s="426"/>
      <c r="FNI30" s="426"/>
      <c r="FNP30" s="426"/>
      <c r="FNW30" s="426"/>
      <c r="FOD30" s="426"/>
      <c r="FOK30" s="426"/>
      <c r="FOR30" s="426"/>
      <c r="FOY30" s="426"/>
      <c r="FPF30" s="426"/>
      <c r="FPM30" s="426"/>
      <c r="FPT30" s="426"/>
      <c r="FQA30" s="426"/>
      <c r="FQH30" s="426"/>
      <c r="FQO30" s="426"/>
      <c r="FQV30" s="426"/>
      <c r="FRC30" s="426"/>
      <c r="FRJ30" s="426"/>
      <c r="FRQ30" s="426"/>
      <c r="FRX30" s="426"/>
      <c r="FSE30" s="426"/>
      <c r="FSL30" s="426"/>
      <c r="FSS30" s="426"/>
      <c r="FSZ30" s="426"/>
      <c r="FTG30" s="426"/>
      <c r="FTN30" s="426"/>
      <c r="FTU30" s="426"/>
      <c r="FUB30" s="426"/>
      <c r="FUI30" s="426"/>
      <c r="FUP30" s="426"/>
      <c r="FUW30" s="426"/>
      <c r="FVD30" s="426"/>
      <c r="FVK30" s="426"/>
      <c r="FVR30" s="426"/>
      <c r="FVY30" s="426"/>
      <c r="FWF30" s="426"/>
      <c r="FWM30" s="426"/>
      <c r="FWT30" s="426"/>
      <c r="FXA30" s="426"/>
      <c r="FXH30" s="426"/>
      <c r="FXO30" s="426"/>
      <c r="FXV30" s="426"/>
      <c r="FYC30" s="426"/>
      <c r="FYJ30" s="426"/>
      <c r="FYQ30" s="426"/>
      <c r="FYX30" s="426"/>
      <c r="FZE30" s="426"/>
      <c r="FZL30" s="426"/>
      <c r="FZS30" s="426"/>
      <c r="FZZ30" s="426"/>
      <c r="GAG30" s="426"/>
      <c r="GAN30" s="426"/>
      <c r="GAU30" s="426"/>
      <c r="GBB30" s="426"/>
      <c r="GBI30" s="426"/>
      <c r="GBP30" s="426"/>
      <c r="GBW30" s="426"/>
      <c r="GCD30" s="426"/>
      <c r="GCK30" s="426"/>
      <c r="GCR30" s="426"/>
      <c r="GCY30" s="426"/>
      <c r="GDF30" s="426"/>
      <c r="GDM30" s="426"/>
      <c r="GDT30" s="426"/>
      <c r="GEA30" s="426"/>
      <c r="GEH30" s="426"/>
      <c r="GEO30" s="426"/>
      <c r="GEV30" s="426"/>
      <c r="GFC30" s="426"/>
      <c r="GFJ30" s="426"/>
      <c r="GFQ30" s="426"/>
      <c r="GFX30" s="426"/>
      <c r="GGE30" s="426"/>
      <c r="GGL30" s="426"/>
      <c r="GGS30" s="426"/>
      <c r="GGZ30" s="426"/>
      <c r="GHG30" s="426"/>
      <c r="GHN30" s="426"/>
      <c r="GHU30" s="426"/>
      <c r="GIB30" s="426"/>
      <c r="GII30" s="426"/>
      <c r="GIP30" s="426"/>
      <c r="GIW30" s="426"/>
      <c r="GJD30" s="426"/>
      <c r="GJK30" s="426"/>
      <c r="GJR30" s="426"/>
      <c r="GJY30" s="426"/>
      <c r="GKF30" s="426"/>
      <c r="GKM30" s="426"/>
      <c r="GKT30" s="426"/>
      <c r="GLA30" s="426"/>
      <c r="GLH30" s="426"/>
      <c r="GLO30" s="426"/>
      <c r="GLV30" s="426"/>
      <c r="GMC30" s="426"/>
      <c r="GMJ30" s="426"/>
      <c r="GMQ30" s="426"/>
      <c r="GMX30" s="426"/>
      <c r="GNE30" s="426"/>
      <c r="GNL30" s="426"/>
      <c r="GNS30" s="426"/>
      <c r="GNZ30" s="426"/>
      <c r="GOG30" s="426"/>
      <c r="GON30" s="426"/>
      <c r="GOU30" s="426"/>
      <c r="GPB30" s="426"/>
      <c r="GPI30" s="426"/>
      <c r="GPP30" s="426"/>
      <c r="GPW30" s="426"/>
      <c r="GQD30" s="426"/>
      <c r="GQK30" s="426"/>
      <c r="GQR30" s="426"/>
      <c r="GQY30" s="426"/>
      <c r="GRF30" s="426"/>
      <c r="GRM30" s="426"/>
      <c r="GRT30" s="426"/>
      <c r="GSA30" s="426"/>
      <c r="GSH30" s="426"/>
      <c r="GSO30" s="426"/>
      <c r="GSV30" s="426"/>
      <c r="GTC30" s="426"/>
      <c r="GTJ30" s="426"/>
      <c r="GTQ30" s="426"/>
      <c r="GTX30" s="426"/>
      <c r="GUE30" s="426"/>
      <c r="GUL30" s="426"/>
      <c r="GUS30" s="426"/>
      <c r="GUZ30" s="426"/>
      <c r="GVG30" s="426"/>
      <c r="GVN30" s="426"/>
      <c r="GVU30" s="426"/>
      <c r="GWB30" s="426"/>
      <c r="GWI30" s="426"/>
      <c r="GWP30" s="426"/>
      <c r="GWW30" s="426"/>
      <c r="GXD30" s="426"/>
      <c r="GXK30" s="426"/>
      <c r="GXR30" s="426"/>
      <c r="GXY30" s="426"/>
      <c r="GYF30" s="426"/>
      <c r="GYM30" s="426"/>
      <c r="GYT30" s="426"/>
      <c r="GZA30" s="426"/>
      <c r="GZH30" s="426"/>
      <c r="GZO30" s="426"/>
      <c r="GZV30" s="426"/>
      <c r="HAC30" s="426"/>
      <c r="HAJ30" s="426"/>
      <c r="HAQ30" s="426"/>
      <c r="HAX30" s="426"/>
      <c r="HBE30" s="426"/>
      <c r="HBL30" s="426"/>
      <c r="HBS30" s="426"/>
      <c r="HBZ30" s="426"/>
      <c r="HCG30" s="426"/>
      <c r="HCN30" s="426"/>
      <c r="HCU30" s="426"/>
      <c r="HDB30" s="426"/>
      <c r="HDI30" s="426"/>
      <c r="HDP30" s="426"/>
      <c r="HDW30" s="426"/>
      <c r="HED30" s="426"/>
      <c r="HEK30" s="426"/>
      <c r="HER30" s="426"/>
      <c r="HEY30" s="426"/>
      <c r="HFF30" s="426"/>
      <c r="HFM30" s="426"/>
      <c r="HFT30" s="426"/>
      <c r="HGA30" s="426"/>
      <c r="HGH30" s="426"/>
      <c r="HGO30" s="426"/>
      <c r="HGV30" s="426"/>
      <c r="HHC30" s="426"/>
      <c r="HHJ30" s="426"/>
      <c r="HHQ30" s="426"/>
      <c r="HHX30" s="426"/>
      <c r="HIE30" s="426"/>
      <c r="HIL30" s="426"/>
      <c r="HIS30" s="426"/>
      <c r="HIZ30" s="426"/>
      <c r="HJG30" s="426"/>
      <c r="HJN30" s="426"/>
      <c r="HJU30" s="426"/>
      <c r="HKB30" s="426"/>
      <c r="HKI30" s="426"/>
      <c r="HKP30" s="426"/>
      <c r="HKW30" s="426"/>
      <c r="HLD30" s="426"/>
      <c r="HLK30" s="426"/>
      <c r="HLR30" s="426"/>
      <c r="HLY30" s="426"/>
      <c r="HMF30" s="426"/>
      <c r="HMM30" s="426"/>
      <c r="HMT30" s="426"/>
      <c r="HNA30" s="426"/>
      <c r="HNH30" s="426"/>
      <c r="HNO30" s="426"/>
      <c r="HNV30" s="426"/>
      <c r="HOC30" s="426"/>
      <c r="HOJ30" s="426"/>
      <c r="HOQ30" s="426"/>
      <c r="HOX30" s="426"/>
      <c r="HPE30" s="426"/>
      <c r="HPL30" s="426"/>
      <c r="HPS30" s="426"/>
      <c r="HPZ30" s="426"/>
      <c r="HQG30" s="426"/>
      <c r="HQN30" s="426"/>
      <c r="HQU30" s="426"/>
      <c r="HRB30" s="426"/>
      <c r="HRI30" s="426"/>
      <c r="HRP30" s="426"/>
      <c r="HRW30" s="426"/>
      <c r="HSD30" s="426"/>
      <c r="HSK30" s="426"/>
      <c r="HSR30" s="426"/>
      <c r="HSY30" s="426"/>
      <c r="HTF30" s="426"/>
      <c r="HTM30" s="426"/>
      <c r="HTT30" s="426"/>
      <c r="HUA30" s="426"/>
      <c r="HUH30" s="426"/>
      <c r="HUO30" s="426"/>
      <c r="HUV30" s="426"/>
      <c r="HVC30" s="426"/>
      <c r="HVJ30" s="426"/>
      <c r="HVQ30" s="426"/>
      <c r="HVX30" s="426"/>
      <c r="HWE30" s="426"/>
      <c r="HWL30" s="426"/>
      <c r="HWS30" s="426"/>
      <c r="HWZ30" s="426"/>
      <c r="HXG30" s="426"/>
      <c r="HXN30" s="426"/>
      <c r="HXU30" s="426"/>
      <c r="HYB30" s="426"/>
      <c r="HYI30" s="426"/>
      <c r="HYP30" s="426"/>
      <c r="HYW30" s="426"/>
      <c r="HZD30" s="426"/>
      <c r="HZK30" s="426"/>
      <c r="HZR30" s="426"/>
      <c r="HZY30" s="426"/>
      <c r="IAF30" s="426"/>
      <c r="IAM30" s="426"/>
      <c r="IAT30" s="426"/>
      <c r="IBA30" s="426"/>
      <c r="IBH30" s="426"/>
      <c r="IBO30" s="426"/>
      <c r="IBV30" s="426"/>
      <c r="ICC30" s="426"/>
      <c r="ICJ30" s="426"/>
      <c r="ICQ30" s="426"/>
      <c r="ICX30" s="426"/>
      <c r="IDE30" s="426"/>
      <c r="IDL30" s="426"/>
      <c r="IDS30" s="426"/>
      <c r="IDZ30" s="426"/>
      <c r="IEG30" s="426"/>
      <c r="IEN30" s="426"/>
      <c r="IEU30" s="426"/>
      <c r="IFB30" s="426"/>
      <c r="IFI30" s="426"/>
      <c r="IFP30" s="426"/>
      <c r="IFW30" s="426"/>
      <c r="IGD30" s="426"/>
      <c r="IGK30" s="426"/>
      <c r="IGR30" s="426"/>
      <c r="IGY30" s="426"/>
      <c r="IHF30" s="426"/>
      <c r="IHM30" s="426"/>
      <c r="IHT30" s="426"/>
      <c r="IIA30" s="426"/>
      <c r="IIH30" s="426"/>
      <c r="IIO30" s="426"/>
      <c r="IIV30" s="426"/>
      <c r="IJC30" s="426"/>
      <c r="IJJ30" s="426"/>
      <c r="IJQ30" s="426"/>
      <c r="IJX30" s="426"/>
      <c r="IKE30" s="426"/>
      <c r="IKL30" s="426"/>
      <c r="IKS30" s="426"/>
      <c r="IKZ30" s="426"/>
      <c r="ILG30" s="426"/>
      <c r="ILN30" s="426"/>
      <c r="ILU30" s="426"/>
      <c r="IMB30" s="426"/>
      <c r="IMI30" s="426"/>
      <c r="IMP30" s="426"/>
      <c r="IMW30" s="426"/>
      <c r="IND30" s="426"/>
      <c r="INK30" s="426"/>
      <c r="INR30" s="426"/>
      <c r="INY30" s="426"/>
      <c r="IOF30" s="426"/>
      <c r="IOM30" s="426"/>
      <c r="IOT30" s="426"/>
      <c r="IPA30" s="426"/>
      <c r="IPH30" s="426"/>
      <c r="IPO30" s="426"/>
      <c r="IPV30" s="426"/>
      <c r="IQC30" s="426"/>
      <c r="IQJ30" s="426"/>
      <c r="IQQ30" s="426"/>
      <c r="IQX30" s="426"/>
      <c r="IRE30" s="426"/>
      <c r="IRL30" s="426"/>
      <c r="IRS30" s="426"/>
      <c r="IRZ30" s="426"/>
      <c r="ISG30" s="426"/>
      <c r="ISN30" s="426"/>
      <c r="ISU30" s="426"/>
      <c r="ITB30" s="426"/>
      <c r="ITI30" s="426"/>
      <c r="ITP30" s="426"/>
      <c r="ITW30" s="426"/>
      <c r="IUD30" s="426"/>
      <c r="IUK30" s="426"/>
      <c r="IUR30" s="426"/>
      <c r="IUY30" s="426"/>
      <c r="IVF30" s="426"/>
      <c r="IVM30" s="426"/>
      <c r="IVT30" s="426"/>
      <c r="IWA30" s="426"/>
      <c r="IWH30" s="426"/>
      <c r="IWO30" s="426"/>
      <c r="IWV30" s="426"/>
      <c r="IXC30" s="426"/>
      <c r="IXJ30" s="426"/>
      <c r="IXQ30" s="426"/>
      <c r="IXX30" s="426"/>
      <c r="IYE30" s="426"/>
      <c r="IYL30" s="426"/>
      <c r="IYS30" s="426"/>
      <c r="IYZ30" s="426"/>
      <c r="IZG30" s="426"/>
      <c r="IZN30" s="426"/>
      <c r="IZU30" s="426"/>
      <c r="JAB30" s="426"/>
      <c r="JAI30" s="426"/>
      <c r="JAP30" s="426"/>
      <c r="JAW30" s="426"/>
      <c r="JBD30" s="426"/>
      <c r="JBK30" s="426"/>
      <c r="JBR30" s="426"/>
      <c r="JBY30" s="426"/>
      <c r="JCF30" s="426"/>
      <c r="JCM30" s="426"/>
      <c r="JCT30" s="426"/>
      <c r="JDA30" s="426"/>
      <c r="JDH30" s="426"/>
      <c r="JDO30" s="426"/>
      <c r="JDV30" s="426"/>
      <c r="JEC30" s="426"/>
      <c r="JEJ30" s="426"/>
      <c r="JEQ30" s="426"/>
      <c r="JEX30" s="426"/>
      <c r="JFE30" s="426"/>
      <c r="JFL30" s="426"/>
      <c r="JFS30" s="426"/>
      <c r="JFZ30" s="426"/>
      <c r="JGG30" s="426"/>
      <c r="JGN30" s="426"/>
      <c r="JGU30" s="426"/>
      <c r="JHB30" s="426"/>
      <c r="JHI30" s="426"/>
      <c r="JHP30" s="426"/>
      <c r="JHW30" s="426"/>
      <c r="JID30" s="426"/>
      <c r="JIK30" s="426"/>
      <c r="JIR30" s="426"/>
      <c r="JIY30" s="426"/>
      <c r="JJF30" s="426"/>
      <c r="JJM30" s="426"/>
      <c r="JJT30" s="426"/>
      <c r="JKA30" s="426"/>
      <c r="JKH30" s="426"/>
      <c r="JKO30" s="426"/>
      <c r="JKV30" s="426"/>
      <c r="JLC30" s="426"/>
      <c r="JLJ30" s="426"/>
      <c r="JLQ30" s="426"/>
      <c r="JLX30" s="426"/>
      <c r="JME30" s="426"/>
      <c r="JML30" s="426"/>
      <c r="JMS30" s="426"/>
      <c r="JMZ30" s="426"/>
      <c r="JNG30" s="426"/>
      <c r="JNN30" s="426"/>
      <c r="JNU30" s="426"/>
      <c r="JOB30" s="426"/>
      <c r="JOI30" s="426"/>
      <c r="JOP30" s="426"/>
      <c r="JOW30" s="426"/>
      <c r="JPD30" s="426"/>
      <c r="JPK30" s="426"/>
      <c r="JPR30" s="426"/>
      <c r="JPY30" s="426"/>
      <c r="JQF30" s="426"/>
      <c r="JQM30" s="426"/>
      <c r="JQT30" s="426"/>
      <c r="JRA30" s="426"/>
      <c r="JRH30" s="426"/>
      <c r="JRO30" s="426"/>
      <c r="JRV30" s="426"/>
      <c r="JSC30" s="426"/>
      <c r="JSJ30" s="426"/>
      <c r="JSQ30" s="426"/>
      <c r="JSX30" s="426"/>
      <c r="JTE30" s="426"/>
      <c r="JTL30" s="426"/>
      <c r="JTS30" s="426"/>
      <c r="JTZ30" s="426"/>
      <c r="JUG30" s="426"/>
      <c r="JUN30" s="426"/>
      <c r="JUU30" s="426"/>
      <c r="JVB30" s="426"/>
      <c r="JVI30" s="426"/>
      <c r="JVP30" s="426"/>
      <c r="JVW30" s="426"/>
      <c r="JWD30" s="426"/>
      <c r="JWK30" s="426"/>
      <c r="JWR30" s="426"/>
      <c r="JWY30" s="426"/>
      <c r="JXF30" s="426"/>
      <c r="JXM30" s="426"/>
      <c r="JXT30" s="426"/>
      <c r="JYA30" s="426"/>
      <c r="JYH30" s="426"/>
      <c r="JYO30" s="426"/>
      <c r="JYV30" s="426"/>
      <c r="JZC30" s="426"/>
      <c r="JZJ30" s="426"/>
      <c r="JZQ30" s="426"/>
      <c r="JZX30" s="426"/>
      <c r="KAE30" s="426"/>
      <c r="KAL30" s="426"/>
      <c r="KAS30" s="426"/>
      <c r="KAZ30" s="426"/>
      <c r="KBG30" s="426"/>
      <c r="KBN30" s="426"/>
      <c r="KBU30" s="426"/>
      <c r="KCB30" s="426"/>
      <c r="KCI30" s="426"/>
      <c r="KCP30" s="426"/>
      <c r="KCW30" s="426"/>
      <c r="KDD30" s="426"/>
      <c r="KDK30" s="426"/>
      <c r="KDR30" s="426"/>
      <c r="KDY30" s="426"/>
      <c r="KEF30" s="426"/>
      <c r="KEM30" s="426"/>
      <c r="KET30" s="426"/>
      <c r="KFA30" s="426"/>
      <c r="KFH30" s="426"/>
      <c r="KFO30" s="426"/>
      <c r="KFV30" s="426"/>
      <c r="KGC30" s="426"/>
      <c r="KGJ30" s="426"/>
      <c r="KGQ30" s="426"/>
      <c r="KGX30" s="426"/>
      <c r="KHE30" s="426"/>
      <c r="KHL30" s="426"/>
      <c r="KHS30" s="426"/>
      <c r="KHZ30" s="426"/>
      <c r="KIG30" s="426"/>
      <c r="KIN30" s="426"/>
      <c r="KIU30" s="426"/>
      <c r="KJB30" s="426"/>
      <c r="KJI30" s="426"/>
      <c r="KJP30" s="426"/>
      <c r="KJW30" s="426"/>
      <c r="KKD30" s="426"/>
      <c r="KKK30" s="426"/>
      <c r="KKR30" s="426"/>
      <c r="KKY30" s="426"/>
      <c r="KLF30" s="426"/>
      <c r="KLM30" s="426"/>
      <c r="KLT30" s="426"/>
      <c r="KMA30" s="426"/>
      <c r="KMH30" s="426"/>
      <c r="KMO30" s="426"/>
      <c r="KMV30" s="426"/>
      <c r="KNC30" s="426"/>
      <c r="KNJ30" s="426"/>
      <c r="KNQ30" s="426"/>
      <c r="KNX30" s="426"/>
      <c r="KOE30" s="426"/>
      <c r="KOL30" s="426"/>
      <c r="KOS30" s="426"/>
      <c r="KOZ30" s="426"/>
      <c r="KPG30" s="426"/>
      <c r="KPN30" s="426"/>
      <c r="KPU30" s="426"/>
      <c r="KQB30" s="426"/>
      <c r="KQI30" s="426"/>
      <c r="KQP30" s="426"/>
      <c r="KQW30" s="426"/>
      <c r="KRD30" s="426"/>
      <c r="KRK30" s="426"/>
      <c r="KRR30" s="426"/>
      <c r="KRY30" s="426"/>
      <c r="KSF30" s="426"/>
      <c r="KSM30" s="426"/>
      <c r="KST30" s="426"/>
      <c r="KTA30" s="426"/>
      <c r="KTH30" s="426"/>
      <c r="KTO30" s="426"/>
      <c r="KTV30" s="426"/>
      <c r="KUC30" s="426"/>
      <c r="KUJ30" s="426"/>
      <c r="KUQ30" s="426"/>
      <c r="KUX30" s="426"/>
      <c r="KVE30" s="426"/>
      <c r="KVL30" s="426"/>
      <c r="KVS30" s="426"/>
      <c r="KVZ30" s="426"/>
      <c r="KWG30" s="426"/>
      <c r="KWN30" s="426"/>
      <c r="KWU30" s="426"/>
      <c r="KXB30" s="426"/>
      <c r="KXI30" s="426"/>
      <c r="KXP30" s="426"/>
      <c r="KXW30" s="426"/>
      <c r="KYD30" s="426"/>
      <c r="KYK30" s="426"/>
      <c r="KYR30" s="426"/>
      <c r="KYY30" s="426"/>
      <c r="KZF30" s="426"/>
      <c r="KZM30" s="426"/>
      <c r="KZT30" s="426"/>
      <c r="LAA30" s="426"/>
      <c r="LAH30" s="426"/>
      <c r="LAO30" s="426"/>
      <c r="LAV30" s="426"/>
      <c r="LBC30" s="426"/>
      <c r="LBJ30" s="426"/>
      <c r="LBQ30" s="426"/>
      <c r="LBX30" s="426"/>
      <c r="LCE30" s="426"/>
      <c r="LCL30" s="426"/>
      <c r="LCS30" s="426"/>
      <c r="LCZ30" s="426"/>
      <c r="LDG30" s="426"/>
      <c r="LDN30" s="426"/>
      <c r="LDU30" s="426"/>
      <c r="LEB30" s="426"/>
      <c r="LEI30" s="426"/>
      <c r="LEP30" s="426"/>
      <c r="LEW30" s="426"/>
      <c r="LFD30" s="426"/>
      <c r="LFK30" s="426"/>
      <c r="LFR30" s="426"/>
      <c r="LFY30" s="426"/>
      <c r="LGF30" s="426"/>
      <c r="LGM30" s="426"/>
      <c r="LGT30" s="426"/>
      <c r="LHA30" s="426"/>
      <c r="LHH30" s="426"/>
      <c r="LHO30" s="426"/>
      <c r="LHV30" s="426"/>
      <c r="LIC30" s="426"/>
      <c r="LIJ30" s="426"/>
      <c r="LIQ30" s="426"/>
      <c r="LIX30" s="426"/>
      <c r="LJE30" s="426"/>
      <c r="LJL30" s="426"/>
      <c r="LJS30" s="426"/>
      <c r="LJZ30" s="426"/>
      <c r="LKG30" s="426"/>
      <c r="LKN30" s="426"/>
      <c r="LKU30" s="426"/>
      <c r="LLB30" s="426"/>
      <c r="LLI30" s="426"/>
      <c r="LLP30" s="426"/>
      <c r="LLW30" s="426"/>
      <c r="LMD30" s="426"/>
      <c r="LMK30" s="426"/>
      <c r="LMR30" s="426"/>
      <c r="LMY30" s="426"/>
      <c r="LNF30" s="426"/>
      <c r="LNM30" s="426"/>
      <c r="LNT30" s="426"/>
      <c r="LOA30" s="426"/>
      <c r="LOH30" s="426"/>
      <c r="LOO30" s="426"/>
      <c r="LOV30" s="426"/>
      <c r="LPC30" s="426"/>
      <c r="LPJ30" s="426"/>
      <c r="LPQ30" s="426"/>
      <c r="LPX30" s="426"/>
      <c r="LQE30" s="426"/>
      <c r="LQL30" s="426"/>
      <c r="LQS30" s="426"/>
      <c r="LQZ30" s="426"/>
      <c r="LRG30" s="426"/>
      <c r="LRN30" s="426"/>
      <c r="LRU30" s="426"/>
      <c r="LSB30" s="426"/>
      <c r="LSI30" s="426"/>
      <c r="LSP30" s="426"/>
      <c r="LSW30" s="426"/>
      <c r="LTD30" s="426"/>
      <c r="LTK30" s="426"/>
      <c r="LTR30" s="426"/>
      <c r="LTY30" s="426"/>
      <c r="LUF30" s="426"/>
      <c r="LUM30" s="426"/>
      <c r="LUT30" s="426"/>
      <c r="LVA30" s="426"/>
      <c r="LVH30" s="426"/>
      <c r="LVO30" s="426"/>
      <c r="LVV30" s="426"/>
      <c r="LWC30" s="426"/>
      <c r="LWJ30" s="426"/>
      <c r="LWQ30" s="426"/>
      <c r="LWX30" s="426"/>
      <c r="LXE30" s="426"/>
      <c r="LXL30" s="426"/>
      <c r="LXS30" s="426"/>
      <c r="LXZ30" s="426"/>
      <c r="LYG30" s="426"/>
      <c r="LYN30" s="426"/>
      <c r="LYU30" s="426"/>
      <c r="LZB30" s="426"/>
      <c r="LZI30" s="426"/>
      <c r="LZP30" s="426"/>
      <c r="LZW30" s="426"/>
      <c r="MAD30" s="426"/>
      <c r="MAK30" s="426"/>
      <c r="MAR30" s="426"/>
      <c r="MAY30" s="426"/>
      <c r="MBF30" s="426"/>
      <c r="MBM30" s="426"/>
      <c r="MBT30" s="426"/>
      <c r="MCA30" s="426"/>
      <c r="MCH30" s="426"/>
      <c r="MCO30" s="426"/>
      <c r="MCV30" s="426"/>
      <c r="MDC30" s="426"/>
      <c r="MDJ30" s="426"/>
      <c r="MDQ30" s="426"/>
      <c r="MDX30" s="426"/>
      <c r="MEE30" s="426"/>
      <c r="MEL30" s="426"/>
      <c r="MES30" s="426"/>
      <c r="MEZ30" s="426"/>
      <c r="MFG30" s="426"/>
      <c r="MFN30" s="426"/>
      <c r="MFU30" s="426"/>
      <c r="MGB30" s="426"/>
      <c r="MGI30" s="426"/>
      <c r="MGP30" s="426"/>
      <c r="MGW30" s="426"/>
      <c r="MHD30" s="426"/>
      <c r="MHK30" s="426"/>
      <c r="MHR30" s="426"/>
      <c r="MHY30" s="426"/>
      <c r="MIF30" s="426"/>
      <c r="MIM30" s="426"/>
      <c r="MIT30" s="426"/>
      <c r="MJA30" s="426"/>
      <c r="MJH30" s="426"/>
      <c r="MJO30" s="426"/>
      <c r="MJV30" s="426"/>
      <c r="MKC30" s="426"/>
      <c r="MKJ30" s="426"/>
      <c r="MKQ30" s="426"/>
      <c r="MKX30" s="426"/>
      <c r="MLE30" s="426"/>
      <c r="MLL30" s="426"/>
      <c r="MLS30" s="426"/>
      <c r="MLZ30" s="426"/>
      <c r="MMG30" s="426"/>
      <c r="MMN30" s="426"/>
      <c r="MMU30" s="426"/>
      <c r="MNB30" s="426"/>
      <c r="MNI30" s="426"/>
      <c r="MNP30" s="426"/>
      <c r="MNW30" s="426"/>
      <c r="MOD30" s="426"/>
      <c r="MOK30" s="426"/>
      <c r="MOR30" s="426"/>
      <c r="MOY30" s="426"/>
      <c r="MPF30" s="426"/>
      <c r="MPM30" s="426"/>
      <c r="MPT30" s="426"/>
      <c r="MQA30" s="426"/>
      <c r="MQH30" s="426"/>
      <c r="MQO30" s="426"/>
      <c r="MQV30" s="426"/>
      <c r="MRC30" s="426"/>
      <c r="MRJ30" s="426"/>
      <c r="MRQ30" s="426"/>
      <c r="MRX30" s="426"/>
      <c r="MSE30" s="426"/>
      <c r="MSL30" s="426"/>
      <c r="MSS30" s="426"/>
      <c r="MSZ30" s="426"/>
      <c r="MTG30" s="426"/>
      <c r="MTN30" s="426"/>
      <c r="MTU30" s="426"/>
      <c r="MUB30" s="426"/>
      <c r="MUI30" s="426"/>
      <c r="MUP30" s="426"/>
      <c r="MUW30" s="426"/>
      <c r="MVD30" s="426"/>
      <c r="MVK30" s="426"/>
      <c r="MVR30" s="426"/>
      <c r="MVY30" s="426"/>
      <c r="MWF30" s="426"/>
      <c r="MWM30" s="426"/>
      <c r="MWT30" s="426"/>
      <c r="MXA30" s="426"/>
      <c r="MXH30" s="426"/>
      <c r="MXO30" s="426"/>
      <c r="MXV30" s="426"/>
      <c r="MYC30" s="426"/>
      <c r="MYJ30" s="426"/>
      <c r="MYQ30" s="426"/>
      <c r="MYX30" s="426"/>
      <c r="MZE30" s="426"/>
      <c r="MZL30" s="426"/>
      <c r="MZS30" s="426"/>
      <c r="MZZ30" s="426"/>
      <c r="NAG30" s="426"/>
      <c r="NAN30" s="426"/>
      <c r="NAU30" s="426"/>
      <c r="NBB30" s="426"/>
      <c r="NBI30" s="426"/>
      <c r="NBP30" s="426"/>
      <c r="NBW30" s="426"/>
      <c r="NCD30" s="426"/>
      <c r="NCK30" s="426"/>
      <c r="NCR30" s="426"/>
      <c r="NCY30" s="426"/>
      <c r="NDF30" s="426"/>
      <c r="NDM30" s="426"/>
      <c r="NDT30" s="426"/>
      <c r="NEA30" s="426"/>
      <c r="NEH30" s="426"/>
      <c r="NEO30" s="426"/>
      <c r="NEV30" s="426"/>
      <c r="NFC30" s="426"/>
      <c r="NFJ30" s="426"/>
      <c r="NFQ30" s="426"/>
      <c r="NFX30" s="426"/>
      <c r="NGE30" s="426"/>
      <c r="NGL30" s="426"/>
      <c r="NGS30" s="426"/>
      <c r="NGZ30" s="426"/>
      <c r="NHG30" s="426"/>
      <c r="NHN30" s="426"/>
      <c r="NHU30" s="426"/>
      <c r="NIB30" s="426"/>
      <c r="NII30" s="426"/>
      <c r="NIP30" s="426"/>
      <c r="NIW30" s="426"/>
      <c r="NJD30" s="426"/>
      <c r="NJK30" s="426"/>
      <c r="NJR30" s="426"/>
      <c r="NJY30" s="426"/>
      <c r="NKF30" s="426"/>
      <c r="NKM30" s="426"/>
      <c r="NKT30" s="426"/>
      <c r="NLA30" s="426"/>
      <c r="NLH30" s="426"/>
      <c r="NLO30" s="426"/>
      <c r="NLV30" s="426"/>
      <c r="NMC30" s="426"/>
      <c r="NMJ30" s="426"/>
      <c r="NMQ30" s="426"/>
      <c r="NMX30" s="426"/>
      <c r="NNE30" s="426"/>
      <c r="NNL30" s="426"/>
      <c r="NNS30" s="426"/>
      <c r="NNZ30" s="426"/>
      <c r="NOG30" s="426"/>
      <c r="NON30" s="426"/>
      <c r="NOU30" s="426"/>
      <c r="NPB30" s="426"/>
      <c r="NPI30" s="426"/>
      <c r="NPP30" s="426"/>
      <c r="NPW30" s="426"/>
      <c r="NQD30" s="426"/>
      <c r="NQK30" s="426"/>
      <c r="NQR30" s="426"/>
      <c r="NQY30" s="426"/>
      <c r="NRF30" s="426"/>
      <c r="NRM30" s="426"/>
      <c r="NRT30" s="426"/>
      <c r="NSA30" s="426"/>
      <c r="NSH30" s="426"/>
      <c r="NSO30" s="426"/>
      <c r="NSV30" s="426"/>
      <c r="NTC30" s="426"/>
      <c r="NTJ30" s="426"/>
      <c r="NTQ30" s="426"/>
      <c r="NTX30" s="426"/>
      <c r="NUE30" s="426"/>
      <c r="NUL30" s="426"/>
      <c r="NUS30" s="426"/>
      <c r="NUZ30" s="426"/>
      <c r="NVG30" s="426"/>
      <c r="NVN30" s="426"/>
      <c r="NVU30" s="426"/>
      <c r="NWB30" s="426"/>
      <c r="NWI30" s="426"/>
      <c r="NWP30" s="426"/>
      <c r="NWW30" s="426"/>
      <c r="NXD30" s="426"/>
      <c r="NXK30" s="426"/>
      <c r="NXR30" s="426"/>
      <c r="NXY30" s="426"/>
      <c r="NYF30" s="426"/>
      <c r="NYM30" s="426"/>
      <c r="NYT30" s="426"/>
      <c r="NZA30" s="426"/>
      <c r="NZH30" s="426"/>
      <c r="NZO30" s="426"/>
      <c r="NZV30" s="426"/>
      <c r="OAC30" s="426"/>
      <c r="OAJ30" s="426"/>
      <c r="OAQ30" s="426"/>
      <c r="OAX30" s="426"/>
      <c r="OBE30" s="426"/>
      <c r="OBL30" s="426"/>
      <c r="OBS30" s="426"/>
      <c r="OBZ30" s="426"/>
      <c r="OCG30" s="426"/>
      <c r="OCN30" s="426"/>
      <c r="OCU30" s="426"/>
      <c r="ODB30" s="426"/>
      <c r="ODI30" s="426"/>
      <c r="ODP30" s="426"/>
      <c r="ODW30" s="426"/>
      <c r="OED30" s="426"/>
      <c r="OEK30" s="426"/>
      <c r="OER30" s="426"/>
      <c r="OEY30" s="426"/>
      <c r="OFF30" s="426"/>
      <c r="OFM30" s="426"/>
      <c r="OFT30" s="426"/>
      <c r="OGA30" s="426"/>
      <c r="OGH30" s="426"/>
      <c r="OGO30" s="426"/>
      <c r="OGV30" s="426"/>
      <c r="OHC30" s="426"/>
      <c r="OHJ30" s="426"/>
      <c r="OHQ30" s="426"/>
      <c r="OHX30" s="426"/>
      <c r="OIE30" s="426"/>
      <c r="OIL30" s="426"/>
      <c r="OIS30" s="426"/>
      <c r="OIZ30" s="426"/>
      <c r="OJG30" s="426"/>
      <c r="OJN30" s="426"/>
      <c r="OJU30" s="426"/>
      <c r="OKB30" s="426"/>
      <c r="OKI30" s="426"/>
      <c r="OKP30" s="426"/>
      <c r="OKW30" s="426"/>
      <c r="OLD30" s="426"/>
      <c r="OLK30" s="426"/>
      <c r="OLR30" s="426"/>
      <c r="OLY30" s="426"/>
      <c r="OMF30" s="426"/>
      <c r="OMM30" s="426"/>
      <c r="OMT30" s="426"/>
      <c r="ONA30" s="426"/>
      <c r="ONH30" s="426"/>
      <c r="ONO30" s="426"/>
      <c r="ONV30" s="426"/>
      <c r="OOC30" s="426"/>
      <c r="OOJ30" s="426"/>
      <c r="OOQ30" s="426"/>
      <c r="OOX30" s="426"/>
      <c r="OPE30" s="426"/>
      <c r="OPL30" s="426"/>
      <c r="OPS30" s="426"/>
      <c r="OPZ30" s="426"/>
      <c r="OQG30" s="426"/>
      <c r="OQN30" s="426"/>
      <c r="OQU30" s="426"/>
      <c r="ORB30" s="426"/>
      <c r="ORI30" s="426"/>
      <c r="ORP30" s="426"/>
      <c r="ORW30" s="426"/>
      <c r="OSD30" s="426"/>
      <c r="OSK30" s="426"/>
      <c r="OSR30" s="426"/>
      <c r="OSY30" s="426"/>
      <c r="OTF30" s="426"/>
      <c r="OTM30" s="426"/>
      <c r="OTT30" s="426"/>
      <c r="OUA30" s="426"/>
      <c r="OUH30" s="426"/>
      <c r="OUO30" s="426"/>
      <c r="OUV30" s="426"/>
      <c r="OVC30" s="426"/>
      <c r="OVJ30" s="426"/>
      <c r="OVQ30" s="426"/>
      <c r="OVX30" s="426"/>
      <c r="OWE30" s="426"/>
      <c r="OWL30" s="426"/>
      <c r="OWS30" s="426"/>
      <c r="OWZ30" s="426"/>
      <c r="OXG30" s="426"/>
      <c r="OXN30" s="426"/>
      <c r="OXU30" s="426"/>
      <c r="OYB30" s="426"/>
      <c r="OYI30" s="426"/>
      <c r="OYP30" s="426"/>
      <c r="OYW30" s="426"/>
      <c r="OZD30" s="426"/>
      <c r="OZK30" s="426"/>
      <c r="OZR30" s="426"/>
      <c r="OZY30" s="426"/>
      <c r="PAF30" s="426"/>
      <c r="PAM30" s="426"/>
      <c r="PAT30" s="426"/>
      <c r="PBA30" s="426"/>
      <c r="PBH30" s="426"/>
      <c r="PBO30" s="426"/>
      <c r="PBV30" s="426"/>
      <c r="PCC30" s="426"/>
      <c r="PCJ30" s="426"/>
      <c r="PCQ30" s="426"/>
      <c r="PCX30" s="426"/>
      <c r="PDE30" s="426"/>
      <c r="PDL30" s="426"/>
      <c r="PDS30" s="426"/>
      <c r="PDZ30" s="426"/>
      <c r="PEG30" s="426"/>
      <c r="PEN30" s="426"/>
      <c r="PEU30" s="426"/>
      <c r="PFB30" s="426"/>
      <c r="PFI30" s="426"/>
      <c r="PFP30" s="426"/>
      <c r="PFW30" s="426"/>
      <c r="PGD30" s="426"/>
      <c r="PGK30" s="426"/>
      <c r="PGR30" s="426"/>
      <c r="PGY30" s="426"/>
      <c r="PHF30" s="426"/>
      <c r="PHM30" s="426"/>
      <c r="PHT30" s="426"/>
      <c r="PIA30" s="426"/>
      <c r="PIH30" s="426"/>
      <c r="PIO30" s="426"/>
      <c r="PIV30" s="426"/>
      <c r="PJC30" s="426"/>
      <c r="PJJ30" s="426"/>
      <c r="PJQ30" s="426"/>
      <c r="PJX30" s="426"/>
      <c r="PKE30" s="426"/>
      <c r="PKL30" s="426"/>
      <c r="PKS30" s="426"/>
      <c r="PKZ30" s="426"/>
      <c r="PLG30" s="426"/>
      <c r="PLN30" s="426"/>
      <c r="PLU30" s="426"/>
      <c r="PMB30" s="426"/>
      <c r="PMI30" s="426"/>
      <c r="PMP30" s="426"/>
      <c r="PMW30" s="426"/>
      <c r="PND30" s="426"/>
      <c r="PNK30" s="426"/>
      <c r="PNR30" s="426"/>
      <c r="PNY30" s="426"/>
      <c r="POF30" s="426"/>
      <c r="POM30" s="426"/>
      <c r="POT30" s="426"/>
      <c r="PPA30" s="426"/>
      <c r="PPH30" s="426"/>
      <c r="PPO30" s="426"/>
      <c r="PPV30" s="426"/>
      <c r="PQC30" s="426"/>
      <c r="PQJ30" s="426"/>
      <c r="PQQ30" s="426"/>
      <c r="PQX30" s="426"/>
      <c r="PRE30" s="426"/>
      <c r="PRL30" s="426"/>
      <c r="PRS30" s="426"/>
      <c r="PRZ30" s="426"/>
      <c r="PSG30" s="426"/>
      <c r="PSN30" s="426"/>
      <c r="PSU30" s="426"/>
      <c r="PTB30" s="426"/>
      <c r="PTI30" s="426"/>
      <c r="PTP30" s="426"/>
      <c r="PTW30" s="426"/>
      <c r="PUD30" s="426"/>
      <c r="PUK30" s="426"/>
      <c r="PUR30" s="426"/>
      <c r="PUY30" s="426"/>
      <c r="PVF30" s="426"/>
      <c r="PVM30" s="426"/>
      <c r="PVT30" s="426"/>
      <c r="PWA30" s="426"/>
      <c r="PWH30" s="426"/>
      <c r="PWO30" s="426"/>
      <c r="PWV30" s="426"/>
      <c r="PXC30" s="426"/>
      <c r="PXJ30" s="426"/>
      <c r="PXQ30" s="426"/>
      <c r="PXX30" s="426"/>
      <c r="PYE30" s="426"/>
      <c r="PYL30" s="426"/>
      <c r="PYS30" s="426"/>
      <c r="PYZ30" s="426"/>
      <c r="PZG30" s="426"/>
      <c r="PZN30" s="426"/>
      <c r="PZU30" s="426"/>
      <c r="QAB30" s="426"/>
      <c r="QAI30" s="426"/>
      <c r="QAP30" s="426"/>
      <c r="QAW30" s="426"/>
      <c r="QBD30" s="426"/>
      <c r="QBK30" s="426"/>
      <c r="QBR30" s="426"/>
      <c r="QBY30" s="426"/>
      <c r="QCF30" s="426"/>
      <c r="QCM30" s="426"/>
      <c r="QCT30" s="426"/>
      <c r="QDA30" s="426"/>
      <c r="QDH30" s="426"/>
      <c r="QDO30" s="426"/>
      <c r="QDV30" s="426"/>
      <c r="QEC30" s="426"/>
      <c r="QEJ30" s="426"/>
      <c r="QEQ30" s="426"/>
      <c r="QEX30" s="426"/>
      <c r="QFE30" s="426"/>
      <c r="QFL30" s="426"/>
      <c r="QFS30" s="426"/>
      <c r="QFZ30" s="426"/>
      <c r="QGG30" s="426"/>
      <c r="QGN30" s="426"/>
      <c r="QGU30" s="426"/>
      <c r="QHB30" s="426"/>
      <c r="QHI30" s="426"/>
      <c r="QHP30" s="426"/>
      <c r="QHW30" s="426"/>
      <c r="QID30" s="426"/>
      <c r="QIK30" s="426"/>
      <c r="QIR30" s="426"/>
      <c r="QIY30" s="426"/>
      <c r="QJF30" s="426"/>
      <c r="QJM30" s="426"/>
      <c r="QJT30" s="426"/>
      <c r="QKA30" s="426"/>
      <c r="QKH30" s="426"/>
      <c r="QKO30" s="426"/>
      <c r="QKV30" s="426"/>
      <c r="QLC30" s="426"/>
      <c r="QLJ30" s="426"/>
      <c r="QLQ30" s="426"/>
      <c r="QLX30" s="426"/>
      <c r="QME30" s="426"/>
      <c r="QML30" s="426"/>
      <c r="QMS30" s="426"/>
      <c r="QMZ30" s="426"/>
      <c r="QNG30" s="426"/>
      <c r="QNN30" s="426"/>
      <c r="QNU30" s="426"/>
      <c r="QOB30" s="426"/>
      <c r="QOI30" s="426"/>
      <c r="QOP30" s="426"/>
      <c r="QOW30" s="426"/>
      <c r="QPD30" s="426"/>
      <c r="QPK30" s="426"/>
      <c r="QPR30" s="426"/>
      <c r="QPY30" s="426"/>
      <c r="QQF30" s="426"/>
      <c r="QQM30" s="426"/>
      <c r="QQT30" s="426"/>
      <c r="QRA30" s="426"/>
      <c r="QRH30" s="426"/>
      <c r="QRO30" s="426"/>
      <c r="QRV30" s="426"/>
      <c r="QSC30" s="426"/>
      <c r="QSJ30" s="426"/>
      <c r="QSQ30" s="426"/>
      <c r="QSX30" s="426"/>
      <c r="QTE30" s="426"/>
      <c r="QTL30" s="426"/>
      <c r="QTS30" s="426"/>
      <c r="QTZ30" s="426"/>
      <c r="QUG30" s="426"/>
      <c r="QUN30" s="426"/>
      <c r="QUU30" s="426"/>
      <c r="QVB30" s="426"/>
      <c r="QVI30" s="426"/>
      <c r="QVP30" s="426"/>
      <c r="QVW30" s="426"/>
      <c r="QWD30" s="426"/>
      <c r="QWK30" s="426"/>
      <c r="QWR30" s="426"/>
      <c r="QWY30" s="426"/>
      <c r="QXF30" s="426"/>
      <c r="QXM30" s="426"/>
      <c r="QXT30" s="426"/>
      <c r="QYA30" s="426"/>
      <c r="QYH30" s="426"/>
      <c r="QYO30" s="426"/>
      <c r="QYV30" s="426"/>
      <c r="QZC30" s="426"/>
      <c r="QZJ30" s="426"/>
      <c r="QZQ30" s="426"/>
      <c r="QZX30" s="426"/>
      <c r="RAE30" s="426"/>
      <c r="RAL30" s="426"/>
      <c r="RAS30" s="426"/>
      <c r="RAZ30" s="426"/>
      <c r="RBG30" s="426"/>
      <c r="RBN30" s="426"/>
      <c r="RBU30" s="426"/>
      <c r="RCB30" s="426"/>
      <c r="RCI30" s="426"/>
      <c r="RCP30" s="426"/>
      <c r="RCW30" s="426"/>
      <c r="RDD30" s="426"/>
      <c r="RDK30" s="426"/>
      <c r="RDR30" s="426"/>
      <c r="RDY30" s="426"/>
      <c r="REF30" s="426"/>
      <c r="REM30" s="426"/>
      <c r="RET30" s="426"/>
      <c r="RFA30" s="426"/>
      <c r="RFH30" s="426"/>
      <c r="RFO30" s="426"/>
      <c r="RFV30" s="426"/>
      <c r="RGC30" s="426"/>
      <c r="RGJ30" s="426"/>
      <c r="RGQ30" s="426"/>
      <c r="RGX30" s="426"/>
      <c r="RHE30" s="426"/>
      <c r="RHL30" s="426"/>
      <c r="RHS30" s="426"/>
      <c r="RHZ30" s="426"/>
      <c r="RIG30" s="426"/>
      <c r="RIN30" s="426"/>
      <c r="RIU30" s="426"/>
      <c r="RJB30" s="426"/>
      <c r="RJI30" s="426"/>
      <c r="RJP30" s="426"/>
      <c r="RJW30" s="426"/>
      <c r="RKD30" s="426"/>
      <c r="RKK30" s="426"/>
      <c r="RKR30" s="426"/>
      <c r="RKY30" s="426"/>
      <c r="RLF30" s="426"/>
      <c r="RLM30" s="426"/>
      <c r="RLT30" s="426"/>
      <c r="RMA30" s="426"/>
      <c r="RMH30" s="426"/>
      <c r="RMO30" s="426"/>
      <c r="RMV30" s="426"/>
      <c r="RNC30" s="426"/>
      <c r="RNJ30" s="426"/>
      <c r="RNQ30" s="426"/>
      <c r="RNX30" s="426"/>
      <c r="ROE30" s="426"/>
      <c r="ROL30" s="426"/>
      <c r="ROS30" s="426"/>
      <c r="ROZ30" s="426"/>
      <c r="RPG30" s="426"/>
      <c r="RPN30" s="426"/>
      <c r="RPU30" s="426"/>
      <c r="RQB30" s="426"/>
      <c r="RQI30" s="426"/>
      <c r="RQP30" s="426"/>
      <c r="RQW30" s="426"/>
      <c r="RRD30" s="426"/>
      <c r="RRK30" s="426"/>
      <c r="RRR30" s="426"/>
      <c r="RRY30" s="426"/>
      <c r="RSF30" s="426"/>
      <c r="RSM30" s="426"/>
      <c r="RST30" s="426"/>
      <c r="RTA30" s="426"/>
      <c r="RTH30" s="426"/>
      <c r="RTO30" s="426"/>
      <c r="RTV30" s="426"/>
      <c r="RUC30" s="426"/>
      <c r="RUJ30" s="426"/>
      <c r="RUQ30" s="426"/>
      <c r="RUX30" s="426"/>
      <c r="RVE30" s="426"/>
      <c r="RVL30" s="426"/>
      <c r="RVS30" s="426"/>
      <c r="RVZ30" s="426"/>
      <c r="RWG30" s="426"/>
      <c r="RWN30" s="426"/>
      <c r="RWU30" s="426"/>
      <c r="RXB30" s="426"/>
      <c r="RXI30" s="426"/>
      <c r="RXP30" s="426"/>
      <c r="RXW30" s="426"/>
      <c r="RYD30" s="426"/>
      <c r="RYK30" s="426"/>
      <c r="RYR30" s="426"/>
      <c r="RYY30" s="426"/>
      <c r="RZF30" s="426"/>
      <c r="RZM30" s="426"/>
      <c r="RZT30" s="426"/>
      <c r="SAA30" s="426"/>
      <c r="SAH30" s="426"/>
      <c r="SAO30" s="426"/>
      <c r="SAV30" s="426"/>
      <c r="SBC30" s="426"/>
      <c r="SBJ30" s="426"/>
      <c r="SBQ30" s="426"/>
      <c r="SBX30" s="426"/>
      <c r="SCE30" s="426"/>
      <c r="SCL30" s="426"/>
      <c r="SCS30" s="426"/>
      <c r="SCZ30" s="426"/>
      <c r="SDG30" s="426"/>
      <c r="SDN30" s="426"/>
      <c r="SDU30" s="426"/>
      <c r="SEB30" s="426"/>
      <c r="SEI30" s="426"/>
      <c r="SEP30" s="426"/>
      <c r="SEW30" s="426"/>
      <c r="SFD30" s="426"/>
      <c r="SFK30" s="426"/>
      <c r="SFR30" s="426"/>
      <c r="SFY30" s="426"/>
      <c r="SGF30" s="426"/>
      <c r="SGM30" s="426"/>
      <c r="SGT30" s="426"/>
      <c r="SHA30" s="426"/>
      <c r="SHH30" s="426"/>
      <c r="SHO30" s="426"/>
      <c r="SHV30" s="426"/>
      <c r="SIC30" s="426"/>
      <c r="SIJ30" s="426"/>
      <c r="SIQ30" s="426"/>
      <c r="SIX30" s="426"/>
      <c r="SJE30" s="426"/>
      <c r="SJL30" s="426"/>
      <c r="SJS30" s="426"/>
      <c r="SJZ30" s="426"/>
      <c r="SKG30" s="426"/>
      <c r="SKN30" s="426"/>
      <c r="SKU30" s="426"/>
      <c r="SLB30" s="426"/>
      <c r="SLI30" s="426"/>
      <c r="SLP30" s="426"/>
      <c r="SLW30" s="426"/>
      <c r="SMD30" s="426"/>
      <c r="SMK30" s="426"/>
      <c r="SMR30" s="426"/>
      <c r="SMY30" s="426"/>
      <c r="SNF30" s="426"/>
      <c r="SNM30" s="426"/>
      <c r="SNT30" s="426"/>
      <c r="SOA30" s="426"/>
      <c r="SOH30" s="426"/>
      <c r="SOO30" s="426"/>
      <c r="SOV30" s="426"/>
      <c r="SPC30" s="426"/>
      <c r="SPJ30" s="426"/>
      <c r="SPQ30" s="426"/>
      <c r="SPX30" s="426"/>
      <c r="SQE30" s="426"/>
      <c r="SQL30" s="426"/>
      <c r="SQS30" s="426"/>
      <c r="SQZ30" s="426"/>
      <c r="SRG30" s="426"/>
      <c r="SRN30" s="426"/>
      <c r="SRU30" s="426"/>
      <c r="SSB30" s="426"/>
      <c r="SSI30" s="426"/>
      <c r="SSP30" s="426"/>
      <c r="SSW30" s="426"/>
      <c r="STD30" s="426"/>
      <c r="STK30" s="426"/>
      <c r="STR30" s="426"/>
      <c r="STY30" s="426"/>
      <c r="SUF30" s="426"/>
      <c r="SUM30" s="426"/>
      <c r="SUT30" s="426"/>
      <c r="SVA30" s="426"/>
      <c r="SVH30" s="426"/>
      <c r="SVO30" s="426"/>
      <c r="SVV30" s="426"/>
      <c r="SWC30" s="426"/>
      <c r="SWJ30" s="426"/>
      <c r="SWQ30" s="426"/>
      <c r="SWX30" s="426"/>
      <c r="SXE30" s="426"/>
      <c r="SXL30" s="426"/>
      <c r="SXS30" s="426"/>
      <c r="SXZ30" s="426"/>
      <c r="SYG30" s="426"/>
      <c r="SYN30" s="426"/>
      <c r="SYU30" s="426"/>
      <c r="SZB30" s="426"/>
      <c r="SZI30" s="426"/>
      <c r="SZP30" s="426"/>
      <c r="SZW30" s="426"/>
      <c r="TAD30" s="426"/>
      <c r="TAK30" s="426"/>
      <c r="TAR30" s="426"/>
      <c r="TAY30" s="426"/>
      <c r="TBF30" s="426"/>
      <c r="TBM30" s="426"/>
      <c r="TBT30" s="426"/>
      <c r="TCA30" s="426"/>
      <c r="TCH30" s="426"/>
      <c r="TCO30" s="426"/>
      <c r="TCV30" s="426"/>
      <c r="TDC30" s="426"/>
      <c r="TDJ30" s="426"/>
      <c r="TDQ30" s="426"/>
      <c r="TDX30" s="426"/>
      <c r="TEE30" s="426"/>
      <c r="TEL30" s="426"/>
      <c r="TES30" s="426"/>
      <c r="TEZ30" s="426"/>
      <c r="TFG30" s="426"/>
      <c r="TFN30" s="426"/>
      <c r="TFU30" s="426"/>
      <c r="TGB30" s="426"/>
      <c r="TGI30" s="426"/>
      <c r="TGP30" s="426"/>
      <c r="TGW30" s="426"/>
      <c r="THD30" s="426"/>
      <c r="THK30" s="426"/>
      <c r="THR30" s="426"/>
      <c r="THY30" s="426"/>
      <c r="TIF30" s="426"/>
      <c r="TIM30" s="426"/>
      <c r="TIT30" s="426"/>
      <c r="TJA30" s="426"/>
      <c r="TJH30" s="426"/>
      <c r="TJO30" s="426"/>
      <c r="TJV30" s="426"/>
      <c r="TKC30" s="426"/>
      <c r="TKJ30" s="426"/>
      <c r="TKQ30" s="426"/>
      <c r="TKX30" s="426"/>
      <c r="TLE30" s="426"/>
      <c r="TLL30" s="426"/>
      <c r="TLS30" s="426"/>
      <c r="TLZ30" s="426"/>
      <c r="TMG30" s="426"/>
      <c r="TMN30" s="426"/>
      <c r="TMU30" s="426"/>
      <c r="TNB30" s="426"/>
      <c r="TNI30" s="426"/>
      <c r="TNP30" s="426"/>
      <c r="TNW30" s="426"/>
      <c r="TOD30" s="426"/>
      <c r="TOK30" s="426"/>
      <c r="TOR30" s="426"/>
      <c r="TOY30" s="426"/>
      <c r="TPF30" s="426"/>
      <c r="TPM30" s="426"/>
      <c r="TPT30" s="426"/>
      <c r="TQA30" s="426"/>
      <c r="TQH30" s="426"/>
      <c r="TQO30" s="426"/>
      <c r="TQV30" s="426"/>
      <c r="TRC30" s="426"/>
      <c r="TRJ30" s="426"/>
      <c r="TRQ30" s="426"/>
      <c r="TRX30" s="426"/>
      <c r="TSE30" s="426"/>
      <c r="TSL30" s="426"/>
      <c r="TSS30" s="426"/>
      <c r="TSZ30" s="426"/>
      <c r="TTG30" s="426"/>
      <c r="TTN30" s="426"/>
      <c r="TTU30" s="426"/>
      <c r="TUB30" s="426"/>
      <c r="TUI30" s="426"/>
      <c r="TUP30" s="426"/>
      <c r="TUW30" s="426"/>
      <c r="TVD30" s="426"/>
      <c r="TVK30" s="426"/>
      <c r="TVR30" s="426"/>
      <c r="TVY30" s="426"/>
      <c r="TWF30" s="426"/>
      <c r="TWM30" s="426"/>
      <c r="TWT30" s="426"/>
      <c r="TXA30" s="426"/>
      <c r="TXH30" s="426"/>
      <c r="TXO30" s="426"/>
      <c r="TXV30" s="426"/>
      <c r="TYC30" s="426"/>
      <c r="TYJ30" s="426"/>
      <c r="TYQ30" s="426"/>
      <c r="TYX30" s="426"/>
      <c r="TZE30" s="426"/>
      <c r="TZL30" s="426"/>
      <c r="TZS30" s="426"/>
      <c r="TZZ30" s="426"/>
      <c r="UAG30" s="426"/>
      <c r="UAN30" s="426"/>
      <c r="UAU30" s="426"/>
      <c r="UBB30" s="426"/>
      <c r="UBI30" s="426"/>
      <c r="UBP30" s="426"/>
      <c r="UBW30" s="426"/>
      <c r="UCD30" s="426"/>
      <c r="UCK30" s="426"/>
      <c r="UCR30" s="426"/>
      <c r="UCY30" s="426"/>
      <c r="UDF30" s="426"/>
      <c r="UDM30" s="426"/>
      <c r="UDT30" s="426"/>
      <c r="UEA30" s="426"/>
      <c r="UEH30" s="426"/>
      <c r="UEO30" s="426"/>
      <c r="UEV30" s="426"/>
      <c r="UFC30" s="426"/>
      <c r="UFJ30" s="426"/>
      <c r="UFQ30" s="426"/>
      <c r="UFX30" s="426"/>
      <c r="UGE30" s="426"/>
      <c r="UGL30" s="426"/>
      <c r="UGS30" s="426"/>
      <c r="UGZ30" s="426"/>
      <c r="UHG30" s="426"/>
      <c r="UHN30" s="426"/>
      <c r="UHU30" s="426"/>
      <c r="UIB30" s="426"/>
      <c r="UII30" s="426"/>
      <c r="UIP30" s="426"/>
      <c r="UIW30" s="426"/>
      <c r="UJD30" s="426"/>
      <c r="UJK30" s="426"/>
      <c r="UJR30" s="426"/>
      <c r="UJY30" s="426"/>
      <c r="UKF30" s="426"/>
      <c r="UKM30" s="426"/>
      <c r="UKT30" s="426"/>
      <c r="ULA30" s="426"/>
      <c r="ULH30" s="426"/>
      <c r="ULO30" s="426"/>
      <c r="ULV30" s="426"/>
      <c r="UMC30" s="426"/>
      <c r="UMJ30" s="426"/>
      <c r="UMQ30" s="426"/>
      <c r="UMX30" s="426"/>
      <c r="UNE30" s="426"/>
      <c r="UNL30" s="426"/>
      <c r="UNS30" s="426"/>
      <c r="UNZ30" s="426"/>
      <c r="UOG30" s="426"/>
      <c r="UON30" s="426"/>
      <c r="UOU30" s="426"/>
      <c r="UPB30" s="426"/>
      <c r="UPI30" s="426"/>
      <c r="UPP30" s="426"/>
      <c r="UPW30" s="426"/>
      <c r="UQD30" s="426"/>
      <c r="UQK30" s="426"/>
      <c r="UQR30" s="426"/>
      <c r="UQY30" s="426"/>
      <c r="URF30" s="426"/>
      <c r="URM30" s="426"/>
      <c r="URT30" s="426"/>
      <c r="USA30" s="426"/>
      <c r="USH30" s="426"/>
      <c r="USO30" s="426"/>
      <c r="USV30" s="426"/>
      <c r="UTC30" s="426"/>
      <c r="UTJ30" s="426"/>
      <c r="UTQ30" s="426"/>
      <c r="UTX30" s="426"/>
      <c r="UUE30" s="426"/>
      <c r="UUL30" s="426"/>
      <c r="UUS30" s="426"/>
      <c r="UUZ30" s="426"/>
      <c r="UVG30" s="426"/>
      <c r="UVN30" s="426"/>
      <c r="UVU30" s="426"/>
      <c r="UWB30" s="426"/>
      <c r="UWI30" s="426"/>
      <c r="UWP30" s="426"/>
      <c r="UWW30" s="426"/>
      <c r="UXD30" s="426"/>
      <c r="UXK30" s="426"/>
      <c r="UXR30" s="426"/>
      <c r="UXY30" s="426"/>
      <c r="UYF30" s="426"/>
      <c r="UYM30" s="426"/>
      <c r="UYT30" s="426"/>
      <c r="UZA30" s="426"/>
      <c r="UZH30" s="426"/>
      <c r="UZO30" s="426"/>
      <c r="UZV30" s="426"/>
      <c r="VAC30" s="426"/>
      <c r="VAJ30" s="426"/>
      <c r="VAQ30" s="426"/>
      <c r="VAX30" s="426"/>
      <c r="VBE30" s="426"/>
      <c r="VBL30" s="426"/>
      <c r="VBS30" s="426"/>
      <c r="VBZ30" s="426"/>
      <c r="VCG30" s="426"/>
      <c r="VCN30" s="426"/>
      <c r="VCU30" s="426"/>
      <c r="VDB30" s="426"/>
      <c r="VDI30" s="426"/>
      <c r="VDP30" s="426"/>
      <c r="VDW30" s="426"/>
      <c r="VED30" s="426"/>
      <c r="VEK30" s="426"/>
      <c r="VER30" s="426"/>
      <c r="VEY30" s="426"/>
      <c r="VFF30" s="426"/>
      <c r="VFM30" s="426"/>
      <c r="VFT30" s="426"/>
      <c r="VGA30" s="426"/>
      <c r="VGH30" s="426"/>
      <c r="VGO30" s="426"/>
      <c r="VGV30" s="426"/>
      <c r="VHC30" s="426"/>
      <c r="VHJ30" s="426"/>
      <c r="VHQ30" s="426"/>
      <c r="VHX30" s="426"/>
      <c r="VIE30" s="426"/>
      <c r="VIL30" s="426"/>
      <c r="VIS30" s="426"/>
      <c r="VIZ30" s="426"/>
      <c r="VJG30" s="426"/>
      <c r="VJN30" s="426"/>
      <c r="VJU30" s="426"/>
      <c r="VKB30" s="426"/>
      <c r="VKI30" s="426"/>
      <c r="VKP30" s="426"/>
      <c r="VKW30" s="426"/>
      <c r="VLD30" s="426"/>
      <c r="VLK30" s="426"/>
      <c r="VLR30" s="426"/>
      <c r="VLY30" s="426"/>
      <c r="VMF30" s="426"/>
      <c r="VMM30" s="426"/>
      <c r="VMT30" s="426"/>
      <c r="VNA30" s="426"/>
      <c r="VNH30" s="426"/>
      <c r="VNO30" s="426"/>
      <c r="VNV30" s="426"/>
      <c r="VOC30" s="426"/>
      <c r="VOJ30" s="426"/>
      <c r="VOQ30" s="426"/>
      <c r="VOX30" s="426"/>
      <c r="VPE30" s="426"/>
      <c r="VPL30" s="426"/>
      <c r="VPS30" s="426"/>
      <c r="VPZ30" s="426"/>
      <c r="VQG30" s="426"/>
      <c r="VQN30" s="426"/>
      <c r="VQU30" s="426"/>
      <c r="VRB30" s="426"/>
      <c r="VRI30" s="426"/>
      <c r="VRP30" s="426"/>
      <c r="VRW30" s="426"/>
      <c r="VSD30" s="426"/>
      <c r="VSK30" s="426"/>
      <c r="VSR30" s="426"/>
      <c r="VSY30" s="426"/>
      <c r="VTF30" s="426"/>
      <c r="VTM30" s="426"/>
      <c r="VTT30" s="426"/>
      <c r="VUA30" s="426"/>
      <c r="VUH30" s="426"/>
      <c r="VUO30" s="426"/>
      <c r="VUV30" s="426"/>
      <c r="VVC30" s="426"/>
      <c r="VVJ30" s="426"/>
      <c r="VVQ30" s="426"/>
      <c r="VVX30" s="426"/>
      <c r="VWE30" s="426"/>
      <c r="VWL30" s="426"/>
      <c r="VWS30" s="426"/>
      <c r="VWZ30" s="426"/>
      <c r="VXG30" s="426"/>
      <c r="VXN30" s="426"/>
      <c r="VXU30" s="426"/>
      <c r="VYB30" s="426"/>
      <c r="VYI30" s="426"/>
      <c r="VYP30" s="426"/>
      <c r="VYW30" s="426"/>
      <c r="VZD30" s="426"/>
      <c r="VZK30" s="426"/>
      <c r="VZR30" s="426"/>
      <c r="VZY30" s="426"/>
      <c r="WAF30" s="426"/>
      <c r="WAM30" s="426"/>
      <c r="WAT30" s="426"/>
      <c r="WBA30" s="426"/>
      <c r="WBH30" s="426"/>
      <c r="WBO30" s="426"/>
      <c r="WBV30" s="426"/>
      <c r="WCC30" s="426"/>
      <c r="WCJ30" s="426"/>
      <c r="WCQ30" s="426"/>
      <c r="WCX30" s="426"/>
      <c r="WDE30" s="426"/>
      <c r="WDL30" s="426"/>
      <c r="WDS30" s="426"/>
      <c r="WDZ30" s="426"/>
      <c r="WEG30" s="426"/>
      <c r="WEN30" s="426"/>
      <c r="WEU30" s="426"/>
      <c r="WFB30" s="426"/>
      <c r="WFI30" s="426"/>
      <c r="WFP30" s="426"/>
      <c r="WFW30" s="426"/>
      <c r="WGD30" s="426"/>
      <c r="WGK30" s="426"/>
      <c r="WGR30" s="426"/>
      <c r="WGY30" s="426"/>
      <c r="WHF30" s="426"/>
      <c r="WHM30" s="426"/>
      <c r="WHT30" s="426"/>
      <c r="WIA30" s="426"/>
      <c r="WIH30" s="426"/>
      <c r="WIO30" s="426"/>
      <c r="WIV30" s="426"/>
      <c r="WJC30" s="426"/>
      <c r="WJJ30" s="426"/>
      <c r="WJQ30" s="426"/>
      <c r="WJX30" s="426"/>
      <c r="WKE30" s="426"/>
      <c r="WKL30" s="426"/>
      <c r="WKS30" s="426"/>
      <c r="WKZ30" s="426"/>
      <c r="WLG30" s="426"/>
      <c r="WLN30" s="426"/>
      <c r="WLU30" s="426"/>
      <c r="WMB30" s="426"/>
      <c r="WMI30" s="426"/>
      <c r="WMP30" s="426"/>
      <c r="WMW30" s="426"/>
      <c r="WND30" s="426"/>
      <c r="WNK30" s="426"/>
      <c r="WNR30" s="426"/>
      <c r="WNY30" s="426"/>
      <c r="WOF30" s="426"/>
      <c r="WOM30" s="426"/>
      <c r="WOT30" s="426"/>
      <c r="WPA30" s="426"/>
      <c r="WPH30" s="426"/>
      <c r="WPO30" s="426"/>
      <c r="WPV30" s="426"/>
      <c r="WQC30" s="426"/>
      <c r="WQJ30" s="426"/>
      <c r="WQQ30" s="426"/>
      <c r="WQX30" s="426"/>
      <c r="WRE30" s="426"/>
      <c r="WRL30" s="426"/>
      <c r="WRS30" s="426"/>
      <c r="WRZ30" s="426"/>
      <c r="WSG30" s="426"/>
      <c r="WSN30" s="426"/>
      <c r="WSU30" s="426"/>
      <c r="WTB30" s="426"/>
      <c r="WTI30" s="426"/>
      <c r="WTP30" s="426"/>
      <c r="WTW30" s="426"/>
      <c r="WUD30" s="426"/>
      <c r="WUK30" s="426"/>
      <c r="WUR30" s="426"/>
      <c r="WUY30" s="426"/>
      <c r="WVF30" s="426"/>
      <c r="WVM30" s="426"/>
      <c r="WVT30" s="426"/>
      <c r="WWA30" s="426"/>
      <c r="WWH30" s="426"/>
      <c r="WWO30" s="426"/>
      <c r="WWV30" s="426"/>
      <c r="WXC30" s="426"/>
      <c r="WXJ30" s="426"/>
      <c r="WXQ30" s="426"/>
      <c r="WXX30" s="426"/>
      <c r="WYE30" s="426"/>
      <c r="WYL30" s="426"/>
      <c r="WYS30" s="426"/>
      <c r="WYZ30" s="426"/>
      <c r="WZG30" s="426"/>
      <c r="WZN30" s="426"/>
      <c r="WZU30" s="426"/>
      <c r="XAB30" s="426"/>
      <c r="XAI30" s="426"/>
      <c r="XAP30" s="426"/>
      <c r="XAW30" s="426"/>
      <c r="XBD30" s="426"/>
      <c r="XBK30" s="426"/>
      <c r="XBR30" s="426"/>
      <c r="XBY30" s="426"/>
      <c r="XCF30" s="426"/>
      <c r="XCM30" s="426"/>
      <c r="XCT30" s="426"/>
      <c r="XDA30" s="426"/>
      <c r="XDH30" s="426"/>
      <c r="XDO30" s="426"/>
      <c r="XDV30" s="426"/>
      <c r="XEC30" s="426"/>
      <c r="XEJ30" s="426"/>
      <c r="XEQ30" s="426"/>
      <c r="XEX30" s="426"/>
    </row>
    <row r="31" spans="1:1020 1027:2042 2049:3071 3078:4093 4100:5115 5122:6144 6151:7166 7173:8188 8195:9210 9217:10239 10246:11261 11268:12283 12290:13312 13319:14334 14341:15356 15363:16378">
      <c r="A31" s="431" t="s">
        <v>466</v>
      </c>
      <c r="B31" s="428"/>
      <c r="C31" s="428"/>
      <c r="D31" s="428"/>
    </row>
    <row r="32" spans="1:1020 1027:2042 2049:3071 3078:4093 4100:5115 5122:6144 6151:7166 7173:8188 8195:9210 9217:10239 10246:11261 11268:12283 12290:13312 13319:14334 14341:15356 15363:16378">
      <c r="A32" s="428" t="s">
        <v>233</v>
      </c>
      <c r="B32" s="437">
        <f>SUM('Allocators (C)'!C10:C10)</f>
        <v>13186.143500597045</v>
      </c>
      <c r="C32" s="442">
        <v>0.6</v>
      </c>
      <c r="D32" s="443">
        <f>B32*C32</f>
        <v>7911.6861003582271</v>
      </c>
    </row>
    <row r="33" spans="1:7">
      <c r="A33" s="428" t="s">
        <v>467</v>
      </c>
      <c r="B33" s="437">
        <f>SUM('Allocators (C)'!C11:C11)</f>
        <v>8719.219758834337</v>
      </c>
      <c r="C33" s="442">
        <v>0.6</v>
      </c>
      <c r="D33" s="443">
        <f>B33*C33</f>
        <v>5231.5318553006018</v>
      </c>
    </row>
    <row r="34" spans="1:7">
      <c r="A34" s="428" t="s">
        <v>294</v>
      </c>
      <c r="B34" s="437">
        <f>SUM('Allocators (C)'!C16:C16)</f>
        <v>426.7158537116814</v>
      </c>
      <c r="C34" s="442">
        <v>0.6</v>
      </c>
      <c r="D34" s="443">
        <f>B34*C34</f>
        <v>256.02951222700881</v>
      </c>
    </row>
    <row r="35" spans="1:7">
      <c r="A35" s="444" t="s">
        <v>553</v>
      </c>
      <c r="B35" s="436">
        <f>SUM(B32:B34)-SUM('Allocators (C)'!C10:C11,'Allocators (C)'!C16:C16)</f>
        <v>0</v>
      </c>
      <c r="C35" s="437"/>
      <c r="D35" s="995">
        <f>SUM(D32:D34)</f>
        <v>13399.247467885838</v>
      </c>
    </row>
    <row r="36" spans="1:7">
      <c r="A36" s="428"/>
      <c r="B36" s="428"/>
      <c r="C36" s="428"/>
      <c r="D36" s="428"/>
    </row>
    <row r="37" spans="1:7">
      <c r="A37" s="428" t="s">
        <v>1054</v>
      </c>
      <c r="B37" s="428"/>
      <c r="C37" s="428"/>
      <c r="D37" s="699">
        <f>D35/2</f>
        <v>6699.623733942919</v>
      </c>
      <c r="E37" s="445"/>
    </row>
    <row r="38" spans="1:7">
      <c r="D38" s="446"/>
      <c r="E38" s="445"/>
    </row>
    <row r="39" spans="1:7" ht="12.75" thickBot="1">
      <c r="A39" s="429"/>
      <c r="B39" s="429"/>
      <c r="C39" s="429"/>
      <c r="D39" s="429"/>
      <c r="E39" s="430"/>
      <c r="F39" s="429"/>
      <c r="G39" s="429"/>
    </row>
    <row r="40" spans="1:7" ht="12.75" thickTop="1">
      <c r="A40" s="1333" t="s">
        <v>69</v>
      </c>
      <c r="B40" s="1334"/>
      <c r="C40" s="1334"/>
      <c r="D40" s="1334"/>
      <c r="E40" s="1335"/>
    </row>
    <row r="41" spans="1:7">
      <c r="A41" s="1336" t="s">
        <v>3022</v>
      </c>
      <c r="B41" s="1337"/>
      <c r="C41" s="1337"/>
      <c r="D41" s="1337"/>
      <c r="E41" s="1338"/>
    </row>
    <row r="42" spans="1:7">
      <c r="A42" s="1336"/>
      <c r="B42" s="1337"/>
      <c r="C42" s="1337"/>
      <c r="D42" s="1337"/>
      <c r="E42" s="1339"/>
      <c r="F42" s="428"/>
      <c r="G42" s="428"/>
    </row>
    <row r="43" spans="1:7">
      <c r="A43" s="1324">
        <v>2022</v>
      </c>
      <c r="B43" s="1340">
        <v>1350</v>
      </c>
      <c r="C43" s="1341"/>
      <c r="D43" s="1341"/>
      <c r="E43" s="1339"/>
      <c r="F43" s="428"/>
      <c r="G43" s="428"/>
    </row>
    <row r="44" spans="1:7">
      <c r="A44" s="1342">
        <v>2021</v>
      </c>
      <c r="B44" s="1343">
        <v>1300</v>
      </c>
      <c r="C44" s="1341"/>
      <c r="D44" s="1341"/>
      <c r="E44" s="1339"/>
      <c r="F44" s="428"/>
      <c r="G44" s="428"/>
    </row>
    <row r="45" spans="1:7">
      <c r="A45" s="1326"/>
      <c r="B45" s="1340">
        <f>+B43-B44</f>
        <v>50</v>
      </c>
      <c r="C45" s="1341"/>
      <c r="D45" s="1341"/>
      <c r="E45" s="1339"/>
      <c r="F45" s="428"/>
      <c r="G45" s="428"/>
    </row>
    <row r="46" spans="1:7">
      <c r="A46" s="1326"/>
      <c r="B46" s="1344">
        <f>+B45/B43</f>
        <v>3.7037037037037035E-2</v>
      </c>
      <c r="C46" s="1341"/>
      <c r="D46" s="1341"/>
      <c r="E46" s="1339"/>
      <c r="F46" s="428"/>
      <c r="G46" s="428"/>
    </row>
    <row r="47" spans="1:7" ht="24">
      <c r="A47" s="1342" t="s">
        <v>933</v>
      </c>
      <c r="B47" s="1345" t="s">
        <v>185</v>
      </c>
      <c r="C47" s="1345"/>
      <c r="D47" s="1346" t="s">
        <v>2404</v>
      </c>
      <c r="E47" s="1347" t="s">
        <v>2405</v>
      </c>
      <c r="F47" s="447"/>
      <c r="G47" s="428"/>
    </row>
    <row r="48" spans="1:7">
      <c r="A48" s="1326">
        <v>50060</v>
      </c>
      <c r="B48" s="1348" t="s">
        <v>69</v>
      </c>
      <c r="C48" s="1345"/>
      <c r="D48" s="1349">
        <f>+SUM('2195 IS (C)'!J97:Z97)</f>
        <v>503983.26999999996</v>
      </c>
      <c r="E48" s="1350">
        <f>+D48*$B$46</f>
        <v>18666.047037037035</v>
      </c>
      <c r="F48" s="428"/>
      <c r="G48" s="428"/>
    </row>
    <row r="49" spans="1:7">
      <c r="A49" s="1351">
        <v>52060</v>
      </c>
      <c r="B49" s="1348" t="s">
        <v>69</v>
      </c>
      <c r="C49" s="1345"/>
      <c r="D49" s="1349">
        <f>+SUM('2195 IS (C)'!J117:Z117)</f>
        <v>110074.75</v>
      </c>
      <c r="E49" s="1350">
        <f t="shared" ref="E49:E50" si="0">+D49*$B$46</f>
        <v>4076.8425925925922</v>
      </c>
      <c r="F49" s="426"/>
      <c r="G49" s="428"/>
    </row>
    <row r="50" spans="1:7">
      <c r="A50" s="1351">
        <v>55060</v>
      </c>
      <c r="B50" s="1348" t="s">
        <v>69</v>
      </c>
      <c r="C50" s="1345"/>
      <c r="D50" s="1349">
        <f>+SUM('2195 IS (C)'!J147:Z147)</f>
        <v>20582.669999999998</v>
      </c>
      <c r="E50" s="1350">
        <f t="shared" si="0"/>
        <v>762.32111111111101</v>
      </c>
      <c r="F50" s="426"/>
      <c r="G50" s="428"/>
    </row>
    <row r="51" spans="1:7">
      <c r="A51" s="1326">
        <v>56060</v>
      </c>
      <c r="B51" s="1348" t="s">
        <v>69</v>
      </c>
      <c r="C51" s="1345"/>
      <c r="D51" s="1349">
        <f>+SUM('2195 IS (C)'!J160:Z160)</f>
        <v>24382.590000000004</v>
      </c>
      <c r="E51" s="1350">
        <f>+D51*$B$46</f>
        <v>903.05888888888899</v>
      </c>
    </row>
    <row r="52" spans="1:7">
      <c r="A52" s="1326">
        <v>70060</v>
      </c>
      <c r="B52" s="1348" t="s">
        <v>69</v>
      </c>
      <c r="C52" s="1345"/>
      <c r="D52" s="1349">
        <f>+SUM('2195 IS (C)'!J220:Z220)</f>
        <v>122854.76000000001</v>
      </c>
      <c r="E52" s="1352">
        <f>+D52*$B$46</f>
        <v>4550.1762962962966</v>
      </c>
    </row>
    <row r="53" spans="1:7">
      <c r="A53" s="1326"/>
      <c r="B53" s="1348"/>
      <c r="C53" s="1348"/>
      <c r="D53" s="1353"/>
      <c r="E53" s="1354">
        <f>+SUM(E48:E52)</f>
        <v>28958.445925925924</v>
      </c>
    </row>
    <row r="54" spans="1:7">
      <c r="A54" s="1326"/>
      <c r="B54" s="1348"/>
      <c r="C54" s="1348"/>
      <c r="D54" s="1355"/>
      <c r="E54" s="1339"/>
    </row>
    <row r="55" spans="1:7" ht="12.75" thickBot="1">
      <c r="A55" s="1356"/>
      <c r="B55" s="1357"/>
      <c r="C55" s="1357"/>
      <c r="D55" s="1357"/>
      <c r="E55" s="1358"/>
    </row>
    <row r="56" spans="1:7" ht="12.75" thickTop="1"/>
  </sheetData>
  <customSheetViews>
    <customSheetView guid="{156AD3D1-5094-4CD1-83C8-30E58A5AFCB6}" showGridLines="0" topLeftCell="A13">
      <selection activeCell="B19" sqref="B19"/>
      <pageMargins left="0.75" right="0.75" top="1" bottom="1" header="0.5" footer="0.5"/>
      <pageSetup orientation="portrait" r:id="rId1"/>
      <headerFooter alignWithMargins="0"/>
    </customSheetView>
    <customSheetView guid="{591FF4D1-4D4D-4220-B124-BC7A16E8B120}" showGridLines="0" topLeftCell="A13">
      <selection activeCell="B19" sqref="B19"/>
      <pageMargins left="0.75" right="0.75" top="1" bottom="1" header="0.5" footer="0.5"/>
      <pageSetup orientation="portrait" r:id="rId2"/>
      <headerFooter alignWithMargins="0"/>
    </customSheetView>
  </customSheetViews>
  <mergeCells count="1">
    <mergeCell ref="A41:D42"/>
  </mergeCells>
  <pageMargins left="0.75" right="0.75" top="1" bottom="1" header="0.5" footer="0.5"/>
  <pageSetup scale="82" fitToHeight="2" orientation="portrait" r:id="rId3"/>
  <headerFooter alignWithMargins="0">
    <oddHeader xml:space="preserve">&amp;C&amp;"-,Bold"&amp;KFF0000TEXT IN RED BOX CONFIDENTIAL PER WAC 480-07-160&amp;"-,Regular"&amp;K01+000
</oddHeader>
  </headerFooter>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K137"/>
  <sheetViews>
    <sheetView showGridLines="0" view="pageBreakPreview" topLeftCell="A127" zoomScale="110" zoomScaleNormal="85" zoomScaleSheetLayoutView="110" workbookViewId="0">
      <selection activeCell="B9" sqref="B9:F135"/>
    </sheetView>
  </sheetViews>
  <sheetFormatPr defaultColWidth="9.140625" defaultRowHeight="12.75" outlineLevelRow="1"/>
  <cols>
    <col min="1" max="1" width="3.7109375" style="62" customWidth="1"/>
    <col min="2" max="2" width="40.7109375" style="62" customWidth="1"/>
    <col min="3" max="3" width="14.28515625" style="62" customWidth="1"/>
    <col min="4" max="4" width="14.5703125" style="62" bestFit="1" customWidth="1"/>
    <col min="5" max="5" width="9.28515625" style="62" bestFit="1" customWidth="1"/>
    <col min="6" max="6" width="14.42578125" style="62" customWidth="1"/>
    <col min="7" max="7" width="14.5703125" style="62" bestFit="1" customWidth="1"/>
    <col min="8" max="8" width="9.140625" style="62" customWidth="1"/>
    <col min="9" max="16384" width="9.140625" style="62"/>
  </cols>
  <sheetData>
    <row r="1" spans="1:10">
      <c r="B1" s="73"/>
      <c r="C1" s="70"/>
      <c r="E1" s="70"/>
    </row>
    <row r="2" spans="1:10">
      <c r="B2" s="84" t="str">
        <f>+'Master IS (C)'!B1</f>
        <v>Yakima Waste Systems, Inc. G-98</v>
      </c>
      <c r="C2" s="85"/>
      <c r="E2" s="70"/>
    </row>
    <row r="3" spans="1:10">
      <c r="B3" s="84" t="s">
        <v>931</v>
      </c>
      <c r="C3" s="74"/>
      <c r="E3" s="70"/>
    </row>
    <row r="4" spans="1:10">
      <c r="B4" s="84" t="str">
        <f>+'Master IS (C)'!B3</f>
        <v>Test Year Ended March 31, 2022</v>
      </c>
      <c r="C4" s="74"/>
      <c r="E4" s="70"/>
    </row>
    <row r="5" spans="1:10" ht="13.5" thickBot="1">
      <c r="B5" s="82"/>
      <c r="C5" s="83"/>
      <c r="D5" s="75"/>
      <c r="E5" s="70"/>
    </row>
    <row r="6" spans="1:10" s="69" customFormat="1" ht="27" customHeight="1" thickBot="1">
      <c r="A6" s="77"/>
      <c r="B6" s="78" t="s">
        <v>197</v>
      </c>
      <c r="C6" s="93" t="s">
        <v>916</v>
      </c>
      <c r="D6" s="93" t="s">
        <v>230</v>
      </c>
      <c r="E6" s="79" t="s">
        <v>20</v>
      </c>
      <c r="F6" s="80"/>
      <c r="G6" s="80"/>
      <c r="H6" s="80"/>
      <c r="I6" s="80"/>
      <c r="J6" s="81"/>
    </row>
    <row r="7" spans="1:10">
      <c r="A7" s="417"/>
      <c r="B7" s="418"/>
      <c r="C7" s="419"/>
      <c r="D7" s="419"/>
      <c r="E7" s="418"/>
      <c r="F7" s="420"/>
      <c r="G7" s="420"/>
      <c r="H7" s="420"/>
      <c r="I7" s="420"/>
      <c r="J7" s="421"/>
    </row>
    <row r="8" spans="1:10" ht="13.5" thickBot="1">
      <c r="A8" s="89" t="s">
        <v>191</v>
      </c>
      <c r="B8" s="545"/>
      <c r="C8" s="545"/>
      <c r="D8" s="545"/>
      <c r="E8" s="545"/>
      <c r="F8" s="545"/>
      <c r="G8" s="243"/>
      <c r="H8" s="243"/>
      <c r="I8" s="243"/>
      <c r="J8" s="90"/>
    </row>
    <row r="9" spans="1:10" ht="15" customHeight="1" thickTop="1">
      <c r="A9" s="59"/>
      <c r="B9" s="1359" t="s">
        <v>196</v>
      </c>
      <c r="C9" s="1360"/>
      <c r="D9" s="1360"/>
      <c r="E9" s="1360"/>
      <c r="F9" s="1361"/>
      <c r="G9" s="244"/>
      <c r="H9" s="244"/>
      <c r="I9" s="244"/>
      <c r="J9" s="88"/>
    </row>
    <row r="10" spans="1:10">
      <c r="A10" s="59"/>
      <c r="B10" s="1362" t="s">
        <v>471</v>
      </c>
      <c r="C10" s="1363">
        <f>+'Yakima Regulated Price Out'!AH45</f>
        <v>13186.143500597045</v>
      </c>
      <c r="D10" s="1363">
        <f>+'[65]Cust Count Summary'!$L$3</f>
        <v>8935.092860892295</v>
      </c>
      <c r="E10" s="1364">
        <f t="shared" ref="E10:E17" si="0">SUM(C10:D10)</f>
        <v>22121.23636148934</v>
      </c>
      <c r="F10" s="1365"/>
      <c r="G10" s="61"/>
      <c r="J10" s="60"/>
    </row>
    <row r="11" spans="1:10">
      <c r="A11" s="59"/>
      <c r="B11" s="1362" t="s">
        <v>472</v>
      </c>
      <c r="C11" s="1363">
        <f>+'Yakima Regulated Price Out'!AH145</f>
        <v>8719.219758834337</v>
      </c>
      <c r="D11" s="1363">
        <f>+'[65]Cust Count Summary'!$L$6</f>
        <v>1607.9727350360058</v>
      </c>
      <c r="E11" s="1364">
        <f t="shared" si="0"/>
        <v>10327.192493870343</v>
      </c>
      <c r="F11" s="1365"/>
      <c r="G11" s="61"/>
      <c r="J11" s="60"/>
    </row>
    <row r="12" spans="1:10">
      <c r="A12" s="59"/>
      <c r="B12" s="1362" t="s">
        <v>473</v>
      </c>
      <c r="C12" s="1363">
        <f>+'Yakima Regulated Price Out'!AH48</f>
        <v>3238.7757971301749</v>
      </c>
      <c r="D12" s="1363">
        <v>0</v>
      </c>
      <c r="E12" s="1364">
        <f t="shared" si="0"/>
        <v>3238.7757971301749</v>
      </c>
      <c r="F12" s="1365"/>
      <c r="G12" s="61"/>
      <c r="J12" s="60"/>
    </row>
    <row r="13" spans="1:10">
      <c r="A13" s="59"/>
      <c r="B13" s="1362" t="s">
        <v>533</v>
      </c>
      <c r="C13" s="1363">
        <v>0</v>
      </c>
      <c r="D13" s="1363">
        <v>0</v>
      </c>
      <c r="E13" s="1364">
        <f t="shared" si="0"/>
        <v>0</v>
      </c>
      <c r="F13" s="1365"/>
      <c r="G13" s="61"/>
      <c r="J13" s="60"/>
    </row>
    <row r="14" spans="1:10">
      <c r="A14" s="59"/>
      <c r="B14" s="1362" t="s">
        <v>924</v>
      </c>
      <c r="C14" s="1363">
        <v>0</v>
      </c>
      <c r="D14" s="1363">
        <f>+'[65]Cust Count Summary'!$L$8</f>
        <v>927.6590349412204</v>
      </c>
      <c r="E14" s="1364">
        <f t="shared" si="0"/>
        <v>927.6590349412204</v>
      </c>
      <c r="F14" s="1365"/>
      <c r="G14" s="61"/>
      <c r="J14" s="60"/>
    </row>
    <row r="15" spans="1:10" s="61" customFormat="1">
      <c r="A15" s="59"/>
      <c r="B15" s="1362" t="s">
        <v>474</v>
      </c>
      <c r="C15" s="1363">
        <f>+'Yakima Regulated Price Out'!AH53</f>
        <v>667.19630787798997</v>
      </c>
      <c r="D15" s="1363">
        <f>+'[65]Cust Count Summary'!$L$5</f>
        <v>425.33035359555026</v>
      </c>
      <c r="E15" s="1364">
        <f t="shared" si="0"/>
        <v>1092.5266614735401</v>
      </c>
      <c r="F15" s="1365"/>
      <c r="G15" s="71"/>
      <c r="J15" s="60"/>
    </row>
    <row r="16" spans="1:10">
      <c r="A16" s="59"/>
      <c r="B16" s="1362" t="s">
        <v>475</v>
      </c>
      <c r="C16" s="1363">
        <f>+'Yakima Regulated Price Out'!AH178</f>
        <v>426.7158537116814</v>
      </c>
      <c r="D16" s="1363">
        <f>+'[65]Cust Count Summary'!$L$7-D17</f>
        <v>177.93397349657661</v>
      </c>
      <c r="E16" s="1364">
        <f t="shared" si="0"/>
        <v>604.64982720825799</v>
      </c>
      <c r="F16" s="1365"/>
      <c r="G16" s="61"/>
      <c r="J16" s="60"/>
    </row>
    <row r="17" spans="1:10">
      <c r="A17" s="59"/>
      <c r="B17" s="1362" t="s">
        <v>619</v>
      </c>
      <c r="C17" s="1363">
        <v>0</v>
      </c>
      <c r="D17" s="1363">
        <f>+'[65]Cust Count Summary'!$J$7</f>
        <v>11.384301150417262</v>
      </c>
      <c r="E17" s="1364">
        <f t="shared" si="0"/>
        <v>11.384301150417262</v>
      </c>
      <c r="F17" s="1366"/>
      <c r="G17" s="61"/>
      <c r="J17" s="60"/>
    </row>
    <row r="18" spans="1:10">
      <c r="A18" s="59"/>
      <c r="B18" s="1367" t="s">
        <v>476</v>
      </c>
      <c r="C18" s="1368">
        <f>SUM(C10:C17)</f>
        <v>26238.051218151228</v>
      </c>
      <c r="D18" s="1368">
        <f>SUM(D10:D17)</f>
        <v>12085.373259112066</v>
      </c>
      <c r="E18" s="1368">
        <f>SUM(E10:E17)</f>
        <v>38323.424477263296</v>
      </c>
      <c r="F18" s="1365"/>
      <c r="G18" s="61"/>
      <c r="J18" s="60"/>
    </row>
    <row r="19" spans="1:10">
      <c r="A19" s="59"/>
      <c r="B19" s="1367"/>
      <c r="C19" s="1364">
        <f>+'[65]Cust Count Summary'!$B$9-C18</f>
        <v>0</v>
      </c>
      <c r="D19" s="1364">
        <f>+'[65]Cust Count Summary'!$L$9-D18</f>
        <v>0</v>
      </c>
      <c r="E19" s="1364"/>
      <c r="F19" s="1365"/>
      <c r="G19" s="61"/>
      <c r="H19" s="61"/>
      <c r="I19" s="61"/>
      <c r="J19" s="60"/>
    </row>
    <row r="20" spans="1:10">
      <c r="A20" s="59"/>
      <c r="B20" s="1369"/>
      <c r="C20" s="1364"/>
      <c r="D20" s="1370"/>
      <c r="E20" s="1370"/>
      <c r="F20" s="1365"/>
      <c r="G20" s="61"/>
      <c r="H20" s="61"/>
      <c r="I20" s="61"/>
      <c r="J20" s="60"/>
    </row>
    <row r="21" spans="1:10">
      <c r="A21" s="59"/>
      <c r="B21" s="1371" t="s">
        <v>480</v>
      </c>
      <c r="C21" s="1372">
        <v>0</v>
      </c>
      <c r="D21" s="1372">
        <v>0</v>
      </c>
      <c r="E21" s="1370"/>
      <c r="F21" s="1365"/>
      <c r="G21" s="61"/>
      <c r="H21" s="61"/>
      <c r="I21" s="61"/>
      <c r="J21" s="60"/>
    </row>
    <row r="22" spans="1:10">
      <c r="A22" s="59"/>
      <c r="B22" s="1373" t="s">
        <v>481</v>
      </c>
      <c r="C22" s="1374">
        <f>C18</f>
        <v>26238.051218151228</v>
      </c>
      <c r="D22" s="1374">
        <f>D18+D21</f>
        <v>12085.373259112066</v>
      </c>
      <c r="E22" s="1374">
        <f>SUM(C22:D22)</f>
        <v>38323.424477263296</v>
      </c>
      <c r="F22" s="1365"/>
      <c r="G22" s="61"/>
      <c r="H22" s="61"/>
      <c r="I22" s="61"/>
      <c r="J22" s="60"/>
    </row>
    <row r="23" spans="1:10">
      <c r="A23" s="59"/>
      <c r="B23" s="1369"/>
      <c r="C23" s="1370"/>
      <c r="D23" s="1364"/>
      <c r="E23" s="1370"/>
      <c r="F23" s="1365"/>
      <c r="G23" s="61"/>
      <c r="H23" s="61"/>
      <c r="I23" s="61"/>
      <c r="J23" s="60"/>
    </row>
    <row r="24" spans="1:10">
      <c r="A24" s="59"/>
      <c r="B24" s="1375" t="s">
        <v>479</v>
      </c>
      <c r="C24" s="1376"/>
      <c r="D24" s="1376"/>
      <c r="E24" s="1376"/>
      <c r="F24" s="1377"/>
      <c r="G24" s="244"/>
      <c r="H24" s="244"/>
      <c r="I24" s="244"/>
      <c r="J24" s="88"/>
    </row>
    <row r="25" spans="1:10" outlineLevel="1">
      <c r="A25" s="59"/>
      <c r="B25" s="1362" t="str">
        <f t="shared" ref="B25:B31" si="1">B10</f>
        <v>Resi MSW Serviced Customers</v>
      </c>
      <c r="C25" s="1378">
        <f t="shared" ref="C25:D32" si="2">C10/$E10</f>
        <v>0.5960852858817911</v>
      </c>
      <c r="D25" s="1378">
        <f t="shared" si="2"/>
        <v>0.40391471411820895</v>
      </c>
      <c r="E25" s="1378">
        <f t="shared" ref="E25:E34" si="3">SUM(C25:D25)</f>
        <v>1</v>
      </c>
      <c r="F25" s="1365"/>
      <c r="G25" s="61"/>
      <c r="H25" s="61"/>
      <c r="I25" s="61"/>
      <c r="J25" s="60"/>
    </row>
    <row r="26" spans="1:10" outlineLevel="1">
      <c r="A26" s="59"/>
      <c r="B26" s="1362" t="str">
        <f t="shared" si="1"/>
        <v>Commercial MSW Serviced Customers</v>
      </c>
      <c r="C26" s="1378">
        <f t="shared" si="2"/>
        <v>0.84429720507384642</v>
      </c>
      <c r="D26" s="1378">
        <f t="shared" si="2"/>
        <v>0.15570279492615349</v>
      </c>
      <c r="E26" s="1379">
        <f t="shared" si="3"/>
        <v>0.99999999999999989</v>
      </c>
      <c r="F26" s="1365"/>
      <c r="G26" s="61"/>
      <c r="H26" s="61"/>
      <c r="I26" s="61"/>
      <c r="J26" s="60"/>
    </row>
    <row r="27" spans="1:10" outlineLevel="1">
      <c r="A27" s="59"/>
      <c r="B27" s="1362" t="str">
        <f t="shared" si="1"/>
        <v>Resi Recycle Serviced Customers</v>
      </c>
      <c r="C27" s="1378">
        <f t="shared" si="2"/>
        <v>1</v>
      </c>
      <c r="D27" s="1378">
        <f t="shared" si="2"/>
        <v>0</v>
      </c>
      <c r="E27" s="1378">
        <f t="shared" si="3"/>
        <v>1</v>
      </c>
      <c r="F27" s="1365"/>
      <c r="G27" s="61"/>
      <c r="H27" s="61"/>
      <c r="I27" s="61"/>
      <c r="J27" s="60"/>
    </row>
    <row r="28" spans="1:10" outlineLevel="1">
      <c r="A28" s="59"/>
      <c r="B28" s="1362" t="str">
        <f t="shared" si="1"/>
        <v>Multi Family Recycling Serviced Customers</v>
      </c>
      <c r="C28" s="1378">
        <f>IFERROR(C13/$E13,0)</f>
        <v>0</v>
      </c>
      <c r="D28" s="1378">
        <f>IFERROR(D13/$E13,0)</f>
        <v>0</v>
      </c>
      <c r="E28" s="1378">
        <f t="shared" si="3"/>
        <v>0</v>
      </c>
      <c r="F28" s="1365"/>
      <c r="G28" s="61"/>
      <c r="H28" s="61"/>
      <c r="I28" s="61"/>
      <c r="J28" s="60"/>
    </row>
    <row r="29" spans="1:10" outlineLevel="1">
      <c r="A29" s="59"/>
      <c r="B29" s="1362" t="str">
        <f t="shared" si="1"/>
        <v>Commercial Recycling Serviced Customers</v>
      </c>
      <c r="C29" s="1378">
        <f t="shared" si="2"/>
        <v>0</v>
      </c>
      <c r="D29" s="1378">
        <f t="shared" si="2"/>
        <v>1</v>
      </c>
      <c r="E29" s="1378">
        <f t="shared" si="3"/>
        <v>1</v>
      </c>
      <c r="F29" s="1365"/>
      <c r="G29" s="61"/>
      <c r="H29" s="61"/>
      <c r="I29" s="61"/>
      <c r="J29" s="60"/>
    </row>
    <row r="30" spans="1:10" outlineLevel="1">
      <c r="A30" s="59"/>
      <c r="B30" s="1362" t="str">
        <f t="shared" si="1"/>
        <v>YW Serviced Customers</v>
      </c>
      <c r="C30" s="1378">
        <f t="shared" si="2"/>
        <v>0.61069109927085174</v>
      </c>
      <c r="D30" s="1378">
        <f t="shared" si="2"/>
        <v>0.38930890072914831</v>
      </c>
      <c r="E30" s="1378">
        <f t="shared" si="3"/>
        <v>1</v>
      </c>
      <c r="F30" s="1365"/>
      <c r="G30" s="61"/>
      <c r="H30" s="61"/>
      <c r="I30" s="61"/>
      <c r="J30" s="60"/>
    </row>
    <row r="31" spans="1:10" outlineLevel="1">
      <c r="A31" s="59"/>
      <c r="B31" s="1362" t="str">
        <f t="shared" si="1"/>
        <v>Roll off Serviced Customers</v>
      </c>
      <c r="C31" s="1378">
        <f t="shared" si="2"/>
        <v>0.70572393228305474</v>
      </c>
      <c r="D31" s="1378">
        <f t="shared" si="2"/>
        <v>0.29427606771694531</v>
      </c>
      <c r="E31" s="1378">
        <f t="shared" si="3"/>
        <v>1</v>
      </c>
      <c r="F31" s="1365"/>
      <c r="G31" s="61"/>
      <c r="H31" s="61"/>
      <c r="I31" s="61"/>
      <c r="J31" s="60"/>
    </row>
    <row r="32" spans="1:10" outlineLevel="1">
      <c r="A32" s="59"/>
      <c r="B32" s="1362" t="s">
        <v>619</v>
      </c>
      <c r="C32" s="1378">
        <f t="shared" si="2"/>
        <v>0</v>
      </c>
      <c r="D32" s="1378">
        <f t="shared" si="2"/>
        <v>1</v>
      </c>
      <c r="E32" s="1378">
        <f t="shared" si="3"/>
        <v>1</v>
      </c>
      <c r="F32" s="1365"/>
      <c r="G32" s="61"/>
      <c r="H32" s="61"/>
      <c r="I32" s="61"/>
      <c r="J32" s="60"/>
    </row>
    <row r="33" spans="1:10" s="69" customFormat="1" ht="13.5" thickBot="1">
      <c r="A33" s="280"/>
      <c r="B33" s="1367" t="s">
        <v>482</v>
      </c>
      <c r="C33" s="1380">
        <f>C18/$E$18</f>
        <v>0.68464787727197662</v>
      </c>
      <c r="D33" s="1380">
        <f>D18/$E$18</f>
        <v>0.31535212272802327</v>
      </c>
      <c r="E33" s="1380">
        <f t="shared" si="3"/>
        <v>0.99999999999999989</v>
      </c>
      <c r="F33" s="1381"/>
      <c r="G33" s="63"/>
      <c r="H33" s="63"/>
      <c r="I33" s="63"/>
      <c r="J33" s="281"/>
    </row>
    <row r="34" spans="1:10" s="69" customFormat="1" ht="14.25" thickTop="1" thickBot="1">
      <c r="A34" s="280"/>
      <c r="B34" s="1367" t="s">
        <v>483</v>
      </c>
      <c r="C34" s="1380">
        <f>C22/$E$22</f>
        <v>0.68464787727197662</v>
      </c>
      <c r="D34" s="1380">
        <f>D22/$E$22</f>
        <v>0.31535212272802327</v>
      </c>
      <c r="E34" s="1380">
        <f t="shared" si="3"/>
        <v>0.99999999999999989</v>
      </c>
      <c r="F34" s="1381"/>
      <c r="G34" s="63"/>
      <c r="H34" s="63"/>
      <c r="I34" s="63"/>
      <c r="J34" s="281"/>
    </row>
    <row r="35" spans="1:10" s="69" customFormat="1" ht="13.5" thickTop="1">
      <c r="A35" s="280"/>
      <c r="B35" s="1367"/>
      <c r="C35" s="1382"/>
      <c r="D35" s="1382"/>
      <c r="E35" s="1382"/>
      <c r="F35" s="1381"/>
      <c r="G35" s="63"/>
      <c r="H35" s="63"/>
      <c r="I35" s="63"/>
      <c r="J35" s="281"/>
    </row>
    <row r="36" spans="1:10" s="69" customFormat="1">
      <c r="A36" s="280"/>
      <c r="B36" s="1367" t="s">
        <v>622</v>
      </c>
      <c r="C36" s="1382">
        <f>+SUM(C12:C14,C17)/SUM($E$12:$E$14,$E$17)</f>
        <v>0.77523121366733883</v>
      </c>
      <c r="D36" s="1382">
        <f>+SUM(D12:D14,D17)/SUM($E$12:$E$14,$E$17)</f>
        <v>0.22476878633266129</v>
      </c>
      <c r="E36" s="1382">
        <f>+SUM(C36:D36)</f>
        <v>1</v>
      </c>
      <c r="F36" s="1381"/>
      <c r="G36" s="63"/>
      <c r="H36" s="63"/>
      <c r="I36" s="63"/>
      <c r="J36" s="281"/>
    </row>
    <row r="37" spans="1:10">
      <c r="A37" s="59"/>
      <c r="B37" s="1367" t="s">
        <v>920</v>
      </c>
      <c r="C37" s="1383">
        <f>+C22/SUM($C$22:$C$22)</f>
        <v>1</v>
      </c>
      <c r="D37" s="1379"/>
      <c r="E37" s="1379"/>
      <c r="F37" s="1365"/>
      <c r="G37" s="61"/>
      <c r="H37" s="61"/>
      <c r="I37" s="61"/>
      <c r="J37" s="60"/>
    </row>
    <row r="38" spans="1:10">
      <c r="A38" s="59"/>
      <c r="B38" s="1375" t="s">
        <v>477</v>
      </c>
      <c r="C38" s="1376"/>
      <c r="D38" s="1376"/>
      <c r="E38" s="1376"/>
      <c r="F38" s="1377"/>
      <c r="G38" s="244"/>
      <c r="H38" s="244"/>
      <c r="I38" s="244"/>
      <c r="J38" s="88"/>
    </row>
    <row r="39" spans="1:10">
      <c r="A39" s="59"/>
      <c r="B39" s="1362" t="str">
        <f t="shared" ref="B39:B45" si="4">B10</f>
        <v>Resi MSW Serviced Customers</v>
      </c>
      <c r="C39" s="1378">
        <f t="shared" ref="C39:C46" si="5">C10/$C$18</f>
        <v>0.50255803645489494</v>
      </c>
      <c r="D39" s="1378"/>
      <c r="E39" s="1378"/>
      <c r="F39" s="1365"/>
      <c r="G39" s="61"/>
      <c r="H39" s="61"/>
      <c r="I39" s="61"/>
      <c r="J39" s="60"/>
    </row>
    <row r="40" spans="1:10">
      <c r="A40" s="59"/>
      <c r="B40" s="1362" t="str">
        <f t="shared" si="4"/>
        <v>Commercial MSW Serviced Customers</v>
      </c>
      <c r="C40" s="1378">
        <f t="shared" si="5"/>
        <v>0.33231201838658148</v>
      </c>
      <c r="D40" s="1378"/>
      <c r="E40" s="1378"/>
      <c r="F40" s="1365"/>
      <c r="G40" s="61"/>
      <c r="H40" s="61"/>
      <c r="I40" s="61"/>
      <c r="J40" s="60"/>
    </row>
    <row r="41" spans="1:10">
      <c r="A41" s="59"/>
      <c r="B41" s="1362" t="str">
        <f t="shared" si="4"/>
        <v>Resi Recycle Serviced Customers</v>
      </c>
      <c r="C41" s="1378">
        <f t="shared" si="5"/>
        <v>0.12343812313658498</v>
      </c>
      <c r="D41" s="1378"/>
      <c r="E41" s="1378"/>
      <c r="F41" s="1365"/>
      <c r="G41" s="61"/>
      <c r="H41" s="61"/>
      <c r="I41" s="61"/>
      <c r="J41" s="60"/>
    </row>
    <row r="42" spans="1:10" ht="12.6" customHeight="1">
      <c r="A42" s="59"/>
      <c r="B42" s="1362" t="str">
        <f t="shared" si="4"/>
        <v>Multi Family Recycling Serviced Customers</v>
      </c>
      <c r="C42" s="1378">
        <f t="shared" si="5"/>
        <v>0</v>
      </c>
      <c r="D42" s="1378"/>
      <c r="E42" s="1378"/>
      <c r="F42" s="1365"/>
      <c r="G42" s="61"/>
      <c r="H42" s="61"/>
      <c r="I42" s="61"/>
      <c r="J42" s="60"/>
    </row>
    <row r="43" spans="1:10">
      <c r="A43" s="59"/>
      <c r="B43" s="1362" t="str">
        <f t="shared" si="4"/>
        <v>Commercial Recycling Serviced Customers</v>
      </c>
      <c r="C43" s="1378">
        <f t="shared" si="5"/>
        <v>0</v>
      </c>
      <c r="D43" s="1378"/>
      <c r="E43" s="1378"/>
      <c r="F43" s="1365"/>
      <c r="G43" s="61"/>
      <c r="H43" s="61"/>
      <c r="I43" s="61"/>
      <c r="J43" s="60"/>
    </row>
    <row r="44" spans="1:10">
      <c r="A44" s="59"/>
      <c r="B44" s="1362" t="str">
        <f t="shared" si="4"/>
        <v>YW Serviced Customers</v>
      </c>
      <c r="C44" s="1378">
        <f t="shared" si="5"/>
        <v>2.5428577081838686E-2</v>
      </c>
      <c r="D44" s="1378"/>
      <c r="E44" s="1378"/>
      <c r="F44" s="1365"/>
      <c r="G44" s="61"/>
      <c r="H44" s="61"/>
      <c r="I44" s="61"/>
      <c r="J44" s="60"/>
    </row>
    <row r="45" spans="1:10">
      <c r="A45" s="59"/>
      <c r="B45" s="1362" t="str">
        <f t="shared" si="4"/>
        <v>Roll off Serviced Customers</v>
      </c>
      <c r="C45" s="1378">
        <f t="shared" si="5"/>
        <v>1.6263244940099956E-2</v>
      </c>
      <c r="D45" s="1378"/>
      <c r="E45" s="1378"/>
      <c r="F45" s="1365"/>
      <c r="G45" s="61"/>
      <c r="H45" s="61"/>
      <c r="I45" s="61"/>
      <c r="J45" s="60"/>
    </row>
    <row r="46" spans="1:10">
      <c r="A46" s="59"/>
      <c r="B46" s="1362" t="s">
        <v>619</v>
      </c>
      <c r="C46" s="1378">
        <f t="shared" si="5"/>
        <v>0</v>
      </c>
      <c r="D46" s="1378"/>
      <c r="E46" s="1378"/>
      <c r="F46" s="1365"/>
      <c r="G46" s="61"/>
      <c r="H46" s="61"/>
      <c r="I46" s="61"/>
      <c r="J46" s="60"/>
    </row>
    <row r="47" spans="1:10" ht="5.25" customHeight="1">
      <c r="A47" s="59"/>
      <c r="B47" s="1362"/>
      <c r="C47" s="1378"/>
      <c r="D47" s="1378"/>
      <c r="E47" s="1378"/>
      <c r="F47" s="1365"/>
      <c r="G47" s="61"/>
      <c r="H47" s="61"/>
      <c r="I47" s="61"/>
      <c r="J47" s="60"/>
    </row>
    <row r="48" spans="1:10" ht="13.5" thickBot="1">
      <c r="A48" s="59"/>
      <c r="B48" s="1362" t="s">
        <v>192</v>
      </c>
      <c r="C48" s="1384">
        <f>SUM(C39:C47)</f>
        <v>1</v>
      </c>
      <c r="D48" s="1378"/>
      <c r="E48" s="1378"/>
      <c r="F48" s="1365"/>
      <c r="G48" s="61"/>
      <c r="H48" s="61"/>
      <c r="I48" s="61"/>
      <c r="J48" s="60"/>
    </row>
    <row r="49" spans="1:10" ht="13.5" thickTop="1">
      <c r="A49" s="59"/>
      <c r="B49" s="1362"/>
      <c r="C49" s="1385"/>
      <c r="D49" s="1379"/>
      <c r="E49" s="1379"/>
      <c r="F49" s="1365"/>
      <c r="G49" s="61"/>
      <c r="H49" s="61"/>
      <c r="I49" s="61"/>
      <c r="J49" s="60"/>
    </row>
    <row r="50" spans="1:10">
      <c r="A50" s="59"/>
      <c r="B50" s="1369"/>
      <c r="C50" s="1370"/>
      <c r="D50" s="1370"/>
      <c r="E50" s="1370"/>
      <c r="F50" s="1365"/>
      <c r="G50" s="61"/>
      <c r="H50" s="61"/>
      <c r="I50" s="61"/>
      <c r="J50" s="60"/>
    </row>
    <row r="51" spans="1:10" ht="15" customHeight="1">
      <c r="A51" s="91" t="s">
        <v>183</v>
      </c>
      <c r="B51" s="1375"/>
      <c r="C51" s="1376"/>
      <c r="D51" s="1376"/>
      <c r="E51" s="1376"/>
      <c r="F51" s="1377"/>
      <c r="G51" s="245"/>
      <c r="H51" s="245"/>
      <c r="I51" s="245"/>
      <c r="J51" s="92"/>
    </row>
    <row r="52" spans="1:10">
      <c r="A52" s="59"/>
      <c r="B52" s="1375" t="s">
        <v>183</v>
      </c>
      <c r="C52" s="1376"/>
      <c r="D52" s="1376"/>
      <c r="E52" s="1376"/>
      <c r="F52" s="1377"/>
      <c r="G52" s="244"/>
      <c r="H52" s="244"/>
      <c r="I52" s="244"/>
      <c r="J52" s="88"/>
    </row>
    <row r="53" spans="1:10">
      <c r="A53" s="59"/>
      <c r="B53" s="1371" t="s">
        <v>484</v>
      </c>
      <c r="C53" s="1221">
        <f>+'[66]Time Study Output'!$Q$238+'[66]Time Study Output'!$Q$239</f>
        <v>981.05474089513712</v>
      </c>
      <c r="D53" s="1221">
        <f>+'[66]Time Study Output'!$R$238+'[66]Time Study Output'!$R$239</f>
        <v>318.69675910486308</v>
      </c>
      <c r="E53" s="1222">
        <f t="shared" ref="E53:E59" si="6">SUM(C53:D53)</f>
        <v>1299.7515000000003</v>
      </c>
      <c r="F53" s="1386">
        <f t="shared" ref="F53:F60" si="7">+E53/E$60</f>
        <v>0.61349793011064202</v>
      </c>
      <c r="G53" s="282"/>
      <c r="J53" s="60"/>
    </row>
    <row r="54" spans="1:10">
      <c r="A54" s="59"/>
      <c r="B54" s="1371" t="s">
        <v>194</v>
      </c>
      <c r="C54" s="1221">
        <f>+'[66]Time Study Output'!$Q$240</f>
        <v>63.274999999999999</v>
      </c>
      <c r="D54" s="1221">
        <v>0</v>
      </c>
      <c r="E54" s="1222">
        <f t="shared" si="6"/>
        <v>63.274999999999999</v>
      </c>
      <c r="F54" s="1386">
        <f t="shared" si="7"/>
        <v>2.9866541048616496E-2</v>
      </c>
      <c r="G54" s="282"/>
      <c r="J54" s="233"/>
    </row>
    <row r="55" spans="1:10">
      <c r="A55" s="59"/>
      <c r="B55" s="1371" t="s">
        <v>190</v>
      </c>
      <c r="C55" s="1221">
        <v>0</v>
      </c>
      <c r="D55" s="1221">
        <f>+'[66]Time Study Output'!$R$242</f>
        <v>112.95499999999998</v>
      </c>
      <c r="E55" s="1222">
        <f t="shared" si="6"/>
        <v>112.95499999999998</v>
      </c>
      <c r="F55" s="1386">
        <f t="shared" si="7"/>
        <v>5.3316082878648377E-2</v>
      </c>
      <c r="G55" s="282"/>
      <c r="J55" s="233"/>
    </row>
    <row r="56" spans="1:10">
      <c r="A56" s="59"/>
      <c r="B56" s="1371" t="s">
        <v>613</v>
      </c>
      <c r="C56" s="1221">
        <v>0</v>
      </c>
      <c r="D56" s="1221">
        <v>0</v>
      </c>
      <c r="E56" s="1222">
        <f t="shared" si="6"/>
        <v>0</v>
      </c>
      <c r="F56" s="1387">
        <f t="shared" si="7"/>
        <v>0</v>
      </c>
      <c r="G56" s="282"/>
      <c r="J56" s="233"/>
    </row>
    <row r="57" spans="1:10">
      <c r="A57" s="59"/>
      <c r="B57" s="1371" t="s">
        <v>612</v>
      </c>
      <c r="C57" s="1221">
        <v>0</v>
      </c>
      <c r="D57" s="1221">
        <v>0</v>
      </c>
      <c r="E57" s="1222">
        <f t="shared" si="6"/>
        <v>0</v>
      </c>
      <c r="F57" s="1386">
        <f t="shared" si="7"/>
        <v>0</v>
      </c>
      <c r="G57" s="282"/>
      <c r="J57" s="233"/>
    </row>
    <row r="58" spans="1:10">
      <c r="A58" s="59"/>
      <c r="B58" s="1371" t="s">
        <v>223</v>
      </c>
      <c r="C58" s="1221">
        <f>+'[66]Time Study Output'!$Q$241</f>
        <v>7.8667127071823213</v>
      </c>
      <c r="D58" s="1221">
        <f>+'[66]Time Study Output'!$R$241</f>
        <v>1.0532872928176797</v>
      </c>
      <c r="E58" s="1222">
        <f t="shared" si="6"/>
        <v>8.9200000000000017</v>
      </c>
      <c r="F58" s="1386">
        <f t="shared" si="7"/>
        <v>4.2103444670669177E-3</v>
      </c>
      <c r="G58" s="282"/>
      <c r="J58" s="233"/>
    </row>
    <row r="59" spans="1:10">
      <c r="A59" s="59"/>
      <c r="B59" s="1371" t="s">
        <v>925</v>
      </c>
      <c r="C59" s="1388">
        <f>+[67]Pivot!$K$135</f>
        <v>453.01401100288587</v>
      </c>
      <c r="D59" s="1388">
        <f>+[67]Pivot!$L$135</f>
        <v>180.67598899711408</v>
      </c>
      <c r="E59" s="1389">
        <f t="shared" si="6"/>
        <v>633.68999999999994</v>
      </c>
      <c r="F59" s="1386">
        <f t="shared" si="7"/>
        <v>0.29910910149502629</v>
      </c>
      <c r="G59" s="282"/>
      <c r="J59" s="233"/>
    </row>
    <row r="60" spans="1:10">
      <c r="A60" s="59"/>
      <c r="B60" s="1371" t="s">
        <v>20</v>
      </c>
      <c r="C60" s="1364">
        <f>SUM(C53:C59)</f>
        <v>1505.2104646052053</v>
      </c>
      <c r="D60" s="1364">
        <f>SUM(D53:D59)</f>
        <v>613.38103539479482</v>
      </c>
      <c r="E60" s="1222">
        <f>SUM(C60:D60)</f>
        <v>2118.5915</v>
      </c>
      <c r="F60" s="1386">
        <f t="shared" si="7"/>
        <v>1</v>
      </c>
      <c r="G60" s="72"/>
      <c r="J60" s="60"/>
    </row>
    <row r="61" spans="1:10">
      <c r="A61" s="59"/>
      <c r="B61" s="1369"/>
      <c r="C61" s="1370"/>
      <c r="D61" s="1370"/>
      <c r="E61" s="1370"/>
      <c r="F61" s="1365"/>
      <c r="G61" s="61"/>
      <c r="H61" s="61"/>
      <c r="I61" s="61"/>
      <c r="J61" s="60"/>
    </row>
    <row r="62" spans="1:10">
      <c r="A62" s="59"/>
      <c r="B62" s="1375" t="s">
        <v>200</v>
      </c>
      <c r="C62" s="1376"/>
      <c r="D62" s="1376"/>
      <c r="E62" s="1376"/>
      <c r="F62" s="1377"/>
      <c r="G62" s="244"/>
      <c r="H62" s="244"/>
      <c r="I62" s="244"/>
      <c r="J62" s="88"/>
    </row>
    <row r="63" spans="1:10" outlineLevel="1">
      <c r="A63" s="59"/>
      <c r="B63" s="1371" t="s">
        <v>484</v>
      </c>
      <c r="C63" s="1379">
        <f t="shared" ref="C63:D70" si="8">IFERROR((C53/$E53),0)</f>
        <v>0.75480177625887479</v>
      </c>
      <c r="D63" s="1379">
        <f t="shared" si="8"/>
        <v>0.24519822374112513</v>
      </c>
      <c r="E63" s="1385">
        <f t="shared" ref="E63:E70" si="9">SUM(C63:D63)</f>
        <v>0.99999999999999989</v>
      </c>
      <c r="F63" s="1365"/>
      <c r="G63" s="61"/>
      <c r="H63" s="61"/>
      <c r="I63" s="61"/>
      <c r="J63" s="60"/>
    </row>
    <row r="64" spans="1:10" outlineLevel="1">
      <c r="A64" s="59"/>
      <c r="B64" s="1371" t="s">
        <v>194</v>
      </c>
      <c r="C64" s="1379">
        <f t="shared" si="8"/>
        <v>1</v>
      </c>
      <c r="D64" s="1379">
        <f t="shared" si="8"/>
        <v>0</v>
      </c>
      <c r="E64" s="1385">
        <f t="shared" si="9"/>
        <v>1</v>
      </c>
      <c r="F64" s="1365"/>
      <c r="G64" s="61"/>
      <c r="H64" s="61"/>
      <c r="I64" s="61"/>
      <c r="J64" s="60"/>
    </row>
    <row r="65" spans="1:10" outlineLevel="1">
      <c r="A65" s="59"/>
      <c r="B65" s="1371" t="s">
        <v>190</v>
      </c>
      <c r="C65" s="1379">
        <f t="shared" si="8"/>
        <v>0</v>
      </c>
      <c r="D65" s="1379">
        <f t="shared" si="8"/>
        <v>1</v>
      </c>
      <c r="E65" s="1385">
        <f t="shared" si="9"/>
        <v>1</v>
      </c>
      <c r="F65" s="1365"/>
      <c r="G65" s="72"/>
      <c r="H65" s="61"/>
      <c r="I65" s="61"/>
      <c r="J65" s="60"/>
    </row>
    <row r="66" spans="1:10" outlineLevel="1">
      <c r="A66" s="59"/>
      <c r="B66" s="1371" t="s">
        <v>613</v>
      </c>
      <c r="C66" s="1379">
        <f t="shared" si="8"/>
        <v>0</v>
      </c>
      <c r="D66" s="1379">
        <f t="shared" si="8"/>
        <v>0</v>
      </c>
      <c r="E66" s="1385">
        <f t="shared" si="9"/>
        <v>0</v>
      </c>
      <c r="F66" s="1365"/>
      <c r="G66" s="61"/>
      <c r="H66" s="61"/>
      <c r="I66" s="61"/>
      <c r="J66" s="60"/>
    </row>
    <row r="67" spans="1:10" outlineLevel="1">
      <c r="A67" s="59"/>
      <c r="B67" s="1371" t="s">
        <v>612</v>
      </c>
      <c r="C67" s="1379">
        <f t="shared" si="8"/>
        <v>0</v>
      </c>
      <c r="D67" s="1379">
        <f t="shared" si="8"/>
        <v>0</v>
      </c>
      <c r="E67" s="1385">
        <f t="shared" si="9"/>
        <v>0</v>
      </c>
      <c r="F67" s="1365"/>
      <c r="G67" s="61"/>
      <c r="H67" s="61"/>
      <c r="I67" s="61"/>
      <c r="J67" s="60"/>
    </row>
    <row r="68" spans="1:10" outlineLevel="1">
      <c r="A68" s="59"/>
      <c r="B68" s="1371" t="s">
        <v>223</v>
      </c>
      <c r="C68" s="1379">
        <f t="shared" si="8"/>
        <v>0.88191846493075332</v>
      </c>
      <c r="D68" s="1379">
        <f t="shared" si="8"/>
        <v>0.11808153506924658</v>
      </c>
      <c r="E68" s="1385">
        <f t="shared" si="9"/>
        <v>0.99999999999999989</v>
      </c>
      <c r="F68" s="1365"/>
      <c r="G68" s="61"/>
      <c r="H68" s="61"/>
      <c r="I68" s="61"/>
      <c r="J68" s="60"/>
    </row>
    <row r="69" spans="1:10" outlineLevel="1">
      <c r="A69" s="59"/>
      <c r="B69" s="1371" t="s">
        <v>925</v>
      </c>
      <c r="C69" s="1379">
        <f t="shared" si="8"/>
        <v>0.71488268870091987</v>
      </c>
      <c r="D69" s="1379">
        <f t="shared" si="8"/>
        <v>0.28511731129908013</v>
      </c>
      <c r="E69" s="1385">
        <f t="shared" si="9"/>
        <v>1</v>
      </c>
      <c r="F69" s="1365"/>
      <c r="G69" s="61"/>
      <c r="H69" s="61"/>
      <c r="I69" s="61"/>
      <c r="J69" s="60"/>
    </row>
    <row r="70" spans="1:10" ht="13.5" thickBot="1">
      <c r="A70" s="59"/>
      <c r="B70" s="1371" t="s">
        <v>20</v>
      </c>
      <c r="C70" s="1390">
        <f t="shared" si="8"/>
        <v>0.71047696764817814</v>
      </c>
      <c r="D70" s="1390">
        <f t="shared" si="8"/>
        <v>0.28952303235182186</v>
      </c>
      <c r="E70" s="1391">
        <f t="shared" si="9"/>
        <v>1</v>
      </c>
      <c r="F70" s="1365"/>
      <c r="G70" s="61"/>
      <c r="H70" s="61"/>
      <c r="I70" s="61"/>
      <c r="J70" s="60"/>
    </row>
    <row r="71" spans="1:10" ht="13.5" thickTop="1">
      <c r="A71" s="59"/>
      <c r="B71" s="1371"/>
      <c r="C71" s="1385"/>
      <c r="D71" s="1385"/>
      <c r="E71" s="1385"/>
      <c r="F71" s="1365"/>
      <c r="G71" s="61"/>
      <c r="H71" s="61"/>
      <c r="I71" s="61"/>
      <c r="J71" s="60"/>
    </row>
    <row r="72" spans="1:10">
      <c r="A72" s="59"/>
      <c r="B72" s="1371" t="s">
        <v>929</v>
      </c>
      <c r="C72" s="1392">
        <f>+IFERROR((C56+C59)/($E$56+$E$59),0)</f>
        <v>0.71488268870091987</v>
      </c>
      <c r="D72" s="1392">
        <f>+IFERROR((D56+D59)/($E$56+$E$59),0)</f>
        <v>0.28511731129908013</v>
      </c>
      <c r="E72" s="1392">
        <f>SUM(C72:D72)</f>
        <v>1</v>
      </c>
      <c r="F72" s="1365"/>
      <c r="G72" s="61"/>
      <c r="H72" s="61"/>
      <c r="I72" s="61"/>
      <c r="J72" s="60"/>
    </row>
    <row r="73" spans="1:10">
      <c r="A73" s="59"/>
      <c r="B73" s="1371" t="s">
        <v>921</v>
      </c>
      <c r="C73" s="1392">
        <f>+SUM(C54:C56)/SUM($E$54:$E$56)</f>
        <v>0.35904783521534361</v>
      </c>
      <c r="D73" s="1392">
        <f>+SUM(D54:D56)/SUM($E$54:$E$56)</f>
        <v>0.64095216478465633</v>
      </c>
      <c r="E73" s="1392">
        <f>SUM(C73:D73)</f>
        <v>1</v>
      </c>
      <c r="F73" s="1365"/>
      <c r="G73" s="61"/>
      <c r="H73" s="61"/>
      <c r="I73" s="61"/>
      <c r="J73" s="60"/>
    </row>
    <row r="74" spans="1:10">
      <c r="A74" s="59"/>
      <c r="B74" s="1371" t="s">
        <v>1773</v>
      </c>
      <c r="C74" s="1392">
        <f>+SUM(C53:C55,C57:C58)/SUM($E$53:$E$55,$E$57:$E$58)</f>
        <v>0.70859680160759431</v>
      </c>
      <c r="D74" s="1392">
        <f>+SUM(D53:D55,D57:D58)/SUM($E$53:$E$55,$E$57:$E$58)</f>
        <v>0.29140319839240558</v>
      </c>
      <c r="E74" s="1392">
        <f>SUM(C74:D74)</f>
        <v>0.99999999999999989</v>
      </c>
      <c r="F74" s="1365"/>
      <c r="G74" s="61"/>
      <c r="H74" s="61"/>
      <c r="I74" s="61"/>
      <c r="J74" s="60"/>
    </row>
    <row r="75" spans="1:10">
      <c r="A75" s="59"/>
      <c r="B75" s="1371"/>
      <c r="C75" s="1385"/>
      <c r="D75" s="1385"/>
      <c r="E75" s="1392"/>
      <c r="F75" s="1365"/>
      <c r="G75" s="61"/>
      <c r="H75" s="61"/>
      <c r="I75" s="61"/>
      <c r="J75" s="60"/>
    </row>
    <row r="76" spans="1:10">
      <c r="A76" s="59"/>
      <c r="B76" s="1375" t="s">
        <v>199</v>
      </c>
      <c r="C76" s="1376"/>
      <c r="D76" s="1376"/>
      <c r="E76" s="1376"/>
      <c r="F76" s="1377"/>
      <c r="G76" s="244"/>
      <c r="H76" s="244"/>
      <c r="I76" s="244"/>
      <c r="J76" s="88"/>
    </row>
    <row r="77" spans="1:10">
      <c r="A77" s="59"/>
      <c r="B77" s="1371" t="s">
        <v>484</v>
      </c>
      <c r="C77" s="1379">
        <f t="shared" ref="C77:D83" si="10">IFERROR((C53/C$60),0)</f>
        <v>0.65177246900980945</v>
      </c>
      <c r="D77" s="1379">
        <f t="shared" si="10"/>
        <v>0.51957387123933174</v>
      </c>
      <c r="E77" s="1385">
        <f t="shared" ref="E77:E83" si="11">+E53/E$60</f>
        <v>0.61349793011064202</v>
      </c>
      <c r="F77" s="1365"/>
      <c r="G77" s="63"/>
      <c r="H77" s="382"/>
      <c r="I77" s="61"/>
      <c r="J77" s="60"/>
    </row>
    <row r="78" spans="1:10">
      <c r="A78" s="59"/>
      <c r="B78" s="1371" t="s">
        <v>194</v>
      </c>
      <c r="C78" s="1379">
        <f t="shared" si="10"/>
        <v>4.2037310720262705E-2</v>
      </c>
      <c r="D78" s="1379">
        <f t="shared" si="10"/>
        <v>0</v>
      </c>
      <c r="E78" s="1385">
        <f t="shared" si="11"/>
        <v>2.9866541048616496E-2</v>
      </c>
      <c r="F78" s="1365"/>
      <c r="G78" s="63"/>
      <c r="H78" s="382"/>
      <c r="I78" s="61"/>
      <c r="J78" s="60"/>
    </row>
    <row r="79" spans="1:10">
      <c r="A79" s="59"/>
      <c r="B79" s="1371" t="s">
        <v>190</v>
      </c>
      <c r="C79" s="1379">
        <f t="shared" si="10"/>
        <v>0</v>
      </c>
      <c r="D79" s="1379">
        <f t="shared" si="10"/>
        <v>0.18415143847298435</v>
      </c>
      <c r="E79" s="1385">
        <f t="shared" si="11"/>
        <v>5.3316082878648377E-2</v>
      </c>
      <c r="F79" s="1365"/>
      <c r="G79" s="61"/>
      <c r="H79" s="61"/>
      <c r="I79" s="61"/>
      <c r="J79" s="60"/>
    </row>
    <row r="80" spans="1:10">
      <c r="A80" s="59"/>
      <c r="B80" s="1371" t="s">
        <v>613</v>
      </c>
      <c r="C80" s="1379">
        <f t="shared" si="10"/>
        <v>0</v>
      </c>
      <c r="D80" s="1379">
        <f t="shared" si="10"/>
        <v>0</v>
      </c>
      <c r="E80" s="1385">
        <f t="shared" si="11"/>
        <v>0</v>
      </c>
      <c r="F80" s="1365"/>
      <c r="G80" s="61"/>
      <c r="H80" s="61"/>
      <c r="I80" s="61"/>
      <c r="J80" s="60"/>
    </row>
    <row r="81" spans="1:11">
      <c r="A81" s="59"/>
      <c r="B81" s="1371" t="s">
        <v>612</v>
      </c>
      <c r="C81" s="1379">
        <f t="shared" si="10"/>
        <v>0</v>
      </c>
      <c r="D81" s="1379">
        <f t="shared" si="10"/>
        <v>0</v>
      </c>
      <c r="E81" s="1385">
        <f t="shared" si="11"/>
        <v>0</v>
      </c>
      <c r="F81" s="1365"/>
      <c r="G81" s="61"/>
      <c r="H81" s="61"/>
      <c r="I81" s="61"/>
      <c r="J81" s="60"/>
    </row>
    <row r="82" spans="1:11">
      <c r="A82" s="59"/>
      <c r="B82" s="1371" t="s">
        <v>201</v>
      </c>
      <c r="C82" s="1379">
        <f t="shared" si="10"/>
        <v>5.2263207652131528E-3</v>
      </c>
      <c r="D82" s="1379">
        <f t="shared" si="10"/>
        <v>1.7171826842343519E-3</v>
      </c>
      <c r="E82" s="1385">
        <f t="shared" si="11"/>
        <v>4.2103444670669177E-3</v>
      </c>
      <c r="F82" s="1365"/>
      <c r="G82" s="61"/>
      <c r="H82" s="61"/>
      <c r="I82" s="61"/>
      <c r="J82" s="60"/>
    </row>
    <row r="83" spans="1:11">
      <c r="A83" s="59"/>
      <c r="B83" s="1371" t="s">
        <v>925</v>
      </c>
      <c r="C83" s="1379">
        <f t="shared" si="10"/>
        <v>0.30096389950471464</v>
      </c>
      <c r="D83" s="1379">
        <f t="shared" si="10"/>
        <v>0.29455750760344962</v>
      </c>
      <c r="E83" s="1385">
        <f t="shared" si="11"/>
        <v>0.29910910149502629</v>
      </c>
      <c r="F83" s="1365"/>
      <c r="G83" s="61"/>
      <c r="H83" s="61"/>
      <c r="I83" s="61"/>
      <c r="J83" s="60"/>
    </row>
    <row r="84" spans="1:11" ht="13.5" thickBot="1">
      <c r="A84" s="59"/>
      <c r="B84" s="1371" t="s">
        <v>20</v>
      </c>
      <c r="C84" s="1390">
        <f>SUM(C77:C83)</f>
        <v>1</v>
      </c>
      <c r="D84" s="1390">
        <f>SUM(D77:D83)</f>
        <v>1</v>
      </c>
      <c r="E84" s="1390">
        <f>SUM(E77:E83)</f>
        <v>1.0000000000000002</v>
      </c>
      <c r="F84" s="1365"/>
      <c r="G84" s="61"/>
      <c r="H84" s="61"/>
      <c r="I84" s="61"/>
      <c r="J84" s="60"/>
    </row>
    <row r="85" spans="1:11" ht="13.5" thickTop="1">
      <c r="A85" s="59"/>
      <c r="B85" s="1371"/>
      <c r="C85" s="1385"/>
      <c r="D85" s="1385"/>
      <c r="E85" s="1385"/>
      <c r="F85" s="1365"/>
      <c r="G85" s="61"/>
      <c r="H85" s="61"/>
      <c r="I85" s="61"/>
      <c r="J85" s="60"/>
    </row>
    <row r="86" spans="1:11">
      <c r="A86" s="59"/>
      <c r="B86" s="1373" t="s">
        <v>598</v>
      </c>
      <c r="C86" s="1393">
        <f>SUM(C53+C59)/$C$60</f>
        <v>0.95273636851452415</v>
      </c>
      <c r="D86" s="1385"/>
      <c r="E86" s="1370"/>
      <c r="F86" s="1365"/>
      <c r="G86" s="61"/>
      <c r="H86" s="61"/>
      <c r="I86" s="61"/>
      <c r="J86" s="60"/>
    </row>
    <row r="87" spans="1:11">
      <c r="A87" s="59"/>
      <c r="B87" s="1373" t="s">
        <v>595</v>
      </c>
      <c r="C87" s="1393">
        <f>SUM(C54+C55+C56+C57)/$C$60</f>
        <v>4.2037310720262705E-2</v>
      </c>
      <c r="D87" s="1385"/>
      <c r="E87" s="1370"/>
      <c r="F87" s="1365"/>
      <c r="G87" s="61"/>
      <c r="H87" s="61"/>
      <c r="I87" s="61"/>
      <c r="J87" s="60"/>
    </row>
    <row r="88" spans="1:11">
      <c r="A88" s="59"/>
      <c r="B88" s="1373" t="s">
        <v>223</v>
      </c>
      <c r="C88" s="1394">
        <f>+C58/C$60</f>
        <v>5.2263207652131528E-3</v>
      </c>
      <c r="D88" s="1385"/>
      <c r="E88" s="1370"/>
      <c r="F88" s="1365"/>
      <c r="G88" s="61"/>
      <c r="H88" s="61"/>
      <c r="I88" s="61"/>
      <c r="J88" s="60"/>
    </row>
    <row r="89" spans="1:11">
      <c r="A89" s="59"/>
      <c r="B89" s="1369"/>
      <c r="C89" s="1395">
        <f>+SUM(C86:C88)</f>
        <v>1</v>
      </c>
      <c r="D89" s="1370"/>
      <c r="E89" s="1370"/>
      <c r="F89" s="1365"/>
      <c r="G89" s="61"/>
      <c r="H89" s="61"/>
      <c r="I89" s="61"/>
      <c r="J89" s="60"/>
    </row>
    <row r="90" spans="1:11">
      <c r="A90" s="91" t="s">
        <v>188</v>
      </c>
      <c r="B90" s="1375"/>
      <c r="C90" s="1376"/>
      <c r="D90" s="1376"/>
      <c r="E90" s="1376"/>
      <c r="F90" s="1377"/>
      <c r="G90" s="245"/>
      <c r="H90" s="245"/>
      <c r="I90" s="245"/>
      <c r="J90" s="92"/>
      <c r="K90" s="76"/>
    </row>
    <row r="91" spans="1:11">
      <c r="A91" s="59"/>
      <c r="B91" s="1369"/>
      <c r="C91" s="1370"/>
      <c r="D91" s="1370"/>
      <c r="E91" s="1370"/>
      <c r="F91" s="1396"/>
      <c r="G91" s="61"/>
      <c r="H91" s="61"/>
      <c r="I91" s="61"/>
      <c r="J91" s="60"/>
    </row>
    <row r="92" spans="1:11" ht="13.5" thickBot="1">
      <c r="A92" s="59"/>
      <c r="B92" s="1397" t="s">
        <v>202</v>
      </c>
      <c r="C92" s="1398"/>
      <c r="D92" s="1398"/>
      <c r="E92" s="1398"/>
      <c r="F92" s="1399"/>
      <c r="G92" s="246"/>
      <c r="H92" s="246"/>
      <c r="I92" s="246"/>
      <c r="J92" s="422"/>
    </row>
    <row r="93" spans="1:11">
      <c r="A93" s="59"/>
      <c r="B93" s="1400"/>
      <c r="C93" s="1401" t="str">
        <f>+C6</f>
        <v>Regulated</v>
      </c>
      <c r="D93" s="1401" t="s">
        <v>478</v>
      </c>
      <c r="E93" s="1401" t="s">
        <v>20</v>
      </c>
      <c r="F93" s="1402"/>
      <c r="G93" s="383" t="s">
        <v>917</v>
      </c>
      <c r="H93" s="61"/>
      <c r="I93" s="61"/>
      <c r="J93" s="60"/>
    </row>
    <row r="94" spans="1:11" ht="15">
      <c r="A94" s="59"/>
      <c r="B94" s="1403" t="s">
        <v>198</v>
      </c>
      <c r="C94" s="1404">
        <f>'Yakima Regulated Price Out'!$BE$46</f>
        <v>12034.462777745586</v>
      </c>
      <c r="D94" s="1404">
        <f>'[65]Non-Reg Container Counts'!$C2</f>
        <v>8275.7884150391765</v>
      </c>
      <c r="E94" s="1405">
        <f t="shared" ref="E94:E105" si="12">SUM(C94:D94)</f>
        <v>20310.251192784763</v>
      </c>
      <c r="F94" s="1365"/>
      <c r="G94" s="61"/>
      <c r="H94" s="61" t="s">
        <v>20</v>
      </c>
      <c r="I94" s="61"/>
      <c r="J94" s="60"/>
    </row>
    <row r="95" spans="1:11" ht="15">
      <c r="A95" s="59"/>
      <c r="B95" s="1403" t="s">
        <v>543</v>
      </c>
      <c r="C95" s="1404">
        <f>'Yakima Regulated Price Out'!$BE$50</f>
        <v>3238.7757971301749</v>
      </c>
      <c r="D95" s="1404">
        <f>'[65]Non-Reg Container Counts'!$C3</f>
        <v>0</v>
      </c>
      <c r="E95" s="1405">
        <f t="shared" si="12"/>
        <v>3238.7757971301749</v>
      </c>
      <c r="F95" s="1402"/>
      <c r="G95" s="76" t="s">
        <v>598</v>
      </c>
      <c r="H95" s="382">
        <f>+$E$100/SUM($E$100,$E$102,)</f>
        <v>0.91080427893259741</v>
      </c>
      <c r="I95" s="382"/>
      <c r="J95" s="60"/>
    </row>
    <row r="96" spans="1:11" ht="15">
      <c r="A96" s="59"/>
      <c r="B96" s="1403" t="s">
        <v>542</v>
      </c>
      <c r="C96" s="1404">
        <v>0</v>
      </c>
      <c r="D96" s="1404">
        <f>'[65]Non-Reg Container Counts'!$C4</f>
        <v>0</v>
      </c>
      <c r="E96" s="1405">
        <f t="shared" si="12"/>
        <v>0</v>
      </c>
      <c r="F96" s="1402"/>
      <c r="G96" s="76" t="s">
        <v>595</v>
      </c>
      <c r="H96" s="382">
        <f>+$E$102/SUM($E$100,$E$102)</f>
        <v>8.9195721067402534E-2</v>
      </c>
      <c r="I96" s="61"/>
      <c r="J96" s="60"/>
    </row>
    <row r="97" spans="1:10" ht="15">
      <c r="A97" s="59"/>
      <c r="B97" s="1406" t="s">
        <v>435</v>
      </c>
      <c r="C97" s="1404">
        <f>'Yakima Regulated Price Out'!$BI$178</f>
        <v>426.7158537116814</v>
      </c>
      <c r="D97" s="1404">
        <f>'[65]Non-Reg Container Counts'!$C5</f>
        <v>177.97033279401839</v>
      </c>
      <c r="E97" s="1405">
        <f t="shared" si="12"/>
        <v>604.68618650569977</v>
      </c>
      <c r="F97" s="1402"/>
      <c r="G97" s="76"/>
      <c r="H97" s="382"/>
      <c r="I97" s="61"/>
      <c r="J97" s="60"/>
    </row>
    <row r="98" spans="1:10" ht="15">
      <c r="A98" s="59"/>
      <c r="B98" s="1403" t="s">
        <v>534</v>
      </c>
      <c r="C98" s="1404">
        <v>0</v>
      </c>
      <c r="D98" s="1404">
        <f>'[65]Non-Reg Container Counts'!$C6</f>
        <v>11.384301150417262</v>
      </c>
      <c r="E98" s="1405">
        <f t="shared" si="12"/>
        <v>11.384301150417262</v>
      </c>
      <c r="F98" s="1402"/>
      <c r="G98" s="392"/>
      <c r="H98" s="61"/>
      <c r="I98" s="61"/>
      <c r="J98" s="60"/>
    </row>
    <row r="99" spans="1:10" ht="15">
      <c r="A99" s="59"/>
      <c r="B99" s="1403" t="s">
        <v>535</v>
      </c>
      <c r="C99" s="1404">
        <f>'Yakima Regulated Price Out'!$BE$145</f>
        <v>1512.3280945771471</v>
      </c>
      <c r="D99" s="1404">
        <f>'[65]Non-Reg Container Counts'!$C7</f>
        <v>75.468916620028835</v>
      </c>
      <c r="E99" s="1405">
        <f t="shared" si="12"/>
        <v>1587.7970111971758</v>
      </c>
      <c r="F99" s="1402"/>
      <c r="G99" s="76"/>
      <c r="H99" s="61"/>
      <c r="I99" s="61"/>
      <c r="J99" s="60"/>
    </row>
    <row r="100" spans="1:10" ht="15">
      <c r="A100" s="59"/>
      <c r="B100" s="1403" t="s">
        <v>536</v>
      </c>
      <c r="C100" s="1404">
        <f>'Yakima Regulated Price Out'!$BG$145</f>
        <v>6216.7826319062133</v>
      </c>
      <c r="D100" s="1404">
        <f>'[65]Non-Reg Container Counts'!$C8</f>
        <v>1521.4907553307887</v>
      </c>
      <c r="E100" s="1405">
        <f t="shared" si="12"/>
        <v>7738.2733872370018</v>
      </c>
      <c r="F100" s="1402"/>
      <c r="G100" s="76"/>
      <c r="H100" s="61"/>
      <c r="I100" s="61"/>
      <c r="J100" s="60"/>
    </row>
    <row r="101" spans="1:10" ht="15">
      <c r="A101" s="59"/>
      <c r="B101" s="1403" t="s">
        <v>537</v>
      </c>
      <c r="C101" s="1404">
        <v>0</v>
      </c>
      <c r="D101" s="1404">
        <f>'[65]Non-Reg Container Counts'!$C9</f>
        <v>132.62022482862125</v>
      </c>
      <c r="E101" s="1405">
        <f t="shared" si="12"/>
        <v>132.62022482862125</v>
      </c>
      <c r="F101" s="1402"/>
      <c r="G101" s="76"/>
      <c r="H101" s="61"/>
      <c r="I101" s="61"/>
      <c r="J101" s="60"/>
    </row>
    <row r="102" spans="1:10" ht="15">
      <c r="A102" s="59"/>
      <c r="B102" s="1403" t="s">
        <v>538</v>
      </c>
      <c r="C102" s="1404">
        <v>0</v>
      </c>
      <c r="D102" s="1404">
        <f>'[65]Non-Reg Container Counts'!$C10</f>
        <v>757.81470350599272</v>
      </c>
      <c r="E102" s="1405">
        <f t="shared" si="12"/>
        <v>757.81470350599272</v>
      </c>
      <c r="F102" s="1402"/>
      <c r="G102" s="76"/>
      <c r="H102" s="61"/>
      <c r="I102" s="61"/>
      <c r="J102" s="60"/>
    </row>
    <row r="103" spans="1:10" ht="15">
      <c r="A103" s="59"/>
      <c r="B103" s="1403" t="s">
        <v>539</v>
      </c>
      <c r="C103" s="1404">
        <v>0</v>
      </c>
      <c r="D103" s="1404">
        <f>'[65]Non-Reg Container Counts'!$C11</f>
        <v>0</v>
      </c>
      <c r="E103" s="1405">
        <f t="shared" si="12"/>
        <v>0</v>
      </c>
      <c r="F103" s="1402"/>
      <c r="G103" s="76"/>
      <c r="H103" s="61"/>
      <c r="I103" s="61"/>
      <c r="J103" s="60"/>
    </row>
    <row r="104" spans="1:10" ht="15">
      <c r="A104" s="59"/>
      <c r="B104" s="1403" t="s">
        <v>540</v>
      </c>
      <c r="C104" s="1404">
        <v>0</v>
      </c>
      <c r="D104" s="1404">
        <f>'[65]Non-Reg Container Counts'!$C12</f>
        <v>0</v>
      </c>
      <c r="E104" s="1405">
        <f t="shared" si="12"/>
        <v>0</v>
      </c>
      <c r="F104" s="1402"/>
      <c r="G104" s="76"/>
      <c r="H104" s="61"/>
      <c r="I104" s="61"/>
      <c r="J104" s="60"/>
    </row>
    <row r="105" spans="1:10" ht="15">
      <c r="A105" s="59"/>
      <c r="B105" s="1406" t="s">
        <v>206</v>
      </c>
      <c r="C105" s="1407">
        <f>'Yakima Regulated Price Out'!$BE$55</f>
        <v>667.19630787798997</v>
      </c>
      <c r="D105" s="1404">
        <f>'[65]Non-Reg Container Counts'!$C13</f>
        <v>425.33035359555026</v>
      </c>
      <c r="E105" s="1408">
        <f t="shared" si="12"/>
        <v>1092.5266614735401</v>
      </c>
      <c r="F105" s="1402"/>
      <c r="G105" s="76"/>
      <c r="H105" s="61"/>
      <c r="I105" s="61"/>
      <c r="J105" s="60"/>
    </row>
    <row r="106" spans="1:10" ht="15">
      <c r="A106" s="59"/>
      <c r="B106" s="1409"/>
      <c r="C106" s="1405">
        <f>SUM(C94:C105)</f>
        <v>24096.261462948787</v>
      </c>
      <c r="D106" s="1410">
        <f>SUM(D94:D105)</f>
        <v>11377.868002864596</v>
      </c>
      <c r="E106" s="1405">
        <f>SUM(E94:E105)</f>
        <v>35474.129465813392</v>
      </c>
      <c r="F106" s="1402"/>
      <c r="G106" s="76"/>
      <c r="H106" s="61"/>
      <c r="I106" s="61"/>
      <c r="J106" s="60"/>
    </row>
    <row r="107" spans="1:10">
      <c r="A107" s="59"/>
      <c r="B107" s="1369"/>
      <c r="C107" s="1364">
        <f>C106-'Yakima Regulated Price Out'!$BK$196</f>
        <v>0</v>
      </c>
      <c r="D107" s="1239">
        <f>D106-'[65]Non-Reg Container Counts'!$C$14</f>
        <v>0</v>
      </c>
      <c r="E107" s="1370"/>
      <c r="F107" s="1365"/>
      <c r="G107" s="61"/>
      <c r="H107" s="61"/>
      <c r="I107" s="61"/>
      <c r="J107" s="60"/>
    </row>
    <row r="108" spans="1:10">
      <c r="A108" s="59"/>
      <c r="B108" s="1411" t="s">
        <v>541</v>
      </c>
      <c r="C108" s="1376"/>
      <c r="D108" s="1376"/>
      <c r="E108" s="1376"/>
      <c r="F108" s="1377"/>
      <c r="G108" s="244"/>
      <c r="H108" s="244"/>
      <c r="I108" s="244"/>
      <c r="J108" s="60"/>
    </row>
    <row r="109" spans="1:10" ht="15" outlineLevel="1">
      <c r="A109" s="59"/>
      <c r="B109" s="1403" t="str">
        <f t="shared" ref="B109:B120" si="13">B94</f>
        <v>Residential MSW</v>
      </c>
      <c r="C109" s="1412">
        <f t="shared" ref="C109:D120" si="14">IFERROR(C94/$E94,0)</f>
        <v>0.59253145928696549</v>
      </c>
      <c r="D109" s="1412">
        <f t="shared" si="14"/>
        <v>0.40746854071303457</v>
      </c>
      <c r="E109" s="1413">
        <f t="shared" ref="E109:E120" si="15">SUM(C109:D109)</f>
        <v>1</v>
      </c>
      <c r="F109" s="1365"/>
      <c r="G109" s="61"/>
      <c r="H109" s="61"/>
      <c r="I109" s="61"/>
      <c r="J109" s="60"/>
    </row>
    <row r="110" spans="1:10" ht="15" outlineLevel="1">
      <c r="A110" s="59"/>
      <c r="B110" s="1403" t="str">
        <f t="shared" si="13"/>
        <v>Recycling Carts</v>
      </c>
      <c r="C110" s="1412">
        <f t="shared" si="14"/>
        <v>1</v>
      </c>
      <c r="D110" s="1412">
        <f t="shared" si="14"/>
        <v>0</v>
      </c>
      <c r="E110" s="1413">
        <f t="shared" si="15"/>
        <v>1</v>
      </c>
      <c r="F110" s="1365"/>
      <c r="G110" s="61"/>
      <c r="H110" s="61"/>
      <c r="I110" s="61"/>
      <c r="J110" s="60"/>
    </row>
    <row r="111" spans="1:10" ht="15" outlineLevel="1">
      <c r="A111" s="59"/>
      <c r="B111" s="1403" t="str">
        <f t="shared" si="13"/>
        <v>Recycling Bins</v>
      </c>
      <c r="C111" s="1412">
        <f t="shared" si="14"/>
        <v>0</v>
      </c>
      <c r="D111" s="1412">
        <f t="shared" si="14"/>
        <v>0</v>
      </c>
      <c r="E111" s="1413">
        <f t="shared" si="15"/>
        <v>0</v>
      </c>
      <c r="F111" s="1365"/>
      <c r="G111" s="61"/>
      <c r="H111" s="61"/>
      <c r="I111" s="61"/>
      <c r="J111" s="60"/>
    </row>
    <row r="112" spans="1:10" ht="15" outlineLevel="1">
      <c r="A112" s="59"/>
      <c r="B112" s="1403" t="str">
        <f t="shared" si="13"/>
        <v>Roll-Off</v>
      </c>
      <c r="C112" s="1412">
        <f t="shared" si="14"/>
        <v>0.70568149766665655</v>
      </c>
      <c r="D112" s="1412">
        <f t="shared" si="14"/>
        <v>0.2943185023333435</v>
      </c>
      <c r="E112" s="1413">
        <f t="shared" si="15"/>
        <v>1</v>
      </c>
      <c r="F112" s="1365"/>
      <c r="G112" s="61"/>
      <c r="H112" s="61"/>
      <c r="I112" s="61"/>
      <c r="J112" s="60"/>
    </row>
    <row r="113" spans="1:10" ht="15" outlineLevel="1">
      <c r="A113" s="59"/>
      <c r="B113" s="1403" t="str">
        <f t="shared" si="13"/>
        <v>Roll-Off Recycle</v>
      </c>
      <c r="C113" s="1412">
        <f t="shared" si="14"/>
        <v>0</v>
      </c>
      <c r="D113" s="1412">
        <f t="shared" si="14"/>
        <v>1</v>
      </c>
      <c r="E113" s="1413">
        <f t="shared" si="15"/>
        <v>1</v>
      </c>
      <c r="F113" s="1365"/>
      <c r="G113" s="61"/>
      <c r="H113" s="61"/>
      <c r="I113" s="61"/>
      <c r="J113" s="60"/>
    </row>
    <row r="114" spans="1:10" ht="15" outlineLevel="1">
      <c r="A114" s="59"/>
      <c r="B114" s="1403" t="str">
        <f t="shared" si="13"/>
        <v>Commercial - Carts</v>
      </c>
      <c r="C114" s="1412">
        <f t="shared" si="14"/>
        <v>0.95246941763473514</v>
      </c>
      <c r="D114" s="1412">
        <f t="shared" si="14"/>
        <v>4.7530582365264924E-2</v>
      </c>
      <c r="E114" s="1413">
        <f t="shared" si="15"/>
        <v>1</v>
      </c>
      <c r="F114" s="1365"/>
      <c r="G114" s="61"/>
      <c r="H114" s="61"/>
      <c r="I114" s="61"/>
      <c r="J114" s="60"/>
    </row>
    <row r="115" spans="1:10" ht="15" outlineLevel="1">
      <c r="A115" s="59"/>
      <c r="B115" s="1403" t="str">
        <f t="shared" si="13"/>
        <v>Commercial - Containers</v>
      </c>
      <c r="C115" s="1412">
        <f t="shared" si="14"/>
        <v>0.80338110594021717</v>
      </c>
      <c r="D115" s="1412">
        <f t="shared" si="14"/>
        <v>0.19661889405978281</v>
      </c>
      <c r="E115" s="1413">
        <f t="shared" si="15"/>
        <v>1</v>
      </c>
      <c r="F115" s="1365"/>
      <c r="G115" s="61"/>
      <c r="H115" s="61"/>
      <c r="I115" s="61"/>
      <c r="J115" s="60"/>
    </row>
    <row r="116" spans="1:10" ht="15">
      <c r="A116" s="59"/>
      <c r="B116" s="1403" t="str">
        <f t="shared" si="13"/>
        <v>Commercial Recycling - Carts</v>
      </c>
      <c r="C116" s="1412">
        <f t="shared" si="14"/>
        <v>0</v>
      </c>
      <c r="D116" s="1412">
        <f t="shared" si="14"/>
        <v>1</v>
      </c>
      <c r="E116" s="1413">
        <f t="shared" si="15"/>
        <v>1</v>
      </c>
      <c r="F116" s="1365"/>
      <c r="G116" s="61"/>
      <c r="H116" s="61"/>
      <c r="I116" s="61"/>
      <c r="J116" s="60"/>
    </row>
    <row r="117" spans="1:10" ht="15">
      <c r="A117" s="59"/>
      <c r="B117" s="1403" t="str">
        <f t="shared" si="13"/>
        <v>Commercial Recycling - Containers</v>
      </c>
      <c r="C117" s="1412">
        <f t="shared" si="14"/>
        <v>0</v>
      </c>
      <c r="D117" s="1412">
        <f t="shared" si="14"/>
        <v>1</v>
      </c>
      <c r="E117" s="1413">
        <f t="shared" si="15"/>
        <v>1</v>
      </c>
      <c r="F117" s="1365"/>
      <c r="G117" s="61"/>
      <c r="H117" s="61"/>
      <c r="I117" s="61"/>
      <c r="J117" s="60"/>
    </row>
    <row r="118" spans="1:10" ht="15">
      <c r="A118" s="59"/>
      <c r="B118" s="1403" t="str">
        <f t="shared" si="13"/>
        <v>Multi-Family Recycling - Carts</v>
      </c>
      <c r="C118" s="1412">
        <f t="shared" si="14"/>
        <v>0</v>
      </c>
      <c r="D118" s="1412">
        <f t="shared" si="14"/>
        <v>0</v>
      </c>
      <c r="E118" s="1413">
        <f t="shared" si="15"/>
        <v>0</v>
      </c>
      <c r="F118" s="1365"/>
      <c r="G118" s="61"/>
      <c r="H118" s="61"/>
      <c r="I118" s="61"/>
      <c r="J118" s="60"/>
    </row>
    <row r="119" spans="1:10" ht="15">
      <c r="A119" s="59"/>
      <c r="B119" s="1403" t="str">
        <f t="shared" si="13"/>
        <v>Multi-Family Recycling - Containers</v>
      </c>
      <c r="C119" s="1412">
        <f t="shared" si="14"/>
        <v>0</v>
      </c>
      <c r="D119" s="1412">
        <f t="shared" si="14"/>
        <v>0</v>
      </c>
      <c r="E119" s="1413">
        <f t="shared" si="15"/>
        <v>0</v>
      </c>
      <c r="F119" s="1365"/>
      <c r="G119" s="61"/>
      <c r="H119" s="61"/>
      <c r="I119" s="61"/>
      <c r="J119" s="60"/>
    </row>
    <row r="120" spans="1:10" ht="15">
      <c r="A120" s="59"/>
      <c r="B120" s="1403" t="str">
        <f t="shared" si="13"/>
        <v>Yard Waste</v>
      </c>
      <c r="C120" s="1412">
        <f t="shared" si="14"/>
        <v>0.61069109927085174</v>
      </c>
      <c r="D120" s="1412">
        <f t="shared" si="14"/>
        <v>0.38930890072914831</v>
      </c>
      <c r="E120" s="1413">
        <f t="shared" si="15"/>
        <v>1</v>
      </c>
      <c r="F120" s="1365"/>
      <c r="G120" s="61"/>
      <c r="H120" s="61"/>
      <c r="I120" s="61"/>
      <c r="J120" s="60"/>
    </row>
    <row r="121" spans="1:10">
      <c r="A121" s="59"/>
      <c r="B121" s="1369"/>
      <c r="C121" s="1370"/>
      <c r="D121" s="1370"/>
      <c r="E121" s="1370"/>
      <c r="F121" s="1365"/>
      <c r="G121" s="61"/>
      <c r="H121" s="61"/>
      <c r="I121" s="61"/>
      <c r="J121" s="60"/>
    </row>
    <row r="122" spans="1:10">
      <c r="A122" s="59"/>
      <c r="B122" s="1373" t="s">
        <v>528</v>
      </c>
      <c r="C122" s="1414">
        <f>+C106/$E$106</f>
        <v>0.67926293966340967</v>
      </c>
      <c r="D122" s="1414">
        <f>+D106/$E$106</f>
        <v>0.32073706033659</v>
      </c>
      <c r="E122" s="1413">
        <f t="shared" ref="E122:E129" si="16">SUM(C122:D122)</f>
        <v>0.99999999999999967</v>
      </c>
      <c r="F122" s="1365"/>
      <c r="G122" s="61"/>
      <c r="H122" s="61"/>
      <c r="I122" s="61"/>
      <c r="J122" s="60"/>
    </row>
    <row r="123" spans="1:10">
      <c r="A123" s="59"/>
      <c r="B123" s="1373" t="s">
        <v>2989</v>
      </c>
      <c r="C123" s="1414">
        <f>(C100+C102+C104)/($E$100+$E$102+$E$104)</f>
        <v>0.73172294890395218</v>
      </c>
      <c r="D123" s="1414">
        <f>(D100+D102+D104)/($E$100+$E$102+$E$104)</f>
        <v>0.26827705109604777</v>
      </c>
      <c r="E123" s="1413">
        <f t="shared" si="16"/>
        <v>1</v>
      </c>
      <c r="F123" s="1365"/>
      <c r="G123" s="61"/>
      <c r="H123" s="61"/>
      <c r="I123" s="61"/>
      <c r="J123" s="60"/>
    </row>
    <row r="124" spans="1:10">
      <c r="A124" s="59"/>
      <c r="B124" s="1373" t="s">
        <v>544</v>
      </c>
      <c r="C124" s="1414">
        <f>(C97+C98)/($E$97+$E$98)</f>
        <v>0.69264128417375015</v>
      </c>
      <c r="D124" s="1414">
        <f>(D97+D98)/($E$97+$E$98)</f>
        <v>0.30735871582624985</v>
      </c>
      <c r="E124" s="1413">
        <f t="shared" si="16"/>
        <v>1</v>
      </c>
      <c r="F124" s="1365"/>
      <c r="G124" s="61"/>
      <c r="H124" s="61"/>
      <c r="I124" s="61"/>
      <c r="J124" s="60"/>
    </row>
    <row r="125" spans="1:10">
      <c r="A125" s="59"/>
      <c r="B125" s="1373" t="s">
        <v>529</v>
      </c>
      <c r="C125" s="1414">
        <f>+C100/$E$100</f>
        <v>0.80338110594021717</v>
      </c>
      <c r="D125" s="1414">
        <f>+D100/$E$100</f>
        <v>0.19661889405978281</v>
      </c>
      <c r="E125" s="1413">
        <f t="shared" si="16"/>
        <v>1</v>
      </c>
      <c r="F125" s="1365"/>
      <c r="G125" s="61"/>
      <c r="H125" s="61"/>
      <c r="I125" s="61"/>
      <c r="J125" s="60"/>
    </row>
    <row r="126" spans="1:10">
      <c r="A126" s="59"/>
      <c r="B126" s="1373" t="s">
        <v>530</v>
      </c>
      <c r="C126" s="1414">
        <f>(C94+C99)/($E$94+$E$99)</f>
        <v>0.61863005990914688</v>
      </c>
      <c r="D126" s="1414">
        <f>(D94+D99)/($E$94+$E$99)</f>
        <v>0.38136994009085312</v>
      </c>
      <c r="E126" s="1413">
        <f t="shared" si="16"/>
        <v>1</v>
      </c>
      <c r="F126" s="1365"/>
      <c r="G126" s="61"/>
      <c r="H126" s="61"/>
      <c r="I126" s="61"/>
      <c r="J126" s="60"/>
    </row>
    <row r="127" spans="1:10">
      <c r="A127" s="59"/>
      <c r="B127" s="1373" t="s">
        <v>621</v>
      </c>
      <c r="C127" s="1414">
        <f>+(C95+C103+C101)/(SUM($E$95,$E$101,$E$103))</f>
        <v>0.96066311285745409</v>
      </c>
      <c r="D127" s="1414">
        <f>+(D95+D103+D101)/(SUM($E$95,$E$101,$E$103))</f>
        <v>3.9336887142545865E-2</v>
      </c>
      <c r="E127" s="1413">
        <f t="shared" si="16"/>
        <v>1</v>
      </c>
      <c r="F127" s="1365"/>
      <c r="G127" s="61"/>
      <c r="H127" s="61"/>
      <c r="I127" s="61"/>
      <c r="J127" s="60"/>
    </row>
    <row r="128" spans="1:10">
      <c r="A128" s="59"/>
      <c r="B128" s="1373" t="s">
        <v>206</v>
      </c>
      <c r="C128" s="1414">
        <f>+SUM(C105:C105)/SUM($E$105:$E$105)</f>
        <v>0.61069109927085174</v>
      </c>
      <c r="D128" s="1414">
        <f>+SUM(D105:D105)/SUM($E$105:$E$105)</f>
        <v>0.38930890072914831</v>
      </c>
      <c r="E128" s="1413">
        <f t="shared" si="16"/>
        <v>1</v>
      </c>
      <c r="F128" s="1365"/>
      <c r="G128" s="61"/>
      <c r="H128" s="61"/>
      <c r="I128" s="61"/>
      <c r="J128" s="60"/>
    </row>
    <row r="129" spans="1:10">
      <c r="A129" s="59"/>
      <c r="B129" s="1373" t="s">
        <v>1028</v>
      </c>
      <c r="C129" s="1414">
        <f>+SUM(C97:C98,C100,C102,C104)/SUM($E$97:$E$98,$E$100,$E$102,$E$104)</f>
        <v>0.72908064850481036</v>
      </c>
      <c r="D129" s="1414">
        <f>+SUM(D97:D98,D100,D102,D104)/SUM($E$97:$E$98,$E$100,$E$102,$E$104)</f>
        <v>0.27091935149518975</v>
      </c>
      <c r="E129" s="1413">
        <f t="shared" si="16"/>
        <v>1</v>
      </c>
      <c r="F129" s="1365"/>
      <c r="G129" s="61"/>
      <c r="H129" s="61"/>
      <c r="I129" s="61"/>
      <c r="J129" s="60"/>
    </row>
    <row r="130" spans="1:10" ht="13.5" thickBot="1">
      <c r="A130" s="91" t="s">
        <v>623</v>
      </c>
      <c r="B130" s="1375"/>
      <c r="C130" s="1376"/>
      <c r="D130" s="1376"/>
      <c r="E130" s="1376"/>
      <c r="F130" s="1377"/>
      <c r="G130" s="245"/>
      <c r="H130" s="245"/>
      <c r="I130" s="245"/>
      <c r="J130" s="92"/>
    </row>
    <row r="131" spans="1:10">
      <c r="A131" s="59"/>
      <c r="B131" s="1369"/>
      <c r="C131" s="1401" t="s">
        <v>916</v>
      </c>
      <c r="D131" s="1401" t="s">
        <v>230</v>
      </c>
      <c r="E131" s="1401" t="s">
        <v>20</v>
      </c>
      <c r="F131" s="1365"/>
      <c r="G131" s="61"/>
      <c r="H131" s="61"/>
      <c r="I131" s="61"/>
      <c r="J131" s="60"/>
    </row>
    <row r="132" spans="1:10">
      <c r="A132" s="59"/>
      <c r="B132" s="1371" t="s">
        <v>624</v>
      </c>
      <c r="C132" s="1364">
        <f>+'Recycle Breakout'!C4</f>
        <v>496.73000000000013</v>
      </c>
      <c r="D132" s="1364">
        <f>+SUM('Recycle Breakout'!C2:C3,'Recycle Breakout'!C5)</f>
        <v>3054.2030000000013</v>
      </c>
      <c r="E132" s="1415">
        <f>+SUM(C132:D132)</f>
        <v>3550.9330000000014</v>
      </c>
      <c r="F132" s="1365"/>
      <c r="G132" s="61"/>
      <c r="H132" s="61"/>
      <c r="I132" s="61"/>
      <c r="J132" s="60"/>
    </row>
    <row r="133" spans="1:10">
      <c r="A133" s="59"/>
      <c r="B133" s="1369"/>
      <c r="C133" s="1370"/>
      <c r="D133" s="1370"/>
      <c r="E133" s="1370"/>
      <c r="F133" s="1365"/>
      <c r="G133" s="61"/>
      <c r="H133" s="61"/>
      <c r="I133" s="61"/>
      <c r="J133" s="60"/>
    </row>
    <row r="134" spans="1:10" ht="13.5" thickBot="1">
      <c r="A134" s="59"/>
      <c r="B134" s="1373" t="s">
        <v>625</v>
      </c>
      <c r="C134" s="1416">
        <f>+C132/$E$132</f>
        <v>0.13988717894705419</v>
      </c>
      <c r="D134" s="1416">
        <f>+D132/$E$132</f>
        <v>0.86011282105294584</v>
      </c>
      <c r="E134" s="1417">
        <f>+SUM(C134:D134)</f>
        <v>1</v>
      </c>
      <c r="F134" s="1365"/>
      <c r="G134" s="61"/>
      <c r="H134" s="61"/>
      <c r="I134" s="61"/>
      <c r="J134" s="60"/>
    </row>
    <row r="135" spans="1:10" ht="14.25" thickTop="1" thickBot="1">
      <c r="A135" s="59"/>
      <c r="B135" s="1418"/>
      <c r="C135" s="1419"/>
      <c r="D135" s="1420"/>
      <c r="E135" s="1420"/>
      <c r="F135" s="1421"/>
      <c r="G135" s="61"/>
      <c r="H135" s="61"/>
      <c r="I135" s="61"/>
      <c r="J135" s="60"/>
    </row>
    <row r="136" spans="1:10" ht="13.5" thickTop="1">
      <c r="A136" s="59"/>
      <c r="B136" s="61"/>
      <c r="C136" s="61"/>
      <c r="D136" s="61"/>
      <c r="E136" s="61"/>
      <c r="F136" s="61"/>
      <c r="G136" s="61"/>
      <c r="H136" s="61"/>
      <c r="I136" s="61"/>
      <c r="J136" s="60"/>
    </row>
    <row r="137" spans="1:10" ht="13.5" thickBot="1">
      <c r="A137" s="423"/>
      <c r="B137" s="424"/>
      <c r="C137" s="424"/>
      <c r="D137" s="424"/>
      <c r="E137" s="424"/>
      <c r="F137" s="424"/>
      <c r="G137" s="424"/>
      <c r="H137" s="424"/>
      <c r="I137" s="424"/>
      <c r="J137" s="425"/>
    </row>
  </sheetData>
  <dataConsolidate/>
  <customSheetViews>
    <customSheetView guid="{156AD3D1-5094-4CD1-83C8-30E58A5AFCB6}" scale="85">
      <pane ySplit="5" topLeftCell="A75" activePane="bottomLeft" state="frozen"/>
      <selection pane="bottomLeft" activeCell="C95" sqref="C95"/>
      <pageMargins left="0.7" right="0.7" top="0.75" bottom="0.75" header="0.3" footer="0.3"/>
      <pageSetup orientation="portrait" horizontalDpi="200" verticalDpi="200" r:id="rId1"/>
    </customSheetView>
    <customSheetView guid="{591FF4D1-4D4D-4220-B124-BC7A16E8B120}" scale="85">
      <pane ySplit="5" topLeftCell="A27" activePane="bottomLeft" state="frozen"/>
      <selection pane="bottomLeft" activeCell="C43" sqref="C43"/>
      <pageMargins left="0.7" right="0.7" top="0.75" bottom="0.75" header="0.3" footer="0.3"/>
      <pageSetup orientation="portrait" horizontalDpi="200" verticalDpi="200" r:id="rId2"/>
    </customSheetView>
  </customSheetViews>
  <dataValidations disablePrompts="1" count="1">
    <dataValidation type="list" allowBlank="1" showInputMessage="1" showErrorMessage="1" sqref="C2" xr:uid="{00000000-0002-0000-0500-000000000000}">
      <formula1>"#2210 Idaho Falls (PSI Environmental),#2211 Twin Falls (PSI Waste Systems),#2212 Lakeshore Disposal,#2310 Elko Sanitation,#5411 Bitterroot Disposal,#5412 Evergreen Disposal,#5413 Victor Transfer Station,#5414 Valley Recycling"</formula1>
    </dataValidation>
  </dataValidations>
  <pageMargins left="0.7" right="0.7" top="0.75" bottom="0.75" header="0.3" footer="0.3"/>
  <pageSetup scale="70" fitToHeight="5" orientation="portrait" r:id="rId3"/>
  <headerFooter>
    <oddHeader xml:space="preserve">&amp;C&amp;"-,Bold"&amp;KFF0000TEXT IN RED BOX CONFIDENTIAL PER WAC 480-07-160&amp;"-,Regular"&amp;K01+000
</oddHeader>
  </headerFooter>
  <rowBreaks count="2" manualBreakCount="2">
    <brk id="61" max="7" man="1"/>
    <brk id="107" max="7"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J25"/>
  <sheetViews>
    <sheetView view="pageBreakPreview" zoomScale="60" zoomScaleNormal="100" workbookViewId="0">
      <selection activeCell="AL35" sqref="AL35"/>
    </sheetView>
  </sheetViews>
  <sheetFormatPr defaultColWidth="9.140625" defaultRowHeight="15"/>
  <cols>
    <col min="1" max="1" width="33.28515625" style="249" bestFit="1" customWidth="1"/>
    <col min="2" max="2" width="14.7109375" style="582" customWidth="1"/>
    <col min="3" max="3" width="12.42578125" style="582" customWidth="1"/>
    <col min="4" max="4" width="18.5703125" style="707" customWidth="1"/>
    <col min="5" max="5" width="19.140625" style="249" customWidth="1"/>
    <col min="6" max="6" width="11.85546875" style="249" customWidth="1"/>
    <col min="7" max="7" width="20.28515625" style="249" customWidth="1"/>
    <col min="8" max="8" width="16.85546875" style="249" customWidth="1"/>
    <col min="9" max="9" width="18.140625" style="249" customWidth="1"/>
    <col min="10" max="11" width="17.28515625" style="249" customWidth="1"/>
    <col min="12" max="12" width="12.28515625" style="249" customWidth="1"/>
    <col min="13" max="13" width="11.28515625" style="249" customWidth="1"/>
    <col min="14" max="14" width="12" style="249" bestFit="1" customWidth="1"/>
    <col min="15" max="15" width="16" style="249" customWidth="1"/>
    <col min="16" max="16" width="34.85546875" style="249" bestFit="1" customWidth="1"/>
    <col min="17" max="16384" width="9.140625" style="249"/>
  </cols>
  <sheetData>
    <row r="1" spans="1:10">
      <c r="A1" s="248" t="str">
        <f>+'Master IS (C)'!B1</f>
        <v>Yakima Waste Systems, Inc. G-98</v>
      </c>
      <c r="C1" s="888"/>
      <c r="D1" s="888"/>
    </row>
    <row r="2" spans="1:10">
      <c r="A2" s="248" t="s">
        <v>2971</v>
      </c>
      <c r="C2" s="888"/>
      <c r="D2" s="888"/>
    </row>
    <row r="3" spans="1:10">
      <c r="A3" s="248" t="s">
        <v>2972</v>
      </c>
    </row>
    <row r="5" spans="1:10">
      <c r="A5" s="885" t="s">
        <v>2974</v>
      </c>
      <c r="B5" s="891"/>
      <c r="C5" s="886"/>
      <c r="D5" s="887"/>
      <c r="E5" s="888"/>
      <c r="F5" s="888"/>
      <c r="G5" s="888"/>
      <c r="H5" s="888"/>
      <c r="I5" s="888"/>
      <c r="J5" s="888"/>
    </row>
    <row r="6" spans="1:10" ht="30">
      <c r="A6" s="597" t="s">
        <v>546</v>
      </c>
      <c r="B6" s="586">
        <f>20.05*2080</f>
        <v>41704</v>
      </c>
      <c r="D6" s="888" t="s">
        <v>2987</v>
      </c>
      <c r="E6" s="889"/>
      <c r="F6" s="892"/>
      <c r="G6" s="893"/>
      <c r="H6" s="893"/>
    </row>
    <row r="7" spans="1:10">
      <c r="A7" s="597" t="s">
        <v>2975</v>
      </c>
      <c r="B7" s="586">
        <f>+B6*0.0765</f>
        <v>3190.3559999999998</v>
      </c>
      <c r="D7" s="888"/>
      <c r="E7" s="889"/>
      <c r="F7" s="890"/>
      <c r="G7" s="893"/>
      <c r="H7" s="893"/>
    </row>
    <row r="8" spans="1:10">
      <c r="A8" s="597" t="s">
        <v>2973</v>
      </c>
      <c r="B8" s="586">
        <f>+(1350-80)*12</f>
        <v>15240</v>
      </c>
      <c r="D8" s="888"/>
      <c r="E8" s="889"/>
    </row>
    <row r="9" spans="1:10" ht="15.75" thickBot="1">
      <c r="A9" s="885" t="s">
        <v>2976</v>
      </c>
      <c r="B9" s="891"/>
      <c r="C9" s="886"/>
      <c r="D9" s="887"/>
      <c r="E9" s="888"/>
      <c r="F9" s="888"/>
      <c r="G9" s="888"/>
      <c r="H9" s="888"/>
      <c r="I9" s="888"/>
      <c r="J9" s="888"/>
    </row>
    <row r="10" spans="1:10" ht="45">
      <c r="A10" s="597" t="s">
        <v>2977</v>
      </c>
      <c r="B10" s="586">
        <f>+H11/2</f>
        <v>695.69999999999993</v>
      </c>
      <c r="D10" s="888" t="s">
        <v>2978</v>
      </c>
      <c r="E10" s="894"/>
      <c r="F10" s="895" t="s">
        <v>445</v>
      </c>
      <c r="G10" s="896" t="s">
        <v>3020</v>
      </c>
      <c r="H10" s="897" t="s">
        <v>2979</v>
      </c>
    </row>
    <row r="11" spans="1:10" ht="15.75" thickBot="1">
      <c r="A11" s="248"/>
      <c r="B11" s="593"/>
      <c r="D11" s="888"/>
      <c r="E11" s="898" t="s">
        <v>2980</v>
      </c>
      <c r="F11" s="899">
        <f>-SUM('Yakima Regulated Price Out'!$AP$14:$AP$19,'Yakima Regulated Price Out'!$AP$64,'Yakima Regulated Price Out'!$AP$91)</f>
        <v>2319</v>
      </c>
      <c r="G11" s="997">
        <v>0.6</v>
      </c>
      <c r="H11" s="900">
        <f>+F11*G11</f>
        <v>1391.3999999999999</v>
      </c>
    </row>
    <row r="12" spans="1:10" ht="15.75" thickBot="1">
      <c r="A12" s="885" t="s">
        <v>1418</v>
      </c>
      <c r="B12" s="901"/>
      <c r="C12" s="886"/>
      <c r="D12" s="887"/>
      <c r="E12" s="888"/>
      <c r="F12" s="888"/>
      <c r="G12" s="888"/>
      <c r="H12" s="888"/>
      <c r="I12" s="888"/>
      <c r="J12" s="888"/>
    </row>
    <row r="13" spans="1:10" ht="14.25" customHeight="1">
      <c r="A13" s="597" t="s">
        <v>2981</v>
      </c>
      <c r="B13" s="996">
        <f>+H14</f>
        <v>78724.2</v>
      </c>
      <c r="D13" s="888"/>
      <c r="E13" s="902"/>
      <c r="F13" s="895" t="s">
        <v>287</v>
      </c>
      <c r="G13" s="895" t="s">
        <v>2982</v>
      </c>
      <c r="H13" s="903" t="s">
        <v>154</v>
      </c>
      <c r="I13" s="707"/>
    </row>
    <row r="14" spans="1:10">
      <c r="B14" s="249"/>
      <c r="C14" s="249"/>
      <c r="D14" s="249"/>
      <c r="E14" s="904" t="s">
        <v>1435</v>
      </c>
      <c r="F14" s="296">
        <f>+'Depr Summary (C)'!B11</f>
        <v>787242</v>
      </c>
      <c r="G14" s="989">
        <v>10</v>
      </c>
      <c r="H14" s="990">
        <f>F14/G14</f>
        <v>78724.2</v>
      </c>
      <c r="I14" s="707"/>
    </row>
    <row r="15" spans="1:10" ht="15.75" thickBot="1">
      <c r="A15" s="597" t="s">
        <v>2983</v>
      </c>
      <c r="B15" s="595">
        <f>SUM(B5:B13)</f>
        <v>139554.25599999999</v>
      </c>
      <c r="C15" s="905"/>
      <c r="D15" s="906"/>
      <c r="E15" s="907" t="s">
        <v>20</v>
      </c>
      <c r="F15" s="908">
        <f>SUM(F14:F14)</f>
        <v>787242</v>
      </c>
      <c r="G15" s="909"/>
      <c r="H15" s="910">
        <f>SUM(H14:H14)</f>
        <v>78724.2</v>
      </c>
    </row>
    <row r="16" spans="1:10">
      <c r="A16" s="597"/>
      <c r="B16" s="911"/>
      <c r="C16" s="905"/>
      <c r="D16" s="906"/>
      <c r="F16" s="466"/>
      <c r="G16" s="471"/>
      <c r="H16" s="707"/>
    </row>
    <row r="17" spans="1:10">
      <c r="B17" s="249"/>
      <c r="C17" s="249"/>
      <c r="D17" s="249"/>
      <c r="E17" s="888"/>
      <c r="F17" s="888"/>
      <c r="G17" s="888"/>
      <c r="H17" s="888"/>
      <c r="I17" s="888"/>
      <c r="J17" s="888"/>
    </row>
    <row r="18" spans="1:10">
      <c r="B18" s="249"/>
      <c r="C18" s="249"/>
      <c r="D18" s="249"/>
      <c r="E18" s="889"/>
    </row>
    <row r="19" spans="1:10">
      <c r="B19" s="249"/>
      <c r="C19" s="249"/>
      <c r="D19" s="249"/>
    </row>
    <row r="20" spans="1:10">
      <c r="B20" s="249"/>
      <c r="C20" s="249"/>
      <c r="D20" s="249"/>
    </row>
    <row r="21" spans="1:10">
      <c r="B21" s="249"/>
      <c r="C21" s="249"/>
      <c r="D21" s="249"/>
    </row>
    <row r="22" spans="1:10">
      <c r="A22" s="912" t="s">
        <v>2984</v>
      </c>
      <c r="B22" s="913">
        <f>-B15-B20</f>
        <v>-139554.25599999999</v>
      </c>
      <c r="C22" s="249"/>
      <c r="D22" s="249"/>
    </row>
    <row r="23" spans="1:10">
      <c r="B23" s="249"/>
      <c r="C23" s="249"/>
      <c r="D23" s="249"/>
    </row>
    <row r="24" spans="1:10">
      <c r="B24" s="469"/>
      <c r="C24" s="249"/>
      <c r="D24" s="249"/>
    </row>
    <row r="25" spans="1:10">
      <c r="B25" s="249"/>
      <c r="C25" s="249"/>
      <c r="D25" s="249"/>
    </row>
  </sheetData>
  <pageMargins left="0.7" right="0.7" top="0.75" bottom="0.75" header="0.3" footer="0.3"/>
  <pageSetup scale="8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BOV495"/>
  <sheetViews>
    <sheetView showGridLines="0" view="pageBreakPreview" zoomScale="80" zoomScaleNormal="100" zoomScaleSheetLayoutView="80" workbookViewId="0">
      <pane ySplit="12" topLeftCell="A175" activePane="bottomLeft" state="frozen"/>
      <selection activeCell="AL35" sqref="AL35"/>
      <selection pane="bottomLeft" activeCell="AL35" sqref="AL35"/>
    </sheetView>
  </sheetViews>
  <sheetFormatPr defaultColWidth="11.42578125" defaultRowHeight="10.5"/>
  <cols>
    <col min="1" max="1" width="29.85546875" style="790" customWidth="1"/>
    <col min="2" max="2" width="11.42578125" style="791" customWidth="1"/>
    <col min="3" max="3" width="1.5703125" style="790" customWidth="1"/>
    <col min="4" max="4" width="10.5703125" style="790" bestFit="1" customWidth="1"/>
    <col min="5" max="5" width="1.5703125" style="790" customWidth="1"/>
    <col min="6" max="6" width="10.7109375" style="793" customWidth="1"/>
    <col min="7" max="7" width="1.5703125" style="792" customWidth="1"/>
    <col min="8" max="8" width="9.42578125" style="792" bestFit="1" customWidth="1"/>
    <col min="9" max="9" width="1.5703125" style="792" customWidth="1"/>
    <col min="10" max="10" width="11.42578125" style="792" customWidth="1"/>
    <col min="11" max="11" width="11.7109375" style="791" customWidth="1"/>
    <col min="12" max="12" width="10.5703125" style="791" customWidth="1"/>
    <col min="13" max="13" width="8.7109375" style="790" customWidth="1"/>
    <col min="14" max="14" width="4.5703125" style="791" customWidth="1"/>
    <col min="15" max="15" width="12.140625" style="790" customWidth="1"/>
    <col min="16" max="22" width="4.5703125" style="790" customWidth="1"/>
    <col min="23" max="258" width="11.42578125" style="790"/>
    <col min="259" max="259" width="24.28515625" style="790" customWidth="1"/>
    <col min="260" max="260" width="11.42578125" style="790" customWidth="1"/>
    <col min="261" max="261" width="1.5703125" style="790" customWidth="1"/>
    <col min="262" max="262" width="10.7109375" style="790" customWidth="1"/>
    <col min="263" max="263" width="1.5703125" style="790" customWidth="1"/>
    <col min="264" max="264" width="11.42578125" style="790" customWidth="1"/>
    <col min="265" max="265" width="11.7109375" style="790" customWidth="1"/>
    <col min="266" max="266" width="10.28515625" style="790" customWidth="1"/>
    <col min="267" max="267" width="10.7109375" style="790" customWidth="1"/>
    <col min="268" max="268" width="10.5703125" style="790" customWidth="1"/>
    <col min="269" max="269" width="8.7109375" style="790" customWidth="1"/>
    <col min="270" max="278" width="4.5703125" style="790" customWidth="1"/>
    <col min="279" max="514" width="11.42578125" style="790"/>
    <col min="515" max="515" width="24.28515625" style="790" customWidth="1"/>
    <col min="516" max="516" width="11.42578125" style="790" customWidth="1"/>
    <col min="517" max="517" width="1.5703125" style="790" customWidth="1"/>
    <col min="518" max="518" width="10.7109375" style="790" customWidth="1"/>
    <col min="519" max="519" width="1.5703125" style="790" customWidth="1"/>
    <col min="520" max="520" width="11.42578125" style="790" customWidth="1"/>
    <col min="521" max="521" width="11.7109375" style="790" customWidth="1"/>
    <col min="522" max="522" width="10.28515625" style="790" customWidth="1"/>
    <col min="523" max="523" width="10.7109375" style="790" customWidth="1"/>
    <col min="524" max="524" width="10.5703125" style="790" customWidth="1"/>
    <col min="525" max="525" width="8.7109375" style="790" customWidth="1"/>
    <col min="526" max="534" width="4.5703125" style="790" customWidth="1"/>
    <col min="535" max="770" width="11.42578125" style="790"/>
    <col min="771" max="771" width="24.28515625" style="790" customWidth="1"/>
    <col min="772" max="772" width="11.42578125" style="790" customWidth="1"/>
    <col min="773" max="773" width="1.5703125" style="790" customWidth="1"/>
    <col min="774" max="774" width="10.7109375" style="790" customWidth="1"/>
    <col min="775" max="775" width="1.5703125" style="790" customWidth="1"/>
    <col min="776" max="776" width="11.42578125" style="790" customWidth="1"/>
    <col min="777" max="777" width="11.7109375" style="790" customWidth="1"/>
    <col min="778" max="778" width="10.28515625" style="790" customWidth="1"/>
    <col min="779" max="779" width="10.7109375" style="790" customWidth="1"/>
    <col min="780" max="780" width="10.5703125" style="790" customWidth="1"/>
    <col min="781" max="781" width="8.7109375" style="790" customWidth="1"/>
    <col min="782" max="790" width="4.5703125" style="790" customWidth="1"/>
    <col min="791" max="1026" width="11.42578125" style="790"/>
    <col min="1027" max="1027" width="24.28515625" style="790" customWidth="1"/>
    <col min="1028" max="1028" width="11.42578125" style="790" customWidth="1"/>
    <col min="1029" max="1029" width="1.5703125" style="790" customWidth="1"/>
    <col min="1030" max="1030" width="10.7109375" style="790" customWidth="1"/>
    <col min="1031" max="1031" width="1.5703125" style="790" customWidth="1"/>
    <col min="1032" max="1032" width="11.42578125" style="790" customWidth="1"/>
    <col min="1033" max="1033" width="11.7109375" style="790" customWidth="1"/>
    <col min="1034" max="1034" width="10.28515625" style="790" customWidth="1"/>
    <col min="1035" max="1035" width="10.7109375" style="790" customWidth="1"/>
    <col min="1036" max="1036" width="10.5703125" style="790" customWidth="1"/>
    <col min="1037" max="1037" width="8.7109375" style="790" customWidth="1"/>
    <col min="1038" max="1046" width="4.5703125" style="790" customWidth="1"/>
    <col min="1047" max="1282" width="11.42578125" style="790"/>
    <col min="1283" max="1283" width="24.28515625" style="790" customWidth="1"/>
    <col min="1284" max="1284" width="11.42578125" style="790" customWidth="1"/>
    <col min="1285" max="1285" width="1.5703125" style="790" customWidth="1"/>
    <col min="1286" max="1286" width="10.7109375" style="790" customWidth="1"/>
    <col min="1287" max="1287" width="1.5703125" style="790" customWidth="1"/>
    <col min="1288" max="1288" width="11.42578125" style="790" customWidth="1"/>
    <col min="1289" max="1289" width="11.7109375" style="790" customWidth="1"/>
    <col min="1290" max="1290" width="10.28515625" style="790" customWidth="1"/>
    <col min="1291" max="1291" width="10.7109375" style="790" customWidth="1"/>
    <col min="1292" max="1292" width="10.5703125" style="790" customWidth="1"/>
    <col min="1293" max="1293" width="8.7109375" style="790" customWidth="1"/>
    <col min="1294" max="1302" width="4.5703125" style="790" customWidth="1"/>
    <col min="1303" max="1538" width="11.42578125" style="790"/>
    <col min="1539" max="1539" width="24.28515625" style="790" customWidth="1"/>
    <col min="1540" max="1540" width="11.42578125" style="790" customWidth="1"/>
    <col min="1541" max="1541" width="1.5703125" style="790" customWidth="1"/>
    <col min="1542" max="1542" width="10.7109375" style="790" customWidth="1"/>
    <col min="1543" max="1543" width="1.5703125" style="790" customWidth="1"/>
    <col min="1544" max="1544" width="11.42578125" style="790" customWidth="1"/>
    <col min="1545" max="1545" width="11.7109375" style="790" customWidth="1"/>
    <col min="1546" max="1546" width="10.28515625" style="790" customWidth="1"/>
    <col min="1547" max="1547" width="10.7109375" style="790" customWidth="1"/>
    <col min="1548" max="1548" width="10.5703125" style="790" customWidth="1"/>
    <col min="1549" max="1549" width="8.7109375" style="790" customWidth="1"/>
    <col min="1550" max="1558" width="4.5703125" style="790" customWidth="1"/>
    <col min="1559" max="1794" width="11.42578125" style="790"/>
    <col min="1795" max="1795" width="24.28515625" style="790" customWidth="1"/>
    <col min="1796" max="1796" width="11.42578125" style="790" customWidth="1"/>
    <col min="1797" max="1797" width="1.5703125" style="790" customWidth="1"/>
    <col min="1798" max="1798" width="10.7109375" style="790" customWidth="1"/>
    <col min="1799" max="1799" width="1.5703125" style="790" customWidth="1"/>
    <col min="1800" max="1800" width="11.42578125" style="790" customWidth="1"/>
    <col min="1801" max="1801" width="11.7109375" style="790" customWidth="1"/>
    <col min="1802" max="1802" width="10.28515625" style="790" customWidth="1"/>
    <col min="1803" max="1803" width="10.7109375" style="790" customWidth="1"/>
    <col min="1804" max="1804" width="10.5703125" style="790" customWidth="1"/>
    <col min="1805" max="1805" width="8.7109375" style="790" customWidth="1"/>
    <col min="1806" max="1814" width="4.5703125" style="790" customWidth="1"/>
    <col min="1815" max="2050" width="11.42578125" style="790"/>
    <col min="2051" max="2051" width="24.28515625" style="790" customWidth="1"/>
    <col min="2052" max="2052" width="11.42578125" style="790" customWidth="1"/>
    <col min="2053" max="2053" width="1.5703125" style="790" customWidth="1"/>
    <col min="2054" max="2054" width="10.7109375" style="790" customWidth="1"/>
    <col min="2055" max="2055" width="1.5703125" style="790" customWidth="1"/>
    <col min="2056" max="2056" width="11.42578125" style="790" customWidth="1"/>
    <col min="2057" max="2057" width="11.7109375" style="790" customWidth="1"/>
    <col min="2058" max="2058" width="10.28515625" style="790" customWidth="1"/>
    <col min="2059" max="2059" width="10.7109375" style="790" customWidth="1"/>
    <col min="2060" max="2060" width="10.5703125" style="790" customWidth="1"/>
    <col min="2061" max="2061" width="8.7109375" style="790" customWidth="1"/>
    <col min="2062" max="2070" width="4.5703125" style="790" customWidth="1"/>
    <col min="2071" max="2306" width="11.42578125" style="790"/>
    <col min="2307" max="2307" width="24.28515625" style="790" customWidth="1"/>
    <col min="2308" max="2308" width="11.42578125" style="790" customWidth="1"/>
    <col min="2309" max="2309" width="1.5703125" style="790" customWidth="1"/>
    <col min="2310" max="2310" width="10.7109375" style="790" customWidth="1"/>
    <col min="2311" max="2311" width="1.5703125" style="790" customWidth="1"/>
    <col min="2312" max="2312" width="11.42578125" style="790" customWidth="1"/>
    <col min="2313" max="2313" width="11.7109375" style="790" customWidth="1"/>
    <col min="2314" max="2314" width="10.28515625" style="790" customWidth="1"/>
    <col min="2315" max="2315" width="10.7109375" style="790" customWidth="1"/>
    <col min="2316" max="2316" width="10.5703125" style="790" customWidth="1"/>
    <col min="2317" max="2317" width="8.7109375" style="790" customWidth="1"/>
    <col min="2318" max="2326" width="4.5703125" style="790" customWidth="1"/>
    <col min="2327" max="2562" width="11.42578125" style="790"/>
    <col min="2563" max="2563" width="24.28515625" style="790" customWidth="1"/>
    <col min="2564" max="2564" width="11.42578125" style="790" customWidth="1"/>
    <col min="2565" max="2565" width="1.5703125" style="790" customWidth="1"/>
    <col min="2566" max="2566" width="10.7109375" style="790" customWidth="1"/>
    <col min="2567" max="2567" width="1.5703125" style="790" customWidth="1"/>
    <col min="2568" max="2568" width="11.42578125" style="790" customWidth="1"/>
    <col min="2569" max="2569" width="11.7109375" style="790" customWidth="1"/>
    <col min="2570" max="2570" width="10.28515625" style="790" customWidth="1"/>
    <col min="2571" max="2571" width="10.7109375" style="790" customWidth="1"/>
    <col min="2572" max="2572" width="10.5703125" style="790" customWidth="1"/>
    <col min="2573" max="2573" width="8.7109375" style="790" customWidth="1"/>
    <col min="2574" max="2582" width="4.5703125" style="790" customWidth="1"/>
    <col min="2583" max="2818" width="11.42578125" style="790"/>
    <col min="2819" max="2819" width="24.28515625" style="790" customWidth="1"/>
    <col min="2820" max="2820" width="11.42578125" style="790" customWidth="1"/>
    <col min="2821" max="2821" width="1.5703125" style="790" customWidth="1"/>
    <col min="2822" max="2822" width="10.7109375" style="790" customWidth="1"/>
    <col min="2823" max="2823" width="1.5703125" style="790" customWidth="1"/>
    <col min="2824" max="2824" width="11.42578125" style="790" customWidth="1"/>
    <col min="2825" max="2825" width="11.7109375" style="790" customWidth="1"/>
    <col min="2826" max="2826" width="10.28515625" style="790" customWidth="1"/>
    <col min="2827" max="2827" width="10.7109375" style="790" customWidth="1"/>
    <col min="2828" max="2828" width="10.5703125" style="790" customWidth="1"/>
    <col min="2829" max="2829" width="8.7109375" style="790" customWidth="1"/>
    <col min="2830" max="2838" width="4.5703125" style="790" customWidth="1"/>
    <col min="2839" max="3074" width="11.42578125" style="790"/>
    <col min="3075" max="3075" width="24.28515625" style="790" customWidth="1"/>
    <col min="3076" max="3076" width="11.42578125" style="790" customWidth="1"/>
    <col min="3077" max="3077" width="1.5703125" style="790" customWidth="1"/>
    <col min="3078" max="3078" width="10.7109375" style="790" customWidth="1"/>
    <col min="3079" max="3079" width="1.5703125" style="790" customWidth="1"/>
    <col min="3080" max="3080" width="11.42578125" style="790" customWidth="1"/>
    <col min="3081" max="3081" width="11.7109375" style="790" customWidth="1"/>
    <col min="3082" max="3082" width="10.28515625" style="790" customWidth="1"/>
    <col min="3083" max="3083" width="10.7109375" style="790" customWidth="1"/>
    <col min="3084" max="3084" width="10.5703125" style="790" customWidth="1"/>
    <col min="3085" max="3085" width="8.7109375" style="790" customWidth="1"/>
    <col min="3086" max="3094" width="4.5703125" style="790" customWidth="1"/>
    <col min="3095" max="3330" width="11.42578125" style="790"/>
    <col min="3331" max="3331" width="24.28515625" style="790" customWidth="1"/>
    <col min="3332" max="3332" width="11.42578125" style="790" customWidth="1"/>
    <col min="3333" max="3333" width="1.5703125" style="790" customWidth="1"/>
    <col min="3334" max="3334" width="10.7109375" style="790" customWidth="1"/>
    <col min="3335" max="3335" width="1.5703125" style="790" customWidth="1"/>
    <col min="3336" max="3336" width="11.42578125" style="790" customWidth="1"/>
    <col min="3337" max="3337" width="11.7109375" style="790" customWidth="1"/>
    <col min="3338" max="3338" width="10.28515625" style="790" customWidth="1"/>
    <col min="3339" max="3339" width="10.7109375" style="790" customWidth="1"/>
    <col min="3340" max="3340" width="10.5703125" style="790" customWidth="1"/>
    <col min="3341" max="3341" width="8.7109375" style="790" customWidth="1"/>
    <col min="3342" max="3350" width="4.5703125" style="790" customWidth="1"/>
    <col min="3351" max="3586" width="11.42578125" style="790"/>
    <col min="3587" max="3587" width="24.28515625" style="790" customWidth="1"/>
    <col min="3588" max="3588" width="11.42578125" style="790" customWidth="1"/>
    <col min="3589" max="3589" width="1.5703125" style="790" customWidth="1"/>
    <col min="3590" max="3590" width="10.7109375" style="790" customWidth="1"/>
    <col min="3591" max="3591" width="1.5703125" style="790" customWidth="1"/>
    <col min="3592" max="3592" width="11.42578125" style="790" customWidth="1"/>
    <col min="3593" max="3593" width="11.7109375" style="790" customWidth="1"/>
    <col min="3594" max="3594" width="10.28515625" style="790" customWidth="1"/>
    <col min="3595" max="3595" width="10.7109375" style="790" customWidth="1"/>
    <col min="3596" max="3596" width="10.5703125" style="790" customWidth="1"/>
    <col min="3597" max="3597" width="8.7109375" style="790" customWidth="1"/>
    <col min="3598" max="3606" width="4.5703125" style="790" customWidth="1"/>
    <col min="3607" max="3842" width="11.42578125" style="790"/>
    <col min="3843" max="3843" width="24.28515625" style="790" customWidth="1"/>
    <col min="3844" max="3844" width="11.42578125" style="790" customWidth="1"/>
    <col min="3845" max="3845" width="1.5703125" style="790" customWidth="1"/>
    <col min="3846" max="3846" width="10.7109375" style="790" customWidth="1"/>
    <col min="3847" max="3847" width="1.5703125" style="790" customWidth="1"/>
    <col min="3848" max="3848" width="11.42578125" style="790" customWidth="1"/>
    <col min="3849" max="3849" width="11.7109375" style="790" customWidth="1"/>
    <col min="3850" max="3850" width="10.28515625" style="790" customWidth="1"/>
    <col min="3851" max="3851" width="10.7109375" style="790" customWidth="1"/>
    <col min="3852" max="3852" width="10.5703125" style="790" customWidth="1"/>
    <col min="3853" max="3853" width="8.7109375" style="790" customWidth="1"/>
    <col min="3854" max="3862" width="4.5703125" style="790" customWidth="1"/>
    <col min="3863" max="4098" width="11.42578125" style="790"/>
    <col min="4099" max="4099" width="24.28515625" style="790" customWidth="1"/>
    <col min="4100" max="4100" width="11.42578125" style="790" customWidth="1"/>
    <col min="4101" max="4101" width="1.5703125" style="790" customWidth="1"/>
    <col min="4102" max="4102" width="10.7109375" style="790" customWidth="1"/>
    <col min="4103" max="4103" width="1.5703125" style="790" customWidth="1"/>
    <col min="4104" max="4104" width="11.42578125" style="790" customWidth="1"/>
    <col min="4105" max="4105" width="11.7109375" style="790" customWidth="1"/>
    <col min="4106" max="4106" width="10.28515625" style="790" customWidth="1"/>
    <col min="4107" max="4107" width="10.7109375" style="790" customWidth="1"/>
    <col min="4108" max="4108" width="10.5703125" style="790" customWidth="1"/>
    <col min="4109" max="4109" width="8.7109375" style="790" customWidth="1"/>
    <col min="4110" max="4118" width="4.5703125" style="790" customWidth="1"/>
    <col min="4119" max="4354" width="11.42578125" style="790"/>
    <col min="4355" max="4355" width="24.28515625" style="790" customWidth="1"/>
    <col min="4356" max="4356" width="11.42578125" style="790" customWidth="1"/>
    <col min="4357" max="4357" width="1.5703125" style="790" customWidth="1"/>
    <col min="4358" max="4358" width="10.7109375" style="790" customWidth="1"/>
    <col min="4359" max="4359" width="1.5703125" style="790" customWidth="1"/>
    <col min="4360" max="4360" width="11.42578125" style="790" customWidth="1"/>
    <col min="4361" max="4361" width="11.7109375" style="790" customWidth="1"/>
    <col min="4362" max="4362" width="10.28515625" style="790" customWidth="1"/>
    <col min="4363" max="4363" width="10.7109375" style="790" customWidth="1"/>
    <col min="4364" max="4364" width="10.5703125" style="790" customWidth="1"/>
    <col min="4365" max="4365" width="8.7109375" style="790" customWidth="1"/>
    <col min="4366" max="4374" width="4.5703125" style="790" customWidth="1"/>
    <col min="4375" max="4610" width="11.42578125" style="790"/>
    <col min="4611" max="4611" width="24.28515625" style="790" customWidth="1"/>
    <col min="4612" max="4612" width="11.42578125" style="790" customWidth="1"/>
    <col min="4613" max="4613" width="1.5703125" style="790" customWidth="1"/>
    <col min="4614" max="4614" width="10.7109375" style="790" customWidth="1"/>
    <col min="4615" max="4615" width="1.5703125" style="790" customWidth="1"/>
    <col min="4616" max="4616" width="11.42578125" style="790" customWidth="1"/>
    <col min="4617" max="4617" width="11.7109375" style="790" customWidth="1"/>
    <col min="4618" max="4618" width="10.28515625" style="790" customWidth="1"/>
    <col min="4619" max="4619" width="10.7109375" style="790" customWidth="1"/>
    <col min="4620" max="4620" width="10.5703125" style="790" customWidth="1"/>
    <col min="4621" max="4621" width="8.7109375" style="790" customWidth="1"/>
    <col min="4622" max="4630" width="4.5703125" style="790" customWidth="1"/>
    <col min="4631" max="4866" width="11.42578125" style="790"/>
    <col min="4867" max="4867" width="24.28515625" style="790" customWidth="1"/>
    <col min="4868" max="4868" width="11.42578125" style="790" customWidth="1"/>
    <col min="4869" max="4869" width="1.5703125" style="790" customWidth="1"/>
    <col min="4870" max="4870" width="10.7109375" style="790" customWidth="1"/>
    <col min="4871" max="4871" width="1.5703125" style="790" customWidth="1"/>
    <col min="4872" max="4872" width="11.42578125" style="790" customWidth="1"/>
    <col min="4873" max="4873" width="11.7109375" style="790" customWidth="1"/>
    <col min="4874" max="4874" width="10.28515625" style="790" customWidth="1"/>
    <col min="4875" max="4875" width="10.7109375" style="790" customWidth="1"/>
    <col min="4876" max="4876" width="10.5703125" style="790" customWidth="1"/>
    <col min="4877" max="4877" width="8.7109375" style="790" customWidth="1"/>
    <col min="4878" max="4886" width="4.5703125" style="790" customWidth="1"/>
    <col min="4887" max="5122" width="11.42578125" style="790"/>
    <col min="5123" max="5123" width="24.28515625" style="790" customWidth="1"/>
    <col min="5124" max="5124" width="11.42578125" style="790" customWidth="1"/>
    <col min="5125" max="5125" width="1.5703125" style="790" customWidth="1"/>
    <col min="5126" max="5126" width="10.7109375" style="790" customWidth="1"/>
    <col min="5127" max="5127" width="1.5703125" style="790" customWidth="1"/>
    <col min="5128" max="5128" width="11.42578125" style="790" customWidth="1"/>
    <col min="5129" max="5129" width="11.7109375" style="790" customWidth="1"/>
    <col min="5130" max="5130" width="10.28515625" style="790" customWidth="1"/>
    <col min="5131" max="5131" width="10.7109375" style="790" customWidth="1"/>
    <col min="5132" max="5132" width="10.5703125" style="790" customWidth="1"/>
    <col min="5133" max="5133" width="8.7109375" style="790" customWidth="1"/>
    <col min="5134" max="5142" width="4.5703125" style="790" customWidth="1"/>
    <col min="5143" max="5378" width="11.42578125" style="790"/>
    <col min="5379" max="5379" width="24.28515625" style="790" customWidth="1"/>
    <col min="5380" max="5380" width="11.42578125" style="790" customWidth="1"/>
    <col min="5381" max="5381" width="1.5703125" style="790" customWidth="1"/>
    <col min="5382" max="5382" width="10.7109375" style="790" customWidth="1"/>
    <col min="5383" max="5383" width="1.5703125" style="790" customWidth="1"/>
    <col min="5384" max="5384" width="11.42578125" style="790" customWidth="1"/>
    <col min="5385" max="5385" width="11.7109375" style="790" customWidth="1"/>
    <col min="5386" max="5386" width="10.28515625" style="790" customWidth="1"/>
    <col min="5387" max="5387" width="10.7109375" style="790" customWidth="1"/>
    <col min="5388" max="5388" width="10.5703125" style="790" customWidth="1"/>
    <col min="5389" max="5389" width="8.7109375" style="790" customWidth="1"/>
    <col min="5390" max="5398" width="4.5703125" style="790" customWidth="1"/>
    <col min="5399" max="5634" width="11.42578125" style="790"/>
    <col min="5635" max="5635" width="24.28515625" style="790" customWidth="1"/>
    <col min="5636" max="5636" width="11.42578125" style="790" customWidth="1"/>
    <col min="5637" max="5637" width="1.5703125" style="790" customWidth="1"/>
    <col min="5638" max="5638" width="10.7109375" style="790" customWidth="1"/>
    <col min="5639" max="5639" width="1.5703125" style="790" customWidth="1"/>
    <col min="5640" max="5640" width="11.42578125" style="790" customWidth="1"/>
    <col min="5641" max="5641" width="11.7109375" style="790" customWidth="1"/>
    <col min="5642" max="5642" width="10.28515625" style="790" customWidth="1"/>
    <col min="5643" max="5643" width="10.7109375" style="790" customWidth="1"/>
    <col min="5644" max="5644" width="10.5703125" style="790" customWidth="1"/>
    <col min="5645" max="5645" width="8.7109375" style="790" customWidth="1"/>
    <col min="5646" max="5654" width="4.5703125" style="790" customWidth="1"/>
    <col min="5655" max="5890" width="11.42578125" style="790"/>
    <col min="5891" max="5891" width="24.28515625" style="790" customWidth="1"/>
    <col min="5892" max="5892" width="11.42578125" style="790" customWidth="1"/>
    <col min="5893" max="5893" width="1.5703125" style="790" customWidth="1"/>
    <col min="5894" max="5894" width="10.7109375" style="790" customWidth="1"/>
    <col min="5895" max="5895" width="1.5703125" style="790" customWidth="1"/>
    <col min="5896" max="5896" width="11.42578125" style="790" customWidth="1"/>
    <col min="5897" max="5897" width="11.7109375" style="790" customWidth="1"/>
    <col min="5898" max="5898" width="10.28515625" style="790" customWidth="1"/>
    <col min="5899" max="5899" width="10.7109375" style="790" customWidth="1"/>
    <col min="5900" max="5900" width="10.5703125" style="790" customWidth="1"/>
    <col min="5901" max="5901" width="8.7109375" style="790" customWidth="1"/>
    <col min="5902" max="5910" width="4.5703125" style="790" customWidth="1"/>
    <col min="5911" max="6146" width="11.42578125" style="790"/>
    <col min="6147" max="6147" width="24.28515625" style="790" customWidth="1"/>
    <col min="6148" max="6148" width="11.42578125" style="790" customWidth="1"/>
    <col min="6149" max="6149" width="1.5703125" style="790" customWidth="1"/>
    <col min="6150" max="6150" width="10.7109375" style="790" customWidth="1"/>
    <col min="6151" max="6151" width="1.5703125" style="790" customWidth="1"/>
    <col min="6152" max="6152" width="11.42578125" style="790" customWidth="1"/>
    <col min="6153" max="6153" width="11.7109375" style="790" customWidth="1"/>
    <col min="6154" max="6154" width="10.28515625" style="790" customWidth="1"/>
    <col min="6155" max="6155" width="10.7109375" style="790" customWidth="1"/>
    <col min="6156" max="6156" width="10.5703125" style="790" customWidth="1"/>
    <col min="6157" max="6157" width="8.7109375" style="790" customWidth="1"/>
    <col min="6158" max="6166" width="4.5703125" style="790" customWidth="1"/>
    <col min="6167" max="6402" width="11.42578125" style="790"/>
    <col min="6403" max="6403" width="24.28515625" style="790" customWidth="1"/>
    <col min="6404" max="6404" width="11.42578125" style="790" customWidth="1"/>
    <col min="6405" max="6405" width="1.5703125" style="790" customWidth="1"/>
    <col min="6406" max="6406" width="10.7109375" style="790" customWidth="1"/>
    <col min="6407" max="6407" width="1.5703125" style="790" customWidth="1"/>
    <col min="6408" max="6408" width="11.42578125" style="790" customWidth="1"/>
    <col min="6409" max="6409" width="11.7109375" style="790" customWidth="1"/>
    <col min="6410" max="6410" width="10.28515625" style="790" customWidth="1"/>
    <col min="6411" max="6411" width="10.7109375" style="790" customWidth="1"/>
    <col min="6412" max="6412" width="10.5703125" style="790" customWidth="1"/>
    <col min="6413" max="6413" width="8.7109375" style="790" customWidth="1"/>
    <col min="6414" max="6422" width="4.5703125" style="790" customWidth="1"/>
    <col min="6423" max="6658" width="11.42578125" style="790"/>
    <col min="6659" max="6659" width="24.28515625" style="790" customWidth="1"/>
    <col min="6660" max="6660" width="11.42578125" style="790" customWidth="1"/>
    <col min="6661" max="6661" width="1.5703125" style="790" customWidth="1"/>
    <col min="6662" max="6662" width="10.7109375" style="790" customWidth="1"/>
    <col min="6663" max="6663" width="1.5703125" style="790" customWidth="1"/>
    <col min="6664" max="6664" width="11.42578125" style="790" customWidth="1"/>
    <col min="6665" max="6665" width="11.7109375" style="790" customWidth="1"/>
    <col min="6666" max="6666" width="10.28515625" style="790" customWidth="1"/>
    <col min="6667" max="6667" width="10.7109375" style="790" customWidth="1"/>
    <col min="6668" max="6668" width="10.5703125" style="790" customWidth="1"/>
    <col min="6669" max="6669" width="8.7109375" style="790" customWidth="1"/>
    <col min="6670" max="6678" width="4.5703125" style="790" customWidth="1"/>
    <col min="6679" max="6914" width="11.42578125" style="790"/>
    <col min="6915" max="6915" width="24.28515625" style="790" customWidth="1"/>
    <col min="6916" max="6916" width="11.42578125" style="790" customWidth="1"/>
    <col min="6917" max="6917" width="1.5703125" style="790" customWidth="1"/>
    <col min="6918" max="6918" width="10.7109375" style="790" customWidth="1"/>
    <col min="6919" max="6919" width="1.5703125" style="790" customWidth="1"/>
    <col min="6920" max="6920" width="11.42578125" style="790" customWidth="1"/>
    <col min="6921" max="6921" width="11.7109375" style="790" customWidth="1"/>
    <col min="6922" max="6922" width="10.28515625" style="790" customWidth="1"/>
    <col min="6923" max="6923" width="10.7109375" style="790" customWidth="1"/>
    <col min="6924" max="6924" width="10.5703125" style="790" customWidth="1"/>
    <col min="6925" max="6925" width="8.7109375" style="790" customWidth="1"/>
    <col min="6926" max="6934" width="4.5703125" style="790" customWidth="1"/>
    <col min="6935" max="7170" width="11.42578125" style="790"/>
    <col min="7171" max="7171" width="24.28515625" style="790" customWidth="1"/>
    <col min="7172" max="7172" width="11.42578125" style="790" customWidth="1"/>
    <col min="7173" max="7173" width="1.5703125" style="790" customWidth="1"/>
    <col min="7174" max="7174" width="10.7109375" style="790" customWidth="1"/>
    <col min="7175" max="7175" width="1.5703125" style="790" customWidth="1"/>
    <col min="7176" max="7176" width="11.42578125" style="790" customWidth="1"/>
    <col min="7177" max="7177" width="11.7109375" style="790" customWidth="1"/>
    <col min="7178" max="7178" width="10.28515625" style="790" customWidth="1"/>
    <col min="7179" max="7179" width="10.7109375" style="790" customWidth="1"/>
    <col min="7180" max="7180" width="10.5703125" style="790" customWidth="1"/>
    <col min="7181" max="7181" width="8.7109375" style="790" customWidth="1"/>
    <col min="7182" max="7190" width="4.5703125" style="790" customWidth="1"/>
    <col min="7191" max="7426" width="11.42578125" style="790"/>
    <col min="7427" max="7427" width="24.28515625" style="790" customWidth="1"/>
    <col min="7428" max="7428" width="11.42578125" style="790" customWidth="1"/>
    <col min="7429" max="7429" width="1.5703125" style="790" customWidth="1"/>
    <col min="7430" max="7430" width="10.7109375" style="790" customWidth="1"/>
    <col min="7431" max="7431" width="1.5703125" style="790" customWidth="1"/>
    <col min="7432" max="7432" width="11.42578125" style="790" customWidth="1"/>
    <col min="7433" max="7433" width="11.7109375" style="790" customWidth="1"/>
    <col min="7434" max="7434" width="10.28515625" style="790" customWidth="1"/>
    <col min="7435" max="7435" width="10.7109375" style="790" customWidth="1"/>
    <col min="7436" max="7436" width="10.5703125" style="790" customWidth="1"/>
    <col min="7437" max="7437" width="8.7109375" style="790" customWidth="1"/>
    <col min="7438" max="7446" width="4.5703125" style="790" customWidth="1"/>
    <col min="7447" max="7682" width="11.42578125" style="790"/>
    <col min="7683" max="7683" width="24.28515625" style="790" customWidth="1"/>
    <col min="7684" max="7684" width="11.42578125" style="790" customWidth="1"/>
    <col min="7685" max="7685" width="1.5703125" style="790" customWidth="1"/>
    <col min="7686" max="7686" width="10.7109375" style="790" customWidth="1"/>
    <col min="7687" max="7687" width="1.5703125" style="790" customWidth="1"/>
    <col min="7688" max="7688" width="11.42578125" style="790" customWidth="1"/>
    <col min="7689" max="7689" width="11.7109375" style="790" customWidth="1"/>
    <col min="7690" max="7690" width="10.28515625" style="790" customWidth="1"/>
    <col min="7691" max="7691" width="10.7109375" style="790" customWidth="1"/>
    <col min="7692" max="7692" width="10.5703125" style="790" customWidth="1"/>
    <col min="7693" max="7693" width="8.7109375" style="790" customWidth="1"/>
    <col min="7694" max="7702" width="4.5703125" style="790" customWidth="1"/>
    <col min="7703" max="7938" width="11.42578125" style="790"/>
    <col min="7939" max="7939" width="24.28515625" style="790" customWidth="1"/>
    <col min="7940" max="7940" width="11.42578125" style="790" customWidth="1"/>
    <col min="7941" max="7941" width="1.5703125" style="790" customWidth="1"/>
    <col min="7942" max="7942" width="10.7109375" style="790" customWidth="1"/>
    <col min="7943" max="7943" width="1.5703125" style="790" customWidth="1"/>
    <col min="7944" max="7944" width="11.42578125" style="790" customWidth="1"/>
    <col min="7945" max="7945" width="11.7109375" style="790" customWidth="1"/>
    <col min="7946" max="7946" width="10.28515625" style="790" customWidth="1"/>
    <col min="7947" max="7947" width="10.7109375" style="790" customWidth="1"/>
    <col min="7948" max="7948" width="10.5703125" style="790" customWidth="1"/>
    <col min="7949" max="7949" width="8.7109375" style="790" customWidth="1"/>
    <col min="7950" max="7958" width="4.5703125" style="790" customWidth="1"/>
    <col min="7959" max="8194" width="11.42578125" style="790"/>
    <col min="8195" max="8195" width="24.28515625" style="790" customWidth="1"/>
    <col min="8196" max="8196" width="11.42578125" style="790" customWidth="1"/>
    <col min="8197" max="8197" width="1.5703125" style="790" customWidth="1"/>
    <col min="8198" max="8198" width="10.7109375" style="790" customWidth="1"/>
    <col min="8199" max="8199" width="1.5703125" style="790" customWidth="1"/>
    <col min="8200" max="8200" width="11.42578125" style="790" customWidth="1"/>
    <col min="8201" max="8201" width="11.7109375" style="790" customWidth="1"/>
    <col min="8202" max="8202" width="10.28515625" style="790" customWidth="1"/>
    <col min="8203" max="8203" width="10.7109375" style="790" customWidth="1"/>
    <col min="8204" max="8204" width="10.5703125" style="790" customWidth="1"/>
    <col min="8205" max="8205" width="8.7109375" style="790" customWidth="1"/>
    <col min="8206" max="8214" width="4.5703125" style="790" customWidth="1"/>
    <col min="8215" max="8450" width="11.42578125" style="790"/>
    <col min="8451" max="8451" width="24.28515625" style="790" customWidth="1"/>
    <col min="8452" max="8452" width="11.42578125" style="790" customWidth="1"/>
    <col min="8453" max="8453" width="1.5703125" style="790" customWidth="1"/>
    <col min="8454" max="8454" width="10.7109375" style="790" customWidth="1"/>
    <col min="8455" max="8455" width="1.5703125" style="790" customWidth="1"/>
    <col min="8456" max="8456" width="11.42578125" style="790" customWidth="1"/>
    <col min="8457" max="8457" width="11.7109375" style="790" customWidth="1"/>
    <col min="8458" max="8458" width="10.28515625" style="790" customWidth="1"/>
    <col min="8459" max="8459" width="10.7109375" style="790" customWidth="1"/>
    <col min="8460" max="8460" width="10.5703125" style="790" customWidth="1"/>
    <col min="8461" max="8461" width="8.7109375" style="790" customWidth="1"/>
    <col min="8462" max="8470" width="4.5703125" style="790" customWidth="1"/>
    <col min="8471" max="8706" width="11.42578125" style="790"/>
    <col min="8707" max="8707" width="24.28515625" style="790" customWidth="1"/>
    <col min="8708" max="8708" width="11.42578125" style="790" customWidth="1"/>
    <col min="8709" max="8709" width="1.5703125" style="790" customWidth="1"/>
    <col min="8710" max="8710" width="10.7109375" style="790" customWidth="1"/>
    <col min="8711" max="8711" width="1.5703125" style="790" customWidth="1"/>
    <col min="8712" max="8712" width="11.42578125" style="790" customWidth="1"/>
    <col min="8713" max="8713" width="11.7109375" style="790" customWidth="1"/>
    <col min="8714" max="8714" width="10.28515625" style="790" customWidth="1"/>
    <col min="8715" max="8715" width="10.7109375" style="790" customWidth="1"/>
    <col min="8716" max="8716" width="10.5703125" style="790" customWidth="1"/>
    <col min="8717" max="8717" width="8.7109375" style="790" customWidth="1"/>
    <col min="8718" max="8726" width="4.5703125" style="790" customWidth="1"/>
    <col min="8727" max="8962" width="11.42578125" style="790"/>
    <col min="8963" max="8963" width="24.28515625" style="790" customWidth="1"/>
    <col min="8964" max="8964" width="11.42578125" style="790" customWidth="1"/>
    <col min="8965" max="8965" width="1.5703125" style="790" customWidth="1"/>
    <col min="8966" max="8966" width="10.7109375" style="790" customWidth="1"/>
    <col min="8967" max="8967" width="1.5703125" style="790" customWidth="1"/>
    <col min="8968" max="8968" width="11.42578125" style="790" customWidth="1"/>
    <col min="8969" max="8969" width="11.7109375" style="790" customWidth="1"/>
    <col min="8970" max="8970" width="10.28515625" style="790" customWidth="1"/>
    <col min="8971" max="8971" width="10.7109375" style="790" customWidth="1"/>
    <col min="8972" max="8972" width="10.5703125" style="790" customWidth="1"/>
    <col min="8973" max="8973" width="8.7109375" style="790" customWidth="1"/>
    <col min="8974" max="8982" width="4.5703125" style="790" customWidth="1"/>
    <col min="8983" max="9218" width="11.42578125" style="790"/>
    <col min="9219" max="9219" width="24.28515625" style="790" customWidth="1"/>
    <col min="9220" max="9220" width="11.42578125" style="790" customWidth="1"/>
    <col min="9221" max="9221" width="1.5703125" style="790" customWidth="1"/>
    <col min="9222" max="9222" width="10.7109375" style="790" customWidth="1"/>
    <col min="9223" max="9223" width="1.5703125" style="790" customWidth="1"/>
    <col min="9224" max="9224" width="11.42578125" style="790" customWidth="1"/>
    <col min="9225" max="9225" width="11.7109375" style="790" customWidth="1"/>
    <col min="9226" max="9226" width="10.28515625" style="790" customWidth="1"/>
    <col min="9227" max="9227" width="10.7109375" style="790" customWidth="1"/>
    <col min="9228" max="9228" width="10.5703125" style="790" customWidth="1"/>
    <col min="9229" max="9229" width="8.7109375" style="790" customWidth="1"/>
    <col min="9230" max="9238" width="4.5703125" style="790" customWidth="1"/>
    <col min="9239" max="9474" width="11.42578125" style="790"/>
    <col min="9475" max="9475" width="24.28515625" style="790" customWidth="1"/>
    <col min="9476" max="9476" width="11.42578125" style="790" customWidth="1"/>
    <col min="9477" max="9477" width="1.5703125" style="790" customWidth="1"/>
    <col min="9478" max="9478" width="10.7109375" style="790" customWidth="1"/>
    <col min="9479" max="9479" width="1.5703125" style="790" customWidth="1"/>
    <col min="9480" max="9480" width="11.42578125" style="790" customWidth="1"/>
    <col min="9481" max="9481" width="11.7109375" style="790" customWidth="1"/>
    <col min="9482" max="9482" width="10.28515625" style="790" customWidth="1"/>
    <col min="9483" max="9483" width="10.7109375" style="790" customWidth="1"/>
    <col min="9484" max="9484" width="10.5703125" style="790" customWidth="1"/>
    <col min="9485" max="9485" width="8.7109375" style="790" customWidth="1"/>
    <col min="9486" max="9494" width="4.5703125" style="790" customWidth="1"/>
    <col min="9495" max="9730" width="11.42578125" style="790"/>
    <col min="9731" max="9731" width="24.28515625" style="790" customWidth="1"/>
    <col min="9732" max="9732" width="11.42578125" style="790" customWidth="1"/>
    <col min="9733" max="9733" width="1.5703125" style="790" customWidth="1"/>
    <col min="9734" max="9734" width="10.7109375" style="790" customWidth="1"/>
    <col min="9735" max="9735" width="1.5703125" style="790" customWidth="1"/>
    <col min="9736" max="9736" width="11.42578125" style="790" customWidth="1"/>
    <col min="9737" max="9737" width="11.7109375" style="790" customWidth="1"/>
    <col min="9738" max="9738" width="10.28515625" style="790" customWidth="1"/>
    <col min="9739" max="9739" width="10.7109375" style="790" customWidth="1"/>
    <col min="9740" max="9740" width="10.5703125" style="790" customWidth="1"/>
    <col min="9741" max="9741" width="8.7109375" style="790" customWidth="1"/>
    <col min="9742" max="9750" width="4.5703125" style="790" customWidth="1"/>
    <col min="9751" max="9986" width="11.42578125" style="790"/>
    <col min="9987" max="9987" width="24.28515625" style="790" customWidth="1"/>
    <col min="9988" max="9988" width="11.42578125" style="790" customWidth="1"/>
    <col min="9989" max="9989" width="1.5703125" style="790" customWidth="1"/>
    <col min="9990" max="9990" width="10.7109375" style="790" customWidth="1"/>
    <col min="9991" max="9991" width="1.5703125" style="790" customWidth="1"/>
    <col min="9992" max="9992" width="11.42578125" style="790" customWidth="1"/>
    <col min="9993" max="9993" width="11.7109375" style="790" customWidth="1"/>
    <col min="9994" max="9994" width="10.28515625" style="790" customWidth="1"/>
    <col min="9995" max="9995" width="10.7109375" style="790" customWidth="1"/>
    <col min="9996" max="9996" width="10.5703125" style="790" customWidth="1"/>
    <col min="9997" max="9997" width="8.7109375" style="790" customWidth="1"/>
    <col min="9998" max="10006" width="4.5703125" style="790" customWidth="1"/>
    <col min="10007" max="10242" width="11.42578125" style="790"/>
    <col min="10243" max="10243" width="24.28515625" style="790" customWidth="1"/>
    <col min="10244" max="10244" width="11.42578125" style="790" customWidth="1"/>
    <col min="10245" max="10245" width="1.5703125" style="790" customWidth="1"/>
    <col min="10246" max="10246" width="10.7109375" style="790" customWidth="1"/>
    <col min="10247" max="10247" width="1.5703125" style="790" customWidth="1"/>
    <col min="10248" max="10248" width="11.42578125" style="790" customWidth="1"/>
    <col min="10249" max="10249" width="11.7109375" style="790" customWidth="1"/>
    <col min="10250" max="10250" width="10.28515625" style="790" customWidth="1"/>
    <col min="10251" max="10251" width="10.7109375" style="790" customWidth="1"/>
    <col min="10252" max="10252" width="10.5703125" style="790" customWidth="1"/>
    <col min="10253" max="10253" width="8.7109375" style="790" customWidth="1"/>
    <col min="10254" max="10262" width="4.5703125" style="790" customWidth="1"/>
    <col min="10263" max="10498" width="11.42578125" style="790"/>
    <col min="10499" max="10499" width="24.28515625" style="790" customWidth="1"/>
    <col min="10500" max="10500" width="11.42578125" style="790" customWidth="1"/>
    <col min="10501" max="10501" width="1.5703125" style="790" customWidth="1"/>
    <col min="10502" max="10502" width="10.7109375" style="790" customWidth="1"/>
    <col min="10503" max="10503" width="1.5703125" style="790" customWidth="1"/>
    <col min="10504" max="10504" width="11.42578125" style="790" customWidth="1"/>
    <col min="10505" max="10505" width="11.7109375" style="790" customWidth="1"/>
    <col min="10506" max="10506" width="10.28515625" style="790" customWidth="1"/>
    <col min="10507" max="10507" width="10.7109375" style="790" customWidth="1"/>
    <col min="10508" max="10508" width="10.5703125" style="790" customWidth="1"/>
    <col min="10509" max="10509" width="8.7109375" style="790" customWidth="1"/>
    <col min="10510" max="10518" width="4.5703125" style="790" customWidth="1"/>
    <col min="10519" max="10754" width="11.42578125" style="790"/>
    <col min="10755" max="10755" width="24.28515625" style="790" customWidth="1"/>
    <col min="10756" max="10756" width="11.42578125" style="790" customWidth="1"/>
    <col min="10757" max="10757" width="1.5703125" style="790" customWidth="1"/>
    <col min="10758" max="10758" width="10.7109375" style="790" customWidth="1"/>
    <col min="10759" max="10759" width="1.5703125" style="790" customWidth="1"/>
    <col min="10760" max="10760" width="11.42578125" style="790" customWidth="1"/>
    <col min="10761" max="10761" width="11.7109375" style="790" customWidth="1"/>
    <col min="10762" max="10762" width="10.28515625" style="790" customWidth="1"/>
    <col min="10763" max="10763" width="10.7109375" style="790" customWidth="1"/>
    <col min="10764" max="10764" width="10.5703125" style="790" customWidth="1"/>
    <col min="10765" max="10765" width="8.7109375" style="790" customWidth="1"/>
    <col min="10766" max="10774" width="4.5703125" style="790" customWidth="1"/>
    <col min="10775" max="11010" width="11.42578125" style="790"/>
    <col min="11011" max="11011" width="24.28515625" style="790" customWidth="1"/>
    <col min="11012" max="11012" width="11.42578125" style="790" customWidth="1"/>
    <col min="11013" max="11013" width="1.5703125" style="790" customWidth="1"/>
    <col min="11014" max="11014" width="10.7109375" style="790" customWidth="1"/>
    <col min="11015" max="11015" width="1.5703125" style="790" customWidth="1"/>
    <col min="11016" max="11016" width="11.42578125" style="790" customWidth="1"/>
    <col min="11017" max="11017" width="11.7109375" style="790" customWidth="1"/>
    <col min="11018" max="11018" width="10.28515625" style="790" customWidth="1"/>
    <col min="11019" max="11019" width="10.7109375" style="790" customWidth="1"/>
    <col min="11020" max="11020" width="10.5703125" style="790" customWidth="1"/>
    <col min="11021" max="11021" width="8.7109375" style="790" customWidth="1"/>
    <col min="11022" max="11030" width="4.5703125" style="790" customWidth="1"/>
    <col min="11031" max="11266" width="11.42578125" style="790"/>
    <col min="11267" max="11267" width="24.28515625" style="790" customWidth="1"/>
    <col min="11268" max="11268" width="11.42578125" style="790" customWidth="1"/>
    <col min="11269" max="11269" width="1.5703125" style="790" customWidth="1"/>
    <col min="11270" max="11270" width="10.7109375" style="790" customWidth="1"/>
    <col min="11271" max="11271" width="1.5703125" style="790" customWidth="1"/>
    <col min="11272" max="11272" width="11.42578125" style="790" customWidth="1"/>
    <col min="11273" max="11273" width="11.7109375" style="790" customWidth="1"/>
    <col min="11274" max="11274" width="10.28515625" style="790" customWidth="1"/>
    <col min="11275" max="11275" width="10.7109375" style="790" customWidth="1"/>
    <col min="11276" max="11276" width="10.5703125" style="790" customWidth="1"/>
    <col min="11277" max="11277" width="8.7109375" style="790" customWidth="1"/>
    <col min="11278" max="11286" width="4.5703125" style="790" customWidth="1"/>
    <col min="11287" max="11522" width="11.42578125" style="790"/>
    <col min="11523" max="11523" width="24.28515625" style="790" customWidth="1"/>
    <col min="11524" max="11524" width="11.42578125" style="790" customWidth="1"/>
    <col min="11525" max="11525" width="1.5703125" style="790" customWidth="1"/>
    <col min="11526" max="11526" width="10.7109375" style="790" customWidth="1"/>
    <col min="11527" max="11527" width="1.5703125" style="790" customWidth="1"/>
    <col min="11528" max="11528" width="11.42578125" style="790" customWidth="1"/>
    <col min="11529" max="11529" width="11.7109375" style="790" customWidth="1"/>
    <col min="11530" max="11530" width="10.28515625" style="790" customWidth="1"/>
    <col min="11531" max="11531" width="10.7109375" style="790" customWidth="1"/>
    <col min="11532" max="11532" width="10.5703125" style="790" customWidth="1"/>
    <col min="11533" max="11533" width="8.7109375" style="790" customWidth="1"/>
    <col min="11534" max="11542" width="4.5703125" style="790" customWidth="1"/>
    <col min="11543" max="11778" width="11.42578125" style="790"/>
    <col min="11779" max="11779" width="24.28515625" style="790" customWidth="1"/>
    <col min="11780" max="11780" width="11.42578125" style="790" customWidth="1"/>
    <col min="11781" max="11781" width="1.5703125" style="790" customWidth="1"/>
    <col min="11782" max="11782" width="10.7109375" style="790" customWidth="1"/>
    <col min="11783" max="11783" width="1.5703125" style="790" customWidth="1"/>
    <col min="11784" max="11784" width="11.42578125" style="790" customWidth="1"/>
    <col min="11785" max="11785" width="11.7109375" style="790" customWidth="1"/>
    <col min="11786" max="11786" width="10.28515625" style="790" customWidth="1"/>
    <col min="11787" max="11787" width="10.7109375" style="790" customWidth="1"/>
    <col min="11788" max="11788" width="10.5703125" style="790" customWidth="1"/>
    <col min="11789" max="11789" width="8.7109375" style="790" customWidth="1"/>
    <col min="11790" max="11798" width="4.5703125" style="790" customWidth="1"/>
    <col min="11799" max="12034" width="11.42578125" style="790"/>
    <col min="12035" max="12035" width="24.28515625" style="790" customWidth="1"/>
    <col min="12036" max="12036" width="11.42578125" style="790" customWidth="1"/>
    <col min="12037" max="12037" width="1.5703125" style="790" customWidth="1"/>
    <col min="12038" max="12038" width="10.7109375" style="790" customWidth="1"/>
    <col min="12039" max="12039" width="1.5703125" style="790" customWidth="1"/>
    <col min="12040" max="12040" width="11.42578125" style="790" customWidth="1"/>
    <col min="12041" max="12041" width="11.7109375" style="790" customWidth="1"/>
    <col min="12042" max="12042" width="10.28515625" style="790" customWidth="1"/>
    <col min="12043" max="12043" width="10.7109375" style="790" customWidth="1"/>
    <col min="12044" max="12044" width="10.5703125" style="790" customWidth="1"/>
    <col min="12045" max="12045" width="8.7109375" style="790" customWidth="1"/>
    <col min="12046" max="12054" width="4.5703125" style="790" customWidth="1"/>
    <col min="12055" max="12290" width="11.42578125" style="790"/>
    <col min="12291" max="12291" width="24.28515625" style="790" customWidth="1"/>
    <col min="12292" max="12292" width="11.42578125" style="790" customWidth="1"/>
    <col min="12293" max="12293" width="1.5703125" style="790" customWidth="1"/>
    <col min="12294" max="12294" width="10.7109375" style="790" customWidth="1"/>
    <col min="12295" max="12295" width="1.5703125" style="790" customWidth="1"/>
    <col min="12296" max="12296" width="11.42578125" style="790" customWidth="1"/>
    <col min="12297" max="12297" width="11.7109375" style="790" customWidth="1"/>
    <col min="12298" max="12298" width="10.28515625" style="790" customWidth="1"/>
    <col min="12299" max="12299" width="10.7109375" style="790" customWidth="1"/>
    <col min="12300" max="12300" width="10.5703125" style="790" customWidth="1"/>
    <col min="12301" max="12301" width="8.7109375" style="790" customWidth="1"/>
    <col min="12302" max="12310" width="4.5703125" style="790" customWidth="1"/>
    <col min="12311" max="12546" width="11.42578125" style="790"/>
    <col min="12547" max="12547" width="24.28515625" style="790" customWidth="1"/>
    <col min="12548" max="12548" width="11.42578125" style="790" customWidth="1"/>
    <col min="12549" max="12549" width="1.5703125" style="790" customWidth="1"/>
    <col min="12550" max="12550" width="10.7109375" style="790" customWidth="1"/>
    <col min="12551" max="12551" width="1.5703125" style="790" customWidth="1"/>
    <col min="12552" max="12552" width="11.42578125" style="790" customWidth="1"/>
    <col min="12553" max="12553" width="11.7109375" style="790" customWidth="1"/>
    <col min="12554" max="12554" width="10.28515625" style="790" customWidth="1"/>
    <col min="12555" max="12555" width="10.7109375" style="790" customWidth="1"/>
    <col min="12556" max="12556" width="10.5703125" style="790" customWidth="1"/>
    <col min="12557" max="12557" width="8.7109375" style="790" customWidth="1"/>
    <col min="12558" max="12566" width="4.5703125" style="790" customWidth="1"/>
    <col min="12567" max="12802" width="11.42578125" style="790"/>
    <col min="12803" max="12803" width="24.28515625" style="790" customWidth="1"/>
    <col min="12804" max="12804" width="11.42578125" style="790" customWidth="1"/>
    <col min="12805" max="12805" width="1.5703125" style="790" customWidth="1"/>
    <col min="12806" max="12806" width="10.7109375" style="790" customWidth="1"/>
    <col min="12807" max="12807" width="1.5703125" style="790" customWidth="1"/>
    <col min="12808" max="12808" width="11.42578125" style="790" customWidth="1"/>
    <col min="12809" max="12809" width="11.7109375" style="790" customWidth="1"/>
    <col min="12810" max="12810" width="10.28515625" style="790" customWidth="1"/>
    <col min="12811" max="12811" width="10.7109375" style="790" customWidth="1"/>
    <col min="12812" max="12812" width="10.5703125" style="790" customWidth="1"/>
    <col min="12813" max="12813" width="8.7109375" style="790" customWidth="1"/>
    <col min="12814" max="12822" width="4.5703125" style="790" customWidth="1"/>
    <col min="12823" max="13058" width="11.42578125" style="790"/>
    <col min="13059" max="13059" width="24.28515625" style="790" customWidth="1"/>
    <col min="13060" max="13060" width="11.42578125" style="790" customWidth="1"/>
    <col min="13061" max="13061" width="1.5703125" style="790" customWidth="1"/>
    <col min="13062" max="13062" width="10.7109375" style="790" customWidth="1"/>
    <col min="13063" max="13063" width="1.5703125" style="790" customWidth="1"/>
    <col min="13064" max="13064" width="11.42578125" style="790" customWidth="1"/>
    <col min="13065" max="13065" width="11.7109375" style="790" customWidth="1"/>
    <col min="13066" max="13066" width="10.28515625" style="790" customWidth="1"/>
    <col min="13067" max="13067" width="10.7109375" style="790" customWidth="1"/>
    <col min="13068" max="13068" width="10.5703125" style="790" customWidth="1"/>
    <col min="13069" max="13069" width="8.7109375" style="790" customWidth="1"/>
    <col min="13070" max="13078" width="4.5703125" style="790" customWidth="1"/>
    <col min="13079" max="13314" width="11.42578125" style="790"/>
    <col min="13315" max="13315" width="24.28515625" style="790" customWidth="1"/>
    <col min="13316" max="13316" width="11.42578125" style="790" customWidth="1"/>
    <col min="13317" max="13317" width="1.5703125" style="790" customWidth="1"/>
    <col min="13318" max="13318" width="10.7109375" style="790" customWidth="1"/>
    <col min="13319" max="13319" width="1.5703125" style="790" customWidth="1"/>
    <col min="13320" max="13320" width="11.42578125" style="790" customWidth="1"/>
    <col min="13321" max="13321" width="11.7109375" style="790" customWidth="1"/>
    <col min="13322" max="13322" width="10.28515625" style="790" customWidth="1"/>
    <col min="13323" max="13323" width="10.7109375" style="790" customWidth="1"/>
    <col min="13324" max="13324" width="10.5703125" style="790" customWidth="1"/>
    <col min="13325" max="13325" width="8.7109375" style="790" customWidth="1"/>
    <col min="13326" max="13334" width="4.5703125" style="790" customWidth="1"/>
    <col min="13335" max="13570" width="11.42578125" style="790"/>
    <col min="13571" max="13571" width="24.28515625" style="790" customWidth="1"/>
    <col min="13572" max="13572" width="11.42578125" style="790" customWidth="1"/>
    <col min="13573" max="13573" width="1.5703125" style="790" customWidth="1"/>
    <col min="13574" max="13574" width="10.7109375" style="790" customWidth="1"/>
    <col min="13575" max="13575" width="1.5703125" style="790" customWidth="1"/>
    <col min="13576" max="13576" width="11.42578125" style="790" customWidth="1"/>
    <col min="13577" max="13577" width="11.7109375" style="790" customWidth="1"/>
    <col min="13578" max="13578" width="10.28515625" style="790" customWidth="1"/>
    <col min="13579" max="13579" width="10.7109375" style="790" customWidth="1"/>
    <col min="13580" max="13580" width="10.5703125" style="790" customWidth="1"/>
    <col min="13581" max="13581" width="8.7109375" style="790" customWidth="1"/>
    <col min="13582" max="13590" width="4.5703125" style="790" customWidth="1"/>
    <col min="13591" max="13826" width="11.42578125" style="790"/>
    <col min="13827" max="13827" width="24.28515625" style="790" customWidth="1"/>
    <col min="13828" max="13828" width="11.42578125" style="790" customWidth="1"/>
    <col min="13829" max="13829" width="1.5703125" style="790" customWidth="1"/>
    <col min="13830" max="13830" width="10.7109375" style="790" customWidth="1"/>
    <col min="13831" max="13831" width="1.5703125" style="790" customWidth="1"/>
    <col min="13832" max="13832" width="11.42578125" style="790" customWidth="1"/>
    <col min="13833" max="13833" width="11.7109375" style="790" customWidth="1"/>
    <col min="13834" max="13834" width="10.28515625" style="790" customWidth="1"/>
    <col min="13835" max="13835" width="10.7109375" style="790" customWidth="1"/>
    <col min="13836" max="13836" width="10.5703125" style="790" customWidth="1"/>
    <col min="13837" max="13837" width="8.7109375" style="790" customWidth="1"/>
    <col min="13838" max="13846" width="4.5703125" style="790" customWidth="1"/>
    <col min="13847" max="14082" width="11.42578125" style="790"/>
    <col min="14083" max="14083" width="24.28515625" style="790" customWidth="1"/>
    <col min="14084" max="14084" width="11.42578125" style="790" customWidth="1"/>
    <col min="14085" max="14085" width="1.5703125" style="790" customWidth="1"/>
    <col min="14086" max="14086" width="10.7109375" style="790" customWidth="1"/>
    <col min="14087" max="14087" width="1.5703125" style="790" customWidth="1"/>
    <col min="14088" max="14088" width="11.42578125" style="790" customWidth="1"/>
    <col min="14089" max="14089" width="11.7109375" style="790" customWidth="1"/>
    <col min="14090" max="14090" width="10.28515625" style="790" customWidth="1"/>
    <col min="14091" max="14091" width="10.7109375" style="790" customWidth="1"/>
    <col min="14092" max="14092" width="10.5703125" style="790" customWidth="1"/>
    <col min="14093" max="14093" width="8.7109375" style="790" customWidth="1"/>
    <col min="14094" max="14102" width="4.5703125" style="790" customWidth="1"/>
    <col min="14103" max="14338" width="11.42578125" style="790"/>
    <col min="14339" max="14339" width="24.28515625" style="790" customWidth="1"/>
    <col min="14340" max="14340" width="11.42578125" style="790" customWidth="1"/>
    <col min="14341" max="14341" width="1.5703125" style="790" customWidth="1"/>
    <col min="14342" max="14342" width="10.7109375" style="790" customWidth="1"/>
    <col min="14343" max="14343" width="1.5703125" style="790" customWidth="1"/>
    <col min="14344" max="14344" width="11.42578125" style="790" customWidth="1"/>
    <col min="14345" max="14345" width="11.7109375" style="790" customWidth="1"/>
    <col min="14346" max="14346" width="10.28515625" style="790" customWidth="1"/>
    <col min="14347" max="14347" width="10.7109375" style="790" customWidth="1"/>
    <col min="14348" max="14348" width="10.5703125" style="790" customWidth="1"/>
    <col min="14349" max="14349" width="8.7109375" style="790" customWidth="1"/>
    <col min="14350" max="14358" width="4.5703125" style="790" customWidth="1"/>
    <col min="14359" max="14594" width="11.42578125" style="790"/>
    <col min="14595" max="14595" width="24.28515625" style="790" customWidth="1"/>
    <col min="14596" max="14596" width="11.42578125" style="790" customWidth="1"/>
    <col min="14597" max="14597" width="1.5703125" style="790" customWidth="1"/>
    <col min="14598" max="14598" width="10.7109375" style="790" customWidth="1"/>
    <col min="14599" max="14599" width="1.5703125" style="790" customWidth="1"/>
    <col min="14600" max="14600" width="11.42578125" style="790" customWidth="1"/>
    <col min="14601" max="14601" width="11.7109375" style="790" customWidth="1"/>
    <col min="14602" max="14602" width="10.28515625" style="790" customWidth="1"/>
    <col min="14603" max="14603" width="10.7109375" style="790" customWidth="1"/>
    <col min="14604" max="14604" width="10.5703125" style="790" customWidth="1"/>
    <col min="14605" max="14605" width="8.7109375" style="790" customWidth="1"/>
    <col min="14606" max="14614" width="4.5703125" style="790" customWidth="1"/>
    <col min="14615" max="14850" width="11.42578125" style="790"/>
    <col min="14851" max="14851" width="24.28515625" style="790" customWidth="1"/>
    <col min="14852" max="14852" width="11.42578125" style="790" customWidth="1"/>
    <col min="14853" max="14853" width="1.5703125" style="790" customWidth="1"/>
    <col min="14854" max="14854" width="10.7109375" style="790" customWidth="1"/>
    <col min="14855" max="14855" width="1.5703125" style="790" customWidth="1"/>
    <col min="14856" max="14856" width="11.42578125" style="790" customWidth="1"/>
    <col min="14857" max="14857" width="11.7109375" style="790" customWidth="1"/>
    <col min="14858" max="14858" width="10.28515625" style="790" customWidth="1"/>
    <col min="14859" max="14859" width="10.7109375" style="790" customWidth="1"/>
    <col min="14860" max="14860" width="10.5703125" style="790" customWidth="1"/>
    <col min="14861" max="14861" width="8.7109375" style="790" customWidth="1"/>
    <col min="14862" max="14870" width="4.5703125" style="790" customWidth="1"/>
    <col min="14871" max="15106" width="11.42578125" style="790"/>
    <col min="15107" max="15107" width="24.28515625" style="790" customWidth="1"/>
    <col min="15108" max="15108" width="11.42578125" style="790" customWidth="1"/>
    <col min="15109" max="15109" width="1.5703125" style="790" customWidth="1"/>
    <col min="15110" max="15110" width="10.7109375" style="790" customWidth="1"/>
    <col min="15111" max="15111" width="1.5703125" style="790" customWidth="1"/>
    <col min="15112" max="15112" width="11.42578125" style="790" customWidth="1"/>
    <col min="15113" max="15113" width="11.7109375" style="790" customWidth="1"/>
    <col min="15114" max="15114" width="10.28515625" style="790" customWidth="1"/>
    <col min="15115" max="15115" width="10.7109375" style="790" customWidth="1"/>
    <col min="15116" max="15116" width="10.5703125" style="790" customWidth="1"/>
    <col min="15117" max="15117" width="8.7109375" style="790" customWidth="1"/>
    <col min="15118" max="15126" width="4.5703125" style="790" customWidth="1"/>
    <col min="15127" max="15362" width="11.42578125" style="790"/>
    <col min="15363" max="15363" width="24.28515625" style="790" customWidth="1"/>
    <col min="15364" max="15364" width="11.42578125" style="790" customWidth="1"/>
    <col min="15365" max="15365" width="1.5703125" style="790" customWidth="1"/>
    <col min="15366" max="15366" width="10.7109375" style="790" customWidth="1"/>
    <col min="15367" max="15367" width="1.5703125" style="790" customWidth="1"/>
    <col min="15368" max="15368" width="11.42578125" style="790" customWidth="1"/>
    <col min="15369" max="15369" width="11.7109375" style="790" customWidth="1"/>
    <col min="15370" max="15370" width="10.28515625" style="790" customWidth="1"/>
    <col min="15371" max="15371" width="10.7109375" style="790" customWidth="1"/>
    <col min="15372" max="15372" width="10.5703125" style="790" customWidth="1"/>
    <col min="15373" max="15373" width="8.7109375" style="790" customWidth="1"/>
    <col min="15374" max="15382" width="4.5703125" style="790" customWidth="1"/>
    <col min="15383" max="15618" width="11.42578125" style="790"/>
    <col min="15619" max="15619" width="24.28515625" style="790" customWidth="1"/>
    <col min="15620" max="15620" width="11.42578125" style="790" customWidth="1"/>
    <col min="15621" max="15621" width="1.5703125" style="790" customWidth="1"/>
    <col min="15622" max="15622" width="10.7109375" style="790" customWidth="1"/>
    <col min="15623" max="15623" width="1.5703125" style="790" customWidth="1"/>
    <col min="15624" max="15624" width="11.42578125" style="790" customWidth="1"/>
    <col min="15625" max="15625" width="11.7109375" style="790" customWidth="1"/>
    <col min="15626" max="15626" width="10.28515625" style="790" customWidth="1"/>
    <col min="15627" max="15627" width="10.7109375" style="790" customWidth="1"/>
    <col min="15628" max="15628" width="10.5703125" style="790" customWidth="1"/>
    <col min="15629" max="15629" width="8.7109375" style="790" customWidth="1"/>
    <col min="15630" max="15638" width="4.5703125" style="790" customWidth="1"/>
    <col min="15639" max="15874" width="11.42578125" style="790"/>
    <col min="15875" max="15875" width="24.28515625" style="790" customWidth="1"/>
    <col min="15876" max="15876" width="11.42578125" style="790" customWidth="1"/>
    <col min="15877" max="15877" width="1.5703125" style="790" customWidth="1"/>
    <col min="15878" max="15878" width="10.7109375" style="790" customWidth="1"/>
    <col min="15879" max="15879" width="1.5703125" style="790" customWidth="1"/>
    <col min="15880" max="15880" width="11.42578125" style="790" customWidth="1"/>
    <col min="15881" max="15881" width="11.7109375" style="790" customWidth="1"/>
    <col min="15882" max="15882" width="10.28515625" style="790" customWidth="1"/>
    <col min="15883" max="15883" width="10.7109375" style="790" customWidth="1"/>
    <col min="15884" max="15884" width="10.5703125" style="790" customWidth="1"/>
    <col min="15885" max="15885" width="8.7109375" style="790" customWidth="1"/>
    <col min="15886" max="15894" width="4.5703125" style="790" customWidth="1"/>
    <col min="15895" max="16130" width="11.42578125" style="790"/>
    <col min="16131" max="16131" width="24.28515625" style="790" customWidth="1"/>
    <col min="16132" max="16132" width="11.42578125" style="790" customWidth="1"/>
    <col min="16133" max="16133" width="1.5703125" style="790" customWidth="1"/>
    <col min="16134" max="16134" width="10.7109375" style="790" customWidth="1"/>
    <col min="16135" max="16135" width="1.5703125" style="790" customWidth="1"/>
    <col min="16136" max="16136" width="11.42578125" style="790" customWidth="1"/>
    <col min="16137" max="16137" width="11.7109375" style="790" customWidth="1"/>
    <col min="16138" max="16138" width="10.28515625" style="790" customWidth="1"/>
    <col min="16139" max="16139" width="10.7109375" style="790" customWidth="1"/>
    <col min="16140" max="16140" width="10.5703125" style="790" customWidth="1"/>
    <col min="16141" max="16141" width="8.7109375" style="790" customWidth="1"/>
    <col min="16142" max="16150" width="4.5703125" style="790" customWidth="1"/>
    <col min="16151" max="16384" width="11.42578125" style="790"/>
  </cols>
  <sheetData>
    <row r="1" spans="1:14" s="811" customFormat="1" ht="12.75">
      <c r="A1" s="548" t="str">
        <f>+'Master IS (C)'!B1</f>
        <v>Yakima Waste Systems, Inc. G-98</v>
      </c>
      <c r="B1" s="810"/>
      <c r="G1" s="812"/>
      <c r="H1" s="812"/>
      <c r="I1" s="812"/>
      <c r="L1" s="810"/>
      <c r="N1" s="810"/>
    </row>
    <row r="2" spans="1:14" s="811" customFormat="1" ht="12.75">
      <c r="A2" s="549" t="s">
        <v>2413</v>
      </c>
      <c r="B2" s="810"/>
      <c r="F2" s="814"/>
      <c r="G2" s="812"/>
      <c r="H2" s="812"/>
      <c r="I2" s="812"/>
      <c r="L2" s="810"/>
      <c r="N2" s="810"/>
    </row>
    <row r="3" spans="1:14" s="811" customFormat="1" ht="12.75">
      <c r="A3" s="549"/>
      <c r="B3" s="810"/>
      <c r="F3" s="814"/>
      <c r="G3" s="812"/>
      <c r="H3" s="812"/>
      <c r="I3" s="812"/>
      <c r="L3" s="810"/>
      <c r="N3" s="810"/>
    </row>
    <row r="4" spans="1:14" s="811" customFormat="1" ht="12.75">
      <c r="A4" s="814" t="s">
        <v>944</v>
      </c>
      <c r="F4" s="814"/>
      <c r="G4" s="812"/>
      <c r="H4" s="812"/>
      <c r="I4" s="812"/>
      <c r="L4" s="810"/>
      <c r="N4" s="810"/>
    </row>
    <row r="5" spans="1:14" s="811" customFormat="1" ht="12.75">
      <c r="A5" s="814" t="s">
        <v>293</v>
      </c>
      <c r="B5" s="622">
        <f ca="1">+'LG BRG - MSW'!K22</f>
        <v>6.542641945990324E-2</v>
      </c>
      <c r="F5" s="998">
        <f>+'Yakima Regulated Price Out'!$AZ$2</f>
        <v>-6.7999999999999996E-3</v>
      </c>
      <c r="G5" s="812"/>
      <c r="H5" s="812"/>
      <c r="I5" s="812"/>
      <c r="J5" s="858">
        <f ca="1">+B5+F5</f>
        <v>5.862641945990324E-2</v>
      </c>
      <c r="N5" s="810"/>
    </row>
    <row r="6" spans="1:14" s="811" customFormat="1" ht="12.75">
      <c r="A6" s="814" t="s">
        <v>595</v>
      </c>
      <c r="B6" s="622">
        <f ca="1">+'LG BRG - Recycle'!K22</f>
        <v>0.42351934067149033</v>
      </c>
      <c r="F6" s="998">
        <f>+'Yakima Regulated Price Out'!$AZ$3</f>
        <v>0.02</v>
      </c>
      <c r="G6" s="812"/>
      <c r="H6" s="812"/>
      <c r="I6" s="812"/>
      <c r="J6" s="858">
        <f ca="1">+B6+F6</f>
        <v>0.44351934067149035</v>
      </c>
      <c r="N6" s="810"/>
    </row>
    <row r="7" spans="1:14" s="811" customFormat="1" ht="12.75">
      <c r="A7" s="814" t="s">
        <v>206</v>
      </c>
      <c r="B7" s="622">
        <f ca="1">+'LG BRG - Yard Waste'!K22</f>
        <v>-8.7095962555165607E-2</v>
      </c>
      <c r="F7" s="998">
        <f>+'Yakima Regulated Price Out'!$AZ$4</f>
        <v>-7.0000000000000001E-3</v>
      </c>
      <c r="G7" s="812"/>
      <c r="H7" s="812"/>
      <c r="I7" s="812"/>
      <c r="J7" s="858">
        <f ca="1">+B7+F7</f>
        <v>-9.4095962555165613E-2</v>
      </c>
      <c r="N7" s="810"/>
    </row>
    <row r="8" spans="1:14" s="811" customFormat="1" ht="12.75">
      <c r="A8" s="857"/>
      <c r="B8" s="856"/>
      <c r="F8" s="813"/>
      <c r="G8" s="812"/>
      <c r="H8" s="812"/>
      <c r="I8" s="812"/>
      <c r="L8" s="810"/>
    </row>
    <row r="9" spans="1:14" s="811" customFormat="1" ht="12.75">
      <c r="A9" s="854"/>
      <c r="B9" s="851"/>
      <c r="C9" s="847"/>
      <c r="D9" s="847"/>
      <c r="E9" s="847"/>
      <c r="F9" s="855"/>
      <c r="G9" s="853"/>
      <c r="H9" s="853"/>
      <c r="I9" s="853"/>
      <c r="J9" s="846"/>
      <c r="L9" s="810"/>
    </row>
    <row r="10" spans="1:14" s="811" customFormat="1" ht="12.75">
      <c r="A10" s="854"/>
      <c r="B10" s="851" t="s">
        <v>2412</v>
      </c>
      <c r="C10" s="847"/>
      <c r="D10" s="848" t="s">
        <v>2411</v>
      </c>
      <c r="E10" s="847"/>
      <c r="F10" s="846" t="s">
        <v>945</v>
      </c>
      <c r="G10" s="853"/>
      <c r="H10" s="846" t="s">
        <v>2410</v>
      </c>
      <c r="I10" s="853"/>
      <c r="J10" s="846" t="s">
        <v>945</v>
      </c>
      <c r="L10" s="810"/>
    </row>
    <row r="11" spans="1:14" s="811" customFormat="1" ht="12.75">
      <c r="A11" s="852"/>
      <c r="B11" s="849" t="s">
        <v>946</v>
      </c>
      <c r="C11" s="847"/>
      <c r="D11" s="848" t="s">
        <v>2409</v>
      </c>
      <c r="E11" s="847"/>
      <c r="F11" s="846" t="s">
        <v>372</v>
      </c>
      <c r="G11" s="846"/>
      <c r="H11" s="851">
        <v>44774</v>
      </c>
      <c r="I11" s="846"/>
      <c r="J11" s="851">
        <v>45170</v>
      </c>
      <c r="L11" s="810"/>
    </row>
    <row r="12" spans="1:14" s="811" customFormat="1" ht="12.75">
      <c r="A12" s="850"/>
      <c r="B12" s="849" t="s">
        <v>947</v>
      </c>
      <c r="C12" s="847"/>
      <c r="D12" s="848" t="s">
        <v>2408</v>
      </c>
      <c r="E12" s="847"/>
      <c r="F12" s="846" t="s">
        <v>948</v>
      </c>
      <c r="G12" s="846"/>
      <c r="H12" s="846" t="s">
        <v>947</v>
      </c>
      <c r="I12" s="846"/>
      <c r="J12" s="846" t="s">
        <v>947</v>
      </c>
      <c r="L12" s="810"/>
    </row>
    <row r="13" spans="1:14" s="811" customFormat="1" ht="12.75">
      <c r="A13" s="826" t="s">
        <v>1140</v>
      </c>
      <c r="B13" s="845"/>
      <c r="C13" s="819"/>
      <c r="D13" s="819"/>
      <c r="E13" s="819"/>
      <c r="F13" s="842"/>
      <c r="G13" s="844"/>
      <c r="H13" s="844"/>
      <c r="I13" s="844"/>
      <c r="J13" s="815"/>
      <c r="L13" s="810"/>
    </row>
    <row r="14" spans="1:14" s="811" customFormat="1" ht="12.75">
      <c r="A14" s="827" t="s">
        <v>949</v>
      </c>
      <c r="B14" s="813">
        <v>13.08</v>
      </c>
      <c r="C14" s="822"/>
      <c r="D14" s="813">
        <v>13.08</v>
      </c>
      <c r="E14" s="822"/>
      <c r="F14" s="813">
        <f ca="1">D14*$J$5</f>
        <v>0.76683356653553436</v>
      </c>
      <c r="G14" s="822"/>
      <c r="H14" s="813">
        <f ca="1">B14+F14</f>
        <v>13.846833566535535</v>
      </c>
      <c r="I14" s="822"/>
      <c r="J14" s="843">
        <f ca="1">D14+F14</f>
        <v>13.846833566535535</v>
      </c>
      <c r="L14" s="810"/>
    </row>
    <row r="15" spans="1:14" s="811" customFormat="1" ht="12.75">
      <c r="A15" s="829"/>
      <c r="B15" s="822"/>
      <c r="C15" s="822"/>
      <c r="D15" s="822"/>
      <c r="E15" s="822"/>
      <c r="F15" s="822"/>
      <c r="G15" s="822"/>
      <c r="H15" s="822"/>
      <c r="I15" s="822"/>
      <c r="J15" s="813"/>
      <c r="L15" s="810"/>
    </row>
    <row r="16" spans="1:14" s="811" customFormat="1" ht="12.75">
      <c r="A16" s="826" t="s">
        <v>1141</v>
      </c>
      <c r="B16" s="817"/>
      <c r="C16" s="842"/>
      <c r="D16" s="842"/>
      <c r="E16" s="842"/>
      <c r="F16" s="842"/>
      <c r="G16" s="842"/>
      <c r="H16" s="842"/>
      <c r="I16" s="842"/>
      <c r="J16" s="817"/>
      <c r="L16" s="810"/>
    </row>
    <row r="17" spans="1:12" s="811" customFormat="1" ht="12.75">
      <c r="A17" s="827" t="s">
        <v>950</v>
      </c>
      <c r="B17" s="813">
        <v>13.59</v>
      </c>
      <c r="C17" s="822"/>
      <c r="D17" s="813">
        <v>13.51</v>
      </c>
      <c r="E17" s="822"/>
      <c r="F17" s="813">
        <f ca="1">D17*$J$5</f>
        <v>0.7920429269032927</v>
      </c>
      <c r="G17" s="822"/>
      <c r="H17" s="813">
        <f ca="1">B17+F17</f>
        <v>14.382042926903292</v>
      </c>
      <c r="I17" s="822"/>
      <c r="J17" s="843">
        <f ca="1">+D17+F17</f>
        <v>14.302042926903292</v>
      </c>
      <c r="L17" s="810"/>
    </row>
    <row r="18" spans="1:12" s="811" customFormat="1" ht="12.75">
      <c r="A18" s="829"/>
      <c r="B18" s="822"/>
      <c r="C18" s="822"/>
      <c r="D18" s="822"/>
      <c r="E18" s="822"/>
      <c r="F18" s="822"/>
      <c r="G18" s="822"/>
      <c r="H18" s="822"/>
      <c r="I18" s="822"/>
      <c r="J18" s="813"/>
      <c r="L18" s="810"/>
    </row>
    <row r="19" spans="1:12" s="811" customFormat="1" ht="12.75">
      <c r="A19" s="826" t="s">
        <v>1142</v>
      </c>
      <c r="B19" s="817"/>
      <c r="C19" s="842"/>
      <c r="D19" s="842"/>
      <c r="E19" s="842"/>
      <c r="F19" s="842"/>
      <c r="G19" s="842"/>
      <c r="H19" s="842"/>
      <c r="I19" s="842"/>
      <c r="J19" s="817"/>
      <c r="L19" s="810"/>
    </row>
    <row r="20" spans="1:12" s="811" customFormat="1" ht="12.75">
      <c r="A20" s="827" t="s">
        <v>1143</v>
      </c>
      <c r="B20" s="813">
        <v>17.579999999999998</v>
      </c>
      <c r="C20" s="822"/>
      <c r="D20" s="813">
        <v>17.47</v>
      </c>
      <c r="E20" s="822"/>
      <c r="F20" s="813">
        <f ca="1">D20*$J$5</f>
        <v>1.0242035479645095</v>
      </c>
      <c r="G20" s="822"/>
      <c r="H20" s="813">
        <f ca="1">B20+F20</f>
        <v>18.604203547964509</v>
      </c>
      <c r="I20" s="822"/>
      <c r="J20" s="813">
        <f ca="1">+D20+F20</f>
        <v>18.49420354796451</v>
      </c>
      <c r="L20" s="810"/>
    </row>
    <row r="21" spans="1:12" s="811" customFormat="1" ht="12.75">
      <c r="A21" s="829"/>
      <c r="B21" s="822"/>
      <c r="C21" s="822"/>
      <c r="D21" s="822"/>
      <c r="E21" s="822"/>
      <c r="F21" s="822"/>
      <c r="G21" s="822"/>
      <c r="H21" s="813"/>
      <c r="I21" s="822"/>
      <c r="J21" s="813"/>
      <c r="L21" s="810"/>
    </row>
    <row r="22" spans="1:12" s="811" customFormat="1" ht="12.75">
      <c r="A22" s="826" t="s">
        <v>1144</v>
      </c>
      <c r="B22" s="842"/>
      <c r="C22" s="842"/>
      <c r="D22" s="842"/>
      <c r="E22" s="842"/>
      <c r="F22" s="842"/>
      <c r="G22" s="842"/>
      <c r="H22" s="842"/>
      <c r="I22" s="842"/>
      <c r="J22" s="817"/>
      <c r="L22" s="810"/>
    </row>
    <row r="23" spans="1:12" s="811" customFormat="1" ht="12.75">
      <c r="A23" s="811" t="s">
        <v>951</v>
      </c>
      <c r="B23" s="813">
        <v>2.11</v>
      </c>
      <c r="C23" s="813"/>
      <c r="D23" s="813">
        <v>2.1</v>
      </c>
      <c r="E23" s="813"/>
      <c r="F23" s="813">
        <f ca="1">D23*$J$5</f>
        <v>0.12311548086579681</v>
      </c>
      <c r="G23" s="813"/>
      <c r="H23" s="813">
        <f ca="1">B23+F23</f>
        <v>2.2331154808657967</v>
      </c>
      <c r="I23" s="813"/>
      <c r="J23" s="813">
        <f ca="1">+D23+F23</f>
        <v>2.2231154808657969</v>
      </c>
      <c r="L23" s="810"/>
    </row>
    <row r="24" spans="1:12" s="811" customFormat="1" ht="12.75">
      <c r="B24" s="813"/>
      <c r="C24" s="813"/>
      <c r="D24" s="813"/>
      <c r="E24" s="813"/>
      <c r="F24" s="813"/>
      <c r="G24" s="813"/>
      <c r="H24" s="813"/>
      <c r="I24" s="813"/>
      <c r="J24" s="813"/>
      <c r="L24" s="810"/>
    </row>
    <row r="25" spans="1:12" s="811" customFormat="1" ht="12.75">
      <c r="A25" s="826" t="s">
        <v>1145</v>
      </c>
      <c r="B25" s="817"/>
      <c r="C25" s="817"/>
      <c r="D25" s="817"/>
      <c r="E25" s="817"/>
      <c r="F25" s="817"/>
      <c r="G25" s="817"/>
      <c r="H25" s="817"/>
      <c r="I25" s="817"/>
      <c r="J25" s="817"/>
      <c r="L25" s="810"/>
    </row>
    <row r="26" spans="1:12" s="811" customFormat="1" ht="12.75">
      <c r="A26" s="811" t="s">
        <v>952</v>
      </c>
      <c r="B26" s="813">
        <v>52.57</v>
      </c>
      <c r="C26" s="813"/>
      <c r="D26" s="813">
        <v>52.25</v>
      </c>
      <c r="E26" s="813"/>
      <c r="F26" s="813">
        <f ca="1">D26*$J$5</f>
        <v>3.0632304167799442</v>
      </c>
      <c r="G26" s="813"/>
      <c r="H26" s="813">
        <f ca="1">B26+F26</f>
        <v>55.633230416779945</v>
      </c>
      <c r="I26" s="813"/>
      <c r="J26" s="813">
        <f ca="1">+D26+F26</f>
        <v>55.313230416779945</v>
      </c>
      <c r="L26" s="810"/>
    </row>
    <row r="27" spans="1:12" s="811" customFormat="1" ht="12.75">
      <c r="A27" s="811" t="s">
        <v>953</v>
      </c>
      <c r="B27" s="813">
        <v>52.57</v>
      </c>
      <c r="C27" s="813"/>
      <c r="D27" s="813">
        <v>52.25</v>
      </c>
      <c r="E27" s="813"/>
      <c r="F27" s="813">
        <f ca="1">D27*$J$5</f>
        <v>3.0632304167799442</v>
      </c>
      <c r="G27" s="813"/>
      <c r="H27" s="813">
        <f ca="1">B27+F27</f>
        <v>55.633230416779945</v>
      </c>
      <c r="I27" s="813"/>
      <c r="J27" s="813">
        <f ca="1">+D27+F27</f>
        <v>55.313230416779945</v>
      </c>
      <c r="L27" s="810"/>
    </row>
    <row r="28" spans="1:12" s="811" customFormat="1" ht="12.75">
      <c r="A28" s="814"/>
      <c r="B28" s="813"/>
      <c r="C28" s="813"/>
      <c r="D28" s="813"/>
      <c r="E28" s="813"/>
      <c r="F28" s="813"/>
      <c r="G28" s="813"/>
      <c r="H28" s="813"/>
      <c r="I28" s="813"/>
      <c r="J28" s="813"/>
      <c r="L28" s="810"/>
    </row>
    <row r="29" spans="1:12" s="811" customFormat="1" ht="12.75">
      <c r="A29" s="826" t="s">
        <v>1146</v>
      </c>
      <c r="B29" s="817"/>
      <c r="C29" s="817"/>
      <c r="D29" s="817"/>
      <c r="E29" s="817"/>
      <c r="F29" s="817"/>
      <c r="G29" s="817"/>
      <c r="H29" s="817"/>
      <c r="I29" s="817"/>
      <c r="J29" s="817"/>
      <c r="L29" s="810"/>
    </row>
    <row r="30" spans="1:12" s="814" customFormat="1" ht="12.75">
      <c r="A30" s="814" t="s">
        <v>954</v>
      </c>
      <c r="B30" s="822"/>
      <c r="C30" s="822"/>
      <c r="D30" s="822"/>
      <c r="E30" s="822"/>
      <c r="F30" s="822"/>
      <c r="G30" s="822"/>
      <c r="H30" s="822"/>
      <c r="I30" s="822"/>
      <c r="J30" s="822"/>
      <c r="L30" s="820"/>
    </row>
    <row r="31" spans="1:12" s="811" customFormat="1" ht="12.75">
      <c r="A31" s="811" t="s">
        <v>955</v>
      </c>
      <c r="B31" s="813">
        <v>4.8899999999999997</v>
      </c>
      <c r="C31" s="813"/>
      <c r="D31" s="813">
        <v>4.8600000000000003</v>
      </c>
      <c r="E31" s="813"/>
      <c r="F31" s="813">
        <f t="shared" ref="F31:F37" ca="1" si="0">D31*$J$5</f>
        <v>0.28492439857512974</v>
      </c>
      <c r="G31" s="813"/>
      <c r="H31" s="813">
        <f t="shared" ref="H31:H38" ca="1" si="1">B31+F31</f>
        <v>5.1749243985751292</v>
      </c>
      <c r="I31" s="813"/>
      <c r="J31" s="813">
        <f t="shared" ref="J31:J38" ca="1" si="2">+D31+F31</f>
        <v>5.1449243985751298</v>
      </c>
      <c r="L31" s="810"/>
    </row>
    <row r="32" spans="1:12" s="811" customFormat="1" ht="12.75">
      <c r="A32" s="811" t="s">
        <v>956</v>
      </c>
      <c r="B32" s="813">
        <v>4.8899999999999997</v>
      </c>
      <c r="C32" s="813"/>
      <c r="D32" s="813">
        <v>4.8600000000000003</v>
      </c>
      <c r="E32" s="813"/>
      <c r="F32" s="813">
        <f t="shared" ca="1" si="0"/>
        <v>0.28492439857512974</v>
      </c>
      <c r="G32" s="813"/>
      <c r="H32" s="813">
        <f t="shared" ca="1" si="1"/>
        <v>5.1749243985751292</v>
      </c>
      <c r="I32" s="813"/>
      <c r="J32" s="813">
        <f t="shared" ca="1" si="2"/>
        <v>5.1449243985751298</v>
      </c>
      <c r="L32" s="810"/>
    </row>
    <row r="33" spans="1:12" s="811" customFormat="1" ht="12.75">
      <c r="A33" s="811" t="s">
        <v>957</v>
      </c>
      <c r="B33" s="813">
        <v>4.8899999999999997</v>
      </c>
      <c r="C33" s="813"/>
      <c r="D33" s="813">
        <v>4.8600000000000003</v>
      </c>
      <c r="E33" s="813"/>
      <c r="F33" s="813">
        <f t="shared" ca="1" si="0"/>
        <v>0.28492439857512974</v>
      </c>
      <c r="G33" s="813"/>
      <c r="H33" s="813">
        <f t="shared" ca="1" si="1"/>
        <v>5.1749243985751292</v>
      </c>
      <c r="I33" s="813"/>
      <c r="J33" s="813">
        <f t="shared" ca="1" si="2"/>
        <v>5.1449243985751298</v>
      </c>
      <c r="L33" s="810"/>
    </row>
    <row r="34" spans="1:12" s="811" customFormat="1" ht="12.75">
      <c r="A34" s="811" t="s">
        <v>1147</v>
      </c>
      <c r="B34" s="813">
        <v>4.8899999999999997</v>
      </c>
      <c r="C34" s="813"/>
      <c r="D34" s="813">
        <v>4.8600000000000003</v>
      </c>
      <c r="E34" s="813"/>
      <c r="F34" s="813">
        <f t="shared" ca="1" si="0"/>
        <v>0.28492439857512974</v>
      </c>
      <c r="G34" s="813"/>
      <c r="H34" s="813">
        <f t="shared" ca="1" si="1"/>
        <v>5.1749243985751292</v>
      </c>
      <c r="I34" s="813"/>
      <c r="J34" s="813">
        <f t="shared" ca="1" si="2"/>
        <v>5.1449243985751298</v>
      </c>
      <c r="L34" s="810"/>
    </row>
    <row r="35" spans="1:12" s="811" customFormat="1" ht="12.75">
      <c r="A35" s="811" t="s">
        <v>1218</v>
      </c>
      <c r="B35" s="813">
        <v>4.8899999999999997</v>
      </c>
      <c r="C35" s="813"/>
      <c r="D35" s="813">
        <v>4.8600000000000003</v>
      </c>
      <c r="E35" s="813"/>
      <c r="F35" s="813">
        <f t="shared" ca="1" si="0"/>
        <v>0.28492439857512974</v>
      </c>
      <c r="G35" s="813"/>
      <c r="H35" s="813">
        <f t="shared" ca="1" si="1"/>
        <v>5.1749243985751292</v>
      </c>
      <c r="I35" s="813"/>
      <c r="J35" s="813">
        <f t="shared" ca="1" si="2"/>
        <v>5.1449243985751298</v>
      </c>
      <c r="L35" s="810"/>
    </row>
    <row r="36" spans="1:12" s="811" customFormat="1" ht="12.75">
      <c r="A36" s="811" t="s">
        <v>1219</v>
      </c>
      <c r="B36" s="813">
        <v>4.8899999999999997</v>
      </c>
      <c r="C36" s="813"/>
      <c r="D36" s="813">
        <v>4.8600000000000003</v>
      </c>
      <c r="E36" s="813"/>
      <c r="F36" s="813">
        <f t="shared" ca="1" si="0"/>
        <v>0.28492439857512974</v>
      </c>
      <c r="G36" s="813"/>
      <c r="H36" s="813">
        <f t="shared" ca="1" si="1"/>
        <v>5.1749243985751292</v>
      </c>
      <c r="I36" s="813"/>
      <c r="J36" s="813">
        <f t="shared" ca="1" si="2"/>
        <v>5.1449243985751298</v>
      </c>
      <c r="L36" s="810"/>
    </row>
    <row r="37" spans="1:12" s="811" customFormat="1" ht="12.75">
      <c r="A37" s="811" t="s">
        <v>1220</v>
      </c>
      <c r="B37" s="813">
        <v>4.8899999999999997</v>
      </c>
      <c r="C37" s="813"/>
      <c r="D37" s="813">
        <v>4.8600000000000003</v>
      </c>
      <c r="E37" s="813"/>
      <c r="F37" s="813">
        <f t="shared" ca="1" si="0"/>
        <v>0.28492439857512974</v>
      </c>
      <c r="G37" s="813"/>
      <c r="H37" s="813">
        <f t="shared" ca="1" si="1"/>
        <v>5.1749243985751292</v>
      </c>
      <c r="I37" s="813"/>
      <c r="J37" s="813">
        <f t="shared" ca="1" si="2"/>
        <v>5.1449243985751298</v>
      </c>
      <c r="L37" s="810"/>
    </row>
    <row r="38" spans="1:12" s="811" customFormat="1" ht="12.75">
      <c r="A38" s="811" t="s">
        <v>1148</v>
      </c>
      <c r="B38" s="813">
        <v>5.66</v>
      </c>
      <c r="C38" s="813"/>
      <c r="D38" s="813">
        <v>5.63</v>
      </c>
      <c r="E38" s="813"/>
      <c r="F38" s="813">
        <f ca="1">D38*$J$6</f>
        <v>2.4970138879804904</v>
      </c>
      <c r="G38" s="813"/>
      <c r="H38" s="813">
        <f t="shared" ca="1" si="1"/>
        <v>8.1570138879804901</v>
      </c>
      <c r="I38" s="813"/>
      <c r="J38" s="813">
        <f t="shared" ca="1" si="2"/>
        <v>8.1270138879804907</v>
      </c>
      <c r="K38" s="811" t="s">
        <v>915</v>
      </c>
      <c r="L38" s="810"/>
    </row>
    <row r="39" spans="1:12" s="811" customFormat="1" ht="12.75">
      <c r="B39" s="841"/>
      <c r="C39" s="831"/>
      <c r="D39" s="813"/>
      <c r="E39" s="831"/>
      <c r="F39" s="813"/>
      <c r="G39" s="813"/>
      <c r="H39" s="813"/>
      <c r="I39" s="813"/>
      <c r="J39" s="810"/>
      <c r="L39" s="810"/>
    </row>
    <row r="40" spans="1:12" s="811" customFormat="1" ht="12.75">
      <c r="A40" s="826" t="s">
        <v>1149</v>
      </c>
      <c r="B40" s="840"/>
      <c r="C40" s="839"/>
      <c r="D40" s="817"/>
      <c r="E40" s="839"/>
      <c r="F40" s="817"/>
      <c r="G40" s="817"/>
      <c r="H40" s="817"/>
      <c r="I40" s="817"/>
      <c r="J40" s="815"/>
      <c r="L40" s="810"/>
    </row>
    <row r="41" spans="1:12" s="814" customFormat="1" ht="12.75">
      <c r="A41" s="814" t="s">
        <v>958</v>
      </c>
      <c r="B41" s="834"/>
      <c r="C41" s="835"/>
      <c r="D41" s="822"/>
      <c r="E41" s="835"/>
      <c r="F41" s="822"/>
      <c r="G41" s="822"/>
      <c r="H41" s="822"/>
      <c r="I41" s="822"/>
      <c r="J41" s="820"/>
      <c r="L41" s="820"/>
    </row>
    <row r="42" spans="1:12" s="811" customFormat="1" ht="12.75">
      <c r="A42" s="811" t="s">
        <v>959</v>
      </c>
      <c r="B42" s="830"/>
      <c r="C42" s="831"/>
      <c r="D42" s="813"/>
      <c r="E42" s="831"/>
      <c r="F42" s="813"/>
      <c r="G42" s="813"/>
      <c r="H42" s="813"/>
      <c r="I42" s="813"/>
      <c r="J42" s="810"/>
      <c r="L42" s="810"/>
    </row>
    <row r="43" spans="1:12" s="811" customFormat="1" ht="12.75">
      <c r="A43" s="811" t="s">
        <v>960</v>
      </c>
      <c r="B43" s="813">
        <v>0.32</v>
      </c>
      <c r="C43" s="813"/>
      <c r="D43" s="813">
        <v>0.32</v>
      </c>
      <c r="E43" s="813"/>
      <c r="F43" s="813">
        <f ca="1">D43*$J$5</f>
        <v>1.8760454227169036E-2</v>
      </c>
      <c r="G43" s="813"/>
      <c r="H43" s="813">
        <f ca="1">B43+F43</f>
        <v>0.33876045422716905</v>
      </c>
      <c r="I43" s="813"/>
      <c r="J43" s="812">
        <f ca="1">+D43+F43</f>
        <v>0.33876045422716905</v>
      </c>
      <c r="L43" s="810"/>
    </row>
    <row r="44" spans="1:12" s="811" customFormat="1" ht="12.75">
      <c r="A44" s="811" t="s">
        <v>961</v>
      </c>
      <c r="B44" s="813">
        <v>0.13</v>
      </c>
      <c r="C44" s="813"/>
      <c r="D44" s="813">
        <v>0.13</v>
      </c>
      <c r="E44" s="813"/>
      <c r="F44" s="813">
        <f ca="1">D44*$J$5</f>
        <v>7.6214345297874212E-3</v>
      </c>
      <c r="G44" s="813"/>
      <c r="H44" s="813">
        <f ca="1">B44+F44</f>
        <v>0.13762143452978742</v>
      </c>
      <c r="I44" s="813"/>
      <c r="J44" s="812">
        <f ca="1">+D44+F44</f>
        <v>0.13762143452978742</v>
      </c>
      <c r="L44" s="810"/>
    </row>
    <row r="45" spans="1:12" s="811" customFormat="1" ht="12.75">
      <c r="B45" s="813"/>
      <c r="C45" s="813"/>
      <c r="D45" s="813"/>
      <c r="E45" s="813"/>
      <c r="F45" s="813"/>
      <c r="G45" s="813"/>
      <c r="H45" s="813"/>
      <c r="I45" s="813"/>
      <c r="J45" s="812"/>
      <c r="L45" s="810"/>
    </row>
    <row r="46" spans="1:12" s="814" customFormat="1" ht="12.75">
      <c r="A46" s="814" t="s">
        <v>962</v>
      </c>
      <c r="B46" s="822"/>
      <c r="C46" s="822"/>
      <c r="D46" s="822"/>
      <c r="E46" s="822"/>
      <c r="F46" s="822"/>
      <c r="G46" s="822"/>
      <c r="H46" s="822"/>
      <c r="I46" s="822"/>
      <c r="J46" s="821"/>
      <c r="L46" s="820"/>
    </row>
    <row r="47" spans="1:12" s="811" customFormat="1" ht="12.75">
      <c r="A47" s="811" t="s">
        <v>960</v>
      </c>
      <c r="B47" s="813">
        <v>0.35</v>
      </c>
      <c r="C47" s="813"/>
      <c r="D47" s="813">
        <v>0.35</v>
      </c>
      <c r="E47" s="813"/>
      <c r="F47" s="813">
        <f ca="1">D47*$J$5</f>
        <v>2.0519246810966132E-2</v>
      </c>
      <c r="G47" s="813"/>
      <c r="H47" s="813">
        <f ca="1">B47+F47</f>
        <v>0.3705192468109661</v>
      </c>
      <c r="I47" s="813"/>
      <c r="J47" s="812">
        <f ca="1">+D47+F47</f>
        <v>0.3705192468109661</v>
      </c>
      <c r="L47" s="810"/>
    </row>
    <row r="48" spans="1:12" s="811" customFormat="1" ht="12.75">
      <c r="A48" s="811" t="s">
        <v>961</v>
      </c>
      <c r="B48" s="813">
        <v>0.16</v>
      </c>
      <c r="C48" s="813"/>
      <c r="D48" s="813">
        <v>0.16</v>
      </c>
      <c r="E48" s="813"/>
      <c r="F48" s="813">
        <f ca="1">D48*$J$5</f>
        <v>9.3802271135845182E-3</v>
      </c>
      <c r="G48" s="813"/>
      <c r="H48" s="813">
        <f ca="1">B48+F48</f>
        <v>0.16938022711358452</v>
      </c>
      <c r="I48" s="813"/>
      <c r="J48" s="812">
        <f ca="1">+D48+F48</f>
        <v>0.16938022711358452</v>
      </c>
      <c r="L48" s="810"/>
    </row>
    <row r="49" spans="1:12" s="811" customFormat="1" ht="12.75">
      <c r="B49" s="813"/>
      <c r="C49" s="813"/>
      <c r="D49" s="813"/>
      <c r="E49" s="813"/>
      <c r="F49" s="813"/>
      <c r="G49" s="813"/>
      <c r="H49" s="813"/>
      <c r="I49" s="813"/>
      <c r="J49" s="812"/>
      <c r="L49" s="810"/>
    </row>
    <row r="50" spans="1:12" s="814" customFormat="1" ht="12.75">
      <c r="A50" s="814" t="s">
        <v>963</v>
      </c>
      <c r="B50" s="822"/>
      <c r="C50" s="822"/>
      <c r="D50" s="822"/>
      <c r="E50" s="822"/>
      <c r="F50" s="822"/>
      <c r="G50" s="822"/>
      <c r="H50" s="822"/>
      <c r="I50" s="822"/>
      <c r="J50" s="821"/>
      <c r="L50" s="820"/>
    </row>
    <row r="51" spans="1:12" s="811" customFormat="1" ht="12.75">
      <c r="A51" s="811" t="s">
        <v>1150</v>
      </c>
      <c r="B51" s="813">
        <v>0.94</v>
      </c>
      <c r="C51" s="813"/>
      <c r="D51" s="813">
        <v>0.93</v>
      </c>
      <c r="E51" s="813"/>
      <c r="F51" s="813">
        <f ca="1">D51*$J$5</f>
        <v>5.4522570097710013E-2</v>
      </c>
      <c r="G51" s="813"/>
      <c r="H51" s="813">
        <f ca="1">B51+F51</f>
        <v>0.99452257009770995</v>
      </c>
      <c r="I51" s="813"/>
      <c r="J51" s="812">
        <f ca="1">+D51+F51</f>
        <v>0.98452257009771005</v>
      </c>
      <c r="L51" s="810"/>
    </row>
    <row r="52" spans="1:12" s="811" customFormat="1" ht="12.75">
      <c r="B52" s="813"/>
      <c r="C52" s="813"/>
      <c r="D52" s="813"/>
      <c r="E52" s="813"/>
      <c r="F52" s="813"/>
      <c r="G52" s="813"/>
      <c r="H52" s="813"/>
      <c r="I52" s="813"/>
      <c r="J52" s="812"/>
      <c r="L52" s="810"/>
    </row>
    <row r="53" spans="1:12" s="814" customFormat="1" ht="12.75">
      <c r="A53" s="814" t="s">
        <v>962</v>
      </c>
      <c r="B53" s="822"/>
      <c r="C53" s="822"/>
      <c r="D53" s="822"/>
      <c r="E53" s="822"/>
      <c r="F53" s="822"/>
      <c r="G53" s="822"/>
      <c r="H53" s="822"/>
      <c r="I53" s="822"/>
      <c r="J53" s="821"/>
      <c r="L53" s="820"/>
    </row>
    <row r="54" spans="1:12" s="811" customFormat="1" ht="12.75">
      <c r="A54" s="811" t="s">
        <v>1150</v>
      </c>
      <c r="B54" s="813">
        <v>0.94</v>
      </c>
      <c r="C54" s="813"/>
      <c r="D54" s="813">
        <v>0.93</v>
      </c>
      <c r="E54" s="813"/>
      <c r="F54" s="813">
        <f ca="1">D54*$J$5</f>
        <v>5.4522570097710013E-2</v>
      </c>
      <c r="G54" s="813"/>
      <c r="H54" s="813">
        <f ca="1">B54+F54</f>
        <v>0.99452257009770995</v>
      </c>
      <c r="I54" s="813"/>
      <c r="J54" s="812">
        <f ca="1">+D54+F54</f>
        <v>0.98452257009771005</v>
      </c>
      <c r="L54" s="810"/>
    </row>
    <row r="55" spans="1:12" s="811" customFormat="1" ht="12.75">
      <c r="B55" s="830"/>
      <c r="C55" s="831"/>
      <c r="D55" s="813"/>
      <c r="E55" s="831"/>
      <c r="F55" s="813"/>
      <c r="G55" s="813"/>
      <c r="H55" s="813"/>
      <c r="I55" s="813"/>
      <c r="J55" s="810"/>
      <c r="L55" s="810"/>
    </row>
    <row r="56" spans="1:12" s="811" customFormat="1" ht="12.75">
      <c r="A56" s="826" t="s">
        <v>1151</v>
      </c>
      <c r="B56" s="840"/>
      <c r="C56" s="839"/>
      <c r="D56" s="817"/>
      <c r="E56" s="839"/>
      <c r="F56" s="817"/>
      <c r="G56" s="817"/>
      <c r="H56" s="817"/>
      <c r="I56" s="817"/>
      <c r="J56" s="815"/>
      <c r="L56" s="810"/>
    </row>
    <row r="57" spans="1:12" s="811" customFormat="1" ht="12.75">
      <c r="A57" s="811" t="s">
        <v>964</v>
      </c>
      <c r="B57" s="812">
        <v>0.08</v>
      </c>
      <c r="C57" s="812"/>
      <c r="D57" s="812">
        <v>0.08</v>
      </c>
      <c r="E57" s="812"/>
      <c r="F57" s="812">
        <f ca="1">D57*$J$5</f>
        <v>4.6901135567922591E-3</v>
      </c>
      <c r="G57" s="812"/>
      <c r="H57" s="812">
        <f ca="1">B57+F57</f>
        <v>8.4690113556792262E-2</v>
      </c>
      <c r="I57" s="812"/>
      <c r="J57" s="812">
        <f ca="1">+D57+F57</f>
        <v>8.4690113556792262E-2</v>
      </c>
      <c r="L57" s="810"/>
    </row>
    <row r="58" spans="1:12" s="811" customFormat="1" ht="12.75">
      <c r="A58" s="811" t="s">
        <v>965</v>
      </c>
      <c r="B58" s="812">
        <v>0.26</v>
      </c>
      <c r="C58" s="812"/>
      <c r="D58" s="812">
        <v>0.26</v>
      </c>
      <c r="E58" s="812"/>
      <c r="F58" s="812">
        <f ca="1">D58*$J$5</f>
        <v>1.5242869059574842E-2</v>
      </c>
      <c r="G58" s="812"/>
      <c r="H58" s="812">
        <f ca="1">B58+F58</f>
        <v>0.27524286905957485</v>
      </c>
      <c r="I58" s="812"/>
      <c r="J58" s="812">
        <f ca="1">+D58+F58</f>
        <v>0.27524286905957485</v>
      </c>
      <c r="L58" s="810"/>
    </row>
    <row r="59" spans="1:12" s="811" customFormat="1" ht="12.75">
      <c r="A59" s="811" t="s">
        <v>966</v>
      </c>
      <c r="B59" s="812">
        <v>0.16</v>
      </c>
      <c r="C59" s="812"/>
      <c r="D59" s="812">
        <v>0.16</v>
      </c>
      <c r="E59" s="812"/>
      <c r="F59" s="812">
        <f ca="1">D59*$J$5</f>
        <v>9.3802271135845182E-3</v>
      </c>
      <c r="G59" s="812"/>
      <c r="H59" s="812">
        <f ca="1">B59+F59</f>
        <v>0.16938022711358452</v>
      </c>
      <c r="I59" s="812"/>
      <c r="J59" s="812">
        <f ca="1">+D59+F59</f>
        <v>0.16938022711358452</v>
      </c>
      <c r="L59" s="810"/>
    </row>
    <row r="60" spans="1:12" s="811" customFormat="1" ht="12.75">
      <c r="B60" s="812"/>
      <c r="C60" s="812"/>
      <c r="D60" s="812"/>
      <c r="E60" s="812"/>
      <c r="F60" s="812"/>
      <c r="G60" s="812"/>
      <c r="H60" s="812"/>
      <c r="I60" s="812"/>
      <c r="J60" s="812"/>
      <c r="L60" s="810"/>
    </row>
    <row r="61" spans="1:12" s="811" customFormat="1" ht="12.75">
      <c r="A61" s="819" t="s">
        <v>1152</v>
      </c>
      <c r="B61" s="816"/>
      <c r="C61" s="816"/>
      <c r="D61" s="816"/>
      <c r="E61" s="816"/>
      <c r="F61" s="816"/>
      <c r="G61" s="816"/>
      <c r="H61" s="816"/>
      <c r="I61" s="816"/>
      <c r="J61" s="816"/>
      <c r="L61" s="810"/>
    </row>
    <row r="62" spans="1:12" s="811" customFormat="1" ht="12.75">
      <c r="A62" s="811" t="s">
        <v>967</v>
      </c>
      <c r="B62" s="812">
        <v>6.79</v>
      </c>
      <c r="C62" s="812"/>
      <c r="D62" s="812">
        <v>6.75</v>
      </c>
      <c r="E62" s="812"/>
      <c r="F62" s="812">
        <f t="shared" ref="F62:F69" ca="1" si="3">D62*$J$5</f>
        <v>0.39572833135434687</v>
      </c>
      <c r="G62" s="812"/>
      <c r="H62" s="812">
        <f t="shared" ref="H62:H69" ca="1" si="4">B62+F62</f>
        <v>7.1857283313543467</v>
      </c>
      <c r="I62" s="812"/>
      <c r="J62" s="812">
        <f t="shared" ref="J62:J69" ca="1" si="5">+D62+F62</f>
        <v>7.1457283313543467</v>
      </c>
      <c r="L62" s="838"/>
    </row>
    <row r="63" spans="1:12" s="811" customFormat="1" ht="12.75">
      <c r="A63" s="811" t="s">
        <v>1153</v>
      </c>
      <c r="B63" s="812">
        <v>8.5500000000000007</v>
      </c>
      <c r="C63" s="812"/>
      <c r="D63" s="812">
        <v>8.5</v>
      </c>
      <c r="E63" s="812"/>
      <c r="F63" s="812">
        <f t="shared" ca="1" si="3"/>
        <v>0.49832456540917752</v>
      </c>
      <c r="G63" s="812"/>
      <c r="H63" s="812">
        <f t="shared" ca="1" si="4"/>
        <v>9.0483245654091782</v>
      </c>
      <c r="I63" s="812"/>
      <c r="J63" s="812">
        <f t="shared" ca="1" si="5"/>
        <v>8.9983245654091775</v>
      </c>
      <c r="K63" s="550"/>
      <c r="L63" s="838"/>
    </row>
    <row r="64" spans="1:12" s="811" customFormat="1" ht="12.75">
      <c r="A64" s="811" t="s">
        <v>1154</v>
      </c>
      <c r="B64" s="812">
        <v>11.28</v>
      </c>
      <c r="C64" s="812"/>
      <c r="D64" s="812">
        <v>11.21</v>
      </c>
      <c r="E64" s="812"/>
      <c r="F64" s="812">
        <f t="shared" ca="1" si="3"/>
        <v>0.65720216214551541</v>
      </c>
      <c r="G64" s="812"/>
      <c r="H64" s="812">
        <f t="shared" ca="1" si="4"/>
        <v>11.937202162145514</v>
      </c>
      <c r="I64" s="812"/>
      <c r="J64" s="812">
        <f t="shared" ca="1" si="5"/>
        <v>11.867202162145515</v>
      </c>
      <c r="L64" s="838"/>
    </row>
    <row r="65" spans="1:13" s="811" customFormat="1" ht="12.75">
      <c r="A65" s="811" t="s">
        <v>1155</v>
      </c>
      <c r="B65" s="812">
        <v>14.02</v>
      </c>
      <c r="C65" s="812"/>
      <c r="D65" s="812">
        <v>13.94</v>
      </c>
      <c r="E65" s="812"/>
      <c r="F65" s="812">
        <f t="shared" ca="1" si="3"/>
        <v>0.81725228727105115</v>
      </c>
      <c r="G65" s="812"/>
      <c r="H65" s="812">
        <f t="shared" ca="1" si="4"/>
        <v>14.837252287271051</v>
      </c>
      <c r="I65" s="812"/>
      <c r="J65" s="812">
        <f t="shared" ca="1" si="5"/>
        <v>14.757252287271051</v>
      </c>
      <c r="L65" s="838"/>
    </row>
    <row r="66" spans="1:13" s="811" customFormat="1" ht="12.75">
      <c r="A66" s="811" t="s">
        <v>1156</v>
      </c>
      <c r="B66" s="812">
        <v>16.760000000000002</v>
      </c>
      <c r="C66" s="812"/>
      <c r="D66" s="812">
        <v>16.66</v>
      </c>
      <c r="E66" s="812"/>
      <c r="F66" s="812">
        <f t="shared" ca="1" si="3"/>
        <v>0.97671614820198793</v>
      </c>
      <c r="G66" s="812"/>
      <c r="H66" s="812">
        <f t="shared" ca="1" si="4"/>
        <v>17.736716148201989</v>
      </c>
      <c r="I66" s="812"/>
      <c r="J66" s="812">
        <f t="shared" ca="1" si="5"/>
        <v>17.636716148201987</v>
      </c>
      <c r="L66" s="838"/>
    </row>
    <row r="67" spans="1:13" s="811" customFormat="1" ht="12.75">
      <c r="A67" s="811" t="s">
        <v>1157</v>
      </c>
      <c r="B67" s="812">
        <v>19.809999999999999</v>
      </c>
      <c r="C67" s="812"/>
      <c r="D67" s="812">
        <v>19.690000000000001</v>
      </c>
      <c r="E67" s="812"/>
      <c r="F67" s="812">
        <f t="shared" ca="1" si="3"/>
        <v>1.1543541991654949</v>
      </c>
      <c r="G67" s="812"/>
      <c r="H67" s="812">
        <f t="shared" ca="1" si="4"/>
        <v>20.964354199165495</v>
      </c>
      <c r="I67" s="812"/>
      <c r="J67" s="812">
        <f t="shared" ca="1" si="5"/>
        <v>20.844354199165497</v>
      </c>
      <c r="L67" s="838"/>
    </row>
    <row r="68" spans="1:13" s="811" customFormat="1" ht="12.75">
      <c r="A68" s="811" t="s">
        <v>1158</v>
      </c>
      <c r="B68" s="812">
        <v>23.31</v>
      </c>
      <c r="C68" s="812"/>
      <c r="D68" s="812">
        <v>23.17</v>
      </c>
      <c r="E68" s="812"/>
      <c r="F68" s="812">
        <f t="shared" ca="1" si="3"/>
        <v>1.3583741388859583</v>
      </c>
      <c r="G68" s="812"/>
      <c r="H68" s="812">
        <f t="shared" ca="1" si="4"/>
        <v>24.668374138885959</v>
      </c>
      <c r="I68" s="812"/>
      <c r="J68" s="812">
        <f t="shared" ca="1" si="5"/>
        <v>24.528374138885958</v>
      </c>
      <c r="L68" s="838"/>
    </row>
    <row r="69" spans="1:13" s="811" customFormat="1" ht="12.75">
      <c r="A69" s="811" t="s">
        <v>1159</v>
      </c>
      <c r="B69" s="812">
        <v>5.01</v>
      </c>
      <c r="C69" s="812"/>
      <c r="D69" s="812">
        <v>4.9800000000000004</v>
      </c>
      <c r="E69" s="812"/>
      <c r="F69" s="812">
        <f t="shared" ca="1" si="3"/>
        <v>0.29195956891031816</v>
      </c>
      <c r="G69" s="812"/>
      <c r="H69" s="812">
        <f t="shared" ca="1" si="4"/>
        <v>5.3019595689103181</v>
      </c>
      <c r="I69" s="812"/>
      <c r="J69" s="812">
        <f t="shared" ca="1" si="5"/>
        <v>5.2719595689103187</v>
      </c>
      <c r="K69" s="550"/>
      <c r="L69" s="838"/>
    </row>
    <row r="70" spans="1:13" s="811" customFormat="1" ht="12.75">
      <c r="B70" s="812"/>
      <c r="C70" s="812"/>
      <c r="D70" s="812"/>
      <c r="E70" s="812"/>
      <c r="F70" s="812"/>
      <c r="G70" s="812"/>
      <c r="H70" s="812"/>
      <c r="I70" s="812"/>
      <c r="J70" s="812"/>
      <c r="L70" s="838"/>
    </row>
    <row r="71" spans="1:13" s="811" customFormat="1" ht="12.75">
      <c r="A71" s="819" t="s">
        <v>1160</v>
      </c>
      <c r="B71" s="816"/>
      <c r="C71" s="816"/>
      <c r="D71" s="816"/>
      <c r="E71" s="816"/>
      <c r="F71" s="816"/>
      <c r="G71" s="816"/>
      <c r="H71" s="816"/>
      <c r="I71" s="816"/>
      <c r="J71" s="816"/>
      <c r="L71" s="838"/>
    </row>
    <row r="72" spans="1:13" s="811" customFormat="1" ht="12.75">
      <c r="A72" s="811" t="s">
        <v>1161</v>
      </c>
      <c r="B72" s="812">
        <v>9.48</v>
      </c>
      <c r="C72" s="812"/>
      <c r="D72" s="812">
        <v>9.42</v>
      </c>
      <c r="E72" s="812"/>
      <c r="F72" s="812">
        <f ca="1">D72*$J$6</f>
        <v>4.1779521891254392</v>
      </c>
      <c r="G72" s="812"/>
      <c r="H72" s="812">
        <f ca="1">B72+F72</f>
        <v>13.657952189125439</v>
      </c>
      <c r="I72" s="812"/>
      <c r="J72" s="812">
        <f ca="1">+D72+F72</f>
        <v>13.59795218912544</v>
      </c>
      <c r="K72" s="550" t="s">
        <v>915</v>
      </c>
      <c r="L72" s="838"/>
    </row>
    <row r="73" spans="1:13" s="811" customFormat="1" ht="12.75">
      <c r="B73" s="812"/>
      <c r="C73" s="812"/>
      <c r="D73" s="812"/>
      <c r="E73" s="812"/>
      <c r="F73" s="812"/>
      <c r="G73" s="812"/>
      <c r="H73" s="812"/>
      <c r="I73" s="812"/>
      <c r="J73" s="812"/>
      <c r="K73" s="550"/>
      <c r="L73" s="838"/>
    </row>
    <row r="74" spans="1:13" s="811" customFormat="1" ht="12.75">
      <c r="A74" s="819" t="s">
        <v>1162</v>
      </c>
      <c r="B74" s="816"/>
      <c r="C74" s="816"/>
      <c r="D74" s="816"/>
      <c r="E74" s="816"/>
      <c r="F74" s="816"/>
      <c r="G74" s="816"/>
      <c r="H74" s="816"/>
      <c r="I74" s="816"/>
      <c r="J74" s="816"/>
      <c r="K74" s="550"/>
      <c r="L74" s="838"/>
    </row>
    <row r="75" spans="1:13" s="811" customFormat="1" ht="12.75">
      <c r="A75" s="811" t="s">
        <v>1163</v>
      </c>
      <c r="B75" s="812">
        <v>10.85</v>
      </c>
      <c r="C75" s="812"/>
      <c r="D75" s="812">
        <v>10.78</v>
      </c>
      <c r="E75" s="812"/>
      <c r="F75" s="812">
        <f ca="1">D75*$J$7</f>
        <v>-1.0143544763446852</v>
      </c>
      <c r="G75" s="812"/>
      <c r="H75" s="812">
        <f ca="1">B75+F75</f>
        <v>9.8356455236553142</v>
      </c>
      <c r="I75" s="812"/>
      <c r="J75" s="812">
        <f ca="1">+D75+F75</f>
        <v>9.7656455236553139</v>
      </c>
      <c r="K75" s="551" t="s">
        <v>223</v>
      </c>
      <c r="L75" s="838"/>
      <c r="M75" s="552"/>
    </row>
    <row r="76" spans="1:13" s="811" customFormat="1" ht="12.75">
      <c r="A76" s="827"/>
      <c r="B76" s="812"/>
      <c r="C76" s="812"/>
      <c r="D76" s="812"/>
      <c r="E76" s="812"/>
      <c r="F76" s="812"/>
      <c r="G76" s="812"/>
      <c r="H76" s="812"/>
      <c r="I76" s="812"/>
      <c r="J76" s="812"/>
      <c r="L76" s="838"/>
    </row>
    <row r="77" spans="1:13" s="814" customFormat="1" ht="12.75">
      <c r="A77" s="814" t="s">
        <v>1164</v>
      </c>
      <c r="B77" s="821"/>
      <c r="C77" s="821"/>
      <c r="D77" s="821"/>
      <c r="E77" s="821"/>
      <c r="F77" s="821"/>
      <c r="G77" s="821"/>
      <c r="H77" s="821"/>
      <c r="I77" s="821"/>
      <c r="J77" s="821"/>
      <c r="L77" s="837"/>
    </row>
    <row r="78" spans="1:13" s="811" customFormat="1" ht="12.75">
      <c r="A78" s="811" t="s">
        <v>1165</v>
      </c>
      <c r="B78" s="812">
        <v>12.19</v>
      </c>
      <c r="C78" s="812"/>
      <c r="D78" s="812">
        <v>12.12</v>
      </c>
      <c r="E78" s="812"/>
      <c r="F78" s="812">
        <f ca="1">D78*$J$5</f>
        <v>0.71055220385402718</v>
      </c>
      <c r="G78" s="812"/>
      <c r="H78" s="812">
        <f ca="1">B78+F78</f>
        <v>12.900552203854026</v>
      </c>
      <c r="I78" s="812"/>
      <c r="J78" s="812">
        <f ca="1">+D78+F78</f>
        <v>12.830552203854026</v>
      </c>
      <c r="L78" s="810"/>
    </row>
    <row r="79" spans="1:13" s="811" customFormat="1" ht="12.75">
      <c r="A79" s="811" t="s">
        <v>1166</v>
      </c>
      <c r="B79" s="812">
        <v>12.81</v>
      </c>
      <c r="C79" s="812"/>
      <c r="D79" s="812">
        <v>12.73</v>
      </c>
      <c r="E79" s="812"/>
      <c r="F79" s="812">
        <f ca="1">D79*$J$5</f>
        <v>0.7463143197245683</v>
      </c>
      <c r="G79" s="812"/>
      <c r="H79" s="812">
        <f ca="1">B79+F79</f>
        <v>13.556314319724569</v>
      </c>
      <c r="I79" s="812"/>
      <c r="J79" s="812">
        <f ca="1">+D79+F79</f>
        <v>13.476314319724569</v>
      </c>
      <c r="L79" s="810"/>
    </row>
    <row r="80" spans="1:13" s="811" customFormat="1" ht="12.75">
      <c r="A80" s="811" t="s">
        <v>1167</v>
      </c>
      <c r="B80" s="812">
        <v>15.71</v>
      </c>
      <c r="C80" s="812"/>
      <c r="D80" s="812">
        <v>15.62</v>
      </c>
      <c r="E80" s="812"/>
      <c r="F80" s="812">
        <f ca="1">D80*$J$5</f>
        <v>0.91574467196368858</v>
      </c>
      <c r="G80" s="812"/>
      <c r="H80" s="812">
        <f ca="1">B80+F80</f>
        <v>16.625744671963691</v>
      </c>
      <c r="I80" s="812"/>
      <c r="J80" s="812">
        <f ca="1">+D80+F80</f>
        <v>16.535744671963688</v>
      </c>
      <c r="L80" s="810"/>
    </row>
    <row r="81" spans="1:14">
      <c r="B81" s="792"/>
      <c r="C81" s="792"/>
      <c r="D81" s="792"/>
      <c r="E81" s="792"/>
      <c r="F81" s="792"/>
      <c r="K81" s="790"/>
      <c r="N81" s="790"/>
    </row>
    <row r="82" spans="1:14" s="811" customFormat="1" ht="12.75">
      <c r="A82" s="819" t="s">
        <v>1168</v>
      </c>
      <c r="B82" s="816"/>
      <c r="C82" s="816"/>
      <c r="D82" s="816"/>
      <c r="E82" s="816"/>
      <c r="F82" s="816"/>
      <c r="G82" s="816"/>
      <c r="H82" s="816"/>
      <c r="I82" s="816"/>
      <c r="J82" s="816"/>
      <c r="L82" s="810"/>
    </row>
    <row r="83" spans="1:14" s="811" customFormat="1" ht="12.75">
      <c r="A83" s="811" t="s">
        <v>1169</v>
      </c>
      <c r="B83" s="812">
        <v>1.39</v>
      </c>
      <c r="C83" s="812"/>
      <c r="D83" s="812">
        <v>1.38</v>
      </c>
      <c r="E83" s="812"/>
      <c r="F83" s="812">
        <f t="shared" ref="F83:F89" ca="1" si="6">D83*$J$5</f>
        <v>8.0904458854666461E-2</v>
      </c>
      <c r="G83" s="812"/>
      <c r="H83" s="812">
        <f t="shared" ref="H83:H89" ca="1" si="7">B83+F83</f>
        <v>1.4709044588546663</v>
      </c>
      <c r="I83" s="812"/>
      <c r="J83" s="812">
        <f t="shared" ref="J83:J89" ca="1" si="8">+D83+F83</f>
        <v>1.4609044588546665</v>
      </c>
      <c r="L83" s="810"/>
    </row>
    <row r="84" spans="1:14" s="811" customFormat="1" ht="12.75">
      <c r="A84" s="811" t="s">
        <v>1170</v>
      </c>
      <c r="B84" s="836">
        <v>2.48</v>
      </c>
      <c r="C84" s="836"/>
      <c r="D84" s="836">
        <v>2.4700000000000002</v>
      </c>
      <c r="E84" s="812"/>
      <c r="F84" s="812">
        <f t="shared" ca="1" si="6"/>
        <v>0.14480725606596101</v>
      </c>
      <c r="G84" s="812"/>
      <c r="H84" s="812">
        <f t="shared" ca="1" si="7"/>
        <v>2.624807256065961</v>
      </c>
      <c r="I84" s="812"/>
      <c r="J84" s="812">
        <f t="shared" ca="1" si="8"/>
        <v>2.6148072560659612</v>
      </c>
      <c r="L84" s="810"/>
    </row>
    <row r="85" spans="1:14" s="811" customFormat="1" ht="12.75">
      <c r="A85" s="811" t="s">
        <v>1171</v>
      </c>
      <c r="B85" s="812">
        <v>3.75</v>
      </c>
      <c r="C85" s="812"/>
      <c r="D85" s="812">
        <v>3.73</v>
      </c>
      <c r="E85" s="812"/>
      <c r="F85" s="812">
        <f t="shared" ca="1" si="6"/>
        <v>0.21867654458543909</v>
      </c>
      <c r="G85" s="812"/>
      <c r="H85" s="812">
        <f t="shared" ca="1" si="7"/>
        <v>3.9686765445854393</v>
      </c>
      <c r="I85" s="812"/>
      <c r="J85" s="812">
        <f t="shared" ca="1" si="8"/>
        <v>3.9486765445854393</v>
      </c>
      <c r="L85" s="810"/>
    </row>
    <row r="86" spans="1:14" s="811" customFormat="1" ht="12.75">
      <c r="A86" s="811" t="s">
        <v>1172</v>
      </c>
      <c r="B86" s="812">
        <v>4.9400000000000004</v>
      </c>
      <c r="C86" s="812"/>
      <c r="D86" s="812">
        <v>4.91</v>
      </c>
      <c r="E86" s="812"/>
      <c r="F86" s="812">
        <f t="shared" ca="1" si="6"/>
        <v>0.28785571954812489</v>
      </c>
      <c r="G86" s="812"/>
      <c r="H86" s="812">
        <f t="shared" ca="1" si="7"/>
        <v>5.227855719548125</v>
      </c>
      <c r="I86" s="812"/>
      <c r="J86" s="812">
        <f t="shared" ca="1" si="8"/>
        <v>5.1978557195481248</v>
      </c>
      <c r="L86" s="810"/>
    </row>
    <row r="87" spans="1:14" s="811" customFormat="1" ht="12.75">
      <c r="A87" s="811" t="s">
        <v>1173</v>
      </c>
      <c r="B87" s="812">
        <v>7.38</v>
      </c>
      <c r="C87" s="812"/>
      <c r="D87" s="812">
        <v>7.34</v>
      </c>
      <c r="E87" s="812"/>
      <c r="F87" s="812">
        <f t="shared" ca="1" si="6"/>
        <v>0.43031791883568976</v>
      </c>
      <c r="G87" s="812"/>
      <c r="H87" s="812">
        <f t="shared" ca="1" si="7"/>
        <v>7.8103179188356897</v>
      </c>
      <c r="I87" s="812"/>
      <c r="J87" s="812">
        <f t="shared" ca="1" si="8"/>
        <v>7.7703179188356897</v>
      </c>
      <c r="L87" s="810"/>
    </row>
    <row r="88" spans="1:14" s="811" customFormat="1" ht="12.75">
      <c r="A88" s="811" t="s">
        <v>968</v>
      </c>
      <c r="B88" s="812">
        <v>2.48</v>
      </c>
      <c r="C88" s="812"/>
      <c r="D88" s="812">
        <v>2.4700000000000002</v>
      </c>
      <c r="E88" s="812"/>
      <c r="F88" s="812">
        <f t="shared" ca="1" si="6"/>
        <v>0.14480725606596101</v>
      </c>
      <c r="G88" s="812"/>
      <c r="H88" s="812">
        <f t="shared" ca="1" si="7"/>
        <v>2.624807256065961</v>
      </c>
      <c r="I88" s="812"/>
      <c r="J88" s="812">
        <f t="shared" ca="1" si="8"/>
        <v>2.6148072560659612</v>
      </c>
      <c r="L88" s="810"/>
    </row>
    <row r="89" spans="1:14" s="811" customFormat="1" ht="12.75">
      <c r="A89" s="811" t="s">
        <v>918</v>
      </c>
      <c r="B89" s="812">
        <v>5.01</v>
      </c>
      <c r="C89" s="812"/>
      <c r="D89" s="812">
        <v>4.9800000000000004</v>
      </c>
      <c r="E89" s="812"/>
      <c r="F89" s="812">
        <f t="shared" ca="1" si="6"/>
        <v>0.29195956891031816</v>
      </c>
      <c r="G89" s="812"/>
      <c r="H89" s="812">
        <f t="shared" ca="1" si="7"/>
        <v>5.3019595689103181</v>
      </c>
      <c r="I89" s="812"/>
      <c r="J89" s="812">
        <f t="shared" ca="1" si="8"/>
        <v>5.2719595689103187</v>
      </c>
      <c r="L89" s="810"/>
    </row>
    <row r="90" spans="1:14" s="811" customFormat="1" ht="12.75">
      <c r="B90" s="812"/>
      <c r="C90" s="812"/>
      <c r="D90" s="812"/>
      <c r="E90" s="812"/>
      <c r="F90" s="812"/>
      <c r="G90" s="812"/>
      <c r="H90" s="812"/>
      <c r="I90" s="812"/>
      <c r="J90" s="812"/>
      <c r="L90" s="810"/>
    </row>
    <row r="91" spans="1:14" s="811" customFormat="1" ht="12.75">
      <c r="A91" s="811" t="s">
        <v>1221</v>
      </c>
      <c r="B91" s="812">
        <v>48.65</v>
      </c>
      <c r="C91" s="812"/>
      <c r="D91" s="812">
        <v>48.36</v>
      </c>
      <c r="E91" s="812"/>
      <c r="F91" s="812">
        <f ca="1">D91*$J$5</f>
        <v>2.8351736450809208</v>
      </c>
      <c r="G91" s="812"/>
      <c r="H91" s="812">
        <f ca="1">B91+F91</f>
        <v>51.48517364508092</v>
      </c>
      <c r="I91" s="812"/>
      <c r="J91" s="812">
        <f ca="1">+D91+F91</f>
        <v>51.195173645080921</v>
      </c>
      <c r="L91" s="810"/>
    </row>
    <row r="92" spans="1:14" s="811" customFormat="1" ht="12.75">
      <c r="A92" s="827"/>
      <c r="B92" s="810"/>
      <c r="D92" s="812"/>
      <c r="F92" s="813"/>
      <c r="G92" s="812"/>
      <c r="H92" s="812"/>
      <c r="I92" s="812"/>
      <c r="J92" s="810"/>
      <c r="L92" s="810"/>
    </row>
    <row r="93" spans="1:14" s="811" customFormat="1" ht="12.75">
      <c r="A93" s="819" t="s">
        <v>1174</v>
      </c>
      <c r="B93" s="815"/>
      <c r="C93" s="818"/>
      <c r="D93" s="816"/>
      <c r="E93" s="818"/>
      <c r="F93" s="817"/>
      <c r="G93" s="816"/>
      <c r="H93" s="816"/>
      <c r="I93" s="816"/>
      <c r="J93" s="815"/>
      <c r="L93" s="810"/>
    </row>
    <row r="94" spans="1:14" s="811" customFormat="1" ht="12.75">
      <c r="A94" s="811" t="s">
        <v>998</v>
      </c>
      <c r="B94" s="830">
        <v>1.72</v>
      </c>
      <c r="C94" s="813"/>
      <c r="D94" s="813">
        <v>1.71</v>
      </c>
      <c r="E94" s="813"/>
      <c r="F94" s="813">
        <f t="shared" ref="F94:F101" ca="1" si="9">D94*$J$5</f>
        <v>0.10025117727643454</v>
      </c>
      <c r="G94" s="813"/>
      <c r="H94" s="813">
        <f t="shared" ref="H94:H101" ca="1" si="10">B94+F94</f>
        <v>1.8202511772764345</v>
      </c>
      <c r="I94" s="813"/>
      <c r="J94" s="830">
        <f t="shared" ref="J94:J101" ca="1" si="11">+D94+F94</f>
        <v>1.8102511772764345</v>
      </c>
      <c r="L94" s="810"/>
    </row>
    <row r="95" spans="1:14" s="811" customFormat="1" ht="12.75">
      <c r="A95" s="811" t="s">
        <v>1165</v>
      </c>
      <c r="B95" s="830">
        <v>2.95</v>
      </c>
      <c r="C95" s="813"/>
      <c r="D95" s="813">
        <v>2.93</v>
      </c>
      <c r="E95" s="813"/>
      <c r="F95" s="813">
        <f t="shared" ca="1" si="9"/>
        <v>0.17177540901751651</v>
      </c>
      <c r="G95" s="813"/>
      <c r="H95" s="813">
        <f t="shared" ca="1" si="10"/>
        <v>3.1217754090175167</v>
      </c>
      <c r="I95" s="813"/>
      <c r="J95" s="830">
        <f t="shared" ca="1" si="11"/>
        <v>3.1017754090175167</v>
      </c>
      <c r="L95" s="810"/>
    </row>
    <row r="96" spans="1:14" s="811" customFormat="1" ht="12.75">
      <c r="A96" s="811" t="s">
        <v>1166</v>
      </c>
      <c r="B96" s="830">
        <v>3.78</v>
      </c>
      <c r="C96" s="813"/>
      <c r="D96" s="813">
        <v>3.76</v>
      </c>
      <c r="E96" s="813"/>
      <c r="F96" s="813">
        <f t="shared" ca="1" si="9"/>
        <v>0.22043533716923616</v>
      </c>
      <c r="G96" s="813"/>
      <c r="H96" s="813">
        <f t="shared" ca="1" si="10"/>
        <v>4.000435337169236</v>
      </c>
      <c r="I96" s="813"/>
      <c r="J96" s="830">
        <f t="shared" ca="1" si="11"/>
        <v>3.980435337169236</v>
      </c>
      <c r="L96" s="810"/>
    </row>
    <row r="97" spans="1:14" s="811" customFormat="1" ht="12.75">
      <c r="A97" s="811" t="s">
        <v>1167</v>
      </c>
      <c r="B97" s="830">
        <v>5.47</v>
      </c>
      <c r="C97" s="813"/>
      <c r="D97" s="813">
        <v>5.44</v>
      </c>
      <c r="E97" s="813"/>
      <c r="F97" s="813">
        <f t="shared" ca="1" si="9"/>
        <v>0.31892772186187363</v>
      </c>
      <c r="G97" s="813"/>
      <c r="H97" s="813">
        <f t="shared" ca="1" si="10"/>
        <v>5.7889277218618735</v>
      </c>
      <c r="I97" s="813"/>
      <c r="J97" s="830">
        <f t="shared" ca="1" si="11"/>
        <v>5.7589277218618742</v>
      </c>
      <c r="L97" s="810"/>
    </row>
    <row r="98" spans="1:14" s="811" customFormat="1" ht="12.75">
      <c r="A98" s="811" t="s">
        <v>1175</v>
      </c>
      <c r="B98" s="830">
        <v>2.54</v>
      </c>
      <c r="C98" s="831"/>
      <c r="D98" s="813">
        <v>2.52</v>
      </c>
      <c r="E98" s="831"/>
      <c r="F98" s="813">
        <f t="shared" ca="1" si="9"/>
        <v>0.14773857703895615</v>
      </c>
      <c r="G98" s="813"/>
      <c r="H98" s="813">
        <f t="shared" ca="1" si="10"/>
        <v>2.6877385770389561</v>
      </c>
      <c r="I98" s="813"/>
      <c r="J98" s="830">
        <f t="shared" ca="1" si="11"/>
        <v>2.6677385770389561</v>
      </c>
      <c r="L98" s="810"/>
    </row>
    <row r="99" spans="1:14" s="811" customFormat="1" ht="12.75">
      <c r="A99" s="811" t="s">
        <v>1171</v>
      </c>
      <c r="B99" s="830">
        <v>3.8</v>
      </c>
      <c r="C99" s="831"/>
      <c r="D99" s="813">
        <v>3.78</v>
      </c>
      <c r="E99" s="831"/>
      <c r="F99" s="813">
        <f t="shared" ca="1" si="9"/>
        <v>0.22160786555843423</v>
      </c>
      <c r="G99" s="813"/>
      <c r="H99" s="813">
        <f t="shared" ca="1" si="10"/>
        <v>4.0216078655584342</v>
      </c>
      <c r="I99" s="813"/>
      <c r="J99" s="830">
        <f t="shared" ca="1" si="11"/>
        <v>4.0016078655584337</v>
      </c>
      <c r="L99" s="810"/>
    </row>
    <row r="100" spans="1:14" s="811" customFormat="1" ht="12.75">
      <c r="A100" s="811" t="s">
        <v>1172</v>
      </c>
      <c r="B100" s="830">
        <v>5.05</v>
      </c>
      <c r="C100" s="831"/>
      <c r="D100" s="813">
        <v>5.0199999999999996</v>
      </c>
      <c r="E100" s="831"/>
      <c r="F100" s="813">
        <f t="shared" ca="1" si="9"/>
        <v>0.29430462568871424</v>
      </c>
      <c r="G100" s="813"/>
      <c r="H100" s="813">
        <f t="shared" ca="1" si="10"/>
        <v>5.3443046256887143</v>
      </c>
      <c r="I100" s="813"/>
      <c r="J100" s="830">
        <f t="shared" ca="1" si="11"/>
        <v>5.3143046256887141</v>
      </c>
      <c r="L100" s="810"/>
    </row>
    <row r="101" spans="1:14" s="811" customFormat="1" ht="12.75">
      <c r="A101" s="811" t="s">
        <v>1173</v>
      </c>
      <c r="B101" s="830">
        <v>7.52</v>
      </c>
      <c r="C101" s="831"/>
      <c r="D101" s="813">
        <v>7.47</v>
      </c>
      <c r="E101" s="831"/>
      <c r="F101" s="813">
        <f t="shared" ca="1" si="9"/>
        <v>0.43793935336547718</v>
      </c>
      <c r="G101" s="813"/>
      <c r="H101" s="813">
        <f t="shared" ca="1" si="10"/>
        <v>7.957939353365477</v>
      </c>
      <c r="I101" s="813"/>
      <c r="J101" s="830">
        <f t="shared" ca="1" si="11"/>
        <v>7.9079393533654772</v>
      </c>
      <c r="L101" s="810"/>
    </row>
    <row r="102" spans="1:14">
      <c r="B102" s="832"/>
      <c r="C102" s="833"/>
      <c r="D102" s="793"/>
      <c r="E102" s="833"/>
      <c r="G102" s="793"/>
      <c r="H102" s="793"/>
      <c r="I102" s="793"/>
      <c r="J102" s="832"/>
      <c r="K102" s="790"/>
      <c r="N102" s="790"/>
    </row>
    <row r="103" spans="1:14" s="814" customFormat="1" ht="12.75">
      <c r="A103" s="814" t="s">
        <v>1176</v>
      </c>
      <c r="B103" s="834"/>
      <c r="C103" s="835"/>
      <c r="D103" s="822"/>
      <c r="E103" s="835"/>
      <c r="F103" s="822"/>
      <c r="G103" s="822"/>
      <c r="H103" s="822"/>
      <c r="I103" s="822"/>
      <c r="J103" s="834"/>
      <c r="L103" s="820"/>
    </row>
    <row r="104" spans="1:14" s="811" customFormat="1" ht="12.75">
      <c r="A104" s="811" t="s">
        <v>998</v>
      </c>
      <c r="B104" s="830">
        <v>2.8</v>
      </c>
      <c r="C104" s="831"/>
      <c r="D104" s="813">
        <v>2.78</v>
      </c>
      <c r="E104" s="831"/>
      <c r="F104" s="813">
        <f ca="1">D104*$J$5</f>
        <v>0.16298144609853099</v>
      </c>
      <c r="G104" s="813"/>
      <c r="H104" s="813">
        <f ca="1">B104+F104</f>
        <v>2.9629814460985306</v>
      </c>
      <c r="I104" s="813"/>
      <c r="J104" s="830">
        <f ca="1">+D104+F104</f>
        <v>2.9429814460985306</v>
      </c>
      <c r="L104" s="810"/>
    </row>
    <row r="105" spans="1:14" s="811" customFormat="1" ht="12.75">
      <c r="A105" s="811" t="s">
        <v>1165</v>
      </c>
      <c r="B105" s="830">
        <v>4.74</v>
      </c>
      <c r="C105" s="831"/>
      <c r="D105" s="813">
        <v>4.71</v>
      </c>
      <c r="E105" s="831"/>
      <c r="F105" s="813">
        <f ca="1">D105*$J$5</f>
        <v>0.27613043565614426</v>
      </c>
      <c r="G105" s="813"/>
      <c r="H105" s="813">
        <f ca="1">B105+F105</f>
        <v>5.0161304356561445</v>
      </c>
      <c r="I105" s="813"/>
      <c r="J105" s="830">
        <f ca="1">+D105+F105</f>
        <v>4.9861304356561442</v>
      </c>
      <c r="L105" s="810"/>
    </row>
    <row r="106" spans="1:14" s="811" customFormat="1" ht="12.75">
      <c r="A106" s="811" t="s">
        <v>1166</v>
      </c>
      <c r="B106" s="830">
        <v>6.11</v>
      </c>
      <c r="C106" s="831"/>
      <c r="D106" s="813">
        <v>6.07</v>
      </c>
      <c r="E106" s="831"/>
      <c r="F106" s="813">
        <f ca="1">D106*$J$5</f>
        <v>0.35586236612161271</v>
      </c>
      <c r="G106" s="813"/>
      <c r="H106" s="813">
        <f ca="1">B106+F106</f>
        <v>6.4658623661216126</v>
      </c>
      <c r="I106" s="813"/>
      <c r="J106" s="830">
        <f ca="1">+D106+F106</f>
        <v>6.4258623661216134</v>
      </c>
      <c r="L106" s="810"/>
    </row>
    <row r="107" spans="1:14" s="811" customFormat="1" ht="12.75">
      <c r="A107" s="811" t="s">
        <v>1167</v>
      </c>
      <c r="B107" s="830">
        <v>8.85</v>
      </c>
      <c r="C107" s="831"/>
      <c r="D107" s="813">
        <v>8.8000000000000007</v>
      </c>
      <c r="E107" s="831"/>
      <c r="F107" s="813">
        <f ca="1">D107*$J$5</f>
        <v>0.51591249124714855</v>
      </c>
      <c r="G107" s="813"/>
      <c r="H107" s="813">
        <f ca="1">B107+F107</f>
        <v>9.3659124912471476</v>
      </c>
      <c r="I107" s="813"/>
      <c r="J107" s="830">
        <f ca="1">+D107+F107</f>
        <v>9.3159124912471487</v>
      </c>
      <c r="L107" s="810"/>
    </row>
    <row r="108" spans="1:14" s="811" customFormat="1" ht="12.75">
      <c r="B108" s="830"/>
      <c r="C108" s="831"/>
      <c r="D108" s="813"/>
      <c r="E108" s="831"/>
      <c r="F108" s="813"/>
      <c r="G108" s="813"/>
      <c r="H108" s="813"/>
      <c r="I108" s="813"/>
      <c r="J108" s="830"/>
      <c r="L108" s="810"/>
    </row>
    <row r="109" spans="1:14" s="814" customFormat="1" ht="12.75">
      <c r="A109" s="814" t="s">
        <v>978</v>
      </c>
      <c r="B109" s="834"/>
      <c r="C109" s="835"/>
      <c r="D109" s="822"/>
      <c r="E109" s="835"/>
      <c r="F109" s="822"/>
      <c r="G109" s="822"/>
      <c r="H109" s="822"/>
      <c r="I109" s="822"/>
      <c r="J109" s="834"/>
      <c r="L109" s="820"/>
    </row>
    <row r="110" spans="1:14" s="811" customFormat="1" ht="12.75">
      <c r="A110" s="811" t="s">
        <v>1177</v>
      </c>
      <c r="B110" s="830">
        <v>7.51</v>
      </c>
      <c r="C110" s="831"/>
      <c r="D110" s="813">
        <v>7.46</v>
      </c>
      <c r="E110" s="831"/>
      <c r="F110" s="813">
        <f ca="1">D110*$J$5</f>
        <v>0.43735308917087817</v>
      </c>
      <c r="G110" s="813"/>
      <c r="H110" s="813">
        <f ca="1">B110+F110</f>
        <v>7.9473530891708783</v>
      </c>
      <c r="I110" s="813"/>
      <c r="J110" s="830">
        <f ca="1">+D110+F110</f>
        <v>7.8973530891708785</v>
      </c>
      <c r="L110" s="810"/>
    </row>
    <row r="111" spans="1:14" s="811" customFormat="1" ht="12.75">
      <c r="A111" s="811" t="s">
        <v>1171</v>
      </c>
      <c r="B111" s="830">
        <v>12.76</v>
      </c>
      <c r="C111" s="831"/>
      <c r="D111" s="813">
        <v>12.68</v>
      </c>
      <c r="E111" s="831"/>
      <c r="F111" s="813">
        <f ca="1">D111*$J$5</f>
        <v>0.7433829987515731</v>
      </c>
      <c r="G111" s="813"/>
      <c r="H111" s="813">
        <f ca="1">B111+F111</f>
        <v>13.503382998751572</v>
      </c>
      <c r="I111" s="813"/>
      <c r="J111" s="830">
        <f ca="1">+D111+F111</f>
        <v>13.423382998751572</v>
      </c>
      <c r="L111" s="810"/>
    </row>
    <row r="112" spans="1:14" s="811" customFormat="1" ht="12.75">
      <c r="A112" s="811" t="s">
        <v>1172</v>
      </c>
      <c r="B112" s="830">
        <v>16.39</v>
      </c>
      <c r="C112" s="831"/>
      <c r="D112" s="813">
        <v>16.29</v>
      </c>
      <c r="E112" s="831"/>
      <c r="F112" s="813">
        <f ca="1">D112*$J$5</f>
        <v>0.95502437300182375</v>
      </c>
      <c r="G112" s="813"/>
      <c r="H112" s="813">
        <f ca="1">B112+F112</f>
        <v>17.345024373001824</v>
      </c>
      <c r="I112" s="813"/>
      <c r="J112" s="830">
        <f ca="1">+D112+F112</f>
        <v>17.245024373001822</v>
      </c>
      <c r="L112" s="810"/>
    </row>
    <row r="113" spans="1:14" s="811" customFormat="1" ht="12.75">
      <c r="A113" s="811" t="s">
        <v>1173</v>
      </c>
      <c r="B113" s="830">
        <v>23.73</v>
      </c>
      <c r="C113" s="831"/>
      <c r="D113" s="813">
        <v>23.59</v>
      </c>
      <c r="E113" s="831"/>
      <c r="F113" s="813">
        <f ca="1">D113*$J$5</f>
        <v>1.3829972350591173</v>
      </c>
      <c r="G113" s="813"/>
      <c r="H113" s="813">
        <f ca="1">B113+F113</f>
        <v>25.112997235059119</v>
      </c>
      <c r="I113" s="813"/>
      <c r="J113" s="830">
        <f ca="1">+D113+F113</f>
        <v>24.972997235059118</v>
      </c>
      <c r="L113" s="810"/>
    </row>
    <row r="114" spans="1:14">
      <c r="B114" s="832"/>
      <c r="C114" s="833"/>
      <c r="D114" s="793"/>
      <c r="E114" s="833"/>
      <c r="G114" s="793"/>
      <c r="H114" s="793"/>
      <c r="I114" s="793"/>
      <c r="J114" s="832"/>
      <c r="K114" s="790"/>
      <c r="N114" s="790"/>
    </row>
    <row r="115" spans="1:14" s="811" customFormat="1" ht="12.75">
      <c r="B115" s="830"/>
      <c r="C115" s="831"/>
      <c r="D115" s="813"/>
      <c r="E115" s="831"/>
      <c r="F115" s="813"/>
      <c r="G115" s="813"/>
      <c r="H115" s="813"/>
      <c r="I115" s="813"/>
      <c r="J115" s="830"/>
      <c r="L115" s="810"/>
    </row>
    <row r="116" spans="1:14" s="811" customFormat="1" ht="12.75">
      <c r="A116" s="811" t="s">
        <v>918</v>
      </c>
      <c r="B116" s="830">
        <v>2.68</v>
      </c>
      <c r="C116" s="831"/>
      <c r="D116" s="813">
        <v>2.66</v>
      </c>
      <c r="E116" s="831"/>
      <c r="F116" s="813">
        <f ca="1">D116*$J$5</f>
        <v>0.15594627576334263</v>
      </c>
      <c r="G116" s="813"/>
      <c r="H116" s="813">
        <f ca="1">B116+F116</f>
        <v>2.8359462757633427</v>
      </c>
      <c r="I116" s="813"/>
      <c r="J116" s="830">
        <f ca="1">+D116+F116</f>
        <v>2.8159462757633427</v>
      </c>
      <c r="L116" s="810"/>
    </row>
    <row r="117" spans="1:14" s="811" customFormat="1" ht="12.75">
      <c r="A117" s="811" t="s">
        <v>1178</v>
      </c>
      <c r="B117" s="830">
        <v>2.15</v>
      </c>
      <c r="C117" s="831"/>
      <c r="D117" s="813">
        <v>2.14</v>
      </c>
      <c r="E117" s="831"/>
      <c r="F117" s="813">
        <f ca="1">D117*$J$5</f>
        <v>0.12546053764419293</v>
      </c>
      <c r="G117" s="813"/>
      <c r="H117" s="813">
        <f ca="1">B117+F117</f>
        <v>2.275460537644193</v>
      </c>
      <c r="I117" s="813"/>
      <c r="J117" s="830">
        <f ca="1">+D117+F117</f>
        <v>2.2654605376441932</v>
      </c>
      <c r="L117" s="810"/>
    </row>
    <row r="118" spans="1:14" s="811" customFormat="1" ht="12.75">
      <c r="B118" s="830"/>
      <c r="C118" s="831"/>
      <c r="D118" s="813"/>
      <c r="E118" s="831"/>
      <c r="F118" s="813"/>
      <c r="G118" s="813"/>
      <c r="H118" s="813"/>
      <c r="I118" s="813"/>
      <c r="J118" s="830"/>
      <c r="L118" s="810"/>
    </row>
    <row r="119" spans="1:14" s="811" customFormat="1" ht="12.75">
      <c r="A119" s="811" t="s">
        <v>1221</v>
      </c>
      <c r="B119" s="830">
        <v>48.65</v>
      </c>
      <c r="C119" s="831"/>
      <c r="D119" s="813">
        <v>48.36</v>
      </c>
      <c r="E119" s="831"/>
      <c r="F119" s="813">
        <f ca="1">D119*$J$5</f>
        <v>2.8351736450809208</v>
      </c>
      <c r="G119" s="813"/>
      <c r="H119" s="813">
        <f ca="1">B119+F119</f>
        <v>51.48517364508092</v>
      </c>
      <c r="I119" s="813"/>
      <c r="J119" s="830">
        <f ca="1">+D119+F119</f>
        <v>51.195173645080921</v>
      </c>
      <c r="L119" s="810"/>
    </row>
    <row r="120" spans="1:14" s="811" customFormat="1" ht="12.75">
      <c r="B120" s="810" t="s">
        <v>940</v>
      </c>
      <c r="D120" s="812"/>
      <c r="F120" s="813"/>
      <c r="G120" s="812"/>
      <c r="H120" s="812"/>
      <c r="I120" s="812"/>
      <c r="J120" s="810"/>
      <c r="L120" s="810"/>
    </row>
    <row r="121" spans="1:14" s="811" customFormat="1" ht="12.75">
      <c r="A121" s="819" t="s">
        <v>1179</v>
      </c>
      <c r="B121" s="815"/>
      <c r="C121" s="818"/>
      <c r="D121" s="816"/>
      <c r="E121" s="818"/>
      <c r="F121" s="817"/>
      <c r="G121" s="816"/>
      <c r="H121" s="816"/>
      <c r="I121" s="816"/>
      <c r="J121" s="815"/>
      <c r="L121" s="810"/>
    </row>
    <row r="122" spans="1:14" s="811" customFormat="1" ht="12.75">
      <c r="A122" s="811" t="s">
        <v>1180</v>
      </c>
      <c r="B122" s="810">
        <v>3.22</v>
      </c>
      <c r="D122" s="812">
        <v>3.2</v>
      </c>
      <c r="F122" s="813">
        <f ca="1">D122*$J$5</f>
        <v>0.18760454227169038</v>
      </c>
      <c r="G122" s="812"/>
      <c r="H122" s="812">
        <f ca="1">B122+F122</f>
        <v>3.4076045422716907</v>
      </c>
      <c r="I122" s="812"/>
      <c r="J122" s="810">
        <f ca="1">+D122+F122</f>
        <v>3.3876045422716907</v>
      </c>
      <c r="L122" s="810"/>
    </row>
    <row r="123" spans="1:14" s="811" customFormat="1" ht="12.75">
      <c r="A123" s="811" t="s">
        <v>1181</v>
      </c>
      <c r="B123" s="810">
        <v>13.84</v>
      </c>
      <c r="D123" s="812">
        <v>13.76</v>
      </c>
      <c r="F123" s="813">
        <f ca="1">D123*$J$5</f>
        <v>0.80669953176826859</v>
      </c>
      <c r="G123" s="812"/>
      <c r="H123" s="812">
        <f ca="1">B123+F123</f>
        <v>14.646699531768268</v>
      </c>
      <c r="I123" s="812"/>
      <c r="J123" s="810">
        <f ca="1">+D123+F123</f>
        <v>14.566699531768268</v>
      </c>
      <c r="L123" s="810"/>
    </row>
    <row r="124" spans="1:14" s="811" customFormat="1" ht="12.75">
      <c r="B124" s="810"/>
      <c r="D124" s="812"/>
      <c r="F124" s="813"/>
      <c r="G124" s="812"/>
      <c r="H124" s="812"/>
      <c r="I124" s="812"/>
      <c r="J124" s="810"/>
      <c r="L124" s="810"/>
    </row>
    <row r="125" spans="1:14" s="811" customFormat="1" ht="12.75">
      <c r="A125" s="819" t="s">
        <v>1182</v>
      </c>
      <c r="B125" s="815"/>
      <c r="C125" s="818"/>
      <c r="D125" s="816"/>
      <c r="E125" s="818"/>
      <c r="F125" s="817"/>
      <c r="G125" s="816"/>
      <c r="H125" s="816"/>
      <c r="I125" s="816"/>
      <c r="J125" s="815"/>
      <c r="L125" s="810"/>
    </row>
    <row r="126" spans="1:14" s="811" customFormat="1" ht="12.75">
      <c r="A126" s="811" t="s">
        <v>969</v>
      </c>
      <c r="B126" s="810">
        <v>8.4499999999999993</v>
      </c>
      <c r="D126" s="812">
        <v>8.4</v>
      </c>
      <c r="F126" s="813">
        <f ca="1">D126*$J$5</f>
        <v>0.49246192346318723</v>
      </c>
      <c r="G126" s="812"/>
      <c r="H126" s="812">
        <f ca="1">B126+F126</f>
        <v>8.9424619234631866</v>
      </c>
      <c r="I126" s="812"/>
      <c r="J126" s="810">
        <f ca="1">+D126+F126</f>
        <v>8.8924619234631876</v>
      </c>
      <c r="L126" s="810"/>
    </row>
    <row r="127" spans="1:14" s="811" customFormat="1" ht="12.75">
      <c r="A127" s="811" t="s">
        <v>970</v>
      </c>
      <c r="B127" s="810">
        <v>7.63</v>
      </c>
      <c r="D127" s="812">
        <v>7.58</v>
      </c>
      <c r="F127" s="813">
        <f ca="1">D127*$J$5</f>
        <v>0.44438825950606659</v>
      </c>
      <c r="G127" s="812"/>
      <c r="H127" s="812">
        <f ca="1">B127+F127</f>
        <v>8.0743882595060672</v>
      </c>
      <c r="I127" s="812"/>
      <c r="J127" s="810">
        <f ca="1">+D127+F127</f>
        <v>8.0243882595060665</v>
      </c>
      <c r="L127" s="810"/>
    </row>
    <row r="128" spans="1:14" s="811" customFormat="1" ht="12.75">
      <c r="A128" s="811" t="s">
        <v>953</v>
      </c>
      <c r="B128" s="810">
        <v>8.4499999999999993</v>
      </c>
      <c r="D128" s="812">
        <v>8.4</v>
      </c>
      <c r="F128" s="813">
        <f ca="1">D128*$J$5</f>
        <v>0.49246192346318723</v>
      </c>
      <c r="G128" s="812"/>
      <c r="H128" s="812">
        <f ca="1">B128+F128</f>
        <v>8.9424619234631866</v>
      </c>
      <c r="I128" s="812"/>
      <c r="J128" s="810">
        <f ca="1">+D128+F128</f>
        <v>8.8924619234631876</v>
      </c>
      <c r="L128" s="810"/>
    </row>
    <row r="129" spans="1:14" s="811" customFormat="1" ht="12.75">
      <c r="A129" s="811" t="s">
        <v>971</v>
      </c>
      <c r="B129" s="810">
        <v>3.11</v>
      </c>
      <c r="D129" s="812">
        <v>3.09</v>
      </c>
      <c r="F129" s="813">
        <f ca="1">D129*$J$5</f>
        <v>0.181155636131101</v>
      </c>
      <c r="G129" s="812"/>
      <c r="H129" s="812">
        <f ca="1">B129+F129</f>
        <v>3.291155636131101</v>
      </c>
      <c r="I129" s="812"/>
      <c r="J129" s="810">
        <f ca="1">+D129+F129</f>
        <v>3.2711556361311009</v>
      </c>
      <c r="L129" s="810"/>
    </row>
    <row r="130" spans="1:14" s="811" customFormat="1" ht="12.75">
      <c r="B130" s="810"/>
      <c r="D130" s="812"/>
      <c r="F130" s="813"/>
      <c r="G130" s="812"/>
      <c r="H130" s="812"/>
      <c r="I130" s="812"/>
      <c r="J130" s="810"/>
      <c r="L130" s="810"/>
    </row>
    <row r="131" spans="1:14" s="811" customFormat="1" ht="12.75">
      <c r="A131" s="819" t="s">
        <v>972</v>
      </c>
      <c r="B131" s="815"/>
      <c r="C131" s="818"/>
      <c r="D131" s="816"/>
      <c r="E131" s="818"/>
      <c r="F131" s="817"/>
      <c r="G131" s="816"/>
      <c r="H131" s="816"/>
      <c r="I131" s="816"/>
      <c r="J131" s="815"/>
      <c r="L131" s="810"/>
    </row>
    <row r="132" spans="1:14" s="814" customFormat="1" ht="12.75">
      <c r="A132" s="814" t="s">
        <v>973</v>
      </c>
      <c r="B132" s="820"/>
      <c r="D132" s="821"/>
      <c r="F132" s="822"/>
      <c r="G132" s="821"/>
      <c r="H132" s="821"/>
      <c r="I132" s="821"/>
      <c r="J132" s="820"/>
      <c r="L132" s="820"/>
    </row>
    <row r="133" spans="1:14" s="811" customFormat="1" ht="12.75">
      <c r="A133" s="814" t="s">
        <v>974</v>
      </c>
      <c r="B133" s="810"/>
      <c r="D133" s="812"/>
      <c r="F133" s="813"/>
      <c r="G133" s="812"/>
      <c r="H133" s="812"/>
      <c r="I133" s="812"/>
      <c r="J133" s="810"/>
      <c r="L133" s="810"/>
    </row>
    <row r="134" spans="1:14" s="811" customFormat="1" ht="12.75">
      <c r="A134" s="811" t="s">
        <v>975</v>
      </c>
      <c r="B134" s="810">
        <v>85.87</v>
      </c>
      <c r="D134" s="812">
        <v>85.35</v>
      </c>
      <c r="F134" s="813">
        <f ca="1">D134*$J$5</f>
        <v>5.0037649009027412</v>
      </c>
      <c r="G134" s="812"/>
      <c r="H134" s="812">
        <f ca="1">B134+F134</f>
        <v>90.873764900902742</v>
      </c>
      <c r="I134" s="812"/>
      <c r="J134" s="810">
        <f ca="1">+D134+F134</f>
        <v>90.353764900902732</v>
      </c>
      <c r="L134" s="810"/>
    </row>
    <row r="135" spans="1:14" s="811" customFormat="1" ht="12.75">
      <c r="A135" s="811" t="s">
        <v>976</v>
      </c>
      <c r="B135" s="810">
        <v>85.87</v>
      </c>
      <c r="D135" s="812">
        <v>85.35</v>
      </c>
      <c r="F135" s="813">
        <f ca="1">D135*$J$5</f>
        <v>5.0037649009027412</v>
      </c>
      <c r="G135" s="812"/>
      <c r="H135" s="812">
        <f ca="1">B135+F135</f>
        <v>90.873764900902742</v>
      </c>
      <c r="I135" s="812"/>
      <c r="J135" s="810">
        <f ca="1">+D135+F135</f>
        <v>90.353764900902732</v>
      </c>
      <c r="L135" s="810"/>
    </row>
    <row r="136" spans="1:14" s="811" customFormat="1" ht="12.75">
      <c r="A136" s="811" t="s">
        <v>544</v>
      </c>
      <c r="B136" s="810">
        <v>85.87</v>
      </c>
      <c r="D136" s="812">
        <v>85.35</v>
      </c>
      <c r="F136" s="813">
        <f ca="1">D136*$J$5</f>
        <v>5.0037649009027412</v>
      </c>
      <c r="G136" s="812"/>
      <c r="H136" s="812">
        <f ca="1">B136+F136</f>
        <v>90.873764900902742</v>
      </c>
      <c r="I136" s="812"/>
      <c r="J136" s="810">
        <f ca="1">+D136+F136</f>
        <v>90.353764900902732</v>
      </c>
      <c r="L136" s="810"/>
    </row>
    <row r="137" spans="1:14">
      <c r="D137" s="792"/>
      <c r="J137" s="791"/>
      <c r="K137" s="790"/>
      <c r="N137" s="790"/>
    </row>
    <row r="138" spans="1:14" s="814" customFormat="1" ht="12.75">
      <c r="A138" s="814" t="s">
        <v>977</v>
      </c>
      <c r="B138" s="820"/>
      <c r="D138" s="821"/>
      <c r="F138" s="822"/>
      <c r="G138" s="821"/>
      <c r="H138" s="821"/>
      <c r="I138" s="821"/>
      <c r="J138" s="820"/>
      <c r="L138" s="820"/>
    </row>
    <row r="139" spans="1:14" s="811" customFormat="1" ht="12.75">
      <c r="A139" s="811" t="s">
        <v>975</v>
      </c>
      <c r="B139" s="810">
        <v>56.21</v>
      </c>
      <c r="D139" s="812">
        <v>55.87</v>
      </c>
      <c r="F139" s="813">
        <f ca="1">D139*$J$5</f>
        <v>3.2754580552247941</v>
      </c>
      <c r="G139" s="812"/>
      <c r="H139" s="812">
        <f ca="1">B139+F139</f>
        <v>59.485458055224797</v>
      </c>
      <c r="I139" s="812"/>
      <c r="J139" s="810">
        <f ca="1">+D139+F139</f>
        <v>59.145458055224793</v>
      </c>
      <c r="L139" s="810"/>
    </row>
    <row r="140" spans="1:14" s="811" customFormat="1" ht="12.75">
      <c r="A140" s="811" t="s">
        <v>976</v>
      </c>
      <c r="B140" s="810">
        <v>56.21</v>
      </c>
      <c r="D140" s="812">
        <v>55.87</v>
      </c>
      <c r="F140" s="813">
        <f ca="1">D140*$J$5</f>
        <v>3.2754580552247941</v>
      </c>
      <c r="G140" s="812"/>
      <c r="H140" s="812">
        <f ca="1">B140+F140</f>
        <v>59.485458055224797</v>
      </c>
      <c r="I140" s="812"/>
      <c r="J140" s="810">
        <f ca="1">+D140+F140</f>
        <v>59.145458055224793</v>
      </c>
      <c r="L140" s="810"/>
    </row>
    <row r="141" spans="1:14" s="811" customFormat="1" ht="12.75">
      <c r="A141" s="811" t="s">
        <v>544</v>
      </c>
      <c r="B141" s="810">
        <v>56.21</v>
      </c>
      <c r="D141" s="812">
        <v>55.87</v>
      </c>
      <c r="F141" s="813">
        <f ca="1">D141*$J$5</f>
        <v>3.2754580552247941</v>
      </c>
      <c r="G141" s="812"/>
      <c r="H141" s="812">
        <f ca="1">B141+F141</f>
        <v>59.485458055224797</v>
      </c>
      <c r="I141" s="812"/>
      <c r="J141" s="810">
        <f ca="1">+D141+F141</f>
        <v>59.145458055224793</v>
      </c>
      <c r="L141" s="810"/>
    </row>
    <row r="142" spans="1:14" s="811" customFormat="1" ht="12.75">
      <c r="B142" s="810"/>
      <c r="D142" s="812"/>
      <c r="F142" s="813"/>
      <c r="G142" s="812"/>
      <c r="H142" s="812"/>
      <c r="I142" s="812"/>
      <c r="J142" s="810"/>
      <c r="L142" s="810"/>
    </row>
    <row r="143" spans="1:14" s="814" customFormat="1" ht="12.75">
      <c r="A143" s="814" t="s">
        <v>978</v>
      </c>
      <c r="B143" s="820"/>
      <c r="D143" s="821"/>
      <c r="F143" s="822"/>
      <c r="G143" s="821"/>
      <c r="H143" s="821"/>
      <c r="I143" s="821"/>
      <c r="J143" s="820"/>
      <c r="L143" s="820"/>
    </row>
    <row r="144" spans="1:14" s="811" customFormat="1" ht="12.75">
      <c r="A144" s="811" t="s">
        <v>975</v>
      </c>
      <c r="B144" s="810">
        <f>B134</f>
        <v>85.87</v>
      </c>
      <c r="D144" s="812">
        <f>D134</f>
        <v>85.35</v>
      </c>
      <c r="F144" s="813">
        <f ca="1">D144*$J$5</f>
        <v>5.0037649009027412</v>
      </c>
      <c r="G144" s="812"/>
      <c r="H144" s="812">
        <f ca="1">B144+F144</f>
        <v>90.873764900902742</v>
      </c>
      <c r="I144" s="812"/>
      <c r="J144" s="810">
        <f ca="1">+D144+F144</f>
        <v>90.353764900902732</v>
      </c>
      <c r="L144" s="810"/>
    </row>
    <row r="145" spans="1:14" s="811" customFormat="1" ht="12.75">
      <c r="A145" s="811" t="s">
        <v>976</v>
      </c>
      <c r="B145" s="810">
        <f>B135</f>
        <v>85.87</v>
      </c>
      <c r="D145" s="812">
        <f>D135</f>
        <v>85.35</v>
      </c>
      <c r="F145" s="813">
        <f ca="1">D145*$J$5</f>
        <v>5.0037649009027412</v>
      </c>
      <c r="G145" s="812"/>
      <c r="H145" s="812">
        <f ca="1">B145+F145</f>
        <v>90.873764900902742</v>
      </c>
      <c r="I145" s="812"/>
      <c r="J145" s="810">
        <f ca="1">+D145+F145</f>
        <v>90.353764900902732</v>
      </c>
      <c r="L145" s="810"/>
    </row>
    <row r="146" spans="1:14" s="811" customFormat="1" ht="12.75">
      <c r="A146" s="811" t="s">
        <v>544</v>
      </c>
      <c r="B146" s="810">
        <f>B136</f>
        <v>85.87</v>
      </c>
      <c r="D146" s="812">
        <f>D136</f>
        <v>85.35</v>
      </c>
      <c r="F146" s="813">
        <f ca="1">D146*$J$5</f>
        <v>5.0037649009027412</v>
      </c>
      <c r="G146" s="812"/>
      <c r="H146" s="812">
        <f ca="1">B146+F146</f>
        <v>90.873764900902742</v>
      </c>
      <c r="I146" s="812"/>
      <c r="J146" s="810">
        <f ca="1">+D146+F146</f>
        <v>90.353764900902732</v>
      </c>
      <c r="L146" s="810"/>
    </row>
    <row r="147" spans="1:14">
      <c r="D147" s="792"/>
      <c r="J147" s="791"/>
      <c r="K147" s="790"/>
      <c r="N147" s="790"/>
    </row>
    <row r="148" spans="1:14" s="814" customFormat="1" ht="12.75">
      <c r="A148" s="814" t="s">
        <v>979</v>
      </c>
      <c r="B148" s="820"/>
      <c r="D148" s="821"/>
      <c r="F148" s="822"/>
      <c r="G148" s="821"/>
      <c r="H148" s="821"/>
      <c r="I148" s="821"/>
      <c r="J148" s="820"/>
      <c r="L148" s="820"/>
    </row>
    <row r="149" spans="1:14" s="811" customFormat="1" ht="12.75">
      <c r="A149" s="811" t="s">
        <v>974</v>
      </c>
      <c r="B149" s="810"/>
      <c r="D149" s="812"/>
      <c r="F149" s="813"/>
      <c r="G149" s="812"/>
      <c r="H149" s="812"/>
      <c r="I149" s="812"/>
      <c r="J149" s="810"/>
      <c r="L149" s="810"/>
    </row>
    <row r="150" spans="1:14" s="811" customFormat="1" ht="12.75">
      <c r="A150" s="811" t="s">
        <v>976</v>
      </c>
      <c r="B150" s="810">
        <v>98.21</v>
      </c>
      <c r="D150" s="812">
        <v>97.62</v>
      </c>
      <c r="F150" s="813">
        <f ca="1">D150*$J$5</f>
        <v>5.7231110676757542</v>
      </c>
      <c r="G150" s="812"/>
      <c r="H150" s="812">
        <f ca="1">B150+F150</f>
        <v>103.93311106767575</v>
      </c>
      <c r="I150" s="812"/>
      <c r="J150" s="810">
        <f ca="1">+D150+F150</f>
        <v>103.34311106767576</v>
      </c>
      <c r="L150" s="810"/>
    </row>
    <row r="151" spans="1:14" s="811" customFormat="1" ht="12.75">
      <c r="A151" s="811" t="s">
        <v>544</v>
      </c>
      <c r="B151" s="810">
        <v>98.21</v>
      </c>
      <c r="D151" s="812">
        <v>97.62</v>
      </c>
      <c r="F151" s="813">
        <f ca="1">D151*$J$5</f>
        <v>5.7231110676757542</v>
      </c>
      <c r="G151" s="812"/>
      <c r="H151" s="812">
        <f ca="1">B151+F151</f>
        <v>103.93311106767575</v>
      </c>
      <c r="I151" s="812"/>
      <c r="J151" s="810">
        <f ca="1">+D151+F151</f>
        <v>103.34311106767576</v>
      </c>
      <c r="L151" s="810"/>
    </row>
    <row r="152" spans="1:14">
      <c r="D152" s="792"/>
      <c r="J152" s="791"/>
      <c r="K152" s="790"/>
      <c r="N152" s="790"/>
    </row>
    <row r="153" spans="1:14" s="814" customFormat="1" ht="12.75">
      <c r="A153" s="814" t="s">
        <v>978</v>
      </c>
      <c r="B153" s="820"/>
      <c r="D153" s="821"/>
      <c r="F153" s="822"/>
      <c r="G153" s="821"/>
      <c r="H153" s="821"/>
      <c r="I153" s="821"/>
      <c r="J153" s="820"/>
      <c r="L153" s="820"/>
    </row>
    <row r="154" spans="1:14" s="811" customFormat="1" ht="12.75">
      <c r="A154" s="811" t="s">
        <v>976</v>
      </c>
      <c r="B154" s="810">
        <v>56.21</v>
      </c>
      <c r="D154" s="812">
        <v>55.87</v>
      </c>
      <c r="F154" s="813">
        <f ca="1">D154*$J$5</f>
        <v>3.2754580552247941</v>
      </c>
      <c r="G154" s="812"/>
      <c r="H154" s="812">
        <f ca="1">B154+F154</f>
        <v>59.485458055224797</v>
      </c>
      <c r="I154" s="812"/>
      <c r="J154" s="810">
        <f ca="1">+D154+F154</f>
        <v>59.145458055224793</v>
      </c>
      <c r="L154" s="810"/>
    </row>
    <row r="155" spans="1:14" s="811" customFormat="1" ht="12.75">
      <c r="A155" s="811" t="s">
        <v>544</v>
      </c>
      <c r="B155" s="810">
        <v>56.21</v>
      </c>
      <c r="D155" s="812">
        <v>55.87</v>
      </c>
      <c r="F155" s="813">
        <f ca="1">D155*$J$5</f>
        <v>3.2754580552247941</v>
      </c>
      <c r="G155" s="812"/>
      <c r="H155" s="812">
        <f ca="1">B155+F155</f>
        <v>59.485458055224797</v>
      </c>
      <c r="I155" s="812"/>
      <c r="J155" s="810">
        <f ca="1">+D155+F155</f>
        <v>59.145458055224793</v>
      </c>
      <c r="L155" s="810"/>
    </row>
    <row r="156" spans="1:14" s="811" customFormat="1" ht="12.75">
      <c r="B156" s="810"/>
      <c r="D156" s="812"/>
      <c r="F156" s="813"/>
      <c r="G156" s="812"/>
      <c r="H156" s="812"/>
      <c r="I156" s="812"/>
      <c r="J156" s="810"/>
      <c r="L156" s="810"/>
    </row>
    <row r="157" spans="1:14" s="814" customFormat="1" ht="12.75">
      <c r="A157" s="814" t="s">
        <v>978</v>
      </c>
      <c r="B157" s="820"/>
      <c r="D157" s="821"/>
      <c r="F157" s="822"/>
      <c r="G157" s="821"/>
      <c r="H157" s="821"/>
      <c r="I157" s="821"/>
      <c r="J157" s="820"/>
      <c r="L157" s="820"/>
    </row>
    <row r="158" spans="1:14" s="811" customFormat="1" ht="12.75">
      <c r="A158" s="811" t="s">
        <v>976</v>
      </c>
      <c r="B158" s="810">
        <f>B150</f>
        <v>98.21</v>
      </c>
      <c r="D158" s="812">
        <f>D150</f>
        <v>97.62</v>
      </c>
      <c r="F158" s="813">
        <f ca="1">D158*$J$5</f>
        <v>5.7231110676757542</v>
      </c>
      <c r="G158" s="812"/>
      <c r="H158" s="812">
        <f ca="1">B158+F158</f>
        <v>103.93311106767575</v>
      </c>
      <c r="I158" s="812"/>
      <c r="J158" s="810">
        <f ca="1">+D158+F158</f>
        <v>103.34311106767576</v>
      </c>
      <c r="L158" s="810"/>
    </row>
    <row r="159" spans="1:14" s="811" customFormat="1" ht="12.75">
      <c r="A159" s="811" t="s">
        <v>544</v>
      </c>
      <c r="B159" s="810">
        <f>B151</f>
        <v>98.21</v>
      </c>
      <c r="D159" s="812">
        <f>D151</f>
        <v>97.62</v>
      </c>
      <c r="F159" s="813">
        <f ca="1">D159*$J$5</f>
        <v>5.7231110676757542</v>
      </c>
      <c r="G159" s="812"/>
      <c r="H159" s="812">
        <f ca="1">B159+F159</f>
        <v>103.93311106767575</v>
      </c>
      <c r="I159" s="812"/>
      <c r="J159" s="810">
        <f ca="1">+D159+F159</f>
        <v>103.34311106767576</v>
      </c>
      <c r="L159" s="810"/>
    </row>
    <row r="160" spans="1:14" s="811" customFormat="1" ht="12.75">
      <c r="B160" s="810"/>
      <c r="D160" s="812"/>
      <c r="F160" s="813"/>
      <c r="G160" s="812"/>
      <c r="H160" s="812"/>
      <c r="I160" s="812"/>
      <c r="J160" s="810"/>
      <c r="L160" s="810"/>
    </row>
    <row r="161" spans="1:14" s="811" customFormat="1" ht="12.75">
      <c r="A161" s="819" t="s">
        <v>980</v>
      </c>
      <c r="B161" s="815"/>
      <c r="C161" s="818"/>
      <c r="D161" s="816"/>
      <c r="E161" s="818"/>
      <c r="F161" s="817"/>
      <c r="G161" s="816"/>
      <c r="H161" s="816"/>
      <c r="I161" s="816"/>
      <c r="J161" s="815"/>
      <c r="L161" s="810"/>
    </row>
    <row r="162" spans="1:14" s="814" customFormat="1" ht="12.75">
      <c r="A162" s="814" t="s">
        <v>981</v>
      </c>
      <c r="B162" s="820"/>
      <c r="D162" s="821"/>
      <c r="F162" s="822"/>
      <c r="G162" s="821"/>
      <c r="H162" s="821"/>
      <c r="I162" s="821"/>
      <c r="J162" s="820"/>
      <c r="L162" s="820"/>
    </row>
    <row r="163" spans="1:14" s="811" customFormat="1" ht="12.75">
      <c r="A163" s="811" t="s">
        <v>906</v>
      </c>
      <c r="B163" s="810">
        <v>4.72</v>
      </c>
      <c r="D163" s="812">
        <v>4.6900000000000004</v>
      </c>
      <c r="F163" s="813">
        <f ca="1">D163*$J$5</f>
        <v>0.27495790726694619</v>
      </c>
      <c r="G163" s="812"/>
      <c r="H163" s="812">
        <f ca="1">B163+F163</f>
        <v>4.9949579072669463</v>
      </c>
      <c r="I163" s="812"/>
      <c r="J163" s="810">
        <f ca="1">+D163+F163</f>
        <v>4.964957907266947</v>
      </c>
      <c r="L163" s="810"/>
    </row>
    <row r="164" spans="1:14" s="811" customFormat="1" ht="12.75">
      <c r="A164" s="811" t="s">
        <v>1183</v>
      </c>
      <c r="B164" s="810">
        <v>0.99</v>
      </c>
      <c r="D164" s="812">
        <v>0.98</v>
      </c>
      <c r="F164" s="813">
        <f ca="1">D164*$J$5</f>
        <v>5.7453891070705171E-2</v>
      </c>
      <c r="G164" s="812"/>
      <c r="H164" s="812">
        <f ca="1">B164+F164</f>
        <v>1.0474538910707052</v>
      </c>
      <c r="I164" s="812"/>
      <c r="J164" s="810">
        <f ca="1">+D164+F164</f>
        <v>1.0374538910707052</v>
      </c>
      <c r="L164" s="810"/>
    </row>
    <row r="165" spans="1:14" s="811" customFormat="1" ht="12.75">
      <c r="A165" s="811" t="s">
        <v>1184</v>
      </c>
      <c r="B165" s="810">
        <v>1.37</v>
      </c>
      <c r="D165" s="812">
        <v>1.36</v>
      </c>
      <c r="F165" s="813">
        <f ca="1">D165*$J$5</f>
        <v>7.9731930465468406E-2</v>
      </c>
      <c r="G165" s="812"/>
      <c r="H165" s="812">
        <f ca="1">B165+F165</f>
        <v>1.4497319304654686</v>
      </c>
      <c r="I165" s="812"/>
      <c r="J165" s="810">
        <f ca="1">+D165+F165</f>
        <v>1.4397319304654685</v>
      </c>
      <c r="L165" s="810"/>
    </row>
    <row r="166" spans="1:14">
      <c r="D166" s="792"/>
      <c r="J166" s="791"/>
      <c r="K166" s="790"/>
      <c r="N166" s="790"/>
    </row>
    <row r="167" spans="1:14" s="811" customFormat="1" ht="12.75">
      <c r="A167" s="819" t="s">
        <v>1185</v>
      </c>
      <c r="B167" s="815"/>
      <c r="C167" s="818"/>
      <c r="D167" s="816"/>
      <c r="E167" s="818"/>
      <c r="F167" s="817"/>
      <c r="G167" s="816"/>
      <c r="H167" s="816"/>
      <c r="I167" s="816"/>
      <c r="J167" s="815"/>
      <c r="L167" s="810"/>
    </row>
    <row r="168" spans="1:14" s="814" customFormat="1" ht="12.75">
      <c r="A168" s="814" t="s">
        <v>982</v>
      </c>
      <c r="B168" s="820"/>
      <c r="D168" s="821"/>
      <c r="F168" s="822"/>
      <c r="G168" s="821"/>
      <c r="H168" s="821"/>
      <c r="I168" s="821"/>
      <c r="J168" s="820"/>
      <c r="L168" s="820"/>
    </row>
    <row r="169" spans="1:14" s="811" customFormat="1" ht="12.75">
      <c r="A169" s="811" t="s">
        <v>1186</v>
      </c>
      <c r="B169" s="810">
        <v>4.13</v>
      </c>
      <c r="D169" s="812">
        <v>4.1100000000000003</v>
      </c>
      <c r="F169" s="813">
        <f t="shared" ref="F169:F174" ca="1" si="12">D169*$J$5</f>
        <v>0.24095458398020234</v>
      </c>
      <c r="G169" s="812"/>
      <c r="H169" s="812">
        <f t="shared" ref="H169:H174" ca="1" si="13">B169+F169</f>
        <v>4.3709545839802022</v>
      </c>
      <c r="I169" s="812"/>
      <c r="J169" s="810">
        <f t="shared" ref="J169:J174" ca="1" si="14">+D169+F169</f>
        <v>4.3509545839802026</v>
      </c>
      <c r="L169" s="810"/>
    </row>
    <row r="170" spans="1:14" s="811" customFormat="1" ht="12.75">
      <c r="A170" s="811" t="s">
        <v>989</v>
      </c>
      <c r="B170" s="810">
        <v>5.0199999999999996</v>
      </c>
      <c r="D170" s="812">
        <v>4.99</v>
      </c>
      <c r="F170" s="813">
        <f t="shared" ca="1" si="12"/>
        <v>0.29254583310491716</v>
      </c>
      <c r="G170" s="812"/>
      <c r="H170" s="812">
        <f t="shared" ca="1" si="13"/>
        <v>5.3125458331049167</v>
      </c>
      <c r="I170" s="812"/>
      <c r="J170" s="810">
        <f t="shared" ca="1" si="14"/>
        <v>5.2825458331049173</v>
      </c>
      <c r="L170" s="810"/>
    </row>
    <row r="171" spans="1:14" s="811" customFormat="1" ht="12.75">
      <c r="A171" s="811" t="s">
        <v>1187</v>
      </c>
      <c r="B171" s="810">
        <v>10</v>
      </c>
      <c r="D171" s="812">
        <v>9.94</v>
      </c>
      <c r="F171" s="813">
        <f t="shared" ca="1" si="12"/>
        <v>0.58274660943143819</v>
      </c>
      <c r="G171" s="812"/>
      <c r="H171" s="812">
        <f t="shared" ca="1" si="13"/>
        <v>10.582746609431439</v>
      </c>
      <c r="I171" s="812"/>
      <c r="J171" s="810">
        <f t="shared" ca="1" si="14"/>
        <v>10.522746609431438</v>
      </c>
      <c r="L171" s="810"/>
    </row>
    <row r="172" spans="1:14" s="811" customFormat="1" ht="12.75">
      <c r="A172" s="811" t="s">
        <v>1188</v>
      </c>
      <c r="B172" s="810">
        <v>13.27</v>
      </c>
      <c r="D172" s="812">
        <v>13.19</v>
      </c>
      <c r="F172" s="813">
        <f t="shared" ca="1" si="12"/>
        <v>0.77328247267612371</v>
      </c>
      <c r="G172" s="812"/>
      <c r="H172" s="812">
        <f t="shared" ca="1" si="13"/>
        <v>14.043282472676124</v>
      </c>
      <c r="I172" s="812"/>
      <c r="J172" s="810">
        <f t="shared" ca="1" si="14"/>
        <v>13.963282472676124</v>
      </c>
      <c r="L172" s="810"/>
    </row>
    <row r="173" spans="1:14" s="811" customFormat="1" ht="12.75">
      <c r="A173" s="811" t="s">
        <v>1189</v>
      </c>
      <c r="B173" s="810">
        <v>19.809999999999999</v>
      </c>
      <c r="D173" s="812">
        <v>19.690000000000001</v>
      </c>
      <c r="F173" s="813">
        <f t="shared" ca="1" si="12"/>
        <v>1.1543541991654949</v>
      </c>
      <c r="G173" s="812"/>
      <c r="H173" s="812">
        <f t="shared" ca="1" si="13"/>
        <v>20.964354199165495</v>
      </c>
      <c r="I173" s="812"/>
      <c r="J173" s="810">
        <f t="shared" ca="1" si="14"/>
        <v>20.844354199165497</v>
      </c>
      <c r="L173" s="810"/>
    </row>
    <row r="174" spans="1:14" s="811" customFormat="1" ht="12.75">
      <c r="A174" s="811" t="s">
        <v>1190</v>
      </c>
      <c r="B174" s="810">
        <v>26.21</v>
      </c>
      <c r="D174" s="812">
        <v>26.05</v>
      </c>
      <c r="F174" s="813">
        <f t="shared" ca="1" si="12"/>
        <v>1.5272182269304795</v>
      </c>
      <c r="G174" s="812"/>
      <c r="H174" s="812">
        <f t="shared" ca="1" si="13"/>
        <v>27.73721822693048</v>
      </c>
      <c r="I174" s="812"/>
      <c r="J174" s="810">
        <f t="shared" ca="1" si="14"/>
        <v>27.57721822693048</v>
      </c>
      <c r="L174" s="810"/>
    </row>
    <row r="175" spans="1:14" s="811" customFormat="1" ht="12.75">
      <c r="B175" s="810"/>
      <c r="D175" s="812"/>
      <c r="F175" s="813"/>
      <c r="G175" s="812"/>
      <c r="H175" s="812"/>
      <c r="I175" s="812"/>
      <c r="J175" s="810"/>
      <c r="L175" s="810"/>
    </row>
    <row r="176" spans="1:14" s="811" customFormat="1" ht="12.75">
      <c r="A176" s="811" t="s">
        <v>1165</v>
      </c>
      <c r="B176" s="810">
        <v>0.78</v>
      </c>
      <c r="D176" s="812">
        <v>0.78</v>
      </c>
      <c r="F176" s="813">
        <f ca="1">D176*$J$5</f>
        <v>4.5728607178724526E-2</v>
      </c>
      <c r="G176" s="812"/>
      <c r="H176" s="812">
        <f ca="1">B176+F176</f>
        <v>0.82572860717872454</v>
      </c>
      <c r="I176" s="812"/>
      <c r="J176" s="810">
        <f ca="1">+D176+F176</f>
        <v>0.82572860717872454</v>
      </c>
      <c r="L176" s="810"/>
    </row>
    <row r="177" spans="1:14" s="811" customFormat="1" ht="12.75">
      <c r="A177" s="811" t="s">
        <v>1166</v>
      </c>
      <c r="B177" s="810">
        <v>1.02</v>
      </c>
      <c r="D177" s="812">
        <v>1.01</v>
      </c>
      <c r="F177" s="813">
        <f ca="1">D177*$J$5</f>
        <v>5.9212683654502274E-2</v>
      </c>
      <c r="G177" s="812"/>
      <c r="H177" s="812">
        <f ca="1">B177+F177</f>
        <v>1.0792126836545024</v>
      </c>
      <c r="I177" s="812"/>
      <c r="J177" s="810">
        <f ca="1">+D177+F177</f>
        <v>1.0692126836545022</v>
      </c>
      <c r="L177" s="810"/>
    </row>
    <row r="178" spans="1:14" s="811" customFormat="1" ht="12.75">
      <c r="A178" s="811" t="s">
        <v>1167</v>
      </c>
      <c r="B178" s="810">
        <v>1.5</v>
      </c>
      <c r="D178" s="812">
        <v>1.49</v>
      </c>
      <c r="F178" s="813">
        <f ca="1">D178*$J$5</f>
        <v>8.7353364995255825E-2</v>
      </c>
      <c r="G178" s="812"/>
      <c r="H178" s="812">
        <f ca="1">B178+F178</f>
        <v>1.5873533649952558</v>
      </c>
      <c r="I178" s="812"/>
      <c r="J178" s="810">
        <f ca="1">+D178+F178</f>
        <v>1.5773533649952558</v>
      </c>
      <c r="L178" s="810"/>
    </row>
    <row r="179" spans="1:14">
      <c r="D179" s="792"/>
      <c r="J179" s="791"/>
      <c r="K179" s="790"/>
      <c r="N179" s="790"/>
    </row>
    <row r="180" spans="1:14" s="811" customFormat="1" ht="12.75">
      <c r="A180" s="819" t="s">
        <v>983</v>
      </c>
      <c r="B180" s="815"/>
      <c r="C180" s="818"/>
      <c r="D180" s="816"/>
      <c r="E180" s="818"/>
      <c r="F180" s="817"/>
      <c r="G180" s="816"/>
      <c r="H180" s="816"/>
      <c r="I180" s="816"/>
      <c r="J180" s="815"/>
      <c r="L180" s="810"/>
    </row>
    <row r="181" spans="1:14" s="814" customFormat="1" ht="12.75">
      <c r="A181" s="814" t="s">
        <v>984</v>
      </c>
      <c r="B181" s="820"/>
      <c r="D181" s="821"/>
      <c r="F181" s="822"/>
      <c r="G181" s="821"/>
      <c r="H181" s="821"/>
      <c r="I181" s="821"/>
      <c r="J181" s="820"/>
      <c r="L181" s="820"/>
    </row>
    <row r="182" spans="1:14" s="811" customFormat="1" ht="12.75">
      <c r="A182" s="811" t="s">
        <v>985</v>
      </c>
      <c r="B182" s="810">
        <v>5.99</v>
      </c>
      <c r="D182" s="812">
        <v>5.95</v>
      </c>
      <c r="F182" s="813">
        <f ca="1">D182*$J$5</f>
        <v>0.34882719578642429</v>
      </c>
      <c r="G182" s="812"/>
      <c r="H182" s="812">
        <f ca="1">B182+F182</f>
        <v>6.3388271957864246</v>
      </c>
      <c r="I182" s="812"/>
      <c r="J182" s="810">
        <f ca="1">+D182+F182</f>
        <v>6.2988271957864246</v>
      </c>
      <c r="L182" s="810"/>
    </row>
    <row r="183" spans="1:14" s="811" customFormat="1" ht="12.75">
      <c r="A183" s="811" t="s">
        <v>1191</v>
      </c>
      <c r="B183" s="810">
        <v>35.94</v>
      </c>
      <c r="D183" s="812">
        <v>35.72</v>
      </c>
      <c r="F183" s="813">
        <f ca="1">D183*$J$5</f>
        <v>2.0941357031077437</v>
      </c>
      <c r="G183" s="812"/>
      <c r="H183" s="812">
        <f ca="1">B183+F183</f>
        <v>38.034135703107744</v>
      </c>
      <c r="I183" s="812"/>
      <c r="J183" s="810">
        <f ca="1">+D183+F183</f>
        <v>37.814135703107745</v>
      </c>
      <c r="L183" s="810"/>
    </row>
    <row r="184" spans="1:14" s="811" customFormat="1" ht="12.75">
      <c r="A184" s="811" t="s">
        <v>1192</v>
      </c>
      <c r="B184" s="810">
        <v>9.27</v>
      </c>
      <c r="D184" s="812">
        <v>9.2100000000000009</v>
      </c>
      <c r="F184" s="813">
        <f ca="1">D184*$J$5</f>
        <v>0.53994932322570888</v>
      </c>
      <c r="G184" s="812"/>
      <c r="H184" s="812">
        <f ca="1">B184+F184</f>
        <v>9.8099493232257089</v>
      </c>
      <c r="I184" s="812"/>
      <c r="J184" s="810">
        <f ca="1">+D184+F184</f>
        <v>9.7499493232257102</v>
      </c>
      <c r="L184" s="810"/>
    </row>
    <row r="185" spans="1:14">
      <c r="D185" s="792"/>
      <c r="J185" s="791"/>
      <c r="K185" s="790"/>
      <c r="N185" s="790"/>
    </row>
    <row r="186" spans="1:14" s="814" customFormat="1" ht="12.75">
      <c r="A186" s="814" t="s">
        <v>1193</v>
      </c>
      <c r="B186" s="820"/>
      <c r="D186" s="821"/>
      <c r="F186" s="822"/>
      <c r="G186" s="821"/>
      <c r="H186" s="821"/>
      <c r="I186" s="821"/>
      <c r="J186" s="820"/>
      <c r="L186" s="820"/>
    </row>
    <row r="187" spans="1:14" s="811" customFormat="1" ht="12.75">
      <c r="A187" s="811" t="s">
        <v>1194</v>
      </c>
      <c r="B187" s="810">
        <v>25.57</v>
      </c>
      <c r="D187" s="812">
        <v>25.42</v>
      </c>
      <c r="F187" s="813">
        <f ca="1">D187*$J$5</f>
        <v>1.4902835826707403</v>
      </c>
      <c r="G187" s="812"/>
      <c r="H187" s="812">
        <f ca="1">B187+F187</f>
        <v>27.060283582670742</v>
      </c>
      <c r="I187" s="812"/>
      <c r="J187" s="810">
        <f ca="1">+D187+F187</f>
        <v>26.910283582670743</v>
      </c>
      <c r="L187" s="810"/>
    </row>
    <row r="188" spans="1:14" s="811" customFormat="1" ht="12.75">
      <c r="A188" s="811" t="s">
        <v>1195</v>
      </c>
      <c r="B188" s="810">
        <v>40.840000000000003</v>
      </c>
      <c r="D188" s="812">
        <v>40.590000000000003</v>
      </c>
      <c r="F188" s="813">
        <f ca="1">D188*$J$5</f>
        <v>2.3796463658774729</v>
      </c>
      <c r="G188" s="812"/>
      <c r="H188" s="812">
        <f ca="1">B188+F188</f>
        <v>43.219646365877473</v>
      </c>
      <c r="I188" s="812"/>
      <c r="J188" s="810">
        <f ca="1">+D188+F188</f>
        <v>42.969646365877473</v>
      </c>
      <c r="L188" s="810"/>
    </row>
    <row r="189" spans="1:14" s="811" customFormat="1" ht="12.75">
      <c r="B189" s="810"/>
      <c r="D189" s="812"/>
      <c r="F189" s="813"/>
      <c r="G189" s="812"/>
      <c r="H189" s="812"/>
      <c r="I189" s="812"/>
      <c r="J189" s="810"/>
      <c r="L189" s="810"/>
    </row>
    <row r="190" spans="1:14" s="811" customFormat="1" ht="12.75">
      <c r="A190" s="819" t="s">
        <v>986</v>
      </c>
      <c r="B190" s="815"/>
      <c r="C190" s="818"/>
      <c r="D190" s="816"/>
      <c r="E190" s="818"/>
      <c r="F190" s="817"/>
      <c r="G190" s="816"/>
      <c r="H190" s="816"/>
      <c r="I190" s="816"/>
      <c r="J190" s="815"/>
      <c r="L190" s="810"/>
    </row>
    <row r="191" spans="1:14" s="811" customFormat="1" ht="12.75">
      <c r="A191" s="814" t="s">
        <v>987</v>
      </c>
      <c r="B191" s="810"/>
      <c r="D191" s="812"/>
      <c r="F191" s="813"/>
      <c r="G191" s="812"/>
      <c r="H191" s="812"/>
      <c r="I191" s="812"/>
      <c r="J191" s="810"/>
      <c r="L191" s="810"/>
    </row>
    <row r="192" spans="1:14" s="811" customFormat="1" ht="12.75">
      <c r="A192" s="811" t="s">
        <v>1025</v>
      </c>
      <c r="B192" s="810">
        <v>36.68</v>
      </c>
      <c r="D192" s="812">
        <v>36.68</v>
      </c>
      <c r="F192" s="813"/>
      <c r="G192" s="812"/>
      <c r="H192" s="812">
        <f>B192+F192</f>
        <v>36.68</v>
      </c>
      <c r="I192" s="812"/>
      <c r="J192" s="810">
        <f>+D192+F192</f>
        <v>36.68</v>
      </c>
      <c r="L192" s="810"/>
    </row>
    <row r="193" spans="1:20" s="811" customFormat="1" ht="12.75">
      <c r="A193" s="811" t="s">
        <v>206</v>
      </c>
      <c r="B193" s="810">
        <v>18.34</v>
      </c>
      <c r="D193" s="812">
        <v>18.34</v>
      </c>
      <c r="F193" s="813"/>
      <c r="G193" s="812"/>
      <c r="H193" s="812">
        <f>B193+F193</f>
        <v>18.34</v>
      </c>
      <c r="I193" s="812"/>
      <c r="J193" s="810">
        <f>+D193+F193</f>
        <v>18.34</v>
      </c>
      <c r="L193" s="810"/>
    </row>
    <row r="194" spans="1:20" s="811" customFormat="1" ht="12.75">
      <c r="A194" s="811" t="s">
        <v>1196</v>
      </c>
      <c r="B194" s="810">
        <v>36.68</v>
      </c>
      <c r="D194" s="812">
        <v>36.68</v>
      </c>
      <c r="F194" s="813"/>
      <c r="G194" s="812"/>
      <c r="H194" s="812">
        <f>B194+F194</f>
        <v>36.68</v>
      </c>
      <c r="I194" s="812"/>
      <c r="J194" s="810">
        <f>+D194+F194</f>
        <v>36.68</v>
      </c>
      <c r="L194" s="810"/>
    </row>
    <row r="195" spans="1:20" s="811" customFormat="1" ht="12.75">
      <c r="B195" s="810"/>
      <c r="D195" s="812"/>
      <c r="F195" s="813"/>
      <c r="G195" s="812"/>
      <c r="H195" s="812"/>
      <c r="I195" s="812"/>
      <c r="J195" s="810"/>
      <c r="L195" s="810"/>
    </row>
    <row r="196" spans="1:20" s="811" customFormat="1" ht="12.75">
      <c r="A196" s="819" t="s">
        <v>1197</v>
      </c>
      <c r="B196" s="815"/>
      <c r="C196" s="818"/>
      <c r="D196" s="816"/>
      <c r="E196" s="818"/>
      <c r="F196" s="817"/>
      <c r="G196" s="816"/>
      <c r="H196" s="816"/>
      <c r="I196" s="816"/>
      <c r="J196" s="815"/>
      <c r="L196" s="810"/>
    </row>
    <row r="197" spans="1:20" s="810" customFormat="1" ht="12.75">
      <c r="A197" s="829" t="s">
        <v>988</v>
      </c>
      <c r="C197" s="811"/>
      <c r="D197" s="812"/>
      <c r="E197" s="811"/>
      <c r="F197" s="813"/>
      <c r="G197" s="812"/>
      <c r="H197" s="812"/>
      <c r="I197" s="812"/>
      <c r="K197" s="811"/>
      <c r="M197" s="811"/>
      <c r="N197" s="811"/>
      <c r="O197" s="811"/>
      <c r="P197" s="811"/>
      <c r="Q197" s="811"/>
      <c r="R197" s="811"/>
      <c r="S197" s="811"/>
      <c r="T197" s="811"/>
    </row>
    <row r="198" spans="1:20" s="810" customFormat="1" ht="12.75">
      <c r="A198" s="811" t="s">
        <v>1186</v>
      </c>
      <c r="B198" s="810">
        <v>11.51</v>
      </c>
      <c r="C198" s="811"/>
      <c r="D198" s="812">
        <v>11.44</v>
      </c>
      <c r="E198" s="811"/>
      <c r="F198" s="813">
        <f t="shared" ref="F198:F203" ca="1" si="15">D198*$J$5</f>
        <v>0.67068623862129306</v>
      </c>
      <c r="G198" s="812"/>
      <c r="H198" s="812">
        <f t="shared" ref="H198:H203" ca="1" si="16">B198+F198</f>
        <v>12.180686238621293</v>
      </c>
      <c r="I198" s="812"/>
      <c r="J198" s="810">
        <f t="shared" ref="J198:J203" ca="1" si="17">+D198+F198</f>
        <v>12.110686238621293</v>
      </c>
      <c r="K198" s="811"/>
      <c r="M198" s="811"/>
      <c r="N198" s="811"/>
      <c r="O198" s="811"/>
      <c r="P198" s="811"/>
      <c r="Q198" s="811"/>
      <c r="R198" s="811"/>
      <c r="S198" s="811"/>
      <c r="T198" s="811"/>
    </row>
    <row r="199" spans="1:20" s="810" customFormat="1" ht="12.75">
      <c r="A199" s="811" t="s">
        <v>989</v>
      </c>
      <c r="B199" s="810">
        <v>11.76</v>
      </c>
      <c r="C199" s="811"/>
      <c r="D199" s="812">
        <v>11.69</v>
      </c>
      <c r="E199" s="811"/>
      <c r="F199" s="813">
        <f t="shared" ca="1" si="15"/>
        <v>0.68534284348626884</v>
      </c>
      <c r="G199" s="812"/>
      <c r="H199" s="812">
        <f t="shared" ca="1" si="16"/>
        <v>12.445342843486269</v>
      </c>
      <c r="I199" s="812"/>
      <c r="J199" s="810">
        <f t="shared" ca="1" si="17"/>
        <v>12.375342843486269</v>
      </c>
      <c r="K199" s="811"/>
      <c r="M199" s="811"/>
      <c r="N199" s="811"/>
      <c r="O199" s="811"/>
      <c r="P199" s="811"/>
      <c r="Q199" s="811"/>
      <c r="R199" s="811"/>
      <c r="S199" s="811"/>
      <c r="T199" s="811"/>
    </row>
    <row r="200" spans="1:20" s="810" customFormat="1" ht="12.75">
      <c r="A200" s="811" t="s">
        <v>1187</v>
      </c>
      <c r="B200" s="810">
        <v>14.24</v>
      </c>
      <c r="C200" s="811"/>
      <c r="D200" s="812">
        <v>14.15</v>
      </c>
      <c r="E200" s="811"/>
      <c r="F200" s="813">
        <f t="shared" ca="1" si="15"/>
        <v>0.8295638353576309</v>
      </c>
      <c r="G200" s="812"/>
      <c r="H200" s="812">
        <f t="shared" ca="1" si="16"/>
        <v>15.069563835357631</v>
      </c>
      <c r="I200" s="812"/>
      <c r="J200" s="810">
        <f t="shared" ca="1" si="17"/>
        <v>14.979563835357631</v>
      </c>
      <c r="K200" s="811"/>
      <c r="M200" s="811"/>
      <c r="N200" s="811"/>
      <c r="O200" s="811"/>
      <c r="P200" s="811"/>
      <c r="Q200" s="811"/>
      <c r="R200" s="811"/>
      <c r="S200" s="811"/>
      <c r="T200" s="811"/>
    </row>
    <row r="201" spans="1:20" s="810" customFormat="1" ht="12.75">
      <c r="A201" s="811" t="s">
        <v>1188</v>
      </c>
      <c r="B201" s="810">
        <v>17.309999999999999</v>
      </c>
      <c r="C201" s="811"/>
      <c r="D201" s="812">
        <v>17.21</v>
      </c>
      <c r="E201" s="811"/>
      <c r="F201" s="813">
        <f t="shared" ca="1" si="15"/>
        <v>1.0089606789049348</v>
      </c>
      <c r="G201" s="812"/>
      <c r="H201" s="812">
        <f t="shared" ca="1" si="16"/>
        <v>18.318960678904933</v>
      </c>
      <c r="I201" s="812"/>
      <c r="J201" s="810">
        <f t="shared" ca="1" si="17"/>
        <v>18.218960678904935</v>
      </c>
      <c r="K201" s="811"/>
      <c r="M201" s="811"/>
      <c r="N201" s="811"/>
      <c r="O201" s="811"/>
      <c r="P201" s="811"/>
      <c r="Q201" s="811"/>
      <c r="R201" s="811"/>
      <c r="S201" s="811"/>
      <c r="T201" s="811"/>
    </row>
    <row r="202" spans="1:20" s="810" customFormat="1" ht="12.75">
      <c r="A202" s="811" t="s">
        <v>1189</v>
      </c>
      <c r="B202" s="810">
        <v>20.07</v>
      </c>
      <c r="C202" s="811"/>
      <c r="D202" s="812">
        <v>19.95</v>
      </c>
      <c r="E202" s="811"/>
      <c r="F202" s="813">
        <f t="shared" ca="1" si="15"/>
        <v>1.1695970682250696</v>
      </c>
      <c r="G202" s="812"/>
      <c r="H202" s="812">
        <f t="shared" ca="1" si="16"/>
        <v>21.23959706822507</v>
      </c>
      <c r="I202" s="812"/>
      <c r="J202" s="810">
        <f t="shared" ca="1" si="17"/>
        <v>21.119597068225069</v>
      </c>
      <c r="K202" s="811"/>
      <c r="M202" s="811"/>
      <c r="N202" s="811"/>
      <c r="O202" s="811"/>
      <c r="P202" s="811"/>
      <c r="Q202" s="811"/>
      <c r="R202" s="811"/>
      <c r="S202" s="811"/>
      <c r="T202" s="811"/>
    </row>
    <row r="203" spans="1:20" s="810" customFormat="1" ht="12.75">
      <c r="A203" s="811" t="s">
        <v>1190</v>
      </c>
      <c r="B203" s="810">
        <v>26.76</v>
      </c>
      <c r="C203" s="811"/>
      <c r="D203" s="812">
        <v>26.6</v>
      </c>
      <c r="E203" s="811"/>
      <c r="F203" s="813">
        <f t="shared" ca="1" si="15"/>
        <v>1.5594627576334263</v>
      </c>
      <c r="G203" s="812"/>
      <c r="H203" s="812">
        <f t="shared" ca="1" si="16"/>
        <v>28.319462757633428</v>
      </c>
      <c r="I203" s="812"/>
      <c r="J203" s="810">
        <f t="shared" ca="1" si="17"/>
        <v>28.159462757633428</v>
      </c>
      <c r="K203" s="811"/>
      <c r="M203" s="811"/>
      <c r="N203" s="811"/>
      <c r="O203" s="811"/>
      <c r="P203" s="811"/>
      <c r="Q203" s="811"/>
      <c r="R203" s="811"/>
      <c r="S203" s="811"/>
      <c r="T203" s="811"/>
    </row>
    <row r="204" spans="1:20" s="810" customFormat="1" ht="12.75">
      <c r="A204" s="829"/>
      <c r="C204" s="811"/>
      <c r="D204" s="812"/>
      <c r="E204" s="811"/>
      <c r="F204" s="813"/>
      <c r="G204" s="812"/>
      <c r="H204" s="812"/>
      <c r="I204" s="812"/>
      <c r="K204" s="811"/>
      <c r="M204" s="811"/>
      <c r="N204" s="811"/>
      <c r="O204" s="811"/>
      <c r="P204" s="811"/>
      <c r="Q204" s="811"/>
      <c r="R204" s="811"/>
      <c r="S204" s="811"/>
      <c r="T204" s="811"/>
    </row>
    <row r="205" spans="1:20" s="810" customFormat="1" ht="12.75">
      <c r="A205" s="829" t="s">
        <v>990</v>
      </c>
      <c r="C205" s="811"/>
      <c r="D205" s="812"/>
      <c r="E205" s="811"/>
      <c r="F205" s="813"/>
      <c r="G205" s="812"/>
      <c r="H205" s="812"/>
      <c r="I205" s="812"/>
      <c r="K205" s="811"/>
      <c r="M205" s="811"/>
      <c r="N205" s="811"/>
      <c r="O205" s="811"/>
      <c r="P205" s="811"/>
      <c r="Q205" s="811"/>
      <c r="R205" s="811"/>
      <c r="S205" s="811"/>
      <c r="T205" s="811"/>
    </row>
    <row r="206" spans="1:20" s="810" customFormat="1" ht="12.75">
      <c r="A206" s="811" t="s">
        <v>1186</v>
      </c>
      <c r="B206" s="810">
        <v>7.47</v>
      </c>
      <c r="C206" s="811"/>
      <c r="D206" s="812">
        <v>7.43</v>
      </c>
      <c r="E206" s="811"/>
      <c r="F206" s="813">
        <f t="shared" ref="F206:F211" ca="1" si="18">D206*$J$5</f>
        <v>0.43559429658708104</v>
      </c>
      <c r="G206" s="812"/>
      <c r="H206" s="812">
        <f t="shared" ref="H206:H211" ca="1" si="19">B206+F206</f>
        <v>7.9055942965870809</v>
      </c>
      <c r="I206" s="812"/>
      <c r="J206" s="810">
        <f t="shared" ref="J206:J211" ca="1" si="20">+D206+F206</f>
        <v>7.8655942965870809</v>
      </c>
      <c r="K206" s="811"/>
      <c r="M206" s="811"/>
      <c r="N206" s="811"/>
      <c r="O206" s="811"/>
      <c r="P206" s="811"/>
      <c r="Q206" s="811"/>
      <c r="R206" s="811"/>
      <c r="S206" s="811"/>
      <c r="T206" s="811"/>
    </row>
    <row r="207" spans="1:20" s="810" customFormat="1" ht="12.75">
      <c r="A207" s="811" t="s">
        <v>989</v>
      </c>
      <c r="B207" s="810">
        <v>8.75</v>
      </c>
      <c r="C207" s="811"/>
      <c r="D207" s="812">
        <v>8.6999999999999993</v>
      </c>
      <c r="E207" s="811"/>
      <c r="F207" s="813">
        <f t="shared" ca="1" si="18"/>
        <v>0.51004984930115815</v>
      </c>
      <c r="G207" s="812"/>
      <c r="H207" s="812">
        <f t="shared" ca="1" si="19"/>
        <v>9.2600498493011578</v>
      </c>
      <c r="I207" s="812"/>
      <c r="J207" s="810">
        <f t="shared" ca="1" si="20"/>
        <v>9.2100498493011571</v>
      </c>
      <c r="K207" s="811"/>
      <c r="M207" s="811"/>
      <c r="N207" s="811"/>
      <c r="O207" s="811"/>
      <c r="P207" s="811"/>
      <c r="Q207" s="811"/>
      <c r="R207" s="811"/>
      <c r="S207" s="811"/>
      <c r="T207" s="811"/>
    </row>
    <row r="208" spans="1:20" s="810" customFormat="1" ht="12.75">
      <c r="A208" s="811" t="s">
        <v>1187</v>
      </c>
      <c r="B208" s="810">
        <v>15.24</v>
      </c>
      <c r="C208" s="811"/>
      <c r="D208" s="812">
        <v>15.15</v>
      </c>
      <c r="E208" s="811"/>
      <c r="F208" s="813">
        <f t="shared" ca="1" si="18"/>
        <v>0.88819025481753411</v>
      </c>
      <c r="G208" s="812"/>
      <c r="H208" s="812">
        <f t="shared" ca="1" si="19"/>
        <v>16.128190254817536</v>
      </c>
      <c r="I208" s="812"/>
      <c r="J208" s="810">
        <f t="shared" ca="1" si="20"/>
        <v>16.038190254817536</v>
      </c>
      <c r="K208" s="811"/>
      <c r="M208" s="811"/>
      <c r="N208" s="811"/>
      <c r="O208" s="811"/>
      <c r="P208" s="811"/>
      <c r="Q208" s="811"/>
      <c r="R208" s="811"/>
      <c r="S208" s="811"/>
      <c r="T208" s="811"/>
    </row>
    <row r="209" spans="1:20" s="810" customFormat="1" ht="12.75">
      <c r="A209" s="811" t="s">
        <v>1188</v>
      </c>
      <c r="B209" s="810">
        <v>20.079999999999998</v>
      </c>
      <c r="C209" s="811"/>
      <c r="D209" s="812">
        <v>19.96</v>
      </c>
      <c r="E209" s="811"/>
      <c r="F209" s="813">
        <f t="shared" ca="1" si="18"/>
        <v>1.1701833324196687</v>
      </c>
      <c r="G209" s="812"/>
      <c r="H209" s="812">
        <f t="shared" ca="1" si="19"/>
        <v>21.250183332419667</v>
      </c>
      <c r="I209" s="812"/>
      <c r="J209" s="810">
        <f t="shared" ca="1" si="20"/>
        <v>21.130183332419669</v>
      </c>
      <c r="K209" s="811"/>
      <c r="M209" s="811"/>
      <c r="N209" s="811"/>
      <c r="O209" s="811"/>
      <c r="P209" s="811"/>
      <c r="Q209" s="811"/>
      <c r="R209" s="811"/>
      <c r="S209" s="811"/>
      <c r="T209" s="811"/>
    </row>
    <row r="210" spans="1:20" s="810" customFormat="1" ht="12.75">
      <c r="A210" s="811" t="s">
        <v>1189</v>
      </c>
      <c r="B210" s="810">
        <v>27.33</v>
      </c>
      <c r="C210" s="811"/>
      <c r="D210" s="812">
        <v>27.17</v>
      </c>
      <c r="E210" s="811"/>
      <c r="F210" s="813">
        <f t="shared" ca="1" si="18"/>
        <v>1.5928798167255711</v>
      </c>
      <c r="G210" s="812"/>
      <c r="H210" s="812">
        <f t="shared" ca="1" si="19"/>
        <v>28.922879816725569</v>
      </c>
      <c r="I210" s="812"/>
      <c r="J210" s="810">
        <f t="shared" ca="1" si="20"/>
        <v>28.762879816725572</v>
      </c>
      <c r="K210" s="811"/>
      <c r="M210" s="811"/>
      <c r="N210" s="811"/>
      <c r="O210" s="811"/>
      <c r="P210" s="811"/>
      <c r="Q210" s="811"/>
      <c r="R210" s="811"/>
      <c r="S210" s="811"/>
      <c r="T210" s="811"/>
    </row>
    <row r="211" spans="1:20" s="810" customFormat="1" ht="12.75">
      <c r="A211" s="811" t="s">
        <v>1190</v>
      </c>
      <c r="B211" s="810">
        <v>36.71</v>
      </c>
      <c r="C211" s="811"/>
      <c r="D211" s="812">
        <v>36.49</v>
      </c>
      <c r="E211" s="811"/>
      <c r="F211" s="813">
        <f t="shared" ca="1" si="18"/>
        <v>2.1392780460918694</v>
      </c>
      <c r="G211" s="812"/>
      <c r="H211" s="812">
        <f t="shared" ca="1" si="19"/>
        <v>38.849278046091868</v>
      </c>
      <c r="I211" s="812"/>
      <c r="J211" s="810">
        <f t="shared" ca="1" si="20"/>
        <v>38.629278046091869</v>
      </c>
      <c r="K211" s="811"/>
      <c r="M211" s="811"/>
      <c r="N211" s="811"/>
      <c r="O211" s="811"/>
      <c r="P211" s="811"/>
      <c r="Q211" s="811"/>
      <c r="R211" s="811"/>
      <c r="S211" s="811"/>
      <c r="T211" s="811"/>
    </row>
    <row r="212" spans="1:20" s="810" customFormat="1" ht="12.75">
      <c r="A212" s="827"/>
      <c r="B212" s="810" t="s">
        <v>940</v>
      </c>
      <c r="C212" s="811"/>
      <c r="D212" s="812"/>
      <c r="E212" s="811"/>
      <c r="F212" s="813"/>
      <c r="G212" s="812"/>
      <c r="H212" s="812"/>
      <c r="I212" s="812"/>
      <c r="K212" s="811"/>
      <c r="M212" s="811"/>
      <c r="N212" s="811"/>
      <c r="O212" s="811"/>
      <c r="P212" s="811"/>
      <c r="Q212" s="811"/>
      <c r="R212" s="811"/>
      <c r="S212" s="811"/>
      <c r="T212" s="811"/>
    </row>
    <row r="213" spans="1:20" s="810" customFormat="1" ht="12.75">
      <c r="A213" s="814" t="s">
        <v>991</v>
      </c>
      <c r="C213" s="811"/>
      <c r="D213" s="812"/>
      <c r="E213" s="811"/>
      <c r="F213" s="813"/>
      <c r="G213" s="812"/>
      <c r="H213" s="812"/>
      <c r="I213" s="812"/>
      <c r="K213" s="811"/>
      <c r="M213" s="811"/>
      <c r="N213" s="811"/>
      <c r="O213" s="811"/>
      <c r="P213" s="811"/>
      <c r="Q213" s="811"/>
      <c r="R213" s="811"/>
      <c r="S213" s="811"/>
      <c r="T213" s="811"/>
    </row>
    <row r="214" spans="1:20" s="810" customFormat="1" ht="12.75">
      <c r="A214" s="811" t="s">
        <v>1186</v>
      </c>
      <c r="B214" s="810">
        <v>11.74</v>
      </c>
      <c r="C214" s="811"/>
      <c r="D214" s="812">
        <v>11.67</v>
      </c>
      <c r="E214" s="811"/>
      <c r="F214" s="813">
        <f t="shared" ref="F214:F219" ca="1" si="21">D214*$J$5</f>
        <v>0.68417031509707082</v>
      </c>
      <c r="G214" s="812"/>
      <c r="H214" s="812">
        <f t="shared" ref="H214:H219" ca="1" si="22">B214+F214</f>
        <v>12.42417031509707</v>
      </c>
      <c r="I214" s="812"/>
      <c r="J214" s="810">
        <f t="shared" ref="J214:J219" ca="1" si="23">+D214+F214</f>
        <v>12.35417031509707</v>
      </c>
      <c r="K214" s="811"/>
      <c r="M214" s="811"/>
      <c r="N214" s="811"/>
      <c r="O214" s="811"/>
      <c r="P214" s="811"/>
      <c r="Q214" s="811"/>
      <c r="R214" s="811"/>
      <c r="S214" s="811"/>
      <c r="T214" s="811"/>
    </row>
    <row r="215" spans="1:20" s="810" customFormat="1" ht="12.75">
      <c r="A215" s="811" t="s">
        <v>989</v>
      </c>
      <c r="B215" s="810">
        <v>12.4</v>
      </c>
      <c r="C215" s="811"/>
      <c r="D215" s="812">
        <v>12.33</v>
      </c>
      <c r="E215" s="811"/>
      <c r="F215" s="813">
        <f t="shared" ca="1" si="21"/>
        <v>0.72286375194060692</v>
      </c>
      <c r="G215" s="812"/>
      <c r="H215" s="812">
        <f t="shared" ca="1" si="22"/>
        <v>13.122863751940606</v>
      </c>
      <c r="I215" s="812"/>
      <c r="J215" s="810">
        <f t="shared" ca="1" si="23"/>
        <v>13.052863751940606</v>
      </c>
      <c r="K215" s="811"/>
      <c r="M215" s="811"/>
      <c r="N215" s="811"/>
      <c r="O215" s="811"/>
      <c r="P215" s="811"/>
      <c r="Q215" s="811"/>
      <c r="R215" s="811"/>
      <c r="S215" s="811"/>
      <c r="T215" s="811"/>
    </row>
    <row r="216" spans="1:20" s="810" customFormat="1" ht="12.75">
      <c r="A216" s="811" t="s">
        <v>1187</v>
      </c>
      <c r="B216" s="810">
        <v>20.12</v>
      </c>
      <c r="C216" s="811"/>
      <c r="D216" s="812">
        <v>20</v>
      </c>
      <c r="E216" s="811"/>
      <c r="F216" s="813">
        <f t="shared" ca="1" si="21"/>
        <v>1.1725283891980647</v>
      </c>
      <c r="G216" s="812"/>
      <c r="H216" s="812">
        <f t="shared" ca="1" si="22"/>
        <v>21.292528389198065</v>
      </c>
      <c r="I216" s="812"/>
      <c r="J216" s="810">
        <f t="shared" ca="1" si="23"/>
        <v>21.172528389198064</v>
      </c>
      <c r="K216" s="811"/>
      <c r="M216" s="811"/>
      <c r="N216" s="811"/>
      <c r="O216" s="811"/>
      <c r="P216" s="811"/>
      <c r="Q216" s="811"/>
      <c r="R216" s="811"/>
      <c r="S216" s="811"/>
      <c r="T216" s="811"/>
    </row>
    <row r="217" spans="1:20" s="810" customFormat="1" ht="12.75">
      <c r="A217" s="811" t="s">
        <v>1188</v>
      </c>
      <c r="B217" s="810">
        <v>24.28</v>
      </c>
      <c r="C217" s="811"/>
      <c r="D217" s="812">
        <v>24.13</v>
      </c>
      <c r="E217" s="811"/>
      <c r="F217" s="813">
        <f t="shared" ca="1" si="21"/>
        <v>1.4146555015674651</v>
      </c>
      <c r="G217" s="812"/>
      <c r="H217" s="812">
        <f t="shared" ca="1" si="22"/>
        <v>25.694655501567468</v>
      </c>
      <c r="I217" s="812"/>
      <c r="J217" s="810">
        <f t="shared" ca="1" si="23"/>
        <v>25.544655501567465</v>
      </c>
      <c r="K217" s="811"/>
      <c r="M217" s="811"/>
      <c r="N217" s="811"/>
      <c r="O217" s="811"/>
      <c r="P217" s="811"/>
      <c r="Q217" s="811"/>
      <c r="R217" s="811"/>
      <c r="S217" s="811"/>
      <c r="T217" s="811"/>
    </row>
    <row r="218" spans="1:20" s="810" customFormat="1" ht="12.75">
      <c r="A218" s="811" t="s">
        <v>1189</v>
      </c>
      <c r="B218" s="810">
        <v>33.14</v>
      </c>
      <c r="C218" s="811"/>
      <c r="D218" s="812">
        <v>32.94</v>
      </c>
      <c r="E218" s="811"/>
      <c r="F218" s="813">
        <f t="shared" ca="1" si="21"/>
        <v>1.9311542570092126</v>
      </c>
      <c r="G218" s="812"/>
      <c r="H218" s="812">
        <f t="shared" ca="1" si="22"/>
        <v>35.071154257009212</v>
      </c>
      <c r="I218" s="812"/>
      <c r="J218" s="810">
        <f t="shared" ca="1" si="23"/>
        <v>34.871154257009209</v>
      </c>
      <c r="K218" s="811"/>
      <c r="M218" s="811"/>
      <c r="N218" s="811"/>
      <c r="O218" s="811"/>
      <c r="P218" s="811"/>
      <c r="Q218" s="811"/>
      <c r="R218" s="811"/>
      <c r="S218" s="811"/>
      <c r="T218" s="811"/>
    </row>
    <row r="219" spans="1:20" s="810" customFormat="1" ht="12.75">
      <c r="A219" s="811" t="s">
        <v>1190</v>
      </c>
      <c r="B219" s="810">
        <v>44.47</v>
      </c>
      <c r="C219" s="811"/>
      <c r="D219" s="812">
        <v>44.2</v>
      </c>
      <c r="E219" s="811"/>
      <c r="F219" s="813">
        <f t="shared" ca="1" si="21"/>
        <v>2.5912877401277234</v>
      </c>
      <c r="G219" s="812"/>
      <c r="H219" s="812">
        <f t="shared" ca="1" si="22"/>
        <v>47.061287740127725</v>
      </c>
      <c r="I219" s="812"/>
      <c r="J219" s="810">
        <f t="shared" ca="1" si="23"/>
        <v>46.791287740127729</v>
      </c>
      <c r="K219" s="811"/>
      <c r="M219" s="811"/>
      <c r="N219" s="811"/>
      <c r="O219" s="811"/>
      <c r="P219" s="811"/>
      <c r="Q219" s="811"/>
      <c r="R219" s="811"/>
      <c r="S219" s="811"/>
      <c r="T219" s="811"/>
    </row>
    <row r="220" spans="1:20" s="810" customFormat="1" ht="12.75">
      <c r="A220" s="827"/>
      <c r="B220" s="810" t="s">
        <v>940</v>
      </c>
      <c r="C220" s="811"/>
      <c r="D220" s="812"/>
      <c r="E220" s="811"/>
      <c r="F220" s="813"/>
      <c r="G220" s="812"/>
      <c r="H220" s="812"/>
      <c r="I220" s="812"/>
      <c r="K220" s="811"/>
      <c r="M220" s="811"/>
      <c r="N220" s="811"/>
      <c r="O220" s="811"/>
      <c r="P220" s="811"/>
      <c r="Q220" s="811"/>
      <c r="R220" s="811"/>
      <c r="S220" s="811"/>
      <c r="T220" s="811"/>
    </row>
    <row r="221" spans="1:20" s="810" customFormat="1" ht="12.75">
      <c r="A221" s="829" t="s">
        <v>992</v>
      </c>
      <c r="C221" s="811"/>
      <c r="D221" s="812"/>
      <c r="E221" s="811"/>
      <c r="F221" s="813"/>
      <c r="G221" s="812"/>
      <c r="H221" s="812"/>
      <c r="I221" s="812"/>
      <c r="K221" s="811"/>
      <c r="M221" s="811"/>
      <c r="N221" s="811"/>
      <c r="O221" s="811"/>
      <c r="P221" s="811"/>
      <c r="Q221" s="811"/>
      <c r="R221" s="811"/>
      <c r="S221" s="811"/>
      <c r="T221" s="811"/>
    </row>
    <row r="222" spans="1:20" s="810" customFormat="1" ht="12.75">
      <c r="A222" s="829" t="s">
        <v>993</v>
      </c>
      <c r="C222" s="811"/>
      <c r="D222" s="812"/>
      <c r="E222" s="811"/>
      <c r="F222" s="813"/>
      <c r="G222" s="812"/>
      <c r="H222" s="812"/>
      <c r="I222" s="812"/>
      <c r="K222" s="811"/>
      <c r="M222" s="811"/>
      <c r="N222" s="811"/>
      <c r="O222" s="811"/>
      <c r="P222" s="811"/>
      <c r="Q222" s="811"/>
      <c r="R222" s="811"/>
      <c r="S222" s="811"/>
      <c r="T222" s="811"/>
    </row>
    <row r="223" spans="1:20" s="810" customFormat="1" ht="12.75">
      <c r="A223" s="811" t="s">
        <v>1186</v>
      </c>
      <c r="B223" s="810">
        <v>21.85</v>
      </c>
      <c r="C223" s="811"/>
      <c r="D223" s="812">
        <v>21.72</v>
      </c>
      <c r="E223" s="811"/>
      <c r="F223" s="813">
        <f ca="1">D223*$J$5</f>
        <v>1.2733658306690983</v>
      </c>
      <c r="G223" s="812"/>
      <c r="H223" s="812">
        <f ca="1">B223+F223</f>
        <v>23.123365830669101</v>
      </c>
      <c r="I223" s="812"/>
      <c r="J223" s="810">
        <f ca="1">+D223+F223</f>
        <v>22.993365830669099</v>
      </c>
      <c r="K223" s="811"/>
      <c r="M223" s="811"/>
      <c r="N223" s="811"/>
      <c r="O223" s="811"/>
      <c r="P223" s="811"/>
      <c r="Q223" s="811"/>
      <c r="R223" s="811"/>
      <c r="S223" s="811"/>
      <c r="T223" s="811"/>
    </row>
    <row r="224" spans="1:20" s="810" customFormat="1" ht="12.75">
      <c r="A224" s="811" t="s">
        <v>989</v>
      </c>
      <c r="B224" s="810">
        <v>21.85</v>
      </c>
      <c r="C224" s="811"/>
      <c r="D224" s="812">
        <v>21.72</v>
      </c>
      <c r="E224" s="811"/>
      <c r="F224" s="813">
        <f ca="1">D224*$J$5</f>
        <v>1.2733658306690983</v>
      </c>
      <c r="G224" s="812"/>
      <c r="H224" s="812">
        <f ca="1">B224+F224</f>
        <v>23.123365830669101</v>
      </c>
      <c r="I224" s="812"/>
      <c r="J224" s="810">
        <f ca="1">+D224+F224</f>
        <v>22.993365830669099</v>
      </c>
      <c r="K224" s="811"/>
      <c r="M224" s="811"/>
      <c r="N224" s="811"/>
      <c r="O224" s="811"/>
      <c r="P224" s="811"/>
      <c r="Q224" s="811"/>
      <c r="R224" s="811"/>
      <c r="S224" s="811"/>
      <c r="T224" s="811"/>
    </row>
    <row r="225" spans="1:20" s="810" customFormat="1" ht="12.75">
      <c r="A225" s="811" t="s">
        <v>1187</v>
      </c>
      <c r="B225" s="810">
        <v>26.93</v>
      </c>
      <c r="C225" s="811"/>
      <c r="D225" s="812">
        <v>26.77</v>
      </c>
      <c r="E225" s="811"/>
      <c r="F225" s="813">
        <f ca="1">D225*$J$5</f>
        <v>1.5694292489416097</v>
      </c>
      <c r="G225" s="812"/>
      <c r="H225" s="812">
        <f ca="1">B225+F225</f>
        <v>28.49942924894161</v>
      </c>
      <c r="I225" s="812"/>
      <c r="J225" s="810">
        <f ca="1">+D225+F225</f>
        <v>28.33942924894161</v>
      </c>
      <c r="K225" s="811"/>
      <c r="M225" s="811"/>
      <c r="N225" s="811"/>
      <c r="O225" s="811"/>
      <c r="P225" s="811"/>
      <c r="Q225" s="811"/>
      <c r="R225" s="811"/>
      <c r="S225" s="811"/>
      <c r="T225" s="811"/>
    </row>
    <row r="226" spans="1:20" s="810" customFormat="1" ht="12.75">
      <c r="A226" s="811" t="s">
        <v>1188</v>
      </c>
      <c r="B226" s="810">
        <v>26.93</v>
      </c>
      <c r="C226" s="811"/>
      <c r="D226" s="812">
        <v>26.77</v>
      </c>
      <c r="E226" s="811"/>
      <c r="F226" s="813">
        <f ca="1">D226*$J$5</f>
        <v>1.5694292489416097</v>
      </c>
      <c r="G226" s="812"/>
      <c r="H226" s="812">
        <f ca="1">B226+F226</f>
        <v>28.49942924894161</v>
      </c>
      <c r="I226" s="812"/>
      <c r="J226" s="810">
        <f ca="1">+D226+F226</f>
        <v>28.33942924894161</v>
      </c>
      <c r="K226" s="811"/>
      <c r="M226" s="811"/>
      <c r="N226" s="811"/>
      <c r="O226" s="811"/>
      <c r="P226" s="811"/>
      <c r="Q226" s="811"/>
      <c r="R226" s="811"/>
      <c r="S226" s="811"/>
      <c r="T226" s="811"/>
    </row>
    <row r="227" spans="1:20" s="810" customFormat="1" ht="12.75">
      <c r="A227" s="811" t="s">
        <v>1189</v>
      </c>
      <c r="B227" s="810">
        <v>31.31</v>
      </c>
      <c r="C227" s="811"/>
      <c r="D227" s="812">
        <v>31.12</v>
      </c>
      <c r="E227" s="811"/>
      <c r="F227" s="813">
        <f ca="1">D227*$J$5</f>
        <v>1.8244541735921889</v>
      </c>
      <c r="G227" s="812"/>
      <c r="H227" s="812">
        <f ca="1">B227+F227</f>
        <v>33.134454173592189</v>
      </c>
      <c r="I227" s="812"/>
      <c r="J227" s="810">
        <f ca="1">+D227+F227</f>
        <v>32.944454173592192</v>
      </c>
      <c r="K227" s="811"/>
      <c r="M227" s="811"/>
      <c r="N227" s="811"/>
      <c r="O227" s="811"/>
      <c r="P227" s="811"/>
      <c r="Q227" s="811"/>
      <c r="R227" s="811"/>
      <c r="S227" s="811"/>
      <c r="T227" s="811"/>
    </row>
    <row r="228" spans="1:20" s="810" customFormat="1" ht="12.75">
      <c r="A228" s="811"/>
      <c r="C228" s="811"/>
      <c r="D228" s="812"/>
      <c r="E228" s="811"/>
      <c r="F228" s="813"/>
      <c r="G228" s="812"/>
      <c r="H228" s="812"/>
      <c r="I228" s="812"/>
      <c r="K228" s="811"/>
      <c r="M228" s="811"/>
      <c r="N228" s="811"/>
      <c r="O228" s="811"/>
      <c r="P228" s="811"/>
      <c r="Q228" s="811"/>
      <c r="R228" s="811"/>
      <c r="S228" s="811"/>
      <c r="T228" s="811"/>
    </row>
    <row r="229" spans="1:20" s="810" customFormat="1" ht="12.75">
      <c r="A229" s="811" t="s">
        <v>990</v>
      </c>
      <c r="C229" s="811"/>
      <c r="D229" s="812"/>
      <c r="E229" s="811"/>
      <c r="F229" s="813"/>
      <c r="G229" s="812"/>
      <c r="H229" s="812"/>
      <c r="I229" s="812"/>
      <c r="K229" s="811"/>
      <c r="M229" s="811"/>
      <c r="N229" s="811"/>
      <c r="O229" s="811"/>
      <c r="P229" s="811"/>
      <c r="Q229" s="811"/>
      <c r="R229" s="811"/>
      <c r="S229" s="811"/>
      <c r="T229" s="811"/>
    </row>
    <row r="230" spans="1:20" s="810" customFormat="1" ht="12.75">
      <c r="A230" s="811" t="s">
        <v>1186</v>
      </c>
      <c r="B230" s="810">
        <v>10.95</v>
      </c>
      <c r="C230" s="811"/>
      <c r="D230" s="812">
        <v>10.88</v>
      </c>
      <c r="E230" s="811"/>
      <c r="F230" s="813">
        <f ca="1">D230*$J$5</f>
        <v>0.63785544372374725</v>
      </c>
      <c r="G230" s="812"/>
      <c r="H230" s="812">
        <f ca="1">B230+F230</f>
        <v>11.587855443723747</v>
      </c>
      <c r="I230" s="812"/>
      <c r="J230" s="810">
        <f ca="1">+D230+F230</f>
        <v>11.517855443723748</v>
      </c>
      <c r="K230" s="811"/>
      <c r="M230" s="811"/>
      <c r="N230" s="811"/>
      <c r="O230" s="811"/>
      <c r="P230" s="811"/>
      <c r="Q230" s="811"/>
      <c r="R230" s="811"/>
      <c r="S230" s="811"/>
      <c r="T230" s="811"/>
    </row>
    <row r="231" spans="1:20" s="810" customFormat="1" ht="12.75">
      <c r="A231" s="811" t="s">
        <v>989</v>
      </c>
      <c r="B231" s="810">
        <v>11.79</v>
      </c>
      <c r="C231" s="811"/>
      <c r="D231" s="812">
        <v>11.72</v>
      </c>
      <c r="E231" s="811"/>
      <c r="F231" s="813">
        <f ca="1">D231*$J$5</f>
        <v>0.68710163607006602</v>
      </c>
      <c r="G231" s="812"/>
      <c r="H231" s="812">
        <f ca="1">B231+F231</f>
        <v>12.477101636070065</v>
      </c>
      <c r="I231" s="812"/>
      <c r="J231" s="810">
        <f ca="1">+D231+F231</f>
        <v>12.407101636070067</v>
      </c>
      <c r="K231" s="811"/>
      <c r="M231" s="811"/>
      <c r="N231" s="811"/>
      <c r="O231" s="811"/>
      <c r="P231" s="811"/>
      <c r="Q231" s="811"/>
      <c r="R231" s="811"/>
      <c r="S231" s="811"/>
      <c r="T231" s="811"/>
    </row>
    <row r="232" spans="1:20" s="810" customFormat="1" ht="12.75">
      <c r="A232" s="811" t="s">
        <v>1187</v>
      </c>
      <c r="B232" s="810">
        <v>21.66</v>
      </c>
      <c r="C232" s="811"/>
      <c r="D232" s="812">
        <v>21.53</v>
      </c>
      <c r="E232" s="811"/>
      <c r="F232" s="813">
        <f ca="1">D232*$J$5</f>
        <v>1.2622268109717167</v>
      </c>
      <c r="G232" s="812"/>
      <c r="H232" s="812">
        <f ca="1">B232+F232</f>
        <v>22.922226810971718</v>
      </c>
      <c r="I232" s="812"/>
      <c r="J232" s="810">
        <f ca="1">+D232+F232</f>
        <v>22.792226810971719</v>
      </c>
      <c r="K232" s="811"/>
      <c r="M232" s="811"/>
      <c r="N232" s="811"/>
      <c r="O232" s="811"/>
      <c r="P232" s="811"/>
      <c r="Q232" s="811"/>
      <c r="R232" s="811"/>
      <c r="S232" s="811"/>
      <c r="T232" s="811"/>
    </row>
    <row r="233" spans="1:20" s="810" customFormat="1" ht="12.75">
      <c r="A233" s="811" t="s">
        <v>1188</v>
      </c>
      <c r="B233" s="810">
        <v>28.13</v>
      </c>
      <c r="C233" s="811"/>
      <c r="D233" s="812">
        <v>27.96</v>
      </c>
      <c r="E233" s="811"/>
      <c r="F233" s="813">
        <f ca="1">D233*$J$5</f>
        <v>1.6391946880988946</v>
      </c>
      <c r="G233" s="812"/>
      <c r="H233" s="812">
        <f ca="1">B233+F233</f>
        <v>29.769194688098892</v>
      </c>
      <c r="I233" s="812"/>
      <c r="J233" s="810">
        <f ca="1">+D233+F233</f>
        <v>29.599194688098894</v>
      </c>
      <c r="K233" s="811"/>
      <c r="M233" s="811"/>
      <c r="N233" s="811"/>
      <c r="O233" s="811"/>
      <c r="P233" s="811"/>
      <c r="Q233" s="811"/>
      <c r="R233" s="811"/>
      <c r="S233" s="811"/>
      <c r="T233" s="811"/>
    </row>
    <row r="234" spans="1:20" s="811" customFormat="1" ht="12.75">
      <c r="A234" s="811" t="s">
        <v>1189</v>
      </c>
      <c r="B234" s="810">
        <v>33.72</v>
      </c>
      <c r="D234" s="812">
        <v>33.520000000000003</v>
      </c>
      <c r="F234" s="813">
        <f ca="1">D234*$J$5</f>
        <v>1.9651575802959567</v>
      </c>
      <c r="G234" s="812"/>
      <c r="H234" s="812">
        <f ca="1">B234+F234</f>
        <v>35.685157580295957</v>
      </c>
      <c r="I234" s="812"/>
      <c r="J234" s="810">
        <f ca="1">+D234+F234</f>
        <v>35.485157580295962</v>
      </c>
      <c r="L234" s="810"/>
    </row>
    <row r="235" spans="1:20" s="811" customFormat="1" ht="12.75">
      <c r="A235" s="827"/>
      <c r="B235" s="810" t="s">
        <v>940</v>
      </c>
      <c r="D235" s="812"/>
      <c r="F235" s="813"/>
      <c r="G235" s="812"/>
      <c r="H235" s="812"/>
      <c r="I235" s="812"/>
      <c r="J235" s="810"/>
      <c r="L235" s="810"/>
    </row>
    <row r="236" spans="1:20" s="811" customFormat="1" ht="12.75">
      <c r="A236" s="811" t="s">
        <v>994</v>
      </c>
      <c r="B236" s="810"/>
      <c r="D236" s="812"/>
      <c r="F236" s="813"/>
      <c r="G236" s="812"/>
      <c r="H236" s="812"/>
      <c r="I236" s="812"/>
      <c r="J236" s="810"/>
      <c r="L236" s="810"/>
    </row>
    <row r="237" spans="1:20" s="811" customFormat="1" ht="12.75">
      <c r="A237" s="811" t="s">
        <v>1186</v>
      </c>
      <c r="B237" s="810">
        <v>0.44</v>
      </c>
      <c r="D237" s="812">
        <v>0.44</v>
      </c>
      <c r="F237" s="813">
        <f ca="1">D237*$J$5</f>
        <v>2.5795624562357424E-2</v>
      </c>
      <c r="G237" s="812"/>
      <c r="H237" s="812">
        <f ca="1">B237+F237</f>
        <v>0.4657956245623574</v>
      </c>
      <c r="I237" s="812"/>
      <c r="J237" s="810">
        <f ca="1">+D237+F237</f>
        <v>0.4657956245623574</v>
      </c>
      <c r="L237" s="810"/>
    </row>
    <row r="238" spans="1:20" s="811" customFormat="1" ht="12.75">
      <c r="A238" s="811" t="s">
        <v>1198</v>
      </c>
      <c r="B238" s="810">
        <v>0.44</v>
      </c>
      <c r="D238" s="812">
        <v>0.44</v>
      </c>
      <c r="F238" s="813">
        <f ca="1">D238*$J$5</f>
        <v>2.5795624562357424E-2</v>
      </c>
      <c r="G238" s="812"/>
      <c r="H238" s="812">
        <f ca="1">B238+F238</f>
        <v>0.4657956245623574</v>
      </c>
      <c r="I238" s="812"/>
      <c r="J238" s="810">
        <f ca="1">+D238+F238</f>
        <v>0.4657956245623574</v>
      </c>
      <c r="L238" s="810"/>
    </row>
    <row r="239" spans="1:20" s="811" customFormat="1" ht="12.75">
      <c r="A239" s="811" t="s">
        <v>1187</v>
      </c>
      <c r="B239" s="810">
        <v>0.65</v>
      </c>
      <c r="D239" s="812">
        <v>0.65</v>
      </c>
      <c r="F239" s="813">
        <f ca="1">D239*$J$5</f>
        <v>3.8107172648937107E-2</v>
      </c>
      <c r="G239" s="812"/>
      <c r="H239" s="812">
        <f ca="1">B239+F239</f>
        <v>0.68810717264893717</v>
      </c>
      <c r="I239" s="812"/>
      <c r="J239" s="810">
        <f ca="1">+D239+F239</f>
        <v>0.68810717264893717</v>
      </c>
      <c r="L239" s="810"/>
    </row>
    <row r="240" spans="1:20" s="811" customFormat="1" ht="12.75">
      <c r="A240" s="811" t="s">
        <v>1188</v>
      </c>
      <c r="B240" s="810">
        <v>0.74</v>
      </c>
      <c r="D240" s="812">
        <v>0.74</v>
      </c>
      <c r="F240" s="813">
        <f ca="1">D240*$J$5</f>
        <v>4.3383550400328395E-2</v>
      </c>
      <c r="G240" s="812"/>
      <c r="H240" s="812">
        <f ca="1">B240+F240</f>
        <v>0.78338355040032837</v>
      </c>
      <c r="I240" s="812"/>
      <c r="J240" s="810">
        <f ca="1">+D240+F240</f>
        <v>0.78338355040032837</v>
      </c>
      <c r="L240" s="810"/>
    </row>
    <row r="241" spans="1:1763" s="811" customFormat="1" ht="12.75">
      <c r="A241" s="811" t="s">
        <v>1189</v>
      </c>
      <c r="B241" s="810">
        <v>1.0900000000000001</v>
      </c>
      <c r="D241" s="812">
        <v>1.08</v>
      </c>
      <c r="F241" s="813">
        <f ca="1">D241*$J$5</f>
        <v>6.33165330166955E-2</v>
      </c>
      <c r="G241" s="812"/>
      <c r="H241" s="812">
        <f ca="1">B241+F241</f>
        <v>1.1533165330166957</v>
      </c>
      <c r="I241" s="812"/>
      <c r="J241" s="810">
        <f ca="1">+D241+F241</f>
        <v>1.1433165330166957</v>
      </c>
      <c r="L241" s="810"/>
    </row>
    <row r="242" spans="1:1763" s="811" customFormat="1" ht="12.75">
      <c r="B242" s="810"/>
      <c r="D242" s="812"/>
      <c r="F242" s="813"/>
      <c r="G242" s="812"/>
      <c r="H242" s="812"/>
      <c r="I242" s="812"/>
      <c r="J242" s="810"/>
      <c r="L242" s="810"/>
    </row>
    <row r="243" spans="1:1763" s="814" customFormat="1" ht="12.75">
      <c r="A243" s="814" t="s">
        <v>995</v>
      </c>
      <c r="B243" s="820"/>
      <c r="D243" s="821"/>
      <c r="F243" s="822"/>
      <c r="G243" s="821"/>
      <c r="H243" s="821"/>
      <c r="I243" s="821"/>
      <c r="J243" s="820"/>
      <c r="L243" s="820"/>
    </row>
    <row r="244" spans="1:1763" s="811" customFormat="1" ht="12.75">
      <c r="A244" s="811" t="s">
        <v>996</v>
      </c>
      <c r="B244" s="810">
        <v>1.39</v>
      </c>
      <c r="D244" s="812">
        <v>1.38</v>
      </c>
      <c r="F244" s="813">
        <f ca="1">D244*$J$5</f>
        <v>8.0904458854666461E-2</v>
      </c>
      <c r="G244" s="812"/>
      <c r="H244" s="812">
        <f ca="1">B244+F244</f>
        <v>1.4709044588546663</v>
      </c>
      <c r="I244" s="812"/>
      <c r="J244" s="810">
        <f ca="1">+D244+F244</f>
        <v>1.4609044588546665</v>
      </c>
      <c r="L244" s="810"/>
    </row>
    <row r="245" spans="1:1763" s="811" customFormat="1" ht="12.75">
      <c r="B245" s="810"/>
      <c r="D245" s="812"/>
      <c r="F245" s="813"/>
      <c r="G245" s="812"/>
      <c r="H245" s="812"/>
      <c r="I245" s="812"/>
      <c r="J245" s="810"/>
      <c r="L245" s="810"/>
    </row>
    <row r="246" spans="1:1763" s="791" customFormat="1">
      <c r="A246" s="828" t="s">
        <v>963</v>
      </c>
      <c r="C246" s="790"/>
      <c r="D246" s="792"/>
      <c r="E246" s="790"/>
      <c r="F246" s="793"/>
      <c r="G246" s="792"/>
      <c r="H246" s="792"/>
      <c r="I246" s="792"/>
      <c r="L246" s="790"/>
      <c r="N246" s="790"/>
      <c r="O246" s="790"/>
      <c r="P246" s="790"/>
      <c r="Q246" s="790"/>
      <c r="R246" s="790"/>
      <c r="S246" s="790"/>
      <c r="T246" s="790"/>
      <c r="U246" s="790"/>
      <c r="V246" s="790"/>
      <c r="W246" s="790"/>
      <c r="X246" s="790"/>
      <c r="Y246" s="790"/>
      <c r="Z246" s="790"/>
      <c r="AA246" s="790"/>
      <c r="AB246" s="790"/>
      <c r="AC246" s="790"/>
      <c r="AD246" s="790"/>
      <c r="AE246" s="790"/>
      <c r="AF246" s="790"/>
      <c r="AG246" s="790"/>
      <c r="AH246" s="790"/>
      <c r="AI246" s="790"/>
      <c r="AJ246" s="790"/>
      <c r="AK246" s="790"/>
      <c r="AL246" s="790"/>
      <c r="AM246" s="790"/>
      <c r="AN246" s="790"/>
      <c r="AO246" s="790"/>
      <c r="AP246" s="790"/>
      <c r="AQ246" s="790"/>
      <c r="AR246" s="790"/>
      <c r="AS246" s="790"/>
      <c r="AT246" s="790"/>
      <c r="AU246" s="790"/>
      <c r="AV246" s="790"/>
      <c r="AW246" s="790"/>
      <c r="AX246" s="790"/>
      <c r="AY246" s="790"/>
      <c r="AZ246" s="790"/>
      <c r="BA246" s="790"/>
      <c r="BB246" s="790"/>
      <c r="BC246" s="790"/>
      <c r="BD246" s="790"/>
      <c r="BE246" s="790"/>
      <c r="BF246" s="790"/>
      <c r="BG246" s="790"/>
      <c r="BH246" s="790"/>
      <c r="BI246" s="790"/>
      <c r="BJ246" s="790"/>
      <c r="BK246" s="790"/>
      <c r="BL246" s="790"/>
      <c r="BM246" s="790"/>
      <c r="BN246" s="790"/>
      <c r="BO246" s="790"/>
      <c r="BP246" s="790"/>
      <c r="BQ246" s="790"/>
      <c r="BR246" s="790"/>
      <c r="BS246" s="790"/>
      <c r="BT246" s="790"/>
      <c r="BU246" s="790"/>
      <c r="BV246" s="790"/>
      <c r="BW246" s="790"/>
      <c r="BX246" s="790"/>
      <c r="BY246" s="790"/>
      <c r="BZ246" s="790"/>
      <c r="CA246" s="790"/>
      <c r="CB246" s="790"/>
      <c r="CC246" s="790"/>
      <c r="CD246" s="790"/>
      <c r="CE246" s="790"/>
      <c r="CF246" s="790"/>
      <c r="CG246" s="790"/>
      <c r="CH246" s="790"/>
      <c r="CI246" s="790"/>
      <c r="CJ246" s="790"/>
      <c r="CK246" s="790"/>
      <c r="CL246" s="790"/>
      <c r="CM246" s="790"/>
      <c r="CN246" s="790"/>
      <c r="CO246" s="790"/>
      <c r="CP246" s="790"/>
      <c r="CQ246" s="790"/>
      <c r="CR246" s="790"/>
      <c r="CS246" s="790"/>
      <c r="CT246" s="790"/>
      <c r="CU246" s="790"/>
      <c r="CV246" s="790"/>
      <c r="CW246" s="790"/>
      <c r="CX246" s="790"/>
      <c r="CY246" s="790"/>
      <c r="CZ246" s="790"/>
      <c r="DA246" s="790"/>
      <c r="DB246" s="790"/>
      <c r="DC246" s="790"/>
      <c r="DD246" s="790"/>
      <c r="DE246" s="790"/>
      <c r="DF246" s="790"/>
      <c r="DG246" s="790"/>
      <c r="DH246" s="790"/>
      <c r="DI246" s="790"/>
      <c r="DJ246" s="790"/>
      <c r="DK246" s="790"/>
      <c r="DL246" s="790"/>
      <c r="DM246" s="790"/>
      <c r="DN246" s="790"/>
      <c r="DO246" s="790"/>
      <c r="DP246" s="790"/>
      <c r="DQ246" s="790"/>
      <c r="DR246" s="790"/>
      <c r="DS246" s="790"/>
      <c r="DT246" s="790"/>
      <c r="DU246" s="790"/>
      <c r="DV246" s="790"/>
      <c r="DW246" s="790"/>
      <c r="DX246" s="790"/>
      <c r="DY246" s="790"/>
      <c r="DZ246" s="790"/>
      <c r="EA246" s="790"/>
      <c r="EB246" s="790"/>
      <c r="EC246" s="790"/>
      <c r="ED246" s="790"/>
      <c r="EE246" s="790"/>
      <c r="EF246" s="790"/>
      <c r="EG246" s="790"/>
      <c r="EH246" s="790"/>
      <c r="EI246" s="790"/>
      <c r="EJ246" s="790"/>
      <c r="EK246" s="790"/>
      <c r="EL246" s="790"/>
      <c r="EM246" s="790"/>
      <c r="EN246" s="790"/>
      <c r="EO246" s="790"/>
      <c r="EP246" s="790"/>
      <c r="EQ246" s="790"/>
      <c r="ER246" s="790"/>
      <c r="ES246" s="790"/>
      <c r="ET246" s="790"/>
      <c r="EU246" s="790"/>
      <c r="EV246" s="790"/>
      <c r="EW246" s="790"/>
      <c r="EX246" s="790"/>
      <c r="EY246" s="790"/>
      <c r="EZ246" s="790"/>
      <c r="FA246" s="790"/>
      <c r="FB246" s="790"/>
      <c r="FC246" s="790"/>
      <c r="FD246" s="790"/>
      <c r="FE246" s="790"/>
      <c r="FF246" s="790"/>
      <c r="FG246" s="790"/>
      <c r="FH246" s="790"/>
      <c r="FI246" s="790"/>
      <c r="FJ246" s="790"/>
      <c r="FK246" s="790"/>
      <c r="FL246" s="790"/>
      <c r="FM246" s="790"/>
      <c r="FN246" s="790"/>
      <c r="FO246" s="790"/>
      <c r="FP246" s="790"/>
      <c r="FQ246" s="790"/>
      <c r="FR246" s="790"/>
      <c r="FS246" s="790"/>
      <c r="FT246" s="790"/>
      <c r="FU246" s="790"/>
      <c r="FV246" s="790"/>
      <c r="FW246" s="790"/>
      <c r="FX246" s="790"/>
      <c r="FY246" s="790"/>
      <c r="FZ246" s="790"/>
      <c r="GA246" s="790"/>
      <c r="GB246" s="790"/>
      <c r="GC246" s="790"/>
      <c r="GD246" s="790"/>
      <c r="GE246" s="790"/>
      <c r="GF246" s="790"/>
      <c r="GG246" s="790"/>
      <c r="GH246" s="790"/>
      <c r="GI246" s="790"/>
      <c r="GJ246" s="790"/>
      <c r="GK246" s="790"/>
      <c r="GL246" s="790"/>
      <c r="GM246" s="790"/>
      <c r="GN246" s="790"/>
      <c r="GO246" s="790"/>
      <c r="GP246" s="790"/>
      <c r="GQ246" s="790"/>
      <c r="GR246" s="790"/>
      <c r="GS246" s="790"/>
      <c r="GT246" s="790"/>
      <c r="GU246" s="790"/>
      <c r="GV246" s="790"/>
      <c r="GW246" s="790"/>
      <c r="GX246" s="790"/>
      <c r="GY246" s="790"/>
      <c r="GZ246" s="790"/>
      <c r="HA246" s="790"/>
      <c r="HB246" s="790"/>
      <c r="HC246" s="790"/>
      <c r="HD246" s="790"/>
      <c r="HE246" s="790"/>
      <c r="HF246" s="790"/>
      <c r="HG246" s="790"/>
      <c r="HH246" s="790"/>
      <c r="HI246" s="790"/>
      <c r="HJ246" s="790"/>
      <c r="HK246" s="790"/>
      <c r="HL246" s="790"/>
      <c r="HM246" s="790"/>
      <c r="HN246" s="790"/>
      <c r="HO246" s="790"/>
      <c r="HP246" s="790"/>
      <c r="HQ246" s="790"/>
      <c r="HR246" s="790"/>
      <c r="HS246" s="790"/>
      <c r="HT246" s="790"/>
      <c r="HU246" s="790"/>
      <c r="HV246" s="790"/>
      <c r="HW246" s="790"/>
      <c r="HX246" s="790"/>
      <c r="HY246" s="790"/>
      <c r="HZ246" s="790"/>
      <c r="IA246" s="790"/>
      <c r="IB246" s="790"/>
      <c r="IC246" s="790"/>
      <c r="ID246" s="790"/>
      <c r="IE246" s="790"/>
      <c r="IF246" s="790"/>
      <c r="IG246" s="790"/>
      <c r="IH246" s="790"/>
      <c r="II246" s="790"/>
      <c r="IJ246" s="790"/>
      <c r="IK246" s="790"/>
      <c r="IL246" s="790"/>
      <c r="IM246" s="790"/>
      <c r="IN246" s="790"/>
      <c r="IO246" s="790"/>
      <c r="IP246" s="790"/>
      <c r="IQ246" s="790"/>
      <c r="IR246" s="790"/>
      <c r="IS246" s="790"/>
      <c r="IT246" s="790"/>
      <c r="IU246" s="790"/>
      <c r="IV246" s="790"/>
      <c r="IW246" s="790"/>
      <c r="IX246" s="790"/>
      <c r="IY246" s="790"/>
      <c r="IZ246" s="790"/>
      <c r="JA246" s="790"/>
      <c r="JB246" s="790"/>
      <c r="JC246" s="790"/>
      <c r="JD246" s="790"/>
      <c r="JE246" s="790"/>
      <c r="JF246" s="790"/>
      <c r="JG246" s="790"/>
      <c r="JH246" s="790"/>
      <c r="JI246" s="790"/>
      <c r="JJ246" s="790"/>
      <c r="JK246" s="790"/>
      <c r="JL246" s="790"/>
      <c r="JM246" s="790"/>
      <c r="JN246" s="790"/>
      <c r="JO246" s="790"/>
      <c r="JP246" s="790"/>
      <c r="JQ246" s="790"/>
      <c r="JR246" s="790"/>
      <c r="JS246" s="790"/>
      <c r="JT246" s="790"/>
      <c r="JU246" s="790"/>
      <c r="JV246" s="790"/>
      <c r="JW246" s="790"/>
      <c r="JX246" s="790"/>
      <c r="JY246" s="790"/>
      <c r="JZ246" s="790"/>
      <c r="KA246" s="790"/>
      <c r="KB246" s="790"/>
      <c r="KC246" s="790"/>
      <c r="KD246" s="790"/>
      <c r="KE246" s="790"/>
      <c r="KF246" s="790"/>
      <c r="KG246" s="790"/>
      <c r="KH246" s="790"/>
      <c r="KI246" s="790"/>
      <c r="KJ246" s="790"/>
      <c r="KK246" s="790"/>
      <c r="KL246" s="790"/>
      <c r="KM246" s="790"/>
      <c r="KN246" s="790"/>
      <c r="KO246" s="790"/>
      <c r="KP246" s="790"/>
      <c r="KQ246" s="790"/>
      <c r="KR246" s="790"/>
      <c r="KS246" s="790"/>
      <c r="KT246" s="790"/>
      <c r="KU246" s="790"/>
      <c r="KV246" s="790"/>
      <c r="KW246" s="790"/>
      <c r="KX246" s="790"/>
      <c r="KY246" s="790"/>
      <c r="KZ246" s="790"/>
      <c r="LA246" s="790"/>
      <c r="LB246" s="790"/>
      <c r="LC246" s="790"/>
      <c r="LD246" s="790"/>
      <c r="LE246" s="790"/>
      <c r="LF246" s="790"/>
      <c r="LG246" s="790"/>
      <c r="LH246" s="790"/>
      <c r="LI246" s="790"/>
      <c r="LJ246" s="790"/>
      <c r="LK246" s="790"/>
      <c r="LL246" s="790"/>
      <c r="LM246" s="790"/>
      <c r="LN246" s="790"/>
      <c r="LO246" s="790"/>
      <c r="LP246" s="790"/>
      <c r="LQ246" s="790"/>
      <c r="LR246" s="790"/>
      <c r="LS246" s="790"/>
      <c r="LT246" s="790"/>
      <c r="LU246" s="790"/>
      <c r="LV246" s="790"/>
      <c r="LW246" s="790"/>
      <c r="LX246" s="790"/>
      <c r="LY246" s="790"/>
      <c r="LZ246" s="790"/>
      <c r="MA246" s="790"/>
      <c r="MB246" s="790"/>
      <c r="MC246" s="790"/>
      <c r="MD246" s="790"/>
      <c r="ME246" s="790"/>
      <c r="MF246" s="790"/>
      <c r="MG246" s="790"/>
      <c r="MH246" s="790"/>
      <c r="MI246" s="790"/>
      <c r="MJ246" s="790"/>
      <c r="MK246" s="790"/>
      <c r="ML246" s="790"/>
      <c r="MM246" s="790"/>
      <c r="MN246" s="790"/>
      <c r="MO246" s="790"/>
      <c r="MP246" s="790"/>
      <c r="MQ246" s="790"/>
      <c r="MR246" s="790"/>
      <c r="MS246" s="790"/>
      <c r="MT246" s="790"/>
      <c r="MU246" s="790"/>
      <c r="MV246" s="790"/>
      <c r="MW246" s="790"/>
      <c r="MX246" s="790"/>
      <c r="MY246" s="790"/>
      <c r="MZ246" s="790"/>
      <c r="NA246" s="790"/>
      <c r="NB246" s="790"/>
      <c r="NC246" s="790"/>
      <c r="ND246" s="790"/>
      <c r="NE246" s="790"/>
      <c r="NF246" s="790"/>
      <c r="NG246" s="790"/>
      <c r="NH246" s="790"/>
      <c r="NI246" s="790"/>
      <c r="NJ246" s="790"/>
      <c r="NK246" s="790"/>
      <c r="NL246" s="790"/>
      <c r="NM246" s="790"/>
      <c r="NN246" s="790"/>
      <c r="NO246" s="790"/>
      <c r="NP246" s="790"/>
      <c r="NQ246" s="790"/>
      <c r="NR246" s="790"/>
      <c r="NS246" s="790"/>
      <c r="NT246" s="790"/>
      <c r="NU246" s="790"/>
      <c r="NV246" s="790"/>
      <c r="NW246" s="790"/>
      <c r="NX246" s="790"/>
      <c r="NY246" s="790"/>
      <c r="NZ246" s="790"/>
      <c r="OA246" s="790"/>
      <c r="OB246" s="790"/>
      <c r="OC246" s="790"/>
      <c r="OD246" s="790"/>
      <c r="OE246" s="790"/>
      <c r="OF246" s="790"/>
      <c r="OG246" s="790"/>
      <c r="OH246" s="790"/>
      <c r="OI246" s="790"/>
      <c r="OJ246" s="790"/>
      <c r="OK246" s="790"/>
      <c r="OL246" s="790"/>
      <c r="OM246" s="790"/>
      <c r="ON246" s="790"/>
      <c r="OO246" s="790"/>
      <c r="OP246" s="790"/>
      <c r="OQ246" s="790"/>
      <c r="OR246" s="790"/>
      <c r="OS246" s="790"/>
      <c r="OT246" s="790"/>
      <c r="OU246" s="790"/>
      <c r="OV246" s="790"/>
      <c r="OW246" s="790"/>
      <c r="OX246" s="790"/>
      <c r="OY246" s="790"/>
      <c r="OZ246" s="790"/>
      <c r="PA246" s="790"/>
      <c r="PB246" s="790"/>
      <c r="PC246" s="790"/>
      <c r="PD246" s="790"/>
      <c r="PE246" s="790"/>
      <c r="PF246" s="790"/>
      <c r="PG246" s="790"/>
      <c r="PH246" s="790"/>
      <c r="PI246" s="790"/>
      <c r="PJ246" s="790"/>
      <c r="PK246" s="790"/>
      <c r="PL246" s="790"/>
      <c r="PM246" s="790"/>
      <c r="PN246" s="790"/>
      <c r="PO246" s="790"/>
      <c r="PP246" s="790"/>
      <c r="PQ246" s="790"/>
      <c r="PR246" s="790"/>
      <c r="PS246" s="790"/>
      <c r="PT246" s="790"/>
      <c r="PU246" s="790"/>
      <c r="PV246" s="790"/>
      <c r="PW246" s="790"/>
      <c r="PX246" s="790"/>
      <c r="PY246" s="790"/>
      <c r="PZ246" s="790"/>
      <c r="QA246" s="790"/>
      <c r="QB246" s="790"/>
      <c r="QC246" s="790"/>
      <c r="QD246" s="790"/>
      <c r="QE246" s="790"/>
      <c r="QF246" s="790"/>
      <c r="QG246" s="790"/>
      <c r="QH246" s="790"/>
      <c r="QI246" s="790"/>
      <c r="QJ246" s="790"/>
      <c r="QK246" s="790"/>
      <c r="QL246" s="790"/>
      <c r="QM246" s="790"/>
      <c r="QN246" s="790"/>
      <c r="QO246" s="790"/>
      <c r="QP246" s="790"/>
      <c r="QQ246" s="790"/>
      <c r="QR246" s="790"/>
      <c r="QS246" s="790"/>
      <c r="QT246" s="790"/>
      <c r="QU246" s="790"/>
      <c r="QV246" s="790"/>
      <c r="QW246" s="790"/>
      <c r="QX246" s="790"/>
      <c r="QY246" s="790"/>
      <c r="QZ246" s="790"/>
      <c r="RA246" s="790"/>
      <c r="RB246" s="790"/>
      <c r="RC246" s="790"/>
      <c r="RD246" s="790"/>
      <c r="RE246" s="790"/>
      <c r="RF246" s="790"/>
      <c r="RG246" s="790"/>
      <c r="RH246" s="790"/>
      <c r="RI246" s="790"/>
      <c r="RJ246" s="790"/>
      <c r="RK246" s="790"/>
      <c r="RL246" s="790"/>
      <c r="RM246" s="790"/>
      <c r="RN246" s="790"/>
      <c r="RO246" s="790"/>
      <c r="RP246" s="790"/>
      <c r="RQ246" s="790"/>
      <c r="RR246" s="790"/>
      <c r="RS246" s="790"/>
      <c r="RT246" s="790"/>
      <c r="RU246" s="790"/>
      <c r="RV246" s="790"/>
      <c r="RW246" s="790"/>
      <c r="RX246" s="790"/>
      <c r="RY246" s="790"/>
      <c r="RZ246" s="790"/>
      <c r="SA246" s="790"/>
      <c r="SB246" s="790"/>
      <c r="SC246" s="790"/>
      <c r="SD246" s="790"/>
      <c r="SE246" s="790"/>
      <c r="SF246" s="790"/>
      <c r="SG246" s="790"/>
      <c r="SH246" s="790"/>
      <c r="SI246" s="790"/>
      <c r="SJ246" s="790"/>
      <c r="SK246" s="790"/>
      <c r="SL246" s="790"/>
      <c r="SM246" s="790"/>
      <c r="SN246" s="790"/>
      <c r="SO246" s="790"/>
      <c r="SP246" s="790"/>
      <c r="SQ246" s="790"/>
      <c r="SR246" s="790"/>
      <c r="SS246" s="790"/>
      <c r="ST246" s="790"/>
      <c r="SU246" s="790"/>
      <c r="SV246" s="790"/>
      <c r="SW246" s="790"/>
      <c r="SX246" s="790"/>
      <c r="SY246" s="790"/>
      <c r="SZ246" s="790"/>
      <c r="TA246" s="790"/>
      <c r="TB246" s="790"/>
      <c r="TC246" s="790"/>
      <c r="TD246" s="790"/>
      <c r="TE246" s="790"/>
      <c r="TF246" s="790"/>
      <c r="TG246" s="790"/>
      <c r="TH246" s="790"/>
      <c r="TI246" s="790"/>
      <c r="TJ246" s="790"/>
      <c r="TK246" s="790"/>
      <c r="TL246" s="790"/>
      <c r="TM246" s="790"/>
      <c r="TN246" s="790"/>
      <c r="TO246" s="790"/>
      <c r="TP246" s="790"/>
      <c r="TQ246" s="790"/>
      <c r="TR246" s="790"/>
      <c r="TS246" s="790"/>
      <c r="TT246" s="790"/>
      <c r="TU246" s="790"/>
      <c r="TV246" s="790"/>
      <c r="TW246" s="790"/>
      <c r="TX246" s="790"/>
      <c r="TY246" s="790"/>
      <c r="TZ246" s="790"/>
      <c r="UA246" s="790"/>
      <c r="UB246" s="790"/>
      <c r="UC246" s="790"/>
      <c r="UD246" s="790"/>
      <c r="UE246" s="790"/>
      <c r="UF246" s="790"/>
      <c r="UG246" s="790"/>
      <c r="UH246" s="790"/>
      <c r="UI246" s="790"/>
      <c r="UJ246" s="790"/>
      <c r="UK246" s="790"/>
      <c r="UL246" s="790"/>
      <c r="UM246" s="790"/>
      <c r="UN246" s="790"/>
      <c r="UO246" s="790"/>
      <c r="UP246" s="790"/>
      <c r="UQ246" s="790"/>
      <c r="UR246" s="790"/>
      <c r="US246" s="790"/>
      <c r="UT246" s="790"/>
      <c r="UU246" s="790"/>
      <c r="UV246" s="790"/>
      <c r="UW246" s="790"/>
      <c r="UX246" s="790"/>
      <c r="UY246" s="790"/>
      <c r="UZ246" s="790"/>
      <c r="VA246" s="790"/>
      <c r="VB246" s="790"/>
      <c r="VC246" s="790"/>
      <c r="VD246" s="790"/>
      <c r="VE246" s="790"/>
      <c r="VF246" s="790"/>
      <c r="VG246" s="790"/>
      <c r="VH246" s="790"/>
      <c r="VI246" s="790"/>
      <c r="VJ246" s="790"/>
      <c r="VK246" s="790"/>
      <c r="VL246" s="790"/>
      <c r="VM246" s="790"/>
      <c r="VN246" s="790"/>
      <c r="VO246" s="790"/>
      <c r="VP246" s="790"/>
      <c r="VQ246" s="790"/>
      <c r="VR246" s="790"/>
      <c r="VS246" s="790"/>
      <c r="VT246" s="790"/>
      <c r="VU246" s="790"/>
      <c r="VV246" s="790"/>
      <c r="VW246" s="790"/>
      <c r="VX246" s="790"/>
      <c r="VY246" s="790"/>
      <c r="VZ246" s="790"/>
      <c r="WA246" s="790"/>
      <c r="WB246" s="790"/>
      <c r="WC246" s="790"/>
      <c r="WD246" s="790"/>
      <c r="WE246" s="790"/>
      <c r="WF246" s="790"/>
      <c r="WG246" s="790"/>
      <c r="WH246" s="790"/>
      <c r="WI246" s="790"/>
      <c r="WJ246" s="790"/>
      <c r="WK246" s="790"/>
      <c r="WL246" s="790"/>
      <c r="WM246" s="790"/>
      <c r="WN246" s="790"/>
      <c r="WO246" s="790"/>
      <c r="WP246" s="790"/>
      <c r="WQ246" s="790"/>
      <c r="WR246" s="790"/>
      <c r="WS246" s="790"/>
      <c r="WT246" s="790"/>
      <c r="WU246" s="790"/>
      <c r="WV246" s="790"/>
      <c r="WW246" s="790"/>
      <c r="WX246" s="790"/>
      <c r="WY246" s="790"/>
      <c r="WZ246" s="790"/>
      <c r="XA246" s="790"/>
      <c r="XB246" s="790"/>
      <c r="XC246" s="790"/>
      <c r="XD246" s="790"/>
      <c r="XE246" s="790"/>
      <c r="XF246" s="790"/>
      <c r="XG246" s="790"/>
      <c r="XH246" s="790"/>
      <c r="XI246" s="790"/>
      <c r="XJ246" s="790"/>
      <c r="XK246" s="790"/>
      <c r="XL246" s="790"/>
      <c r="XM246" s="790"/>
      <c r="XN246" s="790"/>
      <c r="XO246" s="790"/>
      <c r="XP246" s="790"/>
      <c r="XQ246" s="790"/>
      <c r="XR246" s="790"/>
      <c r="XS246" s="790"/>
      <c r="XT246" s="790"/>
      <c r="XU246" s="790"/>
      <c r="XV246" s="790"/>
      <c r="XW246" s="790"/>
      <c r="XX246" s="790"/>
      <c r="XY246" s="790"/>
      <c r="XZ246" s="790"/>
      <c r="YA246" s="790"/>
      <c r="YB246" s="790"/>
      <c r="YC246" s="790"/>
      <c r="YD246" s="790"/>
      <c r="YE246" s="790"/>
      <c r="YF246" s="790"/>
      <c r="YG246" s="790"/>
      <c r="YH246" s="790"/>
      <c r="YI246" s="790"/>
      <c r="YJ246" s="790"/>
      <c r="YK246" s="790"/>
      <c r="YL246" s="790"/>
      <c r="YM246" s="790"/>
      <c r="YN246" s="790"/>
      <c r="YO246" s="790"/>
      <c r="YP246" s="790"/>
      <c r="YQ246" s="790"/>
      <c r="YR246" s="790"/>
      <c r="YS246" s="790"/>
      <c r="YT246" s="790"/>
      <c r="YU246" s="790"/>
      <c r="YV246" s="790"/>
      <c r="YW246" s="790"/>
      <c r="YX246" s="790"/>
      <c r="YY246" s="790"/>
      <c r="YZ246" s="790"/>
      <c r="ZA246" s="790"/>
      <c r="ZB246" s="790"/>
      <c r="ZC246" s="790"/>
      <c r="ZD246" s="790"/>
      <c r="ZE246" s="790"/>
      <c r="ZF246" s="790"/>
      <c r="ZG246" s="790"/>
      <c r="ZH246" s="790"/>
      <c r="ZI246" s="790"/>
      <c r="ZJ246" s="790"/>
      <c r="ZK246" s="790"/>
      <c r="ZL246" s="790"/>
      <c r="ZM246" s="790"/>
      <c r="ZN246" s="790"/>
      <c r="ZO246" s="790"/>
      <c r="ZP246" s="790"/>
      <c r="ZQ246" s="790"/>
      <c r="ZR246" s="790"/>
      <c r="ZS246" s="790"/>
      <c r="ZT246" s="790"/>
      <c r="ZU246" s="790"/>
      <c r="ZV246" s="790"/>
      <c r="ZW246" s="790"/>
      <c r="ZX246" s="790"/>
      <c r="ZY246" s="790"/>
      <c r="ZZ246" s="790"/>
      <c r="AAA246" s="790"/>
      <c r="AAB246" s="790"/>
      <c r="AAC246" s="790"/>
      <c r="AAD246" s="790"/>
      <c r="AAE246" s="790"/>
      <c r="AAF246" s="790"/>
      <c r="AAG246" s="790"/>
      <c r="AAH246" s="790"/>
      <c r="AAI246" s="790"/>
      <c r="AAJ246" s="790"/>
      <c r="AAK246" s="790"/>
      <c r="AAL246" s="790"/>
      <c r="AAM246" s="790"/>
      <c r="AAN246" s="790"/>
      <c r="AAO246" s="790"/>
      <c r="AAP246" s="790"/>
      <c r="AAQ246" s="790"/>
      <c r="AAR246" s="790"/>
      <c r="AAS246" s="790"/>
      <c r="AAT246" s="790"/>
      <c r="AAU246" s="790"/>
      <c r="AAV246" s="790"/>
      <c r="AAW246" s="790"/>
      <c r="AAX246" s="790"/>
      <c r="AAY246" s="790"/>
      <c r="AAZ246" s="790"/>
      <c r="ABA246" s="790"/>
      <c r="ABB246" s="790"/>
      <c r="ABC246" s="790"/>
      <c r="ABD246" s="790"/>
      <c r="ABE246" s="790"/>
      <c r="ABF246" s="790"/>
      <c r="ABG246" s="790"/>
      <c r="ABH246" s="790"/>
      <c r="ABI246" s="790"/>
      <c r="ABJ246" s="790"/>
      <c r="ABK246" s="790"/>
      <c r="ABL246" s="790"/>
      <c r="ABM246" s="790"/>
      <c r="ABN246" s="790"/>
      <c r="ABO246" s="790"/>
      <c r="ABP246" s="790"/>
      <c r="ABQ246" s="790"/>
      <c r="ABR246" s="790"/>
      <c r="ABS246" s="790"/>
      <c r="ABT246" s="790"/>
      <c r="ABU246" s="790"/>
      <c r="ABV246" s="790"/>
      <c r="ABW246" s="790"/>
      <c r="ABX246" s="790"/>
      <c r="ABY246" s="790"/>
      <c r="ABZ246" s="790"/>
      <c r="ACA246" s="790"/>
      <c r="ACB246" s="790"/>
      <c r="ACC246" s="790"/>
      <c r="ACD246" s="790"/>
      <c r="ACE246" s="790"/>
      <c r="ACF246" s="790"/>
      <c r="ACG246" s="790"/>
      <c r="ACH246" s="790"/>
      <c r="ACI246" s="790"/>
      <c r="ACJ246" s="790"/>
      <c r="ACK246" s="790"/>
      <c r="ACL246" s="790"/>
      <c r="ACM246" s="790"/>
      <c r="ACN246" s="790"/>
      <c r="ACO246" s="790"/>
      <c r="ACP246" s="790"/>
      <c r="ACQ246" s="790"/>
      <c r="ACR246" s="790"/>
      <c r="ACS246" s="790"/>
      <c r="ACT246" s="790"/>
      <c r="ACU246" s="790"/>
      <c r="ACV246" s="790"/>
      <c r="ACW246" s="790"/>
      <c r="ACX246" s="790"/>
      <c r="ACY246" s="790"/>
      <c r="ACZ246" s="790"/>
      <c r="ADA246" s="790"/>
      <c r="ADB246" s="790"/>
      <c r="ADC246" s="790"/>
      <c r="ADD246" s="790"/>
      <c r="ADE246" s="790"/>
      <c r="ADF246" s="790"/>
      <c r="ADG246" s="790"/>
      <c r="ADH246" s="790"/>
      <c r="ADI246" s="790"/>
      <c r="ADJ246" s="790"/>
      <c r="ADK246" s="790"/>
      <c r="ADL246" s="790"/>
      <c r="ADM246" s="790"/>
      <c r="ADN246" s="790"/>
      <c r="ADO246" s="790"/>
      <c r="ADP246" s="790"/>
      <c r="ADQ246" s="790"/>
      <c r="ADR246" s="790"/>
      <c r="ADS246" s="790"/>
      <c r="ADT246" s="790"/>
      <c r="ADU246" s="790"/>
      <c r="ADV246" s="790"/>
      <c r="ADW246" s="790"/>
      <c r="ADX246" s="790"/>
      <c r="ADY246" s="790"/>
      <c r="ADZ246" s="790"/>
      <c r="AEA246" s="790"/>
      <c r="AEB246" s="790"/>
      <c r="AEC246" s="790"/>
      <c r="AED246" s="790"/>
      <c r="AEE246" s="790"/>
      <c r="AEF246" s="790"/>
      <c r="AEG246" s="790"/>
      <c r="AEH246" s="790"/>
      <c r="AEI246" s="790"/>
      <c r="AEJ246" s="790"/>
      <c r="AEK246" s="790"/>
      <c r="AEL246" s="790"/>
      <c r="AEM246" s="790"/>
      <c r="AEN246" s="790"/>
      <c r="AEO246" s="790"/>
      <c r="AEP246" s="790"/>
      <c r="AEQ246" s="790"/>
      <c r="AER246" s="790"/>
      <c r="AES246" s="790"/>
      <c r="AET246" s="790"/>
      <c r="AEU246" s="790"/>
      <c r="AEV246" s="790"/>
      <c r="AEW246" s="790"/>
      <c r="AEX246" s="790"/>
      <c r="AEY246" s="790"/>
      <c r="AEZ246" s="790"/>
      <c r="AFA246" s="790"/>
      <c r="AFB246" s="790"/>
      <c r="AFC246" s="790"/>
      <c r="AFD246" s="790"/>
      <c r="AFE246" s="790"/>
      <c r="AFF246" s="790"/>
      <c r="AFG246" s="790"/>
      <c r="AFH246" s="790"/>
      <c r="AFI246" s="790"/>
      <c r="AFJ246" s="790"/>
      <c r="AFK246" s="790"/>
      <c r="AFL246" s="790"/>
      <c r="AFM246" s="790"/>
      <c r="AFN246" s="790"/>
      <c r="AFO246" s="790"/>
      <c r="AFP246" s="790"/>
      <c r="AFQ246" s="790"/>
      <c r="AFR246" s="790"/>
      <c r="AFS246" s="790"/>
      <c r="AFT246" s="790"/>
      <c r="AFU246" s="790"/>
      <c r="AFV246" s="790"/>
      <c r="AFW246" s="790"/>
      <c r="AFX246" s="790"/>
      <c r="AFY246" s="790"/>
      <c r="AFZ246" s="790"/>
      <c r="AGA246" s="790"/>
      <c r="AGB246" s="790"/>
      <c r="AGC246" s="790"/>
      <c r="AGD246" s="790"/>
      <c r="AGE246" s="790"/>
      <c r="AGF246" s="790"/>
      <c r="AGG246" s="790"/>
      <c r="AGH246" s="790"/>
      <c r="AGI246" s="790"/>
      <c r="AGJ246" s="790"/>
      <c r="AGK246" s="790"/>
      <c r="AGL246" s="790"/>
      <c r="AGM246" s="790"/>
      <c r="AGN246" s="790"/>
      <c r="AGO246" s="790"/>
      <c r="AGP246" s="790"/>
      <c r="AGQ246" s="790"/>
      <c r="AGR246" s="790"/>
      <c r="AGS246" s="790"/>
      <c r="AGT246" s="790"/>
      <c r="AGU246" s="790"/>
      <c r="AGV246" s="790"/>
      <c r="AGW246" s="790"/>
      <c r="AGX246" s="790"/>
      <c r="AGY246" s="790"/>
      <c r="AGZ246" s="790"/>
      <c r="AHA246" s="790"/>
      <c r="AHB246" s="790"/>
      <c r="AHC246" s="790"/>
      <c r="AHD246" s="790"/>
      <c r="AHE246" s="790"/>
      <c r="AHF246" s="790"/>
      <c r="AHG246" s="790"/>
      <c r="AHH246" s="790"/>
      <c r="AHI246" s="790"/>
      <c r="AHJ246" s="790"/>
      <c r="AHK246" s="790"/>
      <c r="AHL246" s="790"/>
      <c r="AHM246" s="790"/>
      <c r="AHN246" s="790"/>
      <c r="AHO246" s="790"/>
      <c r="AHP246" s="790"/>
      <c r="AHQ246" s="790"/>
      <c r="AHR246" s="790"/>
      <c r="AHS246" s="790"/>
      <c r="AHT246" s="790"/>
      <c r="AHU246" s="790"/>
      <c r="AHV246" s="790"/>
      <c r="AHW246" s="790"/>
      <c r="AHX246" s="790"/>
      <c r="AHY246" s="790"/>
      <c r="AHZ246" s="790"/>
      <c r="AIA246" s="790"/>
      <c r="AIB246" s="790"/>
      <c r="AIC246" s="790"/>
      <c r="AID246" s="790"/>
      <c r="AIE246" s="790"/>
      <c r="AIF246" s="790"/>
      <c r="AIG246" s="790"/>
      <c r="AIH246" s="790"/>
      <c r="AII246" s="790"/>
      <c r="AIJ246" s="790"/>
      <c r="AIK246" s="790"/>
      <c r="AIL246" s="790"/>
      <c r="AIM246" s="790"/>
      <c r="AIN246" s="790"/>
      <c r="AIO246" s="790"/>
      <c r="AIP246" s="790"/>
      <c r="AIQ246" s="790"/>
      <c r="AIR246" s="790"/>
      <c r="AIS246" s="790"/>
      <c r="AIT246" s="790"/>
      <c r="AIU246" s="790"/>
      <c r="AIV246" s="790"/>
      <c r="AIW246" s="790"/>
      <c r="AIX246" s="790"/>
      <c r="AIY246" s="790"/>
      <c r="AIZ246" s="790"/>
      <c r="AJA246" s="790"/>
      <c r="AJB246" s="790"/>
      <c r="AJC246" s="790"/>
      <c r="AJD246" s="790"/>
      <c r="AJE246" s="790"/>
      <c r="AJF246" s="790"/>
      <c r="AJG246" s="790"/>
      <c r="AJH246" s="790"/>
      <c r="AJI246" s="790"/>
      <c r="AJJ246" s="790"/>
      <c r="AJK246" s="790"/>
      <c r="AJL246" s="790"/>
      <c r="AJM246" s="790"/>
      <c r="AJN246" s="790"/>
      <c r="AJO246" s="790"/>
      <c r="AJP246" s="790"/>
      <c r="AJQ246" s="790"/>
      <c r="AJR246" s="790"/>
      <c r="AJS246" s="790"/>
      <c r="AJT246" s="790"/>
      <c r="AJU246" s="790"/>
      <c r="AJV246" s="790"/>
      <c r="AJW246" s="790"/>
      <c r="AJX246" s="790"/>
      <c r="AJY246" s="790"/>
      <c r="AJZ246" s="790"/>
      <c r="AKA246" s="790"/>
      <c r="AKB246" s="790"/>
      <c r="AKC246" s="790"/>
      <c r="AKD246" s="790"/>
      <c r="AKE246" s="790"/>
      <c r="AKF246" s="790"/>
      <c r="AKG246" s="790"/>
      <c r="AKH246" s="790"/>
      <c r="AKI246" s="790"/>
      <c r="AKJ246" s="790"/>
      <c r="AKK246" s="790"/>
      <c r="AKL246" s="790"/>
      <c r="AKM246" s="790"/>
      <c r="AKN246" s="790"/>
      <c r="AKO246" s="790"/>
      <c r="AKP246" s="790"/>
      <c r="AKQ246" s="790"/>
      <c r="AKR246" s="790"/>
      <c r="AKS246" s="790"/>
      <c r="AKT246" s="790"/>
      <c r="AKU246" s="790"/>
      <c r="AKV246" s="790"/>
      <c r="AKW246" s="790"/>
      <c r="AKX246" s="790"/>
      <c r="AKY246" s="790"/>
      <c r="AKZ246" s="790"/>
      <c r="ALA246" s="790"/>
      <c r="ALB246" s="790"/>
      <c r="ALC246" s="790"/>
      <c r="ALD246" s="790"/>
      <c r="ALE246" s="790"/>
      <c r="ALF246" s="790"/>
      <c r="ALG246" s="790"/>
      <c r="ALH246" s="790"/>
      <c r="ALI246" s="790"/>
      <c r="ALJ246" s="790"/>
      <c r="ALK246" s="790"/>
      <c r="ALL246" s="790"/>
      <c r="ALM246" s="790"/>
      <c r="ALN246" s="790"/>
      <c r="ALO246" s="790"/>
      <c r="ALP246" s="790"/>
      <c r="ALQ246" s="790"/>
      <c r="ALR246" s="790"/>
      <c r="ALS246" s="790"/>
      <c r="ALT246" s="790"/>
      <c r="ALU246" s="790"/>
      <c r="ALV246" s="790"/>
      <c r="ALW246" s="790"/>
      <c r="ALX246" s="790"/>
      <c r="ALY246" s="790"/>
      <c r="ALZ246" s="790"/>
      <c r="AMA246" s="790"/>
      <c r="AMB246" s="790"/>
      <c r="AMC246" s="790"/>
      <c r="AMD246" s="790"/>
      <c r="AME246" s="790"/>
      <c r="AMF246" s="790"/>
      <c r="AMG246" s="790"/>
      <c r="AMH246" s="790"/>
      <c r="AMI246" s="790"/>
      <c r="AMJ246" s="790"/>
      <c r="AMK246" s="790"/>
      <c r="AML246" s="790"/>
      <c r="AMM246" s="790"/>
      <c r="AMN246" s="790"/>
      <c r="AMO246" s="790"/>
      <c r="AMP246" s="790"/>
      <c r="AMQ246" s="790"/>
      <c r="AMR246" s="790"/>
      <c r="AMS246" s="790"/>
      <c r="AMT246" s="790"/>
      <c r="AMU246" s="790"/>
      <c r="AMV246" s="790"/>
      <c r="AMW246" s="790"/>
      <c r="AMX246" s="790"/>
      <c r="AMY246" s="790"/>
      <c r="AMZ246" s="790"/>
      <c r="ANA246" s="790"/>
      <c r="ANB246" s="790"/>
      <c r="ANC246" s="790"/>
      <c r="AND246" s="790"/>
      <c r="ANE246" s="790"/>
      <c r="ANF246" s="790"/>
      <c r="ANG246" s="790"/>
      <c r="ANH246" s="790"/>
      <c r="ANI246" s="790"/>
      <c r="ANJ246" s="790"/>
      <c r="ANK246" s="790"/>
      <c r="ANL246" s="790"/>
      <c r="ANM246" s="790"/>
      <c r="ANN246" s="790"/>
      <c r="ANO246" s="790"/>
      <c r="ANP246" s="790"/>
      <c r="ANQ246" s="790"/>
      <c r="ANR246" s="790"/>
      <c r="ANS246" s="790"/>
      <c r="ANT246" s="790"/>
      <c r="ANU246" s="790"/>
      <c r="ANV246" s="790"/>
      <c r="ANW246" s="790"/>
      <c r="ANX246" s="790"/>
      <c r="ANY246" s="790"/>
      <c r="ANZ246" s="790"/>
      <c r="AOA246" s="790"/>
      <c r="AOB246" s="790"/>
      <c r="AOC246" s="790"/>
      <c r="AOD246" s="790"/>
      <c r="AOE246" s="790"/>
      <c r="AOF246" s="790"/>
      <c r="AOG246" s="790"/>
      <c r="AOH246" s="790"/>
      <c r="AOI246" s="790"/>
      <c r="AOJ246" s="790"/>
      <c r="AOK246" s="790"/>
      <c r="AOL246" s="790"/>
      <c r="AOM246" s="790"/>
      <c r="AON246" s="790"/>
      <c r="AOO246" s="790"/>
      <c r="AOP246" s="790"/>
      <c r="AOQ246" s="790"/>
      <c r="AOR246" s="790"/>
      <c r="AOS246" s="790"/>
      <c r="AOT246" s="790"/>
      <c r="AOU246" s="790"/>
      <c r="AOV246" s="790"/>
      <c r="AOW246" s="790"/>
      <c r="AOX246" s="790"/>
      <c r="AOY246" s="790"/>
      <c r="AOZ246" s="790"/>
      <c r="APA246" s="790"/>
      <c r="APB246" s="790"/>
      <c r="APC246" s="790"/>
      <c r="APD246" s="790"/>
      <c r="APE246" s="790"/>
      <c r="APF246" s="790"/>
      <c r="APG246" s="790"/>
      <c r="APH246" s="790"/>
      <c r="API246" s="790"/>
      <c r="APJ246" s="790"/>
      <c r="APK246" s="790"/>
      <c r="APL246" s="790"/>
      <c r="APM246" s="790"/>
      <c r="APN246" s="790"/>
      <c r="APO246" s="790"/>
      <c r="APP246" s="790"/>
      <c r="APQ246" s="790"/>
      <c r="APR246" s="790"/>
      <c r="APS246" s="790"/>
      <c r="APT246" s="790"/>
      <c r="APU246" s="790"/>
      <c r="APV246" s="790"/>
      <c r="APW246" s="790"/>
      <c r="APX246" s="790"/>
      <c r="APY246" s="790"/>
      <c r="APZ246" s="790"/>
      <c r="AQA246" s="790"/>
      <c r="AQB246" s="790"/>
      <c r="AQC246" s="790"/>
      <c r="AQD246" s="790"/>
      <c r="AQE246" s="790"/>
      <c r="AQF246" s="790"/>
      <c r="AQG246" s="790"/>
      <c r="AQH246" s="790"/>
      <c r="AQI246" s="790"/>
      <c r="AQJ246" s="790"/>
      <c r="AQK246" s="790"/>
      <c r="AQL246" s="790"/>
      <c r="AQM246" s="790"/>
      <c r="AQN246" s="790"/>
      <c r="AQO246" s="790"/>
      <c r="AQP246" s="790"/>
      <c r="AQQ246" s="790"/>
      <c r="AQR246" s="790"/>
      <c r="AQS246" s="790"/>
      <c r="AQT246" s="790"/>
      <c r="AQU246" s="790"/>
      <c r="AQV246" s="790"/>
      <c r="AQW246" s="790"/>
      <c r="AQX246" s="790"/>
      <c r="AQY246" s="790"/>
      <c r="AQZ246" s="790"/>
      <c r="ARA246" s="790"/>
      <c r="ARB246" s="790"/>
      <c r="ARC246" s="790"/>
      <c r="ARD246" s="790"/>
      <c r="ARE246" s="790"/>
      <c r="ARF246" s="790"/>
      <c r="ARG246" s="790"/>
      <c r="ARH246" s="790"/>
      <c r="ARI246" s="790"/>
      <c r="ARJ246" s="790"/>
      <c r="ARK246" s="790"/>
      <c r="ARL246" s="790"/>
      <c r="ARM246" s="790"/>
      <c r="ARN246" s="790"/>
      <c r="ARO246" s="790"/>
      <c r="ARP246" s="790"/>
      <c r="ARQ246" s="790"/>
      <c r="ARR246" s="790"/>
      <c r="ARS246" s="790"/>
      <c r="ART246" s="790"/>
      <c r="ARU246" s="790"/>
      <c r="ARV246" s="790"/>
      <c r="ARW246" s="790"/>
      <c r="ARX246" s="790"/>
      <c r="ARY246" s="790"/>
      <c r="ARZ246" s="790"/>
      <c r="ASA246" s="790"/>
      <c r="ASB246" s="790"/>
      <c r="ASC246" s="790"/>
      <c r="ASD246" s="790"/>
      <c r="ASE246" s="790"/>
      <c r="ASF246" s="790"/>
      <c r="ASG246" s="790"/>
      <c r="ASH246" s="790"/>
      <c r="ASI246" s="790"/>
      <c r="ASJ246" s="790"/>
      <c r="ASK246" s="790"/>
      <c r="ASL246" s="790"/>
      <c r="ASM246" s="790"/>
      <c r="ASN246" s="790"/>
      <c r="ASO246" s="790"/>
      <c r="ASP246" s="790"/>
      <c r="ASQ246" s="790"/>
      <c r="ASR246" s="790"/>
      <c r="ASS246" s="790"/>
      <c r="AST246" s="790"/>
      <c r="ASU246" s="790"/>
      <c r="ASV246" s="790"/>
      <c r="ASW246" s="790"/>
      <c r="ASX246" s="790"/>
      <c r="ASY246" s="790"/>
      <c r="ASZ246" s="790"/>
      <c r="ATA246" s="790"/>
      <c r="ATB246" s="790"/>
      <c r="ATC246" s="790"/>
      <c r="ATD246" s="790"/>
      <c r="ATE246" s="790"/>
      <c r="ATF246" s="790"/>
      <c r="ATG246" s="790"/>
      <c r="ATH246" s="790"/>
      <c r="ATI246" s="790"/>
      <c r="ATJ246" s="790"/>
      <c r="ATK246" s="790"/>
      <c r="ATL246" s="790"/>
      <c r="ATM246" s="790"/>
      <c r="ATN246" s="790"/>
      <c r="ATO246" s="790"/>
      <c r="ATP246" s="790"/>
      <c r="ATQ246" s="790"/>
      <c r="ATR246" s="790"/>
      <c r="ATS246" s="790"/>
      <c r="ATT246" s="790"/>
      <c r="ATU246" s="790"/>
      <c r="ATV246" s="790"/>
      <c r="ATW246" s="790"/>
      <c r="ATX246" s="790"/>
      <c r="ATY246" s="790"/>
      <c r="ATZ246" s="790"/>
      <c r="AUA246" s="790"/>
      <c r="AUB246" s="790"/>
      <c r="AUC246" s="790"/>
      <c r="AUD246" s="790"/>
      <c r="AUE246" s="790"/>
      <c r="AUF246" s="790"/>
      <c r="AUG246" s="790"/>
      <c r="AUH246" s="790"/>
      <c r="AUI246" s="790"/>
      <c r="AUJ246" s="790"/>
      <c r="AUK246" s="790"/>
      <c r="AUL246" s="790"/>
      <c r="AUM246" s="790"/>
      <c r="AUN246" s="790"/>
      <c r="AUO246" s="790"/>
      <c r="AUP246" s="790"/>
      <c r="AUQ246" s="790"/>
      <c r="AUR246" s="790"/>
      <c r="AUS246" s="790"/>
      <c r="AUT246" s="790"/>
      <c r="AUU246" s="790"/>
      <c r="AUV246" s="790"/>
      <c r="AUW246" s="790"/>
      <c r="AUX246" s="790"/>
      <c r="AUY246" s="790"/>
      <c r="AUZ246" s="790"/>
      <c r="AVA246" s="790"/>
      <c r="AVB246" s="790"/>
      <c r="AVC246" s="790"/>
      <c r="AVD246" s="790"/>
      <c r="AVE246" s="790"/>
      <c r="AVF246" s="790"/>
      <c r="AVG246" s="790"/>
      <c r="AVH246" s="790"/>
      <c r="AVI246" s="790"/>
      <c r="AVJ246" s="790"/>
      <c r="AVK246" s="790"/>
      <c r="AVL246" s="790"/>
      <c r="AVM246" s="790"/>
      <c r="AVN246" s="790"/>
      <c r="AVO246" s="790"/>
      <c r="AVP246" s="790"/>
      <c r="AVQ246" s="790"/>
      <c r="AVR246" s="790"/>
      <c r="AVS246" s="790"/>
      <c r="AVT246" s="790"/>
      <c r="AVU246" s="790"/>
      <c r="AVV246" s="790"/>
      <c r="AVW246" s="790"/>
      <c r="AVX246" s="790"/>
      <c r="AVY246" s="790"/>
      <c r="AVZ246" s="790"/>
      <c r="AWA246" s="790"/>
      <c r="AWB246" s="790"/>
      <c r="AWC246" s="790"/>
      <c r="AWD246" s="790"/>
      <c r="AWE246" s="790"/>
      <c r="AWF246" s="790"/>
      <c r="AWG246" s="790"/>
      <c r="AWH246" s="790"/>
      <c r="AWI246" s="790"/>
      <c r="AWJ246" s="790"/>
      <c r="AWK246" s="790"/>
      <c r="AWL246" s="790"/>
      <c r="AWM246" s="790"/>
      <c r="AWN246" s="790"/>
      <c r="AWO246" s="790"/>
      <c r="AWP246" s="790"/>
      <c r="AWQ246" s="790"/>
      <c r="AWR246" s="790"/>
      <c r="AWS246" s="790"/>
      <c r="AWT246" s="790"/>
      <c r="AWU246" s="790"/>
      <c r="AWV246" s="790"/>
      <c r="AWW246" s="790"/>
      <c r="AWX246" s="790"/>
      <c r="AWY246" s="790"/>
      <c r="AWZ246" s="790"/>
      <c r="AXA246" s="790"/>
      <c r="AXB246" s="790"/>
      <c r="AXC246" s="790"/>
      <c r="AXD246" s="790"/>
      <c r="AXE246" s="790"/>
      <c r="AXF246" s="790"/>
      <c r="AXG246" s="790"/>
      <c r="AXH246" s="790"/>
      <c r="AXI246" s="790"/>
      <c r="AXJ246" s="790"/>
      <c r="AXK246" s="790"/>
      <c r="AXL246" s="790"/>
      <c r="AXM246" s="790"/>
      <c r="AXN246" s="790"/>
      <c r="AXO246" s="790"/>
      <c r="AXP246" s="790"/>
      <c r="AXQ246" s="790"/>
      <c r="AXR246" s="790"/>
      <c r="AXS246" s="790"/>
      <c r="AXT246" s="790"/>
      <c r="AXU246" s="790"/>
      <c r="AXV246" s="790"/>
      <c r="AXW246" s="790"/>
      <c r="AXX246" s="790"/>
      <c r="AXY246" s="790"/>
      <c r="AXZ246" s="790"/>
      <c r="AYA246" s="790"/>
      <c r="AYB246" s="790"/>
      <c r="AYC246" s="790"/>
      <c r="AYD246" s="790"/>
      <c r="AYE246" s="790"/>
      <c r="AYF246" s="790"/>
      <c r="AYG246" s="790"/>
      <c r="AYH246" s="790"/>
      <c r="AYI246" s="790"/>
      <c r="AYJ246" s="790"/>
      <c r="AYK246" s="790"/>
      <c r="AYL246" s="790"/>
      <c r="AYM246" s="790"/>
      <c r="AYN246" s="790"/>
      <c r="AYO246" s="790"/>
      <c r="AYP246" s="790"/>
      <c r="AYQ246" s="790"/>
      <c r="AYR246" s="790"/>
      <c r="AYS246" s="790"/>
      <c r="AYT246" s="790"/>
      <c r="AYU246" s="790"/>
      <c r="AYV246" s="790"/>
      <c r="AYW246" s="790"/>
      <c r="AYX246" s="790"/>
      <c r="AYY246" s="790"/>
      <c r="AYZ246" s="790"/>
      <c r="AZA246" s="790"/>
      <c r="AZB246" s="790"/>
      <c r="AZC246" s="790"/>
      <c r="AZD246" s="790"/>
      <c r="AZE246" s="790"/>
      <c r="AZF246" s="790"/>
      <c r="AZG246" s="790"/>
      <c r="AZH246" s="790"/>
      <c r="AZI246" s="790"/>
      <c r="AZJ246" s="790"/>
      <c r="AZK246" s="790"/>
      <c r="AZL246" s="790"/>
      <c r="AZM246" s="790"/>
      <c r="AZN246" s="790"/>
      <c r="AZO246" s="790"/>
      <c r="AZP246" s="790"/>
      <c r="AZQ246" s="790"/>
      <c r="AZR246" s="790"/>
      <c r="AZS246" s="790"/>
      <c r="AZT246" s="790"/>
      <c r="AZU246" s="790"/>
      <c r="AZV246" s="790"/>
      <c r="AZW246" s="790"/>
      <c r="AZX246" s="790"/>
      <c r="AZY246" s="790"/>
      <c r="AZZ246" s="790"/>
      <c r="BAA246" s="790"/>
      <c r="BAB246" s="790"/>
      <c r="BAC246" s="790"/>
      <c r="BAD246" s="790"/>
      <c r="BAE246" s="790"/>
      <c r="BAF246" s="790"/>
      <c r="BAG246" s="790"/>
      <c r="BAH246" s="790"/>
      <c r="BAI246" s="790"/>
      <c r="BAJ246" s="790"/>
      <c r="BAK246" s="790"/>
      <c r="BAL246" s="790"/>
      <c r="BAM246" s="790"/>
      <c r="BAN246" s="790"/>
      <c r="BAO246" s="790"/>
      <c r="BAP246" s="790"/>
      <c r="BAQ246" s="790"/>
      <c r="BAR246" s="790"/>
      <c r="BAS246" s="790"/>
      <c r="BAT246" s="790"/>
      <c r="BAU246" s="790"/>
      <c r="BAV246" s="790"/>
      <c r="BAW246" s="790"/>
      <c r="BAX246" s="790"/>
      <c r="BAY246" s="790"/>
      <c r="BAZ246" s="790"/>
      <c r="BBA246" s="790"/>
      <c r="BBB246" s="790"/>
      <c r="BBC246" s="790"/>
      <c r="BBD246" s="790"/>
      <c r="BBE246" s="790"/>
      <c r="BBF246" s="790"/>
      <c r="BBG246" s="790"/>
      <c r="BBH246" s="790"/>
      <c r="BBI246" s="790"/>
      <c r="BBJ246" s="790"/>
      <c r="BBK246" s="790"/>
      <c r="BBL246" s="790"/>
      <c r="BBM246" s="790"/>
      <c r="BBN246" s="790"/>
      <c r="BBO246" s="790"/>
      <c r="BBP246" s="790"/>
      <c r="BBQ246" s="790"/>
      <c r="BBR246" s="790"/>
      <c r="BBS246" s="790"/>
      <c r="BBT246" s="790"/>
      <c r="BBU246" s="790"/>
      <c r="BBV246" s="790"/>
      <c r="BBW246" s="790"/>
      <c r="BBX246" s="790"/>
      <c r="BBY246" s="790"/>
      <c r="BBZ246" s="790"/>
      <c r="BCA246" s="790"/>
      <c r="BCB246" s="790"/>
      <c r="BCC246" s="790"/>
      <c r="BCD246" s="790"/>
      <c r="BCE246" s="790"/>
      <c r="BCF246" s="790"/>
      <c r="BCG246" s="790"/>
      <c r="BCH246" s="790"/>
      <c r="BCI246" s="790"/>
      <c r="BCJ246" s="790"/>
      <c r="BCK246" s="790"/>
      <c r="BCL246" s="790"/>
      <c r="BCM246" s="790"/>
      <c r="BCN246" s="790"/>
      <c r="BCO246" s="790"/>
      <c r="BCP246" s="790"/>
      <c r="BCQ246" s="790"/>
      <c r="BCR246" s="790"/>
      <c r="BCS246" s="790"/>
      <c r="BCT246" s="790"/>
      <c r="BCU246" s="790"/>
      <c r="BCV246" s="790"/>
      <c r="BCW246" s="790"/>
      <c r="BCX246" s="790"/>
      <c r="BCY246" s="790"/>
      <c r="BCZ246" s="790"/>
      <c r="BDA246" s="790"/>
      <c r="BDB246" s="790"/>
      <c r="BDC246" s="790"/>
      <c r="BDD246" s="790"/>
      <c r="BDE246" s="790"/>
      <c r="BDF246" s="790"/>
      <c r="BDG246" s="790"/>
      <c r="BDH246" s="790"/>
      <c r="BDI246" s="790"/>
      <c r="BDJ246" s="790"/>
      <c r="BDK246" s="790"/>
      <c r="BDL246" s="790"/>
      <c r="BDM246" s="790"/>
      <c r="BDN246" s="790"/>
      <c r="BDO246" s="790"/>
      <c r="BDP246" s="790"/>
      <c r="BDQ246" s="790"/>
      <c r="BDR246" s="790"/>
      <c r="BDS246" s="790"/>
      <c r="BDT246" s="790"/>
      <c r="BDU246" s="790"/>
      <c r="BDV246" s="790"/>
      <c r="BDW246" s="790"/>
      <c r="BDX246" s="790"/>
      <c r="BDY246" s="790"/>
      <c r="BDZ246" s="790"/>
      <c r="BEA246" s="790"/>
      <c r="BEB246" s="790"/>
      <c r="BEC246" s="790"/>
      <c r="BED246" s="790"/>
      <c r="BEE246" s="790"/>
      <c r="BEF246" s="790"/>
      <c r="BEG246" s="790"/>
      <c r="BEH246" s="790"/>
      <c r="BEI246" s="790"/>
      <c r="BEJ246" s="790"/>
      <c r="BEK246" s="790"/>
      <c r="BEL246" s="790"/>
      <c r="BEM246" s="790"/>
      <c r="BEN246" s="790"/>
      <c r="BEO246" s="790"/>
      <c r="BEP246" s="790"/>
      <c r="BEQ246" s="790"/>
      <c r="BER246" s="790"/>
      <c r="BES246" s="790"/>
      <c r="BET246" s="790"/>
      <c r="BEU246" s="790"/>
      <c r="BEV246" s="790"/>
      <c r="BEW246" s="790"/>
      <c r="BEX246" s="790"/>
      <c r="BEY246" s="790"/>
      <c r="BEZ246" s="790"/>
      <c r="BFA246" s="790"/>
      <c r="BFB246" s="790"/>
      <c r="BFC246" s="790"/>
      <c r="BFD246" s="790"/>
      <c r="BFE246" s="790"/>
      <c r="BFF246" s="790"/>
      <c r="BFG246" s="790"/>
      <c r="BFH246" s="790"/>
      <c r="BFI246" s="790"/>
      <c r="BFJ246" s="790"/>
      <c r="BFK246" s="790"/>
      <c r="BFL246" s="790"/>
      <c r="BFM246" s="790"/>
      <c r="BFN246" s="790"/>
      <c r="BFO246" s="790"/>
      <c r="BFP246" s="790"/>
      <c r="BFQ246" s="790"/>
      <c r="BFR246" s="790"/>
      <c r="BFS246" s="790"/>
      <c r="BFT246" s="790"/>
      <c r="BFU246" s="790"/>
      <c r="BFV246" s="790"/>
      <c r="BFW246" s="790"/>
      <c r="BFX246" s="790"/>
      <c r="BFY246" s="790"/>
      <c r="BFZ246" s="790"/>
      <c r="BGA246" s="790"/>
      <c r="BGB246" s="790"/>
      <c r="BGC246" s="790"/>
      <c r="BGD246" s="790"/>
      <c r="BGE246" s="790"/>
      <c r="BGF246" s="790"/>
      <c r="BGG246" s="790"/>
      <c r="BGH246" s="790"/>
      <c r="BGI246" s="790"/>
      <c r="BGJ246" s="790"/>
      <c r="BGK246" s="790"/>
      <c r="BGL246" s="790"/>
      <c r="BGM246" s="790"/>
      <c r="BGN246" s="790"/>
      <c r="BGO246" s="790"/>
      <c r="BGP246" s="790"/>
      <c r="BGQ246" s="790"/>
      <c r="BGR246" s="790"/>
      <c r="BGS246" s="790"/>
      <c r="BGT246" s="790"/>
      <c r="BGU246" s="790"/>
      <c r="BGV246" s="790"/>
      <c r="BGW246" s="790"/>
      <c r="BGX246" s="790"/>
      <c r="BGY246" s="790"/>
      <c r="BGZ246" s="790"/>
      <c r="BHA246" s="790"/>
      <c r="BHB246" s="790"/>
      <c r="BHC246" s="790"/>
      <c r="BHD246" s="790"/>
      <c r="BHE246" s="790"/>
      <c r="BHF246" s="790"/>
      <c r="BHG246" s="790"/>
      <c r="BHH246" s="790"/>
      <c r="BHI246" s="790"/>
      <c r="BHJ246" s="790"/>
      <c r="BHK246" s="790"/>
      <c r="BHL246" s="790"/>
      <c r="BHM246" s="790"/>
      <c r="BHN246" s="790"/>
      <c r="BHO246" s="790"/>
      <c r="BHP246" s="790"/>
      <c r="BHQ246" s="790"/>
      <c r="BHR246" s="790"/>
      <c r="BHS246" s="790"/>
      <c r="BHT246" s="790"/>
      <c r="BHU246" s="790"/>
      <c r="BHV246" s="790"/>
      <c r="BHW246" s="790"/>
      <c r="BHX246" s="790"/>
      <c r="BHY246" s="790"/>
      <c r="BHZ246" s="790"/>
      <c r="BIA246" s="790"/>
      <c r="BIB246" s="790"/>
      <c r="BIC246" s="790"/>
      <c r="BID246" s="790"/>
      <c r="BIE246" s="790"/>
      <c r="BIF246" s="790"/>
      <c r="BIG246" s="790"/>
      <c r="BIH246" s="790"/>
      <c r="BII246" s="790"/>
      <c r="BIJ246" s="790"/>
      <c r="BIK246" s="790"/>
      <c r="BIL246" s="790"/>
      <c r="BIM246" s="790"/>
      <c r="BIN246" s="790"/>
      <c r="BIO246" s="790"/>
      <c r="BIP246" s="790"/>
      <c r="BIQ246" s="790"/>
      <c r="BIR246" s="790"/>
      <c r="BIS246" s="790"/>
      <c r="BIT246" s="790"/>
      <c r="BIU246" s="790"/>
      <c r="BIV246" s="790"/>
      <c r="BIW246" s="790"/>
      <c r="BIX246" s="790"/>
      <c r="BIY246" s="790"/>
      <c r="BIZ246" s="790"/>
      <c r="BJA246" s="790"/>
      <c r="BJB246" s="790"/>
      <c r="BJC246" s="790"/>
      <c r="BJD246" s="790"/>
      <c r="BJE246" s="790"/>
      <c r="BJF246" s="790"/>
      <c r="BJG246" s="790"/>
      <c r="BJH246" s="790"/>
      <c r="BJI246" s="790"/>
      <c r="BJJ246" s="790"/>
      <c r="BJK246" s="790"/>
      <c r="BJL246" s="790"/>
      <c r="BJM246" s="790"/>
      <c r="BJN246" s="790"/>
      <c r="BJO246" s="790"/>
      <c r="BJP246" s="790"/>
      <c r="BJQ246" s="790"/>
      <c r="BJR246" s="790"/>
      <c r="BJS246" s="790"/>
      <c r="BJT246" s="790"/>
      <c r="BJU246" s="790"/>
      <c r="BJV246" s="790"/>
      <c r="BJW246" s="790"/>
      <c r="BJX246" s="790"/>
      <c r="BJY246" s="790"/>
      <c r="BJZ246" s="790"/>
      <c r="BKA246" s="790"/>
      <c r="BKB246" s="790"/>
      <c r="BKC246" s="790"/>
      <c r="BKD246" s="790"/>
      <c r="BKE246" s="790"/>
      <c r="BKF246" s="790"/>
      <c r="BKG246" s="790"/>
      <c r="BKH246" s="790"/>
      <c r="BKI246" s="790"/>
      <c r="BKJ246" s="790"/>
      <c r="BKK246" s="790"/>
      <c r="BKL246" s="790"/>
      <c r="BKM246" s="790"/>
      <c r="BKN246" s="790"/>
      <c r="BKO246" s="790"/>
      <c r="BKP246" s="790"/>
      <c r="BKQ246" s="790"/>
      <c r="BKR246" s="790"/>
      <c r="BKS246" s="790"/>
      <c r="BKT246" s="790"/>
      <c r="BKU246" s="790"/>
      <c r="BKV246" s="790"/>
      <c r="BKW246" s="790"/>
      <c r="BKX246" s="790"/>
      <c r="BKY246" s="790"/>
      <c r="BKZ246" s="790"/>
      <c r="BLA246" s="790"/>
      <c r="BLB246" s="790"/>
      <c r="BLC246" s="790"/>
      <c r="BLD246" s="790"/>
      <c r="BLE246" s="790"/>
      <c r="BLF246" s="790"/>
      <c r="BLG246" s="790"/>
      <c r="BLH246" s="790"/>
      <c r="BLI246" s="790"/>
      <c r="BLJ246" s="790"/>
      <c r="BLK246" s="790"/>
      <c r="BLL246" s="790"/>
      <c r="BLM246" s="790"/>
      <c r="BLN246" s="790"/>
      <c r="BLO246" s="790"/>
      <c r="BLP246" s="790"/>
      <c r="BLQ246" s="790"/>
      <c r="BLR246" s="790"/>
      <c r="BLS246" s="790"/>
      <c r="BLT246" s="790"/>
      <c r="BLU246" s="790"/>
      <c r="BLV246" s="790"/>
      <c r="BLW246" s="790"/>
      <c r="BLX246" s="790"/>
      <c r="BLY246" s="790"/>
      <c r="BLZ246" s="790"/>
      <c r="BMA246" s="790"/>
      <c r="BMB246" s="790"/>
      <c r="BMC246" s="790"/>
      <c r="BMD246" s="790"/>
      <c r="BME246" s="790"/>
      <c r="BMF246" s="790"/>
      <c r="BMG246" s="790"/>
      <c r="BMH246" s="790"/>
      <c r="BMI246" s="790"/>
      <c r="BMJ246" s="790"/>
      <c r="BMK246" s="790"/>
      <c r="BML246" s="790"/>
      <c r="BMM246" s="790"/>
      <c r="BMN246" s="790"/>
      <c r="BMO246" s="790"/>
      <c r="BMP246" s="790"/>
      <c r="BMQ246" s="790"/>
      <c r="BMR246" s="790"/>
      <c r="BMS246" s="790"/>
      <c r="BMT246" s="790"/>
      <c r="BMU246" s="790"/>
      <c r="BMV246" s="790"/>
      <c r="BMW246" s="790"/>
      <c r="BMX246" s="790"/>
      <c r="BMY246" s="790"/>
      <c r="BMZ246" s="790"/>
      <c r="BNA246" s="790"/>
      <c r="BNB246" s="790"/>
      <c r="BNC246" s="790"/>
      <c r="BND246" s="790"/>
      <c r="BNE246" s="790"/>
      <c r="BNF246" s="790"/>
      <c r="BNG246" s="790"/>
      <c r="BNH246" s="790"/>
      <c r="BNI246" s="790"/>
      <c r="BNJ246" s="790"/>
      <c r="BNK246" s="790"/>
      <c r="BNL246" s="790"/>
      <c r="BNM246" s="790"/>
      <c r="BNN246" s="790"/>
      <c r="BNO246" s="790"/>
      <c r="BNP246" s="790"/>
      <c r="BNQ246" s="790"/>
      <c r="BNR246" s="790"/>
      <c r="BNS246" s="790"/>
      <c r="BNT246" s="790"/>
      <c r="BNU246" s="790"/>
      <c r="BNV246" s="790"/>
      <c r="BNW246" s="790"/>
      <c r="BNX246" s="790"/>
      <c r="BNY246" s="790"/>
      <c r="BNZ246" s="790"/>
      <c r="BOA246" s="790"/>
      <c r="BOB246" s="790"/>
      <c r="BOC246" s="790"/>
      <c r="BOD246" s="790"/>
      <c r="BOE246" s="790"/>
      <c r="BOF246" s="790"/>
      <c r="BOG246" s="790"/>
      <c r="BOH246" s="790"/>
      <c r="BOI246" s="790"/>
      <c r="BOJ246" s="790"/>
      <c r="BOK246" s="790"/>
      <c r="BOL246" s="790"/>
      <c r="BOM246" s="790"/>
      <c r="BON246" s="790"/>
      <c r="BOO246" s="790"/>
      <c r="BOP246" s="790"/>
      <c r="BOQ246" s="790"/>
      <c r="BOR246" s="790"/>
      <c r="BOS246" s="790"/>
      <c r="BOT246" s="790"/>
      <c r="BOU246" s="790"/>
    </row>
    <row r="247" spans="1:1763" s="791" customFormat="1" ht="12.75">
      <c r="A247" s="790" t="s">
        <v>996</v>
      </c>
      <c r="B247" s="810">
        <v>2.31</v>
      </c>
      <c r="C247" s="811"/>
      <c r="D247" s="812">
        <v>2.2999999999999998</v>
      </c>
      <c r="E247" s="811"/>
      <c r="F247" s="813">
        <f ca="1">D247*$J$5</f>
        <v>0.13484076475777745</v>
      </c>
      <c r="G247" s="812"/>
      <c r="H247" s="812">
        <f ca="1">B247+F247</f>
        <v>2.4448407647577777</v>
      </c>
      <c r="I247" s="812"/>
      <c r="J247" s="810">
        <f ca="1">+D247+F247</f>
        <v>2.4348407647577774</v>
      </c>
      <c r="L247" s="790"/>
      <c r="N247" s="790"/>
      <c r="O247" s="790"/>
      <c r="P247" s="790"/>
      <c r="Q247" s="790"/>
      <c r="R247" s="790"/>
      <c r="S247" s="790"/>
      <c r="T247" s="790"/>
      <c r="U247" s="790"/>
      <c r="V247" s="790"/>
      <c r="W247" s="790"/>
      <c r="X247" s="790"/>
      <c r="Y247" s="790"/>
      <c r="Z247" s="790"/>
      <c r="AA247" s="790"/>
      <c r="AB247" s="790"/>
      <c r="AC247" s="790"/>
      <c r="AD247" s="790"/>
      <c r="AE247" s="790"/>
      <c r="AF247" s="790"/>
      <c r="AG247" s="790"/>
      <c r="AH247" s="790"/>
      <c r="AI247" s="790"/>
      <c r="AJ247" s="790"/>
      <c r="AK247" s="790"/>
      <c r="AL247" s="790"/>
      <c r="AM247" s="790"/>
      <c r="AN247" s="790"/>
      <c r="AO247" s="790"/>
      <c r="AP247" s="790"/>
      <c r="AQ247" s="790"/>
      <c r="AR247" s="790"/>
      <c r="AS247" s="790"/>
      <c r="AT247" s="790"/>
      <c r="AU247" s="790"/>
      <c r="AV247" s="790"/>
      <c r="AW247" s="790"/>
      <c r="AX247" s="790"/>
      <c r="AY247" s="790"/>
      <c r="AZ247" s="790"/>
      <c r="BA247" s="790"/>
      <c r="BB247" s="790"/>
      <c r="BC247" s="790"/>
      <c r="BD247" s="790"/>
      <c r="BE247" s="790"/>
      <c r="BF247" s="790"/>
      <c r="BG247" s="790"/>
      <c r="BH247" s="790"/>
      <c r="BI247" s="790"/>
      <c r="BJ247" s="790"/>
      <c r="BK247" s="790"/>
      <c r="BL247" s="790"/>
      <c r="BM247" s="790"/>
      <c r="BN247" s="790"/>
      <c r="BO247" s="790"/>
      <c r="BP247" s="790"/>
      <c r="BQ247" s="790"/>
      <c r="BR247" s="790"/>
      <c r="BS247" s="790"/>
      <c r="BT247" s="790"/>
      <c r="BU247" s="790"/>
      <c r="BV247" s="790"/>
      <c r="BW247" s="790"/>
      <c r="BX247" s="790"/>
      <c r="BY247" s="790"/>
      <c r="BZ247" s="790"/>
      <c r="CA247" s="790"/>
      <c r="CB247" s="790"/>
      <c r="CC247" s="790"/>
      <c r="CD247" s="790"/>
      <c r="CE247" s="790"/>
      <c r="CF247" s="790"/>
      <c r="CG247" s="790"/>
      <c r="CH247" s="790"/>
      <c r="CI247" s="790"/>
      <c r="CJ247" s="790"/>
      <c r="CK247" s="790"/>
      <c r="CL247" s="790"/>
      <c r="CM247" s="790"/>
      <c r="CN247" s="790"/>
      <c r="CO247" s="790"/>
      <c r="CP247" s="790"/>
      <c r="CQ247" s="790"/>
      <c r="CR247" s="790"/>
      <c r="CS247" s="790"/>
      <c r="CT247" s="790"/>
      <c r="CU247" s="790"/>
      <c r="CV247" s="790"/>
      <c r="CW247" s="790"/>
      <c r="CX247" s="790"/>
      <c r="CY247" s="790"/>
      <c r="CZ247" s="790"/>
      <c r="DA247" s="790"/>
      <c r="DB247" s="790"/>
      <c r="DC247" s="790"/>
      <c r="DD247" s="790"/>
      <c r="DE247" s="790"/>
      <c r="DF247" s="790"/>
      <c r="DG247" s="790"/>
      <c r="DH247" s="790"/>
      <c r="DI247" s="790"/>
      <c r="DJ247" s="790"/>
      <c r="DK247" s="790"/>
      <c r="DL247" s="790"/>
      <c r="DM247" s="790"/>
      <c r="DN247" s="790"/>
      <c r="DO247" s="790"/>
      <c r="DP247" s="790"/>
      <c r="DQ247" s="790"/>
      <c r="DR247" s="790"/>
      <c r="DS247" s="790"/>
      <c r="DT247" s="790"/>
      <c r="DU247" s="790"/>
      <c r="DV247" s="790"/>
      <c r="DW247" s="790"/>
      <c r="DX247" s="790"/>
      <c r="DY247" s="790"/>
      <c r="DZ247" s="790"/>
      <c r="EA247" s="790"/>
      <c r="EB247" s="790"/>
      <c r="EC247" s="790"/>
      <c r="ED247" s="790"/>
      <c r="EE247" s="790"/>
      <c r="EF247" s="790"/>
      <c r="EG247" s="790"/>
      <c r="EH247" s="790"/>
      <c r="EI247" s="790"/>
      <c r="EJ247" s="790"/>
      <c r="EK247" s="790"/>
      <c r="EL247" s="790"/>
      <c r="EM247" s="790"/>
      <c r="EN247" s="790"/>
      <c r="EO247" s="790"/>
      <c r="EP247" s="790"/>
      <c r="EQ247" s="790"/>
      <c r="ER247" s="790"/>
      <c r="ES247" s="790"/>
      <c r="ET247" s="790"/>
      <c r="EU247" s="790"/>
      <c r="EV247" s="790"/>
      <c r="EW247" s="790"/>
      <c r="EX247" s="790"/>
      <c r="EY247" s="790"/>
      <c r="EZ247" s="790"/>
      <c r="FA247" s="790"/>
      <c r="FB247" s="790"/>
      <c r="FC247" s="790"/>
      <c r="FD247" s="790"/>
      <c r="FE247" s="790"/>
      <c r="FF247" s="790"/>
      <c r="FG247" s="790"/>
      <c r="FH247" s="790"/>
      <c r="FI247" s="790"/>
      <c r="FJ247" s="790"/>
      <c r="FK247" s="790"/>
      <c r="FL247" s="790"/>
      <c r="FM247" s="790"/>
      <c r="FN247" s="790"/>
      <c r="FO247" s="790"/>
      <c r="FP247" s="790"/>
      <c r="FQ247" s="790"/>
      <c r="FR247" s="790"/>
      <c r="FS247" s="790"/>
      <c r="FT247" s="790"/>
      <c r="FU247" s="790"/>
      <c r="FV247" s="790"/>
      <c r="FW247" s="790"/>
      <c r="FX247" s="790"/>
      <c r="FY247" s="790"/>
      <c r="FZ247" s="790"/>
      <c r="GA247" s="790"/>
      <c r="GB247" s="790"/>
      <c r="GC247" s="790"/>
      <c r="GD247" s="790"/>
      <c r="GE247" s="790"/>
      <c r="GF247" s="790"/>
      <c r="GG247" s="790"/>
      <c r="GH247" s="790"/>
      <c r="GI247" s="790"/>
      <c r="GJ247" s="790"/>
      <c r="GK247" s="790"/>
      <c r="GL247" s="790"/>
      <c r="GM247" s="790"/>
      <c r="GN247" s="790"/>
      <c r="GO247" s="790"/>
      <c r="GP247" s="790"/>
      <c r="GQ247" s="790"/>
      <c r="GR247" s="790"/>
      <c r="GS247" s="790"/>
      <c r="GT247" s="790"/>
      <c r="GU247" s="790"/>
      <c r="GV247" s="790"/>
      <c r="GW247" s="790"/>
      <c r="GX247" s="790"/>
      <c r="GY247" s="790"/>
      <c r="GZ247" s="790"/>
      <c r="HA247" s="790"/>
      <c r="HB247" s="790"/>
      <c r="HC247" s="790"/>
      <c r="HD247" s="790"/>
      <c r="HE247" s="790"/>
      <c r="HF247" s="790"/>
      <c r="HG247" s="790"/>
      <c r="HH247" s="790"/>
      <c r="HI247" s="790"/>
      <c r="HJ247" s="790"/>
      <c r="HK247" s="790"/>
      <c r="HL247" s="790"/>
      <c r="HM247" s="790"/>
      <c r="HN247" s="790"/>
      <c r="HO247" s="790"/>
      <c r="HP247" s="790"/>
      <c r="HQ247" s="790"/>
      <c r="HR247" s="790"/>
      <c r="HS247" s="790"/>
      <c r="HT247" s="790"/>
      <c r="HU247" s="790"/>
      <c r="HV247" s="790"/>
      <c r="HW247" s="790"/>
      <c r="HX247" s="790"/>
      <c r="HY247" s="790"/>
      <c r="HZ247" s="790"/>
      <c r="IA247" s="790"/>
      <c r="IB247" s="790"/>
      <c r="IC247" s="790"/>
      <c r="ID247" s="790"/>
      <c r="IE247" s="790"/>
      <c r="IF247" s="790"/>
      <c r="IG247" s="790"/>
      <c r="IH247" s="790"/>
      <c r="II247" s="790"/>
      <c r="IJ247" s="790"/>
      <c r="IK247" s="790"/>
      <c r="IL247" s="790"/>
      <c r="IM247" s="790"/>
      <c r="IN247" s="790"/>
      <c r="IO247" s="790"/>
      <c r="IP247" s="790"/>
      <c r="IQ247" s="790"/>
      <c r="IR247" s="790"/>
      <c r="IS247" s="790"/>
      <c r="IT247" s="790"/>
      <c r="IU247" s="790"/>
      <c r="IV247" s="790"/>
      <c r="IW247" s="790"/>
      <c r="IX247" s="790"/>
      <c r="IY247" s="790"/>
      <c r="IZ247" s="790"/>
      <c r="JA247" s="790"/>
      <c r="JB247" s="790"/>
      <c r="JC247" s="790"/>
      <c r="JD247" s="790"/>
      <c r="JE247" s="790"/>
      <c r="JF247" s="790"/>
      <c r="JG247" s="790"/>
      <c r="JH247" s="790"/>
      <c r="JI247" s="790"/>
      <c r="JJ247" s="790"/>
      <c r="JK247" s="790"/>
      <c r="JL247" s="790"/>
      <c r="JM247" s="790"/>
      <c r="JN247" s="790"/>
      <c r="JO247" s="790"/>
      <c r="JP247" s="790"/>
      <c r="JQ247" s="790"/>
      <c r="JR247" s="790"/>
      <c r="JS247" s="790"/>
      <c r="JT247" s="790"/>
      <c r="JU247" s="790"/>
      <c r="JV247" s="790"/>
      <c r="JW247" s="790"/>
      <c r="JX247" s="790"/>
      <c r="JY247" s="790"/>
      <c r="JZ247" s="790"/>
      <c r="KA247" s="790"/>
      <c r="KB247" s="790"/>
      <c r="KC247" s="790"/>
      <c r="KD247" s="790"/>
      <c r="KE247" s="790"/>
      <c r="KF247" s="790"/>
      <c r="KG247" s="790"/>
      <c r="KH247" s="790"/>
      <c r="KI247" s="790"/>
      <c r="KJ247" s="790"/>
      <c r="KK247" s="790"/>
      <c r="KL247" s="790"/>
      <c r="KM247" s="790"/>
      <c r="KN247" s="790"/>
      <c r="KO247" s="790"/>
      <c r="KP247" s="790"/>
      <c r="KQ247" s="790"/>
      <c r="KR247" s="790"/>
      <c r="KS247" s="790"/>
      <c r="KT247" s="790"/>
      <c r="KU247" s="790"/>
      <c r="KV247" s="790"/>
      <c r="KW247" s="790"/>
      <c r="KX247" s="790"/>
      <c r="KY247" s="790"/>
      <c r="KZ247" s="790"/>
      <c r="LA247" s="790"/>
      <c r="LB247" s="790"/>
      <c r="LC247" s="790"/>
      <c r="LD247" s="790"/>
      <c r="LE247" s="790"/>
      <c r="LF247" s="790"/>
      <c r="LG247" s="790"/>
      <c r="LH247" s="790"/>
      <c r="LI247" s="790"/>
      <c r="LJ247" s="790"/>
      <c r="LK247" s="790"/>
      <c r="LL247" s="790"/>
      <c r="LM247" s="790"/>
      <c r="LN247" s="790"/>
      <c r="LO247" s="790"/>
      <c r="LP247" s="790"/>
      <c r="LQ247" s="790"/>
      <c r="LR247" s="790"/>
      <c r="LS247" s="790"/>
      <c r="LT247" s="790"/>
      <c r="LU247" s="790"/>
      <c r="LV247" s="790"/>
      <c r="LW247" s="790"/>
      <c r="LX247" s="790"/>
      <c r="LY247" s="790"/>
      <c r="LZ247" s="790"/>
      <c r="MA247" s="790"/>
      <c r="MB247" s="790"/>
      <c r="MC247" s="790"/>
      <c r="MD247" s="790"/>
      <c r="ME247" s="790"/>
      <c r="MF247" s="790"/>
      <c r="MG247" s="790"/>
      <c r="MH247" s="790"/>
      <c r="MI247" s="790"/>
      <c r="MJ247" s="790"/>
      <c r="MK247" s="790"/>
      <c r="ML247" s="790"/>
      <c r="MM247" s="790"/>
      <c r="MN247" s="790"/>
      <c r="MO247" s="790"/>
      <c r="MP247" s="790"/>
      <c r="MQ247" s="790"/>
      <c r="MR247" s="790"/>
      <c r="MS247" s="790"/>
      <c r="MT247" s="790"/>
      <c r="MU247" s="790"/>
      <c r="MV247" s="790"/>
      <c r="MW247" s="790"/>
      <c r="MX247" s="790"/>
      <c r="MY247" s="790"/>
      <c r="MZ247" s="790"/>
      <c r="NA247" s="790"/>
      <c r="NB247" s="790"/>
      <c r="NC247" s="790"/>
      <c r="ND247" s="790"/>
      <c r="NE247" s="790"/>
      <c r="NF247" s="790"/>
      <c r="NG247" s="790"/>
      <c r="NH247" s="790"/>
      <c r="NI247" s="790"/>
      <c r="NJ247" s="790"/>
      <c r="NK247" s="790"/>
      <c r="NL247" s="790"/>
      <c r="NM247" s="790"/>
      <c r="NN247" s="790"/>
      <c r="NO247" s="790"/>
      <c r="NP247" s="790"/>
      <c r="NQ247" s="790"/>
      <c r="NR247" s="790"/>
      <c r="NS247" s="790"/>
      <c r="NT247" s="790"/>
      <c r="NU247" s="790"/>
      <c r="NV247" s="790"/>
      <c r="NW247" s="790"/>
      <c r="NX247" s="790"/>
      <c r="NY247" s="790"/>
      <c r="NZ247" s="790"/>
      <c r="OA247" s="790"/>
      <c r="OB247" s="790"/>
      <c r="OC247" s="790"/>
      <c r="OD247" s="790"/>
      <c r="OE247" s="790"/>
      <c r="OF247" s="790"/>
      <c r="OG247" s="790"/>
      <c r="OH247" s="790"/>
      <c r="OI247" s="790"/>
      <c r="OJ247" s="790"/>
      <c r="OK247" s="790"/>
      <c r="OL247" s="790"/>
      <c r="OM247" s="790"/>
      <c r="ON247" s="790"/>
      <c r="OO247" s="790"/>
      <c r="OP247" s="790"/>
      <c r="OQ247" s="790"/>
      <c r="OR247" s="790"/>
      <c r="OS247" s="790"/>
      <c r="OT247" s="790"/>
      <c r="OU247" s="790"/>
      <c r="OV247" s="790"/>
      <c r="OW247" s="790"/>
      <c r="OX247" s="790"/>
      <c r="OY247" s="790"/>
      <c r="OZ247" s="790"/>
      <c r="PA247" s="790"/>
      <c r="PB247" s="790"/>
      <c r="PC247" s="790"/>
      <c r="PD247" s="790"/>
      <c r="PE247" s="790"/>
      <c r="PF247" s="790"/>
      <c r="PG247" s="790"/>
      <c r="PH247" s="790"/>
      <c r="PI247" s="790"/>
      <c r="PJ247" s="790"/>
      <c r="PK247" s="790"/>
      <c r="PL247" s="790"/>
      <c r="PM247" s="790"/>
      <c r="PN247" s="790"/>
      <c r="PO247" s="790"/>
      <c r="PP247" s="790"/>
      <c r="PQ247" s="790"/>
      <c r="PR247" s="790"/>
      <c r="PS247" s="790"/>
      <c r="PT247" s="790"/>
      <c r="PU247" s="790"/>
      <c r="PV247" s="790"/>
      <c r="PW247" s="790"/>
      <c r="PX247" s="790"/>
      <c r="PY247" s="790"/>
      <c r="PZ247" s="790"/>
      <c r="QA247" s="790"/>
      <c r="QB247" s="790"/>
      <c r="QC247" s="790"/>
      <c r="QD247" s="790"/>
      <c r="QE247" s="790"/>
      <c r="QF247" s="790"/>
      <c r="QG247" s="790"/>
      <c r="QH247" s="790"/>
      <c r="QI247" s="790"/>
      <c r="QJ247" s="790"/>
      <c r="QK247" s="790"/>
      <c r="QL247" s="790"/>
      <c r="QM247" s="790"/>
      <c r="QN247" s="790"/>
      <c r="QO247" s="790"/>
      <c r="QP247" s="790"/>
      <c r="QQ247" s="790"/>
      <c r="QR247" s="790"/>
      <c r="QS247" s="790"/>
      <c r="QT247" s="790"/>
      <c r="QU247" s="790"/>
      <c r="QV247" s="790"/>
      <c r="QW247" s="790"/>
      <c r="QX247" s="790"/>
      <c r="QY247" s="790"/>
      <c r="QZ247" s="790"/>
      <c r="RA247" s="790"/>
      <c r="RB247" s="790"/>
      <c r="RC247" s="790"/>
      <c r="RD247" s="790"/>
      <c r="RE247" s="790"/>
      <c r="RF247" s="790"/>
      <c r="RG247" s="790"/>
      <c r="RH247" s="790"/>
      <c r="RI247" s="790"/>
      <c r="RJ247" s="790"/>
      <c r="RK247" s="790"/>
      <c r="RL247" s="790"/>
      <c r="RM247" s="790"/>
      <c r="RN247" s="790"/>
      <c r="RO247" s="790"/>
      <c r="RP247" s="790"/>
      <c r="RQ247" s="790"/>
      <c r="RR247" s="790"/>
      <c r="RS247" s="790"/>
      <c r="RT247" s="790"/>
      <c r="RU247" s="790"/>
      <c r="RV247" s="790"/>
      <c r="RW247" s="790"/>
      <c r="RX247" s="790"/>
      <c r="RY247" s="790"/>
      <c r="RZ247" s="790"/>
      <c r="SA247" s="790"/>
      <c r="SB247" s="790"/>
      <c r="SC247" s="790"/>
      <c r="SD247" s="790"/>
      <c r="SE247" s="790"/>
      <c r="SF247" s="790"/>
      <c r="SG247" s="790"/>
      <c r="SH247" s="790"/>
      <c r="SI247" s="790"/>
      <c r="SJ247" s="790"/>
      <c r="SK247" s="790"/>
      <c r="SL247" s="790"/>
      <c r="SM247" s="790"/>
      <c r="SN247" s="790"/>
      <c r="SO247" s="790"/>
      <c r="SP247" s="790"/>
      <c r="SQ247" s="790"/>
      <c r="SR247" s="790"/>
      <c r="SS247" s="790"/>
      <c r="ST247" s="790"/>
      <c r="SU247" s="790"/>
      <c r="SV247" s="790"/>
      <c r="SW247" s="790"/>
      <c r="SX247" s="790"/>
      <c r="SY247" s="790"/>
      <c r="SZ247" s="790"/>
      <c r="TA247" s="790"/>
      <c r="TB247" s="790"/>
      <c r="TC247" s="790"/>
      <c r="TD247" s="790"/>
      <c r="TE247" s="790"/>
      <c r="TF247" s="790"/>
      <c r="TG247" s="790"/>
      <c r="TH247" s="790"/>
      <c r="TI247" s="790"/>
      <c r="TJ247" s="790"/>
      <c r="TK247" s="790"/>
      <c r="TL247" s="790"/>
      <c r="TM247" s="790"/>
      <c r="TN247" s="790"/>
      <c r="TO247" s="790"/>
      <c r="TP247" s="790"/>
      <c r="TQ247" s="790"/>
      <c r="TR247" s="790"/>
      <c r="TS247" s="790"/>
      <c r="TT247" s="790"/>
      <c r="TU247" s="790"/>
      <c r="TV247" s="790"/>
      <c r="TW247" s="790"/>
      <c r="TX247" s="790"/>
      <c r="TY247" s="790"/>
      <c r="TZ247" s="790"/>
      <c r="UA247" s="790"/>
      <c r="UB247" s="790"/>
      <c r="UC247" s="790"/>
      <c r="UD247" s="790"/>
      <c r="UE247" s="790"/>
      <c r="UF247" s="790"/>
      <c r="UG247" s="790"/>
      <c r="UH247" s="790"/>
      <c r="UI247" s="790"/>
      <c r="UJ247" s="790"/>
      <c r="UK247" s="790"/>
      <c r="UL247" s="790"/>
      <c r="UM247" s="790"/>
      <c r="UN247" s="790"/>
      <c r="UO247" s="790"/>
      <c r="UP247" s="790"/>
      <c r="UQ247" s="790"/>
      <c r="UR247" s="790"/>
      <c r="US247" s="790"/>
      <c r="UT247" s="790"/>
      <c r="UU247" s="790"/>
      <c r="UV247" s="790"/>
      <c r="UW247" s="790"/>
      <c r="UX247" s="790"/>
      <c r="UY247" s="790"/>
      <c r="UZ247" s="790"/>
      <c r="VA247" s="790"/>
      <c r="VB247" s="790"/>
      <c r="VC247" s="790"/>
      <c r="VD247" s="790"/>
      <c r="VE247" s="790"/>
      <c r="VF247" s="790"/>
      <c r="VG247" s="790"/>
      <c r="VH247" s="790"/>
      <c r="VI247" s="790"/>
      <c r="VJ247" s="790"/>
      <c r="VK247" s="790"/>
      <c r="VL247" s="790"/>
      <c r="VM247" s="790"/>
      <c r="VN247" s="790"/>
      <c r="VO247" s="790"/>
      <c r="VP247" s="790"/>
      <c r="VQ247" s="790"/>
      <c r="VR247" s="790"/>
      <c r="VS247" s="790"/>
      <c r="VT247" s="790"/>
      <c r="VU247" s="790"/>
      <c r="VV247" s="790"/>
      <c r="VW247" s="790"/>
      <c r="VX247" s="790"/>
      <c r="VY247" s="790"/>
      <c r="VZ247" s="790"/>
      <c r="WA247" s="790"/>
      <c r="WB247" s="790"/>
      <c r="WC247" s="790"/>
      <c r="WD247" s="790"/>
      <c r="WE247" s="790"/>
      <c r="WF247" s="790"/>
      <c r="WG247" s="790"/>
      <c r="WH247" s="790"/>
      <c r="WI247" s="790"/>
      <c r="WJ247" s="790"/>
      <c r="WK247" s="790"/>
      <c r="WL247" s="790"/>
      <c r="WM247" s="790"/>
      <c r="WN247" s="790"/>
      <c r="WO247" s="790"/>
      <c r="WP247" s="790"/>
      <c r="WQ247" s="790"/>
      <c r="WR247" s="790"/>
      <c r="WS247" s="790"/>
      <c r="WT247" s="790"/>
      <c r="WU247" s="790"/>
      <c r="WV247" s="790"/>
      <c r="WW247" s="790"/>
      <c r="WX247" s="790"/>
      <c r="WY247" s="790"/>
      <c r="WZ247" s="790"/>
      <c r="XA247" s="790"/>
      <c r="XB247" s="790"/>
      <c r="XC247" s="790"/>
      <c r="XD247" s="790"/>
      <c r="XE247" s="790"/>
      <c r="XF247" s="790"/>
      <c r="XG247" s="790"/>
      <c r="XH247" s="790"/>
      <c r="XI247" s="790"/>
      <c r="XJ247" s="790"/>
      <c r="XK247" s="790"/>
      <c r="XL247" s="790"/>
      <c r="XM247" s="790"/>
      <c r="XN247" s="790"/>
      <c r="XO247" s="790"/>
      <c r="XP247" s="790"/>
      <c r="XQ247" s="790"/>
      <c r="XR247" s="790"/>
      <c r="XS247" s="790"/>
      <c r="XT247" s="790"/>
      <c r="XU247" s="790"/>
      <c r="XV247" s="790"/>
      <c r="XW247" s="790"/>
      <c r="XX247" s="790"/>
      <c r="XY247" s="790"/>
      <c r="XZ247" s="790"/>
      <c r="YA247" s="790"/>
      <c r="YB247" s="790"/>
      <c r="YC247" s="790"/>
      <c r="YD247" s="790"/>
      <c r="YE247" s="790"/>
      <c r="YF247" s="790"/>
      <c r="YG247" s="790"/>
      <c r="YH247" s="790"/>
      <c r="YI247" s="790"/>
      <c r="YJ247" s="790"/>
      <c r="YK247" s="790"/>
      <c r="YL247" s="790"/>
      <c r="YM247" s="790"/>
      <c r="YN247" s="790"/>
      <c r="YO247" s="790"/>
      <c r="YP247" s="790"/>
      <c r="YQ247" s="790"/>
      <c r="YR247" s="790"/>
      <c r="YS247" s="790"/>
      <c r="YT247" s="790"/>
      <c r="YU247" s="790"/>
      <c r="YV247" s="790"/>
      <c r="YW247" s="790"/>
      <c r="YX247" s="790"/>
      <c r="YY247" s="790"/>
      <c r="YZ247" s="790"/>
      <c r="ZA247" s="790"/>
      <c r="ZB247" s="790"/>
      <c r="ZC247" s="790"/>
      <c r="ZD247" s="790"/>
      <c r="ZE247" s="790"/>
      <c r="ZF247" s="790"/>
      <c r="ZG247" s="790"/>
      <c r="ZH247" s="790"/>
      <c r="ZI247" s="790"/>
      <c r="ZJ247" s="790"/>
      <c r="ZK247" s="790"/>
      <c r="ZL247" s="790"/>
      <c r="ZM247" s="790"/>
      <c r="ZN247" s="790"/>
      <c r="ZO247" s="790"/>
      <c r="ZP247" s="790"/>
      <c r="ZQ247" s="790"/>
      <c r="ZR247" s="790"/>
      <c r="ZS247" s="790"/>
      <c r="ZT247" s="790"/>
      <c r="ZU247" s="790"/>
      <c r="ZV247" s="790"/>
      <c r="ZW247" s="790"/>
      <c r="ZX247" s="790"/>
      <c r="ZY247" s="790"/>
      <c r="ZZ247" s="790"/>
      <c r="AAA247" s="790"/>
      <c r="AAB247" s="790"/>
      <c r="AAC247" s="790"/>
      <c r="AAD247" s="790"/>
      <c r="AAE247" s="790"/>
      <c r="AAF247" s="790"/>
      <c r="AAG247" s="790"/>
      <c r="AAH247" s="790"/>
      <c r="AAI247" s="790"/>
      <c r="AAJ247" s="790"/>
      <c r="AAK247" s="790"/>
      <c r="AAL247" s="790"/>
      <c r="AAM247" s="790"/>
      <c r="AAN247" s="790"/>
      <c r="AAO247" s="790"/>
      <c r="AAP247" s="790"/>
      <c r="AAQ247" s="790"/>
      <c r="AAR247" s="790"/>
      <c r="AAS247" s="790"/>
      <c r="AAT247" s="790"/>
      <c r="AAU247" s="790"/>
      <c r="AAV247" s="790"/>
      <c r="AAW247" s="790"/>
      <c r="AAX247" s="790"/>
      <c r="AAY247" s="790"/>
      <c r="AAZ247" s="790"/>
      <c r="ABA247" s="790"/>
      <c r="ABB247" s="790"/>
      <c r="ABC247" s="790"/>
      <c r="ABD247" s="790"/>
      <c r="ABE247" s="790"/>
      <c r="ABF247" s="790"/>
      <c r="ABG247" s="790"/>
      <c r="ABH247" s="790"/>
      <c r="ABI247" s="790"/>
      <c r="ABJ247" s="790"/>
      <c r="ABK247" s="790"/>
      <c r="ABL247" s="790"/>
      <c r="ABM247" s="790"/>
      <c r="ABN247" s="790"/>
      <c r="ABO247" s="790"/>
      <c r="ABP247" s="790"/>
      <c r="ABQ247" s="790"/>
      <c r="ABR247" s="790"/>
      <c r="ABS247" s="790"/>
      <c r="ABT247" s="790"/>
      <c r="ABU247" s="790"/>
      <c r="ABV247" s="790"/>
      <c r="ABW247" s="790"/>
      <c r="ABX247" s="790"/>
      <c r="ABY247" s="790"/>
      <c r="ABZ247" s="790"/>
      <c r="ACA247" s="790"/>
      <c r="ACB247" s="790"/>
      <c r="ACC247" s="790"/>
      <c r="ACD247" s="790"/>
      <c r="ACE247" s="790"/>
      <c r="ACF247" s="790"/>
      <c r="ACG247" s="790"/>
      <c r="ACH247" s="790"/>
      <c r="ACI247" s="790"/>
      <c r="ACJ247" s="790"/>
      <c r="ACK247" s="790"/>
      <c r="ACL247" s="790"/>
      <c r="ACM247" s="790"/>
      <c r="ACN247" s="790"/>
      <c r="ACO247" s="790"/>
      <c r="ACP247" s="790"/>
      <c r="ACQ247" s="790"/>
      <c r="ACR247" s="790"/>
      <c r="ACS247" s="790"/>
      <c r="ACT247" s="790"/>
      <c r="ACU247" s="790"/>
      <c r="ACV247" s="790"/>
      <c r="ACW247" s="790"/>
      <c r="ACX247" s="790"/>
      <c r="ACY247" s="790"/>
      <c r="ACZ247" s="790"/>
      <c r="ADA247" s="790"/>
      <c r="ADB247" s="790"/>
      <c r="ADC247" s="790"/>
      <c r="ADD247" s="790"/>
      <c r="ADE247" s="790"/>
      <c r="ADF247" s="790"/>
      <c r="ADG247" s="790"/>
      <c r="ADH247" s="790"/>
      <c r="ADI247" s="790"/>
      <c r="ADJ247" s="790"/>
      <c r="ADK247" s="790"/>
      <c r="ADL247" s="790"/>
      <c r="ADM247" s="790"/>
      <c r="ADN247" s="790"/>
      <c r="ADO247" s="790"/>
      <c r="ADP247" s="790"/>
      <c r="ADQ247" s="790"/>
      <c r="ADR247" s="790"/>
      <c r="ADS247" s="790"/>
      <c r="ADT247" s="790"/>
      <c r="ADU247" s="790"/>
      <c r="ADV247" s="790"/>
      <c r="ADW247" s="790"/>
      <c r="ADX247" s="790"/>
      <c r="ADY247" s="790"/>
      <c r="ADZ247" s="790"/>
      <c r="AEA247" s="790"/>
      <c r="AEB247" s="790"/>
      <c r="AEC247" s="790"/>
      <c r="AED247" s="790"/>
      <c r="AEE247" s="790"/>
      <c r="AEF247" s="790"/>
      <c r="AEG247" s="790"/>
      <c r="AEH247" s="790"/>
      <c r="AEI247" s="790"/>
      <c r="AEJ247" s="790"/>
      <c r="AEK247" s="790"/>
      <c r="AEL247" s="790"/>
      <c r="AEM247" s="790"/>
      <c r="AEN247" s="790"/>
      <c r="AEO247" s="790"/>
      <c r="AEP247" s="790"/>
      <c r="AEQ247" s="790"/>
      <c r="AER247" s="790"/>
      <c r="AES247" s="790"/>
      <c r="AET247" s="790"/>
      <c r="AEU247" s="790"/>
      <c r="AEV247" s="790"/>
      <c r="AEW247" s="790"/>
      <c r="AEX247" s="790"/>
      <c r="AEY247" s="790"/>
      <c r="AEZ247" s="790"/>
      <c r="AFA247" s="790"/>
      <c r="AFB247" s="790"/>
      <c r="AFC247" s="790"/>
      <c r="AFD247" s="790"/>
      <c r="AFE247" s="790"/>
      <c r="AFF247" s="790"/>
      <c r="AFG247" s="790"/>
      <c r="AFH247" s="790"/>
      <c r="AFI247" s="790"/>
      <c r="AFJ247" s="790"/>
      <c r="AFK247" s="790"/>
      <c r="AFL247" s="790"/>
      <c r="AFM247" s="790"/>
      <c r="AFN247" s="790"/>
      <c r="AFO247" s="790"/>
      <c r="AFP247" s="790"/>
      <c r="AFQ247" s="790"/>
      <c r="AFR247" s="790"/>
      <c r="AFS247" s="790"/>
      <c r="AFT247" s="790"/>
      <c r="AFU247" s="790"/>
      <c r="AFV247" s="790"/>
      <c r="AFW247" s="790"/>
      <c r="AFX247" s="790"/>
      <c r="AFY247" s="790"/>
      <c r="AFZ247" s="790"/>
      <c r="AGA247" s="790"/>
      <c r="AGB247" s="790"/>
      <c r="AGC247" s="790"/>
      <c r="AGD247" s="790"/>
      <c r="AGE247" s="790"/>
      <c r="AGF247" s="790"/>
      <c r="AGG247" s="790"/>
      <c r="AGH247" s="790"/>
      <c r="AGI247" s="790"/>
      <c r="AGJ247" s="790"/>
      <c r="AGK247" s="790"/>
      <c r="AGL247" s="790"/>
      <c r="AGM247" s="790"/>
      <c r="AGN247" s="790"/>
      <c r="AGO247" s="790"/>
      <c r="AGP247" s="790"/>
      <c r="AGQ247" s="790"/>
      <c r="AGR247" s="790"/>
      <c r="AGS247" s="790"/>
      <c r="AGT247" s="790"/>
      <c r="AGU247" s="790"/>
      <c r="AGV247" s="790"/>
      <c r="AGW247" s="790"/>
      <c r="AGX247" s="790"/>
      <c r="AGY247" s="790"/>
      <c r="AGZ247" s="790"/>
      <c r="AHA247" s="790"/>
      <c r="AHB247" s="790"/>
      <c r="AHC247" s="790"/>
      <c r="AHD247" s="790"/>
      <c r="AHE247" s="790"/>
      <c r="AHF247" s="790"/>
      <c r="AHG247" s="790"/>
      <c r="AHH247" s="790"/>
      <c r="AHI247" s="790"/>
      <c r="AHJ247" s="790"/>
      <c r="AHK247" s="790"/>
      <c r="AHL247" s="790"/>
      <c r="AHM247" s="790"/>
      <c r="AHN247" s="790"/>
      <c r="AHO247" s="790"/>
      <c r="AHP247" s="790"/>
      <c r="AHQ247" s="790"/>
      <c r="AHR247" s="790"/>
      <c r="AHS247" s="790"/>
      <c r="AHT247" s="790"/>
      <c r="AHU247" s="790"/>
      <c r="AHV247" s="790"/>
      <c r="AHW247" s="790"/>
      <c r="AHX247" s="790"/>
      <c r="AHY247" s="790"/>
      <c r="AHZ247" s="790"/>
      <c r="AIA247" s="790"/>
      <c r="AIB247" s="790"/>
      <c r="AIC247" s="790"/>
      <c r="AID247" s="790"/>
      <c r="AIE247" s="790"/>
      <c r="AIF247" s="790"/>
      <c r="AIG247" s="790"/>
      <c r="AIH247" s="790"/>
      <c r="AII247" s="790"/>
      <c r="AIJ247" s="790"/>
      <c r="AIK247" s="790"/>
      <c r="AIL247" s="790"/>
      <c r="AIM247" s="790"/>
      <c r="AIN247" s="790"/>
      <c r="AIO247" s="790"/>
      <c r="AIP247" s="790"/>
      <c r="AIQ247" s="790"/>
      <c r="AIR247" s="790"/>
      <c r="AIS247" s="790"/>
      <c r="AIT247" s="790"/>
      <c r="AIU247" s="790"/>
      <c r="AIV247" s="790"/>
      <c r="AIW247" s="790"/>
      <c r="AIX247" s="790"/>
      <c r="AIY247" s="790"/>
      <c r="AIZ247" s="790"/>
      <c r="AJA247" s="790"/>
      <c r="AJB247" s="790"/>
      <c r="AJC247" s="790"/>
      <c r="AJD247" s="790"/>
      <c r="AJE247" s="790"/>
      <c r="AJF247" s="790"/>
      <c r="AJG247" s="790"/>
      <c r="AJH247" s="790"/>
      <c r="AJI247" s="790"/>
      <c r="AJJ247" s="790"/>
      <c r="AJK247" s="790"/>
      <c r="AJL247" s="790"/>
      <c r="AJM247" s="790"/>
      <c r="AJN247" s="790"/>
      <c r="AJO247" s="790"/>
      <c r="AJP247" s="790"/>
      <c r="AJQ247" s="790"/>
      <c r="AJR247" s="790"/>
      <c r="AJS247" s="790"/>
      <c r="AJT247" s="790"/>
      <c r="AJU247" s="790"/>
      <c r="AJV247" s="790"/>
      <c r="AJW247" s="790"/>
      <c r="AJX247" s="790"/>
      <c r="AJY247" s="790"/>
      <c r="AJZ247" s="790"/>
      <c r="AKA247" s="790"/>
      <c r="AKB247" s="790"/>
      <c r="AKC247" s="790"/>
      <c r="AKD247" s="790"/>
      <c r="AKE247" s="790"/>
      <c r="AKF247" s="790"/>
      <c r="AKG247" s="790"/>
      <c r="AKH247" s="790"/>
      <c r="AKI247" s="790"/>
      <c r="AKJ247" s="790"/>
      <c r="AKK247" s="790"/>
      <c r="AKL247" s="790"/>
      <c r="AKM247" s="790"/>
      <c r="AKN247" s="790"/>
      <c r="AKO247" s="790"/>
      <c r="AKP247" s="790"/>
      <c r="AKQ247" s="790"/>
      <c r="AKR247" s="790"/>
      <c r="AKS247" s="790"/>
      <c r="AKT247" s="790"/>
      <c r="AKU247" s="790"/>
      <c r="AKV247" s="790"/>
      <c r="AKW247" s="790"/>
      <c r="AKX247" s="790"/>
      <c r="AKY247" s="790"/>
      <c r="AKZ247" s="790"/>
      <c r="ALA247" s="790"/>
      <c r="ALB247" s="790"/>
      <c r="ALC247" s="790"/>
      <c r="ALD247" s="790"/>
      <c r="ALE247" s="790"/>
      <c r="ALF247" s="790"/>
      <c r="ALG247" s="790"/>
      <c r="ALH247" s="790"/>
      <c r="ALI247" s="790"/>
      <c r="ALJ247" s="790"/>
      <c r="ALK247" s="790"/>
      <c r="ALL247" s="790"/>
      <c r="ALM247" s="790"/>
      <c r="ALN247" s="790"/>
      <c r="ALO247" s="790"/>
      <c r="ALP247" s="790"/>
      <c r="ALQ247" s="790"/>
      <c r="ALR247" s="790"/>
      <c r="ALS247" s="790"/>
      <c r="ALT247" s="790"/>
      <c r="ALU247" s="790"/>
      <c r="ALV247" s="790"/>
      <c r="ALW247" s="790"/>
      <c r="ALX247" s="790"/>
      <c r="ALY247" s="790"/>
      <c r="ALZ247" s="790"/>
      <c r="AMA247" s="790"/>
      <c r="AMB247" s="790"/>
      <c r="AMC247" s="790"/>
      <c r="AMD247" s="790"/>
      <c r="AME247" s="790"/>
      <c r="AMF247" s="790"/>
      <c r="AMG247" s="790"/>
      <c r="AMH247" s="790"/>
      <c r="AMI247" s="790"/>
      <c r="AMJ247" s="790"/>
      <c r="AMK247" s="790"/>
      <c r="AML247" s="790"/>
      <c r="AMM247" s="790"/>
      <c r="AMN247" s="790"/>
      <c r="AMO247" s="790"/>
      <c r="AMP247" s="790"/>
      <c r="AMQ247" s="790"/>
      <c r="AMR247" s="790"/>
      <c r="AMS247" s="790"/>
      <c r="AMT247" s="790"/>
      <c r="AMU247" s="790"/>
      <c r="AMV247" s="790"/>
      <c r="AMW247" s="790"/>
      <c r="AMX247" s="790"/>
      <c r="AMY247" s="790"/>
      <c r="AMZ247" s="790"/>
      <c r="ANA247" s="790"/>
      <c r="ANB247" s="790"/>
      <c r="ANC247" s="790"/>
      <c r="AND247" s="790"/>
      <c r="ANE247" s="790"/>
      <c r="ANF247" s="790"/>
      <c r="ANG247" s="790"/>
      <c r="ANH247" s="790"/>
      <c r="ANI247" s="790"/>
      <c r="ANJ247" s="790"/>
      <c r="ANK247" s="790"/>
      <c r="ANL247" s="790"/>
      <c r="ANM247" s="790"/>
      <c r="ANN247" s="790"/>
      <c r="ANO247" s="790"/>
      <c r="ANP247" s="790"/>
      <c r="ANQ247" s="790"/>
      <c r="ANR247" s="790"/>
      <c r="ANS247" s="790"/>
      <c r="ANT247" s="790"/>
      <c r="ANU247" s="790"/>
      <c r="ANV247" s="790"/>
      <c r="ANW247" s="790"/>
      <c r="ANX247" s="790"/>
      <c r="ANY247" s="790"/>
      <c r="ANZ247" s="790"/>
      <c r="AOA247" s="790"/>
      <c r="AOB247" s="790"/>
      <c r="AOC247" s="790"/>
      <c r="AOD247" s="790"/>
      <c r="AOE247" s="790"/>
      <c r="AOF247" s="790"/>
      <c r="AOG247" s="790"/>
      <c r="AOH247" s="790"/>
      <c r="AOI247" s="790"/>
      <c r="AOJ247" s="790"/>
      <c r="AOK247" s="790"/>
      <c r="AOL247" s="790"/>
      <c r="AOM247" s="790"/>
      <c r="AON247" s="790"/>
      <c r="AOO247" s="790"/>
      <c r="AOP247" s="790"/>
      <c r="AOQ247" s="790"/>
      <c r="AOR247" s="790"/>
      <c r="AOS247" s="790"/>
      <c r="AOT247" s="790"/>
      <c r="AOU247" s="790"/>
      <c r="AOV247" s="790"/>
      <c r="AOW247" s="790"/>
      <c r="AOX247" s="790"/>
      <c r="AOY247" s="790"/>
      <c r="AOZ247" s="790"/>
      <c r="APA247" s="790"/>
      <c r="APB247" s="790"/>
      <c r="APC247" s="790"/>
      <c r="APD247" s="790"/>
      <c r="APE247" s="790"/>
      <c r="APF247" s="790"/>
      <c r="APG247" s="790"/>
      <c r="APH247" s="790"/>
      <c r="API247" s="790"/>
      <c r="APJ247" s="790"/>
      <c r="APK247" s="790"/>
      <c r="APL247" s="790"/>
      <c r="APM247" s="790"/>
      <c r="APN247" s="790"/>
      <c r="APO247" s="790"/>
      <c r="APP247" s="790"/>
      <c r="APQ247" s="790"/>
      <c r="APR247" s="790"/>
      <c r="APS247" s="790"/>
      <c r="APT247" s="790"/>
      <c r="APU247" s="790"/>
      <c r="APV247" s="790"/>
      <c r="APW247" s="790"/>
      <c r="APX247" s="790"/>
      <c r="APY247" s="790"/>
      <c r="APZ247" s="790"/>
      <c r="AQA247" s="790"/>
      <c r="AQB247" s="790"/>
      <c r="AQC247" s="790"/>
      <c r="AQD247" s="790"/>
      <c r="AQE247" s="790"/>
      <c r="AQF247" s="790"/>
      <c r="AQG247" s="790"/>
      <c r="AQH247" s="790"/>
      <c r="AQI247" s="790"/>
      <c r="AQJ247" s="790"/>
      <c r="AQK247" s="790"/>
      <c r="AQL247" s="790"/>
      <c r="AQM247" s="790"/>
      <c r="AQN247" s="790"/>
      <c r="AQO247" s="790"/>
      <c r="AQP247" s="790"/>
      <c r="AQQ247" s="790"/>
      <c r="AQR247" s="790"/>
      <c r="AQS247" s="790"/>
      <c r="AQT247" s="790"/>
      <c r="AQU247" s="790"/>
      <c r="AQV247" s="790"/>
      <c r="AQW247" s="790"/>
      <c r="AQX247" s="790"/>
      <c r="AQY247" s="790"/>
      <c r="AQZ247" s="790"/>
      <c r="ARA247" s="790"/>
      <c r="ARB247" s="790"/>
      <c r="ARC247" s="790"/>
      <c r="ARD247" s="790"/>
      <c r="ARE247" s="790"/>
      <c r="ARF247" s="790"/>
      <c r="ARG247" s="790"/>
      <c r="ARH247" s="790"/>
      <c r="ARI247" s="790"/>
      <c r="ARJ247" s="790"/>
      <c r="ARK247" s="790"/>
      <c r="ARL247" s="790"/>
      <c r="ARM247" s="790"/>
      <c r="ARN247" s="790"/>
      <c r="ARO247" s="790"/>
      <c r="ARP247" s="790"/>
      <c r="ARQ247" s="790"/>
      <c r="ARR247" s="790"/>
      <c r="ARS247" s="790"/>
      <c r="ART247" s="790"/>
      <c r="ARU247" s="790"/>
      <c r="ARV247" s="790"/>
      <c r="ARW247" s="790"/>
      <c r="ARX247" s="790"/>
      <c r="ARY247" s="790"/>
      <c r="ARZ247" s="790"/>
      <c r="ASA247" s="790"/>
      <c r="ASB247" s="790"/>
      <c r="ASC247" s="790"/>
      <c r="ASD247" s="790"/>
      <c r="ASE247" s="790"/>
      <c r="ASF247" s="790"/>
      <c r="ASG247" s="790"/>
      <c r="ASH247" s="790"/>
      <c r="ASI247" s="790"/>
      <c r="ASJ247" s="790"/>
      <c r="ASK247" s="790"/>
      <c r="ASL247" s="790"/>
      <c r="ASM247" s="790"/>
      <c r="ASN247" s="790"/>
      <c r="ASO247" s="790"/>
      <c r="ASP247" s="790"/>
      <c r="ASQ247" s="790"/>
      <c r="ASR247" s="790"/>
      <c r="ASS247" s="790"/>
      <c r="AST247" s="790"/>
      <c r="ASU247" s="790"/>
      <c r="ASV247" s="790"/>
      <c r="ASW247" s="790"/>
      <c r="ASX247" s="790"/>
      <c r="ASY247" s="790"/>
      <c r="ASZ247" s="790"/>
      <c r="ATA247" s="790"/>
      <c r="ATB247" s="790"/>
      <c r="ATC247" s="790"/>
      <c r="ATD247" s="790"/>
      <c r="ATE247" s="790"/>
      <c r="ATF247" s="790"/>
      <c r="ATG247" s="790"/>
      <c r="ATH247" s="790"/>
      <c r="ATI247" s="790"/>
      <c r="ATJ247" s="790"/>
      <c r="ATK247" s="790"/>
      <c r="ATL247" s="790"/>
      <c r="ATM247" s="790"/>
      <c r="ATN247" s="790"/>
      <c r="ATO247" s="790"/>
      <c r="ATP247" s="790"/>
      <c r="ATQ247" s="790"/>
      <c r="ATR247" s="790"/>
      <c r="ATS247" s="790"/>
      <c r="ATT247" s="790"/>
      <c r="ATU247" s="790"/>
      <c r="ATV247" s="790"/>
      <c r="ATW247" s="790"/>
      <c r="ATX247" s="790"/>
      <c r="ATY247" s="790"/>
      <c r="ATZ247" s="790"/>
      <c r="AUA247" s="790"/>
      <c r="AUB247" s="790"/>
      <c r="AUC247" s="790"/>
      <c r="AUD247" s="790"/>
      <c r="AUE247" s="790"/>
      <c r="AUF247" s="790"/>
      <c r="AUG247" s="790"/>
      <c r="AUH247" s="790"/>
      <c r="AUI247" s="790"/>
      <c r="AUJ247" s="790"/>
      <c r="AUK247" s="790"/>
      <c r="AUL247" s="790"/>
      <c r="AUM247" s="790"/>
      <c r="AUN247" s="790"/>
      <c r="AUO247" s="790"/>
      <c r="AUP247" s="790"/>
      <c r="AUQ247" s="790"/>
      <c r="AUR247" s="790"/>
      <c r="AUS247" s="790"/>
      <c r="AUT247" s="790"/>
      <c r="AUU247" s="790"/>
      <c r="AUV247" s="790"/>
      <c r="AUW247" s="790"/>
      <c r="AUX247" s="790"/>
      <c r="AUY247" s="790"/>
      <c r="AUZ247" s="790"/>
      <c r="AVA247" s="790"/>
      <c r="AVB247" s="790"/>
      <c r="AVC247" s="790"/>
      <c r="AVD247" s="790"/>
      <c r="AVE247" s="790"/>
      <c r="AVF247" s="790"/>
      <c r="AVG247" s="790"/>
      <c r="AVH247" s="790"/>
      <c r="AVI247" s="790"/>
      <c r="AVJ247" s="790"/>
      <c r="AVK247" s="790"/>
      <c r="AVL247" s="790"/>
      <c r="AVM247" s="790"/>
      <c r="AVN247" s="790"/>
      <c r="AVO247" s="790"/>
      <c r="AVP247" s="790"/>
      <c r="AVQ247" s="790"/>
      <c r="AVR247" s="790"/>
      <c r="AVS247" s="790"/>
      <c r="AVT247" s="790"/>
      <c r="AVU247" s="790"/>
      <c r="AVV247" s="790"/>
      <c r="AVW247" s="790"/>
      <c r="AVX247" s="790"/>
      <c r="AVY247" s="790"/>
      <c r="AVZ247" s="790"/>
      <c r="AWA247" s="790"/>
      <c r="AWB247" s="790"/>
      <c r="AWC247" s="790"/>
      <c r="AWD247" s="790"/>
      <c r="AWE247" s="790"/>
      <c r="AWF247" s="790"/>
      <c r="AWG247" s="790"/>
      <c r="AWH247" s="790"/>
      <c r="AWI247" s="790"/>
      <c r="AWJ247" s="790"/>
      <c r="AWK247" s="790"/>
      <c r="AWL247" s="790"/>
      <c r="AWM247" s="790"/>
      <c r="AWN247" s="790"/>
      <c r="AWO247" s="790"/>
      <c r="AWP247" s="790"/>
      <c r="AWQ247" s="790"/>
      <c r="AWR247" s="790"/>
      <c r="AWS247" s="790"/>
      <c r="AWT247" s="790"/>
      <c r="AWU247" s="790"/>
      <c r="AWV247" s="790"/>
      <c r="AWW247" s="790"/>
      <c r="AWX247" s="790"/>
      <c r="AWY247" s="790"/>
      <c r="AWZ247" s="790"/>
      <c r="AXA247" s="790"/>
      <c r="AXB247" s="790"/>
      <c r="AXC247" s="790"/>
      <c r="AXD247" s="790"/>
      <c r="AXE247" s="790"/>
      <c r="AXF247" s="790"/>
      <c r="AXG247" s="790"/>
      <c r="AXH247" s="790"/>
      <c r="AXI247" s="790"/>
      <c r="AXJ247" s="790"/>
      <c r="AXK247" s="790"/>
      <c r="AXL247" s="790"/>
      <c r="AXM247" s="790"/>
      <c r="AXN247" s="790"/>
      <c r="AXO247" s="790"/>
      <c r="AXP247" s="790"/>
      <c r="AXQ247" s="790"/>
      <c r="AXR247" s="790"/>
      <c r="AXS247" s="790"/>
      <c r="AXT247" s="790"/>
      <c r="AXU247" s="790"/>
      <c r="AXV247" s="790"/>
      <c r="AXW247" s="790"/>
      <c r="AXX247" s="790"/>
      <c r="AXY247" s="790"/>
      <c r="AXZ247" s="790"/>
      <c r="AYA247" s="790"/>
      <c r="AYB247" s="790"/>
      <c r="AYC247" s="790"/>
      <c r="AYD247" s="790"/>
      <c r="AYE247" s="790"/>
      <c r="AYF247" s="790"/>
      <c r="AYG247" s="790"/>
      <c r="AYH247" s="790"/>
      <c r="AYI247" s="790"/>
      <c r="AYJ247" s="790"/>
      <c r="AYK247" s="790"/>
      <c r="AYL247" s="790"/>
      <c r="AYM247" s="790"/>
      <c r="AYN247" s="790"/>
      <c r="AYO247" s="790"/>
      <c r="AYP247" s="790"/>
      <c r="AYQ247" s="790"/>
      <c r="AYR247" s="790"/>
      <c r="AYS247" s="790"/>
      <c r="AYT247" s="790"/>
      <c r="AYU247" s="790"/>
      <c r="AYV247" s="790"/>
      <c r="AYW247" s="790"/>
      <c r="AYX247" s="790"/>
      <c r="AYY247" s="790"/>
      <c r="AYZ247" s="790"/>
      <c r="AZA247" s="790"/>
      <c r="AZB247" s="790"/>
      <c r="AZC247" s="790"/>
      <c r="AZD247" s="790"/>
      <c r="AZE247" s="790"/>
      <c r="AZF247" s="790"/>
      <c r="AZG247" s="790"/>
      <c r="AZH247" s="790"/>
      <c r="AZI247" s="790"/>
      <c r="AZJ247" s="790"/>
      <c r="AZK247" s="790"/>
      <c r="AZL247" s="790"/>
      <c r="AZM247" s="790"/>
      <c r="AZN247" s="790"/>
      <c r="AZO247" s="790"/>
      <c r="AZP247" s="790"/>
      <c r="AZQ247" s="790"/>
      <c r="AZR247" s="790"/>
      <c r="AZS247" s="790"/>
      <c r="AZT247" s="790"/>
      <c r="AZU247" s="790"/>
      <c r="AZV247" s="790"/>
      <c r="AZW247" s="790"/>
      <c r="AZX247" s="790"/>
      <c r="AZY247" s="790"/>
      <c r="AZZ247" s="790"/>
      <c r="BAA247" s="790"/>
      <c r="BAB247" s="790"/>
      <c r="BAC247" s="790"/>
      <c r="BAD247" s="790"/>
      <c r="BAE247" s="790"/>
      <c r="BAF247" s="790"/>
      <c r="BAG247" s="790"/>
      <c r="BAH247" s="790"/>
      <c r="BAI247" s="790"/>
      <c r="BAJ247" s="790"/>
      <c r="BAK247" s="790"/>
      <c r="BAL247" s="790"/>
      <c r="BAM247" s="790"/>
      <c r="BAN247" s="790"/>
      <c r="BAO247" s="790"/>
      <c r="BAP247" s="790"/>
      <c r="BAQ247" s="790"/>
      <c r="BAR247" s="790"/>
      <c r="BAS247" s="790"/>
      <c r="BAT247" s="790"/>
      <c r="BAU247" s="790"/>
      <c r="BAV247" s="790"/>
      <c r="BAW247" s="790"/>
      <c r="BAX247" s="790"/>
      <c r="BAY247" s="790"/>
      <c r="BAZ247" s="790"/>
      <c r="BBA247" s="790"/>
      <c r="BBB247" s="790"/>
      <c r="BBC247" s="790"/>
      <c r="BBD247" s="790"/>
      <c r="BBE247" s="790"/>
      <c r="BBF247" s="790"/>
      <c r="BBG247" s="790"/>
      <c r="BBH247" s="790"/>
      <c r="BBI247" s="790"/>
      <c r="BBJ247" s="790"/>
      <c r="BBK247" s="790"/>
      <c r="BBL247" s="790"/>
      <c r="BBM247" s="790"/>
      <c r="BBN247" s="790"/>
      <c r="BBO247" s="790"/>
      <c r="BBP247" s="790"/>
      <c r="BBQ247" s="790"/>
      <c r="BBR247" s="790"/>
      <c r="BBS247" s="790"/>
      <c r="BBT247" s="790"/>
      <c r="BBU247" s="790"/>
      <c r="BBV247" s="790"/>
      <c r="BBW247" s="790"/>
      <c r="BBX247" s="790"/>
      <c r="BBY247" s="790"/>
      <c r="BBZ247" s="790"/>
      <c r="BCA247" s="790"/>
      <c r="BCB247" s="790"/>
      <c r="BCC247" s="790"/>
      <c r="BCD247" s="790"/>
      <c r="BCE247" s="790"/>
      <c r="BCF247" s="790"/>
      <c r="BCG247" s="790"/>
      <c r="BCH247" s="790"/>
      <c r="BCI247" s="790"/>
      <c r="BCJ247" s="790"/>
      <c r="BCK247" s="790"/>
      <c r="BCL247" s="790"/>
      <c r="BCM247" s="790"/>
      <c r="BCN247" s="790"/>
      <c r="BCO247" s="790"/>
      <c r="BCP247" s="790"/>
      <c r="BCQ247" s="790"/>
      <c r="BCR247" s="790"/>
      <c r="BCS247" s="790"/>
      <c r="BCT247" s="790"/>
      <c r="BCU247" s="790"/>
      <c r="BCV247" s="790"/>
      <c r="BCW247" s="790"/>
      <c r="BCX247" s="790"/>
      <c r="BCY247" s="790"/>
      <c r="BCZ247" s="790"/>
      <c r="BDA247" s="790"/>
      <c r="BDB247" s="790"/>
      <c r="BDC247" s="790"/>
      <c r="BDD247" s="790"/>
      <c r="BDE247" s="790"/>
      <c r="BDF247" s="790"/>
      <c r="BDG247" s="790"/>
      <c r="BDH247" s="790"/>
      <c r="BDI247" s="790"/>
      <c r="BDJ247" s="790"/>
      <c r="BDK247" s="790"/>
      <c r="BDL247" s="790"/>
      <c r="BDM247" s="790"/>
      <c r="BDN247" s="790"/>
      <c r="BDO247" s="790"/>
      <c r="BDP247" s="790"/>
      <c r="BDQ247" s="790"/>
      <c r="BDR247" s="790"/>
      <c r="BDS247" s="790"/>
      <c r="BDT247" s="790"/>
      <c r="BDU247" s="790"/>
      <c r="BDV247" s="790"/>
      <c r="BDW247" s="790"/>
      <c r="BDX247" s="790"/>
      <c r="BDY247" s="790"/>
      <c r="BDZ247" s="790"/>
      <c r="BEA247" s="790"/>
      <c r="BEB247" s="790"/>
      <c r="BEC247" s="790"/>
      <c r="BED247" s="790"/>
      <c r="BEE247" s="790"/>
      <c r="BEF247" s="790"/>
      <c r="BEG247" s="790"/>
      <c r="BEH247" s="790"/>
      <c r="BEI247" s="790"/>
      <c r="BEJ247" s="790"/>
      <c r="BEK247" s="790"/>
      <c r="BEL247" s="790"/>
      <c r="BEM247" s="790"/>
      <c r="BEN247" s="790"/>
      <c r="BEO247" s="790"/>
      <c r="BEP247" s="790"/>
      <c r="BEQ247" s="790"/>
      <c r="BER247" s="790"/>
      <c r="BES247" s="790"/>
      <c r="BET247" s="790"/>
      <c r="BEU247" s="790"/>
      <c r="BEV247" s="790"/>
      <c r="BEW247" s="790"/>
      <c r="BEX247" s="790"/>
      <c r="BEY247" s="790"/>
      <c r="BEZ247" s="790"/>
      <c r="BFA247" s="790"/>
      <c r="BFB247" s="790"/>
      <c r="BFC247" s="790"/>
      <c r="BFD247" s="790"/>
      <c r="BFE247" s="790"/>
      <c r="BFF247" s="790"/>
      <c r="BFG247" s="790"/>
      <c r="BFH247" s="790"/>
      <c r="BFI247" s="790"/>
      <c r="BFJ247" s="790"/>
      <c r="BFK247" s="790"/>
      <c r="BFL247" s="790"/>
      <c r="BFM247" s="790"/>
      <c r="BFN247" s="790"/>
      <c r="BFO247" s="790"/>
      <c r="BFP247" s="790"/>
      <c r="BFQ247" s="790"/>
      <c r="BFR247" s="790"/>
      <c r="BFS247" s="790"/>
      <c r="BFT247" s="790"/>
      <c r="BFU247" s="790"/>
      <c r="BFV247" s="790"/>
      <c r="BFW247" s="790"/>
      <c r="BFX247" s="790"/>
      <c r="BFY247" s="790"/>
      <c r="BFZ247" s="790"/>
      <c r="BGA247" s="790"/>
      <c r="BGB247" s="790"/>
      <c r="BGC247" s="790"/>
      <c r="BGD247" s="790"/>
      <c r="BGE247" s="790"/>
      <c r="BGF247" s="790"/>
      <c r="BGG247" s="790"/>
      <c r="BGH247" s="790"/>
      <c r="BGI247" s="790"/>
      <c r="BGJ247" s="790"/>
      <c r="BGK247" s="790"/>
      <c r="BGL247" s="790"/>
      <c r="BGM247" s="790"/>
      <c r="BGN247" s="790"/>
      <c r="BGO247" s="790"/>
      <c r="BGP247" s="790"/>
      <c r="BGQ247" s="790"/>
      <c r="BGR247" s="790"/>
      <c r="BGS247" s="790"/>
      <c r="BGT247" s="790"/>
      <c r="BGU247" s="790"/>
      <c r="BGV247" s="790"/>
      <c r="BGW247" s="790"/>
      <c r="BGX247" s="790"/>
      <c r="BGY247" s="790"/>
      <c r="BGZ247" s="790"/>
      <c r="BHA247" s="790"/>
      <c r="BHB247" s="790"/>
      <c r="BHC247" s="790"/>
      <c r="BHD247" s="790"/>
      <c r="BHE247" s="790"/>
      <c r="BHF247" s="790"/>
      <c r="BHG247" s="790"/>
      <c r="BHH247" s="790"/>
      <c r="BHI247" s="790"/>
      <c r="BHJ247" s="790"/>
      <c r="BHK247" s="790"/>
      <c r="BHL247" s="790"/>
      <c r="BHM247" s="790"/>
      <c r="BHN247" s="790"/>
      <c r="BHO247" s="790"/>
      <c r="BHP247" s="790"/>
      <c r="BHQ247" s="790"/>
      <c r="BHR247" s="790"/>
      <c r="BHS247" s="790"/>
      <c r="BHT247" s="790"/>
      <c r="BHU247" s="790"/>
      <c r="BHV247" s="790"/>
      <c r="BHW247" s="790"/>
      <c r="BHX247" s="790"/>
      <c r="BHY247" s="790"/>
      <c r="BHZ247" s="790"/>
      <c r="BIA247" s="790"/>
      <c r="BIB247" s="790"/>
      <c r="BIC247" s="790"/>
      <c r="BID247" s="790"/>
      <c r="BIE247" s="790"/>
      <c r="BIF247" s="790"/>
      <c r="BIG247" s="790"/>
      <c r="BIH247" s="790"/>
      <c r="BII247" s="790"/>
      <c r="BIJ247" s="790"/>
      <c r="BIK247" s="790"/>
      <c r="BIL247" s="790"/>
      <c r="BIM247" s="790"/>
      <c r="BIN247" s="790"/>
      <c r="BIO247" s="790"/>
      <c r="BIP247" s="790"/>
      <c r="BIQ247" s="790"/>
      <c r="BIR247" s="790"/>
      <c r="BIS247" s="790"/>
      <c r="BIT247" s="790"/>
      <c r="BIU247" s="790"/>
      <c r="BIV247" s="790"/>
      <c r="BIW247" s="790"/>
      <c r="BIX247" s="790"/>
      <c r="BIY247" s="790"/>
      <c r="BIZ247" s="790"/>
      <c r="BJA247" s="790"/>
      <c r="BJB247" s="790"/>
      <c r="BJC247" s="790"/>
      <c r="BJD247" s="790"/>
      <c r="BJE247" s="790"/>
      <c r="BJF247" s="790"/>
      <c r="BJG247" s="790"/>
      <c r="BJH247" s="790"/>
      <c r="BJI247" s="790"/>
      <c r="BJJ247" s="790"/>
      <c r="BJK247" s="790"/>
      <c r="BJL247" s="790"/>
      <c r="BJM247" s="790"/>
      <c r="BJN247" s="790"/>
      <c r="BJO247" s="790"/>
      <c r="BJP247" s="790"/>
      <c r="BJQ247" s="790"/>
      <c r="BJR247" s="790"/>
      <c r="BJS247" s="790"/>
      <c r="BJT247" s="790"/>
      <c r="BJU247" s="790"/>
      <c r="BJV247" s="790"/>
      <c r="BJW247" s="790"/>
      <c r="BJX247" s="790"/>
      <c r="BJY247" s="790"/>
      <c r="BJZ247" s="790"/>
      <c r="BKA247" s="790"/>
      <c r="BKB247" s="790"/>
      <c r="BKC247" s="790"/>
      <c r="BKD247" s="790"/>
      <c r="BKE247" s="790"/>
      <c r="BKF247" s="790"/>
      <c r="BKG247" s="790"/>
      <c r="BKH247" s="790"/>
      <c r="BKI247" s="790"/>
      <c r="BKJ247" s="790"/>
      <c r="BKK247" s="790"/>
      <c r="BKL247" s="790"/>
      <c r="BKM247" s="790"/>
      <c r="BKN247" s="790"/>
      <c r="BKO247" s="790"/>
      <c r="BKP247" s="790"/>
      <c r="BKQ247" s="790"/>
      <c r="BKR247" s="790"/>
      <c r="BKS247" s="790"/>
      <c r="BKT247" s="790"/>
      <c r="BKU247" s="790"/>
      <c r="BKV247" s="790"/>
      <c r="BKW247" s="790"/>
      <c r="BKX247" s="790"/>
      <c r="BKY247" s="790"/>
      <c r="BKZ247" s="790"/>
      <c r="BLA247" s="790"/>
      <c r="BLB247" s="790"/>
      <c r="BLC247" s="790"/>
      <c r="BLD247" s="790"/>
      <c r="BLE247" s="790"/>
      <c r="BLF247" s="790"/>
      <c r="BLG247" s="790"/>
      <c r="BLH247" s="790"/>
      <c r="BLI247" s="790"/>
      <c r="BLJ247" s="790"/>
      <c r="BLK247" s="790"/>
      <c r="BLL247" s="790"/>
      <c r="BLM247" s="790"/>
      <c r="BLN247" s="790"/>
      <c r="BLO247" s="790"/>
      <c r="BLP247" s="790"/>
      <c r="BLQ247" s="790"/>
      <c r="BLR247" s="790"/>
      <c r="BLS247" s="790"/>
      <c r="BLT247" s="790"/>
      <c r="BLU247" s="790"/>
      <c r="BLV247" s="790"/>
      <c r="BLW247" s="790"/>
      <c r="BLX247" s="790"/>
      <c r="BLY247" s="790"/>
      <c r="BLZ247" s="790"/>
      <c r="BMA247" s="790"/>
      <c r="BMB247" s="790"/>
      <c r="BMC247" s="790"/>
      <c r="BMD247" s="790"/>
      <c r="BME247" s="790"/>
      <c r="BMF247" s="790"/>
      <c r="BMG247" s="790"/>
      <c r="BMH247" s="790"/>
      <c r="BMI247" s="790"/>
      <c r="BMJ247" s="790"/>
      <c r="BMK247" s="790"/>
      <c r="BML247" s="790"/>
      <c r="BMM247" s="790"/>
      <c r="BMN247" s="790"/>
      <c r="BMO247" s="790"/>
      <c r="BMP247" s="790"/>
      <c r="BMQ247" s="790"/>
      <c r="BMR247" s="790"/>
      <c r="BMS247" s="790"/>
      <c r="BMT247" s="790"/>
      <c r="BMU247" s="790"/>
      <c r="BMV247" s="790"/>
      <c r="BMW247" s="790"/>
      <c r="BMX247" s="790"/>
      <c r="BMY247" s="790"/>
      <c r="BMZ247" s="790"/>
      <c r="BNA247" s="790"/>
      <c r="BNB247" s="790"/>
      <c r="BNC247" s="790"/>
      <c r="BND247" s="790"/>
      <c r="BNE247" s="790"/>
      <c r="BNF247" s="790"/>
      <c r="BNG247" s="790"/>
      <c r="BNH247" s="790"/>
      <c r="BNI247" s="790"/>
      <c r="BNJ247" s="790"/>
      <c r="BNK247" s="790"/>
      <c r="BNL247" s="790"/>
      <c r="BNM247" s="790"/>
      <c r="BNN247" s="790"/>
      <c r="BNO247" s="790"/>
      <c r="BNP247" s="790"/>
      <c r="BNQ247" s="790"/>
      <c r="BNR247" s="790"/>
      <c r="BNS247" s="790"/>
      <c r="BNT247" s="790"/>
      <c r="BNU247" s="790"/>
      <c r="BNV247" s="790"/>
      <c r="BNW247" s="790"/>
      <c r="BNX247" s="790"/>
      <c r="BNY247" s="790"/>
      <c r="BNZ247" s="790"/>
      <c r="BOA247" s="790"/>
      <c r="BOB247" s="790"/>
      <c r="BOC247" s="790"/>
      <c r="BOD247" s="790"/>
      <c r="BOE247" s="790"/>
      <c r="BOF247" s="790"/>
      <c r="BOG247" s="790"/>
      <c r="BOH247" s="790"/>
      <c r="BOI247" s="790"/>
      <c r="BOJ247" s="790"/>
      <c r="BOK247" s="790"/>
      <c r="BOL247" s="790"/>
      <c r="BOM247" s="790"/>
      <c r="BON247" s="790"/>
      <c r="BOO247" s="790"/>
      <c r="BOP247" s="790"/>
      <c r="BOQ247" s="790"/>
      <c r="BOR247" s="790"/>
      <c r="BOS247" s="790"/>
      <c r="BOT247" s="790"/>
      <c r="BOU247" s="790"/>
    </row>
    <row r="248" spans="1:1763">
      <c r="D248" s="792"/>
      <c r="J248" s="791"/>
      <c r="L248" s="790"/>
      <c r="M248" s="791"/>
      <c r="N248" s="790"/>
    </row>
    <row r="249" spans="1:1763" s="811" customFormat="1" ht="12.75">
      <c r="A249" s="819" t="s">
        <v>1199</v>
      </c>
      <c r="B249" s="815"/>
      <c r="C249" s="818"/>
      <c r="D249" s="816"/>
      <c r="E249" s="818"/>
      <c r="F249" s="817"/>
      <c r="G249" s="816"/>
      <c r="H249" s="816"/>
      <c r="I249" s="816"/>
      <c r="J249" s="815"/>
      <c r="L249" s="810"/>
    </row>
    <row r="250" spans="1:1763" s="814" customFormat="1" ht="12.75">
      <c r="A250" s="814" t="s">
        <v>1200</v>
      </c>
      <c r="B250" s="820"/>
      <c r="D250" s="821"/>
      <c r="F250" s="822"/>
      <c r="G250" s="821"/>
      <c r="H250" s="821"/>
      <c r="I250" s="821"/>
      <c r="J250" s="820"/>
      <c r="L250" s="820"/>
    </row>
    <row r="251" spans="1:1763" s="811" customFormat="1" ht="12.75">
      <c r="A251" s="811" t="s">
        <v>1165</v>
      </c>
      <c r="B251" s="810">
        <v>2.9</v>
      </c>
      <c r="D251" s="812">
        <v>2.88</v>
      </c>
      <c r="F251" s="813">
        <f ca="1">D251*$J$5</f>
        <v>0.16884408804452133</v>
      </c>
      <c r="G251" s="812"/>
      <c r="H251" s="812">
        <f ca="1">B251+F251</f>
        <v>3.0688440880445214</v>
      </c>
      <c r="I251" s="812"/>
      <c r="J251" s="810">
        <f ca="1">+D251+F251</f>
        <v>3.0488440880445213</v>
      </c>
      <c r="L251" s="810"/>
    </row>
    <row r="252" spans="1:1763" s="811" customFormat="1" ht="12.75">
      <c r="A252" s="811" t="s">
        <v>1166</v>
      </c>
      <c r="B252" s="810">
        <v>3.09</v>
      </c>
      <c r="D252" s="812">
        <v>3.07</v>
      </c>
      <c r="F252" s="813">
        <f ca="1">D252*$J$5</f>
        <v>0.17998310774190293</v>
      </c>
      <c r="G252" s="812"/>
      <c r="H252" s="812">
        <f ca="1">B252+F252</f>
        <v>3.2699831077419028</v>
      </c>
      <c r="I252" s="812"/>
      <c r="J252" s="810">
        <f ca="1">+D252+F252</f>
        <v>3.2499831077419028</v>
      </c>
      <c r="L252" s="810"/>
    </row>
    <row r="253" spans="1:1763" s="811" customFormat="1" ht="12.75">
      <c r="A253" s="811" t="s">
        <v>1167</v>
      </c>
      <c r="B253" s="810">
        <v>3.75</v>
      </c>
      <c r="D253" s="812">
        <v>3.73</v>
      </c>
      <c r="F253" s="813">
        <f ca="1">D253*$J$5</f>
        <v>0.21867654458543909</v>
      </c>
      <c r="G253" s="812"/>
      <c r="H253" s="812">
        <f ca="1">B253+F253</f>
        <v>3.9686765445854393</v>
      </c>
      <c r="I253" s="812"/>
      <c r="J253" s="810">
        <f ca="1">+D253+F253</f>
        <v>3.9486765445854393</v>
      </c>
      <c r="L253" s="810"/>
    </row>
    <row r="254" spans="1:1763" s="811" customFormat="1" ht="12.75">
      <c r="B254" s="810"/>
      <c r="D254" s="812"/>
      <c r="F254" s="813"/>
      <c r="G254" s="812"/>
      <c r="H254" s="812"/>
      <c r="I254" s="812"/>
      <c r="J254" s="810"/>
      <c r="L254" s="810"/>
    </row>
    <row r="255" spans="1:1763" s="814" customFormat="1" ht="12.75">
      <c r="A255" s="814" t="s">
        <v>1201</v>
      </c>
      <c r="B255" s="820"/>
      <c r="D255" s="821"/>
      <c r="F255" s="822"/>
      <c r="G255" s="821"/>
      <c r="H255" s="821"/>
      <c r="I255" s="821"/>
      <c r="J255" s="820"/>
      <c r="L255" s="820"/>
    </row>
    <row r="256" spans="1:1763" s="811" customFormat="1" ht="12.75">
      <c r="A256" s="811" t="s">
        <v>1165</v>
      </c>
      <c r="B256" s="810">
        <v>4.1500000000000004</v>
      </c>
      <c r="D256" s="812">
        <v>4.13</v>
      </c>
      <c r="F256" s="813">
        <f ca="1">D256*$J$5</f>
        <v>0.24212711236940038</v>
      </c>
      <c r="G256" s="812"/>
      <c r="H256" s="812">
        <f ca="1">B256+F256</f>
        <v>4.3921271123694003</v>
      </c>
      <c r="I256" s="812"/>
      <c r="J256" s="810">
        <f ca="1">+D256+F256</f>
        <v>4.3721271123693999</v>
      </c>
      <c r="L256" s="810"/>
    </row>
    <row r="257" spans="1:20" s="811" customFormat="1" ht="12.75">
      <c r="A257" s="811" t="s">
        <v>1166</v>
      </c>
      <c r="B257" s="810">
        <v>4.3899999999999997</v>
      </c>
      <c r="D257" s="812">
        <v>4.3600000000000003</v>
      </c>
      <c r="F257" s="813">
        <f ca="1">D257*$J$5</f>
        <v>0.25561118884517814</v>
      </c>
      <c r="G257" s="812"/>
      <c r="H257" s="812">
        <f ca="1">B257+F257</f>
        <v>4.6456111888451774</v>
      </c>
      <c r="I257" s="812"/>
      <c r="J257" s="810">
        <f ca="1">+D257+F257</f>
        <v>4.6156111888451781</v>
      </c>
      <c r="L257" s="810"/>
    </row>
    <row r="258" spans="1:20" s="811" customFormat="1" ht="12.75">
      <c r="A258" s="811" t="s">
        <v>1167</v>
      </c>
      <c r="B258" s="810">
        <v>4.91</v>
      </c>
      <c r="D258" s="812">
        <v>4.88</v>
      </c>
      <c r="F258" s="813">
        <f ca="1">D258*$J$5</f>
        <v>0.28609692696432781</v>
      </c>
      <c r="G258" s="812"/>
      <c r="H258" s="812">
        <f ca="1">B258+F258</f>
        <v>5.1960969269643282</v>
      </c>
      <c r="I258" s="812"/>
      <c r="J258" s="810">
        <f ca="1">+D258+F258</f>
        <v>5.166096926964328</v>
      </c>
      <c r="L258" s="810"/>
    </row>
    <row r="259" spans="1:20" s="811" customFormat="1" ht="12.75">
      <c r="B259" s="810"/>
      <c r="D259" s="812"/>
      <c r="F259" s="813"/>
      <c r="G259" s="812"/>
      <c r="H259" s="812"/>
      <c r="I259" s="812"/>
      <c r="J259" s="810"/>
      <c r="L259" s="810"/>
    </row>
    <row r="260" spans="1:20" s="811" customFormat="1" ht="12.75">
      <c r="A260" s="814" t="s">
        <v>995</v>
      </c>
      <c r="B260" s="810">
        <v>1.39</v>
      </c>
      <c r="D260" s="812">
        <v>1.38</v>
      </c>
      <c r="F260" s="813">
        <f ca="1">D260*$J$5</f>
        <v>8.0904458854666461E-2</v>
      </c>
      <c r="G260" s="812"/>
      <c r="H260" s="812">
        <f ca="1">B260+F260</f>
        <v>1.4709044588546663</v>
      </c>
      <c r="I260" s="812"/>
      <c r="J260" s="810">
        <f ca="1">+D260+F260</f>
        <v>1.4609044588546665</v>
      </c>
      <c r="L260" s="810"/>
    </row>
    <row r="261" spans="1:20" s="811" customFormat="1" ht="12.75">
      <c r="A261" s="814"/>
      <c r="B261" s="810"/>
      <c r="D261" s="812"/>
      <c r="F261" s="813"/>
      <c r="G261" s="812"/>
      <c r="H261" s="812"/>
      <c r="I261" s="812"/>
      <c r="J261" s="810"/>
      <c r="L261" s="810"/>
    </row>
    <row r="262" spans="1:20" s="811" customFormat="1" ht="12.75">
      <c r="A262" s="814" t="s">
        <v>1222</v>
      </c>
      <c r="B262" s="810">
        <v>48.65</v>
      </c>
      <c r="D262" s="812">
        <v>48.36</v>
      </c>
      <c r="F262" s="813">
        <f ca="1">D262*$J$5</f>
        <v>2.8351736450809208</v>
      </c>
      <c r="G262" s="812"/>
      <c r="H262" s="812">
        <f ca="1">B262+F262</f>
        <v>51.48517364508092</v>
      </c>
      <c r="I262" s="812"/>
      <c r="J262" s="810">
        <f ca="1">+D262+F262</f>
        <v>51.195173645080921</v>
      </c>
      <c r="L262" s="810"/>
    </row>
    <row r="263" spans="1:20" s="811" customFormat="1" ht="12.75">
      <c r="A263" s="814"/>
      <c r="B263" s="810"/>
      <c r="D263" s="812"/>
      <c r="F263" s="813"/>
      <c r="G263" s="812"/>
      <c r="H263" s="812"/>
      <c r="I263" s="812"/>
      <c r="J263" s="810"/>
      <c r="L263" s="810"/>
    </row>
    <row r="264" spans="1:20" s="811" customFormat="1" ht="12.75">
      <c r="A264" s="819" t="s">
        <v>1202</v>
      </c>
      <c r="B264" s="815"/>
      <c r="C264" s="818"/>
      <c r="D264" s="816"/>
      <c r="E264" s="818"/>
      <c r="F264" s="817"/>
      <c r="G264" s="816"/>
      <c r="H264" s="816"/>
      <c r="I264" s="816"/>
      <c r="J264" s="815"/>
      <c r="L264" s="810"/>
    </row>
    <row r="265" spans="1:20" s="811" customFormat="1" ht="12.75">
      <c r="A265" s="811" t="s">
        <v>998</v>
      </c>
      <c r="B265" s="810">
        <v>1.67</v>
      </c>
      <c r="D265" s="812">
        <v>1.66</v>
      </c>
      <c r="F265" s="813">
        <f t="shared" ref="F265:F270" ca="1" si="24">D265*$J$5</f>
        <v>9.7319856303439367E-2</v>
      </c>
      <c r="G265" s="812"/>
      <c r="H265" s="812">
        <f t="shared" ref="H265:H270" ca="1" si="25">B265+F265</f>
        <v>1.7673198563034394</v>
      </c>
      <c r="I265" s="812"/>
      <c r="J265" s="810">
        <f t="shared" ref="J265:J270" ca="1" si="26">+D265+F265</f>
        <v>1.7573198563034393</v>
      </c>
      <c r="K265" s="550"/>
      <c r="L265" s="810"/>
    </row>
    <row r="266" spans="1:20" s="811" customFormat="1" ht="12.75">
      <c r="A266" s="811" t="s">
        <v>1186</v>
      </c>
      <c r="B266" s="810">
        <v>7.45</v>
      </c>
      <c r="D266" s="812">
        <v>7.41</v>
      </c>
      <c r="F266" s="813">
        <f t="shared" ca="1" si="24"/>
        <v>0.43442176819788303</v>
      </c>
      <c r="G266" s="812"/>
      <c r="H266" s="812">
        <f t="shared" ca="1" si="25"/>
        <v>7.8844217681978837</v>
      </c>
      <c r="I266" s="812"/>
      <c r="J266" s="810">
        <f t="shared" ca="1" si="26"/>
        <v>7.8444217681978827</v>
      </c>
      <c r="K266" s="550"/>
      <c r="L266" s="810"/>
    </row>
    <row r="267" spans="1:20" s="811" customFormat="1" ht="12.75">
      <c r="A267" s="811" t="s">
        <v>1198</v>
      </c>
      <c r="B267" s="810">
        <v>8.41</v>
      </c>
      <c r="D267" s="812">
        <v>8.36</v>
      </c>
      <c r="F267" s="813">
        <f t="shared" ca="1" si="24"/>
        <v>0.49011686668479104</v>
      </c>
      <c r="G267" s="812"/>
      <c r="H267" s="812">
        <f t="shared" ca="1" si="25"/>
        <v>8.9001168666847903</v>
      </c>
      <c r="I267" s="812"/>
      <c r="J267" s="810">
        <f t="shared" ca="1" si="26"/>
        <v>8.8501168666847896</v>
      </c>
      <c r="K267" s="550"/>
      <c r="L267" s="810"/>
    </row>
    <row r="268" spans="1:20" s="811" customFormat="1" ht="12.75">
      <c r="A268" s="811" t="s">
        <v>1187</v>
      </c>
      <c r="B268" s="810">
        <v>15.07</v>
      </c>
      <c r="D268" s="812">
        <v>14.98</v>
      </c>
      <c r="F268" s="813">
        <f t="shared" ca="1" si="24"/>
        <v>0.87822376350935061</v>
      </c>
      <c r="G268" s="812"/>
      <c r="H268" s="812">
        <f t="shared" ca="1" si="25"/>
        <v>15.94822376350935</v>
      </c>
      <c r="I268" s="812"/>
      <c r="J268" s="810">
        <f t="shared" ca="1" si="26"/>
        <v>15.858223763509351</v>
      </c>
      <c r="K268" s="550"/>
      <c r="L268" s="810"/>
    </row>
    <row r="269" spans="1:20" s="811" customFormat="1" ht="12.75">
      <c r="A269" s="811" t="s">
        <v>1188</v>
      </c>
      <c r="B269" s="810">
        <v>20.3</v>
      </c>
      <c r="D269" s="812">
        <v>20.18</v>
      </c>
      <c r="F269" s="813">
        <f t="shared" ca="1" si="24"/>
        <v>1.1830811447008474</v>
      </c>
      <c r="G269" s="812"/>
      <c r="H269" s="812">
        <f t="shared" ca="1" si="25"/>
        <v>21.483081144700847</v>
      </c>
      <c r="I269" s="812"/>
      <c r="J269" s="810">
        <f t="shared" ca="1" si="26"/>
        <v>21.363081144700846</v>
      </c>
      <c r="K269" s="550"/>
      <c r="L269" s="810"/>
    </row>
    <row r="270" spans="1:20" s="811" customFormat="1" ht="12.75">
      <c r="A270" s="811" t="s">
        <v>1189</v>
      </c>
      <c r="B270" s="810">
        <v>27.65</v>
      </c>
      <c r="D270" s="812">
        <v>27.18</v>
      </c>
      <c r="F270" s="813">
        <f t="shared" ca="1" si="24"/>
        <v>1.5934660809201699</v>
      </c>
      <c r="G270" s="812"/>
      <c r="H270" s="812">
        <f t="shared" ca="1" si="25"/>
        <v>29.243466080920168</v>
      </c>
      <c r="I270" s="812"/>
      <c r="J270" s="810">
        <f t="shared" ca="1" si="26"/>
        <v>28.773466080920169</v>
      </c>
      <c r="K270" s="550"/>
      <c r="L270" s="810"/>
    </row>
    <row r="271" spans="1:20" s="810" customFormat="1" ht="12.75">
      <c r="A271" s="827"/>
      <c r="C271" s="811"/>
      <c r="D271" s="812"/>
      <c r="E271" s="811"/>
      <c r="F271" s="813"/>
      <c r="G271" s="812"/>
      <c r="H271" s="812"/>
      <c r="I271" s="812"/>
      <c r="K271" s="811"/>
      <c r="M271" s="811"/>
      <c r="N271" s="811"/>
      <c r="O271" s="811"/>
      <c r="P271" s="811"/>
      <c r="Q271" s="811"/>
      <c r="R271" s="811"/>
      <c r="S271" s="811"/>
      <c r="T271" s="811"/>
    </row>
    <row r="272" spans="1:20" s="820" customFormat="1" ht="12.75">
      <c r="A272" s="814" t="s">
        <v>997</v>
      </c>
      <c r="C272" s="814"/>
      <c r="D272" s="821"/>
      <c r="E272" s="814"/>
      <c r="F272" s="822"/>
      <c r="G272" s="821"/>
      <c r="H272" s="821"/>
      <c r="I272" s="821"/>
      <c r="K272" s="814"/>
      <c r="M272" s="814"/>
      <c r="N272" s="814"/>
      <c r="O272" s="814"/>
      <c r="P272" s="814"/>
      <c r="Q272" s="814"/>
      <c r="R272" s="814"/>
      <c r="S272" s="814"/>
      <c r="T272" s="814"/>
    </row>
    <row r="273" spans="1:20" s="810" customFormat="1" ht="12.75">
      <c r="A273" s="811" t="s">
        <v>998</v>
      </c>
      <c r="B273" s="810">
        <v>2.62</v>
      </c>
      <c r="C273" s="811"/>
      <c r="D273" s="812">
        <v>2.6</v>
      </c>
      <c r="E273" s="811"/>
      <c r="F273" s="813">
        <f t="shared" ref="F273:F278" ca="1" si="27">D273*$J$5</f>
        <v>0.15242869059574843</v>
      </c>
      <c r="G273" s="812"/>
      <c r="H273" s="812">
        <f t="shared" ref="H273:H278" ca="1" si="28">B273+F273</f>
        <v>2.7724286905957487</v>
      </c>
      <c r="I273" s="812"/>
      <c r="J273" s="810">
        <f t="shared" ref="J273:J278" ca="1" si="29">+D273+F273</f>
        <v>2.7524286905957487</v>
      </c>
      <c r="K273" s="811"/>
      <c r="M273" s="811"/>
      <c r="N273" s="811"/>
      <c r="O273" s="811"/>
      <c r="P273" s="811"/>
      <c r="Q273" s="811"/>
      <c r="R273" s="811"/>
      <c r="S273" s="811"/>
      <c r="T273" s="811"/>
    </row>
    <row r="274" spans="1:20" s="810" customFormat="1" ht="12.75">
      <c r="A274" s="811" t="s">
        <v>1186</v>
      </c>
      <c r="B274" s="810">
        <v>11.92</v>
      </c>
      <c r="C274" s="811"/>
      <c r="D274" s="812">
        <v>11.85</v>
      </c>
      <c r="E274" s="811"/>
      <c r="F274" s="813">
        <f t="shared" ca="1" si="27"/>
        <v>0.69472307059985339</v>
      </c>
      <c r="G274" s="812"/>
      <c r="H274" s="812">
        <f t="shared" ca="1" si="28"/>
        <v>12.614723070599853</v>
      </c>
      <c r="I274" s="812"/>
      <c r="J274" s="810">
        <f t="shared" ca="1" si="29"/>
        <v>12.544723070599852</v>
      </c>
      <c r="K274" s="811"/>
      <c r="M274" s="811"/>
      <c r="N274" s="811"/>
      <c r="O274" s="811"/>
      <c r="P274" s="811"/>
      <c r="Q274" s="811"/>
      <c r="R274" s="811"/>
      <c r="S274" s="811"/>
      <c r="T274" s="811"/>
    </row>
    <row r="275" spans="1:20" s="810" customFormat="1" ht="12.75">
      <c r="A275" s="811" t="s">
        <v>1198</v>
      </c>
      <c r="B275" s="810">
        <v>12.59</v>
      </c>
      <c r="C275" s="811"/>
      <c r="D275" s="812">
        <v>12.51</v>
      </c>
      <c r="E275" s="811"/>
      <c r="F275" s="813">
        <f t="shared" ca="1" si="27"/>
        <v>0.73341650744338949</v>
      </c>
      <c r="G275" s="812"/>
      <c r="H275" s="812">
        <f t="shared" ca="1" si="28"/>
        <v>13.323416507443389</v>
      </c>
      <c r="I275" s="812"/>
      <c r="J275" s="810">
        <f t="shared" ca="1" si="29"/>
        <v>13.243416507443388</v>
      </c>
      <c r="K275" s="811"/>
      <c r="M275" s="811"/>
      <c r="N275" s="811"/>
      <c r="O275" s="811"/>
      <c r="P275" s="811"/>
      <c r="Q275" s="811"/>
      <c r="R275" s="811"/>
      <c r="S275" s="811"/>
      <c r="T275" s="811"/>
    </row>
    <row r="276" spans="1:20" s="810" customFormat="1" ht="12.75">
      <c r="A276" s="811" t="s">
        <v>1187</v>
      </c>
      <c r="B276" s="810">
        <v>20.350000000000001</v>
      </c>
      <c r="C276" s="811"/>
      <c r="D276" s="812">
        <v>20.23</v>
      </c>
      <c r="E276" s="811"/>
      <c r="F276" s="813">
        <f t="shared" ca="1" si="27"/>
        <v>1.1860124656738427</v>
      </c>
      <c r="G276" s="812"/>
      <c r="H276" s="812">
        <f t="shared" ca="1" si="28"/>
        <v>21.536012465673846</v>
      </c>
      <c r="I276" s="812"/>
      <c r="J276" s="810">
        <f t="shared" ca="1" si="29"/>
        <v>21.416012465673845</v>
      </c>
      <c r="K276" s="811"/>
      <c r="M276" s="811"/>
      <c r="N276" s="811"/>
      <c r="O276" s="811"/>
      <c r="P276" s="811"/>
      <c r="Q276" s="811"/>
      <c r="R276" s="811"/>
      <c r="S276" s="811"/>
      <c r="T276" s="811"/>
    </row>
    <row r="277" spans="1:20" s="810" customFormat="1" ht="12.75">
      <c r="A277" s="811" t="s">
        <v>1188</v>
      </c>
      <c r="B277" s="810">
        <v>24.44</v>
      </c>
      <c r="C277" s="811"/>
      <c r="D277" s="812">
        <v>24.29</v>
      </c>
      <c r="E277" s="811"/>
      <c r="F277" s="813">
        <f t="shared" ca="1" si="27"/>
        <v>1.4240357286810497</v>
      </c>
      <c r="G277" s="812"/>
      <c r="H277" s="812">
        <f t="shared" ca="1" si="28"/>
        <v>25.864035728681053</v>
      </c>
      <c r="I277" s="812"/>
      <c r="J277" s="810">
        <f t="shared" ca="1" si="29"/>
        <v>25.714035728681047</v>
      </c>
      <c r="K277" s="811"/>
      <c r="M277" s="811"/>
      <c r="N277" s="811"/>
      <c r="O277" s="811"/>
      <c r="P277" s="811"/>
      <c r="Q277" s="811"/>
      <c r="R277" s="811"/>
      <c r="S277" s="811"/>
      <c r="T277" s="811"/>
    </row>
    <row r="278" spans="1:20" s="810" customFormat="1" ht="12.75">
      <c r="A278" s="811" t="s">
        <v>1189</v>
      </c>
      <c r="B278" s="810">
        <v>33.090000000000003</v>
      </c>
      <c r="C278" s="811"/>
      <c r="D278" s="812">
        <v>32.89</v>
      </c>
      <c r="E278" s="811"/>
      <c r="F278" s="813">
        <f t="shared" ca="1" si="27"/>
        <v>1.9282229360362175</v>
      </c>
      <c r="G278" s="812"/>
      <c r="H278" s="812">
        <f t="shared" ca="1" si="28"/>
        <v>35.018222936036224</v>
      </c>
      <c r="I278" s="812"/>
      <c r="J278" s="810">
        <f t="shared" ca="1" si="29"/>
        <v>34.818222936036221</v>
      </c>
      <c r="K278" s="811"/>
      <c r="M278" s="811"/>
      <c r="N278" s="811"/>
      <c r="O278" s="811"/>
      <c r="P278" s="811"/>
      <c r="Q278" s="811"/>
      <c r="R278" s="811"/>
      <c r="S278" s="811"/>
      <c r="T278" s="811"/>
    </row>
    <row r="279" spans="1:20" s="810" customFormat="1" ht="12.75">
      <c r="A279" s="811"/>
      <c r="C279" s="811"/>
      <c r="D279" s="812"/>
      <c r="E279" s="811"/>
      <c r="F279" s="813"/>
      <c r="G279" s="812"/>
      <c r="H279" s="812"/>
      <c r="I279" s="812"/>
      <c r="K279" s="811"/>
      <c r="M279" s="811"/>
      <c r="N279" s="811"/>
      <c r="O279" s="811"/>
      <c r="P279" s="811"/>
      <c r="Q279" s="811"/>
      <c r="R279" s="811"/>
      <c r="S279" s="811"/>
      <c r="T279" s="811"/>
    </row>
    <row r="280" spans="1:20" s="810" customFormat="1" ht="12.75">
      <c r="A280" s="811" t="s">
        <v>999</v>
      </c>
      <c r="B280" s="810">
        <v>7.2</v>
      </c>
      <c r="C280" s="811"/>
      <c r="D280" s="812">
        <v>7.16</v>
      </c>
      <c r="E280" s="811"/>
      <c r="F280" s="813">
        <f t="shared" ref="F280:F285" ca="1" si="30">D280*$J$5</f>
        <v>0.4197651633329072</v>
      </c>
      <c r="G280" s="812"/>
      <c r="H280" s="812">
        <f t="shared" ref="H280:H285" ca="1" si="31">B280+F280</f>
        <v>7.6197651633329073</v>
      </c>
      <c r="I280" s="812"/>
      <c r="J280" s="810">
        <f t="shared" ref="J280:J285" ca="1" si="32">+D280+F280</f>
        <v>7.5797651633329073</v>
      </c>
      <c r="K280" s="811"/>
      <c r="M280" s="811"/>
      <c r="N280" s="811"/>
      <c r="O280" s="811"/>
      <c r="P280" s="811"/>
      <c r="Q280" s="811"/>
      <c r="R280" s="811"/>
      <c r="S280" s="811"/>
      <c r="T280" s="811"/>
    </row>
    <row r="281" spans="1:20" s="810" customFormat="1" ht="12.75">
      <c r="A281" s="811" t="s">
        <v>1203</v>
      </c>
      <c r="B281" s="810">
        <v>2.62</v>
      </c>
      <c r="C281" s="811"/>
      <c r="D281" s="812">
        <v>2.6</v>
      </c>
      <c r="E281" s="811"/>
      <c r="F281" s="813">
        <f t="shared" ca="1" si="30"/>
        <v>0.15242869059574843</v>
      </c>
      <c r="G281" s="812"/>
      <c r="H281" s="812">
        <f t="shared" ca="1" si="31"/>
        <v>2.7724286905957487</v>
      </c>
      <c r="I281" s="812"/>
      <c r="J281" s="810">
        <f t="shared" ca="1" si="32"/>
        <v>2.7524286905957487</v>
      </c>
      <c r="K281" s="811"/>
      <c r="M281" s="811"/>
      <c r="N281" s="811"/>
      <c r="O281" s="811"/>
      <c r="P281" s="811"/>
      <c r="Q281" s="811"/>
      <c r="R281" s="811"/>
      <c r="S281" s="811"/>
      <c r="T281" s="811"/>
    </row>
    <row r="282" spans="1:20" s="810" customFormat="1" ht="12.75">
      <c r="A282" s="811" t="s">
        <v>1000</v>
      </c>
      <c r="B282" s="810">
        <v>2.15</v>
      </c>
      <c r="C282" s="811"/>
      <c r="D282" s="812">
        <v>2.14</v>
      </c>
      <c r="E282" s="811"/>
      <c r="F282" s="813">
        <f t="shared" ca="1" si="30"/>
        <v>0.12546053764419293</v>
      </c>
      <c r="G282" s="812"/>
      <c r="H282" s="812">
        <f t="shared" ca="1" si="31"/>
        <v>2.275460537644193</v>
      </c>
      <c r="I282" s="812"/>
      <c r="J282" s="810">
        <f t="shared" ca="1" si="32"/>
        <v>2.2654605376441932</v>
      </c>
      <c r="K282" s="811"/>
      <c r="M282" s="811"/>
      <c r="N282" s="811"/>
      <c r="O282" s="811"/>
      <c r="P282" s="811"/>
      <c r="Q282" s="811"/>
      <c r="R282" s="811"/>
      <c r="S282" s="811"/>
      <c r="T282" s="811"/>
    </row>
    <row r="283" spans="1:20" s="810" customFormat="1" ht="12.75">
      <c r="A283" s="811" t="s">
        <v>1204</v>
      </c>
      <c r="B283" s="810">
        <v>2.62</v>
      </c>
      <c r="C283" s="811"/>
      <c r="D283" s="812">
        <v>2.6</v>
      </c>
      <c r="E283" s="811"/>
      <c r="F283" s="813">
        <f t="shared" ca="1" si="30"/>
        <v>0.15242869059574843</v>
      </c>
      <c r="G283" s="812"/>
      <c r="H283" s="812">
        <f t="shared" ca="1" si="31"/>
        <v>2.7724286905957487</v>
      </c>
      <c r="I283" s="812"/>
      <c r="J283" s="810">
        <f t="shared" ca="1" si="32"/>
        <v>2.7524286905957487</v>
      </c>
      <c r="K283" s="811"/>
      <c r="M283" s="811"/>
      <c r="N283" s="811"/>
      <c r="O283" s="811"/>
      <c r="P283" s="811"/>
      <c r="Q283" s="811"/>
      <c r="R283" s="811"/>
      <c r="S283" s="811"/>
      <c r="T283" s="811"/>
    </row>
    <row r="284" spans="1:20" s="810" customFormat="1" ht="12.75">
      <c r="A284" s="811" t="s">
        <v>1001</v>
      </c>
      <c r="B284" s="810">
        <v>1.39</v>
      </c>
      <c r="C284" s="811"/>
      <c r="D284" s="812">
        <v>1.38</v>
      </c>
      <c r="E284" s="811"/>
      <c r="F284" s="813">
        <f t="shared" ca="1" si="30"/>
        <v>8.0904458854666461E-2</v>
      </c>
      <c r="G284" s="812"/>
      <c r="H284" s="812">
        <f t="shared" ca="1" si="31"/>
        <v>1.4709044588546663</v>
      </c>
      <c r="I284" s="812"/>
      <c r="J284" s="810">
        <f t="shared" ca="1" si="32"/>
        <v>1.4609044588546665</v>
      </c>
      <c r="K284" s="811"/>
      <c r="M284" s="811"/>
      <c r="N284" s="811"/>
      <c r="O284" s="811"/>
      <c r="P284" s="811"/>
      <c r="Q284" s="811"/>
      <c r="R284" s="811"/>
      <c r="S284" s="811"/>
      <c r="T284" s="811"/>
    </row>
    <row r="285" spans="1:20" s="810" customFormat="1" ht="12.75">
      <c r="A285" s="827" t="s">
        <v>1205</v>
      </c>
      <c r="B285" s="810">
        <v>2.31</v>
      </c>
      <c r="C285" s="811"/>
      <c r="D285" s="812">
        <v>2.2999999999999998</v>
      </c>
      <c r="E285" s="811"/>
      <c r="F285" s="813">
        <f t="shared" ca="1" si="30"/>
        <v>0.13484076475777745</v>
      </c>
      <c r="G285" s="812"/>
      <c r="H285" s="812">
        <f t="shared" ca="1" si="31"/>
        <v>2.4448407647577777</v>
      </c>
      <c r="I285" s="812"/>
      <c r="J285" s="810">
        <f t="shared" ca="1" si="32"/>
        <v>2.4348407647577774</v>
      </c>
      <c r="K285" s="811"/>
      <c r="M285" s="811"/>
      <c r="N285" s="811"/>
      <c r="O285" s="811"/>
      <c r="P285" s="811"/>
      <c r="Q285" s="811"/>
      <c r="R285" s="811"/>
      <c r="S285" s="811"/>
      <c r="T285" s="811"/>
    </row>
    <row r="286" spans="1:20" s="810" customFormat="1" ht="12.75">
      <c r="A286" s="827"/>
      <c r="C286" s="811"/>
      <c r="D286" s="812"/>
      <c r="E286" s="811"/>
      <c r="F286" s="813"/>
      <c r="G286" s="812"/>
      <c r="H286" s="812"/>
      <c r="I286" s="812"/>
      <c r="K286" s="811"/>
      <c r="M286" s="811"/>
      <c r="N286" s="811"/>
      <c r="O286" s="811"/>
      <c r="P286" s="811"/>
      <c r="Q286" s="811"/>
      <c r="R286" s="811"/>
      <c r="S286" s="811"/>
      <c r="T286" s="811"/>
    </row>
    <row r="287" spans="1:20" s="810" customFormat="1" ht="12.75">
      <c r="A287" s="819" t="s">
        <v>1206</v>
      </c>
      <c r="B287" s="815"/>
      <c r="C287" s="818"/>
      <c r="D287" s="816"/>
      <c r="E287" s="818"/>
      <c r="F287" s="817"/>
      <c r="G287" s="816"/>
      <c r="H287" s="816"/>
      <c r="I287" s="816"/>
      <c r="J287" s="815"/>
      <c r="K287" s="811"/>
      <c r="M287" s="811"/>
      <c r="N287" s="811"/>
      <c r="O287" s="811"/>
      <c r="P287" s="811"/>
      <c r="Q287" s="811"/>
      <c r="R287" s="811"/>
      <c r="S287" s="811"/>
      <c r="T287" s="811"/>
    </row>
    <row r="288" spans="1:20" s="820" customFormat="1" ht="12.75">
      <c r="A288" s="814" t="s">
        <v>1207</v>
      </c>
      <c r="C288" s="814"/>
      <c r="D288" s="821"/>
      <c r="E288" s="814"/>
      <c r="F288" s="822"/>
      <c r="G288" s="821"/>
      <c r="H288" s="821"/>
      <c r="I288" s="821"/>
      <c r="K288" s="814"/>
      <c r="M288" s="814"/>
      <c r="N288" s="814"/>
      <c r="O288" s="814"/>
      <c r="P288" s="814"/>
      <c r="Q288" s="814"/>
      <c r="R288" s="814"/>
      <c r="S288" s="814"/>
      <c r="T288" s="814"/>
    </row>
    <row r="289" spans="1:20" s="810" customFormat="1" ht="12.75">
      <c r="A289" s="811" t="s">
        <v>1208</v>
      </c>
      <c r="B289" s="810">
        <v>39.36</v>
      </c>
      <c r="C289" s="811"/>
      <c r="D289" s="812">
        <v>39.119999999999997</v>
      </c>
      <c r="E289" s="811"/>
      <c r="F289" s="813">
        <f ca="1">D289*$J$5</f>
        <v>2.2934655292714146</v>
      </c>
      <c r="G289" s="812"/>
      <c r="H289" s="812">
        <f ca="1">B289+F289</f>
        <v>41.653465529271415</v>
      </c>
      <c r="I289" s="812"/>
      <c r="J289" s="810">
        <f ca="1">+D289+F289</f>
        <v>41.413465529271413</v>
      </c>
      <c r="K289" s="811"/>
      <c r="M289" s="811"/>
      <c r="N289" s="811"/>
      <c r="O289" s="811"/>
      <c r="P289" s="811"/>
      <c r="Q289" s="811"/>
      <c r="R289" s="811"/>
      <c r="S289" s="811"/>
      <c r="T289" s="811"/>
    </row>
    <row r="290" spans="1:20" s="811" customFormat="1" ht="12.75">
      <c r="A290" s="811" t="s">
        <v>1209</v>
      </c>
      <c r="B290" s="810">
        <v>52.4</v>
      </c>
      <c r="D290" s="812">
        <v>52.09</v>
      </c>
      <c r="F290" s="813">
        <f ca="1">D290*$J$5</f>
        <v>3.0538501896663601</v>
      </c>
      <c r="G290" s="812"/>
      <c r="H290" s="812">
        <f ca="1">B290+F290</f>
        <v>55.453850189666362</v>
      </c>
      <c r="I290" s="812"/>
      <c r="J290" s="810">
        <f ca="1">+D290+F290</f>
        <v>55.143850189666367</v>
      </c>
      <c r="L290" s="810"/>
    </row>
    <row r="291" spans="1:20">
      <c r="D291" s="792"/>
      <c r="J291" s="791"/>
      <c r="K291" s="790"/>
      <c r="N291" s="790"/>
    </row>
    <row r="292" spans="1:20" s="814" customFormat="1" ht="12.75">
      <c r="A292" s="814" t="s">
        <v>1210</v>
      </c>
      <c r="B292" s="820"/>
      <c r="D292" s="821"/>
      <c r="F292" s="822"/>
      <c r="G292" s="821"/>
      <c r="H292" s="821"/>
      <c r="I292" s="821"/>
      <c r="J292" s="820"/>
      <c r="L292" s="820"/>
    </row>
    <row r="293" spans="1:20" s="811" customFormat="1" ht="12.75">
      <c r="A293" s="811" t="s">
        <v>1208</v>
      </c>
      <c r="B293" s="810">
        <v>41.83</v>
      </c>
      <c r="D293" s="812">
        <v>41.58</v>
      </c>
      <c r="F293" s="813">
        <f ca="1">D293*$J$5</f>
        <v>2.4376865211427767</v>
      </c>
      <c r="G293" s="812"/>
      <c r="H293" s="812">
        <f ca="1">B293+F293</f>
        <v>44.267686521142778</v>
      </c>
      <c r="I293" s="812"/>
      <c r="J293" s="810">
        <f ca="1">+D293+F293</f>
        <v>44.017686521142778</v>
      </c>
      <c r="L293" s="810"/>
    </row>
    <row r="294" spans="1:20" s="811" customFormat="1" ht="12.75">
      <c r="A294" s="811" t="s">
        <v>1209</v>
      </c>
      <c r="B294" s="810">
        <v>54.89</v>
      </c>
      <c r="D294" s="812">
        <v>54.56</v>
      </c>
      <c r="F294" s="813">
        <f ca="1">D294*$J$5</f>
        <v>3.1986574457323207</v>
      </c>
      <c r="G294" s="812"/>
      <c r="H294" s="812">
        <f ca="1">B294+F294</f>
        <v>58.088657445732323</v>
      </c>
      <c r="I294" s="812"/>
      <c r="J294" s="810">
        <f ca="1">+D294+F294</f>
        <v>57.758657445732325</v>
      </c>
      <c r="L294" s="810"/>
    </row>
    <row r="295" spans="1:20" s="811" customFormat="1" ht="12.75">
      <c r="B295" s="810"/>
      <c r="D295" s="812"/>
      <c r="F295" s="813"/>
      <c r="G295" s="812"/>
      <c r="H295" s="812"/>
      <c r="I295" s="812"/>
      <c r="J295" s="810"/>
      <c r="L295" s="810"/>
    </row>
    <row r="296" spans="1:20" s="810" customFormat="1" ht="12.75">
      <c r="A296" s="811" t="s">
        <v>1001</v>
      </c>
      <c r="B296" s="810">
        <v>1.39</v>
      </c>
      <c r="C296" s="811"/>
      <c r="D296" s="812">
        <v>1.38</v>
      </c>
      <c r="E296" s="811"/>
      <c r="F296" s="813">
        <f ca="1">D296*$J$5</f>
        <v>8.0904458854666461E-2</v>
      </c>
      <c r="G296" s="812"/>
      <c r="H296" s="812">
        <f ca="1">B296+F296</f>
        <v>1.4709044588546663</v>
      </c>
      <c r="I296" s="812"/>
      <c r="J296" s="810">
        <f ca="1">+D296+F296</f>
        <v>1.4609044588546665</v>
      </c>
      <c r="K296" s="811"/>
      <c r="M296" s="811"/>
      <c r="N296" s="811"/>
      <c r="O296" s="811"/>
      <c r="P296" s="811"/>
      <c r="Q296" s="811"/>
      <c r="R296" s="811"/>
      <c r="S296" s="811"/>
      <c r="T296" s="811"/>
    </row>
    <row r="297" spans="1:20" s="811" customFormat="1" ht="12.75">
      <c r="A297" s="811" t="s">
        <v>1205</v>
      </c>
      <c r="B297" s="810">
        <v>2.31</v>
      </c>
      <c r="D297" s="812">
        <v>2.2999999999999998</v>
      </c>
      <c r="F297" s="813">
        <f ca="1">D297*$J$5</f>
        <v>0.13484076475777745</v>
      </c>
      <c r="G297" s="812"/>
      <c r="H297" s="812">
        <f ca="1">B297+F297</f>
        <v>2.4448407647577777</v>
      </c>
      <c r="I297" s="812"/>
      <c r="J297" s="810">
        <f ca="1">+D297+F297</f>
        <v>2.4348407647577774</v>
      </c>
      <c r="L297" s="810"/>
    </row>
    <row r="298" spans="1:20" s="811" customFormat="1" ht="12.75">
      <c r="B298" s="810"/>
      <c r="D298" s="812"/>
      <c r="F298" s="813"/>
      <c r="G298" s="812"/>
      <c r="H298" s="812"/>
      <c r="I298" s="812"/>
      <c r="J298" s="810"/>
      <c r="L298" s="810"/>
    </row>
    <row r="299" spans="1:20" s="810" customFormat="1" ht="12.75">
      <c r="A299" s="826" t="s">
        <v>1002</v>
      </c>
      <c r="B299" s="815"/>
      <c r="C299" s="818"/>
      <c r="D299" s="816"/>
      <c r="E299" s="818"/>
      <c r="F299" s="817"/>
      <c r="G299" s="825"/>
      <c r="H299" s="825"/>
      <c r="I299" s="825"/>
      <c r="J299" s="815"/>
      <c r="K299" s="811"/>
      <c r="M299" s="811"/>
      <c r="N299" s="811"/>
      <c r="O299" s="811"/>
      <c r="P299" s="811"/>
      <c r="Q299" s="811"/>
      <c r="R299" s="811"/>
      <c r="S299" s="811"/>
      <c r="T299" s="811"/>
    </row>
    <row r="300" spans="1:20" s="820" customFormat="1" ht="12.75">
      <c r="A300" s="814" t="s">
        <v>1003</v>
      </c>
      <c r="C300" s="814"/>
      <c r="D300" s="821"/>
      <c r="E300" s="814"/>
      <c r="F300" s="822"/>
      <c r="G300" s="824"/>
      <c r="H300" s="824"/>
      <c r="I300" s="824"/>
      <c r="K300" s="814"/>
      <c r="M300" s="814"/>
      <c r="N300" s="814"/>
      <c r="O300" s="814"/>
      <c r="P300" s="814"/>
      <c r="Q300" s="814"/>
      <c r="R300" s="814"/>
      <c r="S300" s="814"/>
      <c r="T300" s="814"/>
    </row>
    <row r="301" spans="1:20" s="810" customFormat="1" ht="12.75">
      <c r="A301" s="811" t="s">
        <v>1004</v>
      </c>
      <c r="B301" s="810">
        <v>43.37</v>
      </c>
      <c r="C301" s="811"/>
      <c r="D301" s="812">
        <v>43.11</v>
      </c>
      <c r="E301" s="811"/>
      <c r="F301" s="813">
        <f ca="1">D301*$J$5</f>
        <v>2.5273849429164286</v>
      </c>
      <c r="G301" s="823"/>
      <c r="H301" s="823">
        <f ca="1">B301+F301</f>
        <v>45.897384942916425</v>
      </c>
      <c r="I301" s="823"/>
      <c r="J301" s="810">
        <f ca="1">+D301+F301</f>
        <v>45.637384942916427</v>
      </c>
      <c r="K301" s="811"/>
      <c r="M301" s="811"/>
      <c r="N301" s="811"/>
      <c r="O301" s="811"/>
      <c r="P301" s="811"/>
      <c r="Q301" s="811"/>
      <c r="R301" s="811"/>
      <c r="S301" s="811"/>
      <c r="T301" s="811"/>
    </row>
    <row r="302" spans="1:20" s="810" customFormat="1" ht="12.75">
      <c r="A302" s="811" t="s">
        <v>1005</v>
      </c>
      <c r="B302" s="810">
        <v>50.58</v>
      </c>
      <c r="C302" s="811"/>
      <c r="D302" s="812">
        <v>50.28</v>
      </c>
      <c r="E302" s="811"/>
      <c r="F302" s="813">
        <f ca="1">D302*$J$5</f>
        <v>2.947736370443935</v>
      </c>
      <c r="G302" s="823"/>
      <c r="H302" s="823">
        <f ca="1">B302+F302</f>
        <v>53.527736370443932</v>
      </c>
      <c r="I302" s="823"/>
      <c r="J302" s="810">
        <f ca="1">+D302+F302</f>
        <v>53.227736370443935</v>
      </c>
      <c r="K302" s="811"/>
      <c r="M302" s="811"/>
      <c r="N302" s="811"/>
      <c r="O302" s="811"/>
      <c r="P302" s="811"/>
      <c r="Q302" s="811"/>
      <c r="R302" s="811"/>
      <c r="S302" s="811"/>
      <c r="T302" s="811"/>
    </row>
    <row r="303" spans="1:20" s="810" customFormat="1" ht="12.75">
      <c r="A303" s="811" t="s">
        <v>1006</v>
      </c>
      <c r="B303" s="810">
        <v>57.74</v>
      </c>
      <c r="C303" s="811"/>
      <c r="D303" s="812">
        <v>57.39</v>
      </c>
      <c r="E303" s="811"/>
      <c r="F303" s="813">
        <f ca="1">D303*$J$5</f>
        <v>3.364570212803847</v>
      </c>
      <c r="G303" s="823"/>
      <c r="H303" s="823">
        <f ca="1">B303+F303</f>
        <v>61.10457021280385</v>
      </c>
      <c r="I303" s="823"/>
      <c r="J303" s="810">
        <f ca="1">+D303+F303</f>
        <v>60.754570212803849</v>
      </c>
      <c r="K303" s="811"/>
      <c r="M303" s="811"/>
      <c r="N303" s="811"/>
      <c r="O303" s="811"/>
      <c r="P303" s="811"/>
      <c r="Q303" s="811"/>
      <c r="R303" s="811"/>
      <c r="S303" s="811"/>
      <c r="T303" s="811"/>
    </row>
    <row r="304" spans="1:20" s="810" customFormat="1" ht="12.75">
      <c r="A304" s="811" t="s">
        <v>1211</v>
      </c>
      <c r="B304" s="810">
        <v>64.900000000000006</v>
      </c>
      <c r="C304" s="811"/>
      <c r="D304" s="812">
        <v>64.510000000000005</v>
      </c>
      <c r="E304" s="811"/>
      <c r="F304" s="813">
        <f ca="1">D304*$J$5</f>
        <v>3.7819903193583584</v>
      </c>
      <c r="G304" s="823"/>
      <c r="H304" s="823">
        <f ca="1">B304+F304</f>
        <v>68.681990319358363</v>
      </c>
      <c r="I304" s="823"/>
      <c r="J304" s="810">
        <f ca="1">+D304+F304</f>
        <v>68.291990319358362</v>
      </c>
      <c r="K304" s="811"/>
      <c r="M304" s="811"/>
      <c r="N304" s="811"/>
      <c r="O304" s="811"/>
      <c r="P304" s="811"/>
      <c r="Q304" s="811"/>
      <c r="R304" s="811"/>
      <c r="S304" s="811"/>
      <c r="T304" s="811"/>
    </row>
    <row r="305" spans="1:20" s="810" customFormat="1" ht="12.75">
      <c r="A305" s="814"/>
      <c r="C305" s="811"/>
      <c r="D305" s="812"/>
      <c r="E305" s="811"/>
      <c r="F305" s="813"/>
      <c r="G305" s="823"/>
      <c r="H305" s="823"/>
      <c r="I305" s="823"/>
      <c r="K305" s="811"/>
      <c r="M305" s="811"/>
      <c r="N305" s="811"/>
      <c r="O305" s="811"/>
      <c r="P305" s="811"/>
      <c r="Q305" s="811"/>
      <c r="R305" s="811"/>
      <c r="S305" s="811"/>
      <c r="T305" s="811"/>
    </row>
    <row r="306" spans="1:20" s="820" customFormat="1" ht="12.75">
      <c r="A306" s="814" t="s">
        <v>1007</v>
      </c>
      <c r="C306" s="814"/>
      <c r="D306" s="821"/>
      <c r="E306" s="814"/>
      <c r="F306" s="822"/>
      <c r="G306" s="824"/>
      <c r="H306" s="824"/>
      <c r="I306" s="824"/>
      <c r="K306" s="814"/>
      <c r="M306" s="814"/>
      <c r="N306" s="814"/>
      <c r="O306" s="814"/>
      <c r="P306" s="814"/>
      <c r="Q306" s="814"/>
      <c r="R306" s="814"/>
      <c r="S306" s="814"/>
      <c r="T306" s="814"/>
    </row>
    <row r="307" spans="1:20" s="820" customFormat="1" ht="12.75">
      <c r="A307" s="814" t="s">
        <v>1008</v>
      </c>
      <c r="C307" s="814"/>
      <c r="D307" s="821"/>
      <c r="E307" s="814"/>
      <c r="F307" s="822"/>
      <c r="G307" s="824"/>
      <c r="H307" s="824"/>
      <c r="I307" s="824"/>
      <c r="K307" s="814"/>
      <c r="M307" s="814"/>
      <c r="N307" s="814"/>
      <c r="O307" s="814"/>
      <c r="P307" s="814"/>
      <c r="Q307" s="814"/>
      <c r="R307" s="814"/>
      <c r="S307" s="814"/>
      <c r="T307" s="814"/>
    </row>
    <row r="308" spans="1:20" s="810" customFormat="1" ht="12.75">
      <c r="A308" s="811" t="s">
        <v>1004</v>
      </c>
      <c r="B308" s="810">
        <v>93.58</v>
      </c>
      <c r="C308" s="811"/>
      <c r="D308" s="812">
        <v>93.02</v>
      </c>
      <c r="E308" s="811"/>
      <c r="F308" s="813">
        <f ca="1">D308*$J$5</f>
        <v>5.4534295381601989</v>
      </c>
      <c r="G308" s="823"/>
      <c r="H308" s="823">
        <f ca="1">B308+F308</f>
        <v>99.033429538160192</v>
      </c>
      <c r="I308" s="823"/>
      <c r="J308" s="810">
        <f ca="1">+D308+F308</f>
        <v>98.47342953816019</v>
      </c>
      <c r="K308" s="811"/>
      <c r="M308" s="811"/>
      <c r="N308" s="811"/>
      <c r="O308" s="811"/>
      <c r="P308" s="811"/>
      <c r="Q308" s="811"/>
      <c r="R308" s="811"/>
      <c r="S308" s="811"/>
      <c r="T308" s="811"/>
    </row>
    <row r="309" spans="1:20" s="810" customFormat="1" ht="12.75">
      <c r="A309" s="811" t="s">
        <v>1005</v>
      </c>
      <c r="B309" s="810">
        <v>104.89</v>
      </c>
      <c r="C309" s="811"/>
      <c r="D309" s="812">
        <v>104.26</v>
      </c>
      <c r="E309" s="811"/>
      <c r="F309" s="813">
        <f ca="1">D309*$J$5</f>
        <v>6.1123904928895119</v>
      </c>
      <c r="G309" s="823"/>
      <c r="H309" s="823">
        <f ca="1">B309+F309</f>
        <v>111.00239049288952</v>
      </c>
      <c r="I309" s="823"/>
      <c r="J309" s="810">
        <f ca="1">+D309+F309</f>
        <v>110.37239049288952</v>
      </c>
      <c r="K309" s="811"/>
      <c r="M309" s="811"/>
      <c r="N309" s="811"/>
      <c r="O309" s="811"/>
      <c r="P309" s="811"/>
      <c r="Q309" s="811"/>
      <c r="R309" s="811"/>
      <c r="S309" s="811"/>
      <c r="T309" s="811"/>
    </row>
    <row r="310" spans="1:20" s="810" customFormat="1" ht="12.75">
      <c r="A310" s="811" t="s">
        <v>1006</v>
      </c>
      <c r="B310" s="810">
        <v>128.91999999999999</v>
      </c>
      <c r="C310" s="811"/>
      <c r="D310" s="812">
        <v>128.15</v>
      </c>
      <c r="E310" s="811"/>
      <c r="F310" s="813">
        <f ca="1">D310*$J$5</f>
        <v>7.5129756537866008</v>
      </c>
      <c r="G310" s="823"/>
      <c r="H310" s="823">
        <f ca="1">B310+F310</f>
        <v>136.4329756537866</v>
      </c>
      <c r="I310" s="823"/>
      <c r="J310" s="810">
        <f ca="1">+D310+F310</f>
        <v>135.66297565378662</v>
      </c>
      <c r="K310" s="811"/>
      <c r="M310" s="811"/>
      <c r="N310" s="811"/>
      <c r="O310" s="811"/>
      <c r="P310" s="811"/>
      <c r="Q310" s="811"/>
      <c r="R310" s="811"/>
      <c r="S310" s="811"/>
      <c r="T310" s="811"/>
    </row>
    <row r="311" spans="1:20" s="810" customFormat="1" ht="12.75">
      <c r="A311" s="811" t="s">
        <v>1211</v>
      </c>
      <c r="B311" s="810">
        <v>128.91999999999999</v>
      </c>
      <c r="C311" s="811"/>
      <c r="D311" s="812">
        <v>128.15</v>
      </c>
      <c r="E311" s="811"/>
      <c r="F311" s="813">
        <f ca="1">D311*$J$5</f>
        <v>7.5129756537866008</v>
      </c>
      <c r="G311" s="823"/>
      <c r="H311" s="823">
        <f ca="1">B311+F311</f>
        <v>136.4329756537866</v>
      </c>
      <c r="I311" s="823"/>
      <c r="J311" s="810">
        <f ca="1">+D311+F311</f>
        <v>135.66297565378662</v>
      </c>
      <c r="K311" s="811"/>
      <c r="M311" s="811"/>
      <c r="N311" s="811"/>
      <c r="O311" s="811"/>
      <c r="P311" s="811"/>
      <c r="Q311" s="811"/>
      <c r="R311" s="811"/>
      <c r="S311" s="811"/>
      <c r="T311" s="811"/>
    </row>
    <row r="312" spans="1:20" s="810" customFormat="1" ht="12.75">
      <c r="A312" s="814"/>
      <c r="C312" s="811"/>
      <c r="D312" s="812"/>
      <c r="E312" s="811"/>
      <c r="F312" s="813"/>
      <c r="G312" s="823"/>
      <c r="H312" s="823"/>
      <c r="I312" s="823"/>
      <c r="K312" s="811"/>
      <c r="M312" s="811"/>
      <c r="N312" s="811"/>
      <c r="O312" s="811"/>
      <c r="P312" s="811"/>
      <c r="Q312" s="811"/>
      <c r="R312" s="811"/>
      <c r="S312" s="811"/>
      <c r="T312" s="811"/>
    </row>
    <row r="313" spans="1:20" s="820" customFormat="1" ht="12.75">
      <c r="A313" s="814" t="s">
        <v>1009</v>
      </c>
      <c r="C313" s="814"/>
      <c r="D313" s="821"/>
      <c r="E313" s="814"/>
      <c r="F313" s="822"/>
      <c r="G313" s="824"/>
      <c r="H313" s="824"/>
      <c r="I313" s="824"/>
      <c r="K313" s="814"/>
      <c r="M313" s="814"/>
      <c r="N313" s="814"/>
      <c r="O313" s="814"/>
      <c r="P313" s="814"/>
      <c r="Q313" s="814"/>
      <c r="R313" s="814"/>
      <c r="S313" s="814"/>
      <c r="T313" s="814"/>
    </row>
    <row r="314" spans="1:20" s="810" customFormat="1" ht="12.75">
      <c r="A314" s="811" t="s">
        <v>1004</v>
      </c>
      <c r="B314" s="810">
        <v>48.92</v>
      </c>
      <c r="C314" s="811"/>
      <c r="D314" s="812">
        <v>48.63</v>
      </c>
      <c r="E314" s="811"/>
      <c r="F314" s="813">
        <f ca="1">D314*$J$5</f>
        <v>2.8510027783350949</v>
      </c>
      <c r="G314" s="823"/>
      <c r="H314" s="823">
        <f ca="1">B314+F314</f>
        <v>51.771002778335095</v>
      </c>
      <c r="I314" s="823"/>
      <c r="J314" s="810">
        <f ca="1">+D314+F314</f>
        <v>51.481002778335096</v>
      </c>
      <c r="K314" s="811"/>
      <c r="M314" s="811"/>
      <c r="N314" s="811"/>
      <c r="O314" s="811"/>
      <c r="P314" s="811"/>
      <c r="Q314" s="811"/>
      <c r="R314" s="811"/>
      <c r="S314" s="811"/>
      <c r="T314" s="811"/>
    </row>
    <row r="315" spans="1:20" s="810" customFormat="1" ht="12.75">
      <c r="A315" s="811" t="s">
        <v>1005</v>
      </c>
      <c r="B315" s="810">
        <v>48.92</v>
      </c>
      <c r="C315" s="811"/>
      <c r="D315" s="812">
        <v>48.63</v>
      </c>
      <c r="E315" s="811"/>
      <c r="F315" s="813">
        <f ca="1">D315*$J$5</f>
        <v>2.8510027783350949</v>
      </c>
      <c r="G315" s="823"/>
      <c r="H315" s="823">
        <f ca="1">B315+F315</f>
        <v>51.771002778335095</v>
      </c>
      <c r="I315" s="823"/>
      <c r="J315" s="810">
        <f ca="1">+D315+F315</f>
        <v>51.481002778335096</v>
      </c>
      <c r="K315" s="811"/>
      <c r="M315" s="811"/>
      <c r="N315" s="811"/>
      <c r="O315" s="811"/>
      <c r="P315" s="811"/>
      <c r="Q315" s="811"/>
      <c r="R315" s="811"/>
      <c r="S315" s="811"/>
      <c r="T315" s="811"/>
    </row>
    <row r="316" spans="1:20" s="810" customFormat="1" ht="12.75">
      <c r="A316" s="811" t="s">
        <v>1006</v>
      </c>
      <c r="B316" s="810">
        <v>48.92</v>
      </c>
      <c r="C316" s="811"/>
      <c r="D316" s="812">
        <v>48.63</v>
      </c>
      <c r="E316" s="811"/>
      <c r="F316" s="813">
        <f ca="1">D316*$J$5</f>
        <v>2.8510027783350949</v>
      </c>
      <c r="G316" s="823"/>
      <c r="H316" s="823">
        <f ca="1">B316+F316</f>
        <v>51.771002778335095</v>
      </c>
      <c r="I316" s="823"/>
      <c r="J316" s="810">
        <f ca="1">+D316+F316</f>
        <v>51.481002778335096</v>
      </c>
      <c r="K316" s="811"/>
      <c r="M316" s="811"/>
      <c r="N316" s="811"/>
      <c r="O316" s="811"/>
      <c r="P316" s="811"/>
      <c r="Q316" s="811"/>
      <c r="R316" s="811"/>
      <c r="S316" s="811"/>
      <c r="T316" s="811"/>
    </row>
    <row r="317" spans="1:20" s="810" customFormat="1" ht="12.75">
      <c r="A317" s="811" t="s">
        <v>1211</v>
      </c>
      <c r="B317" s="810">
        <v>48.92</v>
      </c>
      <c r="C317" s="811"/>
      <c r="D317" s="812">
        <v>48.63</v>
      </c>
      <c r="E317" s="811"/>
      <c r="F317" s="813">
        <f ca="1">D317*$J$5</f>
        <v>2.8510027783350949</v>
      </c>
      <c r="G317" s="823"/>
      <c r="H317" s="823">
        <f ca="1">B317+F317</f>
        <v>51.771002778335095</v>
      </c>
      <c r="I317" s="823"/>
      <c r="J317" s="810">
        <f ca="1">+D317+F317</f>
        <v>51.481002778335096</v>
      </c>
      <c r="K317" s="811"/>
      <c r="M317" s="811"/>
      <c r="N317" s="811"/>
      <c r="O317" s="811"/>
      <c r="P317" s="811"/>
      <c r="Q317" s="811"/>
      <c r="R317" s="811"/>
      <c r="S317" s="811"/>
      <c r="T317" s="811"/>
    </row>
    <row r="318" spans="1:20" s="810" customFormat="1" ht="12.75">
      <c r="A318" s="814"/>
      <c r="C318" s="811"/>
      <c r="D318" s="812"/>
      <c r="E318" s="811"/>
      <c r="F318" s="813"/>
      <c r="G318" s="823"/>
      <c r="H318" s="823"/>
      <c r="I318" s="823"/>
      <c r="K318" s="811"/>
      <c r="M318" s="811"/>
      <c r="N318" s="811"/>
      <c r="O318" s="811"/>
      <c r="P318" s="811"/>
      <c r="Q318" s="811"/>
      <c r="R318" s="811"/>
      <c r="S318" s="811"/>
      <c r="T318" s="811"/>
    </row>
    <row r="319" spans="1:20" s="810" customFormat="1" ht="12.75">
      <c r="A319" s="814"/>
      <c r="B319" s="812"/>
      <c r="C319" s="811"/>
      <c r="D319" s="812"/>
      <c r="E319" s="811"/>
      <c r="F319" s="813"/>
      <c r="G319" s="812"/>
      <c r="H319" s="812"/>
      <c r="I319" s="812"/>
      <c r="K319" s="811"/>
      <c r="M319" s="811"/>
      <c r="N319" s="811"/>
      <c r="O319" s="811"/>
      <c r="P319" s="811"/>
      <c r="Q319" s="811"/>
      <c r="R319" s="811"/>
      <c r="S319" s="811"/>
      <c r="T319" s="811"/>
    </row>
    <row r="320" spans="1:20" s="820" customFormat="1" ht="12.75">
      <c r="A320" s="814" t="s">
        <v>1010</v>
      </c>
      <c r="B320" s="821"/>
      <c r="C320" s="814"/>
      <c r="D320" s="821"/>
      <c r="E320" s="814"/>
      <c r="F320" s="822"/>
      <c r="G320" s="821"/>
      <c r="H320" s="821"/>
      <c r="I320" s="821"/>
      <c r="K320" s="814"/>
      <c r="M320" s="814"/>
      <c r="N320" s="814"/>
      <c r="O320" s="814"/>
      <c r="P320" s="814"/>
      <c r="Q320" s="814"/>
      <c r="R320" s="814"/>
      <c r="S320" s="814"/>
      <c r="T320" s="814"/>
    </row>
    <row r="321" spans="1:20" s="810" customFormat="1" ht="12.75">
      <c r="A321" s="811" t="s">
        <v>1004</v>
      </c>
      <c r="B321" s="810">
        <f>B308</f>
        <v>93.58</v>
      </c>
      <c r="C321" s="811"/>
      <c r="D321" s="812">
        <f>D308</f>
        <v>93.02</v>
      </c>
      <c r="E321" s="811"/>
      <c r="F321" s="813">
        <f ca="1">D321*$J$5</f>
        <v>5.4534295381601989</v>
      </c>
      <c r="G321" s="812"/>
      <c r="H321" s="812">
        <f ca="1">B321+F321</f>
        <v>99.033429538160192</v>
      </c>
      <c r="I321" s="812"/>
      <c r="J321" s="810">
        <f ca="1">+D321+F321</f>
        <v>98.47342953816019</v>
      </c>
      <c r="K321" s="811"/>
      <c r="M321" s="811"/>
      <c r="N321" s="811"/>
      <c r="O321" s="811"/>
      <c r="P321" s="811"/>
      <c r="Q321" s="811"/>
      <c r="R321" s="811"/>
      <c r="S321" s="811"/>
      <c r="T321" s="811"/>
    </row>
    <row r="322" spans="1:20" s="810" customFormat="1" ht="12.75">
      <c r="A322" s="811" t="s">
        <v>1005</v>
      </c>
      <c r="B322" s="810">
        <f>B309</f>
        <v>104.89</v>
      </c>
      <c r="C322" s="811"/>
      <c r="D322" s="812">
        <f>D309</f>
        <v>104.26</v>
      </c>
      <c r="E322" s="811"/>
      <c r="F322" s="813">
        <f ca="1">D322*$J$5</f>
        <v>6.1123904928895119</v>
      </c>
      <c r="G322" s="812"/>
      <c r="H322" s="812">
        <f ca="1">B322+F322</f>
        <v>111.00239049288952</v>
      </c>
      <c r="I322" s="812"/>
      <c r="J322" s="810">
        <f ca="1">+D322+F322</f>
        <v>110.37239049288952</v>
      </c>
      <c r="K322" s="811"/>
      <c r="M322" s="811"/>
      <c r="N322" s="811"/>
      <c r="O322" s="811"/>
      <c r="P322" s="811"/>
      <c r="Q322" s="811"/>
      <c r="R322" s="811"/>
      <c r="S322" s="811"/>
      <c r="T322" s="811"/>
    </row>
    <row r="323" spans="1:20" s="810" customFormat="1" ht="12.75">
      <c r="A323" s="811" t="s">
        <v>1006</v>
      </c>
      <c r="B323" s="810">
        <f>B310</f>
        <v>128.91999999999999</v>
      </c>
      <c r="C323" s="811"/>
      <c r="D323" s="812">
        <f>D310</f>
        <v>128.15</v>
      </c>
      <c r="E323" s="811"/>
      <c r="F323" s="813">
        <f ca="1">D323*$J$5</f>
        <v>7.5129756537866008</v>
      </c>
      <c r="G323" s="812"/>
      <c r="H323" s="812">
        <f ca="1">B323+F323</f>
        <v>136.4329756537866</v>
      </c>
      <c r="I323" s="812"/>
      <c r="J323" s="810">
        <f ca="1">+D323+F323</f>
        <v>135.66297565378662</v>
      </c>
      <c r="K323" s="811"/>
      <c r="M323" s="811"/>
      <c r="N323" s="811"/>
      <c r="O323" s="811"/>
      <c r="P323" s="811"/>
      <c r="Q323" s="811"/>
      <c r="R323" s="811"/>
      <c r="S323" s="811"/>
      <c r="T323" s="811"/>
    </row>
    <row r="324" spans="1:20" s="810" customFormat="1" ht="12.75">
      <c r="A324" s="811" t="s">
        <v>1211</v>
      </c>
      <c r="B324" s="810">
        <f>B311</f>
        <v>128.91999999999999</v>
      </c>
      <c r="C324" s="811"/>
      <c r="D324" s="812">
        <f>D311</f>
        <v>128.15</v>
      </c>
      <c r="E324" s="811"/>
      <c r="F324" s="813">
        <f ca="1">D324*$J$5</f>
        <v>7.5129756537866008</v>
      </c>
      <c r="G324" s="812"/>
      <c r="H324" s="812">
        <f ca="1">B324+F324</f>
        <v>136.4329756537866</v>
      </c>
      <c r="I324" s="812"/>
      <c r="J324" s="810">
        <f ca="1">+D324+F324</f>
        <v>135.66297565378662</v>
      </c>
      <c r="K324" s="811"/>
      <c r="M324" s="811"/>
      <c r="N324" s="811"/>
      <c r="O324" s="811"/>
      <c r="P324" s="811"/>
      <c r="Q324" s="811"/>
      <c r="R324" s="811"/>
      <c r="S324" s="811"/>
      <c r="T324" s="811"/>
    </row>
    <row r="325" spans="1:20" s="810" customFormat="1" ht="12.75">
      <c r="A325" s="811"/>
      <c r="B325" s="812"/>
      <c r="C325" s="811"/>
      <c r="D325" s="812"/>
      <c r="E325" s="811"/>
      <c r="F325" s="813"/>
      <c r="G325" s="812"/>
      <c r="H325" s="812"/>
      <c r="I325" s="812"/>
      <c r="K325" s="811"/>
      <c r="M325" s="811"/>
      <c r="N325" s="811"/>
      <c r="O325" s="811"/>
      <c r="P325" s="811"/>
      <c r="Q325" s="811"/>
      <c r="R325" s="811"/>
      <c r="S325" s="811"/>
      <c r="T325" s="811"/>
    </row>
    <row r="326" spans="1:20" s="820" customFormat="1" ht="12.75">
      <c r="A326" s="814" t="s">
        <v>1212</v>
      </c>
      <c r="B326" s="821"/>
      <c r="C326" s="814"/>
      <c r="D326" s="821"/>
      <c r="E326" s="814"/>
      <c r="F326" s="822"/>
      <c r="G326" s="821"/>
      <c r="H326" s="821"/>
      <c r="I326" s="821"/>
      <c r="K326" s="814"/>
      <c r="M326" s="814"/>
      <c r="N326" s="814"/>
      <c r="O326" s="814"/>
      <c r="P326" s="814"/>
      <c r="Q326" s="814"/>
      <c r="R326" s="814"/>
      <c r="S326" s="814"/>
      <c r="T326" s="814"/>
    </row>
    <row r="327" spans="1:20" s="810" customFormat="1" ht="12.75">
      <c r="A327" s="811" t="s">
        <v>1004</v>
      </c>
      <c r="B327" s="812">
        <v>4.5599999999999996</v>
      </c>
      <c r="C327" s="811"/>
      <c r="D327" s="812">
        <v>4.53</v>
      </c>
      <c r="E327" s="811"/>
      <c r="F327" s="813">
        <f ca="1">D327*$J$5</f>
        <v>0.26557768015336169</v>
      </c>
      <c r="G327" s="812"/>
      <c r="H327" s="812">
        <f ca="1">B327+F327</f>
        <v>4.8255776801533612</v>
      </c>
      <c r="I327" s="812"/>
      <c r="J327" s="810">
        <f ca="1">+D327+F327</f>
        <v>4.7955776801533618</v>
      </c>
      <c r="K327" s="811"/>
      <c r="M327" s="811"/>
      <c r="N327" s="811"/>
      <c r="O327" s="811"/>
      <c r="P327" s="811"/>
      <c r="Q327" s="811"/>
      <c r="R327" s="811"/>
      <c r="S327" s="811"/>
      <c r="T327" s="811"/>
    </row>
    <row r="328" spans="1:20" s="810" customFormat="1" ht="12.75">
      <c r="A328" s="811" t="s">
        <v>1005</v>
      </c>
      <c r="B328" s="812">
        <v>5.4</v>
      </c>
      <c r="C328" s="811"/>
      <c r="D328" s="812">
        <v>5.37</v>
      </c>
      <c r="E328" s="811"/>
      <c r="F328" s="813">
        <f ca="1">D328*$J$5</f>
        <v>0.31482387249968041</v>
      </c>
      <c r="G328" s="812"/>
      <c r="H328" s="812">
        <f ca="1">B328+F328</f>
        <v>5.7148238724996805</v>
      </c>
      <c r="I328" s="812"/>
      <c r="J328" s="810">
        <f ca="1">+D328+F328</f>
        <v>5.6848238724996802</v>
      </c>
      <c r="K328" s="811"/>
      <c r="M328" s="811"/>
      <c r="N328" s="811"/>
      <c r="O328" s="811"/>
      <c r="P328" s="811"/>
      <c r="Q328" s="811"/>
      <c r="R328" s="811"/>
      <c r="S328" s="811"/>
      <c r="T328" s="811"/>
    </row>
    <row r="329" spans="1:20" s="810" customFormat="1" ht="12.75">
      <c r="A329" s="811" t="s">
        <v>1006</v>
      </c>
      <c r="B329" s="812">
        <v>5.86</v>
      </c>
      <c r="C329" s="811"/>
      <c r="D329" s="812">
        <v>5.82</v>
      </c>
      <c r="E329" s="811"/>
      <c r="F329" s="813">
        <f ca="1">D329*$J$5</f>
        <v>0.34120576125663687</v>
      </c>
      <c r="G329" s="812"/>
      <c r="H329" s="812">
        <f ca="1">B329+F329</f>
        <v>6.2012057612566371</v>
      </c>
      <c r="I329" s="812"/>
      <c r="J329" s="810">
        <f ca="1">+D329+F329</f>
        <v>6.1612057612566371</v>
      </c>
      <c r="K329" s="811"/>
      <c r="M329" s="811"/>
      <c r="N329" s="811"/>
      <c r="O329" s="811"/>
      <c r="P329" s="811"/>
      <c r="Q329" s="811"/>
      <c r="R329" s="811"/>
      <c r="S329" s="811"/>
      <c r="T329" s="811"/>
    </row>
    <row r="330" spans="1:20" s="810" customFormat="1" ht="12.75">
      <c r="A330" s="811" t="s">
        <v>1211</v>
      </c>
      <c r="B330" s="812">
        <v>5.86</v>
      </c>
      <c r="C330" s="811"/>
      <c r="D330" s="812">
        <v>5.82</v>
      </c>
      <c r="E330" s="811"/>
      <c r="F330" s="813">
        <f ca="1">D330*$J$5</f>
        <v>0.34120576125663687</v>
      </c>
      <c r="G330" s="812"/>
      <c r="H330" s="812">
        <f ca="1">B330+F330</f>
        <v>6.2012057612566371</v>
      </c>
      <c r="I330" s="812"/>
      <c r="J330" s="810">
        <f ca="1">+D330+F330</f>
        <v>6.1612057612566371</v>
      </c>
      <c r="K330" s="811"/>
      <c r="M330" s="811"/>
      <c r="N330" s="811"/>
      <c r="O330" s="811"/>
      <c r="P330" s="811"/>
      <c r="Q330" s="811"/>
      <c r="R330" s="811"/>
      <c r="S330" s="811"/>
      <c r="T330" s="811"/>
    </row>
    <row r="331" spans="1:20" s="810" customFormat="1" ht="12.75">
      <c r="A331" s="811"/>
      <c r="B331" s="812"/>
      <c r="C331" s="811"/>
      <c r="D331" s="812"/>
      <c r="E331" s="811"/>
      <c r="F331" s="813"/>
      <c r="G331" s="812"/>
      <c r="H331" s="812"/>
      <c r="I331" s="812"/>
      <c r="K331" s="811"/>
      <c r="M331" s="811"/>
      <c r="N331" s="811"/>
      <c r="O331" s="811"/>
      <c r="P331" s="811"/>
      <c r="Q331" s="811"/>
      <c r="R331" s="811"/>
      <c r="S331" s="811"/>
      <c r="T331" s="811"/>
    </row>
    <row r="332" spans="1:20" s="820" customFormat="1" ht="12.75">
      <c r="A332" s="811" t="s">
        <v>919</v>
      </c>
      <c r="B332" s="812">
        <v>3.64</v>
      </c>
      <c r="C332" s="811"/>
      <c r="D332" s="812">
        <v>3.62</v>
      </c>
      <c r="E332" s="811"/>
      <c r="F332" s="813">
        <f ca="1">D332*$J$5</f>
        <v>0.21222763844484974</v>
      </c>
      <c r="G332" s="812"/>
      <c r="H332" s="812">
        <f ca="1">B332+F332</f>
        <v>3.8522276384448499</v>
      </c>
      <c r="I332" s="812"/>
      <c r="J332" s="810">
        <f ca="1">+D332+F332</f>
        <v>3.8322276384448499</v>
      </c>
      <c r="K332" s="814"/>
      <c r="M332" s="814"/>
      <c r="N332" s="814"/>
      <c r="O332" s="814"/>
      <c r="P332" s="814"/>
      <c r="Q332" s="814"/>
      <c r="R332" s="814"/>
      <c r="S332" s="814"/>
      <c r="T332" s="814"/>
    </row>
    <row r="333" spans="1:20" s="810" customFormat="1" ht="12.75">
      <c r="A333" s="811" t="s">
        <v>1213</v>
      </c>
      <c r="B333" s="812">
        <v>2.84</v>
      </c>
      <c r="C333" s="811"/>
      <c r="D333" s="812">
        <v>2.82</v>
      </c>
      <c r="E333" s="811"/>
      <c r="F333" s="813">
        <f ca="1">D333*$J$5</f>
        <v>0.16532650287692713</v>
      </c>
      <c r="G333" s="812"/>
      <c r="H333" s="812">
        <f ca="1">B333+F333</f>
        <v>3.0053265028769269</v>
      </c>
      <c r="I333" s="812"/>
      <c r="J333" s="810">
        <f ca="1">+D333+F333</f>
        <v>2.9853265028769269</v>
      </c>
      <c r="K333" s="811"/>
      <c r="M333" s="811"/>
      <c r="N333" s="811"/>
      <c r="O333" s="811"/>
      <c r="P333" s="811"/>
      <c r="Q333" s="811"/>
      <c r="R333" s="811"/>
      <c r="S333" s="811"/>
      <c r="T333" s="811"/>
    </row>
    <row r="334" spans="1:20" s="810" customFormat="1" ht="12.75">
      <c r="A334" s="811"/>
      <c r="B334" s="812"/>
      <c r="C334" s="811"/>
      <c r="D334" s="812"/>
      <c r="E334" s="811"/>
      <c r="F334" s="813"/>
      <c r="G334" s="812"/>
      <c r="H334" s="812"/>
      <c r="I334" s="812"/>
      <c r="K334" s="811"/>
      <c r="M334" s="811"/>
      <c r="N334" s="811"/>
      <c r="O334" s="811"/>
      <c r="P334" s="811"/>
      <c r="Q334" s="811"/>
      <c r="R334" s="811"/>
      <c r="S334" s="811"/>
      <c r="T334" s="811"/>
    </row>
    <row r="335" spans="1:20" s="810" customFormat="1" ht="12.75">
      <c r="A335" s="819" t="s">
        <v>1214</v>
      </c>
      <c r="B335" s="816"/>
      <c r="C335" s="818"/>
      <c r="D335" s="816"/>
      <c r="E335" s="818"/>
      <c r="F335" s="817"/>
      <c r="G335" s="816"/>
      <c r="H335" s="816"/>
      <c r="I335" s="816"/>
      <c r="J335" s="815"/>
      <c r="K335" s="811"/>
      <c r="M335" s="811"/>
      <c r="N335" s="811"/>
      <c r="O335" s="811"/>
      <c r="P335" s="811"/>
      <c r="Q335" s="811"/>
      <c r="R335" s="811"/>
      <c r="S335" s="811"/>
      <c r="T335" s="811"/>
    </row>
    <row r="336" spans="1:20" s="810" customFormat="1" ht="12.75">
      <c r="A336" s="811" t="s">
        <v>1011</v>
      </c>
      <c r="B336" s="812"/>
      <c r="C336" s="811"/>
      <c r="D336" s="812"/>
      <c r="E336" s="811"/>
      <c r="F336" s="813"/>
      <c r="G336" s="812"/>
      <c r="H336" s="812"/>
      <c r="I336" s="812"/>
      <c r="K336" s="811"/>
      <c r="M336" s="811"/>
      <c r="N336" s="811"/>
      <c r="O336" s="811"/>
      <c r="P336" s="811"/>
      <c r="Q336" s="811"/>
      <c r="R336" s="811"/>
      <c r="S336" s="811"/>
      <c r="T336" s="811"/>
    </row>
    <row r="337" spans="1:22" s="810" customFormat="1" ht="12.75">
      <c r="A337" s="811" t="s">
        <v>1215</v>
      </c>
      <c r="B337" s="812">
        <v>160.49</v>
      </c>
      <c r="C337" s="811"/>
      <c r="D337" s="812">
        <v>159.53</v>
      </c>
      <c r="E337" s="811"/>
      <c r="F337" s="813">
        <f t="shared" ref="F337:F343" ca="1" si="33">D337*$J$5</f>
        <v>9.3526726964383631</v>
      </c>
      <c r="G337" s="812"/>
      <c r="H337" s="812">
        <f t="shared" ref="H337:H343" ca="1" si="34">B337+F337</f>
        <v>169.84267269643837</v>
      </c>
      <c r="I337" s="812"/>
      <c r="J337" s="810">
        <f t="shared" ref="J337:J343" ca="1" si="35">+D337+F337</f>
        <v>168.88267269643836</v>
      </c>
      <c r="K337" s="811"/>
      <c r="M337" s="811"/>
      <c r="N337" s="811"/>
      <c r="O337" s="811"/>
      <c r="P337" s="811"/>
      <c r="Q337" s="811"/>
      <c r="R337" s="811"/>
      <c r="S337" s="811"/>
      <c r="T337" s="811"/>
    </row>
    <row r="338" spans="1:22" s="810" customFormat="1" ht="12.75">
      <c r="A338" s="811" t="s">
        <v>1004</v>
      </c>
      <c r="B338" s="812">
        <v>167.04</v>
      </c>
      <c r="C338" s="811"/>
      <c r="D338" s="812">
        <v>166.04</v>
      </c>
      <c r="E338" s="811"/>
      <c r="F338" s="813">
        <f t="shared" ca="1" si="33"/>
        <v>9.7343306871223341</v>
      </c>
      <c r="G338" s="812"/>
      <c r="H338" s="812">
        <f t="shared" ca="1" si="34"/>
        <v>176.77433068712233</v>
      </c>
      <c r="I338" s="812"/>
      <c r="J338" s="810">
        <f t="shared" ca="1" si="35"/>
        <v>175.77433068712233</v>
      </c>
      <c r="K338" s="811"/>
      <c r="M338" s="811"/>
      <c r="N338" s="811"/>
      <c r="O338" s="811"/>
      <c r="P338" s="811"/>
      <c r="Q338" s="811"/>
      <c r="R338" s="811"/>
      <c r="S338" s="811"/>
      <c r="T338" s="811"/>
    </row>
    <row r="339" spans="1:22" s="810" customFormat="1" ht="12.75">
      <c r="A339" s="811" t="s">
        <v>1012</v>
      </c>
      <c r="B339" s="812">
        <v>182.97</v>
      </c>
      <c r="C339" s="811"/>
      <c r="D339" s="812">
        <v>181.87</v>
      </c>
      <c r="E339" s="811"/>
      <c r="F339" s="813">
        <f t="shared" ca="1" si="33"/>
        <v>10.662386907172602</v>
      </c>
      <c r="G339" s="812"/>
      <c r="H339" s="812">
        <f t="shared" ca="1" si="34"/>
        <v>193.63238690717259</v>
      </c>
      <c r="I339" s="812"/>
      <c r="J339" s="810">
        <f t="shared" ca="1" si="35"/>
        <v>192.53238690717259</v>
      </c>
      <c r="K339" s="811"/>
      <c r="M339" s="811"/>
      <c r="N339" s="811"/>
      <c r="O339" s="811"/>
      <c r="P339" s="811"/>
      <c r="Q339" s="811"/>
      <c r="R339" s="811"/>
      <c r="S339" s="811"/>
      <c r="T339" s="811"/>
    </row>
    <row r="340" spans="1:22" s="810" customFormat="1" ht="12.75">
      <c r="A340" s="811" t="s">
        <v>1005</v>
      </c>
      <c r="B340" s="812">
        <v>198.16</v>
      </c>
      <c r="C340" s="811"/>
      <c r="D340" s="812">
        <v>196.97</v>
      </c>
      <c r="E340" s="811"/>
      <c r="F340" s="813">
        <f t="shared" ca="1" si="33"/>
        <v>11.547645841017141</v>
      </c>
      <c r="G340" s="812"/>
      <c r="H340" s="812">
        <f t="shared" ca="1" si="34"/>
        <v>209.70764584101713</v>
      </c>
      <c r="I340" s="812"/>
      <c r="J340" s="810">
        <f t="shared" ca="1" si="35"/>
        <v>208.51764584101713</v>
      </c>
      <c r="K340" s="811"/>
      <c r="M340" s="811"/>
      <c r="N340" s="811"/>
      <c r="O340" s="811"/>
      <c r="P340" s="811"/>
      <c r="Q340" s="811"/>
      <c r="R340" s="811"/>
      <c r="S340" s="811"/>
      <c r="T340" s="811"/>
    </row>
    <row r="341" spans="1:22" s="810" customFormat="1" ht="12.75">
      <c r="A341" s="811" t="s">
        <v>1013</v>
      </c>
      <c r="B341" s="812">
        <v>236.17</v>
      </c>
      <c r="C341" s="811"/>
      <c r="D341" s="812">
        <v>234.75</v>
      </c>
      <c r="E341" s="811"/>
      <c r="F341" s="813">
        <f t="shared" ca="1" si="33"/>
        <v>13.762551968212286</v>
      </c>
      <c r="G341" s="812"/>
      <c r="H341" s="812">
        <f t="shared" ca="1" si="34"/>
        <v>249.93255196821227</v>
      </c>
      <c r="I341" s="812"/>
      <c r="J341" s="810">
        <f t="shared" ca="1" si="35"/>
        <v>248.51255196821228</v>
      </c>
      <c r="K341" s="811"/>
      <c r="M341" s="811"/>
      <c r="N341" s="811"/>
      <c r="O341" s="811"/>
      <c r="P341" s="811"/>
      <c r="Q341" s="811"/>
      <c r="R341" s="811"/>
      <c r="S341" s="811"/>
      <c r="T341" s="811"/>
    </row>
    <row r="342" spans="1:22" s="810" customFormat="1" ht="12.75">
      <c r="A342" s="811" t="s">
        <v>1216</v>
      </c>
      <c r="B342" s="812">
        <v>236.17</v>
      </c>
      <c r="C342" s="811"/>
      <c r="D342" s="812">
        <v>234.75</v>
      </c>
      <c r="E342" s="811"/>
      <c r="F342" s="813">
        <f t="shared" ca="1" si="33"/>
        <v>13.762551968212286</v>
      </c>
      <c r="G342" s="812"/>
      <c r="H342" s="812">
        <f t="shared" ca="1" si="34"/>
        <v>249.93255196821227</v>
      </c>
      <c r="I342" s="812"/>
      <c r="J342" s="810">
        <f t="shared" ca="1" si="35"/>
        <v>248.51255196821228</v>
      </c>
      <c r="K342" s="811"/>
      <c r="M342" s="811"/>
      <c r="N342" s="811"/>
      <c r="O342" s="811"/>
      <c r="P342" s="811"/>
      <c r="Q342" s="811"/>
      <c r="R342" s="811"/>
      <c r="S342" s="811"/>
      <c r="T342" s="811"/>
    </row>
    <row r="343" spans="1:22" s="810" customFormat="1" ht="12.75">
      <c r="A343" s="811" t="s">
        <v>1217</v>
      </c>
      <c r="B343" s="812">
        <v>236.17</v>
      </c>
      <c r="C343" s="811"/>
      <c r="D343" s="812">
        <v>234.75</v>
      </c>
      <c r="E343" s="811"/>
      <c r="F343" s="813">
        <f t="shared" ca="1" si="33"/>
        <v>13.762551968212286</v>
      </c>
      <c r="G343" s="812"/>
      <c r="H343" s="812">
        <f t="shared" ca="1" si="34"/>
        <v>249.93255196821227</v>
      </c>
      <c r="I343" s="812"/>
      <c r="J343" s="810">
        <f t="shared" ca="1" si="35"/>
        <v>248.51255196821228</v>
      </c>
      <c r="K343" s="811"/>
      <c r="M343" s="811"/>
      <c r="N343" s="811"/>
      <c r="O343" s="811"/>
      <c r="P343" s="811"/>
      <c r="Q343" s="811"/>
      <c r="R343" s="811"/>
      <c r="S343" s="811"/>
      <c r="T343" s="811"/>
    </row>
    <row r="344" spans="1:22" s="810" customFormat="1" ht="12.75">
      <c r="A344" s="811"/>
      <c r="B344" s="812"/>
      <c r="C344" s="811"/>
      <c r="D344" s="812"/>
      <c r="E344" s="811"/>
      <c r="F344" s="813"/>
      <c r="G344" s="812"/>
      <c r="H344" s="812"/>
      <c r="I344" s="812"/>
      <c r="K344" s="811"/>
      <c r="M344" s="811"/>
      <c r="N344" s="811"/>
      <c r="O344" s="811"/>
      <c r="P344" s="811"/>
      <c r="Q344" s="811"/>
      <c r="R344" s="811"/>
      <c r="S344" s="811"/>
      <c r="T344" s="811"/>
    </row>
    <row r="345" spans="1:22" s="810" customFormat="1" ht="12.75">
      <c r="A345" s="811" t="s">
        <v>919</v>
      </c>
      <c r="B345" s="812">
        <v>3.64</v>
      </c>
      <c r="C345" s="811"/>
      <c r="D345" s="812">
        <v>3.64</v>
      </c>
      <c r="E345" s="811"/>
      <c r="F345" s="813">
        <f ca="1">D345*$J$5</f>
        <v>0.21340016683404781</v>
      </c>
      <c r="G345" s="812"/>
      <c r="H345" s="812">
        <f ca="1">B345+F345</f>
        <v>3.8534001668340481</v>
      </c>
      <c r="I345" s="812"/>
      <c r="J345" s="810">
        <f ca="1">+D345+F345</f>
        <v>3.8534001668340481</v>
      </c>
      <c r="K345" s="811"/>
      <c r="M345" s="811"/>
      <c r="N345" s="811"/>
      <c r="O345" s="811"/>
      <c r="P345" s="811"/>
      <c r="Q345" s="811"/>
      <c r="R345" s="811"/>
      <c r="S345" s="811"/>
      <c r="T345" s="811"/>
    </row>
    <row r="346" spans="1:22" s="810" customFormat="1" ht="12.75">
      <c r="A346" s="811" t="s">
        <v>1213</v>
      </c>
      <c r="B346" s="812">
        <v>2.84</v>
      </c>
      <c r="C346" s="811"/>
      <c r="D346" s="812">
        <v>2.82</v>
      </c>
      <c r="E346" s="811"/>
      <c r="F346" s="813">
        <f ca="1">D346*$J$5</f>
        <v>0.16532650287692713</v>
      </c>
      <c r="G346" s="812"/>
      <c r="H346" s="812">
        <f ca="1">B346+F346</f>
        <v>3.0053265028769269</v>
      </c>
      <c r="I346" s="812"/>
      <c r="J346" s="810">
        <f ca="1">+D346+F346</f>
        <v>2.9853265028769269</v>
      </c>
      <c r="K346" s="811"/>
      <c r="M346" s="811"/>
      <c r="N346" s="811"/>
      <c r="O346" s="811"/>
      <c r="P346" s="811"/>
      <c r="Q346" s="811"/>
      <c r="R346" s="811"/>
      <c r="S346" s="811"/>
      <c r="T346" s="811"/>
    </row>
    <row r="347" spans="1:22" s="810" customFormat="1" ht="12.75">
      <c r="A347" s="811"/>
      <c r="B347" s="812"/>
      <c r="C347" s="811"/>
      <c r="D347" s="812"/>
      <c r="E347" s="811"/>
      <c r="F347" s="813"/>
      <c r="G347" s="812"/>
      <c r="H347" s="812"/>
      <c r="I347" s="812"/>
      <c r="K347" s="811"/>
      <c r="M347" s="811"/>
      <c r="N347" s="811"/>
      <c r="O347" s="811"/>
      <c r="P347" s="811"/>
      <c r="Q347" s="811"/>
      <c r="R347" s="811"/>
      <c r="S347" s="811"/>
      <c r="T347" s="811"/>
    </row>
    <row r="348" spans="1:22" s="810" customFormat="1" ht="12.75">
      <c r="A348" s="811"/>
      <c r="B348" s="812"/>
      <c r="C348" s="811"/>
      <c r="D348" s="811"/>
      <c r="E348" s="811"/>
      <c r="F348" s="813"/>
      <c r="G348" s="812"/>
      <c r="H348" s="812"/>
      <c r="I348" s="812"/>
      <c r="J348" s="812"/>
      <c r="M348" s="811"/>
      <c r="O348" s="811"/>
      <c r="P348" s="811"/>
      <c r="Q348" s="811"/>
      <c r="R348" s="811"/>
      <c r="S348" s="811"/>
      <c r="T348" s="811"/>
      <c r="U348" s="811"/>
      <c r="V348" s="811"/>
    </row>
    <row r="349" spans="1:22" s="810" customFormat="1" ht="12.75">
      <c r="A349" s="811"/>
      <c r="B349" s="812"/>
      <c r="C349" s="811"/>
      <c r="D349" s="811"/>
      <c r="E349" s="811"/>
      <c r="F349" s="813"/>
      <c r="G349" s="812"/>
      <c r="H349" s="812"/>
      <c r="I349" s="812"/>
      <c r="J349" s="812"/>
      <c r="M349" s="811"/>
      <c r="O349" s="811"/>
      <c r="P349" s="811"/>
      <c r="Q349" s="811"/>
      <c r="R349" s="811"/>
      <c r="S349" s="811"/>
      <c r="T349" s="811"/>
      <c r="U349" s="811"/>
      <c r="V349" s="811"/>
    </row>
    <row r="350" spans="1:22" s="810" customFormat="1" ht="12.75">
      <c r="A350" s="811"/>
      <c r="B350" s="812"/>
      <c r="C350" s="811"/>
      <c r="D350" s="811"/>
      <c r="E350" s="811"/>
      <c r="F350" s="813"/>
      <c r="G350" s="812"/>
      <c r="H350" s="812"/>
      <c r="I350" s="812"/>
      <c r="J350" s="812"/>
      <c r="M350" s="811"/>
      <c r="O350" s="811"/>
      <c r="P350" s="811"/>
      <c r="Q350" s="811"/>
      <c r="R350" s="811"/>
      <c r="S350" s="811"/>
      <c r="T350" s="811"/>
      <c r="U350" s="811"/>
      <c r="V350" s="811"/>
    </row>
    <row r="351" spans="1:22" s="810" customFormat="1" ht="12.75">
      <c r="A351" s="814"/>
      <c r="B351" s="812"/>
      <c r="C351" s="811"/>
      <c r="D351" s="811"/>
      <c r="E351" s="811"/>
      <c r="F351" s="813"/>
      <c r="G351" s="812"/>
      <c r="H351" s="812"/>
      <c r="I351" s="812"/>
      <c r="J351" s="812"/>
      <c r="M351" s="811"/>
      <c r="O351" s="811"/>
      <c r="P351" s="811"/>
      <c r="Q351" s="811"/>
      <c r="R351" s="811"/>
      <c r="S351" s="811"/>
      <c r="T351" s="811"/>
      <c r="U351" s="811"/>
      <c r="V351" s="811"/>
    </row>
    <row r="352" spans="1:22" s="810" customFormat="1" ht="12.75">
      <c r="A352" s="811"/>
      <c r="B352" s="812"/>
      <c r="C352" s="811"/>
      <c r="D352" s="811"/>
      <c r="E352" s="811"/>
      <c r="F352" s="813"/>
      <c r="G352" s="812"/>
      <c r="H352" s="812"/>
      <c r="I352" s="812"/>
      <c r="J352" s="812"/>
      <c r="M352" s="811"/>
      <c r="O352" s="811"/>
      <c r="P352" s="811"/>
      <c r="Q352" s="811"/>
      <c r="R352" s="811"/>
      <c r="S352" s="811"/>
      <c r="T352" s="811"/>
      <c r="U352" s="811"/>
      <c r="V352" s="811"/>
    </row>
    <row r="353" spans="1:1326" s="810" customFormat="1" ht="12.75">
      <c r="A353" s="811"/>
      <c r="B353" s="812"/>
      <c r="C353" s="811"/>
      <c r="D353" s="811"/>
      <c r="E353" s="811"/>
      <c r="F353" s="813"/>
      <c r="G353" s="812"/>
      <c r="H353" s="812"/>
      <c r="I353" s="812"/>
      <c r="J353" s="812"/>
      <c r="M353" s="811"/>
      <c r="O353" s="811"/>
      <c r="P353" s="811"/>
      <c r="Q353" s="811"/>
      <c r="R353" s="811"/>
      <c r="S353" s="811"/>
      <c r="T353" s="811"/>
      <c r="U353" s="811"/>
      <c r="V353" s="811"/>
    </row>
    <row r="354" spans="1:1326" s="810" customFormat="1" ht="12.75">
      <c r="A354" s="811"/>
      <c r="B354" s="812"/>
      <c r="C354" s="811"/>
      <c r="D354" s="811"/>
      <c r="E354" s="811"/>
      <c r="F354" s="813"/>
      <c r="G354" s="812"/>
      <c r="H354" s="812"/>
      <c r="I354" s="812"/>
      <c r="J354" s="812"/>
      <c r="M354" s="811"/>
      <c r="O354" s="811"/>
      <c r="P354" s="811"/>
      <c r="Q354" s="811"/>
      <c r="R354" s="811"/>
      <c r="S354" s="811"/>
      <c r="T354" s="811"/>
      <c r="U354" s="811"/>
      <c r="V354" s="811"/>
    </row>
    <row r="355" spans="1:1326" s="810" customFormat="1" ht="12.75">
      <c r="A355" s="811"/>
      <c r="B355" s="812"/>
      <c r="C355" s="811"/>
      <c r="D355" s="811"/>
      <c r="E355" s="811"/>
      <c r="F355" s="813"/>
      <c r="G355" s="812"/>
      <c r="H355" s="812"/>
      <c r="I355" s="812"/>
      <c r="J355" s="812"/>
      <c r="M355" s="811"/>
      <c r="O355" s="811"/>
      <c r="P355" s="811"/>
      <c r="Q355" s="811"/>
      <c r="R355" s="811"/>
      <c r="S355" s="811"/>
      <c r="T355" s="811"/>
      <c r="U355" s="811"/>
      <c r="V355" s="811"/>
    </row>
    <row r="356" spans="1:1326" s="810" customFormat="1" ht="12.75">
      <c r="A356" s="811"/>
      <c r="B356" s="812"/>
      <c r="C356" s="811"/>
      <c r="D356" s="811"/>
      <c r="E356" s="811"/>
      <c r="F356" s="813"/>
      <c r="G356" s="812"/>
      <c r="H356" s="812"/>
      <c r="I356" s="812"/>
      <c r="J356" s="812"/>
      <c r="M356" s="811"/>
      <c r="O356" s="811"/>
      <c r="P356" s="811"/>
      <c r="Q356" s="811"/>
      <c r="R356" s="811"/>
      <c r="S356" s="811"/>
      <c r="T356" s="811"/>
      <c r="U356" s="811"/>
      <c r="V356" s="811"/>
    </row>
    <row r="357" spans="1:1326" s="810" customFormat="1" ht="12.75">
      <c r="A357" s="811"/>
      <c r="B357" s="812"/>
      <c r="C357" s="811"/>
      <c r="D357" s="811"/>
      <c r="E357" s="811"/>
      <c r="F357" s="813"/>
      <c r="G357" s="812"/>
      <c r="H357" s="812"/>
      <c r="I357" s="812"/>
      <c r="J357" s="812"/>
      <c r="M357" s="811"/>
      <c r="O357" s="811"/>
      <c r="P357" s="811"/>
      <c r="Q357" s="811"/>
      <c r="R357" s="811"/>
      <c r="S357" s="811"/>
      <c r="T357" s="811"/>
      <c r="U357" s="811"/>
      <c r="V357" s="811"/>
    </row>
    <row r="358" spans="1:1326" s="810" customFormat="1" ht="12.75">
      <c r="A358" s="811"/>
      <c r="B358" s="812"/>
      <c r="C358" s="811"/>
      <c r="D358" s="811"/>
      <c r="E358" s="811"/>
      <c r="F358" s="813"/>
      <c r="G358" s="812"/>
      <c r="H358" s="812"/>
      <c r="I358" s="812"/>
      <c r="J358" s="812"/>
      <c r="M358" s="811"/>
      <c r="O358" s="811"/>
      <c r="P358" s="811"/>
      <c r="Q358" s="811"/>
      <c r="R358" s="811"/>
      <c r="S358" s="811"/>
      <c r="T358" s="811"/>
      <c r="U358" s="811"/>
      <c r="V358" s="811"/>
    </row>
    <row r="359" spans="1:1326" s="810" customFormat="1" ht="12.75">
      <c r="A359" s="811"/>
      <c r="C359" s="811"/>
      <c r="D359" s="811"/>
      <c r="E359" s="811"/>
      <c r="F359" s="813"/>
      <c r="G359" s="812"/>
      <c r="H359" s="812"/>
      <c r="I359" s="812"/>
      <c r="J359" s="812"/>
      <c r="M359" s="811"/>
      <c r="O359" s="811"/>
      <c r="P359" s="811"/>
      <c r="Q359" s="811"/>
      <c r="R359" s="811"/>
      <c r="S359" s="811"/>
      <c r="T359" s="811"/>
      <c r="U359" s="811"/>
      <c r="V359" s="811"/>
    </row>
    <row r="360" spans="1:1326" s="801" customFormat="1" ht="12.75">
      <c r="A360" s="811"/>
      <c r="B360" s="810"/>
      <c r="C360" s="811"/>
      <c r="D360" s="811"/>
      <c r="E360" s="811"/>
      <c r="F360" s="813"/>
      <c r="G360" s="812"/>
      <c r="H360" s="812"/>
      <c r="I360" s="812"/>
      <c r="J360" s="812"/>
      <c r="K360" s="810"/>
      <c r="L360" s="810"/>
      <c r="M360" s="811"/>
      <c r="N360" s="810"/>
      <c r="O360" s="811"/>
      <c r="P360" s="811"/>
      <c r="Q360" s="811"/>
      <c r="R360" s="811"/>
      <c r="S360" s="811"/>
      <c r="T360" s="811"/>
      <c r="U360" s="811"/>
      <c r="V360" s="811"/>
      <c r="W360" s="810"/>
      <c r="X360" s="810"/>
      <c r="Y360" s="810"/>
      <c r="Z360" s="810"/>
      <c r="AA360" s="810"/>
      <c r="AB360" s="810"/>
      <c r="AC360" s="810"/>
      <c r="AD360" s="810"/>
      <c r="AE360" s="810"/>
      <c r="AF360" s="810"/>
      <c r="AG360" s="810"/>
      <c r="AH360" s="810"/>
      <c r="AI360" s="810"/>
      <c r="AJ360" s="810"/>
      <c r="AK360" s="810"/>
      <c r="AL360" s="810"/>
      <c r="AM360" s="810"/>
      <c r="AN360" s="810"/>
      <c r="AO360" s="810"/>
      <c r="AP360" s="810"/>
      <c r="AQ360" s="810"/>
      <c r="AR360" s="810"/>
      <c r="AS360" s="810"/>
      <c r="AT360" s="810"/>
      <c r="AU360" s="810"/>
      <c r="AV360" s="810"/>
      <c r="AW360" s="810"/>
      <c r="AX360" s="810"/>
      <c r="AY360" s="810"/>
      <c r="AZ360" s="810"/>
      <c r="BA360" s="810"/>
      <c r="BB360" s="810"/>
      <c r="BC360" s="810"/>
      <c r="BD360" s="810"/>
      <c r="BE360" s="810"/>
      <c r="BF360" s="810"/>
      <c r="BG360" s="810"/>
      <c r="BH360" s="810"/>
      <c r="BI360" s="810"/>
      <c r="BJ360" s="810"/>
      <c r="BK360" s="810"/>
      <c r="BL360" s="810"/>
      <c r="BM360" s="810"/>
      <c r="BN360" s="810"/>
      <c r="BO360" s="810"/>
      <c r="BP360" s="810"/>
      <c r="BQ360" s="810"/>
      <c r="BR360" s="810"/>
      <c r="BS360" s="810"/>
      <c r="BT360" s="810"/>
      <c r="BU360" s="810"/>
      <c r="BV360" s="810"/>
      <c r="BW360" s="810"/>
      <c r="BX360" s="810"/>
      <c r="BY360" s="810"/>
      <c r="BZ360" s="810"/>
      <c r="CA360" s="810"/>
      <c r="CB360" s="810"/>
      <c r="CC360" s="810"/>
      <c r="CD360" s="810"/>
      <c r="CE360" s="810"/>
      <c r="CF360" s="810"/>
      <c r="CG360" s="810"/>
      <c r="CH360" s="810"/>
      <c r="CI360" s="810"/>
      <c r="CJ360" s="810"/>
      <c r="CK360" s="810"/>
      <c r="CL360" s="810"/>
      <c r="CM360" s="810"/>
      <c r="CN360" s="810"/>
      <c r="CO360" s="810"/>
      <c r="CP360" s="810"/>
      <c r="CQ360" s="810"/>
      <c r="CR360" s="810"/>
      <c r="CS360" s="810"/>
      <c r="CT360" s="810"/>
      <c r="CU360" s="810"/>
      <c r="CV360" s="810"/>
      <c r="CW360" s="810"/>
      <c r="CX360" s="810"/>
      <c r="CY360" s="810"/>
      <c r="CZ360" s="810"/>
      <c r="DA360" s="810"/>
      <c r="DB360" s="810"/>
      <c r="DC360" s="810"/>
      <c r="DD360" s="810"/>
      <c r="DE360" s="810"/>
      <c r="DF360" s="810"/>
      <c r="DG360" s="810"/>
      <c r="DH360" s="810"/>
      <c r="DI360" s="810"/>
      <c r="DJ360" s="810"/>
      <c r="DK360" s="810"/>
      <c r="DL360" s="810"/>
      <c r="DM360" s="810"/>
      <c r="DN360" s="810"/>
      <c r="DO360" s="810"/>
      <c r="DP360" s="810"/>
      <c r="DQ360" s="810"/>
      <c r="DR360" s="810"/>
      <c r="DS360" s="810"/>
      <c r="DT360" s="810"/>
      <c r="DU360" s="810"/>
      <c r="DV360" s="810"/>
      <c r="DW360" s="810"/>
      <c r="DX360" s="810"/>
      <c r="DY360" s="810"/>
      <c r="DZ360" s="810"/>
      <c r="EA360" s="810"/>
      <c r="EB360" s="810"/>
      <c r="EC360" s="810"/>
      <c r="ED360" s="810"/>
      <c r="EE360" s="810"/>
      <c r="EF360" s="810"/>
      <c r="EG360" s="810"/>
      <c r="EH360" s="810"/>
      <c r="EI360" s="810"/>
      <c r="EJ360" s="810"/>
      <c r="EK360" s="810"/>
      <c r="EL360" s="810"/>
      <c r="EM360" s="810"/>
      <c r="EN360" s="810"/>
      <c r="EO360" s="810"/>
      <c r="EP360" s="810"/>
      <c r="EQ360" s="810"/>
      <c r="ER360" s="810"/>
      <c r="ES360" s="810"/>
      <c r="ET360" s="810"/>
      <c r="EU360" s="810"/>
      <c r="EV360" s="810"/>
      <c r="EW360" s="810"/>
      <c r="EX360" s="810"/>
      <c r="EY360" s="810"/>
      <c r="EZ360" s="810"/>
      <c r="FA360" s="810"/>
      <c r="FB360" s="810"/>
      <c r="FC360" s="810"/>
      <c r="FD360" s="810"/>
      <c r="FE360" s="810"/>
      <c r="FF360" s="810"/>
      <c r="FG360" s="810"/>
      <c r="FH360" s="810"/>
      <c r="FI360" s="810"/>
      <c r="FJ360" s="810"/>
      <c r="FK360" s="810"/>
      <c r="FL360" s="810"/>
      <c r="FM360" s="810"/>
      <c r="FN360" s="810"/>
      <c r="FO360" s="810"/>
      <c r="FP360" s="810"/>
      <c r="FQ360" s="810"/>
      <c r="FR360" s="810"/>
      <c r="FS360" s="810"/>
      <c r="FT360" s="810"/>
      <c r="FU360" s="810"/>
      <c r="FV360" s="810"/>
      <c r="FW360" s="810"/>
      <c r="FX360" s="810"/>
      <c r="FY360" s="810"/>
      <c r="FZ360" s="810"/>
      <c r="GA360" s="810"/>
      <c r="GB360" s="810"/>
      <c r="GC360" s="810"/>
      <c r="GD360" s="810"/>
      <c r="GE360" s="810"/>
      <c r="GF360" s="810"/>
      <c r="GG360" s="810"/>
      <c r="GH360" s="810"/>
      <c r="GI360" s="810"/>
      <c r="GJ360" s="810"/>
      <c r="GK360" s="810"/>
      <c r="GL360" s="810"/>
      <c r="GM360" s="810"/>
      <c r="GN360" s="810"/>
      <c r="GO360" s="810"/>
      <c r="GP360" s="810"/>
      <c r="GQ360" s="810"/>
      <c r="GR360" s="810"/>
      <c r="GS360" s="810"/>
      <c r="GT360" s="810"/>
      <c r="GU360" s="810"/>
      <c r="GV360" s="810"/>
      <c r="GW360" s="810"/>
      <c r="GX360" s="810"/>
      <c r="GY360" s="810"/>
      <c r="GZ360" s="810"/>
      <c r="HA360" s="810"/>
      <c r="HB360" s="810"/>
      <c r="HC360" s="810"/>
      <c r="HD360" s="810"/>
      <c r="HE360" s="810"/>
      <c r="HF360" s="810"/>
      <c r="HG360" s="810"/>
      <c r="HH360" s="810"/>
      <c r="HI360" s="810"/>
      <c r="HJ360" s="810"/>
      <c r="HK360" s="810"/>
      <c r="HL360" s="810"/>
      <c r="HM360" s="810"/>
      <c r="HN360" s="810"/>
      <c r="HO360" s="810"/>
      <c r="HP360" s="810"/>
      <c r="HQ360" s="810"/>
      <c r="HR360" s="810"/>
      <c r="HS360" s="810"/>
      <c r="HT360" s="810"/>
      <c r="HU360" s="810"/>
      <c r="HV360" s="810"/>
      <c r="HW360" s="810"/>
      <c r="HX360" s="810"/>
      <c r="HY360" s="810"/>
      <c r="HZ360" s="810"/>
      <c r="IA360" s="810"/>
      <c r="IB360" s="810"/>
      <c r="IC360" s="810"/>
      <c r="ID360" s="810"/>
      <c r="IE360" s="810"/>
      <c r="IF360" s="810"/>
      <c r="IG360" s="810"/>
      <c r="IH360" s="810"/>
      <c r="II360" s="810"/>
      <c r="IJ360" s="810"/>
      <c r="IK360" s="810"/>
      <c r="IL360" s="810"/>
      <c r="IM360" s="810"/>
      <c r="IN360" s="810"/>
      <c r="IO360" s="810"/>
      <c r="IP360" s="810"/>
      <c r="IQ360" s="810"/>
      <c r="IR360" s="810"/>
      <c r="IS360" s="810"/>
      <c r="IT360" s="810"/>
      <c r="IU360" s="810"/>
      <c r="IV360" s="810"/>
      <c r="IW360" s="810"/>
      <c r="IX360" s="810"/>
      <c r="IY360" s="810"/>
      <c r="IZ360" s="810"/>
      <c r="JA360" s="810"/>
      <c r="JB360" s="810"/>
      <c r="JC360" s="810"/>
      <c r="JD360" s="810"/>
      <c r="JE360" s="810"/>
      <c r="JF360" s="810"/>
      <c r="JG360" s="810"/>
      <c r="JH360" s="810"/>
      <c r="JI360" s="810"/>
      <c r="JJ360" s="810"/>
      <c r="JK360" s="810"/>
      <c r="JL360" s="810"/>
      <c r="JM360" s="810"/>
      <c r="JN360" s="810"/>
      <c r="JO360" s="810"/>
      <c r="JP360" s="810"/>
      <c r="JQ360" s="810"/>
      <c r="JR360" s="810"/>
      <c r="JS360" s="810"/>
      <c r="JT360" s="810"/>
      <c r="JU360" s="810"/>
      <c r="JV360" s="810"/>
      <c r="JW360" s="810"/>
      <c r="JX360" s="810"/>
      <c r="JY360" s="810"/>
      <c r="JZ360" s="810"/>
      <c r="KA360" s="810"/>
      <c r="KB360" s="810"/>
      <c r="KC360" s="810"/>
      <c r="KD360" s="810"/>
      <c r="KE360" s="810"/>
      <c r="KF360" s="810"/>
      <c r="KG360" s="810"/>
      <c r="KH360" s="810"/>
      <c r="KI360" s="810"/>
      <c r="KJ360" s="810"/>
      <c r="KK360" s="810"/>
      <c r="KL360" s="810"/>
      <c r="KM360" s="810"/>
      <c r="KN360" s="810"/>
      <c r="KO360" s="810"/>
      <c r="KP360" s="810"/>
      <c r="KQ360" s="810"/>
      <c r="KR360" s="810"/>
      <c r="KS360" s="810"/>
      <c r="KT360" s="810"/>
      <c r="KU360" s="810"/>
      <c r="KV360" s="810"/>
      <c r="KW360" s="810"/>
      <c r="KX360" s="810"/>
      <c r="KY360" s="810"/>
      <c r="KZ360" s="810"/>
      <c r="LA360" s="810"/>
      <c r="LB360" s="810"/>
      <c r="LC360" s="810"/>
      <c r="LD360" s="810"/>
      <c r="LE360" s="810"/>
      <c r="LF360" s="810"/>
      <c r="LG360" s="810"/>
      <c r="LH360" s="810"/>
      <c r="LI360" s="810"/>
      <c r="LJ360" s="810"/>
      <c r="LK360" s="810"/>
      <c r="LL360" s="810"/>
      <c r="LM360" s="810"/>
      <c r="LN360" s="810"/>
      <c r="LO360" s="810"/>
      <c r="LP360" s="810"/>
      <c r="LQ360" s="810"/>
      <c r="LR360" s="810"/>
      <c r="LS360" s="810"/>
      <c r="LT360" s="810"/>
      <c r="LU360" s="810"/>
      <c r="LV360" s="810"/>
      <c r="LW360" s="810"/>
      <c r="LX360" s="810"/>
      <c r="LY360" s="810"/>
      <c r="LZ360" s="810"/>
      <c r="MA360" s="810"/>
      <c r="MB360" s="810"/>
      <c r="MC360" s="810"/>
      <c r="MD360" s="810"/>
      <c r="ME360" s="810"/>
      <c r="MF360" s="810"/>
      <c r="MG360" s="810"/>
      <c r="MH360" s="810"/>
      <c r="MI360" s="810"/>
      <c r="MJ360" s="810"/>
      <c r="MK360" s="810"/>
      <c r="ML360" s="810"/>
      <c r="MM360" s="810"/>
      <c r="MN360" s="810"/>
      <c r="MO360" s="810"/>
      <c r="MP360" s="810"/>
      <c r="MQ360" s="810"/>
      <c r="MR360" s="810"/>
      <c r="MS360" s="810"/>
      <c r="MT360" s="810"/>
      <c r="MU360" s="810"/>
      <c r="MV360" s="810"/>
      <c r="MW360" s="810"/>
      <c r="MX360" s="810"/>
      <c r="MY360" s="810"/>
      <c r="MZ360" s="810"/>
      <c r="NA360" s="810"/>
      <c r="NB360" s="810"/>
      <c r="NC360" s="810"/>
      <c r="ND360" s="810"/>
      <c r="NE360" s="810"/>
      <c r="NF360" s="810"/>
      <c r="NG360" s="810"/>
      <c r="NH360" s="810"/>
      <c r="NI360" s="810"/>
      <c r="NJ360" s="810"/>
      <c r="NK360" s="810"/>
      <c r="NL360" s="810"/>
      <c r="NM360" s="810"/>
      <c r="NN360" s="810"/>
      <c r="NO360" s="810"/>
      <c r="NP360" s="810"/>
      <c r="NQ360" s="810"/>
      <c r="NR360" s="810"/>
      <c r="NS360" s="810"/>
      <c r="NT360" s="810"/>
      <c r="NU360" s="810"/>
      <c r="NV360" s="810"/>
      <c r="NW360" s="810"/>
      <c r="NX360" s="810"/>
      <c r="NY360" s="810"/>
      <c r="NZ360" s="810"/>
      <c r="OA360" s="810"/>
      <c r="OB360" s="810"/>
      <c r="OC360" s="810"/>
      <c r="OD360" s="810"/>
      <c r="OE360" s="810"/>
      <c r="OF360" s="810"/>
      <c r="OG360" s="810"/>
      <c r="OH360" s="810"/>
      <c r="OI360" s="810"/>
      <c r="OJ360" s="810"/>
      <c r="OK360" s="810"/>
      <c r="OL360" s="810"/>
      <c r="OM360" s="810"/>
      <c r="ON360" s="810"/>
      <c r="OO360" s="810"/>
      <c r="OP360" s="810"/>
      <c r="OQ360" s="810"/>
      <c r="OR360" s="810"/>
      <c r="OS360" s="810"/>
      <c r="OT360" s="810"/>
      <c r="OU360" s="810"/>
      <c r="OV360" s="810"/>
      <c r="OW360" s="810"/>
      <c r="OX360" s="810"/>
      <c r="OY360" s="810"/>
      <c r="OZ360" s="810"/>
      <c r="PA360" s="810"/>
      <c r="PB360" s="810"/>
      <c r="PC360" s="810"/>
      <c r="PD360" s="810"/>
      <c r="PE360" s="810"/>
      <c r="PF360" s="810"/>
      <c r="PG360" s="810"/>
      <c r="PH360" s="810"/>
      <c r="PI360" s="810"/>
      <c r="PJ360" s="810"/>
      <c r="PK360" s="810"/>
      <c r="PL360" s="810"/>
      <c r="PM360" s="810"/>
      <c r="PN360" s="810"/>
      <c r="PO360" s="810"/>
      <c r="PP360" s="810"/>
      <c r="PQ360" s="810"/>
      <c r="PR360" s="810"/>
      <c r="PS360" s="810"/>
      <c r="PT360" s="810"/>
      <c r="PU360" s="810"/>
      <c r="PV360" s="810"/>
      <c r="PW360" s="810"/>
      <c r="PX360" s="810"/>
      <c r="PY360" s="810"/>
      <c r="PZ360" s="810"/>
      <c r="QA360" s="810"/>
      <c r="QB360" s="810"/>
      <c r="QC360" s="810"/>
      <c r="QD360" s="810"/>
      <c r="QE360" s="810"/>
      <c r="QF360" s="810"/>
      <c r="QG360" s="810"/>
      <c r="QH360" s="810"/>
      <c r="QI360" s="810"/>
      <c r="QJ360" s="810"/>
      <c r="QK360" s="810"/>
      <c r="QL360" s="810"/>
      <c r="QM360" s="810"/>
      <c r="QN360" s="810"/>
      <c r="QO360" s="810"/>
      <c r="QP360" s="810"/>
      <c r="QQ360" s="810"/>
      <c r="QR360" s="810"/>
      <c r="QS360" s="810"/>
      <c r="QT360" s="810"/>
      <c r="QU360" s="810"/>
      <c r="QV360" s="810"/>
      <c r="QW360" s="810"/>
      <c r="QX360" s="810"/>
      <c r="QY360" s="810"/>
      <c r="QZ360" s="810"/>
      <c r="RA360" s="810"/>
      <c r="RB360" s="810"/>
      <c r="RC360" s="810"/>
      <c r="RD360" s="810"/>
      <c r="RE360" s="810"/>
      <c r="RF360" s="810"/>
      <c r="RG360" s="810"/>
      <c r="RH360" s="810"/>
      <c r="RI360" s="810"/>
      <c r="RJ360" s="810"/>
      <c r="RK360" s="810"/>
      <c r="RL360" s="810"/>
      <c r="RM360" s="810"/>
      <c r="RN360" s="810"/>
      <c r="RO360" s="810"/>
      <c r="RP360" s="810"/>
      <c r="RQ360" s="810"/>
      <c r="RR360" s="810"/>
      <c r="RS360" s="810"/>
      <c r="RT360" s="810"/>
      <c r="RU360" s="810"/>
      <c r="RV360" s="810"/>
      <c r="RW360" s="810"/>
      <c r="RX360" s="810"/>
      <c r="RY360" s="810"/>
      <c r="RZ360" s="810"/>
      <c r="SA360" s="810"/>
      <c r="SB360" s="810"/>
      <c r="SC360" s="810"/>
      <c r="SD360" s="810"/>
      <c r="SE360" s="810"/>
      <c r="SF360" s="810"/>
      <c r="SG360" s="810"/>
      <c r="SH360" s="810"/>
      <c r="SI360" s="810"/>
      <c r="SJ360" s="810"/>
      <c r="SK360" s="810"/>
      <c r="SL360" s="810"/>
      <c r="SM360" s="810"/>
      <c r="SN360" s="810"/>
      <c r="SO360" s="810"/>
      <c r="SP360" s="810"/>
      <c r="SQ360" s="810"/>
      <c r="SR360" s="810"/>
      <c r="SS360" s="810"/>
      <c r="ST360" s="810"/>
      <c r="SU360" s="810"/>
      <c r="SV360" s="810"/>
      <c r="SW360" s="810"/>
      <c r="SX360" s="810"/>
      <c r="SY360" s="810"/>
      <c r="SZ360" s="810"/>
      <c r="TA360" s="810"/>
      <c r="TB360" s="810"/>
      <c r="TC360" s="810"/>
      <c r="TD360" s="810"/>
      <c r="TE360" s="810"/>
      <c r="TF360" s="810"/>
      <c r="TG360" s="810"/>
      <c r="TH360" s="810"/>
      <c r="TI360" s="810"/>
      <c r="TJ360" s="810"/>
      <c r="TK360" s="810"/>
      <c r="TL360" s="810"/>
      <c r="TM360" s="810"/>
      <c r="TN360" s="810"/>
      <c r="TO360" s="810"/>
      <c r="TP360" s="810"/>
      <c r="TQ360" s="810"/>
      <c r="TR360" s="810"/>
      <c r="TS360" s="810"/>
      <c r="TT360" s="810"/>
      <c r="TU360" s="810"/>
      <c r="TV360" s="810"/>
      <c r="TW360" s="810"/>
      <c r="TX360" s="810"/>
      <c r="TY360" s="810"/>
      <c r="TZ360" s="810"/>
      <c r="UA360" s="810"/>
      <c r="UB360" s="810"/>
      <c r="UC360" s="810"/>
      <c r="UD360" s="810"/>
      <c r="UE360" s="810"/>
      <c r="UF360" s="810"/>
      <c r="UG360" s="810"/>
      <c r="UH360" s="810"/>
      <c r="UI360" s="810"/>
      <c r="UJ360" s="810"/>
      <c r="UK360" s="810"/>
      <c r="UL360" s="810"/>
      <c r="UM360" s="810"/>
      <c r="UN360" s="810"/>
      <c r="UO360" s="810"/>
      <c r="UP360" s="810"/>
      <c r="UQ360" s="810"/>
      <c r="UR360" s="810"/>
      <c r="US360" s="810"/>
      <c r="UT360" s="810"/>
      <c r="UU360" s="810"/>
      <c r="UV360" s="810"/>
      <c r="UW360" s="810"/>
      <c r="UX360" s="810"/>
      <c r="UY360" s="810"/>
      <c r="UZ360" s="810"/>
      <c r="VA360" s="810"/>
      <c r="VB360" s="810"/>
      <c r="VC360" s="810"/>
      <c r="VD360" s="810"/>
      <c r="VE360" s="810"/>
      <c r="VF360" s="810"/>
      <c r="VG360" s="810"/>
      <c r="VH360" s="810"/>
      <c r="VI360" s="810"/>
      <c r="VJ360" s="810"/>
      <c r="VK360" s="810"/>
      <c r="VL360" s="810"/>
      <c r="VM360" s="810"/>
      <c r="VN360" s="810"/>
      <c r="VO360" s="810"/>
      <c r="VP360" s="810"/>
      <c r="VQ360" s="810"/>
      <c r="VR360" s="810"/>
      <c r="VS360" s="810"/>
      <c r="VT360" s="810"/>
      <c r="VU360" s="810"/>
      <c r="VV360" s="810"/>
      <c r="VW360" s="810"/>
      <c r="VX360" s="810"/>
      <c r="VY360" s="810"/>
      <c r="VZ360" s="810"/>
      <c r="WA360" s="810"/>
      <c r="WB360" s="810"/>
      <c r="WC360" s="810"/>
      <c r="WD360" s="810"/>
      <c r="WE360" s="810"/>
      <c r="WF360" s="810"/>
      <c r="WG360" s="810"/>
      <c r="WH360" s="810"/>
      <c r="WI360" s="810"/>
      <c r="WJ360" s="810"/>
      <c r="WK360" s="810"/>
      <c r="WL360" s="810"/>
      <c r="WM360" s="810"/>
      <c r="WN360" s="810"/>
      <c r="WO360" s="810"/>
      <c r="WP360" s="810"/>
      <c r="WQ360" s="810"/>
      <c r="WR360" s="810"/>
      <c r="WS360" s="810"/>
      <c r="WT360" s="810"/>
      <c r="WU360" s="810"/>
      <c r="WV360" s="810"/>
      <c r="WW360" s="810"/>
      <c r="WX360" s="810"/>
      <c r="WY360" s="810"/>
      <c r="WZ360" s="810"/>
      <c r="XA360" s="810"/>
      <c r="XB360" s="810"/>
      <c r="XC360" s="810"/>
      <c r="XD360" s="810"/>
      <c r="XE360" s="810"/>
      <c r="XF360" s="810"/>
      <c r="XG360" s="810"/>
      <c r="XH360" s="810"/>
      <c r="XI360" s="810"/>
      <c r="XJ360" s="810"/>
      <c r="XK360" s="810"/>
      <c r="XL360" s="810"/>
      <c r="XM360" s="810"/>
      <c r="XN360" s="810"/>
      <c r="XO360" s="810"/>
      <c r="XP360" s="810"/>
      <c r="XQ360" s="810"/>
      <c r="XR360" s="810"/>
      <c r="XS360" s="810"/>
      <c r="XT360" s="810"/>
      <c r="XU360" s="810"/>
      <c r="XV360" s="810"/>
      <c r="XW360" s="810"/>
      <c r="XX360" s="810"/>
      <c r="XY360" s="810"/>
      <c r="XZ360" s="810"/>
      <c r="YA360" s="810"/>
      <c r="YB360" s="810"/>
      <c r="YC360" s="810"/>
      <c r="YD360" s="810"/>
      <c r="YE360" s="810"/>
      <c r="YF360" s="810"/>
      <c r="YG360" s="810"/>
      <c r="YH360" s="810"/>
      <c r="YI360" s="810"/>
      <c r="YJ360" s="810"/>
      <c r="YK360" s="810"/>
      <c r="YL360" s="810"/>
      <c r="YM360" s="810"/>
      <c r="YN360" s="810"/>
      <c r="YO360" s="810"/>
      <c r="YP360" s="810"/>
      <c r="YQ360" s="810"/>
      <c r="YR360" s="810"/>
      <c r="YS360" s="810"/>
      <c r="YT360" s="810"/>
      <c r="YU360" s="810"/>
      <c r="YV360" s="810"/>
      <c r="YW360" s="810"/>
      <c r="YX360" s="810"/>
      <c r="YY360" s="810"/>
      <c r="YZ360" s="810"/>
      <c r="ZA360" s="810"/>
      <c r="ZB360" s="810"/>
      <c r="ZC360" s="810"/>
      <c r="ZD360" s="810"/>
      <c r="ZE360" s="810"/>
      <c r="ZF360" s="810"/>
      <c r="ZG360" s="810"/>
      <c r="ZH360" s="810"/>
      <c r="ZI360" s="810"/>
      <c r="ZJ360" s="810"/>
      <c r="ZK360" s="810"/>
      <c r="ZL360" s="810"/>
      <c r="ZM360" s="810"/>
      <c r="ZN360" s="810"/>
      <c r="ZO360" s="810"/>
      <c r="ZP360" s="810"/>
      <c r="ZQ360" s="810"/>
      <c r="ZR360" s="810"/>
      <c r="ZS360" s="810"/>
      <c r="ZT360" s="810"/>
      <c r="ZU360" s="810"/>
      <c r="ZV360" s="810"/>
      <c r="ZW360" s="810"/>
      <c r="ZX360" s="810"/>
      <c r="ZY360" s="810"/>
      <c r="ZZ360" s="810"/>
      <c r="AAA360" s="810"/>
      <c r="AAB360" s="810"/>
      <c r="AAC360" s="810"/>
      <c r="AAD360" s="810"/>
      <c r="AAE360" s="810"/>
      <c r="AAF360" s="810"/>
      <c r="AAG360" s="810"/>
      <c r="AAH360" s="810"/>
      <c r="AAI360" s="810"/>
      <c r="AAJ360" s="810"/>
      <c r="AAK360" s="810"/>
      <c r="AAL360" s="810"/>
      <c r="AAM360" s="810"/>
      <c r="AAN360" s="810"/>
      <c r="AAO360" s="810"/>
      <c r="AAP360" s="810"/>
      <c r="AAQ360" s="810"/>
      <c r="AAR360" s="810"/>
      <c r="AAS360" s="810"/>
      <c r="AAT360" s="810"/>
      <c r="AAU360" s="810"/>
      <c r="AAV360" s="810"/>
      <c r="AAW360" s="810"/>
      <c r="AAX360" s="810"/>
      <c r="AAY360" s="810"/>
      <c r="AAZ360" s="810"/>
      <c r="ABA360" s="810"/>
      <c r="ABB360" s="810"/>
      <c r="ABC360" s="810"/>
      <c r="ABD360" s="810"/>
      <c r="ABE360" s="810"/>
      <c r="ABF360" s="810"/>
      <c r="ABG360" s="810"/>
      <c r="ABH360" s="810"/>
      <c r="ABI360" s="810"/>
      <c r="ABJ360" s="810"/>
      <c r="ABK360" s="810"/>
      <c r="ABL360" s="810"/>
      <c r="ABM360" s="810"/>
      <c r="ABN360" s="810"/>
      <c r="ABO360" s="810"/>
      <c r="ABP360" s="810"/>
      <c r="ABQ360" s="810"/>
      <c r="ABR360" s="810"/>
      <c r="ABS360" s="810"/>
      <c r="ABT360" s="810"/>
      <c r="ABU360" s="810"/>
      <c r="ABV360" s="810"/>
      <c r="ABW360" s="810"/>
      <c r="ABX360" s="810"/>
      <c r="ABY360" s="810"/>
      <c r="ABZ360" s="810"/>
      <c r="ACA360" s="810"/>
      <c r="ACB360" s="810"/>
      <c r="ACC360" s="810"/>
      <c r="ACD360" s="810"/>
      <c r="ACE360" s="810"/>
      <c r="ACF360" s="810"/>
      <c r="ACG360" s="810"/>
      <c r="ACH360" s="810"/>
      <c r="ACI360" s="810"/>
      <c r="ACJ360" s="810"/>
      <c r="ACK360" s="810"/>
      <c r="ACL360" s="810"/>
      <c r="ACM360" s="810"/>
      <c r="ACN360" s="810"/>
      <c r="ACO360" s="810"/>
      <c r="ACP360" s="810"/>
      <c r="ACQ360" s="810"/>
      <c r="ACR360" s="810"/>
      <c r="ACS360" s="810"/>
      <c r="ACT360" s="810"/>
      <c r="ACU360" s="810"/>
      <c r="ACV360" s="810"/>
      <c r="ACW360" s="810"/>
      <c r="ACX360" s="810"/>
      <c r="ACY360" s="810"/>
      <c r="ACZ360" s="810"/>
      <c r="ADA360" s="810"/>
      <c r="ADB360" s="810"/>
      <c r="ADC360" s="810"/>
      <c r="ADD360" s="810"/>
      <c r="ADE360" s="810"/>
      <c r="ADF360" s="810"/>
      <c r="ADG360" s="810"/>
      <c r="ADH360" s="810"/>
      <c r="ADI360" s="810"/>
      <c r="ADJ360" s="810"/>
      <c r="ADK360" s="810"/>
      <c r="ADL360" s="810"/>
      <c r="ADM360" s="810"/>
      <c r="ADN360" s="810"/>
      <c r="ADO360" s="810"/>
      <c r="ADP360" s="810"/>
      <c r="ADQ360" s="810"/>
      <c r="ADR360" s="810"/>
      <c r="ADS360" s="810"/>
      <c r="ADT360" s="810"/>
      <c r="ADU360" s="810"/>
      <c r="ADV360" s="810"/>
      <c r="ADW360" s="810"/>
      <c r="ADX360" s="810"/>
      <c r="ADY360" s="810"/>
      <c r="ADZ360" s="810"/>
      <c r="AEA360" s="810"/>
      <c r="AEB360" s="810"/>
      <c r="AEC360" s="810"/>
      <c r="AED360" s="810"/>
      <c r="AEE360" s="810"/>
      <c r="AEF360" s="810"/>
      <c r="AEG360" s="810"/>
      <c r="AEH360" s="810"/>
      <c r="AEI360" s="810"/>
      <c r="AEJ360" s="810"/>
      <c r="AEK360" s="810"/>
      <c r="AEL360" s="810"/>
      <c r="AEM360" s="810"/>
      <c r="AEN360" s="810"/>
      <c r="AEO360" s="810"/>
      <c r="AEP360" s="810"/>
      <c r="AEQ360" s="810"/>
      <c r="AER360" s="810"/>
      <c r="AES360" s="810"/>
      <c r="AET360" s="810"/>
      <c r="AEU360" s="810"/>
      <c r="AEV360" s="810"/>
      <c r="AEW360" s="810"/>
      <c r="AEX360" s="810"/>
      <c r="AEY360" s="810"/>
      <c r="AEZ360" s="810"/>
      <c r="AFA360" s="810"/>
      <c r="AFB360" s="810"/>
      <c r="AFC360" s="810"/>
      <c r="AFD360" s="810"/>
      <c r="AFE360" s="810"/>
      <c r="AFF360" s="810"/>
      <c r="AFG360" s="810"/>
      <c r="AFH360" s="810"/>
      <c r="AFI360" s="810"/>
      <c r="AFJ360" s="810"/>
      <c r="AFK360" s="810"/>
      <c r="AFL360" s="810"/>
      <c r="AFM360" s="810"/>
      <c r="AFN360" s="810"/>
      <c r="AFO360" s="810"/>
      <c r="AFP360" s="810"/>
      <c r="AFQ360" s="810"/>
      <c r="AFR360" s="810"/>
      <c r="AFS360" s="810"/>
      <c r="AFT360" s="810"/>
      <c r="AFU360" s="810"/>
      <c r="AFV360" s="810"/>
      <c r="AFW360" s="810"/>
      <c r="AFX360" s="810"/>
      <c r="AFY360" s="810"/>
      <c r="AFZ360" s="810"/>
      <c r="AGA360" s="810"/>
      <c r="AGB360" s="810"/>
      <c r="AGC360" s="810"/>
      <c r="AGD360" s="810"/>
      <c r="AGE360" s="810"/>
      <c r="AGF360" s="810"/>
      <c r="AGG360" s="810"/>
      <c r="AGH360" s="810"/>
      <c r="AGI360" s="810"/>
      <c r="AGJ360" s="810"/>
      <c r="AGK360" s="810"/>
      <c r="AGL360" s="810"/>
      <c r="AGM360" s="810"/>
      <c r="AGN360" s="810"/>
      <c r="AGO360" s="810"/>
      <c r="AGP360" s="810"/>
      <c r="AGQ360" s="810"/>
      <c r="AGR360" s="810"/>
      <c r="AGS360" s="810"/>
      <c r="AGT360" s="810"/>
      <c r="AGU360" s="810"/>
      <c r="AGV360" s="810"/>
      <c r="AGW360" s="810"/>
      <c r="AGX360" s="810"/>
      <c r="AGY360" s="810"/>
      <c r="AGZ360" s="810"/>
      <c r="AHA360" s="810"/>
      <c r="AHB360" s="810"/>
      <c r="AHC360" s="810"/>
      <c r="AHD360" s="810"/>
      <c r="AHE360" s="810"/>
      <c r="AHF360" s="810"/>
      <c r="AHG360" s="810"/>
      <c r="AHH360" s="810"/>
      <c r="AHI360" s="810"/>
      <c r="AHJ360" s="810"/>
      <c r="AHK360" s="810"/>
      <c r="AHL360" s="810"/>
      <c r="AHM360" s="810"/>
      <c r="AHN360" s="810"/>
      <c r="AHO360" s="810"/>
      <c r="AHP360" s="810"/>
      <c r="AHQ360" s="810"/>
      <c r="AHR360" s="810"/>
      <c r="AHS360" s="810"/>
      <c r="AHT360" s="810"/>
      <c r="AHU360" s="810"/>
      <c r="AHV360" s="810"/>
      <c r="AHW360" s="810"/>
      <c r="AHX360" s="810"/>
      <c r="AHY360" s="810"/>
      <c r="AHZ360" s="810"/>
      <c r="AIA360" s="810"/>
      <c r="AIB360" s="810"/>
      <c r="AIC360" s="810"/>
      <c r="AID360" s="810"/>
      <c r="AIE360" s="810"/>
      <c r="AIF360" s="810"/>
      <c r="AIG360" s="810"/>
      <c r="AIH360" s="810"/>
      <c r="AII360" s="810"/>
      <c r="AIJ360" s="810"/>
      <c r="AIK360" s="810"/>
      <c r="AIL360" s="810"/>
      <c r="AIM360" s="810"/>
      <c r="AIN360" s="810"/>
      <c r="AIO360" s="810"/>
      <c r="AIP360" s="810"/>
      <c r="AIQ360" s="810"/>
      <c r="AIR360" s="810"/>
      <c r="AIS360" s="810"/>
      <c r="AIT360" s="810"/>
      <c r="AIU360" s="810"/>
      <c r="AIV360" s="810"/>
      <c r="AIW360" s="810"/>
      <c r="AIX360" s="810"/>
      <c r="AIY360" s="810"/>
      <c r="AIZ360" s="810"/>
      <c r="AJA360" s="810"/>
      <c r="AJB360" s="810"/>
      <c r="AJC360" s="810"/>
      <c r="AJD360" s="810"/>
      <c r="AJE360" s="810"/>
      <c r="AJF360" s="810"/>
      <c r="AJG360" s="810"/>
      <c r="AJH360" s="810"/>
      <c r="AJI360" s="810"/>
      <c r="AJJ360" s="810"/>
      <c r="AJK360" s="810"/>
      <c r="AJL360" s="810"/>
      <c r="AJM360" s="810"/>
      <c r="AJN360" s="810"/>
      <c r="AJO360" s="810"/>
      <c r="AJP360" s="810"/>
      <c r="AJQ360" s="810"/>
      <c r="AJR360" s="810"/>
      <c r="AJS360" s="810"/>
      <c r="AJT360" s="810"/>
      <c r="AJU360" s="810"/>
      <c r="AJV360" s="810"/>
      <c r="AJW360" s="810"/>
      <c r="AJX360" s="810"/>
      <c r="AJY360" s="810"/>
      <c r="AJZ360" s="810"/>
      <c r="AKA360" s="810"/>
      <c r="AKB360" s="810"/>
      <c r="AKC360" s="810"/>
      <c r="AKD360" s="810"/>
      <c r="AKE360" s="810"/>
      <c r="AKF360" s="810"/>
      <c r="AKG360" s="810"/>
      <c r="AKH360" s="810"/>
      <c r="AKI360" s="810"/>
      <c r="AKJ360" s="810"/>
      <c r="AKK360" s="810"/>
      <c r="AKL360" s="810"/>
      <c r="AKM360" s="810"/>
      <c r="AKN360" s="810"/>
      <c r="AKO360" s="810"/>
      <c r="AKP360" s="810"/>
      <c r="AKQ360" s="810"/>
      <c r="AKR360" s="810"/>
      <c r="AKS360" s="810"/>
      <c r="AKT360" s="810"/>
      <c r="AKU360" s="810"/>
      <c r="AKV360" s="810"/>
      <c r="AKW360" s="810"/>
      <c r="AKX360" s="810"/>
      <c r="AKY360" s="810"/>
      <c r="AKZ360" s="810"/>
      <c r="ALA360" s="810"/>
      <c r="ALB360" s="810"/>
      <c r="ALC360" s="810"/>
      <c r="ALD360" s="810"/>
      <c r="ALE360" s="810"/>
      <c r="ALF360" s="810"/>
      <c r="ALG360" s="810"/>
      <c r="ALH360" s="810"/>
      <c r="ALI360" s="810"/>
      <c r="ALJ360" s="810"/>
      <c r="ALK360" s="810"/>
      <c r="ALL360" s="810"/>
      <c r="ALM360" s="810"/>
      <c r="ALN360" s="810"/>
      <c r="ALO360" s="810"/>
      <c r="ALP360" s="810"/>
      <c r="ALQ360" s="810"/>
      <c r="ALR360" s="810"/>
      <c r="ALS360" s="810"/>
      <c r="ALT360" s="810"/>
      <c r="ALU360" s="810"/>
      <c r="ALV360" s="810"/>
      <c r="ALW360" s="810"/>
      <c r="ALX360" s="810"/>
      <c r="ALY360" s="810"/>
      <c r="ALZ360" s="810"/>
      <c r="AMA360" s="810"/>
      <c r="AMB360" s="810"/>
      <c r="AMC360" s="810"/>
      <c r="AMD360" s="810"/>
      <c r="AME360" s="810"/>
      <c r="AMF360" s="810"/>
      <c r="AMG360" s="810"/>
      <c r="AMH360" s="810"/>
      <c r="AMI360" s="810"/>
      <c r="AMJ360" s="810"/>
      <c r="AMK360" s="810"/>
      <c r="AML360" s="810"/>
      <c r="AMM360" s="810"/>
      <c r="AMN360" s="810"/>
      <c r="AMO360" s="810"/>
      <c r="AMP360" s="810"/>
      <c r="AMQ360" s="810"/>
      <c r="AMR360" s="810"/>
      <c r="AMS360" s="810"/>
      <c r="AMT360" s="810"/>
      <c r="AMU360" s="810"/>
      <c r="AMV360" s="810"/>
      <c r="AMW360" s="810"/>
      <c r="AMX360" s="810"/>
      <c r="AMY360" s="810"/>
      <c r="AMZ360" s="810"/>
      <c r="ANA360" s="810"/>
      <c r="ANB360" s="810"/>
      <c r="ANC360" s="810"/>
      <c r="AND360" s="810"/>
      <c r="ANE360" s="810"/>
      <c r="ANF360" s="810"/>
      <c r="ANG360" s="810"/>
      <c r="ANH360" s="810"/>
      <c r="ANI360" s="810"/>
      <c r="ANJ360" s="810"/>
      <c r="ANK360" s="810"/>
      <c r="ANL360" s="810"/>
      <c r="ANM360" s="810"/>
      <c r="ANN360" s="810"/>
      <c r="ANO360" s="810"/>
      <c r="ANP360" s="810"/>
      <c r="ANQ360" s="810"/>
      <c r="ANR360" s="810"/>
      <c r="ANS360" s="810"/>
      <c r="ANT360" s="810"/>
      <c r="ANU360" s="810"/>
      <c r="ANV360" s="810"/>
      <c r="ANW360" s="810"/>
      <c r="ANX360" s="810"/>
      <c r="ANY360" s="810"/>
      <c r="ANZ360" s="810"/>
      <c r="AOA360" s="810"/>
      <c r="AOB360" s="810"/>
      <c r="AOC360" s="810"/>
      <c r="AOD360" s="810"/>
      <c r="AOE360" s="810"/>
      <c r="AOF360" s="810"/>
      <c r="AOG360" s="810"/>
      <c r="AOH360" s="810"/>
      <c r="AOI360" s="810"/>
      <c r="AOJ360" s="810"/>
      <c r="AOK360" s="810"/>
      <c r="AOL360" s="810"/>
      <c r="AOM360" s="810"/>
      <c r="AON360" s="810"/>
      <c r="AOO360" s="810"/>
      <c r="AOP360" s="810"/>
      <c r="AOQ360" s="810"/>
      <c r="AOR360" s="810"/>
      <c r="AOS360" s="810"/>
      <c r="AOT360" s="810"/>
      <c r="AOU360" s="810"/>
      <c r="AOV360" s="810"/>
      <c r="AOW360" s="810"/>
      <c r="AOX360" s="810"/>
      <c r="AOY360" s="810"/>
      <c r="AOZ360" s="810"/>
      <c r="APA360" s="810"/>
      <c r="APB360" s="810"/>
      <c r="APC360" s="810"/>
      <c r="APD360" s="810"/>
      <c r="APE360" s="810"/>
      <c r="APF360" s="810"/>
      <c r="APG360" s="810"/>
      <c r="APH360" s="810"/>
      <c r="API360" s="810"/>
      <c r="APJ360" s="810"/>
      <c r="APK360" s="810"/>
      <c r="APL360" s="810"/>
      <c r="APM360" s="810"/>
      <c r="APN360" s="810"/>
      <c r="APO360" s="810"/>
      <c r="APP360" s="810"/>
      <c r="APQ360" s="810"/>
      <c r="APR360" s="810"/>
      <c r="APS360" s="810"/>
      <c r="APT360" s="810"/>
      <c r="APU360" s="810"/>
      <c r="APV360" s="810"/>
      <c r="APW360" s="810"/>
      <c r="APX360" s="810"/>
      <c r="APY360" s="810"/>
      <c r="APZ360" s="810"/>
      <c r="AQA360" s="810"/>
      <c r="AQB360" s="810"/>
      <c r="AQC360" s="810"/>
      <c r="AQD360" s="810"/>
      <c r="AQE360" s="810"/>
      <c r="AQF360" s="810"/>
      <c r="AQG360" s="810"/>
      <c r="AQH360" s="810"/>
      <c r="AQI360" s="810"/>
      <c r="AQJ360" s="810"/>
      <c r="AQK360" s="810"/>
      <c r="AQL360" s="810"/>
      <c r="AQM360" s="810"/>
      <c r="AQN360" s="810"/>
      <c r="AQO360" s="810"/>
      <c r="AQP360" s="810"/>
      <c r="AQQ360" s="810"/>
      <c r="AQR360" s="810"/>
      <c r="AQS360" s="810"/>
      <c r="AQT360" s="810"/>
      <c r="AQU360" s="810"/>
      <c r="AQV360" s="810"/>
      <c r="AQW360" s="810"/>
      <c r="AQX360" s="810"/>
      <c r="AQY360" s="810"/>
      <c r="AQZ360" s="810"/>
      <c r="ARA360" s="810"/>
      <c r="ARB360" s="810"/>
      <c r="ARC360" s="810"/>
      <c r="ARD360" s="810"/>
      <c r="ARE360" s="810"/>
      <c r="ARF360" s="810"/>
      <c r="ARG360" s="810"/>
      <c r="ARH360" s="810"/>
      <c r="ARI360" s="810"/>
      <c r="ARJ360" s="810"/>
      <c r="ARK360" s="810"/>
      <c r="ARL360" s="810"/>
      <c r="ARM360" s="810"/>
      <c r="ARN360" s="810"/>
      <c r="ARO360" s="810"/>
      <c r="ARP360" s="810"/>
      <c r="ARQ360" s="810"/>
      <c r="ARR360" s="810"/>
      <c r="ARS360" s="810"/>
      <c r="ART360" s="810"/>
      <c r="ARU360" s="810"/>
      <c r="ARV360" s="810"/>
      <c r="ARW360" s="810"/>
      <c r="ARX360" s="810"/>
      <c r="ARY360" s="810"/>
      <c r="ARZ360" s="810"/>
      <c r="ASA360" s="810"/>
      <c r="ASB360" s="810"/>
      <c r="ASC360" s="810"/>
      <c r="ASD360" s="810"/>
      <c r="ASE360" s="810"/>
      <c r="ASF360" s="810"/>
      <c r="ASG360" s="810"/>
      <c r="ASH360" s="810"/>
      <c r="ASI360" s="810"/>
      <c r="ASJ360" s="810"/>
      <c r="ASK360" s="810"/>
      <c r="ASL360" s="810"/>
      <c r="ASM360" s="810"/>
      <c r="ASN360" s="810"/>
      <c r="ASO360" s="810"/>
      <c r="ASP360" s="810"/>
      <c r="ASQ360" s="810"/>
      <c r="ASR360" s="810"/>
      <c r="ASS360" s="810"/>
      <c r="AST360" s="810"/>
      <c r="ASU360" s="810"/>
      <c r="ASV360" s="810"/>
      <c r="ASW360" s="810"/>
      <c r="ASX360" s="810"/>
      <c r="ASY360" s="810"/>
      <c r="ASZ360" s="810"/>
      <c r="ATA360" s="810"/>
      <c r="ATB360" s="810"/>
      <c r="ATC360" s="810"/>
      <c r="ATD360" s="810"/>
      <c r="ATE360" s="810"/>
      <c r="ATF360" s="810"/>
      <c r="ATG360" s="810"/>
      <c r="ATH360" s="810"/>
      <c r="ATI360" s="810"/>
      <c r="ATJ360" s="810"/>
      <c r="ATK360" s="810"/>
      <c r="ATL360" s="810"/>
      <c r="ATM360" s="810"/>
      <c r="ATN360" s="810"/>
      <c r="ATO360" s="810"/>
      <c r="ATP360" s="810"/>
      <c r="ATQ360" s="810"/>
      <c r="ATR360" s="810"/>
      <c r="ATS360" s="810"/>
      <c r="ATT360" s="810"/>
      <c r="ATU360" s="810"/>
      <c r="ATV360" s="810"/>
      <c r="ATW360" s="810"/>
      <c r="ATX360" s="810"/>
      <c r="ATY360" s="810"/>
      <c r="ATZ360" s="810"/>
      <c r="AUA360" s="810"/>
      <c r="AUB360" s="810"/>
      <c r="AUC360" s="810"/>
      <c r="AUD360" s="810"/>
      <c r="AUE360" s="810"/>
      <c r="AUF360" s="810"/>
      <c r="AUG360" s="810"/>
      <c r="AUH360" s="810"/>
      <c r="AUI360" s="810"/>
      <c r="AUJ360" s="810"/>
      <c r="AUK360" s="810"/>
      <c r="AUL360" s="810"/>
      <c r="AUM360" s="810"/>
      <c r="AUN360" s="810"/>
      <c r="AUO360" s="810"/>
      <c r="AUP360" s="810"/>
      <c r="AUQ360" s="810"/>
      <c r="AUR360" s="810"/>
      <c r="AUS360" s="810"/>
      <c r="AUT360" s="810"/>
      <c r="AUU360" s="810"/>
      <c r="AUV360" s="810"/>
      <c r="AUW360" s="810"/>
      <c r="AUX360" s="810"/>
      <c r="AUY360" s="810"/>
      <c r="AUZ360" s="810"/>
      <c r="AVA360" s="810"/>
      <c r="AVB360" s="810"/>
      <c r="AVC360" s="810"/>
      <c r="AVD360" s="810"/>
      <c r="AVE360" s="810"/>
      <c r="AVF360" s="810"/>
      <c r="AVG360" s="810"/>
      <c r="AVH360" s="810"/>
      <c r="AVI360" s="810"/>
      <c r="AVJ360" s="810"/>
      <c r="AVK360" s="810"/>
      <c r="AVL360" s="810"/>
      <c r="AVM360" s="810"/>
      <c r="AVN360" s="810"/>
      <c r="AVO360" s="810"/>
      <c r="AVP360" s="810"/>
      <c r="AVQ360" s="810"/>
      <c r="AVR360" s="810"/>
      <c r="AVS360" s="810"/>
      <c r="AVT360" s="810"/>
      <c r="AVU360" s="810"/>
      <c r="AVV360" s="810"/>
      <c r="AVW360" s="810"/>
      <c r="AVX360" s="810"/>
      <c r="AVY360" s="810"/>
      <c r="AVZ360" s="810"/>
      <c r="AWA360" s="810"/>
      <c r="AWB360" s="810"/>
      <c r="AWC360" s="810"/>
      <c r="AWD360" s="810"/>
      <c r="AWE360" s="810"/>
      <c r="AWF360" s="810"/>
      <c r="AWG360" s="810"/>
      <c r="AWH360" s="810"/>
      <c r="AWI360" s="810"/>
      <c r="AWJ360" s="810"/>
      <c r="AWK360" s="810"/>
      <c r="AWL360" s="810"/>
      <c r="AWM360" s="810"/>
      <c r="AWN360" s="810"/>
      <c r="AWO360" s="810"/>
      <c r="AWP360" s="810"/>
      <c r="AWQ360" s="810"/>
      <c r="AWR360" s="810"/>
      <c r="AWS360" s="810"/>
      <c r="AWT360" s="810"/>
      <c r="AWU360" s="810"/>
      <c r="AWV360" s="810"/>
      <c r="AWW360" s="810"/>
      <c r="AWX360" s="810"/>
      <c r="AWY360" s="810"/>
      <c r="AWZ360" s="810"/>
      <c r="AXA360" s="810"/>
      <c r="AXB360" s="810"/>
      <c r="AXC360" s="810"/>
      <c r="AXD360" s="810"/>
      <c r="AXE360" s="810"/>
      <c r="AXF360" s="810"/>
      <c r="AXG360" s="810"/>
      <c r="AXH360" s="810"/>
      <c r="AXI360" s="810"/>
      <c r="AXJ360" s="810"/>
      <c r="AXK360" s="810"/>
      <c r="AXL360" s="810"/>
      <c r="AXM360" s="810"/>
      <c r="AXN360" s="810"/>
      <c r="AXO360" s="810"/>
      <c r="AXP360" s="810"/>
      <c r="AXQ360" s="810"/>
      <c r="AXR360" s="810"/>
      <c r="AXS360" s="810"/>
      <c r="AXT360" s="810"/>
      <c r="AXU360" s="810"/>
      <c r="AXV360" s="810"/>
      <c r="AXW360" s="810"/>
      <c r="AXX360" s="810"/>
      <c r="AXY360" s="810"/>
      <c r="AXZ360" s="810"/>
    </row>
    <row r="361" spans="1:1326" s="801" customFormat="1" ht="12.75">
      <c r="A361" s="806"/>
      <c r="C361" s="802"/>
      <c r="D361" s="802"/>
      <c r="E361" s="802"/>
      <c r="F361" s="804"/>
      <c r="G361" s="803"/>
      <c r="H361" s="803"/>
      <c r="I361" s="803"/>
      <c r="J361" s="803"/>
      <c r="M361" s="802"/>
      <c r="O361" s="802"/>
      <c r="P361" s="802"/>
      <c r="Q361" s="802"/>
      <c r="R361" s="802"/>
      <c r="S361" s="802"/>
      <c r="T361" s="802"/>
      <c r="U361" s="802"/>
      <c r="V361" s="802"/>
    </row>
    <row r="362" spans="1:1326" s="802" customFormat="1" ht="12.75">
      <c r="A362" s="809"/>
      <c r="B362" s="801"/>
      <c r="F362" s="804"/>
      <c r="G362" s="803"/>
      <c r="H362" s="803"/>
      <c r="I362" s="803"/>
      <c r="J362" s="803"/>
      <c r="K362" s="801"/>
      <c r="L362" s="801"/>
      <c r="N362" s="801"/>
    </row>
    <row r="363" spans="1:1326" s="801" customFormat="1" ht="12.75">
      <c r="A363" s="802"/>
      <c r="C363" s="802"/>
      <c r="D363" s="802"/>
      <c r="E363" s="802"/>
      <c r="F363" s="804"/>
      <c r="G363" s="803"/>
      <c r="H363" s="803"/>
      <c r="I363" s="803"/>
      <c r="J363" s="803"/>
      <c r="M363" s="802"/>
      <c r="O363" s="802"/>
      <c r="P363" s="802"/>
      <c r="Q363" s="802"/>
      <c r="R363" s="802"/>
      <c r="S363" s="802"/>
      <c r="T363" s="802"/>
      <c r="U363" s="802"/>
      <c r="V363" s="802"/>
    </row>
    <row r="364" spans="1:1326" s="801" customFormat="1" ht="12.75">
      <c r="A364" s="802"/>
      <c r="C364" s="802"/>
      <c r="D364" s="802"/>
      <c r="E364" s="802"/>
      <c r="F364" s="804"/>
      <c r="G364" s="803"/>
      <c r="H364" s="803"/>
      <c r="I364" s="803"/>
      <c r="J364" s="803"/>
      <c r="M364" s="802"/>
      <c r="O364" s="802"/>
      <c r="P364" s="802"/>
      <c r="Q364" s="802"/>
      <c r="R364" s="802"/>
      <c r="S364" s="802"/>
      <c r="T364" s="802"/>
      <c r="U364" s="802"/>
      <c r="V364" s="802"/>
    </row>
    <row r="365" spans="1:1326" s="802" customFormat="1" ht="12.75">
      <c r="A365" s="809"/>
      <c r="B365" s="801"/>
      <c r="F365" s="804"/>
      <c r="G365" s="803"/>
      <c r="H365" s="803"/>
      <c r="I365" s="803"/>
      <c r="J365" s="803"/>
      <c r="K365" s="801"/>
      <c r="L365" s="801"/>
      <c r="N365" s="801"/>
    </row>
    <row r="367" spans="1:1326" s="802" customFormat="1" ht="12.75">
      <c r="B367" s="801" t="s">
        <v>940</v>
      </c>
      <c r="F367" s="804"/>
      <c r="G367" s="803"/>
      <c r="H367" s="803"/>
      <c r="I367" s="803"/>
      <c r="J367" s="803"/>
      <c r="K367" s="801"/>
      <c r="L367" s="801"/>
      <c r="N367" s="801"/>
    </row>
    <row r="368" spans="1:1326" s="802" customFormat="1" ht="12.75">
      <c r="A368" s="806"/>
      <c r="B368" s="801"/>
      <c r="F368" s="804"/>
      <c r="G368" s="803"/>
      <c r="H368" s="803"/>
      <c r="I368" s="803"/>
      <c r="J368" s="803"/>
      <c r="K368" s="801"/>
      <c r="L368" s="801"/>
      <c r="N368" s="801"/>
    </row>
    <row r="369" spans="1:22" s="802" customFormat="1" ht="12.75">
      <c r="A369" s="806"/>
      <c r="B369" s="801"/>
      <c r="F369" s="804"/>
      <c r="G369" s="803"/>
      <c r="H369" s="803"/>
      <c r="I369" s="803"/>
      <c r="J369" s="803"/>
      <c r="K369" s="801"/>
      <c r="L369" s="801"/>
      <c r="N369" s="801"/>
    </row>
    <row r="370" spans="1:22" s="802" customFormat="1" ht="12.75">
      <c r="A370" s="806"/>
      <c r="B370" s="801"/>
      <c r="F370" s="804"/>
      <c r="G370" s="803"/>
      <c r="H370" s="803"/>
      <c r="I370" s="803"/>
      <c r="J370" s="803"/>
      <c r="K370" s="801"/>
      <c r="L370" s="801"/>
      <c r="N370" s="801"/>
    </row>
    <row r="371" spans="1:22" s="802" customFormat="1" ht="12.75">
      <c r="A371" s="806"/>
      <c r="B371" s="801"/>
      <c r="F371" s="804"/>
      <c r="G371" s="803"/>
      <c r="H371" s="803"/>
      <c r="I371" s="803"/>
      <c r="J371" s="803"/>
      <c r="K371" s="801"/>
      <c r="L371" s="801"/>
      <c r="N371" s="801"/>
    </row>
    <row r="372" spans="1:22" s="802" customFormat="1" ht="12.75">
      <c r="A372" s="806"/>
      <c r="B372" s="801"/>
      <c r="F372" s="804"/>
      <c r="G372" s="803"/>
      <c r="H372" s="803"/>
      <c r="I372" s="803"/>
      <c r="J372" s="803"/>
      <c r="K372" s="801"/>
      <c r="L372" s="801"/>
      <c r="N372" s="801"/>
    </row>
    <row r="373" spans="1:22" s="802" customFormat="1" ht="12.75">
      <c r="A373" s="806"/>
      <c r="B373" s="801"/>
      <c r="F373" s="804"/>
      <c r="G373" s="803"/>
      <c r="H373" s="803"/>
      <c r="I373" s="803"/>
      <c r="J373" s="803"/>
      <c r="K373" s="801"/>
      <c r="L373" s="801"/>
      <c r="N373" s="801"/>
    </row>
    <row r="374" spans="1:22" s="802" customFormat="1" ht="12.75">
      <c r="A374" s="806"/>
      <c r="B374" s="801"/>
      <c r="F374" s="804"/>
      <c r="G374" s="803"/>
      <c r="H374" s="803"/>
      <c r="I374" s="803"/>
      <c r="J374" s="803"/>
      <c r="K374" s="801"/>
      <c r="L374" s="801"/>
      <c r="N374" s="801"/>
    </row>
    <row r="375" spans="1:22" s="802" customFormat="1" ht="12.75">
      <c r="A375" s="806"/>
      <c r="B375" s="801"/>
      <c r="F375" s="804"/>
      <c r="G375" s="803"/>
      <c r="H375" s="803"/>
      <c r="I375" s="803"/>
      <c r="J375" s="803"/>
      <c r="K375" s="801"/>
      <c r="L375" s="801"/>
      <c r="N375" s="801"/>
    </row>
    <row r="376" spans="1:22" s="802" customFormat="1" ht="12.75">
      <c r="A376" s="806"/>
      <c r="B376" s="801"/>
      <c r="F376" s="804"/>
      <c r="G376" s="803"/>
      <c r="H376" s="803"/>
      <c r="I376" s="803"/>
      <c r="J376" s="803"/>
      <c r="K376" s="801"/>
      <c r="L376" s="801"/>
      <c r="N376" s="801"/>
    </row>
    <row r="377" spans="1:22" s="802" customFormat="1" ht="12.75">
      <c r="A377" s="806"/>
      <c r="B377" s="801"/>
      <c r="F377" s="804"/>
      <c r="G377" s="803"/>
      <c r="H377" s="803"/>
      <c r="I377" s="803"/>
      <c r="J377" s="803"/>
      <c r="K377" s="801"/>
      <c r="L377" s="801"/>
      <c r="N377" s="801"/>
    </row>
    <row r="378" spans="1:22" s="802" customFormat="1" ht="12.75">
      <c r="A378" s="806"/>
      <c r="B378" s="801"/>
      <c r="F378" s="804"/>
      <c r="G378" s="803"/>
      <c r="H378" s="803"/>
      <c r="I378" s="803"/>
      <c r="J378" s="803"/>
      <c r="K378" s="801"/>
      <c r="L378" s="801"/>
      <c r="N378" s="801"/>
    </row>
    <row r="379" spans="1:22" s="802" customFormat="1" ht="12.75">
      <c r="A379" s="806"/>
      <c r="B379" s="801"/>
      <c r="F379" s="804"/>
      <c r="G379" s="803"/>
      <c r="H379" s="803"/>
      <c r="I379" s="803"/>
      <c r="J379" s="803"/>
      <c r="K379" s="801"/>
      <c r="L379" s="801"/>
      <c r="N379" s="801"/>
    </row>
    <row r="380" spans="1:22" s="802" customFormat="1" ht="12.75">
      <c r="A380" s="806"/>
      <c r="B380" s="801"/>
      <c r="F380" s="804"/>
      <c r="G380" s="803"/>
      <c r="H380" s="803"/>
      <c r="I380" s="803"/>
      <c r="J380" s="803"/>
      <c r="K380" s="801"/>
      <c r="L380" s="801"/>
      <c r="N380" s="801"/>
    </row>
    <row r="381" spans="1:22" s="802" customFormat="1" ht="12.75">
      <c r="A381" s="806"/>
      <c r="B381" s="801"/>
      <c r="F381" s="804"/>
      <c r="G381" s="803"/>
      <c r="H381" s="803"/>
      <c r="I381" s="803"/>
      <c r="J381" s="803"/>
      <c r="K381" s="801"/>
      <c r="L381" s="801"/>
      <c r="N381" s="801"/>
    </row>
    <row r="382" spans="1:22" s="801" customFormat="1" ht="12.75">
      <c r="A382" s="806"/>
      <c r="C382" s="802"/>
      <c r="D382" s="802"/>
      <c r="E382" s="802"/>
      <c r="F382" s="804"/>
      <c r="G382" s="803"/>
      <c r="H382" s="803"/>
      <c r="I382" s="803"/>
      <c r="J382" s="803"/>
      <c r="M382" s="802"/>
      <c r="O382" s="802"/>
      <c r="P382" s="802"/>
      <c r="Q382" s="802"/>
      <c r="R382" s="802"/>
      <c r="S382" s="802"/>
      <c r="T382" s="802"/>
      <c r="U382" s="802"/>
      <c r="V382" s="802"/>
    </row>
    <row r="383" spans="1:22" s="801" customFormat="1" ht="12.75">
      <c r="A383" s="808"/>
      <c r="C383" s="802"/>
      <c r="D383" s="802"/>
      <c r="E383" s="802"/>
      <c r="F383" s="804"/>
      <c r="G383" s="803"/>
      <c r="H383" s="803"/>
      <c r="I383" s="803"/>
      <c r="J383" s="803"/>
      <c r="M383" s="802"/>
      <c r="O383" s="802"/>
      <c r="P383" s="802"/>
      <c r="Q383" s="802"/>
      <c r="R383" s="802"/>
      <c r="S383" s="802"/>
      <c r="T383" s="802"/>
      <c r="U383" s="802"/>
      <c r="V383" s="802"/>
    </row>
    <row r="384" spans="1:22" s="801" customFormat="1" ht="12.75">
      <c r="A384" s="806"/>
      <c r="C384" s="802"/>
      <c r="D384" s="802"/>
      <c r="E384" s="802"/>
      <c r="F384" s="804"/>
      <c r="G384" s="803"/>
      <c r="H384" s="803"/>
      <c r="I384" s="803"/>
      <c r="J384" s="803"/>
      <c r="M384" s="802"/>
      <c r="O384" s="802"/>
      <c r="P384" s="802"/>
      <c r="Q384" s="802"/>
      <c r="R384" s="802"/>
      <c r="S384" s="802"/>
      <c r="T384" s="802"/>
      <c r="U384" s="802"/>
      <c r="V384" s="802"/>
    </row>
    <row r="385" spans="1:1764" s="801" customFormat="1" ht="12.75">
      <c r="A385" s="806"/>
      <c r="C385" s="802"/>
      <c r="D385" s="802"/>
      <c r="E385" s="802"/>
      <c r="F385" s="804"/>
      <c r="G385" s="803"/>
      <c r="H385" s="803"/>
      <c r="I385" s="803"/>
      <c r="J385" s="803"/>
      <c r="M385" s="802"/>
      <c r="O385" s="802"/>
      <c r="P385" s="802"/>
      <c r="Q385" s="802"/>
      <c r="R385" s="802"/>
      <c r="S385" s="802"/>
      <c r="T385" s="802"/>
      <c r="U385" s="802"/>
      <c r="V385" s="802"/>
    </row>
    <row r="386" spans="1:1764" s="801" customFormat="1" ht="12.75">
      <c r="A386" s="808"/>
      <c r="C386" s="802"/>
      <c r="D386" s="802"/>
      <c r="E386" s="802"/>
      <c r="F386" s="804"/>
      <c r="G386" s="803"/>
      <c r="H386" s="803"/>
      <c r="I386" s="803"/>
      <c r="J386" s="803"/>
      <c r="M386" s="802"/>
      <c r="O386" s="802"/>
      <c r="P386" s="802"/>
      <c r="Q386" s="802"/>
      <c r="R386" s="802"/>
      <c r="S386" s="802"/>
      <c r="T386" s="802"/>
      <c r="U386" s="802"/>
      <c r="V386" s="802"/>
    </row>
    <row r="387" spans="1:1764" s="801" customFormat="1" ht="12.75">
      <c r="A387" s="808"/>
      <c r="C387" s="802"/>
      <c r="D387" s="802"/>
      <c r="E387" s="802"/>
      <c r="F387" s="804"/>
      <c r="G387" s="803"/>
      <c r="H387" s="803"/>
      <c r="I387" s="803"/>
      <c r="J387" s="803"/>
      <c r="M387" s="802"/>
      <c r="O387" s="802"/>
      <c r="P387" s="802"/>
      <c r="Q387" s="802"/>
      <c r="R387" s="802"/>
      <c r="S387" s="802"/>
      <c r="T387" s="802"/>
      <c r="U387" s="802"/>
      <c r="V387" s="802"/>
    </row>
    <row r="388" spans="1:1764" s="801" customFormat="1" ht="12.75">
      <c r="A388" s="806"/>
      <c r="C388" s="802"/>
      <c r="D388" s="802"/>
      <c r="E388" s="802"/>
      <c r="F388" s="804"/>
      <c r="G388" s="803"/>
      <c r="H388" s="803"/>
      <c r="I388" s="803"/>
      <c r="J388" s="803"/>
      <c r="M388" s="802"/>
      <c r="O388" s="802"/>
      <c r="P388" s="802"/>
      <c r="Q388" s="802"/>
      <c r="R388" s="802"/>
      <c r="S388" s="802"/>
      <c r="T388" s="802"/>
      <c r="U388" s="802"/>
      <c r="V388" s="802"/>
    </row>
    <row r="389" spans="1:1764" s="801" customFormat="1" ht="12.75">
      <c r="A389" s="806"/>
      <c r="C389" s="802"/>
      <c r="D389" s="802"/>
      <c r="E389" s="802"/>
      <c r="F389" s="804"/>
      <c r="G389" s="803"/>
      <c r="H389" s="803"/>
      <c r="I389" s="803"/>
      <c r="J389" s="803"/>
      <c r="M389" s="802"/>
      <c r="O389" s="802"/>
      <c r="P389" s="802"/>
      <c r="Q389" s="802"/>
      <c r="R389" s="802"/>
      <c r="S389" s="802"/>
      <c r="T389" s="802"/>
      <c r="U389" s="802"/>
      <c r="V389" s="802"/>
    </row>
    <row r="390" spans="1:1764" s="801" customFormat="1" ht="12.75">
      <c r="A390" s="806"/>
      <c r="C390" s="802"/>
      <c r="D390" s="802"/>
      <c r="E390" s="802"/>
      <c r="F390" s="804"/>
      <c r="G390" s="803"/>
      <c r="H390" s="803"/>
      <c r="I390" s="803"/>
      <c r="J390" s="803"/>
      <c r="M390" s="802"/>
      <c r="O390" s="802"/>
      <c r="P390" s="802"/>
      <c r="Q390" s="802"/>
      <c r="R390" s="802"/>
      <c r="S390" s="802"/>
      <c r="T390" s="802"/>
      <c r="U390" s="802"/>
      <c r="V390" s="802"/>
    </row>
    <row r="391" spans="1:1764" s="801" customFormat="1" ht="12.75">
      <c r="A391" s="806"/>
      <c r="C391" s="802"/>
      <c r="D391" s="802"/>
      <c r="E391" s="802"/>
      <c r="F391" s="804"/>
      <c r="G391" s="803"/>
      <c r="H391" s="803"/>
      <c r="I391" s="803"/>
      <c r="J391" s="803"/>
      <c r="M391" s="802"/>
      <c r="O391" s="802"/>
      <c r="P391" s="802"/>
      <c r="Q391" s="802"/>
      <c r="R391" s="802"/>
      <c r="S391" s="802"/>
      <c r="T391" s="802"/>
      <c r="U391" s="802"/>
      <c r="V391" s="802"/>
    </row>
    <row r="392" spans="1:1764" s="801" customFormat="1" ht="12.75">
      <c r="A392" s="807"/>
      <c r="C392" s="802"/>
      <c r="D392" s="802"/>
      <c r="E392" s="802"/>
      <c r="F392" s="804"/>
      <c r="G392" s="803"/>
      <c r="H392" s="803"/>
      <c r="I392" s="803"/>
      <c r="J392" s="803"/>
      <c r="M392" s="802"/>
      <c r="O392" s="802"/>
      <c r="P392" s="802"/>
      <c r="Q392" s="802"/>
      <c r="R392" s="802"/>
      <c r="S392" s="802"/>
      <c r="T392" s="802"/>
      <c r="U392" s="802"/>
      <c r="V392" s="802"/>
    </row>
    <row r="393" spans="1:1764" s="801" customFormat="1" ht="12.75">
      <c r="A393" s="806"/>
      <c r="C393" s="802"/>
      <c r="D393" s="802"/>
      <c r="E393" s="802"/>
      <c r="F393" s="804"/>
      <c r="G393" s="803"/>
      <c r="H393" s="803"/>
      <c r="I393" s="803"/>
      <c r="J393" s="803"/>
      <c r="M393" s="802"/>
      <c r="O393" s="802"/>
      <c r="P393" s="802"/>
      <c r="Q393" s="802"/>
      <c r="R393" s="802"/>
      <c r="S393" s="802"/>
      <c r="T393" s="802"/>
      <c r="U393" s="802"/>
      <c r="V393" s="802"/>
    </row>
    <row r="394" spans="1:1764" s="801" customFormat="1" ht="12.75">
      <c r="A394" s="805"/>
      <c r="C394" s="802"/>
      <c r="D394" s="802"/>
      <c r="E394" s="802"/>
      <c r="F394" s="804"/>
      <c r="G394" s="803"/>
      <c r="H394" s="803"/>
      <c r="I394" s="803"/>
      <c r="J394" s="803"/>
      <c r="M394" s="802"/>
      <c r="O394" s="802"/>
      <c r="P394" s="802"/>
      <c r="Q394" s="802"/>
      <c r="R394" s="802"/>
      <c r="S394" s="802"/>
      <c r="T394" s="802"/>
      <c r="U394" s="802"/>
      <c r="V394" s="802"/>
    </row>
    <row r="395" spans="1:1764" s="791" customFormat="1" ht="12.75">
      <c r="A395" s="805"/>
      <c r="B395" s="801"/>
      <c r="C395" s="802"/>
      <c r="D395" s="802"/>
      <c r="E395" s="802"/>
      <c r="F395" s="804"/>
      <c r="G395" s="803"/>
      <c r="H395" s="803"/>
      <c r="I395" s="803"/>
      <c r="J395" s="803"/>
      <c r="K395" s="801"/>
      <c r="L395" s="801"/>
      <c r="M395" s="802"/>
      <c r="N395" s="801"/>
      <c r="O395" s="802"/>
      <c r="P395" s="802"/>
      <c r="Q395" s="802"/>
      <c r="R395" s="802"/>
      <c r="S395" s="802"/>
      <c r="T395" s="802"/>
      <c r="U395" s="802"/>
      <c r="V395" s="802"/>
      <c r="W395" s="801"/>
      <c r="X395" s="801"/>
      <c r="Y395" s="801"/>
      <c r="Z395" s="801"/>
      <c r="AA395" s="801"/>
      <c r="AB395" s="801"/>
      <c r="AC395" s="801"/>
      <c r="AD395" s="801"/>
      <c r="AE395" s="801"/>
      <c r="AF395" s="801"/>
      <c r="AG395" s="801"/>
      <c r="AH395" s="801"/>
      <c r="AI395" s="801"/>
      <c r="AJ395" s="801"/>
      <c r="AK395" s="801"/>
      <c r="AL395" s="801"/>
      <c r="AM395" s="801"/>
      <c r="AN395" s="801"/>
      <c r="AO395" s="801"/>
      <c r="AP395" s="801"/>
      <c r="AQ395" s="801"/>
      <c r="AR395" s="801"/>
      <c r="AS395" s="801"/>
      <c r="AT395" s="801"/>
      <c r="AU395" s="801"/>
      <c r="AV395" s="801"/>
      <c r="AW395" s="801"/>
      <c r="AX395" s="801"/>
      <c r="AY395" s="801"/>
      <c r="AZ395" s="801"/>
      <c r="BA395" s="801"/>
      <c r="BB395" s="801"/>
      <c r="BC395" s="801"/>
      <c r="BD395" s="801"/>
      <c r="BE395" s="801"/>
      <c r="BF395" s="801"/>
      <c r="BG395" s="801"/>
      <c r="BH395" s="801"/>
      <c r="BI395" s="801"/>
      <c r="BJ395" s="801"/>
      <c r="BK395" s="801"/>
      <c r="BL395" s="801"/>
      <c r="BM395" s="801"/>
      <c r="BN395" s="801"/>
      <c r="BO395" s="801"/>
      <c r="BP395" s="801"/>
      <c r="BQ395" s="801"/>
      <c r="BR395" s="801"/>
      <c r="BS395" s="801"/>
      <c r="BT395" s="801"/>
      <c r="BU395" s="801"/>
      <c r="BV395" s="801"/>
      <c r="BW395" s="801"/>
      <c r="BX395" s="801"/>
      <c r="BY395" s="801"/>
      <c r="BZ395" s="801"/>
      <c r="CA395" s="801"/>
      <c r="CB395" s="801"/>
      <c r="CC395" s="801"/>
      <c r="CD395" s="801"/>
      <c r="CE395" s="801"/>
      <c r="CF395" s="801"/>
      <c r="CG395" s="801"/>
      <c r="CH395" s="801"/>
      <c r="CI395" s="801"/>
      <c r="CJ395" s="801"/>
      <c r="CK395" s="801"/>
      <c r="CL395" s="801"/>
      <c r="CM395" s="801"/>
      <c r="CN395" s="801"/>
      <c r="CO395" s="801"/>
      <c r="CP395" s="801"/>
      <c r="CQ395" s="801"/>
      <c r="CR395" s="801"/>
      <c r="CS395" s="801"/>
      <c r="CT395" s="801"/>
      <c r="CU395" s="801"/>
      <c r="CV395" s="801"/>
      <c r="CW395" s="801"/>
      <c r="CX395" s="801"/>
      <c r="CY395" s="801"/>
      <c r="CZ395" s="801"/>
      <c r="DA395" s="801"/>
      <c r="DB395" s="801"/>
      <c r="DC395" s="801"/>
      <c r="DD395" s="801"/>
      <c r="DE395" s="801"/>
      <c r="DF395" s="801"/>
      <c r="DG395" s="801"/>
      <c r="DH395" s="801"/>
      <c r="DI395" s="801"/>
      <c r="DJ395" s="801"/>
      <c r="DK395" s="801"/>
      <c r="DL395" s="801"/>
      <c r="DM395" s="801"/>
      <c r="DN395" s="801"/>
      <c r="DO395" s="801"/>
      <c r="DP395" s="801"/>
      <c r="DQ395" s="801"/>
      <c r="DR395" s="801"/>
      <c r="DS395" s="801"/>
      <c r="DT395" s="801"/>
      <c r="DU395" s="801"/>
      <c r="DV395" s="801"/>
      <c r="DW395" s="801"/>
      <c r="DX395" s="801"/>
      <c r="DY395" s="801"/>
      <c r="DZ395" s="801"/>
      <c r="EA395" s="801"/>
      <c r="EB395" s="801"/>
      <c r="EC395" s="801"/>
      <c r="ED395" s="801"/>
      <c r="EE395" s="801"/>
      <c r="EF395" s="801"/>
      <c r="EG395" s="801"/>
      <c r="EH395" s="801"/>
      <c r="EI395" s="801"/>
      <c r="EJ395" s="801"/>
      <c r="EK395" s="801"/>
      <c r="EL395" s="801"/>
      <c r="EM395" s="801"/>
      <c r="EN395" s="801"/>
      <c r="EO395" s="801"/>
      <c r="EP395" s="801"/>
      <c r="EQ395" s="801"/>
      <c r="ER395" s="801"/>
      <c r="ES395" s="801"/>
      <c r="ET395" s="801"/>
      <c r="EU395" s="801"/>
      <c r="EV395" s="801"/>
      <c r="EW395" s="801"/>
      <c r="EX395" s="801"/>
      <c r="EY395" s="801"/>
      <c r="EZ395" s="801"/>
      <c r="FA395" s="801"/>
      <c r="FB395" s="801"/>
      <c r="FC395" s="801"/>
      <c r="FD395" s="801"/>
      <c r="FE395" s="801"/>
      <c r="FF395" s="801"/>
      <c r="FG395" s="801"/>
      <c r="FH395" s="801"/>
      <c r="FI395" s="801"/>
      <c r="FJ395" s="801"/>
      <c r="FK395" s="801"/>
      <c r="FL395" s="801"/>
      <c r="FM395" s="801"/>
      <c r="FN395" s="801"/>
      <c r="FO395" s="801"/>
      <c r="FP395" s="801"/>
      <c r="FQ395" s="801"/>
      <c r="FR395" s="801"/>
      <c r="FS395" s="801"/>
      <c r="FT395" s="801"/>
      <c r="FU395" s="801"/>
      <c r="FV395" s="801"/>
      <c r="FW395" s="801"/>
      <c r="FX395" s="801"/>
      <c r="FY395" s="801"/>
      <c r="FZ395" s="801"/>
      <c r="GA395" s="801"/>
      <c r="GB395" s="801"/>
      <c r="GC395" s="801"/>
      <c r="GD395" s="801"/>
      <c r="GE395" s="801"/>
      <c r="GF395" s="801"/>
      <c r="GG395" s="801"/>
      <c r="GH395" s="801"/>
      <c r="GI395" s="801"/>
      <c r="GJ395" s="801"/>
      <c r="GK395" s="801"/>
      <c r="GL395" s="801"/>
      <c r="GM395" s="801"/>
      <c r="GN395" s="801"/>
      <c r="GO395" s="801"/>
      <c r="GP395" s="801"/>
      <c r="GQ395" s="801"/>
      <c r="GR395" s="801"/>
      <c r="GS395" s="801"/>
      <c r="GT395" s="801"/>
      <c r="GU395" s="801"/>
      <c r="GV395" s="801"/>
      <c r="GW395" s="801"/>
      <c r="GX395" s="801"/>
      <c r="GY395" s="801"/>
      <c r="GZ395" s="801"/>
      <c r="HA395" s="801"/>
      <c r="HB395" s="801"/>
      <c r="HC395" s="801"/>
      <c r="HD395" s="801"/>
      <c r="HE395" s="801"/>
      <c r="HF395" s="801"/>
      <c r="HG395" s="801"/>
      <c r="HH395" s="801"/>
      <c r="HI395" s="801"/>
      <c r="HJ395" s="801"/>
      <c r="HK395" s="801"/>
      <c r="HL395" s="801"/>
      <c r="HM395" s="801"/>
      <c r="HN395" s="801"/>
      <c r="HO395" s="801"/>
      <c r="HP395" s="801"/>
      <c r="HQ395" s="801"/>
      <c r="HR395" s="801"/>
      <c r="HS395" s="801"/>
      <c r="HT395" s="801"/>
      <c r="HU395" s="801"/>
      <c r="HV395" s="801"/>
      <c r="HW395" s="801"/>
      <c r="HX395" s="801"/>
      <c r="HY395" s="801"/>
      <c r="HZ395" s="801"/>
      <c r="IA395" s="801"/>
      <c r="IB395" s="801"/>
      <c r="IC395" s="801"/>
      <c r="ID395" s="801"/>
      <c r="IE395" s="801"/>
      <c r="IF395" s="801"/>
      <c r="IG395" s="801"/>
      <c r="IH395" s="801"/>
      <c r="II395" s="801"/>
      <c r="IJ395" s="801"/>
      <c r="IK395" s="801"/>
      <c r="IL395" s="801"/>
      <c r="IM395" s="801"/>
      <c r="IN395" s="801"/>
      <c r="IO395" s="801"/>
      <c r="IP395" s="801"/>
      <c r="IQ395" s="801"/>
      <c r="IR395" s="801"/>
      <c r="IS395" s="801"/>
      <c r="IT395" s="801"/>
      <c r="IU395" s="801"/>
      <c r="IV395" s="801"/>
      <c r="IW395" s="801"/>
      <c r="IX395" s="801"/>
      <c r="IY395" s="801"/>
      <c r="IZ395" s="801"/>
      <c r="JA395" s="801"/>
      <c r="JB395" s="801"/>
      <c r="JC395" s="801"/>
      <c r="JD395" s="801"/>
      <c r="JE395" s="801"/>
      <c r="JF395" s="801"/>
      <c r="JG395" s="801"/>
      <c r="JH395" s="801"/>
      <c r="JI395" s="801"/>
      <c r="JJ395" s="801"/>
      <c r="JK395" s="801"/>
      <c r="JL395" s="801"/>
      <c r="JM395" s="801"/>
      <c r="JN395" s="801"/>
      <c r="JO395" s="801"/>
      <c r="JP395" s="801"/>
      <c r="JQ395" s="801"/>
      <c r="JR395" s="801"/>
      <c r="JS395" s="801"/>
      <c r="JT395" s="801"/>
      <c r="JU395" s="801"/>
      <c r="JV395" s="801"/>
      <c r="JW395" s="801"/>
      <c r="JX395" s="801"/>
      <c r="JY395" s="801"/>
      <c r="JZ395" s="801"/>
      <c r="KA395" s="801"/>
      <c r="KB395" s="801"/>
      <c r="KC395" s="801"/>
      <c r="KD395" s="801"/>
      <c r="KE395" s="801"/>
      <c r="KF395" s="801"/>
      <c r="KG395" s="801"/>
      <c r="KH395" s="801"/>
      <c r="KI395" s="801"/>
      <c r="KJ395" s="801"/>
      <c r="KK395" s="801"/>
      <c r="KL395" s="801"/>
      <c r="KM395" s="801"/>
      <c r="KN395" s="801"/>
      <c r="KO395" s="801"/>
      <c r="KP395" s="801"/>
      <c r="KQ395" s="801"/>
      <c r="KR395" s="801"/>
      <c r="KS395" s="801"/>
      <c r="KT395" s="801"/>
      <c r="KU395" s="801"/>
      <c r="KV395" s="801"/>
      <c r="KW395" s="801"/>
      <c r="KX395" s="801"/>
      <c r="KY395" s="801"/>
      <c r="KZ395" s="801"/>
      <c r="LA395" s="801"/>
      <c r="LB395" s="801"/>
      <c r="LC395" s="801"/>
      <c r="LD395" s="801"/>
      <c r="LE395" s="801"/>
      <c r="LF395" s="801"/>
      <c r="LG395" s="801"/>
      <c r="LH395" s="801"/>
      <c r="LI395" s="801"/>
      <c r="LJ395" s="801"/>
      <c r="LK395" s="801"/>
      <c r="LL395" s="801"/>
      <c r="LM395" s="801"/>
      <c r="LN395" s="801"/>
      <c r="LO395" s="801"/>
      <c r="LP395" s="801"/>
      <c r="LQ395" s="801"/>
      <c r="LR395" s="801"/>
      <c r="LS395" s="801"/>
      <c r="LT395" s="801"/>
      <c r="LU395" s="801"/>
      <c r="LV395" s="801"/>
      <c r="LW395" s="801"/>
      <c r="LX395" s="801"/>
      <c r="LY395" s="801"/>
      <c r="LZ395" s="801"/>
      <c r="MA395" s="801"/>
      <c r="MB395" s="801"/>
      <c r="MC395" s="801"/>
      <c r="MD395" s="801"/>
      <c r="ME395" s="801"/>
      <c r="MF395" s="801"/>
      <c r="MG395" s="801"/>
      <c r="MH395" s="801"/>
      <c r="MI395" s="801"/>
      <c r="MJ395" s="801"/>
      <c r="MK395" s="801"/>
      <c r="ML395" s="801"/>
      <c r="MM395" s="801"/>
      <c r="MN395" s="801"/>
      <c r="MO395" s="801"/>
      <c r="MP395" s="801"/>
      <c r="MQ395" s="801"/>
      <c r="MR395" s="801"/>
      <c r="MS395" s="801"/>
      <c r="MT395" s="801"/>
      <c r="MU395" s="801"/>
      <c r="MV395" s="801"/>
      <c r="MW395" s="801"/>
      <c r="MX395" s="801"/>
      <c r="MY395" s="801"/>
      <c r="MZ395" s="801"/>
      <c r="NA395" s="801"/>
      <c r="NB395" s="801"/>
      <c r="NC395" s="801"/>
      <c r="ND395" s="801"/>
      <c r="NE395" s="801"/>
      <c r="NF395" s="801"/>
      <c r="NG395" s="801"/>
      <c r="NH395" s="801"/>
      <c r="NI395" s="801"/>
      <c r="NJ395" s="801"/>
      <c r="NK395" s="801"/>
      <c r="NL395" s="801"/>
      <c r="NM395" s="801"/>
      <c r="NN395" s="801"/>
      <c r="NO395" s="801"/>
      <c r="NP395" s="801"/>
      <c r="NQ395" s="801"/>
      <c r="NR395" s="801"/>
      <c r="NS395" s="801"/>
      <c r="NT395" s="801"/>
      <c r="NU395" s="801"/>
      <c r="NV395" s="801"/>
      <c r="NW395" s="801"/>
      <c r="NX395" s="801"/>
      <c r="NY395" s="801"/>
      <c r="NZ395" s="801"/>
      <c r="OA395" s="801"/>
      <c r="OB395" s="801"/>
      <c r="OC395" s="801"/>
      <c r="OD395" s="801"/>
      <c r="OE395" s="801"/>
      <c r="OF395" s="801"/>
      <c r="OG395" s="801"/>
      <c r="OH395" s="801"/>
      <c r="OI395" s="801"/>
      <c r="OJ395" s="801"/>
      <c r="OK395" s="801"/>
      <c r="OL395" s="801"/>
      <c r="OM395" s="801"/>
      <c r="ON395" s="801"/>
      <c r="OO395" s="801"/>
      <c r="OP395" s="801"/>
      <c r="OQ395" s="801"/>
      <c r="OR395" s="801"/>
      <c r="OS395" s="801"/>
      <c r="OT395" s="801"/>
      <c r="OU395" s="801"/>
      <c r="OV395" s="801"/>
      <c r="OW395" s="801"/>
      <c r="OX395" s="801"/>
      <c r="OY395" s="801"/>
      <c r="OZ395" s="801"/>
      <c r="PA395" s="801"/>
      <c r="PB395" s="801"/>
      <c r="PC395" s="801"/>
      <c r="PD395" s="801"/>
      <c r="PE395" s="801"/>
      <c r="PF395" s="801"/>
      <c r="PG395" s="801"/>
      <c r="PH395" s="801"/>
      <c r="PI395" s="801"/>
      <c r="PJ395" s="801"/>
      <c r="PK395" s="801"/>
      <c r="PL395" s="801"/>
      <c r="PM395" s="801"/>
      <c r="PN395" s="801"/>
      <c r="PO395" s="801"/>
      <c r="PP395" s="801"/>
      <c r="PQ395" s="801"/>
      <c r="PR395" s="801"/>
      <c r="PS395" s="801"/>
      <c r="PT395" s="801"/>
      <c r="PU395" s="801"/>
      <c r="PV395" s="801"/>
      <c r="PW395" s="801"/>
      <c r="PX395" s="801"/>
      <c r="PY395" s="801"/>
      <c r="PZ395" s="801"/>
      <c r="QA395" s="801"/>
      <c r="QB395" s="801"/>
      <c r="QC395" s="801"/>
      <c r="QD395" s="801"/>
      <c r="QE395" s="801"/>
      <c r="QF395" s="801"/>
      <c r="QG395" s="801"/>
      <c r="QH395" s="801"/>
      <c r="QI395" s="801"/>
      <c r="QJ395" s="801"/>
      <c r="QK395" s="801"/>
      <c r="QL395" s="801"/>
      <c r="QM395" s="801"/>
      <c r="QN395" s="801"/>
      <c r="QO395" s="801"/>
      <c r="QP395" s="801"/>
      <c r="QQ395" s="801"/>
      <c r="QR395" s="801"/>
      <c r="QS395" s="801"/>
      <c r="QT395" s="801"/>
      <c r="QU395" s="801"/>
      <c r="QV395" s="801"/>
      <c r="QW395" s="801"/>
      <c r="QX395" s="801"/>
      <c r="QY395" s="801"/>
      <c r="QZ395" s="801"/>
      <c r="RA395" s="801"/>
      <c r="RB395" s="801"/>
      <c r="RC395" s="801"/>
      <c r="RD395" s="801"/>
      <c r="RE395" s="801"/>
      <c r="RF395" s="801"/>
      <c r="RG395" s="801"/>
      <c r="RH395" s="801"/>
      <c r="RI395" s="801"/>
      <c r="RJ395" s="801"/>
      <c r="RK395" s="801"/>
      <c r="RL395" s="801"/>
      <c r="RM395" s="801"/>
      <c r="RN395" s="801"/>
      <c r="RO395" s="801"/>
      <c r="RP395" s="801"/>
      <c r="RQ395" s="801"/>
      <c r="RR395" s="801"/>
      <c r="RS395" s="801"/>
      <c r="RT395" s="801"/>
      <c r="RU395" s="801"/>
      <c r="RV395" s="801"/>
      <c r="RW395" s="801"/>
      <c r="RX395" s="801"/>
      <c r="RY395" s="801"/>
      <c r="RZ395" s="801"/>
      <c r="SA395" s="801"/>
      <c r="SB395" s="801"/>
      <c r="SC395" s="801"/>
      <c r="SD395" s="801"/>
      <c r="SE395" s="801"/>
      <c r="SF395" s="801"/>
      <c r="SG395" s="801"/>
      <c r="SH395" s="801"/>
      <c r="SI395" s="801"/>
      <c r="SJ395" s="801"/>
      <c r="SK395" s="801"/>
      <c r="SL395" s="801"/>
      <c r="SM395" s="801"/>
      <c r="SN395" s="801"/>
      <c r="SO395" s="801"/>
      <c r="SP395" s="801"/>
      <c r="SQ395" s="801"/>
      <c r="SR395" s="801"/>
      <c r="SS395" s="801"/>
      <c r="ST395" s="801"/>
      <c r="SU395" s="801"/>
      <c r="SV395" s="801"/>
      <c r="SW395" s="801"/>
      <c r="SX395" s="801"/>
      <c r="SY395" s="801"/>
      <c r="SZ395" s="801"/>
      <c r="TA395" s="801"/>
      <c r="TB395" s="801"/>
      <c r="TC395" s="801"/>
      <c r="TD395" s="801"/>
      <c r="TE395" s="801"/>
      <c r="TF395" s="801"/>
      <c r="TG395" s="801"/>
      <c r="TH395" s="801"/>
      <c r="TI395" s="801"/>
      <c r="TJ395" s="801"/>
      <c r="TK395" s="801"/>
      <c r="TL395" s="801"/>
      <c r="TM395" s="801"/>
      <c r="TN395" s="801"/>
      <c r="TO395" s="801"/>
      <c r="TP395" s="801"/>
      <c r="TQ395" s="801"/>
      <c r="TR395" s="801"/>
      <c r="TS395" s="801"/>
      <c r="TT395" s="801"/>
      <c r="TU395" s="801"/>
      <c r="TV395" s="801"/>
      <c r="TW395" s="801"/>
      <c r="TX395" s="801"/>
      <c r="TY395" s="801"/>
      <c r="TZ395" s="801"/>
      <c r="UA395" s="801"/>
      <c r="UB395" s="801"/>
      <c r="UC395" s="801"/>
      <c r="UD395" s="801"/>
      <c r="UE395" s="801"/>
      <c r="UF395" s="801"/>
      <c r="UG395" s="801"/>
      <c r="UH395" s="801"/>
      <c r="UI395" s="801"/>
      <c r="UJ395" s="801"/>
      <c r="UK395" s="801"/>
      <c r="UL395" s="801"/>
      <c r="UM395" s="801"/>
      <c r="UN395" s="801"/>
      <c r="UO395" s="801"/>
      <c r="UP395" s="801"/>
      <c r="UQ395" s="801"/>
      <c r="UR395" s="801"/>
      <c r="US395" s="801"/>
      <c r="UT395" s="801"/>
      <c r="UU395" s="801"/>
      <c r="UV395" s="801"/>
      <c r="UW395" s="801"/>
      <c r="UX395" s="801"/>
      <c r="UY395" s="801"/>
      <c r="UZ395" s="801"/>
      <c r="VA395" s="801"/>
      <c r="VB395" s="801"/>
      <c r="VC395" s="801"/>
      <c r="VD395" s="801"/>
      <c r="VE395" s="801"/>
      <c r="VF395" s="801"/>
      <c r="VG395" s="801"/>
      <c r="VH395" s="801"/>
      <c r="VI395" s="801"/>
      <c r="VJ395" s="801"/>
      <c r="VK395" s="801"/>
      <c r="VL395" s="801"/>
      <c r="VM395" s="801"/>
      <c r="VN395" s="801"/>
      <c r="VO395" s="801"/>
      <c r="VP395" s="801"/>
      <c r="VQ395" s="801"/>
      <c r="VR395" s="801"/>
      <c r="VS395" s="801"/>
      <c r="VT395" s="801"/>
      <c r="VU395" s="801"/>
      <c r="VV395" s="801"/>
      <c r="VW395" s="801"/>
      <c r="VX395" s="801"/>
      <c r="VY395" s="801"/>
      <c r="VZ395" s="801"/>
      <c r="WA395" s="801"/>
      <c r="WB395" s="801"/>
      <c r="WC395" s="801"/>
      <c r="WD395" s="801"/>
      <c r="WE395" s="801"/>
      <c r="WF395" s="801"/>
      <c r="WG395" s="801"/>
      <c r="WH395" s="801"/>
      <c r="WI395" s="801"/>
      <c r="WJ395" s="801"/>
      <c r="WK395" s="801"/>
      <c r="WL395" s="801"/>
      <c r="WM395" s="801"/>
      <c r="WN395" s="801"/>
      <c r="WO395" s="801"/>
      <c r="WP395" s="801"/>
      <c r="WQ395" s="801"/>
      <c r="WR395" s="801"/>
      <c r="WS395" s="801"/>
      <c r="WT395" s="801"/>
      <c r="WU395" s="801"/>
      <c r="WV395" s="801"/>
      <c r="WW395" s="801"/>
      <c r="WX395" s="801"/>
      <c r="WY395" s="801"/>
      <c r="WZ395" s="801"/>
      <c r="XA395" s="801"/>
      <c r="XB395" s="801"/>
      <c r="XC395" s="801"/>
      <c r="XD395" s="801"/>
      <c r="XE395" s="801"/>
      <c r="XF395" s="801"/>
      <c r="XG395" s="801"/>
      <c r="XH395" s="801"/>
      <c r="XI395" s="801"/>
      <c r="XJ395" s="801"/>
      <c r="XK395" s="801"/>
      <c r="XL395" s="801"/>
      <c r="XM395" s="801"/>
      <c r="XN395" s="801"/>
      <c r="XO395" s="801"/>
      <c r="XP395" s="801"/>
      <c r="XQ395" s="801"/>
      <c r="XR395" s="801"/>
      <c r="XS395" s="801"/>
      <c r="XT395" s="801"/>
      <c r="XU395" s="801"/>
      <c r="XV395" s="801"/>
      <c r="XW395" s="801"/>
      <c r="XX395" s="801"/>
      <c r="XY395" s="801"/>
      <c r="XZ395" s="801"/>
      <c r="YA395" s="801"/>
      <c r="YB395" s="801"/>
      <c r="YC395" s="801"/>
      <c r="YD395" s="801"/>
      <c r="YE395" s="801"/>
      <c r="YF395" s="801"/>
      <c r="YG395" s="801"/>
      <c r="YH395" s="801"/>
      <c r="YI395" s="801"/>
      <c r="YJ395" s="801"/>
      <c r="YK395" s="801"/>
      <c r="YL395" s="801"/>
      <c r="YM395" s="801"/>
      <c r="YN395" s="801"/>
      <c r="YO395" s="801"/>
      <c r="YP395" s="801"/>
      <c r="YQ395" s="801"/>
      <c r="YR395" s="801"/>
      <c r="YS395" s="801"/>
      <c r="YT395" s="801"/>
      <c r="YU395" s="801"/>
      <c r="YV395" s="801"/>
      <c r="YW395" s="801"/>
      <c r="YX395" s="801"/>
      <c r="YY395" s="801"/>
      <c r="YZ395" s="801"/>
      <c r="ZA395" s="801"/>
      <c r="ZB395" s="801"/>
      <c r="ZC395" s="801"/>
      <c r="ZD395" s="801"/>
      <c r="ZE395" s="801"/>
      <c r="ZF395" s="801"/>
      <c r="ZG395" s="801"/>
      <c r="ZH395" s="801"/>
      <c r="ZI395" s="801"/>
      <c r="ZJ395" s="801"/>
      <c r="ZK395" s="801"/>
      <c r="ZL395" s="801"/>
      <c r="ZM395" s="801"/>
      <c r="ZN395" s="801"/>
      <c r="ZO395" s="801"/>
      <c r="ZP395" s="801"/>
      <c r="ZQ395" s="801"/>
      <c r="ZR395" s="801"/>
      <c r="ZS395" s="801"/>
      <c r="ZT395" s="801"/>
      <c r="ZU395" s="801"/>
      <c r="ZV395" s="801"/>
      <c r="ZW395" s="801"/>
      <c r="ZX395" s="801"/>
      <c r="ZY395" s="801"/>
      <c r="ZZ395" s="801"/>
      <c r="AAA395" s="801"/>
      <c r="AAB395" s="801"/>
      <c r="AAC395" s="801"/>
      <c r="AAD395" s="801"/>
      <c r="AAE395" s="801"/>
      <c r="AAF395" s="801"/>
      <c r="AAG395" s="801"/>
      <c r="AAH395" s="801"/>
      <c r="AAI395" s="801"/>
      <c r="AAJ395" s="801"/>
      <c r="AAK395" s="801"/>
      <c r="AAL395" s="801"/>
      <c r="AAM395" s="801"/>
      <c r="AAN395" s="801"/>
      <c r="AAO395" s="801"/>
      <c r="AAP395" s="801"/>
      <c r="AAQ395" s="801"/>
      <c r="AAR395" s="801"/>
      <c r="AAS395" s="801"/>
      <c r="AAT395" s="801"/>
      <c r="AAU395" s="801"/>
      <c r="AAV395" s="801"/>
      <c r="AAW395" s="801"/>
      <c r="AAX395" s="801"/>
      <c r="AAY395" s="801"/>
      <c r="AAZ395" s="801"/>
      <c r="ABA395" s="801"/>
      <c r="ABB395" s="801"/>
      <c r="ABC395" s="801"/>
      <c r="ABD395" s="801"/>
      <c r="ABE395" s="801"/>
      <c r="ABF395" s="801"/>
      <c r="ABG395" s="801"/>
      <c r="ABH395" s="801"/>
      <c r="ABI395" s="801"/>
      <c r="ABJ395" s="801"/>
      <c r="ABK395" s="801"/>
      <c r="ABL395" s="801"/>
      <c r="ABM395" s="801"/>
      <c r="ABN395" s="801"/>
      <c r="ABO395" s="801"/>
      <c r="ABP395" s="801"/>
      <c r="ABQ395" s="801"/>
      <c r="ABR395" s="801"/>
      <c r="ABS395" s="801"/>
      <c r="ABT395" s="801"/>
      <c r="ABU395" s="801"/>
      <c r="ABV395" s="801"/>
      <c r="ABW395" s="801"/>
      <c r="ABX395" s="801"/>
      <c r="ABY395" s="801"/>
      <c r="ABZ395" s="801"/>
      <c r="ACA395" s="801"/>
      <c r="ACB395" s="801"/>
      <c r="ACC395" s="801"/>
      <c r="ACD395" s="801"/>
      <c r="ACE395" s="801"/>
      <c r="ACF395" s="801"/>
      <c r="ACG395" s="801"/>
      <c r="ACH395" s="801"/>
      <c r="ACI395" s="801"/>
      <c r="ACJ395" s="801"/>
      <c r="ACK395" s="801"/>
      <c r="ACL395" s="801"/>
      <c r="ACM395" s="801"/>
      <c r="ACN395" s="801"/>
      <c r="ACO395" s="801"/>
      <c r="ACP395" s="801"/>
      <c r="ACQ395" s="801"/>
      <c r="ACR395" s="801"/>
      <c r="ACS395" s="801"/>
      <c r="ACT395" s="801"/>
      <c r="ACU395" s="801"/>
      <c r="ACV395" s="801"/>
      <c r="ACW395" s="801"/>
      <c r="ACX395" s="801"/>
      <c r="ACY395" s="801"/>
      <c r="ACZ395" s="801"/>
      <c r="ADA395" s="801"/>
      <c r="ADB395" s="801"/>
      <c r="ADC395" s="801"/>
      <c r="ADD395" s="801"/>
      <c r="ADE395" s="801"/>
      <c r="ADF395" s="801"/>
      <c r="ADG395" s="801"/>
      <c r="ADH395" s="801"/>
      <c r="ADI395" s="801"/>
      <c r="ADJ395" s="801"/>
      <c r="ADK395" s="801"/>
      <c r="ADL395" s="801"/>
      <c r="ADM395" s="801"/>
      <c r="ADN395" s="801"/>
      <c r="ADO395" s="801"/>
      <c r="ADP395" s="801"/>
      <c r="ADQ395" s="801"/>
      <c r="ADR395" s="801"/>
      <c r="ADS395" s="801"/>
      <c r="ADT395" s="801"/>
      <c r="ADU395" s="801"/>
      <c r="ADV395" s="801"/>
      <c r="ADW395" s="801"/>
      <c r="ADX395" s="801"/>
      <c r="ADY395" s="801"/>
      <c r="ADZ395" s="801"/>
      <c r="AEA395" s="801"/>
      <c r="AEB395" s="801"/>
      <c r="AEC395" s="801"/>
      <c r="AED395" s="801"/>
      <c r="AEE395" s="801"/>
      <c r="AEF395" s="801"/>
      <c r="AEG395" s="801"/>
      <c r="AEH395" s="801"/>
      <c r="AEI395" s="801"/>
      <c r="AEJ395" s="801"/>
      <c r="AEK395" s="801"/>
      <c r="AEL395" s="801"/>
      <c r="AEM395" s="801"/>
      <c r="AEN395" s="801"/>
      <c r="AEO395" s="801"/>
      <c r="AEP395" s="801"/>
      <c r="AEQ395" s="801"/>
      <c r="AER395" s="801"/>
      <c r="AES395" s="801"/>
      <c r="AET395" s="801"/>
      <c r="AEU395" s="801"/>
      <c r="AEV395" s="801"/>
      <c r="AEW395" s="801"/>
      <c r="AEX395" s="801"/>
      <c r="AEY395" s="801"/>
      <c r="AEZ395" s="801"/>
      <c r="AFA395" s="801"/>
      <c r="AFB395" s="801"/>
      <c r="AFC395" s="801"/>
      <c r="AFD395" s="801"/>
      <c r="AFE395" s="801"/>
      <c r="AFF395" s="801"/>
      <c r="AFG395" s="801"/>
      <c r="AFH395" s="801"/>
      <c r="AFI395" s="801"/>
      <c r="AFJ395" s="801"/>
      <c r="AFK395" s="801"/>
      <c r="AFL395" s="801"/>
      <c r="AFM395" s="801"/>
      <c r="AFN395" s="801"/>
      <c r="AFO395" s="801"/>
      <c r="AFP395" s="801"/>
      <c r="AFQ395" s="801"/>
      <c r="AFR395" s="801"/>
      <c r="AFS395" s="801"/>
      <c r="AFT395" s="801"/>
      <c r="AFU395" s="801"/>
      <c r="AFV395" s="801"/>
      <c r="AFW395" s="801"/>
      <c r="AFX395" s="801"/>
      <c r="AFY395" s="801"/>
      <c r="AFZ395" s="801"/>
      <c r="AGA395" s="801"/>
      <c r="AGB395" s="801"/>
      <c r="AGC395" s="801"/>
      <c r="AGD395" s="801"/>
      <c r="AGE395" s="801"/>
      <c r="AGF395" s="801"/>
      <c r="AGG395" s="801"/>
      <c r="AGH395" s="801"/>
      <c r="AGI395" s="801"/>
      <c r="AGJ395" s="801"/>
      <c r="AGK395" s="801"/>
      <c r="AGL395" s="801"/>
      <c r="AGM395" s="801"/>
      <c r="AGN395" s="801"/>
      <c r="AGO395" s="801"/>
      <c r="AGP395" s="801"/>
      <c r="AGQ395" s="801"/>
      <c r="AGR395" s="801"/>
      <c r="AGS395" s="801"/>
      <c r="AGT395" s="801"/>
      <c r="AGU395" s="801"/>
      <c r="AGV395" s="801"/>
      <c r="AGW395" s="801"/>
      <c r="AGX395" s="801"/>
      <c r="AGY395" s="801"/>
      <c r="AGZ395" s="801"/>
      <c r="AHA395" s="801"/>
      <c r="AHB395" s="801"/>
      <c r="AHC395" s="801"/>
      <c r="AHD395" s="801"/>
      <c r="AHE395" s="801"/>
      <c r="AHF395" s="801"/>
      <c r="AHG395" s="801"/>
      <c r="AHH395" s="801"/>
      <c r="AHI395" s="801"/>
      <c r="AHJ395" s="801"/>
      <c r="AHK395" s="801"/>
      <c r="AHL395" s="801"/>
      <c r="AHM395" s="801"/>
      <c r="AHN395" s="801"/>
      <c r="AHO395" s="801"/>
      <c r="AHP395" s="801"/>
      <c r="AHQ395" s="801"/>
      <c r="AHR395" s="801"/>
      <c r="AHS395" s="801"/>
      <c r="AHT395" s="801"/>
      <c r="AHU395" s="801"/>
      <c r="AHV395" s="801"/>
      <c r="AHW395" s="801"/>
      <c r="AHX395" s="801"/>
      <c r="AHY395" s="801"/>
      <c r="AHZ395" s="801"/>
      <c r="AIA395" s="801"/>
      <c r="AIB395" s="801"/>
      <c r="AIC395" s="801"/>
      <c r="AID395" s="801"/>
      <c r="AIE395" s="801"/>
      <c r="AIF395" s="801"/>
      <c r="AIG395" s="801"/>
      <c r="AIH395" s="801"/>
      <c r="AII395" s="801"/>
      <c r="AIJ395" s="801"/>
      <c r="AIK395" s="801"/>
      <c r="AIL395" s="801"/>
      <c r="AIM395" s="801"/>
      <c r="AIN395" s="801"/>
      <c r="AIO395" s="801"/>
      <c r="AIP395" s="801"/>
      <c r="AIQ395" s="801"/>
      <c r="AIR395" s="801"/>
      <c r="AIS395" s="801"/>
      <c r="AIT395" s="801"/>
      <c r="AIU395" s="801"/>
      <c r="AIV395" s="801"/>
      <c r="AIW395" s="801"/>
      <c r="AIX395" s="801"/>
      <c r="AIY395" s="801"/>
      <c r="AIZ395" s="801"/>
      <c r="AJA395" s="801"/>
      <c r="AJB395" s="801"/>
      <c r="AJC395" s="801"/>
      <c r="AJD395" s="801"/>
      <c r="AJE395" s="801"/>
      <c r="AJF395" s="801"/>
      <c r="AJG395" s="801"/>
      <c r="AJH395" s="801"/>
      <c r="AJI395" s="801"/>
      <c r="AJJ395" s="801"/>
      <c r="AJK395" s="801"/>
      <c r="AJL395" s="801"/>
      <c r="AJM395" s="801"/>
      <c r="AJN395" s="801"/>
      <c r="AJO395" s="801"/>
      <c r="AJP395" s="801"/>
      <c r="AJQ395" s="801"/>
      <c r="AJR395" s="801"/>
      <c r="AJS395" s="801"/>
      <c r="AJT395" s="801"/>
      <c r="AJU395" s="801"/>
      <c r="AJV395" s="801"/>
      <c r="AJW395" s="801"/>
      <c r="AJX395" s="801"/>
      <c r="AJY395" s="801"/>
      <c r="AJZ395" s="801"/>
      <c r="AKA395" s="801"/>
      <c r="AKB395" s="801"/>
      <c r="AKC395" s="801"/>
      <c r="AKD395" s="801"/>
      <c r="AKE395" s="801"/>
      <c r="AKF395" s="801"/>
      <c r="AKG395" s="801"/>
      <c r="AKH395" s="801"/>
      <c r="AKI395" s="801"/>
      <c r="AKJ395" s="801"/>
      <c r="AKK395" s="801"/>
      <c r="AKL395" s="801"/>
      <c r="AKM395" s="801"/>
      <c r="AKN395" s="801"/>
      <c r="AKO395" s="801"/>
      <c r="AKP395" s="801"/>
      <c r="AKQ395" s="801"/>
      <c r="AKR395" s="801"/>
      <c r="AKS395" s="801"/>
      <c r="AKT395" s="801"/>
      <c r="AKU395" s="801"/>
      <c r="AKV395" s="801"/>
      <c r="AKW395" s="801"/>
      <c r="AKX395" s="801"/>
      <c r="AKY395" s="801"/>
      <c r="AKZ395" s="801"/>
      <c r="ALA395" s="801"/>
      <c r="ALB395" s="801"/>
      <c r="ALC395" s="801"/>
      <c r="ALD395" s="801"/>
      <c r="ALE395" s="801"/>
      <c r="ALF395" s="801"/>
      <c r="ALG395" s="801"/>
      <c r="ALH395" s="801"/>
      <c r="ALI395" s="801"/>
      <c r="ALJ395" s="801"/>
      <c r="ALK395" s="801"/>
      <c r="ALL395" s="801"/>
      <c r="ALM395" s="801"/>
      <c r="ALN395" s="801"/>
      <c r="ALO395" s="801"/>
      <c r="ALP395" s="801"/>
      <c r="ALQ395" s="801"/>
      <c r="ALR395" s="801"/>
      <c r="ALS395" s="801"/>
      <c r="ALT395" s="801"/>
      <c r="ALU395" s="801"/>
      <c r="ALV395" s="801"/>
      <c r="ALW395" s="801"/>
      <c r="ALX395" s="801"/>
      <c r="ALY395" s="801"/>
      <c r="ALZ395" s="801"/>
      <c r="AMA395" s="801"/>
      <c r="AMB395" s="801"/>
      <c r="AMC395" s="801"/>
      <c r="AMD395" s="801"/>
      <c r="AME395" s="801"/>
      <c r="AMF395" s="801"/>
      <c r="AMG395" s="801"/>
      <c r="AMH395" s="801"/>
      <c r="AMI395" s="801"/>
      <c r="AMJ395" s="801"/>
      <c r="AMK395" s="801"/>
      <c r="AML395" s="801"/>
      <c r="AMM395" s="801"/>
      <c r="AMN395" s="801"/>
      <c r="AMO395" s="801"/>
      <c r="AMP395" s="801"/>
      <c r="AMQ395" s="801"/>
      <c r="AMR395" s="801"/>
      <c r="AMS395" s="801"/>
      <c r="AMT395" s="801"/>
      <c r="AMU395" s="801"/>
      <c r="AMV395" s="801"/>
      <c r="AMW395" s="801"/>
      <c r="AMX395" s="801"/>
      <c r="AMY395" s="801"/>
      <c r="AMZ395" s="801"/>
      <c r="ANA395" s="801"/>
      <c r="ANB395" s="801"/>
      <c r="ANC395" s="801"/>
      <c r="AND395" s="801"/>
      <c r="ANE395" s="801"/>
      <c r="ANF395" s="801"/>
      <c r="ANG395" s="801"/>
      <c r="ANH395" s="801"/>
      <c r="ANI395" s="801"/>
      <c r="ANJ395" s="801"/>
      <c r="ANK395" s="801"/>
      <c r="ANL395" s="801"/>
      <c r="ANM395" s="801"/>
      <c r="ANN395" s="801"/>
      <c r="ANO395" s="801"/>
      <c r="ANP395" s="801"/>
      <c r="ANQ395" s="801"/>
      <c r="ANR395" s="801"/>
      <c r="ANS395" s="801"/>
      <c r="ANT395" s="801"/>
      <c r="ANU395" s="801"/>
      <c r="ANV395" s="801"/>
      <c r="ANW395" s="801"/>
      <c r="ANX395" s="801"/>
      <c r="ANY395" s="801"/>
      <c r="ANZ395" s="801"/>
      <c r="AOA395" s="801"/>
      <c r="AOB395" s="801"/>
      <c r="AOC395" s="801"/>
      <c r="AOD395" s="801"/>
      <c r="AOE395" s="801"/>
      <c r="AOF395" s="801"/>
      <c r="AOG395" s="801"/>
      <c r="AOH395" s="801"/>
      <c r="AOI395" s="801"/>
      <c r="AOJ395" s="801"/>
      <c r="AOK395" s="801"/>
      <c r="AOL395" s="801"/>
      <c r="AOM395" s="801"/>
      <c r="AON395" s="801"/>
      <c r="AOO395" s="801"/>
      <c r="AOP395" s="801"/>
      <c r="AOQ395" s="801"/>
      <c r="AOR395" s="801"/>
      <c r="AOS395" s="801"/>
      <c r="AOT395" s="801"/>
      <c r="AOU395" s="801"/>
      <c r="AOV395" s="801"/>
      <c r="AOW395" s="801"/>
      <c r="AOX395" s="801"/>
      <c r="AOY395" s="801"/>
      <c r="AOZ395" s="801"/>
      <c r="APA395" s="801"/>
      <c r="APB395" s="801"/>
      <c r="APC395" s="801"/>
      <c r="APD395" s="801"/>
      <c r="APE395" s="801"/>
      <c r="APF395" s="801"/>
      <c r="APG395" s="801"/>
      <c r="APH395" s="801"/>
      <c r="API395" s="801"/>
      <c r="APJ395" s="801"/>
      <c r="APK395" s="801"/>
      <c r="APL395" s="801"/>
      <c r="APM395" s="801"/>
      <c r="APN395" s="801"/>
      <c r="APO395" s="801"/>
      <c r="APP395" s="801"/>
      <c r="APQ395" s="801"/>
      <c r="APR395" s="801"/>
      <c r="APS395" s="801"/>
      <c r="APT395" s="801"/>
      <c r="APU395" s="801"/>
      <c r="APV395" s="801"/>
      <c r="APW395" s="801"/>
      <c r="APX395" s="801"/>
      <c r="APY395" s="801"/>
      <c r="APZ395" s="801"/>
      <c r="AQA395" s="801"/>
      <c r="AQB395" s="801"/>
      <c r="AQC395" s="801"/>
      <c r="AQD395" s="801"/>
      <c r="AQE395" s="801"/>
      <c r="AQF395" s="801"/>
      <c r="AQG395" s="801"/>
      <c r="AQH395" s="801"/>
      <c r="AQI395" s="801"/>
      <c r="AQJ395" s="801"/>
      <c r="AQK395" s="801"/>
      <c r="AQL395" s="801"/>
      <c r="AQM395" s="801"/>
      <c r="AQN395" s="801"/>
      <c r="AQO395" s="801"/>
      <c r="AQP395" s="801"/>
      <c r="AQQ395" s="801"/>
      <c r="AQR395" s="801"/>
      <c r="AQS395" s="801"/>
      <c r="AQT395" s="801"/>
      <c r="AQU395" s="801"/>
      <c r="AQV395" s="801"/>
      <c r="AQW395" s="801"/>
      <c r="AQX395" s="801"/>
      <c r="AQY395" s="801"/>
      <c r="AQZ395" s="801"/>
      <c r="ARA395" s="801"/>
      <c r="ARB395" s="801"/>
      <c r="ARC395" s="801"/>
      <c r="ARD395" s="801"/>
      <c r="ARE395" s="801"/>
      <c r="ARF395" s="801"/>
      <c r="ARG395" s="801"/>
      <c r="ARH395" s="801"/>
      <c r="ARI395" s="801"/>
      <c r="ARJ395" s="801"/>
      <c r="ARK395" s="801"/>
      <c r="ARL395" s="801"/>
      <c r="ARM395" s="801"/>
      <c r="ARN395" s="801"/>
      <c r="ARO395" s="801"/>
      <c r="ARP395" s="801"/>
      <c r="ARQ395" s="801"/>
      <c r="ARR395" s="801"/>
      <c r="ARS395" s="801"/>
      <c r="ART395" s="801"/>
      <c r="ARU395" s="801"/>
      <c r="ARV395" s="801"/>
      <c r="ARW395" s="801"/>
      <c r="ARX395" s="801"/>
      <c r="ARY395" s="801"/>
      <c r="ARZ395" s="801"/>
      <c r="ASA395" s="801"/>
      <c r="ASB395" s="801"/>
      <c r="ASC395" s="801"/>
      <c r="ASD395" s="801"/>
      <c r="ASE395" s="801"/>
      <c r="ASF395" s="801"/>
      <c r="ASG395" s="801"/>
      <c r="ASH395" s="801"/>
      <c r="ASI395" s="801"/>
      <c r="ASJ395" s="801"/>
      <c r="ASK395" s="801"/>
      <c r="ASL395" s="801"/>
      <c r="ASM395" s="801"/>
      <c r="ASN395" s="801"/>
      <c r="ASO395" s="801"/>
      <c r="ASP395" s="801"/>
      <c r="ASQ395" s="801"/>
      <c r="ASR395" s="801"/>
      <c r="ASS395" s="801"/>
      <c r="AST395" s="801"/>
      <c r="ASU395" s="801"/>
      <c r="ASV395" s="801"/>
      <c r="ASW395" s="801"/>
      <c r="ASX395" s="801"/>
      <c r="ASY395" s="801"/>
      <c r="ASZ395" s="801"/>
      <c r="ATA395" s="801"/>
      <c r="ATB395" s="801"/>
      <c r="ATC395" s="801"/>
      <c r="ATD395" s="801"/>
      <c r="ATE395" s="801"/>
      <c r="ATF395" s="801"/>
      <c r="ATG395" s="801"/>
      <c r="ATH395" s="801"/>
      <c r="ATI395" s="801"/>
      <c r="ATJ395" s="801"/>
      <c r="ATK395" s="801"/>
      <c r="ATL395" s="801"/>
      <c r="ATM395" s="801"/>
      <c r="ATN395" s="801"/>
      <c r="ATO395" s="801"/>
      <c r="ATP395" s="801"/>
      <c r="ATQ395" s="801"/>
      <c r="ATR395" s="801"/>
      <c r="ATS395" s="801"/>
      <c r="ATT395" s="801"/>
      <c r="ATU395" s="801"/>
      <c r="ATV395" s="801"/>
      <c r="ATW395" s="801"/>
      <c r="ATX395" s="801"/>
      <c r="ATY395" s="801"/>
      <c r="ATZ395" s="801"/>
      <c r="AUA395" s="801"/>
      <c r="AUB395" s="801"/>
      <c r="AUC395" s="801"/>
      <c r="AUD395" s="801"/>
      <c r="AUE395" s="801"/>
      <c r="AUF395" s="801"/>
      <c r="AUG395" s="801"/>
      <c r="AUH395" s="801"/>
      <c r="AUI395" s="801"/>
      <c r="AUJ395" s="801"/>
      <c r="AUK395" s="801"/>
      <c r="AUL395" s="801"/>
      <c r="AUM395" s="801"/>
      <c r="AUN395" s="801"/>
      <c r="AUO395" s="801"/>
      <c r="AUP395" s="801"/>
      <c r="AUQ395" s="801"/>
      <c r="AUR395" s="801"/>
      <c r="AUS395" s="801"/>
      <c r="AUT395" s="801"/>
      <c r="AUU395" s="801"/>
      <c r="AUV395" s="801"/>
      <c r="AUW395" s="801"/>
      <c r="AUX395" s="801"/>
      <c r="AUY395" s="801"/>
      <c r="AUZ395" s="801"/>
      <c r="AVA395" s="801"/>
      <c r="AVB395" s="801"/>
      <c r="AVC395" s="801"/>
      <c r="AVD395" s="801"/>
      <c r="AVE395" s="801"/>
      <c r="AVF395" s="801"/>
      <c r="AVG395" s="801"/>
      <c r="AVH395" s="801"/>
      <c r="AVI395" s="801"/>
      <c r="AVJ395" s="801"/>
      <c r="AVK395" s="801"/>
      <c r="AVL395" s="801"/>
      <c r="AVM395" s="801"/>
      <c r="AVN395" s="801"/>
      <c r="AVO395" s="801"/>
      <c r="AVP395" s="801"/>
      <c r="AVQ395" s="801"/>
      <c r="AVR395" s="801"/>
      <c r="AVS395" s="801"/>
      <c r="AVT395" s="801"/>
      <c r="AVU395" s="801"/>
      <c r="AVV395" s="801"/>
      <c r="AVW395" s="801"/>
      <c r="AVX395" s="801"/>
      <c r="AVY395" s="801"/>
      <c r="AVZ395" s="801"/>
      <c r="AWA395" s="801"/>
      <c r="AWB395" s="801"/>
      <c r="AWC395" s="801"/>
      <c r="AWD395" s="801"/>
      <c r="AWE395" s="801"/>
      <c r="AWF395" s="801"/>
      <c r="AWG395" s="801"/>
      <c r="AWH395" s="801"/>
      <c r="AWI395" s="801"/>
      <c r="AWJ395" s="801"/>
      <c r="AWK395" s="801"/>
      <c r="AWL395" s="801"/>
      <c r="AWM395" s="801"/>
      <c r="AWN395" s="801"/>
      <c r="AWO395" s="801"/>
      <c r="AWP395" s="801"/>
      <c r="AWQ395" s="801"/>
      <c r="AWR395" s="801"/>
      <c r="AWS395" s="801"/>
      <c r="AWT395" s="801"/>
      <c r="AWU395" s="801"/>
      <c r="AWV395" s="801"/>
      <c r="AWW395" s="801"/>
      <c r="AWX395" s="801"/>
      <c r="AWY395" s="801"/>
      <c r="AWZ395" s="801"/>
      <c r="AXA395" s="801"/>
      <c r="AXB395" s="801"/>
      <c r="AXC395" s="801"/>
      <c r="AXD395" s="801"/>
      <c r="AXE395" s="801"/>
      <c r="AXF395" s="801"/>
      <c r="AXG395" s="801"/>
      <c r="AXH395" s="801"/>
      <c r="AXI395" s="801"/>
      <c r="AXJ395" s="801"/>
      <c r="AXK395" s="801"/>
      <c r="AXL395" s="801"/>
      <c r="AXM395" s="801"/>
      <c r="AXN395" s="801"/>
      <c r="AXO395" s="801"/>
      <c r="AXP395" s="801"/>
      <c r="AXQ395" s="801"/>
      <c r="AXR395" s="801"/>
      <c r="AXS395" s="801"/>
      <c r="AXT395" s="801"/>
      <c r="AXU395" s="801"/>
      <c r="AXV395" s="801"/>
      <c r="AXW395" s="801"/>
      <c r="AXX395" s="801"/>
      <c r="AXY395" s="801"/>
      <c r="AXZ395" s="801"/>
      <c r="AYA395" s="801"/>
      <c r="AYB395" s="801"/>
      <c r="AYC395" s="801"/>
      <c r="AYD395" s="801"/>
      <c r="AYE395" s="801"/>
      <c r="AYF395" s="801"/>
      <c r="AYG395" s="801"/>
      <c r="AYH395" s="801"/>
      <c r="AYI395" s="801"/>
      <c r="AYJ395" s="801"/>
      <c r="AYK395" s="801"/>
      <c r="AYL395" s="801"/>
      <c r="AYM395" s="801"/>
      <c r="AYN395" s="801"/>
      <c r="AYO395" s="801"/>
      <c r="AYP395" s="801"/>
      <c r="AYQ395" s="801"/>
      <c r="AYR395" s="801"/>
      <c r="AYS395" s="801"/>
      <c r="AYT395" s="801"/>
      <c r="AYU395" s="801"/>
      <c r="AYV395" s="801"/>
      <c r="AYW395" s="801"/>
      <c r="AYX395" s="801"/>
      <c r="AYY395" s="801"/>
      <c r="AYZ395" s="801"/>
      <c r="AZA395" s="801"/>
      <c r="AZB395" s="801"/>
      <c r="AZC395" s="801"/>
      <c r="AZD395" s="801"/>
      <c r="AZE395" s="801"/>
      <c r="AZF395" s="801"/>
      <c r="AZG395" s="801"/>
      <c r="AZH395" s="801"/>
      <c r="AZI395" s="801"/>
      <c r="AZJ395" s="801"/>
      <c r="AZK395" s="801"/>
      <c r="AZL395" s="801"/>
      <c r="AZM395" s="801"/>
      <c r="AZN395" s="801"/>
      <c r="AZO395" s="801"/>
      <c r="AZP395" s="801"/>
      <c r="AZQ395" s="801"/>
      <c r="AZR395" s="801"/>
      <c r="AZS395" s="801"/>
      <c r="AZT395" s="801"/>
      <c r="AZU395" s="801"/>
      <c r="AZV395" s="801"/>
      <c r="AZW395" s="801"/>
      <c r="AZX395" s="801"/>
      <c r="AZY395" s="801"/>
      <c r="AZZ395" s="801"/>
      <c r="BAA395" s="801"/>
      <c r="BAB395" s="801"/>
      <c r="BAC395" s="801"/>
      <c r="BAD395" s="801"/>
      <c r="BAE395" s="801"/>
      <c r="BAF395" s="801"/>
      <c r="BAG395" s="801"/>
      <c r="BAH395" s="801"/>
      <c r="BAI395" s="801"/>
      <c r="BAJ395" s="801"/>
      <c r="BAK395" s="801"/>
      <c r="BAL395" s="801"/>
      <c r="BAM395" s="801"/>
      <c r="BAN395" s="801"/>
      <c r="BAO395" s="801"/>
      <c r="BAP395" s="801"/>
      <c r="BAQ395" s="801"/>
      <c r="BAR395" s="801"/>
      <c r="BAS395" s="801"/>
      <c r="BAT395" s="801"/>
      <c r="BAU395" s="801"/>
      <c r="BAV395" s="801"/>
      <c r="BAW395" s="801"/>
      <c r="BAX395" s="801"/>
      <c r="BAY395" s="801"/>
      <c r="BAZ395" s="801"/>
      <c r="BBA395" s="801"/>
      <c r="BBB395" s="801"/>
      <c r="BBC395" s="801"/>
      <c r="BBD395" s="801"/>
      <c r="BBE395" s="801"/>
      <c r="BBF395" s="801"/>
      <c r="BBG395" s="801"/>
      <c r="BBH395" s="801"/>
      <c r="BBI395" s="801"/>
      <c r="BBJ395" s="801"/>
      <c r="BBK395" s="801"/>
      <c r="BBL395" s="801"/>
      <c r="BBM395" s="801"/>
      <c r="BBN395" s="801"/>
      <c r="BBO395" s="801"/>
      <c r="BBP395" s="801"/>
      <c r="BBQ395" s="801"/>
      <c r="BBR395" s="801"/>
      <c r="BBS395" s="801"/>
      <c r="BBT395" s="801"/>
      <c r="BBU395" s="801"/>
      <c r="BBV395" s="801"/>
      <c r="BBW395" s="801"/>
      <c r="BBX395" s="801"/>
      <c r="BBY395" s="801"/>
      <c r="BBZ395" s="801"/>
      <c r="BCA395" s="801"/>
      <c r="BCB395" s="801"/>
      <c r="BCC395" s="801"/>
      <c r="BCD395" s="801"/>
      <c r="BCE395" s="801"/>
      <c r="BCF395" s="801"/>
      <c r="BCG395" s="801"/>
      <c r="BCH395" s="801"/>
      <c r="BCI395" s="801"/>
      <c r="BCJ395" s="801"/>
      <c r="BCK395" s="801"/>
      <c r="BCL395" s="801"/>
      <c r="BCM395" s="801"/>
      <c r="BCN395" s="801"/>
      <c r="BCO395" s="801"/>
      <c r="BCP395" s="801"/>
      <c r="BCQ395" s="801"/>
      <c r="BCR395" s="801"/>
      <c r="BCS395" s="801"/>
      <c r="BCT395" s="801"/>
      <c r="BCU395" s="801"/>
      <c r="BCV395" s="801"/>
      <c r="BCW395" s="801"/>
      <c r="BCX395" s="801"/>
      <c r="BCY395" s="801"/>
      <c r="BCZ395" s="801"/>
      <c r="BDA395" s="801"/>
      <c r="BDB395" s="801"/>
      <c r="BDC395" s="801"/>
      <c r="BDD395" s="801"/>
      <c r="BDE395" s="801"/>
      <c r="BDF395" s="801"/>
      <c r="BDG395" s="801"/>
      <c r="BDH395" s="801"/>
      <c r="BDI395" s="801"/>
      <c r="BDJ395" s="801"/>
      <c r="BDK395" s="801"/>
      <c r="BDL395" s="801"/>
      <c r="BDM395" s="801"/>
      <c r="BDN395" s="801"/>
      <c r="BDO395" s="801"/>
      <c r="BDP395" s="801"/>
      <c r="BDQ395" s="801"/>
      <c r="BDR395" s="801"/>
      <c r="BDS395" s="801"/>
      <c r="BDT395" s="801"/>
      <c r="BDU395" s="801"/>
      <c r="BDV395" s="801"/>
      <c r="BDW395" s="801"/>
      <c r="BDX395" s="801"/>
      <c r="BDY395" s="801"/>
      <c r="BDZ395" s="801"/>
      <c r="BEA395" s="801"/>
      <c r="BEB395" s="801"/>
      <c r="BEC395" s="801"/>
      <c r="BED395" s="801"/>
      <c r="BEE395" s="801"/>
      <c r="BEF395" s="801"/>
      <c r="BEG395" s="801"/>
      <c r="BEH395" s="801"/>
      <c r="BEI395" s="801"/>
      <c r="BEJ395" s="801"/>
      <c r="BEK395" s="801"/>
      <c r="BEL395" s="801"/>
      <c r="BEM395" s="801"/>
      <c r="BEN395" s="801"/>
      <c r="BEO395" s="801"/>
      <c r="BEP395" s="801"/>
      <c r="BEQ395" s="801"/>
      <c r="BER395" s="801"/>
      <c r="BES395" s="801"/>
      <c r="BET395" s="801"/>
      <c r="BEU395" s="801"/>
      <c r="BEV395" s="801"/>
      <c r="BEW395" s="801"/>
      <c r="BEX395" s="801"/>
      <c r="BEY395" s="801"/>
      <c r="BEZ395" s="801"/>
      <c r="BFA395" s="801"/>
      <c r="BFB395" s="801"/>
      <c r="BFC395" s="801"/>
      <c r="BFD395" s="801"/>
      <c r="BFE395" s="801"/>
      <c r="BFF395" s="801"/>
      <c r="BFG395" s="801"/>
      <c r="BFH395" s="801"/>
      <c r="BFI395" s="801"/>
      <c r="BFJ395" s="801"/>
      <c r="BFK395" s="801"/>
      <c r="BFL395" s="801"/>
      <c r="BFM395" s="801"/>
      <c r="BFN395" s="801"/>
      <c r="BFO395" s="801"/>
      <c r="BFP395" s="801"/>
      <c r="BFQ395" s="801"/>
      <c r="BFR395" s="801"/>
      <c r="BFS395" s="801"/>
      <c r="BFT395" s="801"/>
      <c r="BFU395" s="801"/>
      <c r="BFV395" s="801"/>
      <c r="BFW395" s="801"/>
      <c r="BFX395" s="801"/>
      <c r="BFY395" s="801"/>
      <c r="BFZ395" s="801"/>
      <c r="BGA395" s="801"/>
      <c r="BGB395" s="801"/>
      <c r="BGC395" s="801"/>
      <c r="BGD395" s="801"/>
      <c r="BGE395" s="801"/>
      <c r="BGF395" s="801"/>
      <c r="BGG395" s="801"/>
      <c r="BGH395" s="801"/>
      <c r="BGI395" s="801"/>
      <c r="BGJ395" s="801"/>
      <c r="BGK395" s="801"/>
      <c r="BGL395" s="801"/>
      <c r="BGM395" s="801"/>
      <c r="BGN395" s="801"/>
      <c r="BGO395" s="801"/>
      <c r="BGP395" s="801"/>
      <c r="BGQ395" s="801"/>
      <c r="BGR395" s="801"/>
      <c r="BGS395" s="801"/>
      <c r="BGT395" s="801"/>
      <c r="BGU395" s="801"/>
      <c r="BGV395" s="801"/>
      <c r="BGW395" s="801"/>
      <c r="BGX395" s="801"/>
      <c r="BGY395" s="801"/>
      <c r="BGZ395" s="801"/>
      <c r="BHA395" s="801"/>
      <c r="BHB395" s="801"/>
      <c r="BHC395" s="801"/>
      <c r="BHD395" s="801"/>
      <c r="BHE395" s="801"/>
      <c r="BHF395" s="801"/>
      <c r="BHG395" s="801"/>
      <c r="BHH395" s="801"/>
      <c r="BHI395" s="801"/>
      <c r="BHJ395" s="801"/>
      <c r="BHK395" s="801"/>
      <c r="BHL395" s="801"/>
      <c r="BHM395" s="801"/>
      <c r="BHN395" s="801"/>
      <c r="BHO395" s="801"/>
      <c r="BHP395" s="801"/>
      <c r="BHQ395" s="801"/>
      <c r="BHR395" s="801"/>
      <c r="BHS395" s="801"/>
      <c r="BHT395" s="801"/>
      <c r="BHU395" s="801"/>
      <c r="BHV395" s="801"/>
      <c r="BHW395" s="801"/>
      <c r="BHX395" s="801"/>
      <c r="BHY395" s="801"/>
      <c r="BHZ395" s="801"/>
      <c r="BIA395" s="801"/>
      <c r="BIB395" s="801"/>
      <c r="BIC395" s="801"/>
      <c r="BID395" s="801"/>
      <c r="BIE395" s="801"/>
      <c r="BIF395" s="801"/>
      <c r="BIG395" s="801"/>
      <c r="BIH395" s="801"/>
      <c r="BII395" s="801"/>
      <c r="BIJ395" s="801"/>
      <c r="BIK395" s="801"/>
      <c r="BIL395" s="801"/>
      <c r="BIM395" s="801"/>
      <c r="BIN395" s="801"/>
      <c r="BIO395" s="801"/>
      <c r="BIP395" s="801"/>
      <c r="BIQ395" s="801"/>
      <c r="BIR395" s="801"/>
      <c r="BIS395" s="801"/>
      <c r="BIT395" s="801"/>
      <c r="BIU395" s="801"/>
      <c r="BIV395" s="801"/>
      <c r="BIW395" s="801"/>
      <c r="BIX395" s="801"/>
      <c r="BIY395" s="801"/>
      <c r="BIZ395" s="801"/>
      <c r="BJA395" s="801"/>
      <c r="BJB395" s="801"/>
      <c r="BJC395" s="801"/>
      <c r="BJD395" s="801"/>
      <c r="BJE395" s="801"/>
      <c r="BJF395" s="801"/>
      <c r="BJG395" s="801"/>
      <c r="BJH395" s="801"/>
      <c r="BJI395" s="801"/>
      <c r="BJJ395" s="801"/>
      <c r="BJK395" s="801"/>
      <c r="BJL395" s="801"/>
      <c r="BJM395" s="801"/>
      <c r="BJN395" s="801"/>
      <c r="BJO395" s="801"/>
      <c r="BJP395" s="801"/>
      <c r="BJQ395" s="801"/>
      <c r="BJR395" s="801"/>
      <c r="BJS395" s="801"/>
      <c r="BJT395" s="801"/>
      <c r="BJU395" s="801"/>
      <c r="BJV395" s="801"/>
      <c r="BJW395" s="801"/>
      <c r="BJX395" s="801"/>
      <c r="BJY395" s="801"/>
      <c r="BJZ395" s="801"/>
      <c r="BKA395" s="801"/>
      <c r="BKB395" s="801"/>
      <c r="BKC395" s="801"/>
      <c r="BKD395" s="801"/>
      <c r="BKE395" s="801"/>
      <c r="BKF395" s="801"/>
      <c r="BKG395" s="801"/>
      <c r="BKH395" s="801"/>
      <c r="BKI395" s="801"/>
      <c r="BKJ395" s="801"/>
      <c r="BKK395" s="801"/>
      <c r="BKL395" s="801"/>
      <c r="BKM395" s="801"/>
      <c r="BKN395" s="801"/>
      <c r="BKO395" s="801"/>
      <c r="BKP395" s="801"/>
      <c r="BKQ395" s="801"/>
      <c r="BKR395" s="801"/>
      <c r="BKS395" s="801"/>
      <c r="BKT395" s="801"/>
      <c r="BKU395" s="801"/>
      <c r="BKV395" s="801"/>
      <c r="BKW395" s="801"/>
      <c r="BKX395" s="801"/>
      <c r="BKY395" s="801"/>
      <c r="BKZ395" s="801"/>
      <c r="BLA395" s="801"/>
      <c r="BLB395" s="801"/>
      <c r="BLC395" s="801"/>
      <c r="BLD395" s="801"/>
      <c r="BLE395" s="801"/>
      <c r="BLF395" s="801"/>
      <c r="BLG395" s="801"/>
      <c r="BLH395" s="801"/>
      <c r="BLI395" s="801"/>
      <c r="BLJ395" s="801"/>
      <c r="BLK395" s="801"/>
      <c r="BLL395" s="801"/>
      <c r="BLM395" s="801"/>
      <c r="BLN395" s="801"/>
      <c r="BLO395" s="801"/>
      <c r="BLP395" s="801"/>
      <c r="BLQ395" s="801"/>
      <c r="BLR395" s="801"/>
      <c r="BLS395" s="801"/>
      <c r="BLT395" s="801"/>
      <c r="BLU395" s="801"/>
      <c r="BLV395" s="801"/>
      <c r="BLW395" s="801"/>
      <c r="BLX395" s="801"/>
      <c r="BLY395" s="801"/>
      <c r="BLZ395" s="801"/>
      <c r="BMA395" s="801"/>
      <c r="BMB395" s="801"/>
      <c r="BMC395" s="801"/>
      <c r="BMD395" s="801"/>
      <c r="BME395" s="801"/>
      <c r="BMF395" s="801"/>
      <c r="BMG395" s="801"/>
      <c r="BMH395" s="801"/>
      <c r="BMI395" s="801"/>
      <c r="BMJ395" s="801"/>
      <c r="BMK395" s="801"/>
      <c r="BML395" s="801"/>
      <c r="BMM395" s="801"/>
      <c r="BMN395" s="801"/>
      <c r="BMO395" s="801"/>
      <c r="BMP395" s="801"/>
      <c r="BMQ395" s="801"/>
      <c r="BMR395" s="801"/>
      <c r="BMS395" s="801"/>
      <c r="BMT395" s="801"/>
      <c r="BMU395" s="801"/>
      <c r="BMV395" s="801"/>
      <c r="BMW395" s="801"/>
      <c r="BMX395" s="801"/>
      <c r="BMY395" s="801"/>
      <c r="BMZ395" s="801"/>
      <c r="BNA395" s="801"/>
      <c r="BNB395" s="801"/>
      <c r="BNC395" s="801"/>
      <c r="BND395" s="801"/>
      <c r="BNE395" s="801"/>
      <c r="BNF395" s="801"/>
      <c r="BNG395" s="801"/>
      <c r="BNH395" s="801"/>
      <c r="BNI395" s="801"/>
      <c r="BNJ395" s="801"/>
      <c r="BNK395" s="801"/>
      <c r="BNL395" s="801"/>
      <c r="BNM395" s="801"/>
      <c r="BNN395" s="801"/>
      <c r="BNO395" s="801"/>
      <c r="BNP395" s="801"/>
      <c r="BNQ395" s="801"/>
      <c r="BNR395" s="801"/>
      <c r="BNS395" s="801"/>
      <c r="BNT395" s="801"/>
      <c r="BNU395" s="801"/>
      <c r="BNV395" s="801"/>
      <c r="BNW395" s="801"/>
      <c r="BNX395" s="801"/>
      <c r="BNY395" s="801"/>
      <c r="BNZ395" s="801"/>
      <c r="BOA395" s="801"/>
      <c r="BOB395" s="801"/>
      <c r="BOC395" s="801"/>
      <c r="BOD395" s="801"/>
      <c r="BOE395" s="801"/>
      <c r="BOF395" s="801"/>
      <c r="BOG395" s="801"/>
      <c r="BOH395" s="801"/>
      <c r="BOI395" s="801"/>
      <c r="BOJ395" s="801"/>
      <c r="BOK395" s="801"/>
      <c r="BOL395" s="801"/>
      <c r="BOM395" s="801"/>
      <c r="BON395" s="801"/>
      <c r="BOO395" s="801"/>
      <c r="BOP395" s="801"/>
      <c r="BOQ395" s="801"/>
      <c r="BOR395" s="801"/>
      <c r="BOS395" s="801"/>
      <c r="BOT395" s="801"/>
      <c r="BOU395" s="801"/>
      <c r="BOV395" s="801"/>
    </row>
    <row r="396" spans="1:1764" s="791" customFormat="1" ht="11.25">
      <c r="A396" s="796"/>
      <c r="C396" s="790"/>
      <c r="D396" s="790"/>
      <c r="E396" s="790"/>
      <c r="F396" s="793"/>
      <c r="G396" s="792"/>
      <c r="H396" s="792"/>
      <c r="I396" s="792"/>
      <c r="J396" s="792"/>
      <c r="M396" s="790"/>
      <c r="O396" s="790"/>
      <c r="P396" s="790"/>
      <c r="Q396" s="790"/>
      <c r="R396" s="790"/>
      <c r="S396" s="790"/>
      <c r="T396" s="790"/>
      <c r="U396" s="790"/>
      <c r="V396" s="790"/>
    </row>
    <row r="397" spans="1:1764" s="791" customFormat="1" ht="11.25">
      <c r="A397" s="797"/>
      <c r="C397" s="790"/>
      <c r="D397" s="790"/>
      <c r="E397" s="790"/>
      <c r="F397" s="793"/>
      <c r="G397" s="792"/>
      <c r="H397" s="792"/>
      <c r="I397" s="792"/>
      <c r="J397" s="792"/>
      <c r="M397" s="790"/>
      <c r="O397" s="790"/>
      <c r="P397" s="790"/>
      <c r="Q397" s="790"/>
      <c r="R397" s="790"/>
      <c r="S397" s="790"/>
      <c r="T397" s="790"/>
      <c r="U397" s="790"/>
      <c r="V397" s="790"/>
    </row>
    <row r="398" spans="1:1764" s="791" customFormat="1" ht="11.25">
      <c r="A398" s="800"/>
      <c r="C398" s="790"/>
      <c r="D398" s="790"/>
      <c r="E398" s="790"/>
      <c r="F398" s="793"/>
      <c r="G398" s="792"/>
      <c r="H398" s="792"/>
      <c r="I398" s="792"/>
      <c r="J398" s="792"/>
      <c r="M398" s="790"/>
      <c r="O398" s="790"/>
      <c r="P398" s="790"/>
      <c r="Q398" s="790"/>
      <c r="R398" s="790"/>
      <c r="S398" s="790"/>
      <c r="T398" s="790"/>
      <c r="U398" s="790"/>
      <c r="V398" s="790"/>
    </row>
    <row r="399" spans="1:1764" s="791" customFormat="1" ht="11.25">
      <c r="A399" s="799"/>
      <c r="C399" s="790"/>
      <c r="D399" s="790"/>
      <c r="E399" s="790"/>
      <c r="F399" s="793"/>
      <c r="G399" s="792"/>
      <c r="H399" s="792"/>
      <c r="I399" s="792"/>
      <c r="J399" s="792"/>
      <c r="M399" s="790"/>
      <c r="O399" s="790"/>
      <c r="P399" s="790"/>
      <c r="Q399" s="790"/>
      <c r="R399" s="790"/>
      <c r="S399" s="790"/>
      <c r="T399" s="790"/>
      <c r="U399" s="790"/>
      <c r="V399" s="790"/>
    </row>
    <row r="400" spans="1:1764" s="791" customFormat="1" ht="11.25">
      <c r="A400" s="796"/>
      <c r="C400" s="790"/>
      <c r="D400" s="790"/>
      <c r="E400" s="790"/>
      <c r="F400" s="793"/>
      <c r="G400" s="792"/>
      <c r="H400" s="792"/>
      <c r="I400" s="792"/>
      <c r="J400" s="792"/>
      <c r="M400" s="790"/>
      <c r="O400" s="790"/>
      <c r="P400" s="790"/>
      <c r="Q400" s="790"/>
      <c r="R400" s="790"/>
      <c r="S400" s="790"/>
      <c r="T400" s="790"/>
      <c r="U400" s="790"/>
      <c r="V400" s="790"/>
    </row>
    <row r="401" spans="1:22" s="791" customFormat="1" ht="11.25">
      <c r="A401" s="796"/>
      <c r="C401" s="790"/>
      <c r="D401" s="790"/>
      <c r="E401" s="790"/>
      <c r="F401" s="793"/>
      <c r="G401" s="792"/>
      <c r="H401" s="792"/>
      <c r="I401" s="792"/>
      <c r="J401" s="792"/>
      <c r="M401" s="790"/>
      <c r="O401" s="790"/>
      <c r="P401" s="790"/>
      <c r="Q401" s="790"/>
      <c r="R401" s="790"/>
      <c r="S401" s="790"/>
      <c r="T401" s="790"/>
      <c r="U401" s="790"/>
      <c r="V401" s="790"/>
    </row>
    <row r="402" spans="1:22" s="791" customFormat="1" ht="11.25">
      <c r="A402" s="796"/>
      <c r="C402" s="790"/>
      <c r="D402" s="790"/>
      <c r="E402" s="790"/>
      <c r="F402" s="793"/>
      <c r="G402" s="792"/>
      <c r="H402" s="792"/>
      <c r="I402" s="792"/>
      <c r="J402" s="792"/>
      <c r="M402" s="790"/>
      <c r="O402" s="790"/>
      <c r="P402" s="790"/>
      <c r="Q402" s="790"/>
      <c r="R402" s="790"/>
      <c r="S402" s="790"/>
      <c r="T402" s="790"/>
      <c r="U402" s="790"/>
      <c r="V402" s="790"/>
    </row>
    <row r="403" spans="1:22" s="791" customFormat="1" ht="11.25">
      <c r="A403" s="796"/>
      <c r="C403" s="790"/>
      <c r="D403" s="790"/>
      <c r="E403" s="790"/>
      <c r="F403" s="793"/>
      <c r="G403" s="792"/>
      <c r="H403" s="792"/>
      <c r="I403" s="792"/>
      <c r="J403" s="792"/>
      <c r="M403" s="790"/>
      <c r="O403" s="790"/>
      <c r="P403" s="790"/>
      <c r="Q403" s="790"/>
      <c r="R403" s="790"/>
      <c r="S403" s="790"/>
      <c r="T403" s="790"/>
      <c r="U403" s="790"/>
      <c r="V403" s="790"/>
    </row>
    <row r="404" spans="1:22" s="791" customFormat="1" ht="11.25">
      <c r="A404" s="796"/>
      <c r="C404" s="790"/>
      <c r="D404" s="790"/>
      <c r="E404" s="790"/>
      <c r="F404" s="793"/>
      <c r="G404" s="792"/>
      <c r="H404" s="792"/>
      <c r="I404" s="792"/>
      <c r="J404" s="792"/>
      <c r="M404" s="790"/>
      <c r="O404" s="790"/>
      <c r="P404" s="790"/>
      <c r="Q404" s="790"/>
      <c r="R404" s="790"/>
      <c r="S404" s="790"/>
      <c r="T404" s="790"/>
      <c r="U404" s="790"/>
      <c r="V404" s="790"/>
    </row>
    <row r="405" spans="1:22" s="791" customFormat="1" ht="11.25">
      <c r="A405" s="796"/>
      <c r="C405" s="790"/>
      <c r="D405" s="790"/>
      <c r="E405" s="790"/>
      <c r="F405" s="793"/>
      <c r="G405" s="792"/>
      <c r="H405" s="792"/>
      <c r="I405" s="792"/>
      <c r="J405" s="792"/>
      <c r="M405" s="790"/>
      <c r="O405" s="790"/>
      <c r="P405" s="790"/>
      <c r="Q405" s="790"/>
      <c r="R405" s="790"/>
      <c r="S405" s="790"/>
      <c r="T405" s="790"/>
      <c r="U405" s="790"/>
      <c r="V405" s="790"/>
    </row>
    <row r="406" spans="1:22" s="791" customFormat="1" ht="11.25">
      <c r="A406" s="796"/>
      <c r="C406" s="790"/>
      <c r="D406" s="790"/>
      <c r="E406" s="790"/>
      <c r="F406" s="793"/>
      <c r="G406" s="792"/>
      <c r="H406" s="792"/>
      <c r="I406" s="792"/>
      <c r="J406" s="792"/>
      <c r="M406" s="790"/>
      <c r="O406" s="790"/>
      <c r="P406" s="790"/>
      <c r="Q406" s="790"/>
      <c r="R406" s="790"/>
      <c r="S406" s="790"/>
      <c r="T406" s="790"/>
      <c r="U406" s="790"/>
      <c r="V406" s="790"/>
    </row>
    <row r="407" spans="1:22" s="791" customFormat="1" ht="11.25">
      <c r="A407" s="796"/>
      <c r="C407" s="790"/>
      <c r="D407" s="790"/>
      <c r="E407" s="790"/>
      <c r="F407" s="793"/>
      <c r="G407" s="792"/>
      <c r="H407" s="792"/>
      <c r="I407" s="792"/>
      <c r="J407" s="792"/>
      <c r="M407" s="790"/>
      <c r="O407" s="790"/>
      <c r="P407" s="790"/>
      <c r="Q407" s="790"/>
      <c r="R407" s="790"/>
      <c r="S407" s="790"/>
      <c r="T407" s="790"/>
      <c r="U407" s="790"/>
      <c r="V407" s="790"/>
    </row>
    <row r="408" spans="1:22" s="791" customFormat="1" ht="11.25">
      <c r="A408" s="796"/>
      <c r="C408" s="790"/>
      <c r="D408" s="790"/>
      <c r="E408" s="790"/>
      <c r="F408" s="793"/>
      <c r="G408" s="792"/>
      <c r="H408" s="792"/>
      <c r="I408" s="792"/>
      <c r="J408" s="792"/>
      <c r="M408" s="790"/>
      <c r="O408" s="790"/>
      <c r="P408" s="790"/>
      <c r="Q408" s="790"/>
      <c r="R408" s="790"/>
      <c r="S408" s="790"/>
      <c r="T408" s="790"/>
      <c r="U408" s="790"/>
      <c r="V408" s="790"/>
    </row>
    <row r="409" spans="1:22" s="791" customFormat="1" ht="11.25">
      <c r="A409" s="796"/>
      <c r="C409" s="790"/>
      <c r="D409" s="790"/>
      <c r="E409" s="790"/>
      <c r="F409" s="793"/>
      <c r="G409" s="792"/>
      <c r="H409" s="792"/>
      <c r="I409" s="792"/>
      <c r="J409" s="792"/>
      <c r="M409" s="790"/>
      <c r="O409" s="790"/>
      <c r="P409" s="790"/>
      <c r="Q409" s="790"/>
      <c r="R409" s="790"/>
      <c r="S409" s="790"/>
      <c r="T409" s="790"/>
      <c r="U409" s="790"/>
      <c r="V409" s="790"/>
    </row>
    <row r="410" spans="1:22" s="791" customFormat="1" ht="11.25">
      <c r="A410" s="796"/>
      <c r="C410" s="790"/>
      <c r="D410" s="790"/>
      <c r="E410" s="790"/>
      <c r="F410" s="793"/>
      <c r="G410" s="792"/>
      <c r="H410" s="792"/>
      <c r="I410" s="792"/>
      <c r="J410" s="792"/>
      <c r="M410" s="790"/>
      <c r="O410" s="790"/>
      <c r="P410" s="790"/>
      <c r="Q410" s="790"/>
      <c r="R410" s="790"/>
      <c r="S410" s="790"/>
      <c r="T410" s="790"/>
      <c r="U410" s="790"/>
      <c r="V410" s="790"/>
    </row>
    <row r="411" spans="1:22" s="791" customFormat="1" ht="11.25">
      <c r="A411" s="796"/>
      <c r="C411" s="790"/>
      <c r="D411" s="790"/>
      <c r="E411" s="790"/>
      <c r="F411" s="793"/>
      <c r="G411" s="792"/>
      <c r="H411" s="792"/>
      <c r="I411" s="792"/>
      <c r="J411" s="792"/>
      <c r="M411" s="790"/>
      <c r="O411" s="790"/>
      <c r="P411" s="790"/>
      <c r="Q411" s="790"/>
      <c r="R411" s="790"/>
      <c r="S411" s="790"/>
      <c r="T411" s="790"/>
      <c r="U411" s="790"/>
      <c r="V411" s="790"/>
    </row>
    <row r="412" spans="1:22" s="791" customFormat="1" ht="11.25">
      <c r="A412" s="796"/>
      <c r="C412" s="790"/>
      <c r="D412" s="790"/>
      <c r="E412" s="790"/>
      <c r="F412" s="793"/>
      <c r="G412" s="792"/>
      <c r="H412" s="792"/>
      <c r="I412" s="792"/>
      <c r="J412" s="792"/>
      <c r="M412" s="790"/>
      <c r="O412" s="790"/>
      <c r="P412" s="790"/>
      <c r="Q412" s="790"/>
      <c r="R412" s="790"/>
      <c r="S412" s="790"/>
      <c r="T412" s="790"/>
      <c r="U412" s="790"/>
      <c r="V412" s="790"/>
    </row>
    <row r="413" spans="1:22" s="791" customFormat="1" ht="11.25">
      <c r="A413" s="796"/>
      <c r="C413" s="790"/>
      <c r="D413" s="790"/>
      <c r="E413" s="790"/>
      <c r="F413" s="793"/>
      <c r="G413" s="792"/>
      <c r="H413" s="792"/>
      <c r="I413" s="792"/>
      <c r="J413" s="792"/>
      <c r="M413" s="790"/>
      <c r="O413" s="790"/>
      <c r="P413" s="790"/>
      <c r="Q413" s="790"/>
      <c r="R413" s="790"/>
      <c r="S413" s="790"/>
      <c r="T413" s="790"/>
      <c r="U413" s="790"/>
      <c r="V413" s="790"/>
    </row>
    <row r="414" spans="1:22" s="791" customFormat="1" ht="11.25">
      <c r="A414" s="796"/>
      <c r="C414" s="790"/>
      <c r="D414" s="790"/>
      <c r="E414" s="790"/>
      <c r="F414" s="793"/>
      <c r="G414" s="792"/>
      <c r="H414" s="792"/>
      <c r="I414" s="792"/>
      <c r="J414" s="792"/>
      <c r="M414" s="790"/>
      <c r="O414" s="790"/>
      <c r="P414" s="790"/>
      <c r="Q414" s="790"/>
      <c r="R414" s="790"/>
      <c r="S414" s="790"/>
      <c r="T414" s="790"/>
      <c r="U414" s="790"/>
      <c r="V414" s="790"/>
    </row>
    <row r="415" spans="1:22" s="791" customFormat="1" ht="11.25">
      <c r="A415" s="796"/>
      <c r="C415" s="790"/>
      <c r="D415" s="790"/>
      <c r="E415" s="790"/>
      <c r="F415" s="793"/>
      <c r="G415" s="792"/>
      <c r="H415" s="792"/>
      <c r="I415" s="792"/>
      <c r="J415" s="792"/>
      <c r="M415" s="790"/>
      <c r="O415" s="790"/>
      <c r="P415" s="790"/>
      <c r="Q415" s="790"/>
      <c r="R415" s="790"/>
      <c r="S415" s="790"/>
      <c r="T415" s="790"/>
      <c r="U415" s="790"/>
      <c r="V415" s="790"/>
    </row>
    <row r="416" spans="1:22" s="791" customFormat="1" ht="11.25">
      <c r="A416" s="796"/>
      <c r="C416" s="790"/>
      <c r="D416" s="790"/>
      <c r="E416" s="790"/>
      <c r="F416" s="793"/>
      <c r="G416" s="792"/>
      <c r="H416" s="792"/>
      <c r="I416" s="792"/>
      <c r="J416" s="792"/>
      <c r="M416" s="790"/>
      <c r="O416" s="790"/>
      <c r="P416" s="790"/>
      <c r="Q416" s="790"/>
      <c r="R416" s="790"/>
      <c r="S416" s="790"/>
      <c r="T416" s="790"/>
      <c r="U416" s="790"/>
      <c r="V416" s="790"/>
    </row>
    <row r="417" spans="1:22" s="791" customFormat="1" ht="11.25">
      <c r="A417" s="796"/>
      <c r="C417" s="790"/>
      <c r="D417" s="790"/>
      <c r="E417" s="790"/>
      <c r="F417" s="793"/>
      <c r="G417" s="792"/>
      <c r="H417" s="792"/>
      <c r="I417" s="792"/>
      <c r="J417" s="792"/>
      <c r="M417" s="790"/>
      <c r="O417" s="790"/>
      <c r="P417" s="790"/>
      <c r="Q417" s="790"/>
      <c r="R417" s="790"/>
      <c r="S417" s="790"/>
      <c r="T417" s="790"/>
      <c r="U417" s="790"/>
      <c r="V417" s="790"/>
    </row>
    <row r="418" spans="1:22" s="791" customFormat="1" ht="11.25">
      <c r="A418" s="796"/>
      <c r="C418" s="790"/>
      <c r="D418" s="790"/>
      <c r="E418" s="790"/>
      <c r="F418" s="793"/>
      <c r="G418" s="792"/>
      <c r="H418" s="792"/>
      <c r="I418" s="792"/>
      <c r="J418" s="792"/>
      <c r="M418" s="790"/>
      <c r="O418" s="790"/>
      <c r="P418" s="790"/>
      <c r="Q418" s="790"/>
      <c r="R418" s="790"/>
      <c r="S418" s="790"/>
      <c r="T418" s="790"/>
      <c r="U418" s="790"/>
      <c r="V418" s="790"/>
    </row>
    <row r="419" spans="1:22" s="791" customFormat="1" ht="11.25">
      <c r="A419" s="796"/>
      <c r="C419" s="790"/>
      <c r="D419" s="790"/>
      <c r="E419" s="790"/>
      <c r="F419" s="793"/>
      <c r="G419" s="792"/>
      <c r="H419" s="792"/>
      <c r="I419" s="792"/>
      <c r="J419" s="792"/>
      <c r="M419" s="790"/>
      <c r="O419" s="790"/>
      <c r="P419" s="790"/>
      <c r="Q419" s="790"/>
      <c r="R419" s="790"/>
      <c r="S419" s="790"/>
      <c r="T419" s="790"/>
      <c r="U419" s="790"/>
      <c r="V419" s="790"/>
    </row>
    <row r="420" spans="1:22" s="791" customFormat="1" ht="11.25">
      <c r="A420" s="796"/>
      <c r="C420" s="790"/>
      <c r="D420" s="790"/>
      <c r="E420" s="790"/>
      <c r="F420" s="793"/>
      <c r="G420" s="792"/>
      <c r="H420" s="792"/>
      <c r="I420" s="792"/>
      <c r="J420" s="792"/>
      <c r="M420" s="790"/>
      <c r="O420" s="790"/>
      <c r="P420" s="790"/>
      <c r="Q420" s="790"/>
      <c r="R420" s="790"/>
      <c r="S420" s="790"/>
      <c r="T420" s="790"/>
      <c r="U420" s="790"/>
      <c r="V420" s="790"/>
    </row>
    <row r="421" spans="1:22" s="791" customFormat="1" ht="11.25">
      <c r="A421" s="796"/>
      <c r="C421" s="790"/>
      <c r="D421" s="790"/>
      <c r="E421" s="790"/>
      <c r="F421" s="793"/>
      <c r="G421" s="792"/>
      <c r="H421" s="792"/>
      <c r="I421" s="792"/>
      <c r="J421" s="792"/>
      <c r="M421" s="790"/>
      <c r="O421" s="790"/>
      <c r="P421" s="790"/>
      <c r="Q421" s="790"/>
      <c r="R421" s="790"/>
      <c r="S421" s="790"/>
      <c r="T421" s="790"/>
      <c r="U421" s="790"/>
      <c r="V421" s="790"/>
    </row>
    <row r="422" spans="1:22" s="791" customFormat="1" ht="11.25">
      <c r="A422" s="796"/>
      <c r="C422" s="790"/>
      <c r="D422" s="790"/>
      <c r="E422" s="790"/>
      <c r="F422" s="793"/>
      <c r="G422" s="792"/>
      <c r="H422" s="792"/>
      <c r="I422" s="792"/>
      <c r="J422" s="792"/>
      <c r="M422" s="790"/>
      <c r="O422" s="790"/>
      <c r="P422" s="790"/>
      <c r="Q422" s="790"/>
      <c r="R422" s="790"/>
      <c r="S422" s="790"/>
      <c r="T422" s="790"/>
      <c r="U422" s="790"/>
      <c r="V422" s="790"/>
    </row>
    <row r="423" spans="1:22" s="791" customFormat="1" ht="11.25">
      <c r="A423" s="796"/>
      <c r="C423" s="790"/>
      <c r="D423" s="790"/>
      <c r="E423" s="790"/>
      <c r="F423" s="793"/>
      <c r="G423" s="792"/>
      <c r="H423" s="792"/>
      <c r="I423" s="792"/>
      <c r="J423" s="792"/>
      <c r="M423" s="790"/>
      <c r="O423" s="790"/>
      <c r="P423" s="790"/>
      <c r="Q423" s="790"/>
      <c r="R423" s="790"/>
      <c r="S423" s="790"/>
      <c r="T423" s="790"/>
      <c r="U423" s="790"/>
      <c r="V423" s="790"/>
    </row>
    <row r="424" spans="1:22" s="791" customFormat="1" ht="11.25">
      <c r="A424" s="796"/>
      <c r="C424" s="790"/>
      <c r="D424" s="790"/>
      <c r="E424" s="790"/>
      <c r="F424" s="793"/>
      <c r="G424" s="792"/>
      <c r="H424" s="792"/>
      <c r="I424" s="792"/>
      <c r="J424" s="792"/>
      <c r="M424" s="790"/>
      <c r="O424" s="790"/>
      <c r="P424" s="790"/>
      <c r="Q424" s="790"/>
      <c r="R424" s="790"/>
      <c r="S424" s="790"/>
      <c r="T424" s="790"/>
      <c r="U424" s="790"/>
      <c r="V424" s="790"/>
    </row>
    <row r="425" spans="1:22" s="791" customFormat="1" ht="11.25">
      <c r="A425" s="796"/>
      <c r="C425" s="790"/>
      <c r="D425" s="790"/>
      <c r="E425" s="790"/>
      <c r="F425" s="793"/>
      <c r="G425" s="792"/>
      <c r="H425" s="792"/>
      <c r="I425" s="792"/>
      <c r="J425" s="792"/>
      <c r="M425" s="790"/>
      <c r="O425" s="790"/>
      <c r="P425" s="790"/>
      <c r="Q425" s="790"/>
      <c r="R425" s="790"/>
      <c r="S425" s="790"/>
      <c r="T425" s="790"/>
      <c r="U425" s="790"/>
      <c r="V425" s="790"/>
    </row>
    <row r="426" spans="1:22" s="791" customFormat="1" ht="11.25">
      <c r="A426" s="796"/>
      <c r="C426" s="790"/>
      <c r="D426" s="790"/>
      <c r="E426" s="790"/>
      <c r="F426" s="793"/>
      <c r="G426" s="792"/>
      <c r="H426" s="792"/>
      <c r="I426" s="792"/>
      <c r="J426" s="792"/>
      <c r="M426" s="790"/>
      <c r="O426" s="790"/>
      <c r="P426" s="790"/>
      <c r="Q426" s="790"/>
      <c r="R426" s="790"/>
      <c r="S426" s="790"/>
      <c r="T426" s="790"/>
      <c r="U426" s="790"/>
      <c r="V426" s="790"/>
    </row>
    <row r="427" spans="1:22" s="791" customFormat="1" ht="11.25">
      <c r="A427" s="796"/>
      <c r="C427" s="790"/>
      <c r="D427" s="790"/>
      <c r="E427" s="790"/>
      <c r="F427" s="793"/>
      <c r="G427" s="792"/>
      <c r="H427" s="792"/>
      <c r="I427" s="792"/>
      <c r="J427" s="792"/>
      <c r="M427" s="790"/>
      <c r="O427" s="790"/>
      <c r="P427" s="790"/>
      <c r="Q427" s="790"/>
      <c r="R427" s="790"/>
      <c r="S427" s="790"/>
      <c r="T427" s="790"/>
      <c r="U427" s="790"/>
      <c r="V427" s="790"/>
    </row>
    <row r="428" spans="1:22" s="791" customFormat="1" ht="11.25">
      <c r="A428" s="796"/>
      <c r="C428" s="790"/>
      <c r="D428" s="790"/>
      <c r="E428" s="790"/>
      <c r="F428" s="793"/>
      <c r="G428" s="792"/>
      <c r="H428" s="792"/>
      <c r="I428" s="792"/>
      <c r="J428" s="792"/>
      <c r="M428" s="790"/>
      <c r="O428" s="790"/>
      <c r="P428" s="790"/>
      <c r="Q428" s="790"/>
      <c r="R428" s="790"/>
      <c r="S428" s="790"/>
      <c r="T428" s="790"/>
      <c r="U428" s="790"/>
      <c r="V428" s="790"/>
    </row>
    <row r="429" spans="1:22" s="791" customFormat="1" ht="11.25">
      <c r="A429" s="796"/>
      <c r="C429" s="790"/>
      <c r="D429" s="790"/>
      <c r="E429" s="790"/>
      <c r="F429" s="793"/>
      <c r="G429" s="792"/>
      <c r="H429" s="792"/>
      <c r="I429" s="792"/>
      <c r="J429" s="792"/>
      <c r="M429" s="790"/>
      <c r="O429" s="790"/>
      <c r="P429" s="790"/>
      <c r="Q429" s="790"/>
      <c r="R429" s="790"/>
      <c r="S429" s="790"/>
      <c r="T429" s="790"/>
      <c r="U429" s="790"/>
      <c r="V429" s="790"/>
    </row>
    <row r="430" spans="1:22" s="791" customFormat="1" ht="11.25">
      <c r="A430" s="796"/>
      <c r="C430" s="790"/>
      <c r="D430" s="790"/>
      <c r="E430" s="790"/>
      <c r="F430" s="793"/>
      <c r="G430" s="792"/>
      <c r="H430" s="792"/>
      <c r="I430" s="792"/>
      <c r="J430" s="792"/>
      <c r="M430" s="790"/>
      <c r="O430" s="790"/>
      <c r="P430" s="790"/>
      <c r="Q430" s="790"/>
      <c r="R430" s="790"/>
      <c r="S430" s="790"/>
      <c r="T430" s="790"/>
      <c r="U430" s="790"/>
      <c r="V430" s="790"/>
    </row>
    <row r="431" spans="1:22" s="791" customFormat="1" ht="11.25">
      <c r="A431" s="796"/>
      <c r="C431" s="790"/>
      <c r="D431" s="790"/>
      <c r="E431" s="790"/>
      <c r="F431" s="793"/>
      <c r="G431" s="792"/>
      <c r="H431" s="792"/>
      <c r="I431" s="792"/>
      <c r="J431" s="792"/>
      <c r="M431" s="790"/>
      <c r="O431" s="790"/>
      <c r="P431" s="790"/>
      <c r="Q431" s="790"/>
      <c r="R431" s="790"/>
      <c r="S431" s="790"/>
      <c r="T431" s="790"/>
      <c r="U431" s="790"/>
      <c r="V431" s="790"/>
    </row>
    <row r="432" spans="1:22" s="791" customFormat="1" ht="11.25">
      <c r="A432" s="796"/>
      <c r="C432" s="790"/>
      <c r="D432" s="790"/>
      <c r="E432" s="790"/>
      <c r="F432" s="793"/>
      <c r="G432" s="792"/>
      <c r="H432" s="792"/>
      <c r="I432" s="792"/>
      <c r="J432" s="792"/>
      <c r="M432" s="790"/>
      <c r="O432" s="790"/>
      <c r="P432" s="790"/>
      <c r="Q432" s="790"/>
      <c r="R432" s="790"/>
      <c r="S432" s="790"/>
      <c r="T432" s="790"/>
      <c r="U432" s="790"/>
      <c r="V432" s="790"/>
    </row>
    <row r="433" spans="1:22" s="791" customFormat="1" ht="11.25">
      <c r="A433" s="796"/>
      <c r="C433" s="790"/>
      <c r="D433" s="790"/>
      <c r="E433" s="790"/>
      <c r="F433" s="793"/>
      <c r="G433" s="792"/>
      <c r="H433" s="792"/>
      <c r="I433" s="792"/>
      <c r="J433" s="792"/>
      <c r="M433" s="790"/>
      <c r="O433" s="790"/>
      <c r="P433" s="790"/>
      <c r="Q433" s="790"/>
      <c r="R433" s="790"/>
      <c r="S433" s="790"/>
      <c r="T433" s="790"/>
      <c r="U433" s="790"/>
      <c r="V433" s="790"/>
    </row>
    <row r="434" spans="1:22" s="791" customFormat="1" ht="11.25">
      <c r="A434" s="796"/>
      <c r="C434" s="790"/>
      <c r="D434" s="790"/>
      <c r="E434" s="790"/>
      <c r="F434" s="793"/>
      <c r="G434" s="792"/>
      <c r="H434" s="792"/>
      <c r="I434" s="792"/>
      <c r="J434" s="792"/>
      <c r="M434" s="790"/>
      <c r="O434" s="790"/>
      <c r="P434" s="790"/>
      <c r="Q434" s="790"/>
      <c r="R434" s="790"/>
      <c r="S434" s="790"/>
      <c r="T434" s="790"/>
      <c r="U434" s="790"/>
      <c r="V434" s="790"/>
    </row>
    <row r="435" spans="1:22" s="791" customFormat="1" ht="11.25">
      <c r="A435" s="796"/>
      <c r="C435" s="790"/>
      <c r="D435" s="790"/>
      <c r="E435" s="790"/>
      <c r="F435" s="793"/>
      <c r="G435" s="792"/>
      <c r="H435" s="792"/>
      <c r="I435" s="792"/>
      <c r="J435" s="792"/>
      <c r="M435" s="790"/>
      <c r="O435" s="790"/>
      <c r="P435" s="790"/>
      <c r="Q435" s="790"/>
      <c r="R435" s="790"/>
      <c r="S435" s="790"/>
      <c r="T435" s="790"/>
      <c r="U435" s="790"/>
      <c r="V435" s="790"/>
    </row>
    <row r="436" spans="1:22" s="791" customFormat="1" ht="11.25">
      <c r="A436" s="796"/>
      <c r="C436" s="790"/>
      <c r="D436" s="790"/>
      <c r="E436" s="790"/>
      <c r="F436" s="793"/>
      <c r="G436" s="792"/>
      <c r="H436" s="792"/>
      <c r="I436" s="792"/>
      <c r="J436" s="792"/>
      <c r="M436" s="790"/>
      <c r="O436" s="790"/>
      <c r="P436" s="790"/>
      <c r="Q436" s="790"/>
      <c r="R436" s="790"/>
      <c r="S436" s="790"/>
      <c r="T436" s="790"/>
      <c r="U436" s="790"/>
      <c r="V436" s="790"/>
    </row>
    <row r="437" spans="1:22" s="791" customFormat="1" ht="11.25">
      <c r="A437" s="796"/>
      <c r="C437" s="790"/>
      <c r="D437" s="790"/>
      <c r="E437" s="790"/>
      <c r="F437" s="793"/>
      <c r="G437" s="792"/>
      <c r="H437" s="792"/>
      <c r="I437" s="792"/>
      <c r="J437" s="792"/>
      <c r="M437" s="790"/>
      <c r="O437" s="790"/>
      <c r="P437" s="790"/>
      <c r="Q437" s="790"/>
      <c r="R437" s="790"/>
      <c r="S437" s="790"/>
      <c r="T437" s="790"/>
      <c r="U437" s="790"/>
      <c r="V437" s="790"/>
    </row>
    <row r="438" spans="1:22" s="791" customFormat="1" ht="11.25">
      <c r="A438" s="796"/>
      <c r="C438" s="790"/>
      <c r="D438" s="790"/>
      <c r="E438" s="790"/>
      <c r="F438" s="793"/>
      <c r="G438" s="792"/>
      <c r="H438" s="792"/>
      <c r="I438" s="792"/>
      <c r="J438" s="792"/>
      <c r="M438" s="790"/>
      <c r="O438" s="790"/>
      <c r="P438" s="790"/>
      <c r="Q438" s="790"/>
      <c r="R438" s="790"/>
      <c r="S438" s="790"/>
      <c r="T438" s="790"/>
      <c r="U438" s="790"/>
      <c r="V438" s="790"/>
    </row>
    <row r="439" spans="1:22" s="791" customFormat="1" ht="11.25">
      <c r="A439" s="796"/>
      <c r="C439" s="790"/>
      <c r="D439" s="790"/>
      <c r="E439" s="790"/>
      <c r="F439" s="793"/>
      <c r="G439" s="792"/>
      <c r="H439" s="792"/>
      <c r="I439" s="792"/>
      <c r="J439" s="792"/>
      <c r="M439" s="790"/>
      <c r="O439" s="790"/>
      <c r="P439" s="790"/>
      <c r="Q439" s="790"/>
      <c r="R439" s="790"/>
      <c r="S439" s="790"/>
      <c r="T439" s="790"/>
      <c r="U439" s="790"/>
      <c r="V439" s="790"/>
    </row>
    <row r="440" spans="1:22" s="791" customFormat="1" ht="11.25">
      <c r="A440" s="796"/>
      <c r="C440" s="790"/>
      <c r="D440" s="790"/>
      <c r="E440" s="790"/>
      <c r="F440" s="793"/>
      <c r="G440" s="792"/>
      <c r="H440" s="792"/>
      <c r="I440" s="792"/>
      <c r="J440" s="792"/>
      <c r="M440" s="790"/>
      <c r="O440" s="790"/>
      <c r="P440" s="790"/>
      <c r="Q440" s="790"/>
      <c r="R440" s="790"/>
      <c r="S440" s="790"/>
      <c r="T440" s="790"/>
      <c r="U440" s="790"/>
      <c r="V440" s="790"/>
    </row>
    <row r="441" spans="1:22" s="791" customFormat="1" ht="11.25">
      <c r="A441" s="796"/>
      <c r="C441" s="790"/>
      <c r="D441" s="790"/>
      <c r="E441" s="790"/>
      <c r="F441" s="793"/>
      <c r="G441" s="792"/>
      <c r="H441" s="792"/>
      <c r="I441" s="792"/>
      <c r="J441" s="792"/>
      <c r="M441" s="790"/>
      <c r="O441" s="790"/>
      <c r="P441" s="790"/>
      <c r="Q441" s="790"/>
      <c r="R441" s="790"/>
      <c r="S441" s="790"/>
      <c r="T441" s="790"/>
      <c r="U441" s="790"/>
      <c r="V441" s="790"/>
    </row>
    <row r="442" spans="1:22" s="791" customFormat="1" ht="11.25">
      <c r="A442" s="796"/>
      <c r="C442" s="790"/>
      <c r="D442" s="790"/>
      <c r="E442" s="790"/>
      <c r="F442" s="793"/>
      <c r="G442" s="792"/>
      <c r="H442" s="792"/>
      <c r="I442" s="792"/>
      <c r="J442" s="792"/>
      <c r="M442" s="790"/>
      <c r="O442" s="790"/>
      <c r="P442" s="790"/>
      <c r="Q442" s="790"/>
      <c r="R442" s="790"/>
      <c r="S442" s="790"/>
      <c r="T442" s="790"/>
      <c r="U442" s="790"/>
      <c r="V442" s="790"/>
    </row>
    <row r="443" spans="1:22" s="791" customFormat="1" ht="11.25">
      <c r="A443" s="796"/>
      <c r="C443" s="790"/>
      <c r="D443" s="790"/>
      <c r="E443" s="790"/>
      <c r="F443" s="793"/>
      <c r="G443" s="792"/>
      <c r="H443" s="792"/>
      <c r="I443" s="792"/>
      <c r="J443" s="792"/>
      <c r="M443" s="790"/>
      <c r="O443" s="790"/>
      <c r="P443" s="790"/>
      <c r="Q443" s="790"/>
      <c r="R443" s="790"/>
      <c r="S443" s="790"/>
      <c r="T443" s="790"/>
      <c r="U443" s="790"/>
      <c r="V443" s="790"/>
    </row>
    <row r="444" spans="1:22" s="791" customFormat="1" ht="11.25">
      <c r="A444" s="796"/>
      <c r="C444" s="790"/>
      <c r="D444" s="790"/>
      <c r="E444" s="790"/>
      <c r="F444" s="793"/>
      <c r="G444" s="792"/>
      <c r="H444" s="792"/>
      <c r="I444" s="792"/>
      <c r="J444" s="792"/>
      <c r="M444" s="790"/>
      <c r="O444" s="790"/>
      <c r="P444" s="790"/>
      <c r="Q444" s="790"/>
      <c r="R444" s="790"/>
      <c r="S444" s="790"/>
      <c r="T444" s="790"/>
      <c r="U444" s="790"/>
      <c r="V444" s="790"/>
    </row>
    <row r="445" spans="1:22" s="791" customFormat="1" ht="11.25">
      <c r="A445" s="796"/>
      <c r="C445" s="790"/>
      <c r="D445" s="790"/>
      <c r="E445" s="790"/>
      <c r="F445" s="793"/>
      <c r="G445" s="792"/>
      <c r="H445" s="792"/>
      <c r="I445" s="792"/>
      <c r="J445" s="792"/>
      <c r="M445" s="790"/>
      <c r="O445" s="790"/>
      <c r="P445" s="790"/>
      <c r="Q445" s="790"/>
      <c r="R445" s="790"/>
      <c r="S445" s="790"/>
      <c r="T445" s="790"/>
      <c r="U445" s="790"/>
      <c r="V445" s="790"/>
    </row>
    <row r="446" spans="1:22" s="791" customFormat="1" ht="11.25">
      <c r="A446" s="796"/>
      <c r="C446" s="790"/>
      <c r="D446" s="790"/>
      <c r="E446" s="790"/>
      <c r="F446" s="793"/>
      <c r="G446" s="792"/>
      <c r="H446" s="792"/>
      <c r="I446" s="792"/>
      <c r="J446" s="792"/>
      <c r="M446" s="790"/>
      <c r="O446" s="790"/>
      <c r="P446" s="790"/>
      <c r="Q446" s="790"/>
      <c r="R446" s="790"/>
      <c r="S446" s="790"/>
      <c r="T446" s="790"/>
      <c r="U446" s="790"/>
      <c r="V446" s="790"/>
    </row>
    <row r="447" spans="1:22" s="791" customFormat="1" ht="11.25">
      <c r="A447" s="796"/>
      <c r="C447" s="790"/>
      <c r="D447" s="790"/>
      <c r="E447" s="790"/>
      <c r="F447" s="793"/>
      <c r="G447" s="792"/>
      <c r="H447" s="792"/>
      <c r="I447" s="792"/>
      <c r="J447" s="792"/>
      <c r="M447" s="790"/>
      <c r="O447" s="790"/>
      <c r="P447" s="790"/>
      <c r="Q447" s="790"/>
      <c r="R447" s="790"/>
      <c r="S447" s="790"/>
      <c r="T447" s="790"/>
      <c r="U447" s="790"/>
      <c r="V447" s="790"/>
    </row>
    <row r="448" spans="1:22" s="791" customFormat="1" ht="11.25">
      <c r="A448" s="796"/>
      <c r="C448" s="790"/>
      <c r="D448" s="790"/>
      <c r="E448" s="790"/>
      <c r="F448" s="793"/>
      <c r="G448" s="792"/>
      <c r="H448" s="792"/>
      <c r="I448" s="792"/>
      <c r="J448" s="792"/>
      <c r="M448" s="790"/>
      <c r="O448" s="790"/>
      <c r="P448" s="790"/>
      <c r="Q448" s="790"/>
      <c r="R448" s="790"/>
      <c r="S448" s="790"/>
      <c r="T448" s="790"/>
      <c r="U448" s="790"/>
      <c r="V448" s="790"/>
    </row>
    <row r="449" spans="1:22" s="791" customFormat="1" ht="11.25">
      <c r="A449" s="796"/>
      <c r="C449" s="790"/>
      <c r="D449" s="790"/>
      <c r="E449" s="790"/>
      <c r="F449" s="793"/>
      <c r="G449" s="792"/>
      <c r="H449" s="792"/>
      <c r="I449" s="792"/>
      <c r="J449" s="792"/>
      <c r="M449" s="790"/>
      <c r="O449" s="790"/>
      <c r="P449" s="790"/>
      <c r="Q449" s="790"/>
      <c r="R449" s="790"/>
      <c r="S449" s="790"/>
      <c r="T449" s="790"/>
      <c r="U449" s="790"/>
      <c r="V449" s="790"/>
    </row>
    <row r="450" spans="1:22" s="791" customFormat="1" ht="11.25">
      <c r="A450" s="796"/>
      <c r="C450" s="790"/>
      <c r="D450" s="790"/>
      <c r="E450" s="790"/>
      <c r="F450" s="793"/>
      <c r="G450" s="792"/>
      <c r="H450" s="792"/>
      <c r="I450" s="792"/>
      <c r="J450" s="792"/>
      <c r="M450" s="790"/>
      <c r="O450" s="790"/>
      <c r="P450" s="790"/>
      <c r="Q450" s="790"/>
      <c r="R450" s="790"/>
      <c r="S450" s="790"/>
      <c r="T450" s="790"/>
      <c r="U450" s="790"/>
      <c r="V450" s="790"/>
    </row>
    <row r="451" spans="1:22" s="791" customFormat="1" ht="11.25">
      <c r="A451" s="796"/>
      <c r="C451" s="790"/>
      <c r="D451" s="790"/>
      <c r="E451" s="790"/>
      <c r="F451" s="793"/>
      <c r="G451" s="792"/>
      <c r="H451" s="792"/>
      <c r="I451" s="792"/>
      <c r="J451" s="792"/>
      <c r="M451" s="790"/>
      <c r="O451" s="790"/>
      <c r="P451" s="790"/>
      <c r="Q451" s="790"/>
      <c r="R451" s="790"/>
      <c r="S451" s="790"/>
      <c r="T451" s="790"/>
      <c r="U451" s="790"/>
      <c r="V451" s="790"/>
    </row>
    <row r="452" spans="1:22" s="791" customFormat="1" ht="11.25">
      <c r="A452" s="796"/>
      <c r="C452" s="790"/>
      <c r="D452" s="790"/>
      <c r="E452" s="790"/>
      <c r="F452" s="793"/>
      <c r="G452" s="792"/>
      <c r="H452" s="792"/>
      <c r="I452" s="792"/>
      <c r="J452" s="792"/>
      <c r="M452" s="790"/>
      <c r="O452" s="790"/>
      <c r="P452" s="790"/>
      <c r="Q452" s="790"/>
      <c r="R452" s="790"/>
      <c r="S452" s="790"/>
      <c r="T452" s="790"/>
      <c r="U452" s="790"/>
      <c r="V452" s="790"/>
    </row>
    <row r="453" spans="1:22" s="791" customFormat="1" ht="11.25">
      <c r="A453" s="796"/>
      <c r="C453" s="790"/>
      <c r="D453" s="790"/>
      <c r="E453" s="790"/>
      <c r="F453" s="793"/>
      <c r="G453" s="792"/>
      <c r="H453" s="792"/>
      <c r="I453" s="792"/>
      <c r="J453" s="792"/>
      <c r="M453" s="790"/>
      <c r="O453" s="790"/>
      <c r="P453" s="790"/>
      <c r="Q453" s="790"/>
      <c r="R453" s="790"/>
      <c r="S453" s="790"/>
      <c r="T453" s="790"/>
      <c r="U453" s="790"/>
      <c r="V453" s="790"/>
    </row>
    <row r="454" spans="1:22" s="791" customFormat="1" ht="11.25">
      <c r="A454" s="796"/>
      <c r="C454" s="790"/>
      <c r="D454" s="790"/>
      <c r="E454" s="790"/>
      <c r="F454" s="793"/>
      <c r="G454" s="792"/>
      <c r="H454" s="792"/>
      <c r="I454" s="792"/>
      <c r="J454" s="792"/>
      <c r="M454" s="790"/>
      <c r="O454" s="790"/>
      <c r="P454" s="790"/>
      <c r="Q454" s="790"/>
      <c r="R454" s="790"/>
      <c r="S454" s="790"/>
      <c r="T454" s="790"/>
      <c r="U454" s="790"/>
      <c r="V454" s="790"/>
    </row>
    <row r="455" spans="1:22" s="791" customFormat="1" ht="11.25">
      <c r="A455" s="796"/>
      <c r="C455" s="790"/>
      <c r="D455" s="790"/>
      <c r="E455" s="790"/>
      <c r="F455" s="793"/>
      <c r="G455" s="792"/>
      <c r="H455" s="792"/>
      <c r="I455" s="792"/>
      <c r="J455" s="792"/>
      <c r="M455" s="790"/>
      <c r="O455" s="790"/>
      <c r="P455" s="790"/>
      <c r="Q455" s="790"/>
      <c r="R455" s="790"/>
      <c r="S455" s="790"/>
      <c r="T455" s="790"/>
      <c r="U455" s="790"/>
      <c r="V455" s="790"/>
    </row>
    <row r="456" spans="1:22" s="791" customFormat="1" ht="11.25">
      <c r="A456" s="796"/>
      <c r="C456" s="790"/>
      <c r="D456" s="790"/>
      <c r="E456" s="790"/>
      <c r="F456" s="793"/>
      <c r="G456" s="792"/>
      <c r="H456" s="792"/>
      <c r="I456" s="792"/>
      <c r="J456" s="792"/>
      <c r="M456" s="790"/>
      <c r="O456" s="790"/>
      <c r="P456" s="790"/>
      <c r="Q456" s="790"/>
      <c r="R456" s="790"/>
      <c r="S456" s="790"/>
      <c r="T456" s="790"/>
      <c r="U456" s="790"/>
      <c r="V456" s="790"/>
    </row>
    <row r="457" spans="1:22" s="791" customFormat="1" ht="11.25">
      <c r="A457" s="796"/>
      <c r="C457" s="790"/>
      <c r="D457" s="790"/>
      <c r="E457" s="790"/>
      <c r="F457" s="793"/>
      <c r="G457" s="792"/>
      <c r="H457" s="792"/>
      <c r="I457" s="792"/>
      <c r="J457" s="792"/>
      <c r="M457" s="790"/>
      <c r="O457" s="790"/>
      <c r="P457" s="790"/>
      <c r="Q457" s="790"/>
      <c r="R457" s="790"/>
      <c r="S457" s="790"/>
      <c r="T457" s="790"/>
      <c r="U457" s="790"/>
      <c r="V457" s="790"/>
    </row>
    <row r="458" spans="1:22" s="791" customFormat="1" ht="11.25">
      <c r="A458" s="796"/>
      <c r="C458" s="790"/>
      <c r="D458" s="790"/>
      <c r="E458" s="790"/>
      <c r="F458" s="793"/>
      <c r="G458" s="792"/>
      <c r="H458" s="792"/>
      <c r="I458" s="792"/>
      <c r="J458" s="792"/>
      <c r="M458" s="790"/>
      <c r="O458" s="790"/>
      <c r="P458" s="790"/>
      <c r="Q458" s="790"/>
      <c r="R458" s="790"/>
      <c r="S458" s="790"/>
      <c r="T458" s="790"/>
      <c r="U458" s="790"/>
      <c r="V458" s="790"/>
    </row>
    <row r="459" spans="1:22" s="791" customFormat="1" ht="11.25">
      <c r="A459" s="796"/>
      <c r="C459" s="790"/>
      <c r="D459" s="790"/>
      <c r="E459" s="790"/>
      <c r="F459" s="793"/>
      <c r="G459" s="792"/>
      <c r="H459" s="792"/>
      <c r="I459" s="792"/>
      <c r="J459" s="792"/>
      <c r="M459" s="790"/>
      <c r="O459" s="790"/>
      <c r="P459" s="790"/>
      <c r="Q459" s="790"/>
      <c r="R459" s="790"/>
      <c r="S459" s="790"/>
      <c r="T459" s="790"/>
      <c r="U459" s="790"/>
      <c r="V459" s="790"/>
    </row>
    <row r="460" spans="1:22" s="791" customFormat="1" ht="11.25">
      <c r="A460" s="796"/>
      <c r="C460" s="790"/>
      <c r="D460" s="790"/>
      <c r="E460" s="790"/>
      <c r="F460" s="793"/>
      <c r="G460" s="792"/>
      <c r="H460" s="792"/>
      <c r="I460" s="792"/>
      <c r="J460" s="792"/>
      <c r="M460" s="790"/>
      <c r="O460" s="790"/>
      <c r="P460" s="790"/>
      <c r="Q460" s="790"/>
      <c r="R460" s="790"/>
      <c r="S460" s="790"/>
      <c r="T460" s="790"/>
      <c r="U460" s="790"/>
      <c r="V460" s="790"/>
    </row>
    <row r="461" spans="1:22" s="791" customFormat="1" ht="11.25">
      <c r="A461" s="796"/>
      <c r="C461" s="790"/>
      <c r="D461" s="790"/>
      <c r="E461" s="790"/>
      <c r="F461" s="793"/>
      <c r="G461" s="792"/>
      <c r="H461" s="792"/>
      <c r="I461" s="792"/>
      <c r="J461" s="792"/>
      <c r="M461" s="790"/>
      <c r="O461" s="790"/>
      <c r="P461" s="790"/>
      <c r="Q461" s="790"/>
      <c r="R461" s="790"/>
      <c r="S461" s="790"/>
      <c r="T461" s="790"/>
      <c r="U461" s="790"/>
      <c r="V461" s="790"/>
    </row>
    <row r="462" spans="1:22" s="791" customFormat="1" ht="11.25">
      <c r="A462" s="799"/>
      <c r="C462" s="790"/>
      <c r="D462" s="790"/>
      <c r="E462" s="790"/>
      <c r="F462" s="793"/>
      <c r="G462" s="792"/>
      <c r="H462" s="792"/>
      <c r="I462" s="792"/>
      <c r="J462" s="792"/>
      <c r="M462" s="790"/>
      <c r="O462" s="790"/>
      <c r="P462" s="790"/>
      <c r="Q462" s="790"/>
      <c r="R462" s="790"/>
      <c r="S462" s="790"/>
      <c r="T462" s="790"/>
      <c r="U462" s="790"/>
      <c r="V462" s="790"/>
    </row>
    <row r="463" spans="1:22" s="791" customFormat="1" ht="11.25">
      <c r="A463" s="796"/>
      <c r="C463" s="790"/>
      <c r="D463" s="790"/>
      <c r="E463" s="790"/>
      <c r="F463" s="793"/>
      <c r="G463" s="792"/>
      <c r="H463" s="792"/>
      <c r="I463" s="792"/>
      <c r="J463" s="792"/>
      <c r="M463" s="790"/>
      <c r="O463" s="790"/>
      <c r="P463" s="790"/>
      <c r="Q463" s="790"/>
      <c r="R463" s="790"/>
      <c r="S463" s="790"/>
      <c r="T463" s="790"/>
      <c r="U463" s="790"/>
      <c r="V463" s="790"/>
    </row>
    <row r="464" spans="1:22" s="791" customFormat="1" ht="11.25">
      <c r="A464" s="796"/>
      <c r="C464" s="790"/>
      <c r="D464" s="790"/>
      <c r="E464" s="790"/>
      <c r="F464" s="793"/>
      <c r="G464" s="792"/>
      <c r="H464" s="792"/>
      <c r="I464" s="792"/>
      <c r="J464" s="792"/>
      <c r="M464" s="790"/>
      <c r="O464" s="790"/>
      <c r="P464" s="790"/>
      <c r="Q464" s="790"/>
      <c r="R464" s="790"/>
      <c r="S464" s="790"/>
      <c r="T464" s="790"/>
      <c r="U464" s="790"/>
      <c r="V464" s="790"/>
    </row>
    <row r="465" spans="1:22" s="791" customFormat="1" ht="11.25">
      <c r="A465" s="799"/>
      <c r="C465" s="790"/>
      <c r="D465" s="790"/>
      <c r="E465" s="790"/>
      <c r="F465" s="793"/>
      <c r="G465" s="792"/>
      <c r="H465" s="792"/>
      <c r="I465" s="792"/>
      <c r="J465" s="792"/>
      <c r="M465" s="790"/>
      <c r="O465" s="790"/>
      <c r="P465" s="790"/>
      <c r="Q465" s="790"/>
      <c r="R465" s="790"/>
      <c r="S465" s="790"/>
      <c r="T465" s="790"/>
      <c r="U465" s="790"/>
      <c r="V465" s="790"/>
    </row>
    <row r="466" spans="1:22" s="791" customFormat="1" ht="11.25">
      <c r="A466" s="799"/>
      <c r="C466" s="790"/>
      <c r="D466" s="790"/>
      <c r="E466" s="790"/>
      <c r="F466" s="793"/>
      <c r="G466" s="792"/>
      <c r="H466" s="792"/>
      <c r="I466" s="792"/>
      <c r="J466" s="792"/>
      <c r="M466" s="790"/>
      <c r="O466" s="790"/>
      <c r="P466" s="790"/>
      <c r="Q466" s="790"/>
      <c r="R466" s="790"/>
      <c r="S466" s="790"/>
      <c r="T466" s="790"/>
      <c r="U466" s="790"/>
      <c r="V466" s="790"/>
    </row>
    <row r="467" spans="1:22" s="791" customFormat="1" ht="11.25">
      <c r="A467" s="796"/>
      <c r="C467" s="790"/>
      <c r="D467" s="790"/>
      <c r="E467" s="790"/>
      <c r="F467" s="793"/>
      <c r="G467" s="792"/>
      <c r="H467" s="792"/>
      <c r="I467" s="792"/>
      <c r="J467" s="792"/>
      <c r="M467" s="790"/>
      <c r="O467" s="790"/>
      <c r="P467" s="790"/>
      <c r="Q467" s="790"/>
      <c r="R467" s="790"/>
      <c r="S467" s="790"/>
      <c r="T467" s="790"/>
      <c r="U467" s="790"/>
      <c r="V467" s="790"/>
    </row>
    <row r="468" spans="1:22" s="791" customFormat="1" ht="11.25">
      <c r="A468" s="796"/>
      <c r="C468" s="790"/>
      <c r="D468" s="790"/>
      <c r="E468" s="790"/>
      <c r="F468" s="793"/>
      <c r="G468" s="792"/>
      <c r="H468" s="792"/>
      <c r="I468" s="792"/>
      <c r="J468" s="792"/>
      <c r="M468" s="790"/>
      <c r="O468" s="790"/>
      <c r="P468" s="790"/>
      <c r="Q468" s="790"/>
      <c r="R468" s="790"/>
      <c r="S468" s="790"/>
      <c r="T468" s="790"/>
      <c r="U468" s="790"/>
      <c r="V468" s="790"/>
    </row>
    <row r="469" spans="1:22" s="791" customFormat="1" ht="11.25">
      <c r="A469" s="796"/>
      <c r="C469" s="790"/>
      <c r="D469" s="790"/>
      <c r="E469" s="790"/>
      <c r="F469" s="793"/>
      <c r="G469" s="792"/>
      <c r="H469" s="792"/>
      <c r="I469" s="792"/>
      <c r="J469" s="792"/>
      <c r="M469" s="790"/>
      <c r="O469" s="790"/>
      <c r="P469" s="790"/>
      <c r="Q469" s="790"/>
      <c r="R469" s="790"/>
      <c r="S469" s="790"/>
      <c r="T469" s="790"/>
      <c r="U469" s="790"/>
      <c r="V469" s="790"/>
    </row>
    <row r="470" spans="1:22" s="791" customFormat="1" ht="11.25">
      <c r="A470" s="796"/>
      <c r="C470" s="790"/>
      <c r="D470" s="790"/>
      <c r="E470" s="790"/>
      <c r="F470" s="793"/>
      <c r="G470" s="792"/>
      <c r="H470" s="792"/>
      <c r="I470" s="792"/>
      <c r="J470" s="792"/>
      <c r="M470" s="790"/>
      <c r="O470" s="790"/>
      <c r="P470" s="790"/>
      <c r="Q470" s="790"/>
      <c r="R470" s="790"/>
      <c r="S470" s="790"/>
      <c r="T470" s="790"/>
      <c r="U470" s="790"/>
      <c r="V470" s="790"/>
    </row>
    <row r="471" spans="1:22" s="791" customFormat="1" ht="11.25">
      <c r="A471" s="798"/>
      <c r="C471" s="790"/>
      <c r="D471" s="790"/>
      <c r="E471" s="790"/>
      <c r="F471" s="793"/>
      <c r="G471" s="792"/>
      <c r="H471" s="792"/>
      <c r="I471" s="792"/>
      <c r="J471" s="792"/>
      <c r="M471" s="790"/>
      <c r="O471" s="790"/>
      <c r="P471" s="790"/>
      <c r="Q471" s="790"/>
      <c r="R471" s="790"/>
      <c r="S471" s="790"/>
      <c r="T471" s="790"/>
      <c r="U471" s="790"/>
      <c r="V471" s="790"/>
    </row>
    <row r="472" spans="1:22" s="791" customFormat="1" ht="11.25">
      <c r="A472" s="796"/>
      <c r="C472" s="790"/>
      <c r="D472" s="790"/>
      <c r="E472" s="790"/>
      <c r="F472" s="793"/>
      <c r="G472" s="792"/>
      <c r="H472" s="792"/>
      <c r="I472" s="792"/>
      <c r="J472" s="792"/>
      <c r="M472" s="790"/>
      <c r="O472" s="790"/>
      <c r="P472" s="790"/>
      <c r="Q472" s="790"/>
      <c r="R472" s="790"/>
      <c r="S472" s="790"/>
      <c r="T472" s="790"/>
      <c r="U472" s="790"/>
      <c r="V472" s="790"/>
    </row>
    <row r="473" spans="1:22" s="791" customFormat="1" ht="11.25">
      <c r="A473" s="797"/>
      <c r="C473" s="790"/>
      <c r="D473" s="790"/>
      <c r="E473" s="790"/>
      <c r="F473" s="793"/>
      <c r="G473" s="792"/>
      <c r="H473" s="792"/>
      <c r="I473" s="792"/>
      <c r="J473" s="792"/>
      <c r="M473" s="790"/>
      <c r="O473" s="790"/>
      <c r="P473" s="790"/>
      <c r="Q473" s="790"/>
      <c r="R473" s="790"/>
      <c r="S473" s="790"/>
      <c r="T473" s="790"/>
      <c r="U473" s="790"/>
      <c r="V473" s="790"/>
    </row>
    <row r="474" spans="1:22" s="791" customFormat="1" ht="11.25">
      <c r="A474" s="797"/>
      <c r="C474" s="790"/>
      <c r="D474" s="790"/>
      <c r="E474" s="790"/>
      <c r="F474" s="793"/>
      <c r="G474" s="792"/>
      <c r="H474" s="792"/>
      <c r="I474" s="792"/>
      <c r="J474" s="792"/>
      <c r="M474" s="790"/>
      <c r="O474" s="790"/>
      <c r="P474" s="790"/>
      <c r="Q474" s="790"/>
      <c r="R474" s="790"/>
      <c r="S474" s="790"/>
      <c r="T474" s="790"/>
      <c r="U474" s="790"/>
      <c r="V474" s="790"/>
    </row>
    <row r="475" spans="1:22" s="791" customFormat="1" ht="11.25">
      <c r="A475" s="796"/>
      <c r="C475" s="790"/>
      <c r="D475" s="790"/>
      <c r="E475" s="790"/>
      <c r="F475" s="793"/>
      <c r="G475" s="792"/>
      <c r="H475" s="792"/>
      <c r="I475" s="792"/>
      <c r="J475" s="792"/>
      <c r="M475" s="790"/>
      <c r="O475" s="790"/>
      <c r="P475" s="790"/>
      <c r="Q475" s="790"/>
      <c r="R475" s="790"/>
      <c r="S475" s="790"/>
      <c r="T475" s="790"/>
      <c r="U475" s="790"/>
      <c r="V475" s="790"/>
    </row>
    <row r="476" spans="1:22" s="791" customFormat="1" ht="11.25">
      <c r="A476" s="797"/>
      <c r="C476" s="790"/>
      <c r="D476" s="790"/>
      <c r="E476" s="790"/>
      <c r="F476" s="793"/>
      <c r="G476" s="792"/>
      <c r="H476" s="792"/>
      <c r="I476" s="792"/>
      <c r="J476" s="792"/>
      <c r="M476" s="790"/>
      <c r="O476" s="790"/>
      <c r="P476" s="790"/>
      <c r="Q476" s="790"/>
      <c r="R476" s="790"/>
      <c r="S476" s="790"/>
      <c r="T476" s="790"/>
      <c r="U476" s="790"/>
      <c r="V476" s="790"/>
    </row>
    <row r="477" spans="1:22" s="791" customFormat="1" ht="11.25">
      <c r="A477" s="800"/>
      <c r="C477" s="790"/>
      <c r="D477" s="790"/>
      <c r="E477" s="790"/>
      <c r="F477" s="793"/>
      <c r="G477" s="792"/>
      <c r="H477" s="792"/>
      <c r="I477" s="792"/>
      <c r="J477" s="792"/>
      <c r="M477" s="790"/>
      <c r="O477" s="790"/>
      <c r="P477" s="790"/>
      <c r="Q477" s="790"/>
      <c r="R477" s="790"/>
      <c r="S477" s="790"/>
      <c r="T477" s="790"/>
      <c r="U477" s="790"/>
      <c r="V477" s="790"/>
    </row>
    <row r="478" spans="1:22" s="791" customFormat="1" ht="11.25">
      <c r="A478" s="800"/>
      <c r="C478" s="790"/>
      <c r="D478" s="790"/>
      <c r="E478" s="790"/>
      <c r="F478" s="793"/>
      <c r="G478" s="792"/>
      <c r="H478" s="792"/>
      <c r="I478" s="792"/>
      <c r="J478" s="792"/>
      <c r="M478" s="790"/>
      <c r="O478" s="790"/>
      <c r="P478" s="790"/>
      <c r="Q478" s="790"/>
      <c r="R478" s="790"/>
      <c r="S478" s="790"/>
      <c r="T478" s="790"/>
      <c r="U478" s="790"/>
      <c r="V478" s="790"/>
    </row>
    <row r="479" spans="1:22" s="791" customFormat="1" ht="11.25">
      <c r="A479" s="796"/>
      <c r="C479" s="790"/>
      <c r="D479" s="790"/>
      <c r="E479" s="790"/>
      <c r="F479" s="793"/>
      <c r="G479" s="792"/>
      <c r="H479" s="792"/>
      <c r="I479" s="792"/>
      <c r="J479" s="792"/>
      <c r="M479" s="790"/>
      <c r="O479" s="790"/>
      <c r="P479" s="790"/>
      <c r="Q479" s="790"/>
      <c r="R479" s="790"/>
      <c r="S479" s="790"/>
      <c r="T479" s="790"/>
      <c r="U479" s="790"/>
      <c r="V479" s="790"/>
    </row>
    <row r="480" spans="1:22" s="791" customFormat="1" ht="11.25">
      <c r="A480" s="795"/>
      <c r="C480" s="790"/>
      <c r="D480" s="790"/>
      <c r="E480" s="790"/>
      <c r="F480" s="793"/>
      <c r="G480" s="792"/>
      <c r="H480" s="792"/>
      <c r="I480" s="792"/>
      <c r="J480" s="792"/>
      <c r="M480" s="790"/>
      <c r="O480" s="790"/>
      <c r="P480" s="790"/>
      <c r="Q480" s="790"/>
      <c r="R480" s="790"/>
      <c r="S480" s="790"/>
      <c r="T480" s="790"/>
      <c r="U480" s="790"/>
      <c r="V480" s="790"/>
    </row>
    <row r="481" spans="1:22" s="791" customFormat="1" ht="11.25">
      <c r="A481" s="795"/>
      <c r="C481" s="790"/>
      <c r="D481" s="790"/>
      <c r="E481" s="790"/>
      <c r="F481" s="793"/>
      <c r="G481" s="792"/>
      <c r="H481" s="792"/>
      <c r="I481" s="792"/>
      <c r="J481" s="792"/>
      <c r="M481" s="790"/>
      <c r="O481" s="790"/>
      <c r="P481" s="790"/>
      <c r="Q481" s="790"/>
      <c r="R481" s="790"/>
      <c r="S481" s="790"/>
      <c r="T481" s="790"/>
      <c r="U481" s="790"/>
      <c r="V481" s="790"/>
    </row>
    <row r="482" spans="1:22" s="791" customFormat="1" ht="11.25">
      <c r="A482" s="799"/>
      <c r="C482" s="790"/>
      <c r="D482" s="790"/>
      <c r="E482" s="790"/>
      <c r="F482" s="793"/>
      <c r="G482" s="792"/>
      <c r="H482" s="792"/>
      <c r="I482" s="792"/>
      <c r="J482" s="792"/>
      <c r="M482" s="790"/>
      <c r="O482" s="790"/>
      <c r="P482" s="790"/>
      <c r="Q482" s="790"/>
      <c r="R482" s="790"/>
      <c r="S482" s="790"/>
      <c r="T482" s="790"/>
      <c r="U482" s="790"/>
      <c r="V482" s="790"/>
    </row>
    <row r="483" spans="1:22" s="791" customFormat="1" ht="11.25">
      <c r="A483" s="798"/>
      <c r="C483" s="790"/>
      <c r="D483" s="790"/>
      <c r="E483" s="790"/>
      <c r="F483" s="793"/>
      <c r="G483" s="792"/>
      <c r="H483" s="792"/>
      <c r="I483" s="792"/>
      <c r="J483" s="792"/>
      <c r="M483" s="790"/>
      <c r="O483" s="790"/>
      <c r="P483" s="790"/>
      <c r="Q483" s="790"/>
      <c r="R483" s="790"/>
      <c r="S483" s="790"/>
      <c r="T483" s="790"/>
      <c r="U483" s="790"/>
      <c r="V483" s="790"/>
    </row>
    <row r="484" spans="1:22" s="791" customFormat="1" ht="11.25">
      <c r="A484" s="796"/>
      <c r="C484" s="790"/>
      <c r="D484" s="790"/>
      <c r="E484" s="790"/>
      <c r="F484" s="793"/>
      <c r="G484" s="792"/>
      <c r="H484" s="792"/>
      <c r="I484" s="792"/>
      <c r="J484" s="792"/>
      <c r="M484" s="790"/>
      <c r="O484" s="790"/>
      <c r="P484" s="790"/>
      <c r="Q484" s="790"/>
      <c r="R484" s="790"/>
      <c r="S484" s="790"/>
      <c r="T484" s="790"/>
      <c r="U484" s="790"/>
      <c r="V484" s="790"/>
    </row>
    <row r="485" spans="1:22" s="791" customFormat="1" ht="11.25">
      <c r="A485" s="797"/>
      <c r="C485" s="790"/>
      <c r="D485" s="790"/>
      <c r="E485" s="790"/>
      <c r="F485" s="793"/>
      <c r="G485" s="792"/>
      <c r="H485" s="792"/>
      <c r="I485" s="792"/>
      <c r="J485" s="792"/>
      <c r="M485" s="790"/>
      <c r="O485" s="790"/>
      <c r="P485" s="790"/>
      <c r="Q485" s="790"/>
      <c r="R485" s="790"/>
      <c r="S485" s="790"/>
      <c r="T485" s="790"/>
      <c r="U485" s="790"/>
      <c r="V485" s="790"/>
    </row>
    <row r="486" spans="1:22" s="791" customFormat="1" ht="11.25">
      <c r="A486" s="797"/>
      <c r="C486" s="790"/>
      <c r="D486" s="790"/>
      <c r="E486" s="790"/>
      <c r="F486" s="793"/>
      <c r="G486" s="792"/>
      <c r="H486" s="792"/>
      <c r="I486" s="792"/>
      <c r="J486" s="792"/>
      <c r="M486" s="790"/>
      <c r="O486" s="790"/>
      <c r="P486" s="790"/>
      <c r="Q486" s="790"/>
      <c r="R486" s="790"/>
      <c r="S486" s="790"/>
      <c r="T486" s="790"/>
      <c r="U486" s="790"/>
      <c r="V486" s="790"/>
    </row>
    <row r="487" spans="1:22" s="791" customFormat="1" ht="11.25">
      <c r="A487" s="796"/>
      <c r="C487" s="790"/>
      <c r="D487" s="790"/>
      <c r="E487" s="790"/>
      <c r="F487" s="793"/>
      <c r="G487" s="792"/>
      <c r="H487" s="792"/>
      <c r="I487" s="792"/>
      <c r="J487" s="792"/>
      <c r="M487" s="790"/>
      <c r="O487" s="790"/>
      <c r="P487" s="790"/>
      <c r="Q487" s="790"/>
      <c r="R487" s="790"/>
      <c r="S487" s="790"/>
      <c r="T487" s="790"/>
      <c r="U487" s="790"/>
      <c r="V487" s="790"/>
    </row>
    <row r="488" spans="1:22" s="791" customFormat="1" ht="11.25">
      <c r="A488" s="796"/>
      <c r="C488" s="790"/>
      <c r="D488" s="790"/>
      <c r="E488" s="790"/>
      <c r="F488" s="793"/>
      <c r="G488" s="792"/>
      <c r="H488" s="792"/>
      <c r="I488" s="792"/>
      <c r="J488" s="792"/>
      <c r="M488" s="790"/>
      <c r="O488" s="790"/>
      <c r="P488" s="790"/>
      <c r="Q488" s="790"/>
      <c r="R488" s="790"/>
      <c r="S488" s="790"/>
      <c r="T488" s="790"/>
      <c r="U488" s="790"/>
      <c r="V488" s="790"/>
    </row>
    <row r="489" spans="1:22" s="791" customFormat="1" ht="11.25">
      <c r="A489" s="796"/>
      <c r="C489" s="790"/>
      <c r="D489" s="790"/>
      <c r="E489" s="790"/>
      <c r="F489" s="793"/>
      <c r="G489" s="792"/>
      <c r="H489" s="792"/>
      <c r="I489" s="792"/>
      <c r="J489" s="792"/>
      <c r="M489" s="790"/>
      <c r="O489" s="790"/>
      <c r="P489" s="790"/>
      <c r="Q489" s="790"/>
      <c r="R489" s="790"/>
      <c r="S489" s="790"/>
      <c r="T489" s="790"/>
      <c r="U489" s="790"/>
      <c r="V489" s="790"/>
    </row>
    <row r="490" spans="1:22" s="791" customFormat="1" ht="11.25">
      <c r="A490" s="795"/>
      <c r="C490" s="790"/>
      <c r="D490" s="790"/>
      <c r="E490" s="790"/>
      <c r="F490" s="793"/>
      <c r="G490" s="792"/>
      <c r="H490" s="792"/>
      <c r="I490" s="792"/>
      <c r="J490" s="792"/>
      <c r="M490" s="790"/>
      <c r="O490" s="790"/>
      <c r="P490" s="790"/>
      <c r="Q490" s="790"/>
      <c r="R490" s="790"/>
      <c r="S490" s="790"/>
      <c r="T490" s="790"/>
      <c r="U490" s="790"/>
      <c r="V490" s="790"/>
    </row>
    <row r="491" spans="1:22" s="791" customFormat="1" ht="11.25">
      <c r="A491" s="794"/>
      <c r="C491" s="790"/>
      <c r="D491" s="790"/>
      <c r="E491" s="790"/>
      <c r="F491" s="793"/>
      <c r="G491" s="792"/>
      <c r="H491" s="792"/>
      <c r="I491" s="792"/>
      <c r="J491" s="792"/>
      <c r="M491" s="790"/>
      <c r="O491" s="790"/>
      <c r="P491" s="790"/>
      <c r="Q491" s="790"/>
      <c r="R491" s="790"/>
      <c r="S491" s="790"/>
      <c r="T491" s="790"/>
      <c r="U491" s="790"/>
      <c r="V491" s="790"/>
    </row>
    <row r="492" spans="1:22" s="791" customFormat="1" ht="11.25">
      <c r="A492" s="794"/>
      <c r="C492" s="790"/>
      <c r="D492" s="790"/>
      <c r="E492" s="790"/>
      <c r="F492" s="793"/>
      <c r="G492" s="792"/>
      <c r="H492" s="792"/>
      <c r="I492" s="792"/>
      <c r="J492" s="792"/>
      <c r="M492" s="790"/>
      <c r="O492" s="790"/>
      <c r="P492" s="790"/>
      <c r="Q492" s="790"/>
      <c r="R492" s="790"/>
      <c r="S492" s="790"/>
      <c r="T492" s="790"/>
      <c r="U492" s="790"/>
      <c r="V492" s="790"/>
    </row>
    <row r="493" spans="1:22" s="791" customFormat="1" ht="11.25">
      <c r="A493" s="795"/>
      <c r="C493" s="790"/>
      <c r="D493" s="790"/>
      <c r="E493" s="790"/>
      <c r="F493" s="793"/>
      <c r="G493" s="792"/>
      <c r="H493" s="792"/>
      <c r="I493" s="792"/>
      <c r="J493" s="792"/>
      <c r="M493" s="790"/>
      <c r="O493" s="790"/>
      <c r="P493" s="790"/>
      <c r="Q493" s="790"/>
      <c r="R493" s="790"/>
      <c r="S493" s="790"/>
      <c r="T493" s="790"/>
      <c r="U493" s="790"/>
      <c r="V493" s="790"/>
    </row>
    <row r="494" spans="1:22" ht="11.25">
      <c r="A494" s="794"/>
    </row>
    <row r="495" spans="1:22" ht="11.25">
      <c r="A495" s="794"/>
    </row>
  </sheetData>
  <pageMargins left="0.75" right="0.75" top="1" bottom="1" header="0.5" footer="0.5"/>
  <pageSetup scale="51" fitToHeight="4" orientation="portrait" r:id="rId1"/>
  <headerFooter alignWithMargins="0"/>
  <rowBreaks count="2" manualBreakCount="2">
    <brk id="203" max="6" man="1"/>
    <brk id="221"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XEQ297"/>
  <sheetViews>
    <sheetView showGridLines="0" view="pageBreakPreview" zoomScale="60" zoomScaleNormal="85" workbookViewId="0">
      <selection activeCell="A177" activeCellId="1" sqref="A14:W174 A177:U296"/>
    </sheetView>
  </sheetViews>
  <sheetFormatPr defaultColWidth="9.140625" defaultRowHeight="11.25" outlineLevelCol="1"/>
  <cols>
    <col min="1" max="1" width="9.140625" style="478"/>
    <col min="2" max="2" width="9.5703125" style="473" customWidth="1"/>
    <col min="3" max="3" width="22.28515625" style="478" customWidth="1"/>
    <col min="4" max="4" width="53.42578125" style="475" bestFit="1" customWidth="1"/>
    <col min="5" max="5" width="9.42578125" style="475" customWidth="1" outlineLevel="1"/>
    <col min="6" max="7" width="16.7109375" style="475" customWidth="1" outlineLevel="1"/>
    <col min="8" max="8" width="11" style="475" customWidth="1" outlineLevel="1"/>
    <col min="9" max="9" width="16.7109375" style="476" customWidth="1" outlineLevel="1"/>
    <col min="10" max="10" width="14.28515625" style="475" customWidth="1" outlineLevel="1"/>
    <col min="11" max="11" width="16.7109375" style="475" customWidth="1" outlineLevel="1"/>
    <col min="12" max="12" width="11.7109375" style="475" customWidth="1" outlineLevel="1"/>
    <col min="13" max="13" width="16.28515625" style="475" customWidth="1" outlineLevel="1"/>
    <col min="14" max="14" width="13.5703125" style="475" customWidth="1" outlineLevel="1"/>
    <col min="15" max="15" width="11.7109375" style="477" customWidth="1" outlineLevel="1"/>
    <col min="16" max="16" width="16.7109375" style="475" customWidth="1" outlineLevel="1"/>
    <col min="17" max="17" width="14.28515625" style="475" customWidth="1" outlineLevel="1"/>
    <col min="18" max="18" width="12.85546875" style="475" customWidth="1" outlineLevel="1"/>
    <col min="19" max="19" width="16.7109375" style="475" customWidth="1" outlineLevel="1"/>
    <col min="20" max="20" width="14.42578125" style="475" customWidth="1"/>
    <col min="21" max="21" width="10.42578125" style="478" bestFit="1" customWidth="1"/>
    <col min="22" max="22" width="9.85546875" style="479" bestFit="1" customWidth="1"/>
    <col min="23" max="23" width="14" style="479" customWidth="1"/>
    <col min="24" max="16384" width="9.140625" style="478"/>
  </cols>
  <sheetData>
    <row r="1" spans="1:29">
      <c r="A1" s="472" t="s">
        <v>1121</v>
      </c>
      <c r="C1" s="474"/>
    </row>
    <row r="2" spans="1:29" ht="15" customHeight="1">
      <c r="A2" s="472" t="s">
        <v>1063</v>
      </c>
      <c r="C2" s="474"/>
      <c r="D2" s="480"/>
    </row>
    <row r="3" spans="1:29">
      <c r="A3" s="472" t="s">
        <v>2968</v>
      </c>
      <c r="C3" s="472"/>
    </row>
    <row r="4" spans="1:29">
      <c r="A4" s="472"/>
      <c r="C4" s="472"/>
      <c r="V4" s="481"/>
      <c r="W4" s="481"/>
    </row>
    <row r="5" spans="1:29">
      <c r="A5" s="472"/>
      <c r="C5" s="472"/>
      <c r="V5" s="481"/>
      <c r="W5" s="481"/>
    </row>
    <row r="6" spans="1:29">
      <c r="A6" s="472"/>
      <c r="C6" s="472"/>
    </row>
    <row r="7" spans="1:29" ht="12.75">
      <c r="A7" s="472"/>
      <c r="B7" s="482"/>
      <c r="C7" s="472"/>
      <c r="D7" s="472"/>
    </row>
    <row r="8" spans="1:29">
      <c r="A8" s="472"/>
      <c r="C8" s="472"/>
    </row>
    <row r="9" spans="1:29">
      <c r="A9" s="472"/>
      <c r="C9" s="472"/>
    </row>
    <row r="10" spans="1:29">
      <c r="I10" s="486"/>
    </row>
    <row r="11" spans="1:29" ht="12" thickBot="1">
      <c r="A11" s="488" t="s">
        <v>1064</v>
      </c>
      <c r="B11" s="489"/>
      <c r="C11" s="490"/>
      <c r="D11" s="491"/>
      <c r="E11" s="491"/>
      <c r="F11" s="491"/>
      <c r="G11" s="491"/>
      <c r="H11" s="491"/>
      <c r="I11" s="492"/>
      <c r="J11" s="491"/>
      <c r="K11" s="491"/>
      <c r="L11" s="491"/>
      <c r="M11" s="491"/>
      <c r="N11" s="491"/>
      <c r="O11" s="493"/>
      <c r="P11" s="491"/>
      <c r="Q11" s="491"/>
      <c r="R11" s="491"/>
      <c r="S11" s="491"/>
      <c r="T11" s="491"/>
    </row>
    <row r="12" spans="1:29">
      <c r="A12" s="494"/>
      <c r="B12" s="495"/>
      <c r="C12" s="496"/>
      <c r="D12" s="497"/>
      <c r="E12" s="498"/>
      <c r="F12" s="498"/>
      <c r="G12" s="498"/>
      <c r="H12" s="498"/>
      <c r="I12" s="499"/>
      <c r="J12" s="498"/>
      <c r="K12" s="498"/>
      <c r="L12" s="498"/>
      <c r="M12" s="498"/>
      <c r="N12" s="498"/>
      <c r="O12" s="500"/>
      <c r="P12" s="498"/>
      <c r="Q12" s="498"/>
      <c r="R12" s="498"/>
      <c r="S12" s="498"/>
      <c r="T12" s="879"/>
      <c r="U12" s="878"/>
      <c r="V12" s="501"/>
      <c r="W12" s="501"/>
      <c r="X12" s="878"/>
      <c r="Y12" s="878"/>
      <c r="Z12" s="878"/>
      <c r="AA12" s="878"/>
      <c r="AB12" s="878"/>
      <c r="AC12" s="878"/>
    </row>
    <row r="13" spans="1:29" ht="45.75" thickBot="1">
      <c r="A13" s="503" t="s">
        <v>1065</v>
      </c>
      <c r="B13" s="504" t="s">
        <v>1066</v>
      </c>
      <c r="C13" s="505" t="s">
        <v>1067</v>
      </c>
      <c r="D13" s="505" t="s">
        <v>1068</v>
      </c>
      <c r="E13" s="1033" t="s">
        <v>3023</v>
      </c>
      <c r="F13" s="1033" t="s">
        <v>1069</v>
      </c>
      <c r="G13" s="1033" t="s">
        <v>1070</v>
      </c>
      <c r="H13" s="1033" t="s">
        <v>1071</v>
      </c>
      <c r="I13" s="1034" t="s">
        <v>1072</v>
      </c>
      <c r="J13" s="1033" t="s">
        <v>1073</v>
      </c>
      <c r="K13" s="1033" t="s">
        <v>1074</v>
      </c>
      <c r="L13" s="1033" t="s">
        <v>1075</v>
      </c>
      <c r="M13" s="1033" t="s">
        <v>1076</v>
      </c>
      <c r="N13" s="1033" t="s">
        <v>3024</v>
      </c>
      <c r="O13" s="1033" t="s">
        <v>3025</v>
      </c>
      <c r="P13" s="1033" t="s">
        <v>3026</v>
      </c>
      <c r="Q13" s="1033" t="s">
        <v>3027</v>
      </c>
      <c r="R13" s="1033" t="s">
        <v>3028</v>
      </c>
      <c r="S13" s="1033" t="s">
        <v>1077</v>
      </c>
      <c r="T13" s="877" t="s">
        <v>1078</v>
      </c>
      <c r="U13" s="474"/>
      <c r="V13" s="1035" t="s">
        <v>1079</v>
      </c>
      <c r="W13" s="502" t="s">
        <v>1080</v>
      </c>
    </row>
    <row r="14" spans="1:29" ht="12.75" thickTop="1" thickBot="1">
      <c r="A14" s="1422"/>
      <c r="B14" s="1423"/>
      <c r="C14" s="1424"/>
      <c r="D14" s="1424"/>
      <c r="E14" s="1424"/>
      <c r="F14" s="1424"/>
      <c r="G14" s="1424"/>
      <c r="H14" s="1424"/>
      <c r="I14" s="1425"/>
      <c r="J14" s="1424"/>
      <c r="K14" s="1424"/>
      <c r="L14" s="1424"/>
      <c r="M14" s="1424"/>
      <c r="N14" s="1424"/>
      <c r="O14" s="1424"/>
      <c r="P14" s="1424"/>
      <c r="Q14" s="1424"/>
      <c r="R14" s="1424"/>
      <c r="S14" s="1424"/>
      <c r="T14" s="1426"/>
      <c r="U14" s="1427"/>
      <c r="V14" s="1428"/>
      <c r="W14" s="1429"/>
    </row>
    <row r="15" spans="1:29" ht="14.25" customHeight="1" thickTop="1">
      <c r="A15" s="1430"/>
      <c r="B15" s="1431" t="s">
        <v>1081</v>
      </c>
      <c r="C15" s="1432"/>
      <c r="D15" s="1433"/>
      <c r="E15" s="1434"/>
      <c r="F15" s="1434"/>
      <c r="G15" s="1434"/>
      <c r="H15" s="1434"/>
      <c r="I15" s="1435"/>
      <c r="J15" s="1434"/>
      <c r="K15" s="1434"/>
      <c r="L15" s="1434"/>
      <c r="M15" s="1434"/>
      <c r="N15" s="1434"/>
      <c r="O15" s="1434"/>
      <c r="P15" s="1434"/>
      <c r="Q15" s="1434"/>
      <c r="R15" s="1434"/>
      <c r="S15" s="1434"/>
      <c r="T15" s="1436"/>
      <c r="U15" s="1437"/>
      <c r="V15" s="1438"/>
      <c r="W15" s="1439"/>
    </row>
    <row r="16" spans="1:29" ht="15.75" customHeight="1">
      <c r="A16" s="1440" t="s">
        <v>1436</v>
      </c>
      <c r="B16" s="1441"/>
      <c r="C16" s="1437"/>
      <c r="D16" s="1434"/>
      <c r="E16" s="1442"/>
      <c r="F16" s="1442"/>
      <c r="G16" s="1442"/>
      <c r="H16" s="1442"/>
      <c r="I16" s="1438"/>
      <c r="J16" s="1442"/>
      <c r="K16" s="1442"/>
      <c r="L16" s="1442"/>
      <c r="M16" s="1442"/>
      <c r="N16" s="1442"/>
      <c r="O16" s="1443"/>
      <c r="P16" s="1442"/>
      <c r="Q16" s="1442"/>
      <c r="R16" s="1442"/>
      <c r="S16" s="1442"/>
      <c r="T16" s="1444"/>
      <c r="U16" s="1437"/>
      <c r="V16" s="1445"/>
      <c r="W16" s="1446"/>
    </row>
    <row r="17" spans="1:23" ht="12.75">
      <c r="A17" s="1447">
        <v>2195</v>
      </c>
      <c r="B17" s="1533">
        <v>114454</v>
      </c>
      <c r="C17" s="1534" t="str">
        <f>VLOOKUP($B17,'[68]EE Listing with Position'!$A$2:$D$97,2,FALSE)</f>
        <v xml:space="preserve">Javier Garcia </v>
      </c>
      <c r="D17" s="1434" t="str">
        <f>+VLOOKUP($B17,'[68]EE Listing with Position'!$A:$E,5,FALSE)</f>
        <v>Resi MSW</v>
      </c>
      <c r="E17" s="1438">
        <f>+IFERROR(VLOOKUP($B17,'[68]Payroll Pivots'!$A:$D,4,FALSE),0)</f>
        <v>26.38</v>
      </c>
      <c r="F17" s="1442">
        <f>+IFERROR(VLOOKUP($B17,'[68]Payroll Pivots'!$K:$M,3,FALSE),0)</f>
        <v>2147.7666669999999</v>
      </c>
      <c r="G17" s="1442">
        <f t="shared" ref="G17" si="0">+E17*F17</f>
        <v>56658.084675459992</v>
      </c>
      <c r="H17" s="1442">
        <f>+IFERROR(VLOOKUP($B17,'[68]Payroll Pivots'!$T:$V,3,FALSE),0)</f>
        <v>361.6833400000001</v>
      </c>
      <c r="I17" s="1442">
        <f t="shared" ref="I17" si="1">+(E17*1.5)*H17</f>
        <v>14311.809763800004</v>
      </c>
      <c r="J17" s="1438">
        <f t="shared" ref="J17" si="2">+G17+I17</f>
        <v>70969.894439259995</v>
      </c>
      <c r="K17" s="1442">
        <f>+IFERROR(VLOOKUP($B17,'[68]Payroll Pivots'!$AB:$AD,3,FALSE),0)</f>
        <v>1524.2499999999982</v>
      </c>
      <c r="L17" s="1442">
        <f>+IFERROR(VLOOKUP($B17,'[68]Payroll Pivots'!$AJ:$AL,3,FALSE),0)</f>
        <v>622</v>
      </c>
      <c r="M17" s="1442">
        <f t="shared" ref="M17" si="3">+L17+K17+J17</f>
        <v>73116.144439259995</v>
      </c>
      <c r="N17" s="1448">
        <f>+VLOOKUP($B17,'[68]EE Listing with Position'!$A:$H,8,FALSE)</f>
        <v>0</v>
      </c>
      <c r="O17" s="1449">
        <f t="shared" ref="O17" si="4">E17*(1+N17)</f>
        <v>26.38</v>
      </c>
      <c r="P17" s="1450">
        <f t="shared" ref="P17" si="5">+F17*O17</f>
        <v>56658.084675459992</v>
      </c>
      <c r="Q17" s="1451">
        <f t="shared" ref="Q17" si="6">+O17*H17*1.5</f>
        <v>14311.809763800004</v>
      </c>
      <c r="R17" s="1451">
        <f t="shared" ref="R17" si="7">+L17*(1+N17)</f>
        <v>622</v>
      </c>
      <c r="S17" s="1442">
        <f t="shared" ref="S17" si="8">SUM(P17:R17)+K17</f>
        <v>73116.144439259995</v>
      </c>
      <c r="T17" s="1444">
        <f t="shared" ref="T17" si="9">+S17</f>
        <v>73116.144439259995</v>
      </c>
      <c r="U17" s="1437"/>
      <c r="V17" s="1438">
        <f t="shared" ref="V17:V51" si="10">T17-M17</f>
        <v>0</v>
      </c>
      <c r="W17" s="1439"/>
    </row>
    <row r="18" spans="1:23" ht="12.75">
      <c r="A18" s="1447">
        <v>2195</v>
      </c>
      <c r="B18" s="1533">
        <v>114467</v>
      </c>
      <c r="C18" s="1534" t="str">
        <f>VLOOKUP($B18,'[68]EE Listing with Position'!$A$2:$D$97,2,FALSE)</f>
        <v xml:space="preserve">Felix Medina </v>
      </c>
      <c r="D18" s="1434" t="str">
        <f>+VLOOKUP($B18,'[68]EE Listing with Position'!$A:$E,5,FALSE)</f>
        <v>Resi MSW</v>
      </c>
      <c r="E18" s="1438">
        <f>+IFERROR(VLOOKUP($B18,'[68]Payroll Pivots'!$A:$D,4,FALSE),0)</f>
        <v>28.88</v>
      </c>
      <c r="F18" s="1442">
        <f>+IFERROR(VLOOKUP($B18,'[68]Payroll Pivots'!$K:$M,3,FALSE),0)</f>
        <v>2156.233334</v>
      </c>
      <c r="G18" s="1442">
        <f t="shared" ref="G18:G51" si="11">+E18*F18</f>
        <v>62272.018685919997</v>
      </c>
      <c r="H18" s="1442">
        <f>+IFERROR(VLOOKUP($B18,'[68]Payroll Pivots'!$T:$V,3,FALSE),0)</f>
        <v>487.68332800000013</v>
      </c>
      <c r="I18" s="1442">
        <f t="shared" ref="I18:I51" si="12">+(E18*1.5)*H18</f>
        <v>21126.441768960005</v>
      </c>
      <c r="J18" s="1438">
        <f t="shared" ref="J18:J51" si="13">+G18+I18</f>
        <v>83398.460454879998</v>
      </c>
      <c r="K18" s="1442">
        <f>+IFERROR(VLOOKUP($B18,'[68]Payroll Pivots'!$AB:$AD,3,FALSE),0)</f>
        <v>1430.5200000000009</v>
      </c>
      <c r="L18" s="1442">
        <f>+IFERROR(VLOOKUP($B18,'[68]Payroll Pivots'!$AJ:$AL,3,FALSE),0)</f>
        <v>5820.99</v>
      </c>
      <c r="M18" s="1442">
        <f t="shared" ref="M18:M51" si="14">+L18+K18+J18</f>
        <v>90649.970454879993</v>
      </c>
      <c r="N18" s="1448">
        <f>+VLOOKUP($B18,'[68]EE Listing with Position'!$A:$H,8,FALSE)</f>
        <v>0</v>
      </c>
      <c r="O18" s="1449">
        <f t="shared" ref="O18:O51" si="15">E18*(1+N18)</f>
        <v>28.88</v>
      </c>
      <c r="P18" s="1450">
        <f t="shared" ref="P18:P51" si="16">+F18*O18</f>
        <v>62272.018685919997</v>
      </c>
      <c r="Q18" s="1451">
        <f t="shared" ref="Q18:Q51" si="17">+O18*H18*1.5</f>
        <v>21126.441768960005</v>
      </c>
      <c r="R18" s="1451">
        <f t="shared" ref="R18:R51" si="18">+L18*(1+N18)</f>
        <v>5820.99</v>
      </c>
      <c r="S18" s="1442">
        <f t="shared" ref="S18:S51" si="19">SUM(P18:R18)+K18</f>
        <v>90649.970454880007</v>
      </c>
      <c r="T18" s="1444">
        <f t="shared" ref="T18:T51" si="20">+S18</f>
        <v>90649.970454880007</v>
      </c>
      <c r="U18" s="1437"/>
      <c r="V18" s="1438">
        <f t="shared" si="10"/>
        <v>0</v>
      </c>
      <c r="W18" s="1439"/>
    </row>
    <row r="19" spans="1:23" ht="12.75">
      <c r="A19" s="1447">
        <v>2195</v>
      </c>
      <c r="B19" s="1533">
        <v>155169</v>
      </c>
      <c r="C19" s="1534" t="str">
        <f>VLOOKUP($B19,'[68]EE Listing with Position'!$A$2:$D$97,2,FALSE)</f>
        <v xml:space="preserve">Jose Rodriguez </v>
      </c>
      <c r="D19" s="1434" t="str">
        <f>+VLOOKUP($B19,'[68]EE Listing with Position'!$A:$E,5,FALSE)</f>
        <v>Resi MSW</v>
      </c>
      <c r="E19" s="1438">
        <f>+IFERROR(VLOOKUP($B19,'[68]Payroll Pivots'!$A:$D,4,FALSE),0)</f>
        <v>25</v>
      </c>
      <c r="F19" s="1442">
        <f>+IFERROR(VLOOKUP($B19,'[68]Payroll Pivots'!$K:$M,3,FALSE),0)</f>
        <v>1936.3333299999999</v>
      </c>
      <c r="G19" s="1442">
        <f t="shared" si="11"/>
        <v>48408.333249999996</v>
      </c>
      <c r="H19" s="1442">
        <f>+IFERROR(VLOOKUP($B19,'[68]Payroll Pivots'!$T:$V,3,FALSE),0)</f>
        <v>260.03333200000003</v>
      </c>
      <c r="I19" s="1442">
        <f t="shared" si="12"/>
        <v>9751.2499500000013</v>
      </c>
      <c r="J19" s="1438">
        <f t="shared" si="13"/>
        <v>58159.583199999994</v>
      </c>
      <c r="K19" s="1442">
        <f>+IFERROR(VLOOKUP($B19,'[68]Payroll Pivots'!$AB:$AD,3,FALSE),0)</f>
        <v>1142.6499999999994</v>
      </c>
      <c r="L19" s="1442">
        <f>+IFERROR(VLOOKUP($B19,'[68]Payroll Pivots'!$AJ:$AL,3,FALSE),0)</f>
        <v>-573.98</v>
      </c>
      <c r="M19" s="1442">
        <f t="shared" si="14"/>
        <v>58728.253199999992</v>
      </c>
      <c r="N19" s="1448">
        <f>+VLOOKUP($B19,'[68]EE Listing with Position'!$A:$H,8,FALSE)</f>
        <v>0</v>
      </c>
      <c r="O19" s="1449">
        <f t="shared" si="15"/>
        <v>25</v>
      </c>
      <c r="P19" s="1450">
        <f t="shared" si="16"/>
        <v>48408.333249999996</v>
      </c>
      <c r="Q19" s="1451">
        <f t="shared" si="17"/>
        <v>9751.2499500000013</v>
      </c>
      <c r="R19" s="1451">
        <f t="shared" si="18"/>
        <v>-573.98</v>
      </c>
      <c r="S19" s="1442">
        <f t="shared" si="19"/>
        <v>58728.253199999992</v>
      </c>
      <c r="T19" s="1444">
        <f t="shared" si="20"/>
        <v>58728.253199999992</v>
      </c>
      <c r="U19" s="1437"/>
      <c r="V19" s="1438">
        <f t="shared" si="10"/>
        <v>0</v>
      </c>
      <c r="W19" s="1439"/>
    </row>
    <row r="20" spans="1:23" ht="12.75">
      <c r="A20" s="1447">
        <v>2195</v>
      </c>
      <c r="B20" s="1533">
        <v>156896</v>
      </c>
      <c r="C20" s="1534" t="str">
        <f>VLOOKUP($B20,'[68]EE Listing with Position'!$A$2:$D$97,2,FALSE)</f>
        <v xml:space="preserve">Tyler Noble </v>
      </c>
      <c r="D20" s="1434" t="str">
        <f>+VLOOKUP($B20,'[68]EE Listing with Position'!$A:$E,5,FALSE)</f>
        <v>Resi MSW</v>
      </c>
      <c r="E20" s="1438">
        <f>+IFERROR(VLOOKUP($B20,'[68]Payroll Pivots'!$A:$D,4,FALSE),0)</f>
        <v>26.38</v>
      </c>
      <c r="F20" s="1442">
        <f>+IFERROR(VLOOKUP($B20,'[68]Payroll Pivots'!$K:$M,3,FALSE),0)</f>
        <v>1789.716668</v>
      </c>
      <c r="G20" s="1442">
        <f t="shared" si="11"/>
        <v>47212.725701839998</v>
      </c>
      <c r="H20" s="1442">
        <f>+IFERROR(VLOOKUP($B20,'[68]Payroll Pivots'!$T:$V,3,FALSE),0)</f>
        <v>76.00000799999998</v>
      </c>
      <c r="I20" s="1442">
        <f t="shared" si="12"/>
        <v>3007.3203165599994</v>
      </c>
      <c r="J20" s="1438">
        <f t="shared" si="13"/>
        <v>50220.046018399997</v>
      </c>
      <c r="K20" s="1442">
        <f>+IFERROR(VLOOKUP($B20,'[68]Payroll Pivots'!$AB:$AD,3,FALSE),0)</f>
        <v>1327.4000000000003</v>
      </c>
      <c r="L20" s="1442">
        <f>+IFERROR(VLOOKUP($B20,'[68]Payroll Pivots'!$AJ:$AL,3,FALSE),0)</f>
        <v>0</v>
      </c>
      <c r="M20" s="1442">
        <f t="shared" si="14"/>
        <v>51547.446018399998</v>
      </c>
      <c r="N20" s="1448">
        <f>+VLOOKUP($B20,'[68]EE Listing with Position'!$A:$H,8,FALSE)</f>
        <v>0</v>
      </c>
      <c r="O20" s="1449">
        <f t="shared" si="15"/>
        <v>26.38</v>
      </c>
      <c r="P20" s="1450">
        <f t="shared" si="16"/>
        <v>47212.725701839998</v>
      </c>
      <c r="Q20" s="1451">
        <f t="shared" si="17"/>
        <v>3007.3203165599994</v>
      </c>
      <c r="R20" s="1451">
        <f t="shared" si="18"/>
        <v>0</v>
      </c>
      <c r="S20" s="1442">
        <f t="shared" si="19"/>
        <v>51547.446018399998</v>
      </c>
      <c r="T20" s="1444">
        <f t="shared" si="20"/>
        <v>51547.446018399998</v>
      </c>
      <c r="U20" s="1437"/>
      <c r="V20" s="1438">
        <f t="shared" si="10"/>
        <v>0</v>
      </c>
      <c r="W20" s="1439"/>
    </row>
    <row r="21" spans="1:23" ht="12.75">
      <c r="A21" s="1447">
        <v>2195</v>
      </c>
      <c r="B21" s="1533">
        <v>158932</v>
      </c>
      <c r="C21" s="1534" t="str">
        <f>VLOOKUP($B21,'[68]EE Listing with Position'!$A$2:$D$97,2,FALSE)</f>
        <v xml:space="preserve">Sean Cole </v>
      </c>
      <c r="D21" s="1434" t="str">
        <f>+VLOOKUP($B21,'[68]EE Listing with Position'!$A:$E,5,FALSE)</f>
        <v>Resi MSW</v>
      </c>
      <c r="E21" s="1438">
        <f>+IFERROR(VLOOKUP($B21,'[68]Payroll Pivots'!$A:$D,4,FALSE),0)</f>
        <v>27.88</v>
      </c>
      <c r="F21" s="1442">
        <f>+IFERROR(VLOOKUP($B21,'[68]Payroll Pivots'!$K:$M,3,FALSE),0)</f>
        <v>2196.8166670000001</v>
      </c>
      <c r="G21" s="1442">
        <f t="shared" si="11"/>
        <v>61247.24867596</v>
      </c>
      <c r="H21" s="1442">
        <f>+IFERROR(VLOOKUP($B21,'[68]Payroll Pivots'!$T:$V,3,FALSE),0)</f>
        <v>475.16667000000012</v>
      </c>
      <c r="I21" s="1442">
        <f t="shared" si="12"/>
        <v>19871.470139400004</v>
      </c>
      <c r="J21" s="1438">
        <f t="shared" si="13"/>
        <v>81118.71881536</v>
      </c>
      <c r="K21" s="1442">
        <f>+IFERROR(VLOOKUP($B21,'[68]Payroll Pivots'!$AB:$AD,3,FALSE),0)</f>
        <v>1493.2500000000011</v>
      </c>
      <c r="L21" s="1442">
        <f>+IFERROR(VLOOKUP($B21,'[68]Payroll Pivots'!$AJ:$AL,3,FALSE),0)</f>
        <v>1797.5</v>
      </c>
      <c r="M21" s="1442">
        <f t="shared" si="14"/>
        <v>84409.46881536</v>
      </c>
      <c r="N21" s="1448">
        <f>+VLOOKUP($B21,'[68]EE Listing with Position'!$A:$H,8,FALSE)</f>
        <v>0</v>
      </c>
      <c r="O21" s="1449">
        <f t="shared" si="15"/>
        <v>27.88</v>
      </c>
      <c r="P21" s="1450">
        <f t="shared" si="16"/>
        <v>61247.24867596</v>
      </c>
      <c r="Q21" s="1451">
        <f t="shared" si="17"/>
        <v>19871.470139400008</v>
      </c>
      <c r="R21" s="1451">
        <f t="shared" si="18"/>
        <v>1797.5</v>
      </c>
      <c r="S21" s="1442">
        <f t="shared" si="19"/>
        <v>84409.468815360015</v>
      </c>
      <c r="T21" s="1444">
        <f t="shared" si="20"/>
        <v>84409.468815360015</v>
      </c>
      <c r="U21" s="1437"/>
      <c r="V21" s="1438">
        <f t="shared" si="10"/>
        <v>0</v>
      </c>
      <c r="W21" s="1439"/>
    </row>
    <row r="22" spans="1:23" ht="12.75">
      <c r="A22" s="1447">
        <v>2195</v>
      </c>
      <c r="B22" s="1533">
        <v>302872</v>
      </c>
      <c r="C22" s="1534" t="str">
        <f>VLOOKUP($B22,'[68]EE Listing with Position'!$A$2:$D$97,2,FALSE)</f>
        <v xml:space="preserve">Eddie Flores </v>
      </c>
      <c r="D22" s="1434" t="str">
        <f>+VLOOKUP($B22,'[68]EE Listing with Position'!$A:$E,5,FALSE)</f>
        <v>Resi MSW</v>
      </c>
      <c r="E22" s="1438">
        <f>+IFERROR(VLOOKUP($B22,'[68]Payroll Pivots'!$A:$D,4,FALSE),0)</f>
        <v>27.88</v>
      </c>
      <c r="F22" s="1442">
        <f>+IFERROR(VLOOKUP($B22,'[68]Payroll Pivots'!$K:$M,3,FALSE),0)</f>
        <v>2208.2000030000004</v>
      </c>
      <c r="G22" s="1442">
        <f t="shared" si="11"/>
        <v>61564.616083640009</v>
      </c>
      <c r="H22" s="1442">
        <f>+IFERROR(VLOOKUP($B22,'[68]Payroll Pivots'!$T:$V,3,FALSE),0)</f>
        <v>315.13333499999993</v>
      </c>
      <c r="I22" s="1442">
        <f t="shared" si="12"/>
        <v>13178.876069699998</v>
      </c>
      <c r="J22" s="1438">
        <f t="shared" si="13"/>
        <v>74743.492153340005</v>
      </c>
      <c r="K22" s="1442">
        <f>+IFERROR(VLOOKUP($B22,'[68]Payroll Pivots'!$AB:$AD,3,FALSE),0)</f>
        <v>376.37000000000006</v>
      </c>
      <c r="L22" s="1442">
        <f>+IFERROR(VLOOKUP($B22,'[68]Payroll Pivots'!$AJ:$AL,3,FALSE),0)</f>
        <v>0</v>
      </c>
      <c r="M22" s="1442">
        <f t="shared" si="14"/>
        <v>75119.86215334</v>
      </c>
      <c r="N22" s="1448">
        <f>+VLOOKUP($B22,'[68]EE Listing with Position'!$A:$H,8,FALSE)</f>
        <v>0</v>
      </c>
      <c r="O22" s="1449">
        <f t="shared" si="15"/>
        <v>27.88</v>
      </c>
      <c r="P22" s="1450">
        <f t="shared" si="16"/>
        <v>61564.616083640009</v>
      </c>
      <c r="Q22" s="1451">
        <f t="shared" si="17"/>
        <v>13178.876069699996</v>
      </c>
      <c r="R22" s="1451">
        <f t="shared" si="18"/>
        <v>0</v>
      </c>
      <c r="S22" s="1442">
        <f t="shared" si="19"/>
        <v>75119.86215334</v>
      </c>
      <c r="T22" s="1444">
        <f t="shared" si="20"/>
        <v>75119.86215334</v>
      </c>
      <c r="U22" s="1437"/>
      <c r="V22" s="1438">
        <f t="shared" si="10"/>
        <v>0</v>
      </c>
      <c r="W22" s="1439"/>
    </row>
    <row r="23" spans="1:23" ht="12.75">
      <c r="A23" s="1447">
        <v>2195</v>
      </c>
      <c r="B23" s="1533">
        <v>306452</v>
      </c>
      <c r="C23" s="1534" t="str">
        <f>VLOOKUP($B23,'[68]EE Listing with Position'!$A$2:$D$97,2,FALSE)</f>
        <v xml:space="preserve">Jonathon Rivera </v>
      </c>
      <c r="D23" s="1434" t="str">
        <f>+VLOOKUP($B23,'[68]EE Listing with Position'!$A:$E,5,FALSE)</f>
        <v>Resi MSW</v>
      </c>
      <c r="E23" s="1438">
        <f>+IFERROR(VLOOKUP($B23,'[68]Payroll Pivots'!$A:$D,4,FALSE),0)</f>
        <v>26.38</v>
      </c>
      <c r="F23" s="1442">
        <f>+IFERROR(VLOOKUP($B23,'[68]Payroll Pivots'!$K:$M,3,FALSE),0)</f>
        <v>2087.2833380000002</v>
      </c>
      <c r="G23" s="1442">
        <f t="shared" si="11"/>
        <v>55062.53445644</v>
      </c>
      <c r="H23" s="1442">
        <f>+IFERROR(VLOOKUP($B23,'[68]Payroll Pivots'!$T:$V,3,FALSE),0)</f>
        <v>49.250003</v>
      </c>
      <c r="I23" s="1442">
        <f t="shared" si="12"/>
        <v>1948.8226187099999</v>
      </c>
      <c r="J23" s="1438">
        <f t="shared" si="13"/>
        <v>57011.357075150001</v>
      </c>
      <c r="K23" s="1442">
        <f>+IFERROR(VLOOKUP($B23,'[68]Payroll Pivots'!$AB:$AD,3,FALSE),0)</f>
        <v>1386.1500000000008</v>
      </c>
      <c r="L23" s="1442">
        <f>+IFERROR(VLOOKUP($B23,'[68]Payroll Pivots'!$AJ:$AL,3,FALSE),0)</f>
        <v>0</v>
      </c>
      <c r="M23" s="1442">
        <f t="shared" si="14"/>
        <v>58397.507075150002</v>
      </c>
      <c r="N23" s="1448">
        <f>+VLOOKUP($B23,'[68]EE Listing with Position'!$A:$H,8,FALSE)</f>
        <v>0</v>
      </c>
      <c r="O23" s="1449">
        <f t="shared" si="15"/>
        <v>26.38</v>
      </c>
      <c r="P23" s="1450">
        <f t="shared" si="16"/>
        <v>55062.53445644</v>
      </c>
      <c r="Q23" s="1451">
        <f t="shared" si="17"/>
        <v>1948.8226187099999</v>
      </c>
      <c r="R23" s="1451">
        <f t="shared" si="18"/>
        <v>0</v>
      </c>
      <c r="S23" s="1442">
        <f t="shared" si="19"/>
        <v>58397.507075150002</v>
      </c>
      <c r="T23" s="1444">
        <f t="shared" si="20"/>
        <v>58397.507075150002</v>
      </c>
      <c r="U23" s="1437"/>
      <c r="V23" s="1438">
        <f t="shared" si="10"/>
        <v>0</v>
      </c>
      <c r="W23" s="1439"/>
    </row>
    <row r="24" spans="1:23" ht="12.75">
      <c r="A24" s="1447">
        <v>2195</v>
      </c>
      <c r="B24" s="1533">
        <v>313292</v>
      </c>
      <c r="C24" s="1534" t="str">
        <f>VLOOKUP($B24,'[68]EE Listing with Position'!$A$2:$D$97,2,FALSE)</f>
        <v xml:space="preserve">Juan Martinez </v>
      </c>
      <c r="D24" s="1434" t="str">
        <f>+VLOOKUP($B24,'[68]EE Listing with Position'!$A:$E,5,FALSE)</f>
        <v>Resi MSW</v>
      </c>
      <c r="E24" s="1438">
        <f>+IFERROR(VLOOKUP($B24,'[68]Payroll Pivots'!$A:$D,4,FALSE),0)</f>
        <v>26.38</v>
      </c>
      <c r="F24" s="1442">
        <f>+IFERROR(VLOOKUP($B24,'[68]Payroll Pivots'!$K:$M,3,FALSE),0)</f>
        <v>2142.6500010000004</v>
      </c>
      <c r="G24" s="1442">
        <f t="shared" si="11"/>
        <v>56523.107026380007</v>
      </c>
      <c r="H24" s="1442">
        <f>+IFERROR(VLOOKUP($B24,'[68]Payroll Pivots'!$T:$V,3,FALSE),0)</f>
        <v>299.51667500000002</v>
      </c>
      <c r="I24" s="1442">
        <f t="shared" si="12"/>
        <v>11851.874829750001</v>
      </c>
      <c r="J24" s="1438">
        <f t="shared" si="13"/>
        <v>68374.981856130005</v>
      </c>
      <c r="K24" s="1442">
        <f>+IFERROR(VLOOKUP($B24,'[68]Payroll Pivots'!$AB:$AD,3,FALSE),0)</f>
        <v>1506.6400000000008</v>
      </c>
      <c r="L24" s="1442">
        <f>+IFERROR(VLOOKUP($B24,'[68]Payroll Pivots'!$AJ:$AL,3,FALSE),0)</f>
        <v>537</v>
      </c>
      <c r="M24" s="1442">
        <f t="shared" si="14"/>
        <v>70418.621856130005</v>
      </c>
      <c r="N24" s="1448">
        <f>+VLOOKUP($B24,'[68]EE Listing with Position'!$A:$H,8,FALSE)</f>
        <v>0</v>
      </c>
      <c r="O24" s="1449">
        <f t="shared" si="15"/>
        <v>26.38</v>
      </c>
      <c r="P24" s="1450">
        <f t="shared" si="16"/>
        <v>56523.107026380007</v>
      </c>
      <c r="Q24" s="1451">
        <f t="shared" si="17"/>
        <v>11851.874829750001</v>
      </c>
      <c r="R24" s="1451">
        <f t="shared" si="18"/>
        <v>537</v>
      </c>
      <c r="S24" s="1442">
        <f t="shared" si="19"/>
        <v>70418.621856130005</v>
      </c>
      <c r="T24" s="1444">
        <f t="shared" si="20"/>
        <v>70418.621856130005</v>
      </c>
      <c r="U24" s="1437"/>
      <c r="V24" s="1438">
        <f t="shared" si="10"/>
        <v>0</v>
      </c>
      <c r="W24" s="1439"/>
    </row>
    <row r="25" spans="1:23" ht="12.75">
      <c r="A25" s="1447">
        <v>2195</v>
      </c>
      <c r="B25" s="1533">
        <v>313298</v>
      </c>
      <c r="C25" s="1534" t="str">
        <f>VLOOKUP($B25,'[68]EE Listing with Position'!$A$2:$D$97,2,FALSE)</f>
        <v xml:space="preserve">Erik Venegas Madrid </v>
      </c>
      <c r="D25" s="1434" t="str">
        <f>+VLOOKUP($B25,'[68]EE Listing with Position'!$A:$E,5,FALSE)</f>
        <v>Resi MSW</v>
      </c>
      <c r="E25" s="1438">
        <f>+IFERROR(VLOOKUP($B25,'[68]Payroll Pivots'!$A:$D,4,FALSE),0)</f>
        <v>26.38</v>
      </c>
      <c r="F25" s="1442">
        <f>+IFERROR(VLOOKUP($B25,'[68]Payroll Pivots'!$K:$M,3,FALSE),0)</f>
        <v>2170.3299980000002</v>
      </c>
      <c r="G25" s="1442">
        <f t="shared" si="11"/>
        <v>57253.305347239999</v>
      </c>
      <c r="H25" s="1442">
        <f>+IFERROR(VLOOKUP($B25,'[68]Payroll Pivots'!$T:$V,3,FALSE),0)</f>
        <v>340.00000000000006</v>
      </c>
      <c r="I25" s="1442">
        <f t="shared" si="12"/>
        <v>13453.800000000003</v>
      </c>
      <c r="J25" s="1438">
        <f t="shared" si="13"/>
        <v>70707.105347239994</v>
      </c>
      <c r="K25" s="1442">
        <f>+IFERROR(VLOOKUP($B25,'[68]Payroll Pivots'!$AB:$AD,3,FALSE),0)</f>
        <v>1521.2799999999982</v>
      </c>
      <c r="L25" s="1442">
        <f>+IFERROR(VLOOKUP($B25,'[68]Payroll Pivots'!$AJ:$AL,3,FALSE),0)</f>
        <v>0</v>
      </c>
      <c r="M25" s="1442">
        <f t="shared" si="14"/>
        <v>72228.385347239993</v>
      </c>
      <c r="N25" s="1448">
        <f>+VLOOKUP($B25,'[68]EE Listing with Position'!$A:$H,8,FALSE)</f>
        <v>0</v>
      </c>
      <c r="O25" s="1449">
        <f t="shared" si="15"/>
        <v>26.38</v>
      </c>
      <c r="P25" s="1450">
        <f t="shared" si="16"/>
        <v>57253.305347239999</v>
      </c>
      <c r="Q25" s="1451">
        <f t="shared" si="17"/>
        <v>13453.800000000001</v>
      </c>
      <c r="R25" s="1451">
        <f t="shared" si="18"/>
        <v>0</v>
      </c>
      <c r="S25" s="1442">
        <f t="shared" si="19"/>
        <v>72228.385347239993</v>
      </c>
      <c r="T25" s="1444">
        <f t="shared" si="20"/>
        <v>72228.385347239993</v>
      </c>
      <c r="U25" s="1437"/>
      <c r="V25" s="1438">
        <f t="shared" si="10"/>
        <v>0</v>
      </c>
      <c r="W25" s="1439"/>
    </row>
    <row r="26" spans="1:23" ht="12.75">
      <c r="A26" s="1447">
        <v>2195</v>
      </c>
      <c r="B26" s="1533">
        <v>313743</v>
      </c>
      <c r="C26" s="1534" t="str">
        <f>VLOOKUP($B26,'[68]EE Listing with Position'!$A$2:$D$97,2,FALSE)</f>
        <v xml:space="preserve">Carlos Borja Rodriguez </v>
      </c>
      <c r="D26" s="1434" t="str">
        <f>+VLOOKUP($B26,'[68]EE Listing with Position'!$A:$E,5,FALSE)</f>
        <v>Resi MSW</v>
      </c>
      <c r="E26" s="1438">
        <f>+IFERROR(VLOOKUP($B26,'[68]Payroll Pivots'!$A:$D,4,FALSE),0)</f>
        <v>26.38</v>
      </c>
      <c r="F26" s="1442">
        <f>+IFERROR(VLOOKUP($B26,'[68]Payroll Pivots'!$K:$M,3,FALSE),0)</f>
        <v>2136.9333310000002</v>
      </c>
      <c r="G26" s="1442">
        <f t="shared" si="11"/>
        <v>56372.301271780001</v>
      </c>
      <c r="H26" s="1442">
        <f>+IFERROR(VLOOKUP($B26,'[68]Payroll Pivots'!$T:$V,3,FALSE),0)</f>
        <v>286.88333300000005</v>
      </c>
      <c r="I26" s="1442">
        <f t="shared" si="12"/>
        <v>11351.973486810002</v>
      </c>
      <c r="J26" s="1438">
        <f t="shared" si="13"/>
        <v>67724.274758590007</v>
      </c>
      <c r="K26" s="1442">
        <f>+IFERROR(VLOOKUP($B26,'[68]Payroll Pivots'!$AB:$AD,3,FALSE),0)</f>
        <v>1541.0199999999979</v>
      </c>
      <c r="L26" s="1442">
        <f>+IFERROR(VLOOKUP($B26,'[68]Payroll Pivots'!$AJ:$AL,3,FALSE),0)</f>
        <v>0</v>
      </c>
      <c r="M26" s="1442">
        <f t="shared" si="14"/>
        <v>69265.294758590011</v>
      </c>
      <c r="N26" s="1448">
        <f>+VLOOKUP($B26,'[68]EE Listing with Position'!$A:$H,8,FALSE)</f>
        <v>0</v>
      </c>
      <c r="O26" s="1449">
        <f t="shared" si="15"/>
        <v>26.38</v>
      </c>
      <c r="P26" s="1450">
        <f t="shared" si="16"/>
        <v>56372.301271780001</v>
      </c>
      <c r="Q26" s="1451">
        <f t="shared" si="17"/>
        <v>11351.973486810002</v>
      </c>
      <c r="R26" s="1451">
        <f t="shared" si="18"/>
        <v>0</v>
      </c>
      <c r="S26" s="1442">
        <f t="shared" si="19"/>
        <v>69265.294758590011</v>
      </c>
      <c r="T26" s="1444">
        <f t="shared" si="20"/>
        <v>69265.294758590011</v>
      </c>
      <c r="U26" s="1437"/>
      <c r="V26" s="1438">
        <f t="shared" si="10"/>
        <v>0</v>
      </c>
      <c r="W26" s="1439"/>
    </row>
    <row r="27" spans="1:23" ht="12.75">
      <c r="A27" s="1447">
        <v>2195</v>
      </c>
      <c r="B27" s="1533">
        <v>313979</v>
      </c>
      <c r="C27" s="1534" t="str">
        <f>VLOOKUP($B27,'[68]EE Listing with Position'!$A$2:$D$97,2,FALSE)</f>
        <v xml:space="preserve">Adrian Espinoza </v>
      </c>
      <c r="D27" s="1434" t="str">
        <f>+VLOOKUP($B27,'[68]EE Listing with Position'!$A:$E,5,FALSE)</f>
        <v>Resi MSW</v>
      </c>
      <c r="E27" s="1438">
        <f>+IFERROR(VLOOKUP($B27,'[68]Payroll Pivots'!$A:$D,4,FALSE),0)</f>
        <v>26.38</v>
      </c>
      <c r="F27" s="1442">
        <f>+IFERROR(VLOOKUP($B27,'[68]Payroll Pivots'!$K:$M,3,FALSE),0)</f>
        <v>2177.533332</v>
      </c>
      <c r="G27" s="1442">
        <f t="shared" si="11"/>
        <v>57443.329298159995</v>
      </c>
      <c r="H27" s="1442">
        <f>+IFERROR(VLOOKUP($B27,'[68]Payroll Pivots'!$T:$V,3,FALSE),0)</f>
        <v>454.40000899999995</v>
      </c>
      <c r="I27" s="1442">
        <f t="shared" si="12"/>
        <v>17980.608356129997</v>
      </c>
      <c r="J27" s="1438">
        <f t="shared" si="13"/>
        <v>75423.937654289999</v>
      </c>
      <c r="K27" s="1442">
        <f>+IFERROR(VLOOKUP($B27,'[68]Payroll Pivots'!$AB:$AD,3,FALSE),0)</f>
        <v>1486.8899999999996</v>
      </c>
      <c r="L27" s="1442">
        <f>+IFERROR(VLOOKUP($B27,'[68]Payroll Pivots'!$AJ:$AL,3,FALSE),0)</f>
        <v>172.25</v>
      </c>
      <c r="M27" s="1442">
        <f t="shared" si="14"/>
        <v>77083.077654289998</v>
      </c>
      <c r="N27" s="1448">
        <f>+VLOOKUP($B27,'[68]EE Listing with Position'!$A:$H,8,FALSE)</f>
        <v>0</v>
      </c>
      <c r="O27" s="1449">
        <f t="shared" si="15"/>
        <v>26.38</v>
      </c>
      <c r="P27" s="1450">
        <f t="shared" si="16"/>
        <v>57443.329298159995</v>
      </c>
      <c r="Q27" s="1451">
        <f t="shared" si="17"/>
        <v>17980.608356129997</v>
      </c>
      <c r="R27" s="1451">
        <f t="shared" si="18"/>
        <v>172.25</v>
      </c>
      <c r="S27" s="1442">
        <f t="shared" si="19"/>
        <v>77083.077654289998</v>
      </c>
      <c r="T27" s="1444">
        <f t="shared" si="20"/>
        <v>77083.077654289998</v>
      </c>
      <c r="U27" s="1437"/>
      <c r="V27" s="1438">
        <f t="shared" si="10"/>
        <v>0</v>
      </c>
      <c r="W27" s="1439"/>
    </row>
    <row r="28" spans="1:23" ht="12.75">
      <c r="A28" s="1447">
        <v>2195</v>
      </c>
      <c r="B28" s="1533">
        <v>317359</v>
      </c>
      <c r="C28" s="1534" t="str">
        <f>VLOOKUP($B28,'[68]EE Listing with Position'!$A$2:$D$97,2,FALSE)</f>
        <v xml:space="preserve">Jesus Cisneros </v>
      </c>
      <c r="D28" s="1434" t="str">
        <f>+VLOOKUP($B28,'[68]EE Listing with Position'!$A:$E,5,FALSE)</f>
        <v>Resi MSW</v>
      </c>
      <c r="E28" s="1438">
        <f>+IFERROR(VLOOKUP($B28,'[68]Payroll Pivots'!$A:$D,4,FALSE),0)</f>
        <v>25</v>
      </c>
      <c r="F28" s="1442">
        <f>+IFERROR(VLOOKUP($B28,'[68]Payroll Pivots'!$K:$M,3,FALSE),0)</f>
        <v>896.76993299999992</v>
      </c>
      <c r="G28" s="1442">
        <f t="shared" si="11"/>
        <v>22419.248324999997</v>
      </c>
      <c r="H28" s="1442">
        <f>+IFERROR(VLOOKUP($B28,'[68]Payroll Pivots'!$T:$V,3,FALSE),0)</f>
        <v>112.41666500000001</v>
      </c>
      <c r="I28" s="1442">
        <f t="shared" si="12"/>
        <v>4215.6249375000007</v>
      </c>
      <c r="J28" s="1438">
        <f t="shared" si="13"/>
        <v>26634.873262499998</v>
      </c>
      <c r="K28" s="1442">
        <f>+IFERROR(VLOOKUP($B28,'[68]Payroll Pivots'!$AB:$AD,3,FALSE),0)</f>
        <v>0</v>
      </c>
      <c r="L28" s="1442">
        <f>+IFERROR(VLOOKUP($B28,'[68]Payroll Pivots'!$AJ:$AL,3,FALSE),0)</f>
        <v>-346</v>
      </c>
      <c r="M28" s="1442">
        <f t="shared" si="14"/>
        <v>26288.873262499998</v>
      </c>
      <c r="N28" s="1448">
        <f>+VLOOKUP($B28,'[68]EE Listing with Position'!$A:$H,8,FALSE)</f>
        <v>0</v>
      </c>
      <c r="O28" s="1449">
        <f t="shared" si="15"/>
        <v>25</v>
      </c>
      <c r="P28" s="1450">
        <f t="shared" si="16"/>
        <v>22419.248324999997</v>
      </c>
      <c r="Q28" s="1451">
        <f t="shared" si="17"/>
        <v>4215.6249375000007</v>
      </c>
      <c r="R28" s="1451">
        <f t="shared" si="18"/>
        <v>-346</v>
      </c>
      <c r="S28" s="1442">
        <f t="shared" si="19"/>
        <v>26288.873262499998</v>
      </c>
      <c r="T28" s="1444">
        <f t="shared" si="20"/>
        <v>26288.873262499998</v>
      </c>
      <c r="U28" s="1437"/>
      <c r="V28" s="1438">
        <f t="shared" si="10"/>
        <v>0</v>
      </c>
      <c r="W28" s="1439"/>
    </row>
    <row r="29" spans="1:23" ht="12.75">
      <c r="A29" s="1447">
        <v>2195</v>
      </c>
      <c r="B29" s="1533">
        <v>321451</v>
      </c>
      <c r="C29" s="1534" t="str">
        <f>VLOOKUP($B29,'[68]EE Listing with Position'!$A$2:$D$97,2,FALSE)</f>
        <v xml:space="preserve">Eduardo Gonzales </v>
      </c>
      <c r="D29" s="1434" t="str">
        <f>+VLOOKUP($B29,'[68]EE Listing with Position'!$A:$E,5,FALSE)</f>
        <v>Resi MSW</v>
      </c>
      <c r="E29" s="1438">
        <f>+IFERROR(VLOOKUP($B29,'[68]Payroll Pivots'!$A:$D,4,FALSE),0)</f>
        <v>23</v>
      </c>
      <c r="F29" s="1442">
        <f>+IFERROR(VLOOKUP($B29,'[68]Payroll Pivots'!$K:$M,3,FALSE),0)</f>
        <v>1143.6166659999999</v>
      </c>
      <c r="G29" s="1442">
        <f t="shared" si="11"/>
        <v>26303.183317999996</v>
      </c>
      <c r="H29" s="1442">
        <f>+IFERROR(VLOOKUP($B29,'[68]Payroll Pivots'!$T:$V,3,FALSE),0)</f>
        <v>82.350004000000013</v>
      </c>
      <c r="I29" s="1442">
        <f t="shared" si="12"/>
        <v>2841.0751380000006</v>
      </c>
      <c r="J29" s="1438">
        <f t="shared" si="13"/>
        <v>29144.258455999996</v>
      </c>
      <c r="K29" s="1442">
        <f>+IFERROR(VLOOKUP($B29,'[68]Payroll Pivots'!$AB:$AD,3,FALSE),0)</f>
        <v>500</v>
      </c>
      <c r="L29" s="1442">
        <f>+IFERROR(VLOOKUP($B29,'[68]Payroll Pivots'!$AJ:$AL,3,FALSE),0)</f>
        <v>53.27</v>
      </c>
      <c r="M29" s="1442">
        <f t="shared" si="14"/>
        <v>29697.528455999996</v>
      </c>
      <c r="N29" s="1448">
        <f>+VLOOKUP($B29,'[68]EE Listing with Position'!$A:$H,8,FALSE)</f>
        <v>0</v>
      </c>
      <c r="O29" s="1449">
        <f t="shared" si="15"/>
        <v>23</v>
      </c>
      <c r="P29" s="1450">
        <f t="shared" si="16"/>
        <v>26303.183317999996</v>
      </c>
      <c r="Q29" s="1451">
        <f t="shared" si="17"/>
        <v>2841.0751380000006</v>
      </c>
      <c r="R29" s="1451">
        <f t="shared" si="18"/>
        <v>53.27</v>
      </c>
      <c r="S29" s="1442">
        <f t="shared" si="19"/>
        <v>29697.528455999996</v>
      </c>
      <c r="T29" s="1444">
        <f t="shared" si="20"/>
        <v>29697.528455999996</v>
      </c>
      <c r="U29" s="1437"/>
      <c r="V29" s="1438">
        <f t="shared" si="10"/>
        <v>0</v>
      </c>
      <c r="W29" s="1439"/>
    </row>
    <row r="30" spans="1:23" ht="12.75">
      <c r="A30" s="1447">
        <v>2195</v>
      </c>
      <c r="B30" s="1533">
        <v>321586</v>
      </c>
      <c r="C30" s="1534" t="str">
        <f>VLOOKUP($B30,'[68]EE Listing with Position'!$A$2:$D$97,2,FALSE)</f>
        <v xml:space="preserve">Miguel Castellanos </v>
      </c>
      <c r="D30" s="1434" t="str">
        <f>+VLOOKUP($B30,'[68]EE Listing with Position'!$A:$E,5,FALSE)</f>
        <v>Resi MSW</v>
      </c>
      <c r="E30" s="1438">
        <f>+IFERROR(VLOOKUP($B30,'[68]Payroll Pivots'!$A:$D,4,FALSE),0)</f>
        <v>23</v>
      </c>
      <c r="F30" s="1442">
        <f>+IFERROR(VLOOKUP($B30,'[68]Payroll Pivots'!$K:$M,3,FALSE),0)</f>
        <v>713.85000300000002</v>
      </c>
      <c r="G30" s="1442">
        <f t="shared" si="11"/>
        <v>16418.550069000001</v>
      </c>
      <c r="H30" s="1442">
        <f>+IFERROR(VLOOKUP($B30,'[68]Payroll Pivots'!$T:$V,3,FALSE),0)</f>
        <v>64</v>
      </c>
      <c r="I30" s="1442">
        <f t="shared" si="12"/>
        <v>2208</v>
      </c>
      <c r="J30" s="1438">
        <f t="shared" si="13"/>
        <v>18626.550069000001</v>
      </c>
      <c r="K30" s="1442">
        <f>+IFERROR(VLOOKUP($B30,'[68]Payroll Pivots'!$AB:$AD,3,FALSE),0)</f>
        <v>500</v>
      </c>
      <c r="L30" s="1442">
        <f>+IFERROR(VLOOKUP($B30,'[68]Payroll Pivots'!$AJ:$AL,3,FALSE),0)</f>
        <v>495.52</v>
      </c>
      <c r="M30" s="1442">
        <f t="shared" si="14"/>
        <v>19622.070069000001</v>
      </c>
      <c r="N30" s="1448">
        <f>+VLOOKUP($B30,'[68]EE Listing with Position'!$A:$H,8,FALSE)</f>
        <v>0</v>
      </c>
      <c r="O30" s="1449">
        <f t="shared" si="15"/>
        <v>23</v>
      </c>
      <c r="P30" s="1450">
        <f t="shared" si="16"/>
        <v>16418.550069000001</v>
      </c>
      <c r="Q30" s="1451">
        <f t="shared" si="17"/>
        <v>2208</v>
      </c>
      <c r="R30" s="1451">
        <f t="shared" si="18"/>
        <v>495.52</v>
      </c>
      <c r="S30" s="1442">
        <f t="shared" si="19"/>
        <v>19622.070069000001</v>
      </c>
      <c r="T30" s="1444">
        <f t="shared" si="20"/>
        <v>19622.070069000001</v>
      </c>
      <c r="U30" s="1437"/>
      <c r="V30" s="1438">
        <f t="shared" si="10"/>
        <v>0</v>
      </c>
      <c r="W30" s="1439"/>
    </row>
    <row r="31" spans="1:23" ht="12.75">
      <c r="A31" s="1447">
        <v>2195</v>
      </c>
      <c r="B31" s="1533">
        <v>323624</v>
      </c>
      <c r="C31" s="1534" t="str">
        <f>VLOOKUP($B31,'[68]EE Listing with Position'!$A$2:$D$97,2,FALSE)</f>
        <v xml:space="preserve">Eddie Lopez-Hernandez </v>
      </c>
      <c r="D31" s="1434" t="str">
        <f>+VLOOKUP($B31,'[68]EE Listing with Position'!$A:$E,5,FALSE)</f>
        <v>Resi MSW</v>
      </c>
      <c r="E31" s="1438">
        <f>+IFERROR(VLOOKUP($B31,'[68]Payroll Pivots'!$A:$D,4,FALSE),0)</f>
        <v>26.38</v>
      </c>
      <c r="F31" s="1442">
        <f>+IFERROR(VLOOKUP($B31,'[68]Payroll Pivots'!$K:$M,3,FALSE),0)</f>
        <v>1902.9333340000003</v>
      </c>
      <c r="G31" s="1442">
        <f t="shared" si="11"/>
        <v>50199.381350920004</v>
      </c>
      <c r="H31" s="1442">
        <f>+IFERROR(VLOOKUP($B31,'[68]Payroll Pivots'!$T:$V,3,FALSE),0)</f>
        <v>234.48333</v>
      </c>
      <c r="I31" s="1442">
        <f t="shared" si="12"/>
        <v>9278.505368099999</v>
      </c>
      <c r="J31" s="1438">
        <f t="shared" si="13"/>
        <v>59477.886719020004</v>
      </c>
      <c r="K31" s="1442">
        <f>+IFERROR(VLOOKUP($B31,'[68]Payroll Pivots'!$AB:$AD,3,FALSE),0)</f>
        <v>1306.8799999999997</v>
      </c>
      <c r="L31" s="1442">
        <f>+IFERROR(VLOOKUP($B31,'[68]Payroll Pivots'!$AJ:$AL,3,FALSE),0)</f>
        <v>0</v>
      </c>
      <c r="M31" s="1442">
        <f t="shared" si="14"/>
        <v>60784.766719020001</v>
      </c>
      <c r="N31" s="1448">
        <f>+VLOOKUP($B31,'[68]EE Listing with Position'!$A:$H,8,FALSE)</f>
        <v>0</v>
      </c>
      <c r="O31" s="1449">
        <f t="shared" si="15"/>
        <v>26.38</v>
      </c>
      <c r="P31" s="1450">
        <f t="shared" si="16"/>
        <v>50199.381350920004</v>
      </c>
      <c r="Q31" s="1451">
        <f t="shared" si="17"/>
        <v>9278.505368099999</v>
      </c>
      <c r="R31" s="1451">
        <f t="shared" si="18"/>
        <v>0</v>
      </c>
      <c r="S31" s="1442">
        <f t="shared" si="19"/>
        <v>60784.766719020001</v>
      </c>
      <c r="T31" s="1444">
        <f t="shared" si="20"/>
        <v>60784.766719020001</v>
      </c>
      <c r="U31" s="1437"/>
      <c r="V31" s="1438">
        <f t="shared" si="10"/>
        <v>0</v>
      </c>
      <c r="W31" s="1439"/>
    </row>
    <row r="32" spans="1:23" ht="12.75">
      <c r="A32" s="1447">
        <v>2195</v>
      </c>
      <c r="B32" s="1533">
        <v>324877</v>
      </c>
      <c r="C32" s="1534" t="str">
        <f>VLOOKUP($B32,'[68]EE Listing with Position'!$A$2:$D$97,2,FALSE)</f>
        <v xml:space="preserve">Leonardo Nunez </v>
      </c>
      <c r="D32" s="1434" t="str">
        <f>+VLOOKUP($B32,'[68]EE Listing with Position'!$A:$E,5,FALSE)</f>
        <v>Resi MSW</v>
      </c>
      <c r="E32" s="1438">
        <f>+IFERROR(VLOOKUP($B32,'[68]Payroll Pivots'!$A:$D,4,FALSE),0)</f>
        <v>24.27</v>
      </c>
      <c r="F32" s="1442">
        <f>+IFERROR(VLOOKUP($B32,'[68]Payroll Pivots'!$K:$M,3,FALSE),0)</f>
        <v>1196.9000000000001</v>
      </c>
      <c r="G32" s="1442">
        <f t="shared" si="11"/>
        <v>29048.763000000003</v>
      </c>
      <c r="H32" s="1442">
        <f>+IFERROR(VLOOKUP($B32,'[68]Payroll Pivots'!$T:$V,3,FALSE),0)</f>
        <v>154.200008</v>
      </c>
      <c r="I32" s="1442">
        <f t="shared" si="12"/>
        <v>5613.6512912400003</v>
      </c>
      <c r="J32" s="1438">
        <f t="shared" si="13"/>
        <v>34662.414291240006</v>
      </c>
      <c r="K32" s="1442">
        <f>+IFERROR(VLOOKUP($B32,'[68]Payroll Pivots'!$AB:$AD,3,FALSE),0)</f>
        <v>730.49999999999955</v>
      </c>
      <c r="L32" s="1442">
        <f>+IFERROR(VLOOKUP($B32,'[68]Payroll Pivots'!$AJ:$AL,3,FALSE),0)</f>
        <v>0</v>
      </c>
      <c r="M32" s="1442">
        <f t="shared" si="14"/>
        <v>35392.914291240006</v>
      </c>
      <c r="N32" s="1448">
        <f>+VLOOKUP($B32,'[68]EE Listing with Position'!$A:$H,8,FALSE)</f>
        <v>0</v>
      </c>
      <c r="O32" s="1449">
        <f t="shared" si="15"/>
        <v>24.27</v>
      </c>
      <c r="P32" s="1450">
        <f t="shared" si="16"/>
        <v>29048.763000000003</v>
      </c>
      <c r="Q32" s="1451">
        <f t="shared" si="17"/>
        <v>5613.6512912400003</v>
      </c>
      <c r="R32" s="1451">
        <f t="shared" si="18"/>
        <v>0</v>
      </c>
      <c r="S32" s="1442">
        <f t="shared" si="19"/>
        <v>35392.914291240006</v>
      </c>
      <c r="T32" s="1444">
        <f t="shared" si="20"/>
        <v>35392.914291240006</v>
      </c>
      <c r="U32" s="1437"/>
      <c r="V32" s="1438">
        <f t="shared" si="10"/>
        <v>0</v>
      </c>
      <c r="W32" s="1439"/>
    </row>
    <row r="33" spans="1:23" ht="12.75">
      <c r="A33" s="1447">
        <v>2195</v>
      </c>
      <c r="B33" s="1533">
        <v>325259</v>
      </c>
      <c r="C33" s="1534" t="str">
        <f>VLOOKUP($B33,'[68]EE Listing with Position'!$A$2:$D$97,2,FALSE)</f>
        <v xml:space="preserve">Jacob Breshears </v>
      </c>
      <c r="D33" s="1434" t="str">
        <f>+VLOOKUP($B33,'[68]EE Listing with Position'!$A:$E,5,FALSE)</f>
        <v>Resi MSW</v>
      </c>
      <c r="E33" s="1438">
        <f>+IFERROR(VLOOKUP($B33,'[68]Payroll Pivots'!$A:$D,4,FALSE),0)</f>
        <v>24.27</v>
      </c>
      <c r="F33" s="1442">
        <f>+IFERROR(VLOOKUP($B33,'[68]Payroll Pivots'!$K:$M,3,FALSE),0)</f>
        <v>1409.1500020000001</v>
      </c>
      <c r="G33" s="1442">
        <f t="shared" si="11"/>
        <v>34200.070548540003</v>
      </c>
      <c r="H33" s="1442">
        <f>+IFERROR(VLOOKUP($B33,'[68]Payroll Pivots'!$T:$V,3,FALSE),0)</f>
        <v>289.90002700000002</v>
      </c>
      <c r="I33" s="1442">
        <f t="shared" si="12"/>
        <v>10553.810482935001</v>
      </c>
      <c r="J33" s="1438">
        <f t="shared" si="13"/>
        <v>44753.881031475001</v>
      </c>
      <c r="K33" s="1442">
        <f>+IFERROR(VLOOKUP($B33,'[68]Payroll Pivots'!$AB:$AD,3,FALSE),0)</f>
        <v>1178.42</v>
      </c>
      <c r="L33" s="1442">
        <f>+IFERROR(VLOOKUP($B33,'[68]Payroll Pivots'!$AJ:$AL,3,FALSE),0)</f>
        <v>0</v>
      </c>
      <c r="M33" s="1442">
        <f t="shared" si="14"/>
        <v>45932.301031474999</v>
      </c>
      <c r="N33" s="1448">
        <f>+VLOOKUP($B33,'[68]EE Listing with Position'!$A:$H,8,FALSE)</f>
        <v>0</v>
      </c>
      <c r="O33" s="1449">
        <f t="shared" si="15"/>
        <v>24.27</v>
      </c>
      <c r="P33" s="1450">
        <f t="shared" si="16"/>
        <v>34200.070548540003</v>
      </c>
      <c r="Q33" s="1451">
        <f t="shared" si="17"/>
        <v>10553.810482935</v>
      </c>
      <c r="R33" s="1451">
        <f t="shared" si="18"/>
        <v>0</v>
      </c>
      <c r="S33" s="1442">
        <f t="shared" si="19"/>
        <v>45932.301031474999</v>
      </c>
      <c r="T33" s="1444">
        <f t="shared" si="20"/>
        <v>45932.301031474999</v>
      </c>
      <c r="U33" s="1437"/>
      <c r="V33" s="1438">
        <f t="shared" si="10"/>
        <v>0</v>
      </c>
      <c r="W33" s="1439"/>
    </row>
    <row r="34" spans="1:23" ht="12.75">
      <c r="A34" s="1447">
        <v>2195</v>
      </c>
      <c r="B34" s="1533">
        <v>326633</v>
      </c>
      <c r="C34" s="1534" t="str">
        <f>VLOOKUP($B34,'[68]EE Listing with Position'!$A$2:$D$97,2,FALSE)</f>
        <v xml:space="preserve">Juan Perea </v>
      </c>
      <c r="D34" s="1434" t="str">
        <f>+VLOOKUP($B34,'[68]EE Listing with Position'!$A:$E,5,FALSE)</f>
        <v>Resi MSW</v>
      </c>
      <c r="E34" s="1438">
        <f>+IFERROR(VLOOKUP($B34,'[68]Payroll Pivots'!$A:$D,4,FALSE),0)</f>
        <v>22</v>
      </c>
      <c r="F34" s="1442">
        <f>+IFERROR(VLOOKUP($B34,'[68]Payroll Pivots'!$K:$M,3,FALSE),0)</f>
        <v>193.79999900000001</v>
      </c>
      <c r="G34" s="1442">
        <f t="shared" si="11"/>
        <v>4263.5999780000002</v>
      </c>
      <c r="H34" s="1442">
        <f>+IFERROR(VLOOKUP($B34,'[68]Payroll Pivots'!$T:$V,3,FALSE),0)</f>
        <v>18.816668999999997</v>
      </c>
      <c r="I34" s="1442">
        <f t="shared" si="12"/>
        <v>620.95007699999996</v>
      </c>
      <c r="J34" s="1438">
        <f t="shared" si="13"/>
        <v>4884.5500549999997</v>
      </c>
      <c r="K34" s="1442">
        <f>+IFERROR(VLOOKUP($B34,'[68]Payroll Pivots'!$AB:$AD,3,FALSE),0)</f>
        <v>0</v>
      </c>
      <c r="L34" s="1442">
        <f>+IFERROR(VLOOKUP($B34,'[68]Payroll Pivots'!$AJ:$AL,3,FALSE),0)</f>
        <v>101.58</v>
      </c>
      <c r="M34" s="1442">
        <f t="shared" si="14"/>
        <v>4986.1300549999996</v>
      </c>
      <c r="N34" s="1448">
        <f>+VLOOKUP($B34,'[68]EE Listing with Position'!$A:$H,8,FALSE)</f>
        <v>0</v>
      </c>
      <c r="O34" s="1449">
        <f t="shared" si="15"/>
        <v>22</v>
      </c>
      <c r="P34" s="1450">
        <f t="shared" si="16"/>
        <v>4263.5999780000002</v>
      </c>
      <c r="Q34" s="1451">
        <f t="shared" si="17"/>
        <v>620.95007699999996</v>
      </c>
      <c r="R34" s="1451">
        <f t="shared" si="18"/>
        <v>101.58</v>
      </c>
      <c r="S34" s="1442">
        <f t="shared" si="19"/>
        <v>4986.1300549999996</v>
      </c>
      <c r="T34" s="1444">
        <f t="shared" si="20"/>
        <v>4986.1300549999996</v>
      </c>
      <c r="U34" s="1437"/>
      <c r="V34" s="1438">
        <f t="shared" si="10"/>
        <v>0</v>
      </c>
      <c r="W34" s="1439"/>
    </row>
    <row r="35" spans="1:23" ht="12.75">
      <c r="A35" s="1447">
        <v>2195</v>
      </c>
      <c r="B35" s="1533">
        <v>326661</v>
      </c>
      <c r="C35" s="1534" t="str">
        <f>VLOOKUP($B35,'[68]EE Listing with Position'!$A$2:$D$97,2,FALSE)</f>
        <v xml:space="preserve">Pedro Alvarado </v>
      </c>
      <c r="D35" s="1434" t="str">
        <f>+VLOOKUP($B35,'[68]EE Listing with Position'!$A:$E,5,FALSE)</f>
        <v>Resi MSW</v>
      </c>
      <c r="E35" s="1438">
        <f>+IFERROR(VLOOKUP($B35,'[68]Payroll Pivots'!$A:$D,4,FALSE),0)</f>
        <v>22</v>
      </c>
      <c r="F35" s="1442">
        <f>+IFERROR(VLOOKUP($B35,'[68]Payroll Pivots'!$K:$M,3,FALSE),0)</f>
        <v>56.366665999999995</v>
      </c>
      <c r="G35" s="1442">
        <f t="shared" si="11"/>
        <v>1240.066652</v>
      </c>
      <c r="H35" s="1442">
        <f>+IFERROR(VLOOKUP($B35,'[68]Payroll Pivots'!$T:$V,3,FALSE),0)</f>
        <v>0</v>
      </c>
      <c r="I35" s="1442">
        <f t="shared" si="12"/>
        <v>0</v>
      </c>
      <c r="J35" s="1438">
        <f t="shared" si="13"/>
        <v>1240.066652</v>
      </c>
      <c r="K35" s="1442">
        <f>+IFERROR(VLOOKUP($B35,'[68]Payroll Pivots'!$AB:$AD,3,FALSE),0)</f>
        <v>0</v>
      </c>
      <c r="L35" s="1442">
        <f>+IFERROR(VLOOKUP($B35,'[68]Payroll Pivots'!$AJ:$AL,3,FALSE),0)</f>
        <v>0</v>
      </c>
      <c r="M35" s="1442">
        <f t="shared" si="14"/>
        <v>1240.066652</v>
      </c>
      <c r="N35" s="1448">
        <f>+VLOOKUP($B35,'[68]EE Listing with Position'!$A:$H,8,FALSE)</f>
        <v>0</v>
      </c>
      <c r="O35" s="1449">
        <f t="shared" si="15"/>
        <v>22</v>
      </c>
      <c r="P35" s="1450">
        <f t="shared" si="16"/>
        <v>1240.066652</v>
      </c>
      <c r="Q35" s="1451">
        <f t="shared" si="17"/>
        <v>0</v>
      </c>
      <c r="R35" s="1451">
        <f t="shared" si="18"/>
        <v>0</v>
      </c>
      <c r="S35" s="1442">
        <f t="shared" si="19"/>
        <v>1240.066652</v>
      </c>
      <c r="T35" s="1444">
        <f t="shared" si="20"/>
        <v>1240.066652</v>
      </c>
      <c r="U35" s="1437"/>
      <c r="V35" s="1438">
        <f t="shared" si="10"/>
        <v>0</v>
      </c>
      <c r="W35" s="1439"/>
    </row>
    <row r="36" spans="1:23" ht="12.75">
      <c r="A36" s="1447">
        <v>2195</v>
      </c>
      <c r="B36" s="1533">
        <v>327790</v>
      </c>
      <c r="C36" s="1534" t="str">
        <f>VLOOKUP($B36,'[68]EE Listing with Position'!$A$2:$D$97,2,FALSE)</f>
        <v xml:space="preserve">Joshua Vickers </v>
      </c>
      <c r="D36" s="1434" t="str">
        <f>+VLOOKUP($B36,'[68]EE Listing with Position'!$A:$E,5,FALSE)</f>
        <v>Resi MSW</v>
      </c>
      <c r="E36" s="1438">
        <f>+IFERROR(VLOOKUP($B36,'[68]Payroll Pivots'!$A:$D,4,FALSE),0)</f>
        <v>26.38</v>
      </c>
      <c r="F36" s="1442">
        <f>+IFERROR(VLOOKUP($B36,'[68]Payroll Pivots'!$K:$M,3,FALSE),0)</f>
        <v>712.69999899999993</v>
      </c>
      <c r="G36" s="1442">
        <f t="shared" si="11"/>
        <v>18801.025973619999</v>
      </c>
      <c r="H36" s="1442">
        <f>+IFERROR(VLOOKUP($B36,'[68]Payroll Pivots'!$T:$V,3,FALSE),0)</f>
        <v>84.76666400000002</v>
      </c>
      <c r="I36" s="1442">
        <f t="shared" si="12"/>
        <v>3354.216894480001</v>
      </c>
      <c r="J36" s="1438">
        <f t="shared" si="13"/>
        <v>22155.242868099998</v>
      </c>
      <c r="K36" s="1442">
        <f>+IFERROR(VLOOKUP($B36,'[68]Payroll Pivots'!$AB:$AD,3,FALSE),0)</f>
        <v>373</v>
      </c>
      <c r="L36" s="1442">
        <f>+IFERROR(VLOOKUP($B36,'[68]Payroll Pivots'!$AJ:$AL,3,FALSE),0)</f>
        <v>0</v>
      </c>
      <c r="M36" s="1442">
        <f t="shared" si="14"/>
        <v>22528.242868099998</v>
      </c>
      <c r="N36" s="1448">
        <f>+VLOOKUP($B36,'[68]EE Listing with Position'!$A:$H,8,FALSE)</f>
        <v>0</v>
      </c>
      <c r="O36" s="1449">
        <f t="shared" si="15"/>
        <v>26.38</v>
      </c>
      <c r="P36" s="1450">
        <f t="shared" si="16"/>
        <v>18801.025973619999</v>
      </c>
      <c r="Q36" s="1451">
        <f t="shared" si="17"/>
        <v>3354.2168944800005</v>
      </c>
      <c r="R36" s="1451">
        <f t="shared" si="18"/>
        <v>0</v>
      </c>
      <c r="S36" s="1442">
        <f t="shared" si="19"/>
        <v>22528.242868099998</v>
      </c>
      <c r="T36" s="1444">
        <f t="shared" si="20"/>
        <v>22528.242868099998</v>
      </c>
      <c r="U36" s="1437"/>
      <c r="V36" s="1438">
        <f t="shared" si="10"/>
        <v>0</v>
      </c>
      <c r="W36" s="1439"/>
    </row>
    <row r="37" spans="1:23" ht="12.75">
      <c r="A37" s="1447">
        <v>2195</v>
      </c>
      <c r="B37" s="1533">
        <v>328133</v>
      </c>
      <c r="C37" s="1534" t="str">
        <f>VLOOKUP($B37,'[68]EE Listing with Position'!$A$2:$D$97,2,FALSE)</f>
        <v xml:space="preserve">Carlos Contreras </v>
      </c>
      <c r="D37" s="1434" t="str">
        <f>+VLOOKUP($B37,'[68]EE Listing with Position'!$A:$E,5,FALSE)</f>
        <v>Resi MSW</v>
      </c>
      <c r="E37" s="1438">
        <f>+IFERROR(VLOOKUP($B37,'[68]Payroll Pivots'!$A:$D,4,FALSE),0)</f>
        <v>24.27</v>
      </c>
      <c r="F37" s="1442">
        <f>+IFERROR(VLOOKUP($B37,'[68]Payroll Pivots'!$K:$M,3,FALSE),0)</f>
        <v>641.38333299999999</v>
      </c>
      <c r="G37" s="1442">
        <f t="shared" si="11"/>
        <v>15566.373491909999</v>
      </c>
      <c r="H37" s="1442">
        <f>+IFERROR(VLOOKUP($B37,'[68]Payroll Pivots'!$T:$V,3,FALSE),0)</f>
        <v>81.000003000000007</v>
      </c>
      <c r="I37" s="1442">
        <f t="shared" si="12"/>
        <v>2948.8051092150004</v>
      </c>
      <c r="J37" s="1438">
        <f t="shared" si="13"/>
        <v>18515.178601125001</v>
      </c>
      <c r="K37" s="1442">
        <f>+IFERROR(VLOOKUP($B37,'[68]Payroll Pivots'!$AB:$AD,3,FALSE),0)</f>
        <v>273.13</v>
      </c>
      <c r="L37" s="1442">
        <f>+IFERROR(VLOOKUP($B37,'[68]Payroll Pivots'!$AJ:$AL,3,FALSE),0)</f>
        <v>258.5</v>
      </c>
      <c r="M37" s="1442">
        <f t="shared" si="14"/>
        <v>19046.808601125002</v>
      </c>
      <c r="N37" s="1448">
        <f>+VLOOKUP($B37,'[68]EE Listing with Position'!$A:$H,8,FALSE)</f>
        <v>0</v>
      </c>
      <c r="O37" s="1449">
        <f t="shared" si="15"/>
        <v>24.27</v>
      </c>
      <c r="P37" s="1450">
        <f t="shared" si="16"/>
        <v>15566.373491909999</v>
      </c>
      <c r="Q37" s="1451">
        <f t="shared" si="17"/>
        <v>2948.8051092150004</v>
      </c>
      <c r="R37" s="1451">
        <f t="shared" si="18"/>
        <v>258.5</v>
      </c>
      <c r="S37" s="1442">
        <f t="shared" si="19"/>
        <v>19046.808601125002</v>
      </c>
      <c r="T37" s="1444">
        <f t="shared" si="20"/>
        <v>19046.808601125002</v>
      </c>
      <c r="U37" s="1437"/>
      <c r="V37" s="1438">
        <f t="shared" si="10"/>
        <v>0</v>
      </c>
      <c r="W37" s="1439"/>
    </row>
    <row r="38" spans="1:23" ht="12.75">
      <c r="A38" s="1447">
        <v>2195</v>
      </c>
      <c r="B38" s="1533">
        <v>328350</v>
      </c>
      <c r="C38" s="1534" t="str">
        <f>VLOOKUP($B38,'[68]EE Listing with Position'!$A$2:$D$97,2,FALSE)</f>
        <v xml:space="preserve">Marvin Morales </v>
      </c>
      <c r="D38" s="1434" t="str">
        <f>+VLOOKUP($B38,'[68]EE Listing with Position'!$A:$E,5,FALSE)</f>
        <v>Resi MSW</v>
      </c>
      <c r="E38" s="1438">
        <f>+IFERROR(VLOOKUP($B38,'[68]Payroll Pivots'!$A:$D,4,FALSE),0)</f>
        <v>23.21</v>
      </c>
      <c r="F38" s="1442">
        <f>+IFERROR(VLOOKUP($B38,'[68]Payroll Pivots'!$K:$M,3,FALSE),0)</f>
        <v>521.03333300000008</v>
      </c>
      <c r="G38" s="1442">
        <f t="shared" si="11"/>
        <v>12093.183658930002</v>
      </c>
      <c r="H38" s="1442">
        <f>+IFERROR(VLOOKUP($B38,'[68]Payroll Pivots'!$T:$V,3,FALSE),0)</f>
        <v>59.350001999999989</v>
      </c>
      <c r="I38" s="1442">
        <f t="shared" si="12"/>
        <v>2066.2703196299994</v>
      </c>
      <c r="J38" s="1438">
        <f t="shared" si="13"/>
        <v>14159.453978560001</v>
      </c>
      <c r="K38" s="1442">
        <f>+IFERROR(VLOOKUP($B38,'[68]Payroll Pivots'!$AB:$AD,3,FALSE),0)</f>
        <v>188.23000000000002</v>
      </c>
      <c r="L38" s="1442">
        <f>+IFERROR(VLOOKUP($B38,'[68]Payroll Pivots'!$AJ:$AL,3,FALSE),0)</f>
        <v>0</v>
      </c>
      <c r="M38" s="1442">
        <f t="shared" si="14"/>
        <v>14347.68397856</v>
      </c>
      <c r="N38" s="1448">
        <f>+VLOOKUP($B38,'[68]EE Listing with Position'!$A:$H,8,FALSE)</f>
        <v>0</v>
      </c>
      <c r="O38" s="1449">
        <f t="shared" si="15"/>
        <v>23.21</v>
      </c>
      <c r="P38" s="1450">
        <f t="shared" si="16"/>
        <v>12093.183658930002</v>
      </c>
      <c r="Q38" s="1451">
        <f t="shared" si="17"/>
        <v>2066.2703196299999</v>
      </c>
      <c r="R38" s="1451">
        <f t="shared" si="18"/>
        <v>0</v>
      </c>
      <c r="S38" s="1442">
        <f t="shared" si="19"/>
        <v>14347.683978560002</v>
      </c>
      <c r="T38" s="1444">
        <f t="shared" si="20"/>
        <v>14347.683978560002</v>
      </c>
      <c r="U38" s="1437"/>
      <c r="V38" s="1438">
        <f t="shared" si="10"/>
        <v>0</v>
      </c>
      <c r="W38" s="1439"/>
    </row>
    <row r="39" spans="1:23" ht="12.75">
      <c r="A39" s="1447">
        <v>2195</v>
      </c>
      <c r="B39" s="1533">
        <v>328888</v>
      </c>
      <c r="C39" s="1534" t="str">
        <f>VLOOKUP($B39,'[68]EE Listing with Position'!$A$2:$D$97,2,FALSE)</f>
        <v xml:space="preserve">Luis Gonzalez </v>
      </c>
      <c r="D39" s="1434" t="str">
        <f>+VLOOKUP($B39,'[68]EE Listing with Position'!$A:$E,5,FALSE)</f>
        <v>Resi MSW</v>
      </c>
      <c r="E39" s="1438">
        <f>+IFERROR(VLOOKUP($B39,'[68]Payroll Pivots'!$A:$D,4,FALSE),0)</f>
        <v>24.27</v>
      </c>
      <c r="F39" s="1442">
        <f>+IFERROR(VLOOKUP($B39,'[68]Payroll Pivots'!$K:$M,3,FALSE),0)</f>
        <v>318.250001</v>
      </c>
      <c r="G39" s="1442">
        <f t="shared" si="11"/>
        <v>7723.9275242699996</v>
      </c>
      <c r="H39" s="1442">
        <f>+IFERROR(VLOOKUP($B39,'[68]Payroll Pivots'!$T:$V,3,FALSE),0)</f>
        <v>53.983334999999997</v>
      </c>
      <c r="I39" s="1442">
        <f t="shared" si="12"/>
        <v>1965.263310675</v>
      </c>
      <c r="J39" s="1438">
        <f t="shared" si="13"/>
        <v>9689.1908349449986</v>
      </c>
      <c r="K39" s="1442">
        <f>+IFERROR(VLOOKUP($B39,'[68]Payroll Pivots'!$AB:$AD,3,FALSE),0)</f>
        <v>95.73</v>
      </c>
      <c r="L39" s="1442">
        <f>+IFERROR(VLOOKUP($B39,'[68]Payroll Pivots'!$AJ:$AL,3,FALSE),0)</f>
        <v>0</v>
      </c>
      <c r="M39" s="1442">
        <f t="shared" si="14"/>
        <v>9784.9208349449982</v>
      </c>
      <c r="N39" s="1448">
        <f>+VLOOKUP($B39,'[68]EE Listing with Position'!$A:$H,8,FALSE)</f>
        <v>0</v>
      </c>
      <c r="O39" s="1449">
        <f t="shared" si="15"/>
        <v>24.27</v>
      </c>
      <c r="P39" s="1450">
        <f t="shared" si="16"/>
        <v>7723.9275242699996</v>
      </c>
      <c r="Q39" s="1451">
        <f t="shared" si="17"/>
        <v>1965.263310675</v>
      </c>
      <c r="R39" s="1451">
        <f t="shared" si="18"/>
        <v>0</v>
      </c>
      <c r="S39" s="1442">
        <f t="shared" si="19"/>
        <v>9784.9208349449982</v>
      </c>
      <c r="T39" s="1444">
        <f t="shared" si="20"/>
        <v>9784.9208349449982</v>
      </c>
      <c r="U39" s="1437"/>
      <c r="V39" s="1438">
        <f t="shared" si="10"/>
        <v>0</v>
      </c>
      <c r="W39" s="1439"/>
    </row>
    <row r="40" spans="1:23" ht="12.75">
      <c r="A40" s="1447">
        <v>2195</v>
      </c>
      <c r="B40" s="1533">
        <v>328938</v>
      </c>
      <c r="C40" s="1534" t="str">
        <f>VLOOKUP($B40,'[68]EE Listing with Position'!$A$2:$D$97,2,FALSE)</f>
        <v xml:space="preserve">Bryan Hernandez </v>
      </c>
      <c r="D40" s="1434" t="str">
        <f>+VLOOKUP($B40,'[68]EE Listing with Position'!$A:$E,5,FALSE)</f>
        <v>Resi MSW</v>
      </c>
      <c r="E40" s="1438">
        <f>+IFERROR(VLOOKUP($B40,'[68]Payroll Pivots'!$A:$D,4,FALSE),0)</f>
        <v>22</v>
      </c>
      <c r="F40" s="1442">
        <f>+IFERROR(VLOOKUP($B40,'[68]Payroll Pivots'!$K:$M,3,FALSE),0)</f>
        <v>300.08333399999998</v>
      </c>
      <c r="G40" s="1442">
        <f t="shared" si="11"/>
        <v>6601.8333479999992</v>
      </c>
      <c r="H40" s="1442">
        <f>+IFERROR(VLOOKUP($B40,'[68]Payroll Pivots'!$T:$V,3,FALSE),0)</f>
        <v>57.783332999999999</v>
      </c>
      <c r="I40" s="1442">
        <f t="shared" si="12"/>
        <v>1906.8499890000001</v>
      </c>
      <c r="J40" s="1438">
        <f t="shared" si="13"/>
        <v>8508.6833369999986</v>
      </c>
      <c r="K40" s="1442">
        <f>+IFERROR(VLOOKUP($B40,'[68]Payroll Pivots'!$AB:$AD,3,FALSE),0)</f>
        <v>83.67</v>
      </c>
      <c r="L40" s="1442">
        <f>+IFERROR(VLOOKUP($B40,'[68]Payroll Pivots'!$AJ:$AL,3,FALSE),0)</f>
        <v>0</v>
      </c>
      <c r="M40" s="1442">
        <f t="shared" si="14"/>
        <v>8592.3533369999986</v>
      </c>
      <c r="N40" s="1448">
        <f>+VLOOKUP($B40,'[68]EE Listing with Position'!$A:$H,8,FALSE)</f>
        <v>0</v>
      </c>
      <c r="O40" s="1449">
        <f t="shared" si="15"/>
        <v>22</v>
      </c>
      <c r="P40" s="1450">
        <f t="shared" si="16"/>
        <v>6601.8333479999992</v>
      </c>
      <c r="Q40" s="1451">
        <f t="shared" si="17"/>
        <v>1906.8499890000001</v>
      </c>
      <c r="R40" s="1451">
        <f t="shared" si="18"/>
        <v>0</v>
      </c>
      <c r="S40" s="1442">
        <f t="shared" si="19"/>
        <v>8592.3533369999986</v>
      </c>
      <c r="T40" s="1444">
        <f t="shared" si="20"/>
        <v>8592.3533369999986</v>
      </c>
      <c r="U40" s="1437"/>
      <c r="V40" s="1438">
        <f t="shared" si="10"/>
        <v>0</v>
      </c>
      <c r="W40" s="1439"/>
    </row>
    <row r="41" spans="1:23" ht="12.75">
      <c r="A41" s="1447">
        <v>2195</v>
      </c>
      <c r="B41" s="1533">
        <v>329595</v>
      </c>
      <c r="C41" s="1534" t="str">
        <f>VLOOKUP($B41,'[68]EE Listing with Position'!$A$2:$D$97,2,FALSE)</f>
        <v xml:space="preserve">Antony Rivera </v>
      </c>
      <c r="D41" s="1434" t="str">
        <f>+VLOOKUP($B41,'[68]EE Listing with Position'!$A:$E,5,FALSE)</f>
        <v>Resi MSW</v>
      </c>
      <c r="E41" s="1438">
        <f>+IFERROR(VLOOKUP($B41,'[68]Payroll Pivots'!$A:$D,4,FALSE),0)</f>
        <v>23.21</v>
      </c>
      <c r="F41" s="1442">
        <f>+IFERROR(VLOOKUP($B41,'[68]Payroll Pivots'!$K:$M,3,FALSE),0)</f>
        <v>40</v>
      </c>
      <c r="G41" s="1442">
        <f t="shared" si="11"/>
        <v>928.40000000000009</v>
      </c>
      <c r="H41" s="1442">
        <f>+IFERROR(VLOOKUP($B41,'[68]Payroll Pivots'!$T:$V,3,FALSE),0)</f>
        <v>0.150001</v>
      </c>
      <c r="I41" s="1442">
        <f t="shared" si="12"/>
        <v>5.2222848149999992</v>
      </c>
      <c r="J41" s="1438">
        <f t="shared" si="13"/>
        <v>933.62228481500006</v>
      </c>
      <c r="K41" s="1442">
        <f>+IFERROR(VLOOKUP($B41,'[68]Payroll Pivots'!$AB:$AD,3,FALSE),0)</f>
        <v>0</v>
      </c>
      <c r="L41" s="1442">
        <f>+IFERROR(VLOOKUP($B41,'[68]Payroll Pivots'!$AJ:$AL,3,FALSE),0)</f>
        <v>0</v>
      </c>
      <c r="M41" s="1442">
        <f t="shared" si="14"/>
        <v>933.62228481500006</v>
      </c>
      <c r="N41" s="1448">
        <f>+VLOOKUP($B41,'[68]EE Listing with Position'!$A:$H,8,FALSE)</f>
        <v>0</v>
      </c>
      <c r="O41" s="1449">
        <f t="shared" si="15"/>
        <v>23.21</v>
      </c>
      <c r="P41" s="1450">
        <f t="shared" si="16"/>
        <v>928.40000000000009</v>
      </c>
      <c r="Q41" s="1451">
        <f t="shared" si="17"/>
        <v>5.2222848150000001</v>
      </c>
      <c r="R41" s="1451">
        <f t="shared" si="18"/>
        <v>0</v>
      </c>
      <c r="S41" s="1442">
        <f t="shared" si="19"/>
        <v>933.62228481500006</v>
      </c>
      <c r="T41" s="1444">
        <f t="shared" si="20"/>
        <v>933.62228481500006</v>
      </c>
      <c r="U41" s="1437"/>
      <c r="V41" s="1438">
        <f t="shared" si="10"/>
        <v>0</v>
      </c>
      <c r="W41" s="1439"/>
    </row>
    <row r="42" spans="1:23" ht="12.75">
      <c r="A42" s="1447">
        <v>2195</v>
      </c>
      <c r="B42" s="1533">
        <v>114487</v>
      </c>
      <c r="C42" s="1534" t="str">
        <f>VLOOKUP($B42,'[68]EE Listing with Position'!$A$2:$D$97,2,FALSE)</f>
        <v xml:space="preserve">Noel Trevino </v>
      </c>
      <c r="D42" s="1434" t="str">
        <f>+VLOOKUP($B42,'[68]EE Listing with Position'!$A:$E,5,FALSE)</f>
        <v>Resi MSW</v>
      </c>
      <c r="E42" s="1438">
        <f>+IFERROR(VLOOKUP($B42,'[68]Payroll Pivots'!$A:$D,4,FALSE),0)</f>
        <v>27.88</v>
      </c>
      <c r="F42" s="1442">
        <f>+IFERROR(VLOOKUP($B42,'[68]Payroll Pivots'!$K:$M,3,FALSE),0)</f>
        <v>2152.2833329999999</v>
      </c>
      <c r="G42" s="1442">
        <f t="shared" si="11"/>
        <v>60005.659324039996</v>
      </c>
      <c r="H42" s="1442">
        <f>+IFERROR(VLOOKUP($B42,'[68]Payroll Pivots'!$T:$V,3,FALSE),0)</f>
        <v>454.74999999999994</v>
      </c>
      <c r="I42" s="1442">
        <f t="shared" si="12"/>
        <v>19017.644999999997</v>
      </c>
      <c r="J42" s="1438">
        <f t="shared" si="13"/>
        <v>79023.304324039986</v>
      </c>
      <c r="K42" s="1442">
        <f>+IFERROR(VLOOKUP($B42,'[68]Payroll Pivots'!$AB:$AD,3,FALSE),0)</f>
        <v>1480.4900000000002</v>
      </c>
      <c r="L42" s="1442">
        <f>+IFERROR(VLOOKUP($B42,'[68]Payroll Pivots'!$AJ:$AL,3,FALSE),0)</f>
        <v>4813.99</v>
      </c>
      <c r="M42" s="1442">
        <f t="shared" si="14"/>
        <v>85317.784324039982</v>
      </c>
      <c r="N42" s="1448">
        <f>+VLOOKUP($B42,'[68]EE Listing with Position'!$A:$H,8,FALSE)</f>
        <v>0</v>
      </c>
      <c r="O42" s="1449">
        <f t="shared" si="15"/>
        <v>27.88</v>
      </c>
      <c r="P42" s="1450">
        <f t="shared" si="16"/>
        <v>60005.659324039996</v>
      </c>
      <c r="Q42" s="1451">
        <f t="shared" si="17"/>
        <v>19017.644999999997</v>
      </c>
      <c r="R42" s="1451">
        <f t="shared" si="18"/>
        <v>4813.99</v>
      </c>
      <c r="S42" s="1442">
        <f t="shared" si="19"/>
        <v>85317.784324039996</v>
      </c>
      <c r="T42" s="1444">
        <f t="shared" si="20"/>
        <v>85317.784324039996</v>
      </c>
      <c r="U42" s="1437"/>
      <c r="V42" s="1438">
        <f t="shared" si="10"/>
        <v>0</v>
      </c>
      <c r="W42" s="1439"/>
    </row>
    <row r="43" spans="1:23" ht="12.75">
      <c r="A43" s="1447">
        <v>2195</v>
      </c>
      <c r="B43" s="1533">
        <v>155303</v>
      </c>
      <c r="C43" s="1534" t="str">
        <f>VLOOKUP($B43,'[68]EE Listing with Position'!$A$2:$D$97,2,FALSE)</f>
        <v xml:space="preserve">Javier Castro </v>
      </c>
      <c r="D43" s="1434" t="str">
        <f>+VLOOKUP($B43,'[68]EE Listing with Position'!$A:$E,5,FALSE)</f>
        <v>Resi MSW</v>
      </c>
      <c r="E43" s="1438">
        <f>+IFERROR(VLOOKUP($B43,'[68]Payroll Pivots'!$A:$D,4,FALSE),0)</f>
        <v>26.38</v>
      </c>
      <c r="F43" s="1442">
        <f>+IFERROR(VLOOKUP($B43,'[68]Payroll Pivots'!$K:$M,3,FALSE),0)</f>
        <v>2143.7833329999999</v>
      </c>
      <c r="G43" s="1442">
        <f t="shared" si="11"/>
        <v>56553.004324539994</v>
      </c>
      <c r="H43" s="1442">
        <f>+IFERROR(VLOOKUP($B43,'[68]Payroll Pivots'!$T:$V,3,FALSE),0)</f>
        <v>434.99999099999991</v>
      </c>
      <c r="I43" s="1442">
        <f t="shared" si="12"/>
        <v>17212.949643869997</v>
      </c>
      <c r="J43" s="1438">
        <f t="shared" si="13"/>
        <v>73765.953968409987</v>
      </c>
      <c r="K43" s="1442">
        <f>+IFERROR(VLOOKUP($B43,'[68]Payroll Pivots'!$AB:$AD,3,FALSE),0)</f>
        <v>1763.4799999999991</v>
      </c>
      <c r="L43" s="1442">
        <f>+IFERROR(VLOOKUP($B43,'[68]Payroll Pivots'!$AJ:$AL,3,FALSE),0)</f>
        <v>2095.25</v>
      </c>
      <c r="M43" s="1442">
        <f t="shared" si="14"/>
        <v>77624.683968409983</v>
      </c>
      <c r="N43" s="1448">
        <f>+VLOOKUP($B43,'[68]EE Listing with Position'!$A:$H,8,FALSE)</f>
        <v>0</v>
      </c>
      <c r="O43" s="1449">
        <f t="shared" si="15"/>
        <v>26.38</v>
      </c>
      <c r="P43" s="1450">
        <f t="shared" si="16"/>
        <v>56553.004324539994</v>
      </c>
      <c r="Q43" s="1451">
        <f t="shared" si="17"/>
        <v>17212.949643869997</v>
      </c>
      <c r="R43" s="1451">
        <f t="shared" si="18"/>
        <v>2095.25</v>
      </c>
      <c r="S43" s="1442">
        <f t="shared" si="19"/>
        <v>77624.683968409983</v>
      </c>
      <c r="T43" s="1444">
        <f t="shared" si="20"/>
        <v>77624.683968409983</v>
      </c>
      <c r="U43" s="1437"/>
      <c r="V43" s="1438">
        <f t="shared" si="10"/>
        <v>0</v>
      </c>
      <c r="W43" s="1439"/>
    </row>
    <row r="44" spans="1:23" ht="12.75">
      <c r="A44" s="1447">
        <v>2195</v>
      </c>
      <c r="B44" s="1533">
        <v>157794</v>
      </c>
      <c r="C44" s="1534" t="str">
        <f>VLOOKUP($B44,'[68]EE Listing with Position'!$A$2:$D$97,2,FALSE)</f>
        <v xml:space="preserve">Jose Jimenez </v>
      </c>
      <c r="D44" s="1434" t="str">
        <f>+VLOOKUP($B44,'[68]EE Listing with Position'!$A:$E,5,FALSE)</f>
        <v>Resi MSW</v>
      </c>
      <c r="E44" s="1438">
        <f>+IFERROR(VLOOKUP($B44,'[68]Payroll Pivots'!$A:$D,4,FALSE),0)</f>
        <v>26.38</v>
      </c>
      <c r="F44" s="1442">
        <f>+IFERROR(VLOOKUP($B44,'[68]Payroll Pivots'!$K:$M,3,FALSE),0)</f>
        <v>2089.6666679999998</v>
      </c>
      <c r="G44" s="1442">
        <f t="shared" si="11"/>
        <v>55125.406701839995</v>
      </c>
      <c r="H44" s="1442">
        <f>+IFERROR(VLOOKUP($B44,'[68]Payroll Pivots'!$T:$V,3,FALSE),0)</f>
        <v>296.3166690000001</v>
      </c>
      <c r="I44" s="1442">
        <f t="shared" si="12"/>
        <v>11725.250592330005</v>
      </c>
      <c r="J44" s="1438">
        <f t="shared" si="13"/>
        <v>66850.65729417</v>
      </c>
      <c r="K44" s="1442">
        <f>+IFERROR(VLOOKUP($B44,'[68]Payroll Pivots'!$AB:$AD,3,FALSE),0)</f>
        <v>1737.7099999999991</v>
      </c>
      <c r="L44" s="1442">
        <f>+IFERROR(VLOOKUP($B44,'[68]Payroll Pivots'!$AJ:$AL,3,FALSE),0)</f>
        <v>0</v>
      </c>
      <c r="M44" s="1442">
        <f t="shared" si="14"/>
        <v>68588.367294169992</v>
      </c>
      <c r="N44" s="1448">
        <f>+VLOOKUP($B44,'[68]EE Listing with Position'!$A:$H,8,FALSE)</f>
        <v>0</v>
      </c>
      <c r="O44" s="1449">
        <f t="shared" si="15"/>
        <v>26.38</v>
      </c>
      <c r="P44" s="1450">
        <f t="shared" si="16"/>
        <v>55125.406701839995</v>
      </c>
      <c r="Q44" s="1451">
        <f t="shared" si="17"/>
        <v>11725.250592330005</v>
      </c>
      <c r="R44" s="1451">
        <f t="shared" si="18"/>
        <v>0</v>
      </c>
      <c r="S44" s="1442">
        <f t="shared" si="19"/>
        <v>68588.367294169992</v>
      </c>
      <c r="T44" s="1444">
        <f t="shared" si="20"/>
        <v>68588.367294169992</v>
      </c>
      <c r="U44" s="1437"/>
      <c r="V44" s="1438">
        <f t="shared" si="10"/>
        <v>0</v>
      </c>
      <c r="W44" s="1439"/>
    </row>
    <row r="45" spans="1:23" ht="12.75">
      <c r="A45" s="1447">
        <v>2195</v>
      </c>
      <c r="B45" s="1533">
        <v>300490</v>
      </c>
      <c r="C45" s="1534" t="str">
        <f>VLOOKUP($B45,'[68]EE Listing with Position'!$A$2:$D$97,2,FALSE)</f>
        <v xml:space="preserve">Edward Castro </v>
      </c>
      <c r="D45" s="1434" t="str">
        <f>+VLOOKUP($B45,'[68]EE Listing with Position'!$A:$E,5,FALSE)</f>
        <v>Resi MSW</v>
      </c>
      <c r="E45" s="1438">
        <f>+IFERROR(VLOOKUP($B45,'[68]Payroll Pivots'!$A:$D,4,FALSE),0)</f>
        <v>26.38</v>
      </c>
      <c r="F45" s="1442">
        <f>+IFERROR(VLOOKUP($B45,'[68]Payroll Pivots'!$K:$M,3,FALSE),0)</f>
        <v>2115.5833360000001</v>
      </c>
      <c r="G45" s="1442">
        <f t="shared" si="11"/>
        <v>55809.088403680005</v>
      </c>
      <c r="H45" s="1442">
        <f>+IFERROR(VLOOKUP($B45,'[68]Payroll Pivots'!$T:$V,3,FALSE),0)</f>
        <v>297.25000800000004</v>
      </c>
      <c r="I45" s="1442">
        <f t="shared" si="12"/>
        <v>11762.182816560002</v>
      </c>
      <c r="J45" s="1438">
        <f t="shared" si="13"/>
        <v>67571.271220240014</v>
      </c>
      <c r="K45" s="1442">
        <f>+IFERROR(VLOOKUP($B45,'[68]Payroll Pivots'!$AB:$AD,3,FALSE),0)</f>
        <v>1287.05</v>
      </c>
      <c r="L45" s="1442">
        <f>+IFERROR(VLOOKUP($B45,'[68]Payroll Pivots'!$AJ:$AL,3,FALSE),0)</f>
        <v>0</v>
      </c>
      <c r="M45" s="1442">
        <f t="shared" si="14"/>
        <v>68858.321220240017</v>
      </c>
      <c r="N45" s="1448">
        <f>+VLOOKUP($B45,'[68]EE Listing with Position'!$A:$H,8,FALSE)</f>
        <v>0</v>
      </c>
      <c r="O45" s="1449">
        <f t="shared" si="15"/>
        <v>26.38</v>
      </c>
      <c r="P45" s="1450">
        <f t="shared" si="16"/>
        <v>55809.088403680005</v>
      </c>
      <c r="Q45" s="1451">
        <f t="shared" si="17"/>
        <v>11762.182816560002</v>
      </c>
      <c r="R45" s="1451">
        <f t="shared" si="18"/>
        <v>0</v>
      </c>
      <c r="S45" s="1442">
        <f t="shared" si="19"/>
        <v>68858.321220240017</v>
      </c>
      <c r="T45" s="1444">
        <f t="shared" si="20"/>
        <v>68858.321220240017</v>
      </c>
      <c r="U45" s="1437"/>
      <c r="V45" s="1438">
        <f t="shared" si="10"/>
        <v>0</v>
      </c>
      <c r="W45" s="1439"/>
    </row>
    <row r="46" spans="1:23" ht="12.75">
      <c r="A46" s="1447">
        <v>2195</v>
      </c>
      <c r="B46" s="1533">
        <v>114478</v>
      </c>
      <c r="C46" s="1534" t="str">
        <f>VLOOKUP($B46,'[68]EE Listing with Position'!$A$2:$D$97,2,FALSE)</f>
        <v xml:space="preserve">Victor Ponce </v>
      </c>
      <c r="D46" s="1434" t="str">
        <f>+VLOOKUP($B46,'[68]EE Listing with Position'!$A:$E,5,FALSE)</f>
        <v>Resi MSW</v>
      </c>
      <c r="E46" s="1438">
        <f>+IFERROR(VLOOKUP($B46,'[68]Payroll Pivots'!$A:$D,4,FALSE),0)</f>
        <v>27.88</v>
      </c>
      <c r="F46" s="1442">
        <f>+IFERROR(VLOOKUP($B46,'[68]Payroll Pivots'!$K:$M,3,FALSE),0)</f>
        <v>2125.1999989999999</v>
      </c>
      <c r="G46" s="1442">
        <f t="shared" si="11"/>
        <v>59250.575972119994</v>
      </c>
      <c r="H46" s="1442">
        <f>+IFERROR(VLOOKUP($B46,'[68]Payroll Pivots'!$T:$V,3,FALSE),0)</f>
        <v>302.66667200000001</v>
      </c>
      <c r="I46" s="1442">
        <f t="shared" si="12"/>
        <v>12657.520223040001</v>
      </c>
      <c r="J46" s="1438">
        <f t="shared" si="13"/>
        <v>71908.096195159989</v>
      </c>
      <c r="K46" s="1442">
        <f>+IFERROR(VLOOKUP($B46,'[68]Payroll Pivots'!$AB:$AD,3,FALSE),0)</f>
        <v>1406.880000000001</v>
      </c>
      <c r="L46" s="1442">
        <f>+IFERROR(VLOOKUP($B46,'[68]Payroll Pivots'!$AJ:$AL,3,FALSE),0)</f>
        <v>6236.78</v>
      </c>
      <c r="M46" s="1442">
        <f t="shared" si="14"/>
        <v>79551.756195159993</v>
      </c>
      <c r="N46" s="1448">
        <f>+VLOOKUP($B46,'[68]EE Listing with Position'!$A:$H,8,FALSE)</f>
        <v>0</v>
      </c>
      <c r="O46" s="1449">
        <f t="shared" si="15"/>
        <v>27.88</v>
      </c>
      <c r="P46" s="1450">
        <f t="shared" si="16"/>
        <v>59250.575972119994</v>
      </c>
      <c r="Q46" s="1451">
        <f t="shared" si="17"/>
        <v>12657.520223040001</v>
      </c>
      <c r="R46" s="1451">
        <f t="shared" si="18"/>
        <v>6236.78</v>
      </c>
      <c r="S46" s="1442">
        <f t="shared" si="19"/>
        <v>79551.756195159993</v>
      </c>
      <c r="T46" s="1444">
        <f t="shared" si="20"/>
        <v>79551.756195159993</v>
      </c>
      <c r="U46" s="1437"/>
      <c r="V46" s="1438">
        <f t="shared" si="10"/>
        <v>0</v>
      </c>
      <c r="W46" s="1439"/>
    </row>
    <row r="47" spans="1:23" ht="12.75">
      <c r="A47" s="1447">
        <v>2195</v>
      </c>
      <c r="B47" s="1533">
        <v>312209</v>
      </c>
      <c r="C47" s="1534" t="str">
        <f>VLOOKUP($B47,'[68]EE Listing with Position'!$A$2:$D$97,2,FALSE)</f>
        <v xml:space="preserve">Wilson Collazo </v>
      </c>
      <c r="D47" s="1434" t="str">
        <f>+VLOOKUP($B47,'[68]EE Listing with Position'!$A:$E,5,FALSE)</f>
        <v>Resi MSW</v>
      </c>
      <c r="E47" s="1438">
        <f>+IFERROR(VLOOKUP($B47,'[68]Payroll Pivots'!$A:$D,4,FALSE),0)</f>
        <v>26.38</v>
      </c>
      <c r="F47" s="1442">
        <f>+IFERROR(VLOOKUP($B47,'[68]Payroll Pivots'!$K:$M,3,FALSE),0)</f>
        <v>2152.9666730000004</v>
      </c>
      <c r="G47" s="1442">
        <f t="shared" si="11"/>
        <v>56795.260833740009</v>
      </c>
      <c r="H47" s="1442">
        <f>+IFERROR(VLOOKUP($B47,'[68]Payroll Pivots'!$T:$V,3,FALSE),0)</f>
        <v>233.15000000000003</v>
      </c>
      <c r="I47" s="1442">
        <f t="shared" si="12"/>
        <v>9225.7455000000009</v>
      </c>
      <c r="J47" s="1438">
        <f t="shared" si="13"/>
        <v>66021.006333740006</v>
      </c>
      <c r="K47" s="1442">
        <f>+IFERROR(VLOOKUP($B47,'[68]Payroll Pivots'!$AB:$AD,3,FALSE),0)</f>
        <v>313.13</v>
      </c>
      <c r="L47" s="1442">
        <f>+IFERROR(VLOOKUP($B47,'[68]Payroll Pivots'!$AJ:$AL,3,FALSE),0)</f>
        <v>0</v>
      </c>
      <c r="M47" s="1442">
        <f t="shared" si="14"/>
        <v>66334.136333740011</v>
      </c>
      <c r="N47" s="1448">
        <f>+VLOOKUP($B47,'[68]EE Listing with Position'!$A:$H,8,FALSE)</f>
        <v>0</v>
      </c>
      <c r="O47" s="1449">
        <f t="shared" si="15"/>
        <v>26.38</v>
      </c>
      <c r="P47" s="1450">
        <f t="shared" si="16"/>
        <v>56795.260833740009</v>
      </c>
      <c r="Q47" s="1451">
        <f t="shared" si="17"/>
        <v>9225.7455000000009</v>
      </c>
      <c r="R47" s="1451">
        <f t="shared" si="18"/>
        <v>0</v>
      </c>
      <c r="S47" s="1442">
        <f t="shared" si="19"/>
        <v>66334.136333740011</v>
      </c>
      <c r="T47" s="1444">
        <f t="shared" si="20"/>
        <v>66334.136333740011</v>
      </c>
      <c r="U47" s="1437"/>
      <c r="V47" s="1438">
        <f t="shared" si="10"/>
        <v>0</v>
      </c>
      <c r="W47" s="1439"/>
    </row>
    <row r="48" spans="1:23" ht="12.75">
      <c r="A48" s="1447">
        <v>2195</v>
      </c>
      <c r="B48" s="1533">
        <v>115644</v>
      </c>
      <c r="C48" s="1534" t="str">
        <f>VLOOKUP($B48,'[68]EE Listing with Position'!$A$2:$D$97,2,FALSE)</f>
        <v xml:space="preserve">Juan Ortega </v>
      </c>
      <c r="D48" s="1434" t="str">
        <f>+VLOOKUP($B48,'[68]EE Listing with Position'!$A:$E,5,FALSE)</f>
        <v>Resi MSW</v>
      </c>
      <c r="E48" s="1438">
        <f>+IFERROR(VLOOKUP($B48,'[68]Payroll Pivots'!$A:$D,4,FALSE),0)</f>
        <v>27.88</v>
      </c>
      <c r="F48" s="1442">
        <f>+IFERROR(VLOOKUP($B48,'[68]Payroll Pivots'!$K:$M,3,FALSE),0)</f>
        <v>2182.7000010000002</v>
      </c>
      <c r="G48" s="1442">
        <f t="shared" si="11"/>
        <v>60853.676027879999</v>
      </c>
      <c r="H48" s="1442">
        <f>+IFERROR(VLOOKUP($B48,'[68]Payroll Pivots'!$T:$V,3,FALSE),0)</f>
        <v>401.06667800000008</v>
      </c>
      <c r="I48" s="1442">
        <f t="shared" si="12"/>
        <v>16772.608473960005</v>
      </c>
      <c r="J48" s="1438">
        <f t="shared" si="13"/>
        <v>77626.284501840011</v>
      </c>
      <c r="K48" s="1442">
        <f>+IFERROR(VLOOKUP($B48,'[68]Payroll Pivots'!$AB:$AD,3,FALSE),0)</f>
        <v>2806.3799999999983</v>
      </c>
      <c r="L48" s="1442">
        <f>+IFERROR(VLOOKUP($B48,'[68]Payroll Pivots'!$AJ:$AL,3,FALSE),0)</f>
        <v>5387.48</v>
      </c>
      <c r="M48" s="1442">
        <f t="shared" si="14"/>
        <v>85820.144501840012</v>
      </c>
      <c r="N48" s="1448">
        <f>+VLOOKUP($B48,'[68]EE Listing with Position'!$A:$H,8,FALSE)</f>
        <v>0</v>
      </c>
      <c r="O48" s="1449">
        <f t="shared" si="15"/>
        <v>27.88</v>
      </c>
      <c r="P48" s="1450">
        <f t="shared" si="16"/>
        <v>60853.676027879999</v>
      </c>
      <c r="Q48" s="1451">
        <f t="shared" si="17"/>
        <v>16772.608473960001</v>
      </c>
      <c r="R48" s="1451">
        <f t="shared" si="18"/>
        <v>5387.48</v>
      </c>
      <c r="S48" s="1442">
        <f t="shared" si="19"/>
        <v>85820.144501839997</v>
      </c>
      <c r="T48" s="1444">
        <f t="shared" si="20"/>
        <v>85820.144501839997</v>
      </c>
      <c r="U48" s="1437"/>
      <c r="V48" s="1438">
        <f t="shared" si="10"/>
        <v>0</v>
      </c>
      <c r="W48" s="1439"/>
    </row>
    <row r="49" spans="1:23" ht="12.75">
      <c r="A49" s="1447">
        <v>2195</v>
      </c>
      <c r="B49" s="1533">
        <v>322879</v>
      </c>
      <c r="C49" s="1534" t="str">
        <f>VLOOKUP($B49,'[68]EE Listing with Position'!$A$2:$D$97,2,FALSE)</f>
        <v xml:space="preserve">Jose Garibay, chavez </v>
      </c>
      <c r="D49" s="1434" t="str">
        <f>+VLOOKUP($B49,'[68]EE Listing with Position'!$A:$E,5,FALSE)</f>
        <v>Resi MSW</v>
      </c>
      <c r="E49" s="1438">
        <f>+IFERROR(VLOOKUP($B49,'[68]Payroll Pivots'!$A:$D,4,FALSE),0)</f>
        <v>19.82</v>
      </c>
      <c r="F49" s="1442">
        <f>+IFERROR(VLOOKUP($B49,'[68]Payroll Pivots'!$K:$M,3,FALSE),0)</f>
        <v>160</v>
      </c>
      <c r="G49" s="1442">
        <f t="shared" si="11"/>
        <v>3171.2</v>
      </c>
      <c r="H49" s="1442">
        <f>+IFERROR(VLOOKUP($B49,'[68]Payroll Pivots'!$T:$V,3,FALSE),0)</f>
        <v>30.516666000000001</v>
      </c>
      <c r="I49" s="1442">
        <f t="shared" si="12"/>
        <v>907.26048018000006</v>
      </c>
      <c r="J49" s="1438">
        <f t="shared" si="13"/>
        <v>4078.4604801799996</v>
      </c>
      <c r="K49" s="1442">
        <f>+IFERROR(VLOOKUP($B49,'[68]Payroll Pivots'!$AB:$AD,3,FALSE),0)</f>
        <v>0</v>
      </c>
      <c r="L49" s="1442">
        <f>+IFERROR(VLOOKUP($B49,'[68]Payroll Pivots'!$AJ:$AL,3,FALSE),0)</f>
        <v>0</v>
      </c>
      <c r="M49" s="1442">
        <f t="shared" si="14"/>
        <v>4078.4604801799996</v>
      </c>
      <c r="N49" s="1448">
        <f>+VLOOKUP($B49,'[68]EE Listing with Position'!$A:$H,8,FALSE)</f>
        <v>0</v>
      </c>
      <c r="O49" s="1449">
        <f t="shared" si="15"/>
        <v>19.82</v>
      </c>
      <c r="P49" s="1450">
        <f t="shared" si="16"/>
        <v>3171.2</v>
      </c>
      <c r="Q49" s="1451">
        <f t="shared" si="17"/>
        <v>907.26048018000006</v>
      </c>
      <c r="R49" s="1451">
        <f t="shared" si="18"/>
        <v>0</v>
      </c>
      <c r="S49" s="1442">
        <f t="shared" si="19"/>
        <v>4078.4604801799996</v>
      </c>
      <c r="T49" s="1444">
        <f t="shared" si="20"/>
        <v>4078.4604801799996</v>
      </c>
      <c r="U49" s="1437"/>
      <c r="V49" s="1438">
        <f t="shared" si="10"/>
        <v>0</v>
      </c>
      <c r="W49" s="1439"/>
    </row>
    <row r="50" spans="1:23" ht="12.75">
      <c r="A50" s="1447">
        <v>2195</v>
      </c>
      <c r="B50" s="1533">
        <v>324127</v>
      </c>
      <c r="C50" s="1534" t="str">
        <f>VLOOKUP($B50,'[68]EE Listing with Position'!$A$2:$D$97,2,FALSE)</f>
        <v xml:space="preserve">Fransisco Morales </v>
      </c>
      <c r="D50" s="1434" t="str">
        <f>+VLOOKUP($B50,'[68]EE Listing with Position'!$A:$E,5,FALSE)</f>
        <v>Resi MSW</v>
      </c>
      <c r="E50" s="1438">
        <f>+IFERROR(VLOOKUP($B50,'[68]Payroll Pivots'!$A:$D,4,FALSE),0)</f>
        <v>22</v>
      </c>
      <c r="F50" s="1442">
        <f>+IFERROR(VLOOKUP($B50,'[68]Payroll Pivots'!$K:$M,3,FALSE),0)</f>
        <v>93.816665999999998</v>
      </c>
      <c r="G50" s="1442">
        <f t="shared" si="11"/>
        <v>2063.9666520000001</v>
      </c>
      <c r="H50" s="1442">
        <f>+IFERROR(VLOOKUP($B50,'[68]Payroll Pivots'!$T:$V,3,FALSE),0)</f>
        <v>3.5833330000000001</v>
      </c>
      <c r="I50" s="1442">
        <f t="shared" si="12"/>
        <v>118.249989</v>
      </c>
      <c r="J50" s="1438">
        <f t="shared" si="13"/>
        <v>2182.216641</v>
      </c>
      <c r="K50" s="1442">
        <f>+IFERROR(VLOOKUP($B50,'[68]Payroll Pivots'!$AB:$AD,3,FALSE),0)</f>
        <v>0</v>
      </c>
      <c r="L50" s="1442">
        <f>+IFERROR(VLOOKUP($B50,'[68]Payroll Pivots'!$AJ:$AL,3,FALSE),0)</f>
        <v>0</v>
      </c>
      <c r="M50" s="1442">
        <f t="shared" si="14"/>
        <v>2182.216641</v>
      </c>
      <c r="N50" s="1448">
        <f>+VLOOKUP($B50,'[68]EE Listing with Position'!$A:$H,8,FALSE)</f>
        <v>0</v>
      </c>
      <c r="O50" s="1449">
        <f t="shared" si="15"/>
        <v>22</v>
      </c>
      <c r="P50" s="1450">
        <f t="shared" si="16"/>
        <v>2063.9666520000001</v>
      </c>
      <c r="Q50" s="1451">
        <f t="shared" si="17"/>
        <v>118.249989</v>
      </c>
      <c r="R50" s="1451">
        <f t="shared" si="18"/>
        <v>0</v>
      </c>
      <c r="S50" s="1442">
        <f t="shared" si="19"/>
        <v>2182.216641</v>
      </c>
      <c r="T50" s="1444">
        <f t="shared" si="20"/>
        <v>2182.216641</v>
      </c>
      <c r="U50" s="1437"/>
      <c r="V50" s="1438">
        <f t="shared" si="10"/>
        <v>0</v>
      </c>
      <c r="W50" s="1439"/>
    </row>
    <row r="51" spans="1:23" ht="12.75">
      <c r="A51" s="1447">
        <v>2195</v>
      </c>
      <c r="B51" s="1533">
        <v>324364</v>
      </c>
      <c r="C51" s="1534" t="str">
        <f>VLOOKUP($B51,'[68]EE Listing with Position'!$A$2:$D$97,2,FALSE)</f>
        <v xml:space="preserve">Marquise Andrade </v>
      </c>
      <c r="D51" s="1434" t="str">
        <f>+VLOOKUP($B51,'[68]EE Listing with Position'!$A:$E,5,FALSE)</f>
        <v>Resi MSW</v>
      </c>
      <c r="E51" s="1438">
        <f>+IFERROR(VLOOKUP($B51,'[68]Payroll Pivots'!$A:$D,4,FALSE),0)</f>
        <v>22</v>
      </c>
      <c r="F51" s="1442">
        <f>+IFERROR(VLOOKUP($B51,'[68]Payroll Pivots'!$K:$M,3,FALSE),0)</f>
        <v>64.7</v>
      </c>
      <c r="G51" s="1442">
        <f t="shared" si="11"/>
        <v>1423.4</v>
      </c>
      <c r="H51" s="1442">
        <f>+IFERROR(VLOOKUP($B51,'[68]Payroll Pivots'!$T:$V,3,FALSE),0)</f>
        <v>0</v>
      </c>
      <c r="I51" s="1442">
        <f t="shared" si="12"/>
        <v>0</v>
      </c>
      <c r="J51" s="1438">
        <f t="shared" si="13"/>
        <v>1423.4</v>
      </c>
      <c r="K51" s="1442">
        <f>+IFERROR(VLOOKUP($B51,'[68]Payroll Pivots'!$AB:$AD,3,FALSE),0)</f>
        <v>0</v>
      </c>
      <c r="L51" s="1442">
        <f>+IFERROR(VLOOKUP($B51,'[68]Payroll Pivots'!$AJ:$AL,3,FALSE),0)</f>
        <v>0</v>
      </c>
      <c r="M51" s="1442">
        <f t="shared" si="14"/>
        <v>1423.4</v>
      </c>
      <c r="N51" s="1448">
        <f>+VLOOKUP($B51,'[68]EE Listing with Position'!$A:$H,8,FALSE)</f>
        <v>0</v>
      </c>
      <c r="O51" s="1449">
        <f t="shared" si="15"/>
        <v>22</v>
      </c>
      <c r="P51" s="1450">
        <f t="shared" si="16"/>
        <v>1423.4</v>
      </c>
      <c r="Q51" s="1451">
        <f t="shared" si="17"/>
        <v>0</v>
      </c>
      <c r="R51" s="1451">
        <f t="shared" si="18"/>
        <v>0</v>
      </c>
      <c r="S51" s="1442">
        <f t="shared" si="19"/>
        <v>1423.4</v>
      </c>
      <c r="T51" s="1444">
        <f t="shared" si="20"/>
        <v>1423.4</v>
      </c>
      <c r="U51" s="1437"/>
      <c r="V51" s="1438">
        <f t="shared" si="10"/>
        <v>0</v>
      </c>
      <c r="W51" s="1439"/>
    </row>
    <row r="52" spans="1:23" ht="12.75">
      <c r="A52" s="1447">
        <v>2195</v>
      </c>
      <c r="B52" s="1533">
        <v>156957</v>
      </c>
      <c r="C52" s="1534" t="str">
        <f>VLOOKUP($B52,'[68]EE Listing with Position'!$A$2:$D$97,2,FALSE)</f>
        <v xml:space="preserve">Race Kennedy </v>
      </c>
      <c r="D52" s="1434" t="str">
        <f>+VLOOKUP($B52,'[68]EE Listing with Position'!$A:$E,5,FALSE)</f>
        <v>Resi MSW</v>
      </c>
      <c r="E52" s="1438">
        <f>+IFERROR(VLOOKUP($B52,'[68]Payroll Pivots'!$A:$D,4,FALSE),0)</f>
        <v>26.38</v>
      </c>
      <c r="F52" s="1442">
        <f>+IFERROR(VLOOKUP($B52,'[68]Payroll Pivots'!$K:$M,3,FALSE),0)</f>
        <v>2055.7166669999997</v>
      </c>
      <c r="G52" s="1442">
        <f>+E52*F52</f>
        <v>54229.805675459989</v>
      </c>
      <c r="H52" s="1442">
        <f>+IFERROR(VLOOKUP($B52,'[68]Payroll Pivots'!$T:$V,3,FALSE),0)</f>
        <v>438.85004399999991</v>
      </c>
      <c r="I52" s="1442">
        <f>+(E52*1.5)*H52</f>
        <v>17365.296241079996</v>
      </c>
      <c r="J52" s="1438">
        <f>+G52+I52</f>
        <v>71595.101916539978</v>
      </c>
      <c r="K52" s="1442">
        <f>+IFERROR(VLOOKUP($B52,'[68]Payroll Pivots'!$AB:$AD,3,FALSE),0)</f>
        <v>1523.5099999999989</v>
      </c>
      <c r="L52" s="1442">
        <f>+IFERROR(VLOOKUP($B52,'[68]Payroll Pivots'!$AJ:$AL,3,FALSE),0)</f>
        <v>0</v>
      </c>
      <c r="M52" s="1442">
        <f>+L52+K52+J52</f>
        <v>73118.611916539972</v>
      </c>
      <c r="N52" s="1448">
        <f>+VLOOKUP($B52,'[68]EE Listing with Position'!$A:$H,8,FALSE)</f>
        <v>0</v>
      </c>
      <c r="O52" s="1449">
        <f>E52*(1+N52)</f>
        <v>26.38</v>
      </c>
      <c r="P52" s="1450">
        <f>+F52*O52</f>
        <v>54229.805675459989</v>
      </c>
      <c r="Q52" s="1451">
        <f>+O52*H52*1.5</f>
        <v>17365.296241079996</v>
      </c>
      <c r="R52" s="1451">
        <f>+L52*(1+N52)</f>
        <v>0</v>
      </c>
      <c r="S52" s="1442">
        <f>SUM(P52:R52)+K52</f>
        <v>73118.611916539972</v>
      </c>
      <c r="T52" s="1444">
        <f>+S52</f>
        <v>73118.611916539972</v>
      </c>
      <c r="U52" s="1437"/>
      <c r="V52" s="1438">
        <f>T52-M52</f>
        <v>0</v>
      </c>
      <c r="W52" s="1439"/>
    </row>
    <row r="53" spans="1:23" ht="12.75">
      <c r="A53" s="1447">
        <v>2195</v>
      </c>
      <c r="B53" s="1533">
        <v>307420</v>
      </c>
      <c r="C53" s="1534" t="str">
        <f>VLOOKUP($B53,'[68]EE Listing with Position'!$A$2:$D$97,2,FALSE)</f>
        <v xml:space="preserve">Leevi Creeley </v>
      </c>
      <c r="D53" s="1434" t="str">
        <f>+VLOOKUP($B53,'[68]EE Listing with Position'!$A:$E,5,FALSE)</f>
        <v>Resi MSW</v>
      </c>
      <c r="E53" s="1438">
        <f>+IFERROR(VLOOKUP($B53,'[68]Payroll Pivots'!$A:$D,4,FALSE),0)</f>
        <v>26.38</v>
      </c>
      <c r="F53" s="1442">
        <f>+IFERROR(VLOOKUP($B53,'[68]Payroll Pivots'!$K:$M,3,FALSE),0)</f>
        <v>2151.5351339999997</v>
      </c>
      <c r="G53" s="1442">
        <f>+E53*F53</f>
        <v>56757.496834919992</v>
      </c>
      <c r="H53" s="1442">
        <f>+IFERROR(VLOOKUP($B53,'[68]Payroll Pivots'!$T:$V,3,FALSE),0)</f>
        <v>301.56666799999994</v>
      </c>
      <c r="I53" s="1442">
        <f>+(E53*1.5)*H53</f>
        <v>11932.993052759997</v>
      </c>
      <c r="J53" s="1438">
        <f>+G53+I53</f>
        <v>68690.489887679985</v>
      </c>
      <c r="K53" s="1442">
        <f>+IFERROR(VLOOKUP($B53,'[68]Payroll Pivots'!$AB:$AD,3,FALSE),0)</f>
        <v>1660.3200000000006</v>
      </c>
      <c r="L53" s="1442">
        <f>+IFERROR(VLOOKUP($B53,'[68]Payroll Pivots'!$AJ:$AL,3,FALSE),0)</f>
        <v>0</v>
      </c>
      <c r="M53" s="1442">
        <f>+L53+K53+J53</f>
        <v>70350.809887679992</v>
      </c>
      <c r="N53" s="1448">
        <f>+VLOOKUP($B53,'[68]EE Listing with Position'!$A:$H,8,FALSE)</f>
        <v>0</v>
      </c>
      <c r="O53" s="1449">
        <f>E53*(1+N53)</f>
        <v>26.38</v>
      </c>
      <c r="P53" s="1450">
        <f>+F53*O53</f>
        <v>56757.496834919992</v>
      </c>
      <c r="Q53" s="1451">
        <f>+O53*H53*1.5</f>
        <v>11932.993052759997</v>
      </c>
      <c r="R53" s="1451">
        <f>+L53*(1+N53)</f>
        <v>0</v>
      </c>
      <c r="S53" s="1442">
        <f>SUM(P53:R53)+K53</f>
        <v>70350.809887679992</v>
      </c>
      <c r="T53" s="1444">
        <f>+S53</f>
        <v>70350.809887679992</v>
      </c>
      <c r="U53" s="1437"/>
      <c r="V53" s="1438">
        <f>T53-M53</f>
        <v>0</v>
      </c>
      <c r="W53" s="1439"/>
    </row>
    <row r="54" spans="1:23">
      <c r="A54" s="1447"/>
      <c r="B54" s="1441"/>
      <c r="C54" s="1437"/>
      <c r="D54" s="1434"/>
      <c r="E54" s="1442"/>
      <c r="F54" s="1442"/>
      <c r="G54" s="1438"/>
      <c r="H54" s="1442"/>
      <c r="I54" s="1438"/>
      <c r="J54" s="1442"/>
      <c r="K54" s="1442"/>
      <c r="L54" s="1442"/>
      <c r="M54" s="1442"/>
      <c r="N54" s="1442"/>
      <c r="O54" s="1443"/>
      <c r="P54" s="1442"/>
      <c r="Q54" s="1442"/>
      <c r="R54" s="1442"/>
      <c r="S54" s="1442"/>
      <c r="T54" s="1444"/>
      <c r="U54" s="1437"/>
      <c r="V54" s="1438"/>
      <c r="W54" s="1439"/>
    </row>
    <row r="55" spans="1:23">
      <c r="A55" s="1447"/>
      <c r="B55" s="1441"/>
      <c r="C55" s="1519" t="str">
        <f>CONCATENATE("TOTAL ",A16)</f>
        <v>TOTAL Residential Drivers</v>
      </c>
      <c r="D55" s="1434"/>
      <c r="E55" s="1452">
        <f t="shared" ref="E55:T55" si="21">+SUM(E17:E54)</f>
        <v>933.3</v>
      </c>
      <c r="F55" s="1452">
        <f t="shared" si="21"/>
        <v>52684.585081999998</v>
      </c>
      <c r="G55" s="1452">
        <f t="shared" si="21"/>
        <v>1387863.7524612301</v>
      </c>
      <c r="H55" s="1452">
        <f t="shared" si="21"/>
        <v>7893.6668030000001</v>
      </c>
      <c r="I55" s="1452">
        <f t="shared" si="21"/>
        <v>314110.19451519003</v>
      </c>
      <c r="J55" s="1452">
        <f t="shared" si="21"/>
        <v>1701973.9469764195</v>
      </c>
      <c r="K55" s="1452">
        <f t="shared" si="21"/>
        <v>33944.93</v>
      </c>
      <c r="L55" s="1452">
        <f t="shared" si="21"/>
        <v>27472.13</v>
      </c>
      <c r="M55" s="1452">
        <f t="shared" si="21"/>
        <v>1763391.0069764198</v>
      </c>
      <c r="N55" s="1452">
        <f t="shared" si="21"/>
        <v>0</v>
      </c>
      <c r="O55" s="1452">
        <f t="shared" si="21"/>
        <v>933.3</v>
      </c>
      <c r="P55" s="1452">
        <f t="shared" si="21"/>
        <v>1387863.7524612301</v>
      </c>
      <c r="Q55" s="1452">
        <f t="shared" si="21"/>
        <v>314110.19451519003</v>
      </c>
      <c r="R55" s="1452">
        <f t="shared" si="21"/>
        <v>27472.13</v>
      </c>
      <c r="S55" s="1452">
        <f t="shared" si="21"/>
        <v>1763391.0069764198</v>
      </c>
      <c r="T55" s="1453">
        <f t="shared" si="21"/>
        <v>1763391.0069764198</v>
      </c>
      <c r="U55" s="1437"/>
      <c r="V55" s="1453">
        <f>+SUM(V17:V54)</f>
        <v>0</v>
      </c>
      <c r="W55" s="1454">
        <f>+SUM(W17:W54)</f>
        <v>0</v>
      </c>
    </row>
    <row r="56" spans="1:23">
      <c r="A56" s="1447"/>
      <c r="B56" s="1441"/>
      <c r="C56" s="1519"/>
      <c r="D56" s="1434"/>
      <c r="E56" s="1442"/>
      <c r="F56" s="1442"/>
      <c r="G56" s="1442"/>
      <c r="H56" s="1442"/>
      <c r="I56" s="1442"/>
      <c r="J56" s="1442"/>
      <c r="K56" s="1442"/>
      <c r="L56" s="1442"/>
      <c r="M56" s="1442"/>
      <c r="N56" s="1442"/>
      <c r="O56" s="1442"/>
      <c r="P56" s="1442"/>
      <c r="Q56" s="1442"/>
      <c r="R56" s="1442"/>
      <c r="S56" s="1442"/>
      <c r="T56" s="1444"/>
      <c r="U56" s="1437"/>
      <c r="V56" s="1442"/>
      <c r="W56" s="1455"/>
    </row>
    <row r="57" spans="1:23">
      <c r="A57" s="1440" t="s">
        <v>456</v>
      </c>
      <c r="B57" s="1441"/>
      <c r="C57" s="1437"/>
      <c r="D57" s="1434"/>
      <c r="E57" s="1442"/>
      <c r="F57" s="1442"/>
      <c r="G57" s="1442"/>
      <c r="H57" s="1442"/>
      <c r="I57" s="1438"/>
      <c r="J57" s="1442"/>
      <c r="K57" s="1442"/>
      <c r="L57" s="1442"/>
      <c r="M57" s="1442"/>
      <c r="N57" s="1442"/>
      <c r="O57" s="1443"/>
      <c r="P57" s="1442"/>
      <c r="Q57" s="1442"/>
      <c r="R57" s="1442"/>
      <c r="S57" s="1442"/>
      <c r="T57" s="1444"/>
      <c r="U57" s="1437"/>
      <c r="V57" s="1438"/>
      <c r="W57" s="1439"/>
    </row>
    <row r="58" spans="1:23" ht="12.75">
      <c r="A58" s="1447">
        <v>2195</v>
      </c>
      <c r="B58" s="1533">
        <v>114437</v>
      </c>
      <c r="C58" s="1534" t="str">
        <f>VLOOKUP($B58,'[68]EE Listing with Position'!$A$2:$D$97,2,FALSE)</f>
        <v xml:space="preserve">Servando Arguello </v>
      </c>
      <c r="D58" s="1434" t="str">
        <f>+VLOOKUP($B58,'[68]EE Listing with Position'!$A:$E,5,FALSE)</f>
        <v>RO</v>
      </c>
      <c r="E58" s="1438">
        <f>+IFERROR(VLOOKUP($B58,'[68]Payroll Pivots'!$A:$D,4,FALSE),0)</f>
        <v>26.38</v>
      </c>
      <c r="F58" s="1442">
        <f>+IFERROR(VLOOKUP($B58,'[68]Payroll Pivots'!$K:$M,3,FALSE),0)</f>
        <v>2135.650001</v>
      </c>
      <c r="G58" s="1442">
        <f t="shared" ref="G58:G74" si="22">+E58*F58</f>
        <v>56338.447026379996</v>
      </c>
      <c r="H58" s="1442">
        <f>+IFERROR(VLOOKUP($B58,'[68]Payroll Pivots'!$T:$V,3,FALSE),0)</f>
        <v>389.58333499999975</v>
      </c>
      <c r="I58" s="1442">
        <f t="shared" ref="I58:I74" si="23">+(E58*1.5)*H58</f>
        <v>15415.812565949991</v>
      </c>
      <c r="J58" s="1438">
        <f t="shared" ref="J58:J74" si="24">+G58+I58</f>
        <v>71754.259592329981</v>
      </c>
      <c r="K58" s="1442">
        <f>+IFERROR(VLOOKUP($B58,'[68]Payroll Pivots'!$AB:$AD,3,FALSE),0)</f>
        <v>1757.5899999999992</v>
      </c>
      <c r="L58" s="1442">
        <f>+IFERROR(VLOOKUP($B58,'[68]Payroll Pivots'!$AJ:$AL,3,FALSE),0)</f>
        <v>5692.75</v>
      </c>
      <c r="M58" s="1442">
        <f t="shared" ref="M58:M74" si="25">+L58+K58+J58</f>
        <v>79204.599592329978</v>
      </c>
      <c r="N58" s="1448">
        <f>+VLOOKUP($B58,'[68]EE Listing with Position'!$A:$H,8,FALSE)</f>
        <v>0</v>
      </c>
      <c r="O58" s="1449">
        <f t="shared" ref="O58:O74" si="26">E58*(1+N58)</f>
        <v>26.38</v>
      </c>
      <c r="P58" s="1450">
        <f t="shared" ref="P58:P74" si="27">+F58*O58</f>
        <v>56338.447026379996</v>
      </c>
      <c r="Q58" s="1451">
        <f t="shared" ref="Q58:Q74" si="28">+O58*H58*1.5</f>
        <v>15415.812565949989</v>
      </c>
      <c r="R58" s="1451">
        <f t="shared" ref="R58:R74" si="29">+L58*(1+N58)</f>
        <v>5692.75</v>
      </c>
      <c r="S58" s="1442">
        <f t="shared" ref="S58:S74" si="30">SUM(P58:R58)+K58</f>
        <v>79204.599592329978</v>
      </c>
      <c r="T58" s="1444">
        <f t="shared" ref="T58:T74" si="31">+S58</f>
        <v>79204.599592329978</v>
      </c>
      <c r="U58" s="1437"/>
      <c r="V58" s="1438">
        <f t="shared" ref="V58:V74" si="32">T58-M58</f>
        <v>0</v>
      </c>
      <c r="W58" s="1439"/>
    </row>
    <row r="59" spans="1:23" ht="12.75">
      <c r="A59" s="1447">
        <v>2195</v>
      </c>
      <c r="B59" s="1533">
        <v>114457</v>
      </c>
      <c r="C59" s="1534" t="str">
        <f>VLOOKUP($B59,'[68]EE Listing with Position'!$A$2:$D$97,2,FALSE)</f>
        <v xml:space="preserve">Darrick Groth </v>
      </c>
      <c r="D59" s="1434" t="str">
        <f>+VLOOKUP($B59,'[68]EE Listing with Position'!$A:$E,5,FALSE)</f>
        <v>RO</v>
      </c>
      <c r="E59" s="1438">
        <f>+IFERROR(VLOOKUP($B59,'[68]Payroll Pivots'!$A:$D,4,FALSE),0)</f>
        <v>26.38</v>
      </c>
      <c r="F59" s="1442">
        <f>+IFERROR(VLOOKUP($B59,'[68]Payroll Pivots'!$K:$M,3,FALSE),0)</f>
        <v>2136.8666709999998</v>
      </c>
      <c r="G59" s="1442">
        <f t="shared" si="22"/>
        <v>56370.542780979995</v>
      </c>
      <c r="H59" s="1442">
        <f>+IFERROR(VLOOKUP($B59,'[68]Payroll Pivots'!$T:$V,3,FALSE),0)</f>
        <v>226.350009</v>
      </c>
      <c r="I59" s="1442">
        <f t="shared" si="23"/>
        <v>8956.66985613</v>
      </c>
      <c r="J59" s="1438">
        <f t="shared" si="24"/>
        <v>65327.212637109995</v>
      </c>
      <c r="K59" s="1442">
        <f>+IFERROR(VLOOKUP($B59,'[68]Payroll Pivots'!$AB:$AD,3,FALSE),0)</f>
        <v>1326.3400000000006</v>
      </c>
      <c r="L59" s="1442">
        <f>+IFERROR(VLOOKUP($B59,'[68]Payroll Pivots'!$AJ:$AL,3,FALSE),0)</f>
        <v>4709.25</v>
      </c>
      <c r="M59" s="1442">
        <f t="shared" si="25"/>
        <v>71362.802637109999</v>
      </c>
      <c r="N59" s="1448">
        <f>+VLOOKUP($B59,'[68]EE Listing with Position'!$A:$H,8,FALSE)</f>
        <v>0</v>
      </c>
      <c r="O59" s="1449">
        <f t="shared" si="26"/>
        <v>26.38</v>
      </c>
      <c r="P59" s="1450">
        <f t="shared" si="27"/>
        <v>56370.542780979995</v>
      </c>
      <c r="Q59" s="1451">
        <f t="shared" si="28"/>
        <v>8956.66985613</v>
      </c>
      <c r="R59" s="1451">
        <f t="shared" si="29"/>
        <v>4709.25</v>
      </c>
      <c r="S59" s="1442">
        <f t="shared" si="30"/>
        <v>71362.802637109999</v>
      </c>
      <c r="T59" s="1444">
        <f t="shared" si="31"/>
        <v>71362.802637109999</v>
      </c>
      <c r="U59" s="1437"/>
      <c r="V59" s="1438">
        <f t="shared" si="32"/>
        <v>0</v>
      </c>
      <c r="W59" s="1439"/>
    </row>
    <row r="60" spans="1:23" ht="12.75">
      <c r="A60" s="1447">
        <v>2195</v>
      </c>
      <c r="B60" s="1533">
        <v>114463</v>
      </c>
      <c r="C60" s="1534" t="str">
        <f>VLOOKUP($B60,'[68]EE Listing with Position'!$A$2:$D$97,2,FALSE)</f>
        <v xml:space="preserve">William Johns </v>
      </c>
      <c r="D60" s="1434" t="str">
        <f>+VLOOKUP($B60,'[68]EE Listing with Position'!$A:$E,5,FALSE)</f>
        <v>RO</v>
      </c>
      <c r="E60" s="1438">
        <f>+IFERROR(VLOOKUP($B60,'[68]Payroll Pivots'!$A:$D,4,FALSE),0)</f>
        <v>26.38</v>
      </c>
      <c r="F60" s="1442">
        <f>+IFERROR(VLOOKUP($B60,'[68]Payroll Pivots'!$K:$M,3,FALSE),0)</f>
        <v>2136.0333329999999</v>
      </c>
      <c r="G60" s="1442">
        <f t="shared" si="22"/>
        <v>56348.559324539994</v>
      </c>
      <c r="H60" s="1442">
        <f>+IFERROR(VLOOKUP($B60,'[68]Payroll Pivots'!$T:$V,3,FALSE),0)</f>
        <v>501.93333299999995</v>
      </c>
      <c r="I60" s="1442">
        <f t="shared" si="23"/>
        <v>19861.501986809999</v>
      </c>
      <c r="J60" s="1438">
        <f t="shared" si="24"/>
        <v>76210.06131135</v>
      </c>
      <c r="K60" s="1442">
        <f>+IFERROR(VLOOKUP($B60,'[68]Payroll Pivots'!$AB:$AD,3,FALSE),0)</f>
        <v>1438.2900000000011</v>
      </c>
      <c r="L60" s="1442">
        <f>+IFERROR(VLOOKUP($B60,'[68]Payroll Pivots'!$AJ:$AL,3,FALSE),0)</f>
        <v>5804</v>
      </c>
      <c r="M60" s="1442">
        <f t="shared" si="25"/>
        <v>83452.351311350008</v>
      </c>
      <c r="N60" s="1448">
        <f>+VLOOKUP($B60,'[68]EE Listing with Position'!$A:$H,8,FALSE)</f>
        <v>0</v>
      </c>
      <c r="O60" s="1449">
        <f t="shared" si="26"/>
        <v>26.38</v>
      </c>
      <c r="P60" s="1450">
        <f t="shared" si="27"/>
        <v>56348.559324539994</v>
      </c>
      <c r="Q60" s="1451">
        <f t="shared" si="28"/>
        <v>19861.501986809999</v>
      </c>
      <c r="R60" s="1451">
        <f t="shared" si="29"/>
        <v>5804</v>
      </c>
      <c r="S60" s="1442">
        <f t="shared" si="30"/>
        <v>83452.351311350008</v>
      </c>
      <c r="T60" s="1444">
        <f t="shared" si="31"/>
        <v>83452.351311350008</v>
      </c>
      <c r="U60" s="1437"/>
      <c r="V60" s="1438">
        <f t="shared" si="32"/>
        <v>0</v>
      </c>
      <c r="W60" s="1439"/>
    </row>
    <row r="61" spans="1:23" ht="12.75">
      <c r="A61" s="1447">
        <v>2195</v>
      </c>
      <c r="B61" s="1533">
        <v>114475</v>
      </c>
      <c r="C61" s="1534" t="str">
        <f>VLOOKUP($B61,'[68]EE Listing with Position'!$A$2:$D$97,2,FALSE)</f>
        <v xml:space="preserve">Terry Ough </v>
      </c>
      <c r="D61" s="1434" t="str">
        <f>+VLOOKUP($B61,'[68]EE Listing with Position'!$A:$E,5,FALSE)</f>
        <v>RO</v>
      </c>
      <c r="E61" s="1438">
        <f>+IFERROR(VLOOKUP($B61,'[68]Payroll Pivots'!$A:$D,4,FALSE),0)</f>
        <v>26.38</v>
      </c>
      <c r="F61" s="1442">
        <f>+IFERROR(VLOOKUP($B61,'[68]Payroll Pivots'!$K:$M,3,FALSE),0)</f>
        <v>2130.9333339999998</v>
      </c>
      <c r="G61" s="1442">
        <f t="shared" si="22"/>
        <v>56214.021350919997</v>
      </c>
      <c r="H61" s="1442">
        <f>+IFERROR(VLOOKUP($B61,'[68]Payroll Pivots'!$T:$V,3,FALSE),0)</f>
        <v>369.96667200000002</v>
      </c>
      <c r="I61" s="1442">
        <f t="shared" si="23"/>
        <v>14639.58121104</v>
      </c>
      <c r="J61" s="1438">
        <f t="shared" si="24"/>
        <v>70853.602561959997</v>
      </c>
      <c r="K61" s="1442">
        <f>+IFERROR(VLOOKUP($B61,'[68]Payroll Pivots'!$AB:$AD,3,FALSE),0)</f>
        <v>1423.950000000001</v>
      </c>
      <c r="L61" s="1442">
        <f>+IFERROR(VLOOKUP($B61,'[68]Payroll Pivots'!$AJ:$AL,3,FALSE),0)</f>
        <v>3534</v>
      </c>
      <c r="M61" s="1442">
        <f t="shared" si="25"/>
        <v>75811.552561959994</v>
      </c>
      <c r="N61" s="1448">
        <f>+VLOOKUP($B61,'[68]EE Listing with Position'!$A:$H,8,FALSE)</f>
        <v>0</v>
      </c>
      <c r="O61" s="1449">
        <f t="shared" si="26"/>
        <v>26.38</v>
      </c>
      <c r="P61" s="1450">
        <f t="shared" si="27"/>
        <v>56214.021350919997</v>
      </c>
      <c r="Q61" s="1451">
        <f t="shared" si="28"/>
        <v>14639.58121104</v>
      </c>
      <c r="R61" s="1451">
        <f t="shared" si="29"/>
        <v>3534</v>
      </c>
      <c r="S61" s="1442">
        <f t="shared" si="30"/>
        <v>75811.552561959994</v>
      </c>
      <c r="T61" s="1444">
        <f t="shared" si="31"/>
        <v>75811.552561959994</v>
      </c>
      <c r="U61" s="1437"/>
      <c r="V61" s="1438">
        <f t="shared" si="32"/>
        <v>0</v>
      </c>
      <c r="W61" s="1439"/>
    </row>
    <row r="62" spans="1:23" ht="12.75">
      <c r="A62" s="1447">
        <v>2195</v>
      </c>
      <c r="B62" s="1533">
        <v>114483</v>
      </c>
      <c r="C62" s="1534" t="str">
        <f>VLOOKUP($B62,'[68]EE Listing with Position'!$A$2:$D$97,2,FALSE)</f>
        <v xml:space="preserve">Randy Schuster </v>
      </c>
      <c r="D62" s="1434" t="str">
        <f>+VLOOKUP($B62,'[68]EE Listing with Position'!$A:$E,5,FALSE)</f>
        <v>RO</v>
      </c>
      <c r="E62" s="1438">
        <f>+IFERROR(VLOOKUP($B62,'[68]Payroll Pivots'!$A:$D,4,FALSE),0)</f>
        <v>27.88</v>
      </c>
      <c r="F62" s="1442">
        <f>+IFERROR(VLOOKUP($B62,'[68]Payroll Pivots'!$K:$M,3,FALSE),0)</f>
        <v>2136</v>
      </c>
      <c r="G62" s="1442">
        <f t="shared" si="22"/>
        <v>59551.68</v>
      </c>
      <c r="H62" s="1442">
        <f>+IFERROR(VLOOKUP($B62,'[68]Payroll Pivots'!$T:$V,3,FALSE),0)</f>
        <v>610.49999500000013</v>
      </c>
      <c r="I62" s="1442">
        <f t="shared" si="23"/>
        <v>25531.109790900005</v>
      </c>
      <c r="J62" s="1438">
        <f t="shared" si="24"/>
        <v>85082.789790900002</v>
      </c>
      <c r="K62" s="1442">
        <f>+IFERROR(VLOOKUP($B62,'[68]Payroll Pivots'!$AB:$AD,3,FALSE),0)</f>
        <v>1823.819999999999</v>
      </c>
      <c r="L62" s="1442">
        <f>+IFERROR(VLOOKUP($B62,'[68]Payroll Pivots'!$AJ:$AL,3,FALSE),0)</f>
        <v>4070.93</v>
      </c>
      <c r="M62" s="1442">
        <f t="shared" si="25"/>
        <v>90977.539790900002</v>
      </c>
      <c r="N62" s="1448">
        <f>+VLOOKUP($B62,'[68]EE Listing with Position'!$A:$H,8,FALSE)</f>
        <v>0</v>
      </c>
      <c r="O62" s="1449">
        <f t="shared" si="26"/>
        <v>27.88</v>
      </c>
      <c r="P62" s="1450">
        <f t="shared" si="27"/>
        <v>59551.68</v>
      </c>
      <c r="Q62" s="1451">
        <f t="shared" si="28"/>
        <v>25531.109790900002</v>
      </c>
      <c r="R62" s="1451">
        <f t="shared" si="29"/>
        <v>4070.93</v>
      </c>
      <c r="S62" s="1442">
        <f t="shared" si="30"/>
        <v>90977.539790899988</v>
      </c>
      <c r="T62" s="1444">
        <f t="shared" si="31"/>
        <v>90977.539790899988</v>
      </c>
      <c r="U62" s="1437"/>
      <c r="V62" s="1438">
        <f t="shared" si="32"/>
        <v>0</v>
      </c>
      <c r="W62" s="1439"/>
    </row>
    <row r="63" spans="1:23" ht="12.75">
      <c r="A63" s="1447">
        <v>2195</v>
      </c>
      <c r="B63" s="1533">
        <v>114490</v>
      </c>
      <c r="C63" s="1534" t="str">
        <f>VLOOKUP($B63,'[68]EE Listing with Position'!$A$2:$D$97,2,FALSE)</f>
        <v xml:space="preserve">Robert Bossert </v>
      </c>
      <c r="D63" s="1434" t="str">
        <f>+VLOOKUP($B63,'[68]EE Listing with Position'!$A:$E,5,FALSE)</f>
        <v>RO</v>
      </c>
      <c r="E63" s="1438">
        <f>+IFERROR(VLOOKUP($B63,'[68]Payroll Pivots'!$A:$D,4,FALSE),0)</f>
        <v>26.38</v>
      </c>
      <c r="F63" s="1442">
        <f>+IFERROR(VLOOKUP($B63,'[68]Payroll Pivots'!$K:$M,3,FALSE),0)</f>
        <v>2123.6833329999999</v>
      </c>
      <c r="G63" s="1442">
        <f t="shared" si="22"/>
        <v>56022.766324539996</v>
      </c>
      <c r="H63" s="1442">
        <f>+IFERROR(VLOOKUP($B63,'[68]Payroll Pivots'!$T:$V,3,FALSE),0)</f>
        <v>399.23333500000007</v>
      </c>
      <c r="I63" s="1442">
        <f t="shared" si="23"/>
        <v>15797.663065950002</v>
      </c>
      <c r="J63" s="1438">
        <f t="shared" si="24"/>
        <v>71820.429390489997</v>
      </c>
      <c r="K63" s="1442">
        <f>+IFERROR(VLOOKUP($B63,'[68]Payroll Pivots'!$AB:$AD,3,FALSE),0)</f>
        <v>1771.9199999999992</v>
      </c>
      <c r="L63" s="1442">
        <f>+IFERROR(VLOOKUP($B63,'[68]Payroll Pivots'!$AJ:$AL,3,FALSE),0)</f>
        <v>1142.75</v>
      </c>
      <c r="M63" s="1442">
        <f t="shared" si="25"/>
        <v>74735.099390489995</v>
      </c>
      <c r="N63" s="1448">
        <f>+VLOOKUP($B63,'[68]EE Listing with Position'!$A:$H,8,FALSE)</f>
        <v>0</v>
      </c>
      <c r="O63" s="1449">
        <f t="shared" si="26"/>
        <v>26.38</v>
      </c>
      <c r="P63" s="1450">
        <f t="shared" si="27"/>
        <v>56022.766324539996</v>
      </c>
      <c r="Q63" s="1451">
        <f t="shared" si="28"/>
        <v>15797.663065950004</v>
      </c>
      <c r="R63" s="1451">
        <f t="shared" si="29"/>
        <v>1142.75</v>
      </c>
      <c r="S63" s="1442">
        <f t="shared" si="30"/>
        <v>74735.099390489995</v>
      </c>
      <c r="T63" s="1444">
        <f t="shared" si="31"/>
        <v>74735.099390489995</v>
      </c>
      <c r="U63" s="1437"/>
      <c r="V63" s="1438">
        <f t="shared" si="32"/>
        <v>0</v>
      </c>
      <c r="W63" s="1439"/>
    </row>
    <row r="64" spans="1:23" ht="12.75">
      <c r="A64" s="1447">
        <v>2195</v>
      </c>
      <c r="B64" s="1533">
        <v>116135</v>
      </c>
      <c r="C64" s="1534" t="str">
        <f>VLOOKUP($B64,'[68]EE Listing with Position'!$A$2:$D$97,2,FALSE)</f>
        <v xml:space="preserve">Andres Garcia </v>
      </c>
      <c r="D64" s="1434" t="str">
        <f>+VLOOKUP($B64,'[68]EE Listing with Position'!$A:$E,5,FALSE)</f>
        <v>RO</v>
      </c>
      <c r="E64" s="1438">
        <f>+IFERROR(VLOOKUP($B64,'[68]Payroll Pivots'!$A:$D,4,FALSE),0)</f>
        <v>26.5</v>
      </c>
      <c r="F64" s="1442">
        <f>+IFERROR(VLOOKUP($B64,'[68]Payroll Pivots'!$K:$M,3,FALSE),0)</f>
        <v>1470.7833350000001</v>
      </c>
      <c r="G64" s="1442">
        <f t="shared" si="22"/>
        <v>38975.758377500002</v>
      </c>
      <c r="H64" s="1442">
        <f>+IFERROR(VLOOKUP($B64,'[68]Payroll Pivots'!$T:$V,3,FALSE),0)</f>
        <v>339.96666700000003</v>
      </c>
      <c r="I64" s="1442">
        <f t="shared" si="23"/>
        <v>13513.675013250002</v>
      </c>
      <c r="J64" s="1438">
        <f t="shared" si="24"/>
        <v>52489.433390750004</v>
      </c>
      <c r="K64" s="1442">
        <f>+IFERROR(VLOOKUP($B64,'[68]Payroll Pivots'!$AB:$AD,3,FALSE),0)</f>
        <v>1534.4799999999991</v>
      </c>
      <c r="L64" s="1442">
        <f>+IFERROR(VLOOKUP($B64,'[68]Payroll Pivots'!$AJ:$AL,3,FALSE),0)</f>
        <v>571.48</v>
      </c>
      <c r="M64" s="1442">
        <f t="shared" si="25"/>
        <v>54595.393390750003</v>
      </c>
      <c r="N64" s="1448">
        <f>+VLOOKUP($B64,'[68]EE Listing with Position'!$A:$H,8,FALSE)</f>
        <v>0</v>
      </c>
      <c r="O64" s="1449">
        <f t="shared" si="26"/>
        <v>26.5</v>
      </c>
      <c r="P64" s="1450">
        <f t="shared" si="27"/>
        <v>38975.758377500002</v>
      </c>
      <c r="Q64" s="1451">
        <f t="shared" si="28"/>
        <v>13513.675013250002</v>
      </c>
      <c r="R64" s="1451">
        <f t="shared" si="29"/>
        <v>571.48</v>
      </c>
      <c r="S64" s="1442">
        <f t="shared" si="30"/>
        <v>54595.393390750003</v>
      </c>
      <c r="T64" s="1444">
        <f t="shared" si="31"/>
        <v>54595.393390750003</v>
      </c>
      <c r="U64" s="1437"/>
      <c r="V64" s="1438">
        <f t="shared" si="32"/>
        <v>0</v>
      </c>
      <c r="W64" s="1439"/>
    </row>
    <row r="65" spans="1:23" ht="12.75">
      <c r="A65" s="1447">
        <v>2195</v>
      </c>
      <c r="B65" s="1533">
        <v>116218</v>
      </c>
      <c r="C65" s="1534" t="str">
        <f>VLOOKUP($B65,'[68]EE Listing with Position'!$A$2:$D$97,2,FALSE)</f>
        <v xml:space="preserve">Richard Startin </v>
      </c>
      <c r="D65" s="1434" t="str">
        <f>+VLOOKUP($B65,'[68]EE Listing with Position'!$A:$E,5,FALSE)</f>
        <v>RO</v>
      </c>
      <c r="E65" s="1438">
        <f>+IFERROR(VLOOKUP($B65,'[68]Payroll Pivots'!$A:$D,4,FALSE),0)</f>
        <v>27.88</v>
      </c>
      <c r="F65" s="1442">
        <f>+IFERROR(VLOOKUP($B65,'[68]Payroll Pivots'!$K:$M,3,FALSE),0)</f>
        <v>1974.3166659999999</v>
      </c>
      <c r="G65" s="1442">
        <f t="shared" si="22"/>
        <v>55043.948648079997</v>
      </c>
      <c r="H65" s="1442">
        <f>+IFERROR(VLOOKUP($B65,'[68]Payroll Pivots'!$T:$V,3,FALSE),0)</f>
        <v>351.68333599999988</v>
      </c>
      <c r="I65" s="1442">
        <f t="shared" si="23"/>
        <v>14707.397111519995</v>
      </c>
      <c r="J65" s="1438">
        <f t="shared" si="24"/>
        <v>69751.345759599993</v>
      </c>
      <c r="K65" s="1442">
        <f>+IFERROR(VLOOKUP($B65,'[68]Payroll Pivots'!$AB:$AD,3,FALSE),0)</f>
        <v>1394.75</v>
      </c>
      <c r="L65" s="1442">
        <f>+IFERROR(VLOOKUP($B65,'[68]Payroll Pivots'!$AJ:$AL,3,FALSE),0)</f>
        <v>5225.2700000000004</v>
      </c>
      <c r="M65" s="1442">
        <f t="shared" si="25"/>
        <v>76371.365759599998</v>
      </c>
      <c r="N65" s="1448">
        <f>+VLOOKUP($B65,'[68]EE Listing with Position'!$A:$H,8,FALSE)</f>
        <v>0</v>
      </c>
      <c r="O65" s="1449">
        <f t="shared" si="26"/>
        <v>27.88</v>
      </c>
      <c r="P65" s="1450">
        <f t="shared" si="27"/>
        <v>55043.948648079997</v>
      </c>
      <c r="Q65" s="1451">
        <f t="shared" si="28"/>
        <v>14707.397111519995</v>
      </c>
      <c r="R65" s="1451">
        <f t="shared" si="29"/>
        <v>5225.2700000000004</v>
      </c>
      <c r="S65" s="1442">
        <f t="shared" si="30"/>
        <v>76371.365759599998</v>
      </c>
      <c r="T65" s="1444">
        <f t="shared" si="31"/>
        <v>76371.365759599998</v>
      </c>
      <c r="U65" s="1437"/>
      <c r="V65" s="1438">
        <f t="shared" si="32"/>
        <v>0</v>
      </c>
      <c r="W65" s="1439"/>
    </row>
    <row r="66" spans="1:23" ht="12.75">
      <c r="A66" s="1447">
        <v>2195</v>
      </c>
      <c r="B66" s="1533">
        <v>156572</v>
      </c>
      <c r="C66" s="1534" t="str">
        <f>VLOOKUP($B66,'[68]EE Listing with Position'!$A$2:$D$97,2,FALSE)</f>
        <v xml:space="preserve">Marco Camacho </v>
      </c>
      <c r="D66" s="1434" t="str">
        <f>+VLOOKUP($B66,'[68]EE Listing with Position'!$A:$E,5,FALSE)</f>
        <v>RO</v>
      </c>
      <c r="E66" s="1438">
        <f>+IFERROR(VLOOKUP($B66,'[68]Payroll Pivots'!$A:$D,4,FALSE),0)</f>
        <v>27.88</v>
      </c>
      <c r="F66" s="1442">
        <f>+IFERROR(VLOOKUP($B66,'[68]Payroll Pivots'!$K:$M,3,FALSE),0)</f>
        <v>2187.5833320000002</v>
      </c>
      <c r="G66" s="1442">
        <f t="shared" si="22"/>
        <v>60989.823296160001</v>
      </c>
      <c r="H66" s="1442">
        <f>+IFERROR(VLOOKUP($B66,'[68]Payroll Pivots'!$T:$V,3,FALSE),0)</f>
        <v>300.14999999999998</v>
      </c>
      <c r="I66" s="1442">
        <f t="shared" si="23"/>
        <v>12552.272999999999</v>
      </c>
      <c r="J66" s="1438">
        <f t="shared" si="24"/>
        <v>73542.096296160002</v>
      </c>
      <c r="K66" s="1442">
        <f>+IFERROR(VLOOKUP($B66,'[68]Payroll Pivots'!$AB:$AD,3,FALSE),0)</f>
        <v>1440.0100000000011</v>
      </c>
      <c r="L66" s="1442">
        <f>+IFERROR(VLOOKUP($B66,'[68]Payroll Pivots'!$AJ:$AL,3,FALSE),0)</f>
        <v>2426.08</v>
      </c>
      <c r="M66" s="1442">
        <f t="shared" si="25"/>
        <v>77408.186296159998</v>
      </c>
      <c r="N66" s="1448">
        <f>+VLOOKUP($B66,'[68]EE Listing with Position'!$A:$H,8,FALSE)</f>
        <v>0</v>
      </c>
      <c r="O66" s="1449">
        <f t="shared" si="26"/>
        <v>27.88</v>
      </c>
      <c r="P66" s="1450">
        <f t="shared" si="27"/>
        <v>60989.823296160001</v>
      </c>
      <c r="Q66" s="1451">
        <f t="shared" si="28"/>
        <v>12552.272999999997</v>
      </c>
      <c r="R66" s="1451">
        <f t="shared" si="29"/>
        <v>2426.08</v>
      </c>
      <c r="S66" s="1442">
        <f t="shared" si="30"/>
        <v>77408.186296159998</v>
      </c>
      <c r="T66" s="1444">
        <f t="shared" si="31"/>
        <v>77408.186296159998</v>
      </c>
      <c r="U66" s="1437"/>
      <c r="V66" s="1438">
        <f t="shared" si="32"/>
        <v>0</v>
      </c>
      <c r="W66" s="1439"/>
    </row>
    <row r="67" spans="1:23" ht="12.75">
      <c r="A67" s="1447">
        <v>2195</v>
      </c>
      <c r="B67" s="1533">
        <v>156839</v>
      </c>
      <c r="C67" s="1534" t="str">
        <f>VLOOKUP($B67,'[68]EE Listing with Position'!$A$2:$D$97,2,FALSE)</f>
        <v xml:space="preserve">Jose Martinez </v>
      </c>
      <c r="D67" s="1434" t="str">
        <f>+VLOOKUP($B67,'[68]EE Listing with Position'!$A:$E,5,FALSE)</f>
        <v>RO</v>
      </c>
      <c r="E67" s="1438">
        <f>+IFERROR(VLOOKUP($B67,'[68]Payroll Pivots'!$A:$D,4,FALSE),0)</f>
        <v>27.88</v>
      </c>
      <c r="F67" s="1442">
        <f>+IFERROR(VLOOKUP($B67,'[68]Payroll Pivots'!$K:$M,3,FALSE),0)</f>
        <v>2102.9</v>
      </c>
      <c r="G67" s="1442">
        <f t="shared" si="22"/>
        <v>58628.851999999999</v>
      </c>
      <c r="H67" s="1442">
        <f>+IFERROR(VLOOKUP($B67,'[68]Payroll Pivots'!$T:$V,3,FALSE),0)</f>
        <v>279.05000499999994</v>
      </c>
      <c r="I67" s="1442">
        <f t="shared" si="23"/>
        <v>11669.871209099998</v>
      </c>
      <c r="J67" s="1438">
        <f t="shared" si="24"/>
        <v>70298.72320909999</v>
      </c>
      <c r="K67" s="1442">
        <f>+IFERROR(VLOOKUP($B67,'[68]Payroll Pivots'!$AB:$AD,3,FALSE),0)</f>
        <v>1655.9400000000005</v>
      </c>
      <c r="L67" s="1442">
        <f>+IFERROR(VLOOKUP($B67,'[68]Payroll Pivots'!$AJ:$AL,3,FALSE),0)</f>
        <v>1974.25</v>
      </c>
      <c r="M67" s="1442">
        <f t="shared" si="25"/>
        <v>73928.913209099992</v>
      </c>
      <c r="N67" s="1448">
        <f>+VLOOKUP($B67,'[68]EE Listing with Position'!$A:$H,8,FALSE)</f>
        <v>0</v>
      </c>
      <c r="O67" s="1449">
        <f t="shared" si="26"/>
        <v>27.88</v>
      </c>
      <c r="P67" s="1450">
        <f t="shared" si="27"/>
        <v>58628.851999999999</v>
      </c>
      <c r="Q67" s="1451">
        <f t="shared" si="28"/>
        <v>11669.871209099998</v>
      </c>
      <c r="R67" s="1451">
        <f t="shared" si="29"/>
        <v>1974.25</v>
      </c>
      <c r="S67" s="1442">
        <f t="shared" si="30"/>
        <v>73928.913209099992</v>
      </c>
      <c r="T67" s="1444">
        <f t="shared" si="31"/>
        <v>73928.913209099992</v>
      </c>
      <c r="U67" s="1437"/>
      <c r="V67" s="1438">
        <f t="shared" si="32"/>
        <v>0</v>
      </c>
      <c r="W67" s="1439"/>
    </row>
    <row r="68" spans="1:23" ht="12.75">
      <c r="A68" s="1447">
        <v>2195</v>
      </c>
      <c r="B68" s="1533">
        <v>157983</v>
      </c>
      <c r="C68" s="1534" t="str">
        <f>VLOOKUP($B68,'[68]EE Listing with Position'!$A$2:$D$97,2,FALSE)</f>
        <v xml:space="preserve">Peter Graham </v>
      </c>
      <c r="D68" s="1434" t="str">
        <f>+VLOOKUP($B68,'[68]EE Listing with Position'!$A:$E,5,FALSE)</f>
        <v>RO</v>
      </c>
      <c r="E68" s="1438">
        <f>+IFERROR(VLOOKUP($B68,'[68]Payroll Pivots'!$A:$D,4,FALSE),0)</f>
        <v>26.38</v>
      </c>
      <c r="F68" s="1442">
        <f>+IFERROR(VLOOKUP($B68,'[68]Payroll Pivots'!$K:$M,3,FALSE),0)</f>
        <v>2154.0500019999999</v>
      </c>
      <c r="G68" s="1442">
        <f t="shared" si="22"/>
        <v>56823.839052759999</v>
      </c>
      <c r="H68" s="1442">
        <f>+IFERROR(VLOOKUP($B68,'[68]Payroll Pivots'!$T:$V,3,FALSE),0)</f>
        <v>293.93332800000007</v>
      </c>
      <c r="I68" s="1442">
        <f t="shared" si="23"/>
        <v>11630.941788960003</v>
      </c>
      <c r="J68" s="1438">
        <f t="shared" si="24"/>
        <v>68454.780841719999</v>
      </c>
      <c r="K68" s="1442">
        <f>+IFERROR(VLOOKUP($B68,'[68]Payroll Pivots'!$AB:$AD,3,FALSE),0)</f>
        <v>1642.2500000000005</v>
      </c>
      <c r="L68" s="1442">
        <f>+IFERROR(VLOOKUP($B68,'[68]Payroll Pivots'!$AJ:$AL,3,FALSE),0)</f>
        <v>2245</v>
      </c>
      <c r="M68" s="1442">
        <f t="shared" si="25"/>
        <v>72342.030841719999</v>
      </c>
      <c r="N68" s="1448">
        <f>+VLOOKUP($B68,'[68]EE Listing with Position'!$A:$H,8,FALSE)</f>
        <v>0</v>
      </c>
      <c r="O68" s="1449">
        <f t="shared" si="26"/>
        <v>26.38</v>
      </c>
      <c r="P68" s="1450">
        <f t="shared" si="27"/>
        <v>56823.839052759999</v>
      </c>
      <c r="Q68" s="1451">
        <f t="shared" si="28"/>
        <v>11630.941788960003</v>
      </c>
      <c r="R68" s="1451">
        <f t="shared" si="29"/>
        <v>2245</v>
      </c>
      <c r="S68" s="1442">
        <f t="shared" si="30"/>
        <v>72342.030841719999</v>
      </c>
      <c r="T68" s="1444">
        <f t="shared" si="31"/>
        <v>72342.030841719999</v>
      </c>
      <c r="U68" s="1437"/>
      <c r="V68" s="1438">
        <f t="shared" si="32"/>
        <v>0</v>
      </c>
      <c r="W68" s="1439"/>
    </row>
    <row r="69" spans="1:23" ht="12.75">
      <c r="A69" s="1447">
        <v>2195</v>
      </c>
      <c r="B69" s="1533">
        <v>114472</v>
      </c>
      <c r="C69" s="1534" t="str">
        <f>VLOOKUP($B69,'[68]EE Listing with Position'!$A$2:$D$97,2,FALSE)</f>
        <v xml:space="preserve">Raymond Munoz </v>
      </c>
      <c r="D69" s="1434" t="str">
        <f>+VLOOKUP($B69,'[68]EE Listing with Position'!$A:$E,5,FALSE)</f>
        <v>RO</v>
      </c>
      <c r="E69" s="1438">
        <f>+IFERROR(VLOOKUP($B69,'[68]Payroll Pivots'!$A:$D,4,FALSE),0)</f>
        <v>26.38</v>
      </c>
      <c r="F69" s="1442">
        <f>+IFERROR(VLOOKUP($B69,'[68]Payroll Pivots'!$K:$M,3,FALSE),0)</f>
        <v>2138.3333339999999</v>
      </c>
      <c r="G69" s="1442">
        <f t="shared" si="22"/>
        <v>56409.233350919996</v>
      </c>
      <c r="H69" s="1442">
        <f>+IFERROR(VLOOKUP($B69,'[68]Payroll Pivots'!$T:$V,3,FALSE),0)</f>
        <v>476.35000200000002</v>
      </c>
      <c r="I69" s="1442">
        <f t="shared" si="23"/>
        <v>18849.169579140002</v>
      </c>
      <c r="J69" s="1438">
        <f t="shared" si="24"/>
        <v>75258.402930059994</v>
      </c>
      <c r="K69" s="1442">
        <f>+IFERROR(VLOOKUP($B69,'[68]Payroll Pivots'!$AB:$AD,3,FALSE),0)</f>
        <v>1763.1499999999992</v>
      </c>
      <c r="L69" s="1442">
        <f>+IFERROR(VLOOKUP($B69,'[68]Payroll Pivots'!$AJ:$AL,3,FALSE),0)</f>
        <v>6180.75</v>
      </c>
      <c r="M69" s="1442">
        <f t="shared" si="25"/>
        <v>83202.302930059988</v>
      </c>
      <c r="N69" s="1448">
        <f>+VLOOKUP($B69,'[68]EE Listing with Position'!$A:$H,8,FALSE)</f>
        <v>0</v>
      </c>
      <c r="O69" s="1449">
        <f t="shared" si="26"/>
        <v>26.38</v>
      </c>
      <c r="P69" s="1450">
        <f t="shared" si="27"/>
        <v>56409.233350919996</v>
      </c>
      <c r="Q69" s="1451">
        <f t="shared" si="28"/>
        <v>18849.169579139998</v>
      </c>
      <c r="R69" s="1451">
        <f t="shared" si="29"/>
        <v>6180.75</v>
      </c>
      <c r="S69" s="1442">
        <f t="shared" si="30"/>
        <v>83202.302930059988</v>
      </c>
      <c r="T69" s="1444">
        <f t="shared" si="31"/>
        <v>83202.302930059988</v>
      </c>
      <c r="U69" s="1437"/>
      <c r="V69" s="1438">
        <f t="shared" si="32"/>
        <v>0</v>
      </c>
      <c r="W69" s="1439"/>
    </row>
    <row r="70" spans="1:23" ht="12.75">
      <c r="A70" s="1447">
        <v>2195</v>
      </c>
      <c r="B70" s="1533">
        <v>114480</v>
      </c>
      <c r="C70" s="1534" t="str">
        <f>VLOOKUP($B70,'[68]EE Listing with Position'!$A$2:$D$97,2,FALSE)</f>
        <v xml:space="preserve">Isidro Ramirez </v>
      </c>
      <c r="D70" s="1434" t="str">
        <f>+VLOOKUP($B70,'[68]EE Listing with Position'!$A:$E,5,FALSE)</f>
        <v>RO</v>
      </c>
      <c r="E70" s="1438">
        <f>+IFERROR(VLOOKUP($B70,'[68]Payroll Pivots'!$A:$D,4,FALSE),0)</f>
        <v>26.38</v>
      </c>
      <c r="F70" s="1442">
        <f>+IFERROR(VLOOKUP($B70,'[68]Payroll Pivots'!$K:$M,3,FALSE),0)</f>
        <v>2133.3166649999998</v>
      </c>
      <c r="G70" s="1442">
        <f t="shared" si="22"/>
        <v>56276.893622699994</v>
      </c>
      <c r="H70" s="1442">
        <f>+IFERROR(VLOOKUP($B70,'[68]Payroll Pivots'!$T:$V,3,FALSE),0)</f>
        <v>424.23332900000003</v>
      </c>
      <c r="I70" s="1442">
        <f t="shared" si="23"/>
        <v>16786.912828529999</v>
      </c>
      <c r="J70" s="1438">
        <f t="shared" si="24"/>
        <v>73063.80645122999</v>
      </c>
      <c r="K70" s="1442">
        <f>+IFERROR(VLOOKUP($B70,'[68]Payroll Pivots'!$AB:$AD,3,FALSE),0)</f>
        <v>1470.410000000001</v>
      </c>
      <c r="L70" s="1442">
        <f>+IFERROR(VLOOKUP($B70,'[68]Payroll Pivots'!$AJ:$AL,3,FALSE),0)</f>
        <v>5722.5</v>
      </c>
      <c r="M70" s="1442">
        <f t="shared" si="25"/>
        <v>80256.716451229993</v>
      </c>
      <c r="N70" s="1448">
        <f>+VLOOKUP($B70,'[68]EE Listing with Position'!$A:$H,8,FALSE)</f>
        <v>0</v>
      </c>
      <c r="O70" s="1449">
        <f t="shared" si="26"/>
        <v>26.38</v>
      </c>
      <c r="P70" s="1450">
        <f t="shared" si="27"/>
        <v>56276.893622699994</v>
      </c>
      <c r="Q70" s="1451">
        <f t="shared" si="28"/>
        <v>16786.912828530003</v>
      </c>
      <c r="R70" s="1451">
        <f t="shared" si="29"/>
        <v>5722.5</v>
      </c>
      <c r="S70" s="1442">
        <f t="shared" si="30"/>
        <v>80256.716451229993</v>
      </c>
      <c r="T70" s="1444">
        <f t="shared" si="31"/>
        <v>80256.716451229993</v>
      </c>
      <c r="U70" s="1437"/>
      <c r="V70" s="1438">
        <f t="shared" si="32"/>
        <v>0</v>
      </c>
      <c r="W70" s="1439"/>
    </row>
    <row r="71" spans="1:23" ht="12.75">
      <c r="A71" s="1447">
        <v>2195</v>
      </c>
      <c r="B71" s="1533">
        <v>155118</v>
      </c>
      <c r="C71" s="1534" t="str">
        <f>VLOOKUP($B71,'[68]EE Listing with Position'!$A$2:$D$97,2,FALSE)</f>
        <v xml:space="preserve">Forrest Quick </v>
      </c>
      <c r="D71" s="1434" t="str">
        <f>+VLOOKUP($B71,'[68]EE Listing with Position'!$A:$E,5,FALSE)</f>
        <v>RO</v>
      </c>
      <c r="E71" s="1438">
        <f>+IFERROR(VLOOKUP($B71,'[68]Payroll Pivots'!$A:$D,4,FALSE),0)</f>
        <v>26.38</v>
      </c>
      <c r="F71" s="1442">
        <f>+IFERROR(VLOOKUP($B71,'[68]Payroll Pivots'!$K:$M,3,FALSE),0)</f>
        <v>2146.849999</v>
      </c>
      <c r="G71" s="1442">
        <f t="shared" si="22"/>
        <v>56633.902973619995</v>
      </c>
      <c r="H71" s="1442">
        <f>+IFERROR(VLOOKUP($B71,'[68]Payroll Pivots'!$T:$V,3,FALSE),0)</f>
        <v>431.16666399999991</v>
      </c>
      <c r="I71" s="1442">
        <f t="shared" si="23"/>
        <v>17061.264894479995</v>
      </c>
      <c r="J71" s="1438">
        <f t="shared" si="24"/>
        <v>73695.16786809999</v>
      </c>
      <c r="K71" s="1442">
        <f>+IFERROR(VLOOKUP($B71,'[68]Payroll Pivots'!$AB:$AD,3,FALSE),0)</f>
        <v>1766.6199999999992</v>
      </c>
      <c r="L71" s="1442">
        <f>+IFERROR(VLOOKUP($B71,'[68]Payroll Pivots'!$AJ:$AL,3,FALSE),0)</f>
        <v>1840.5</v>
      </c>
      <c r="M71" s="1442">
        <f t="shared" si="25"/>
        <v>77302.287868099986</v>
      </c>
      <c r="N71" s="1448">
        <f>+VLOOKUP($B71,'[68]EE Listing with Position'!$A:$H,8,FALSE)</f>
        <v>0</v>
      </c>
      <c r="O71" s="1449">
        <f t="shared" si="26"/>
        <v>26.38</v>
      </c>
      <c r="P71" s="1450">
        <f t="shared" si="27"/>
        <v>56633.902973619995</v>
      </c>
      <c r="Q71" s="1451">
        <f t="shared" si="28"/>
        <v>17061.264894479995</v>
      </c>
      <c r="R71" s="1451">
        <f t="shared" si="29"/>
        <v>1840.5</v>
      </c>
      <c r="S71" s="1442">
        <f t="shared" si="30"/>
        <v>77302.287868099986</v>
      </c>
      <c r="T71" s="1444">
        <f t="shared" si="31"/>
        <v>77302.287868099986</v>
      </c>
      <c r="U71" s="1437"/>
      <c r="V71" s="1438">
        <f t="shared" si="32"/>
        <v>0</v>
      </c>
      <c r="W71" s="1439"/>
    </row>
    <row r="72" spans="1:23" ht="12.75">
      <c r="A72" s="1447">
        <v>2195</v>
      </c>
      <c r="B72" s="1533">
        <v>114465</v>
      </c>
      <c r="C72" s="1534" t="str">
        <f>VLOOKUP($B72,'[68]EE Listing with Position'!$A$2:$D$97,2,FALSE)</f>
        <v xml:space="preserve">Miguel Martinez </v>
      </c>
      <c r="D72" s="1434" t="str">
        <f>+VLOOKUP($B72,'[68]EE Listing with Position'!$A:$E,5,FALSE)</f>
        <v>RO</v>
      </c>
      <c r="E72" s="1438">
        <f>+IFERROR(VLOOKUP($B72,'[68]Payroll Pivots'!$A:$D,4,FALSE),0)</f>
        <v>28.38</v>
      </c>
      <c r="F72" s="1442">
        <f>+IFERROR(VLOOKUP($B72,'[68]Payroll Pivots'!$K:$M,3,FALSE),0)</f>
        <v>2129.6833349999997</v>
      </c>
      <c r="G72" s="1442">
        <f t="shared" si="22"/>
        <v>60440.41304729999</v>
      </c>
      <c r="H72" s="1442">
        <f>+IFERROR(VLOOKUP($B72,'[68]Payroll Pivots'!$T:$V,3,FALSE),0)</f>
        <v>624.41670699999986</v>
      </c>
      <c r="I72" s="1442">
        <f t="shared" si="23"/>
        <v>26581.419216989994</v>
      </c>
      <c r="J72" s="1438">
        <f t="shared" si="24"/>
        <v>87021.832264289988</v>
      </c>
      <c r="K72" s="1442">
        <f>+IFERROR(VLOOKUP($B72,'[68]Payroll Pivots'!$AB:$AD,3,FALSE),0)</f>
        <v>1699.6900000000007</v>
      </c>
      <c r="L72" s="1442">
        <f>+IFERROR(VLOOKUP($B72,'[68]Payroll Pivots'!$AJ:$AL,3,FALSE),0)</f>
        <v>6558.84</v>
      </c>
      <c r="M72" s="1442">
        <f t="shared" si="25"/>
        <v>95280.362264289986</v>
      </c>
      <c r="N72" s="1448">
        <f>+VLOOKUP($B72,'[68]EE Listing with Position'!$A:$H,8,FALSE)</f>
        <v>0</v>
      </c>
      <c r="O72" s="1449">
        <f t="shared" si="26"/>
        <v>28.38</v>
      </c>
      <c r="P72" s="1450">
        <f t="shared" si="27"/>
        <v>60440.41304729999</v>
      </c>
      <c r="Q72" s="1451">
        <f t="shared" si="28"/>
        <v>26581.419216989994</v>
      </c>
      <c r="R72" s="1451">
        <f t="shared" si="29"/>
        <v>6558.84</v>
      </c>
      <c r="S72" s="1442">
        <f t="shared" si="30"/>
        <v>95280.362264289986</v>
      </c>
      <c r="T72" s="1444">
        <f t="shared" si="31"/>
        <v>95280.362264289986</v>
      </c>
      <c r="U72" s="1437"/>
      <c r="V72" s="1438">
        <f t="shared" si="32"/>
        <v>0</v>
      </c>
      <c r="W72" s="1439"/>
    </row>
    <row r="73" spans="1:23" ht="12.75">
      <c r="A73" s="1447">
        <v>2195</v>
      </c>
      <c r="B73" s="1533">
        <v>114615</v>
      </c>
      <c r="C73" s="1534" t="str">
        <f>VLOOKUP($B73,'[68]EE Listing with Position'!$A$2:$D$97,2,FALSE)</f>
        <v xml:space="preserve">Ruben Caridad </v>
      </c>
      <c r="D73" s="1434" t="str">
        <f>+VLOOKUP($B73,'[68]EE Listing with Position'!$A:$E,5,FALSE)</f>
        <v>RO</v>
      </c>
      <c r="E73" s="1438">
        <f>+IFERROR(VLOOKUP($B73,'[68]Payroll Pivots'!$A:$D,4,FALSE),0)</f>
        <v>27.88</v>
      </c>
      <c r="F73" s="1442">
        <f>+IFERROR(VLOOKUP($B73,'[68]Payroll Pivots'!$K:$M,3,FALSE),0)</f>
        <v>2118.6833329999999</v>
      </c>
      <c r="G73" s="1442">
        <f t="shared" si="22"/>
        <v>59068.89132404</v>
      </c>
      <c r="H73" s="1442">
        <f>+IFERROR(VLOOKUP($B73,'[68]Payroll Pivots'!$T:$V,3,FALSE),0)</f>
        <v>446.38333799999998</v>
      </c>
      <c r="I73" s="1442">
        <f t="shared" si="23"/>
        <v>18667.751195159999</v>
      </c>
      <c r="J73" s="1438">
        <f t="shared" si="24"/>
        <v>77736.642519200002</v>
      </c>
      <c r="K73" s="1442">
        <f>+IFERROR(VLOOKUP($B73,'[68]Payroll Pivots'!$AB:$AD,3,FALSE),0)</f>
        <v>1767.4899999999991</v>
      </c>
      <c r="L73" s="1442">
        <f>+IFERROR(VLOOKUP($B73,'[68]Payroll Pivots'!$AJ:$AL,3,FALSE),0)</f>
        <v>6539.41</v>
      </c>
      <c r="M73" s="1442">
        <f t="shared" si="25"/>
        <v>86043.542519199997</v>
      </c>
      <c r="N73" s="1448">
        <f>+VLOOKUP($B73,'[68]EE Listing with Position'!$A:$H,8,FALSE)</f>
        <v>0</v>
      </c>
      <c r="O73" s="1449">
        <f t="shared" si="26"/>
        <v>27.88</v>
      </c>
      <c r="P73" s="1450">
        <f t="shared" si="27"/>
        <v>59068.89132404</v>
      </c>
      <c r="Q73" s="1451">
        <f t="shared" si="28"/>
        <v>18667.751195159999</v>
      </c>
      <c r="R73" s="1451">
        <f t="shared" si="29"/>
        <v>6539.41</v>
      </c>
      <c r="S73" s="1442">
        <f t="shared" si="30"/>
        <v>86043.542519200011</v>
      </c>
      <c r="T73" s="1444">
        <f t="shared" si="31"/>
        <v>86043.542519200011</v>
      </c>
      <c r="U73" s="1437"/>
      <c r="V73" s="1438">
        <f t="shared" si="32"/>
        <v>0</v>
      </c>
      <c r="W73" s="1439"/>
    </row>
    <row r="74" spans="1:23" ht="12.75">
      <c r="A74" s="1447">
        <v>2195</v>
      </c>
      <c r="B74" s="1533">
        <v>304800</v>
      </c>
      <c r="C74" s="1534" t="str">
        <f>VLOOKUP($B74,'[68]EE Listing with Position'!$A$2:$D$97,2,FALSE)</f>
        <v xml:space="preserve">Christopher Price </v>
      </c>
      <c r="D74" s="1434" t="str">
        <f>+VLOOKUP($B74,'[68]EE Listing with Position'!$A:$E,5,FALSE)</f>
        <v>RO</v>
      </c>
      <c r="E74" s="1438">
        <f>+IFERROR(VLOOKUP($B74,'[68]Payroll Pivots'!$A:$D,4,FALSE),0)</f>
        <v>26.38</v>
      </c>
      <c r="F74" s="1442">
        <f>+IFERROR(VLOOKUP($B74,'[68]Payroll Pivots'!$K:$M,3,FALSE),0)</f>
        <v>144.76666699999998</v>
      </c>
      <c r="G74" s="1442">
        <f t="shared" si="22"/>
        <v>3818.9446754599994</v>
      </c>
      <c r="H74" s="1442">
        <f>+IFERROR(VLOOKUP($B74,'[68]Payroll Pivots'!$T:$V,3,FALSE),0)</f>
        <v>19.483335</v>
      </c>
      <c r="I74" s="1442">
        <f t="shared" si="23"/>
        <v>770.95556595000005</v>
      </c>
      <c r="J74" s="1438">
        <f t="shared" si="24"/>
        <v>4589.9002414099996</v>
      </c>
      <c r="K74" s="1442">
        <f>+IFERROR(VLOOKUP($B74,'[68]Payroll Pivots'!$AB:$AD,3,FALSE),0)</f>
        <v>470.80000000000007</v>
      </c>
      <c r="L74" s="1442">
        <f>+IFERROR(VLOOKUP($B74,'[68]Payroll Pivots'!$AJ:$AL,3,FALSE),0)</f>
        <v>0</v>
      </c>
      <c r="M74" s="1442">
        <f t="shared" si="25"/>
        <v>5060.7002414099998</v>
      </c>
      <c r="N74" s="1448">
        <f>+VLOOKUP($B74,'[68]EE Listing with Position'!$A:$H,8,FALSE)</f>
        <v>0</v>
      </c>
      <c r="O74" s="1449">
        <f t="shared" si="26"/>
        <v>26.38</v>
      </c>
      <c r="P74" s="1450">
        <f t="shared" si="27"/>
        <v>3818.9446754599994</v>
      </c>
      <c r="Q74" s="1451">
        <f t="shared" si="28"/>
        <v>770.95556594999994</v>
      </c>
      <c r="R74" s="1451">
        <f t="shared" si="29"/>
        <v>0</v>
      </c>
      <c r="S74" s="1442">
        <f t="shared" si="30"/>
        <v>5060.7002414099998</v>
      </c>
      <c r="T74" s="1444">
        <f t="shared" si="31"/>
        <v>5060.7002414099998</v>
      </c>
      <c r="U74" s="1437"/>
      <c r="V74" s="1438">
        <f t="shared" si="32"/>
        <v>0</v>
      </c>
      <c r="W74" s="1439"/>
    </row>
    <row r="75" spans="1:23">
      <c r="A75" s="1447"/>
      <c r="B75" s="1441"/>
      <c r="C75" s="1437"/>
      <c r="D75" s="1434"/>
      <c r="E75" s="1442"/>
      <c r="F75" s="1442"/>
      <c r="G75" s="1442"/>
      <c r="H75" s="1442"/>
      <c r="I75" s="1438"/>
      <c r="J75" s="1442"/>
      <c r="K75" s="1442"/>
      <c r="L75" s="1442"/>
      <c r="M75" s="1442"/>
      <c r="N75" s="1442"/>
      <c r="O75" s="1443"/>
      <c r="P75" s="1442"/>
      <c r="Q75" s="1442"/>
      <c r="R75" s="1442"/>
      <c r="S75" s="1442"/>
      <c r="T75" s="1444"/>
      <c r="U75" s="1437"/>
      <c r="V75" s="1438"/>
      <c r="W75" s="1439"/>
    </row>
    <row r="76" spans="1:23">
      <c r="A76" s="1447"/>
      <c r="B76" s="1441"/>
      <c r="C76" s="1519" t="str">
        <f>CONCATENATE("TOTAL ",A57)</f>
        <v>TOTAL Roll Off Driver</v>
      </c>
      <c r="D76" s="1434"/>
      <c r="E76" s="1452">
        <f t="shared" ref="E76:T76" si="33">+SUM(E58:E75)</f>
        <v>458.08</v>
      </c>
      <c r="F76" s="1452">
        <f t="shared" si="33"/>
        <v>33500.433340000003</v>
      </c>
      <c r="G76" s="1452">
        <f t="shared" si="33"/>
        <v>903956.51717589993</v>
      </c>
      <c r="H76" s="1452">
        <f t="shared" si="33"/>
        <v>6484.38339</v>
      </c>
      <c r="I76" s="1452">
        <f t="shared" si="33"/>
        <v>262993.96987986006</v>
      </c>
      <c r="J76" s="1452">
        <f t="shared" si="33"/>
        <v>1166950.4870557596</v>
      </c>
      <c r="K76" s="1452">
        <f t="shared" si="33"/>
        <v>26147.5</v>
      </c>
      <c r="L76" s="1452">
        <f t="shared" si="33"/>
        <v>64237.760000000009</v>
      </c>
      <c r="M76" s="1452">
        <f t="shared" si="33"/>
        <v>1257335.7470557597</v>
      </c>
      <c r="N76" s="1452">
        <f t="shared" si="33"/>
        <v>0</v>
      </c>
      <c r="O76" s="1452">
        <f t="shared" si="33"/>
        <v>458.08</v>
      </c>
      <c r="P76" s="1452">
        <f t="shared" si="33"/>
        <v>903956.51717589993</v>
      </c>
      <c r="Q76" s="1452">
        <f t="shared" si="33"/>
        <v>262993.96987986</v>
      </c>
      <c r="R76" s="1452">
        <f t="shared" si="33"/>
        <v>64237.760000000009</v>
      </c>
      <c r="S76" s="1452">
        <f t="shared" si="33"/>
        <v>1257335.7470557599</v>
      </c>
      <c r="T76" s="1453">
        <f t="shared" si="33"/>
        <v>1257335.7470557599</v>
      </c>
      <c r="U76" s="1437"/>
      <c r="V76" s="1453">
        <f>+SUM(V58:V75)</f>
        <v>0</v>
      </c>
      <c r="W76" s="1454">
        <f>+SUM(W58:W75)</f>
        <v>0</v>
      </c>
    </row>
    <row r="77" spans="1:23">
      <c r="A77" s="1447"/>
      <c r="B77" s="1441"/>
      <c r="C77" s="1519"/>
      <c r="D77" s="1434"/>
      <c r="E77" s="1442"/>
      <c r="F77" s="1442"/>
      <c r="G77" s="1442"/>
      <c r="H77" s="1442"/>
      <c r="I77" s="1438"/>
      <c r="J77" s="1442"/>
      <c r="K77" s="1442"/>
      <c r="L77" s="1442"/>
      <c r="M77" s="1442"/>
      <c r="N77" s="1442"/>
      <c r="O77" s="1443"/>
      <c r="P77" s="1442"/>
      <c r="Q77" s="1442"/>
      <c r="R77" s="1442"/>
      <c r="S77" s="1442"/>
      <c r="T77" s="1444"/>
      <c r="U77" s="1437"/>
      <c r="V77" s="1438"/>
      <c r="W77" s="1439"/>
    </row>
    <row r="78" spans="1:23">
      <c r="A78" s="1440" t="s">
        <v>1082</v>
      </c>
      <c r="B78" s="1441"/>
      <c r="C78" s="1519"/>
      <c r="D78" s="1434"/>
      <c r="E78" s="1442"/>
      <c r="F78" s="1442"/>
      <c r="G78" s="1442"/>
      <c r="H78" s="1442"/>
      <c r="I78" s="1438"/>
      <c r="J78" s="1442"/>
      <c r="K78" s="1442"/>
      <c r="L78" s="1442"/>
      <c r="M78" s="1442"/>
      <c r="N78" s="1442"/>
      <c r="O78" s="1443"/>
      <c r="P78" s="1442"/>
      <c r="Q78" s="1442"/>
      <c r="R78" s="1442"/>
      <c r="S78" s="1442"/>
      <c r="T78" s="1444"/>
      <c r="U78" s="1437"/>
      <c r="V78" s="1438"/>
      <c r="W78" s="1439"/>
    </row>
    <row r="79" spans="1:23" ht="12.75">
      <c r="A79" s="1447">
        <v>2195</v>
      </c>
      <c r="B79" s="1533">
        <v>114442</v>
      </c>
      <c r="C79" s="1534" t="str">
        <f>VLOOKUP($B79,'[68]EE Listing with Position'!$A$2:$D$97,2,FALSE)</f>
        <v xml:space="preserve">Jerry Basford </v>
      </c>
      <c r="D79" s="1434" t="str">
        <f>+VLOOKUP($B79,'[68]EE Listing with Position'!$A:$E,5,FALSE)</f>
        <v>Resi Recycle</v>
      </c>
      <c r="E79" s="1438">
        <f>+IFERROR(VLOOKUP($B79,'[68]Payroll Pivots'!$A:$D,4,FALSE),0)</f>
        <v>26.38</v>
      </c>
      <c r="F79" s="1442">
        <f>+IFERROR(VLOOKUP($B79,'[68]Payroll Pivots'!$K:$M,3,FALSE),0)</f>
        <v>2121.75</v>
      </c>
      <c r="G79" s="1442">
        <f t="shared" ref="G79" si="34">+E79*F79</f>
        <v>55971.764999999999</v>
      </c>
      <c r="H79" s="1442">
        <f>+IFERROR(VLOOKUP($B79,'[68]Payroll Pivots'!$T:$V,3,FALSE),0)</f>
        <v>203.86666300000002</v>
      </c>
      <c r="I79" s="1442">
        <f t="shared" ref="I79" si="35">+(E79*1.5)*H79</f>
        <v>8067.0038549100009</v>
      </c>
      <c r="J79" s="1438">
        <f t="shared" ref="J79" si="36">+G79+I79</f>
        <v>64038.768854909998</v>
      </c>
      <c r="K79" s="1442">
        <f>+IFERROR(VLOOKUP($B79,'[68]Payroll Pivots'!$AB:$AD,3,FALSE),0)</f>
        <v>1536.3800000000003</v>
      </c>
      <c r="L79" s="1442">
        <f>+IFERROR(VLOOKUP($B79,'[68]Payroll Pivots'!$AJ:$AL,3,FALSE),0)</f>
        <v>4273.75</v>
      </c>
      <c r="M79" s="1442">
        <f t="shared" ref="M79" si="37">+L79+K79+J79</f>
        <v>69848.898854910003</v>
      </c>
      <c r="N79" s="1448">
        <f>+VLOOKUP($B79,'[68]EE Listing with Position'!$A:$H,8,FALSE)</f>
        <v>0</v>
      </c>
      <c r="O79" s="1449">
        <f t="shared" ref="O79" si="38">E79*(1+N79)</f>
        <v>26.38</v>
      </c>
      <c r="P79" s="1450">
        <f t="shared" ref="P79" si="39">+F79*O79</f>
        <v>55971.764999999999</v>
      </c>
      <c r="Q79" s="1451">
        <f t="shared" ref="Q79" si="40">+O79*H79*1.5</f>
        <v>8067.0038549100009</v>
      </c>
      <c r="R79" s="1451">
        <f t="shared" ref="R79" si="41">+L79*(1+N79)</f>
        <v>4273.75</v>
      </c>
      <c r="S79" s="1442">
        <f t="shared" ref="S79" si="42">SUM(P79:R79)+K79</f>
        <v>69848.898854910003</v>
      </c>
      <c r="T79" s="1444">
        <f t="shared" ref="T79" si="43">+S79</f>
        <v>69848.898854910003</v>
      </c>
      <c r="U79" s="1437"/>
      <c r="V79" s="1438">
        <f>T79-M79</f>
        <v>0</v>
      </c>
      <c r="W79" s="1439"/>
    </row>
    <row r="80" spans="1:23" ht="12.75">
      <c r="A80" s="1447"/>
      <c r="B80" s="1535"/>
      <c r="C80" s="1534"/>
      <c r="D80" s="1434"/>
      <c r="E80" s="1438"/>
      <c r="F80" s="1442"/>
      <c r="G80" s="1438"/>
      <c r="H80" s="1442"/>
      <c r="I80" s="1438"/>
      <c r="J80" s="1438"/>
      <c r="K80" s="1442"/>
      <c r="L80" s="1442"/>
      <c r="M80" s="1442"/>
      <c r="N80" s="1448"/>
      <c r="O80" s="1449"/>
      <c r="P80" s="1451"/>
      <c r="Q80" s="1451"/>
      <c r="R80" s="1451"/>
      <c r="S80" s="1442"/>
      <c r="T80" s="1444"/>
      <c r="U80" s="1437"/>
      <c r="V80" s="1438"/>
      <c r="W80" s="1439"/>
    </row>
    <row r="81" spans="1:23">
      <c r="A81" s="1447"/>
      <c r="B81" s="1441"/>
      <c r="C81" s="1519" t="str">
        <f>CONCATENATE("TOTAL ",A78)</f>
        <v>TOTAL Residenital Recycling</v>
      </c>
      <c r="D81" s="1434"/>
      <c r="E81" s="1452">
        <f t="shared" ref="E81:S81" si="44">+SUM(E79:E80)</f>
        <v>26.38</v>
      </c>
      <c r="F81" s="1452">
        <f t="shared" si="44"/>
        <v>2121.75</v>
      </c>
      <c r="G81" s="1452">
        <f t="shared" si="44"/>
        <v>55971.764999999999</v>
      </c>
      <c r="H81" s="1452">
        <f t="shared" si="44"/>
        <v>203.86666300000002</v>
      </c>
      <c r="I81" s="1452">
        <f t="shared" si="44"/>
        <v>8067.0038549100009</v>
      </c>
      <c r="J81" s="1452">
        <f t="shared" si="44"/>
        <v>64038.768854909998</v>
      </c>
      <c r="K81" s="1452">
        <f t="shared" si="44"/>
        <v>1536.3800000000003</v>
      </c>
      <c r="L81" s="1452">
        <f t="shared" si="44"/>
        <v>4273.75</v>
      </c>
      <c r="M81" s="1452">
        <f t="shared" si="44"/>
        <v>69848.898854910003</v>
      </c>
      <c r="N81" s="1452">
        <f t="shared" si="44"/>
        <v>0</v>
      </c>
      <c r="O81" s="1452">
        <f t="shared" si="44"/>
        <v>26.38</v>
      </c>
      <c r="P81" s="1452">
        <f t="shared" si="44"/>
        <v>55971.764999999999</v>
      </c>
      <c r="Q81" s="1452">
        <f t="shared" si="44"/>
        <v>8067.0038549100009</v>
      </c>
      <c r="R81" s="1452">
        <f t="shared" si="44"/>
        <v>4273.75</v>
      </c>
      <c r="S81" s="1452">
        <f t="shared" si="44"/>
        <v>69848.898854910003</v>
      </c>
      <c r="T81" s="1453">
        <f>+SUM(T79:T80)</f>
        <v>69848.898854910003</v>
      </c>
      <c r="U81" s="1437"/>
      <c r="V81" s="1453">
        <f>V79</f>
        <v>0</v>
      </c>
      <c r="W81" s="1454">
        <f>+SUM(W79:W80)</f>
        <v>0</v>
      </c>
    </row>
    <row r="82" spans="1:23">
      <c r="A82" s="1447"/>
      <c r="B82" s="1441"/>
      <c r="C82" s="1519"/>
      <c r="D82" s="1434"/>
      <c r="E82" s="1442"/>
      <c r="F82" s="1442"/>
      <c r="G82" s="1442"/>
      <c r="H82" s="1442"/>
      <c r="I82" s="1442"/>
      <c r="J82" s="1442"/>
      <c r="K82" s="1442"/>
      <c r="L82" s="1442"/>
      <c r="M82" s="1442"/>
      <c r="N82" s="1442"/>
      <c r="O82" s="1442"/>
      <c r="P82" s="1442"/>
      <c r="Q82" s="1442"/>
      <c r="R82" s="1442"/>
      <c r="S82" s="1442"/>
      <c r="T82" s="1444"/>
      <c r="U82" s="1437"/>
      <c r="V82" s="1442"/>
      <c r="W82" s="1455"/>
    </row>
    <row r="83" spans="1:23">
      <c r="A83" s="1440" t="s">
        <v>206</v>
      </c>
      <c r="B83" s="1441"/>
      <c r="C83" s="1519"/>
      <c r="D83" s="1434"/>
      <c r="E83" s="1442"/>
      <c r="F83" s="1442"/>
      <c r="G83" s="1442"/>
      <c r="H83" s="1442"/>
      <c r="I83" s="1438"/>
      <c r="J83" s="1442"/>
      <c r="K83" s="1442"/>
      <c r="L83" s="1442"/>
      <c r="M83" s="1442"/>
      <c r="N83" s="1442"/>
      <c r="O83" s="1443"/>
      <c r="P83" s="1442"/>
      <c r="Q83" s="1442"/>
      <c r="R83" s="1442"/>
      <c r="S83" s="1442"/>
      <c r="T83" s="1444"/>
      <c r="U83" s="1437"/>
      <c r="V83" s="1438"/>
      <c r="W83" s="1439"/>
    </row>
    <row r="84" spans="1:23" ht="12.75">
      <c r="A84" s="1447">
        <v>2195</v>
      </c>
      <c r="B84" s="1533">
        <v>306712</v>
      </c>
      <c r="C84" s="1534" t="str">
        <f>VLOOKUP($B84,'[68]EE Listing with Position'!$A$2:$D$97,2,FALSE)</f>
        <v xml:space="preserve">James Bone </v>
      </c>
      <c r="D84" s="1434" t="str">
        <f>+VLOOKUP($B84,'[68]EE Listing with Position'!$A:$E,5,FALSE)</f>
        <v>Yard Waste</v>
      </c>
      <c r="E84" s="1438">
        <f>+IFERROR(VLOOKUP($B84,'[68]Payroll Pivots'!$A:$D,4,FALSE),0)</f>
        <v>26.38</v>
      </c>
      <c r="F84" s="1442">
        <f>+IFERROR(VLOOKUP($B84,'[68]Payroll Pivots'!$K:$M,3,FALSE),0)</f>
        <v>2158.3833340000001</v>
      </c>
      <c r="G84" s="1442">
        <f t="shared" ref="G84" si="45">+E84*F84</f>
        <v>56938.152350919998</v>
      </c>
      <c r="H84" s="1442">
        <f>+IFERROR(VLOOKUP($B84,'[68]Payroll Pivots'!$T:$V,3,FALSE),0)</f>
        <v>425.28333300000008</v>
      </c>
      <c r="I84" s="1442">
        <f t="shared" ref="I84" si="46">+(E84*1.5)*H84</f>
        <v>16828.461486810003</v>
      </c>
      <c r="J84" s="1438">
        <f t="shared" ref="J84" si="47">+G84+I84</f>
        <v>73766.613837729994</v>
      </c>
      <c r="K84" s="1442">
        <f>+IFERROR(VLOOKUP($B84,'[68]Payroll Pivots'!$AB:$AD,3,FALSE),0)</f>
        <v>1459.6800000000012</v>
      </c>
      <c r="L84" s="1442">
        <f>+IFERROR(VLOOKUP($B84,'[68]Payroll Pivots'!$AJ:$AL,3,FALSE),0)</f>
        <v>2085.25</v>
      </c>
      <c r="M84" s="1442">
        <f t="shared" ref="M84" si="48">+L84+K84+J84</f>
        <v>77311.543837730002</v>
      </c>
      <c r="N84" s="1448">
        <f>+VLOOKUP($B84,'[68]EE Listing with Position'!$A:$H,8,FALSE)</f>
        <v>0</v>
      </c>
      <c r="O84" s="1449">
        <f t="shared" ref="O84" si="49">E84*(1+N84)</f>
        <v>26.38</v>
      </c>
      <c r="P84" s="1450">
        <f t="shared" ref="P84" si="50">+F84*O84</f>
        <v>56938.152350919998</v>
      </c>
      <c r="Q84" s="1451">
        <f t="shared" ref="Q84" si="51">+O84*H84*1.5</f>
        <v>16828.461486810003</v>
      </c>
      <c r="R84" s="1451">
        <f t="shared" ref="R84" si="52">+L84*(1+N84)</f>
        <v>2085.25</v>
      </c>
      <c r="S84" s="1442">
        <f t="shared" ref="S84" si="53">SUM(P84:R84)+K84</f>
        <v>77311.543837730002</v>
      </c>
      <c r="T84" s="1444">
        <f t="shared" ref="T84" si="54">+S84</f>
        <v>77311.543837730002</v>
      </c>
      <c r="U84" s="1437"/>
      <c r="V84" s="1438">
        <f>T84-M84</f>
        <v>0</v>
      </c>
      <c r="W84" s="1439"/>
    </row>
    <row r="85" spans="1:23" ht="12.75">
      <c r="A85" s="1447"/>
      <c r="B85" s="1535"/>
      <c r="C85" s="1534"/>
      <c r="D85" s="1434"/>
      <c r="E85" s="1438"/>
      <c r="F85" s="1442"/>
      <c r="G85" s="1438"/>
      <c r="H85" s="1442"/>
      <c r="I85" s="1438"/>
      <c r="J85" s="1438"/>
      <c r="K85" s="1442"/>
      <c r="L85" s="1442"/>
      <c r="M85" s="1442"/>
      <c r="N85" s="1448"/>
      <c r="O85" s="1449"/>
      <c r="P85" s="1451"/>
      <c r="Q85" s="1451"/>
      <c r="R85" s="1451"/>
      <c r="S85" s="1442"/>
      <c r="T85" s="1444"/>
      <c r="U85" s="1437"/>
      <c r="V85" s="1438"/>
      <c r="W85" s="1439"/>
    </row>
    <row r="86" spans="1:23">
      <c r="A86" s="1447"/>
      <c r="B86" s="1441"/>
      <c r="C86" s="1519" t="str">
        <f>CONCATENATE("TOTAL ",A83)</f>
        <v>TOTAL Yard Waste</v>
      </c>
      <c r="D86" s="1434"/>
      <c r="E86" s="1452">
        <f t="shared" ref="E86:S86" si="55">+SUM(E84:E85)</f>
        <v>26.38</v>
      </c>
      <c r="F86" s="1452">
        <f t="shared" si="55"/>
        <v>2158.3833340000001</v>
      </c>
      <c r="G86" s="1452">
        <f t="shared" si="55"/>
        <v>56938.152350919998</v>
      </c>
      <c r="H86" s="1452">
        <f t="shared" si="55"/>
        <v>425.28333300000008</v>
      </c>
      <c r="I86" s="1452">
        <f t="shared" si="55"/>
        <v>16828.461486810003</v>
      </c>
      <c r="J86" s="1452">
        <f t="shared" si="55"/>
        <v>73766.613837729994</v>
      </c>
      <c r="K86" s="1452">
        <f t="shared" si="55"/>
        <v>1459.6800000000012</v>
      </c>
      <c r="L86" s="1452">
        <f t="shared" si="55"/>
        <v>2085.25</v>
      </c>
      <c r="M86" s="1452">
        <f t="shared" si="55"/>
        <v>77311.543837730002</v>
      </c>
      <c r="N86" s="1452">
        <f t="shared" si="55"/>
        <v>0</v>
      </c>
      <c r="O86" s="1452">
        <f t="shared" si="55"/>
        <v>26.38</v>
      </c>
      <c r="P86" s="1452">
        <f t="shared" si="55"/>
        <v>56938.152350919998</v>
      </c>
      <c r="Q86" s="1452">
        <f t="shared" si="55"/>
        <v>16828.461486810003</v>
      </c>
      <c r="R86" s="1452">
        <f t="shared" si="55"/>
        <v>2085.25</v>
      </c>
      <c r="S86" s="1452">
        <f t="shared" si="55"/>
        <v>77311.543837730002</v>
      </c>
      <c r="T86" s="1453">
        <f>+SUM(T84:T85)</f>
        <v>77311.543837730002</v>
      </c>
      <c r="U86" s="1437"/>
      <c r="V86" s="1453">
        <f>V84</f>
        <v>0</v>
      </c>
      <c r="W86" s="1454">
        <f>+SUM(W84:W85)</f>
        <v>0</v>
      </c>
    </row>
    <row r="87" spans="1:23">
      <c r="A87" s="1440"/>
      <c r="B87" s="1441"/>
      <c r="C87" s="1519"/>
      <c r="D87" s="1434"/>
      <c r="E87" s="1442"/>
      <c r="F87" s="1442"/>
      <c r="G87" s="1442"/>
      <c r="H87" s="1442"/>
      <c r="I87" s="1438"/>
      <c r="J87" s="1442"/>
      <c r="K87" s="1442"/>
      <c r="L87" s="1442"/>
      <c r="M87" s="1442"/>
      <c r="N87" s="1442"/>
      <c r="O87" s="1443"/>
      <c r="P87" s="1442"/>
      <c r="Q87" s="1442"/>
      <c r="R87" s="1442"/>
      <c r="S87" s="1442"/>
      <c r="T87" s="1444"/>
      <c r="U87" s="1437"/>
      <c r="V87" s="1438"/>
      <c r="W87" s="1439"/>
    </row>
    <row r="88" spans="1:23">
      <c r="A88" s="1440" t="s">
        <v>225</v>
      </c>
      <c r="B88" s="1441"/>
      <c r="C88" s="1519"/>
      <c r="D88" s="1434"/>
      <c r="E88" s="1442"/>
      <c r="F88" s="1442"/>
      <c r="G88" s="1438"/>
      <c r="H88" s="1442"/>
      <c r="I88" s="1438"/>
      <c r="J88" s="1442"/>
      <c r="K88" s="1442"/>
      <c r="L88" s="1442"/>
      <c r="M88" s="1442"/>
      <c r="N88" s="1442"/>
      <c r="O88" s="1443"/>
      <c r="P88" s="1442"/>
      <c r="Q88" s="1442"/>
      <c r="R88" s="1442"/>
      <c r="S88" s="1442"/>
      <c r="T88" s="1444"/>
      <c r="U88" s="1437"/>
      <c r="V88" s="1438"/>
      <c r="W88" s="1439"/>
    </row>
    <row r="89" spans="1:23" ht="12.75">
      <c r="A89" s="1447">
        <v>2195</v>
      </c>
      <c r="B89" s="1533">
        <v>114462</v>
      </c>
      <c r="C89" s="1534" t="str">
        <f>VLOOKUP($B89,'[68]EE Listing with Position'!$A$2:$D$97,2,FALSE)</f>
        <v xml:space="preserve">Cornelio Hernandez </v>
      </c>
      <c r="D89" s="1434" t="str">
        <f>+VLOOKUP($B89,'[68]EE Listing with Position'!$A:$E,5,FALSE)</f>
        <v>Commercial Recycling</v>
      </c>
      <c r="E89" s="1438">
        <f>+IFERROR(VLOOKUP($B89,'[68]Payroll Pivots'!$A:$D,4,FALSE),0)</f>
        <v>26.38</v>
      </c>
      <c r="F89" s="1442">
        <f>+IFERROR(VLOOKUP($B89,'[68]Payroll Pivots'!$K:$M,3,FALSE),0)</f>
        <v>2130.3666699999999</v>
      </c>
      <c r="G89" s="1442">
        <f t="shared" ref="G89" si="56">+E89*F89</f>
        <v>56199.072754599998</v>
      </c>
      <c r="H89" s="1442">
        <f>+IFERROR(VLOOKUP($B89,'[68]Payroll Pivots'!$T:$V,3,FALSE),0)</f>
        <v>165.30003300000004</v>
      </c>
      <c r="I89" s="1442">
        <f t="shared" ref="I89" si="57">+(E89*1.5)*H89</f>
        <v>6540.9223058100015</v>
      </c>
      <c r="J89" s="1438">
        <f t="shared" ref="J89" si="58">+G89+I89</f>
        <v>62739.995060410001</v>
      </c>
      <c r="K89" s="1442">
        <f>+IFERROR(VLOOKUP($B89,'[68]Payroll Pivots'!$AB:$AD,3,FALSE),0)</f>
        <v>240.54</v>
      </c>
      <c r="L89" s="1442">
        <f>+IFERROR(VLOOKUP($B89,'[68]Payroll Pivots'!$AJ:$AL,3,FALSE),0)</f>
        <v>5799.75</v>
      </c>
      <c r="M89" s="1442">
        <f t="shared" ref="M89" si="59">+L89+K89+J89</f>
        <v>68780.285060409995</v>
      </c>
      <c r="N89" s="1448">
        <f>+VLOOKUP($B89,'[68]EE Listing with Position'!$A:$H,8,FALSE)</f>
        <v>0</v>
      </c>
      <c r="O89" s="1449">
        <f t="shared" ref="O89" si="60">E89*(1+N89)</f>
        <v>26.38</v>
      </c>
      <c r="P89" s="1450">
        <f t="shared" ref="P89" si="61">+F89*O89</f>
        <v>56199.072754599998</v>
      </c>
      <c r="Q89" s="1451">
        <f t="shared" ref="Q89" si="62">+O89*H89*1.5</f>
        <v>6540.9223058100015</v>
      </c>
      <c r="R89" s="1451">
        <f t="shared" ref="R89" si="63">+L89*(1+N89)</f>
        <v>5799.75</v>
      </c>
      <c r="S89" s="1442">
        <f t="shared" ref="S89" si="64">SUM(P89:R89)+K89</f>
        <v>68780.285060409995</v>
      </c>
      <c r="T89" s="1444">
        <f t="shared" ref="T89" si="65">+S89</f>
        <v>68780.285060409995</v>
      </c>
      <c r="U89" s="1437"/>
      <c r="V89" s="1438">
        <f>T89-M89</f>
        <v>0</v>
      </c>
      <c r="W89" s="1439"/>
    </row>
    <row r="90" spans="1:23" ht="12.75">
      <c r="A90" s="1447"/>
      <c r="B90" s="1536"/>
      <c r="C90" s="1534"/>
      <c r="D90" s="1434"/>
      <c r="E90" s="1438"/>
      <c r="F90" s="1442"/>
      <c r="G90" s="1438"/>
      <c r="H90" s="1442"/>
      <c r="I90" s="1438"/>
      <c r="J90" s="1438"/>
      <c r="K90" s="1442"/>
      <c r="L90" s="1442"/>
      <c r="M90" s="1442"/>
      <c r="N90" s="1448"/>
      <c r="O90" s="1449"/>
      <c r="P90" s="1451"/>
      <c r="Q90" s="1451"/>
      <c r="R90" s="1451"/>
      <c r="S90" s="1442"/>
      <c r="T90" s="1444"/>
      <c r="U90" s="1437"/>
      <c r="V90" s="1438"/>
      <c r="W90" s="1439"/>
    </row>
    <row r="91" spans="1:23">
      <c r="A91" s="1447"/>
      <c r="B91" s="1441"/>
      <c r="C91" s="1519" t="str">
        <f>CONCATENATE("TOTAL ",A88)</f>
        <v>TOTAL Commercial Recycling</v>
      </c>
      <c r="D91" s="1434"/>
      <c r="E91" s="1452">
        <f t="shared" ref="E91:T91" si="66">+SUM(E89:E90)</f>
        <v>26.38</v>
      </c>
      <c r="F91" s="1452">
        <f t="shared" si="66"/>
        <v>2130.3666699999999</v>
      </c>
      <c r="G91" s="1452">
        <f t="shared" si="66"/>
        <v>56199.072754599998</v>
      </c>
      <c r="H91" s="1452">
        <f t="shared" si="66"/>
        <v>165.30003300000004</v>
      </c>
      <c r="I91" s="1452">
        <f t="shared" si="66"/>
        <v>6540.9223058100015</v>
      </c>
      <c r="J91" s="1452">
        <f t="shared" si="66"/>
        <v>62739.995060410001</v>
      </c>
      <c r="K91" s="1452">
        <f t="shared" si="66"/>
        <v>240.54</v>
      </c>
      <c r="L91" s="1452">
        <f t="shared" si="66"/>
        <v>5799.75</v>
      </c>
      <c r="M91" s="1452">
        <f t="shared" si="66"/>
        <v>68780.285060409995</v>
      </c>
      <c r="N91" s="1452">
        <f t="shared" si="66"/>
        <v>0</v>
      </c>
      <c r="O91" s="1452">
        <f t="shared" si="66"/>
        <v>26.38</v>
      </c>
      <c r="P91" s="1452">
        <f t="shared" si="66"/>
        <v>56199.072754599998</v>
      </c>
      <c r="Q91" s="1452">
        <f t="shared" si="66"/>
        <v>6540.9223058100015</v>
      </c>
      <c r="R91" s="1452">
        <f t="shared" si="66"/>
        <v>5799.75</v>
      </c>
      <c r="S91" s="1452">
        <f t="shared" si="66"/>
        <v>68780.285060409995</v>
      </c>
      <c r="T91" s="1453">
        <f t="shared" si="66"/>
        <v>68780.285060409995</v>
      </c>
      <c r="U91" s="1437"/>
      <c r="V91" s="1453">
        <f>+SUM(V89:V90)</f>
        <v>0</v>
      </c>
      <c r="W91" s="1454">
        <f>+SUM(W89:W90)</f>
        <v>0</v>
      </c>
    </row>
    <row r="92" spans="1:23">
      <c r="A92" s="1440"/>
      <c r="B92" s="1441"/>
      <c r="C92" s="1519"/>
      <c r="D92" s="1434"/>
      <c r="E92" s="1442"/>
      <c r="F92" s="1442"/>
      <c r="G92" s="1442"/>
      <c r="H92" s="1442"/>
      <c r="I92" s="1438"/>
      <c r="J92" s="1442"/>
      <c r="K92" s="1442"/>
      <c r="L92" s="1442"/>
      <c r="M92" s="1442"/>
      <c r="N92" s="1442"/>
      <c r="O92" s="1443"/>
      <c r="P92" s="1442"/>
      <c r="Q92" s="1442"/>
      <c r="R92" s="1442"/>
      <c r="S92" s="1442"/>
      <c r="T92" s="1444"/>
      <c r="U92" s="1437"/>
      <c r="V92" s="1438"/>
      <c r="W92" s="1439"/>
    </row>
    <row r="93" spans="1:23">
      <c r="A93" s="1440" t="s">
        <v>457</v>
      </c>
      <c r="B93" s="1441"/>
      <c r="C93" s="1519"/>
      <c r="D93" s="1434"/>
      <c r="E93" s="1442"/>
      <c r="F93" s="1442"/>
      <c r="G93" s="1442"/>
      <c r="H93" s="1442"/>
      <c r="I93" s="1438"/>
      <c r="J93" s="1442"/>
      <c r="K93" s="1442"/>
      <c r="L93" s="1442"/>
      <c r="M93" s="1442"/>
      <c r="N93" s="1442"/>
      <c r="O93" s="1443"/>
      <c r="P93" s="1442"/>
      <c r="Q93" s="1442"/>
      <c r="R93" s="1442"/>
      <c r="S93" s="1442"/>
      <c r="T93" s="1444"/>
      <c r="U93" s="1437"/>
      <c r="V93" s="1438"/>
      <c r="W93" s="1439"/>
    </row>
    <row r="94" spans="1:23" ht="12.75">
      <c r="A94" s="1447">
        <v>2195</v>
      </c>
      <c r="B94" s="1533">
        <v>157637</v>
      </c>
      <c r="C94" s="1534" t="str">
        <f>VLOOKUP($B94,'[68]EE Listing with Position'!$A$2:$D$97,2,FALSE)</f>
        <v xml:space="preserve">Scott Betker </v>
      </c>
      <c r="D94" s="1434" t="str">
        <f>+VLOOKUP($B94,'[68]EE Listing with Position'!$A:$E,5,FALSE)</f>
        <v>Comm MSW</v>
      </c>
      <c r="E94" s="1438">
        <f>+IFERROR(VLOOKUP($B94,'[68]Payroll Pivots'!$A:$D,4,FALSE),0)</f>
        <v>27.88</v>
      </c>
      <c r="F94" s="1442">
        <f>+IFERROR(VLOOKUP($B94,'[68]Payroll Pivots'!$K:$M,3,FALSE),0)</f>
        <v>1652.9566679999998</v>
      </c>
      <c r="G94" s="1442">
        <f t="shared" ref="G94:G99" si="67">+E94*F94</f>
        <v>46084.431903839992</v>
      </c>
      <c r="H94" s="1442">
        <f>+IFERROR(VLOOKUP($B94,'[68]Payroll Pivots'!$T:$V,3,FALSE),0)</f>
        <v>273.35000600000001</v>
      </c>
      <c r="I94" s="1442">
        <f t="shared" ref="I94:I99" si="68">+(E94*1.5)*H94</f>
        <v>11431.49725092</v>
      </c>
      <c r="J94" s="1438">
        <f t="shared" ref="J94:J99" si="69">+G94+I94</f>
        <v>57515.929154759993</v>
      </c>
      <c r="K94" s="1442">
        <f>+IFERROR(VLOOKUP($B94,'[68]Payroll Pivots'!$AB:$AD,3,FALSE),0)</f>
        <v>396.29999999999995</v>
      </c>
      <c r="L94" s="1442">
        <f>+IFERROR(VLOOKUP($B94,'[68]Payroll Pivots'!$AJ:$AL,3,FALSE),0)</f>
        <v>445.47</v>
      </c>
      <c r="M94" s="1442">
        <f t="shared" ref="M94:M99" si="70">+L94+K94+J94</f>
        <v>58357.69915475999</v>
      </c>
      <c r="N94" s="1448">
        <f>+VLOOKUP($B94,'[68]EE Listing with Position'!$A:$H,8,FALSE)</f>
        <v>0</v>
      </c>
      <c r="O94" s="1449">
        <f t="shared" ref="O94:O99" si="71">E94*(1+N94)</f>
        <v>27.88</v>
      </c>
      <c r="P94" s="1450">
        <f t="shared" ref="P94:P99" si="72">+F94*O94</f>
        <v>46084.431903839992</v>
      </c>
      <c r="Q94" s="1451">
        <f t="shared" ref="Q94:Q99" si="73">+O94*H94*1.5</f>
        <v>11431.49725092</v>
      </c>
      <c r="R94" s="1451">
        <f t="shared" ref="R94:R99" si="74">+L94*(1+N94)</f>
        <v>445.47</v>
      </c>
      <c r="S94" s="1442">
        <f t="shared" ref="S94:S99" si="75">SUM(P94:R94)+K94</f>
        <v>58357.699154759997</v>
      </c>
      <c r="T94" s="1444">
        <f t="shared" ref="T94:T99" si="76">+S94</f>
        <v>58357.699154759997</v>
      </c>
      <c r="U94" s="1437"/>
      <c r="V94" s="1438">
        <f t="shared" ref="V94:V99" si="77">T94-M94</f>
        <v>0</v>
      </c>
      <c r="W94" s="1439"/>
    </row>
    <row r="95" spans="1:23" ht="12.75">
      <c r="A95" s="1447">
        <v>2195</v>
      </c>
      <c r="B95" s="1533">
        <v>157840</v>
      </c>
      <c r="C95" s="1534" t="str">
        <f>VLOOKUP($B95,'[68]EE Listing with Position'!$A$2:$D$97,2,FALSE)</f>
        <v xml:space="preserve">Michael Leiferman </v>
      </c>
      <c r="D95" s="1434" t="str">
        <f>+VLOOKUP($B95,'[68]EE Listing with Position'!$A:$E,5,FALSE)</f>
        <v>Comm MSW</v>
      </c>
      <c r="E95" s="1438">
        <f>+IFERROR(VLOOKUP($B95,'[68]Payroll Pivots'!$A:$D,4,FALSE),0)</f>
        <v>26.38</v>
      </c>
      <c r="F95" s="1442">
        <f>+IFERROR(VLOOKUP($B95,'[68]Payroll Pivots'!$K:$M,3,FALSE),0)</f>
        <v>2146.0000009999999</v>
      </c>
      <c r="G95" s="1442">
        <f t="shared" si="67"/>
        <v>56611.480026379992</v>
      </c>
      <c r="H95" s="1442">
        <f>+IFERROR(VLOOKUP($B95,'[68]Payroll Pivots'!$T:$V,3,FALSE),0)</f>
        <v>361.23335999999989</v>
      </c>
      <c r="I95" s="1442">
        <f t="shared" si="68"/>
        <v>14294.004055199995</v>
      </c>
      <c r="J95" s="1438">
        <f t="shared" si="69"/>
        <v>70905.484081579983</v>
      </c>
      <c r="K95" s="1442">
        <f>+IFERROR(VLOOKUP($B95,'[68]Payroll Pivots'!$AB:$AD,3,FALSE),0)</f>
        <v>1546.8499999999981</v>
      </c>
      <c r="L95" s="1442">
        <f>+IFERROR(VLOOKUP($B95,'[68]Payroll Pivots'!$AJ:$AL,3,FALSE),0)</f>
        <v>2393.25</v>
      </c>
      <c r="M95" s="1442">
        <f t="shared" si="70"/>
        <v>74845.584081579975</v>
      </c>
      <c r="N95" s="1448">
        <f>+VLOOKUP($B95,'[68]EE Listing with Position'!$A:$H,8,FALSE)</f>
        <v>0</v>
      </c>
      <c r="O95" s="1449">
        <f t="shared" si="71"/>
        <v>26.38</v>
      </c>
      <c r="P95" s="1450">
        <f t="shared" si="72"/>
        <v>56611.480026379992</v>
      </c>
      <c r="Q95" s="1451">
        <f t="shared" si="73"/>
        <v>14294.004055199995</v>
      </c>
      <c r="R95" s="1451">
        <f t="shared" si="74"/>
        <v>2393.25</v>
      </c>
      <c r="S95" s="1442">
        <f t="shared" si="75"/>
        <v>74845.584081579975</v>
      </c>
      <c r="T95" s="1444">
        <f t="shared" si="76"/>
        <v>74845.584081579975</v>
      </c>
      <c r="U95" s="1437"/>
      <c r="V95" s="1438">
        <f t="shared" si="77"/>
        <v>0</v>
      </c>
      <c r="W95" s="1439"/>
    </row>
    <row r="96" spans="1:23" ht="12.75">
      <c r="A96" s="1447">
        <v>2195</v>
      </c>
      <c r="B96" s="1533">
        <v>158366</v>
      </c>
      <c r="C96" s="1534" t="str">
        <f>VLOOKUP($B96,'[68]EE Listing with Position'!$A$2:$D$97,2,FALSE)</f>
        <v xml:space="preserve">Hector Barrera Ortiz </v>
      </c>
      <c r="D96" s="1434" t="str">
        <f>+VLOOKUP($B96,'[68]EE Listing with Position'!$A:$E,5,FALSE)</f>
        <v>Comm MSW</v>
      </c>
      <c r="E96" s="1438">
        <f>+IFERROR(VLOOKUP($B96,'[68]Payroll Pivots'!$A:$D,4,FALSE),0)</f>
        <v>27.88</v>
      </c>
      <c r="F96" s="1442">
        <f>+IFERROR(VLOOKUP($B96,'[68]Payroll Pivots'!$K:$M,3,FALSE),0)</f>
        <v>2135.6333340000001</v>
      </c>
      <c r="G96" s="1442">
        <f t="shared" si="67"/>
        <v>59541.457351919998</v>
      </c>
      <c r="H96" s="1442">
        <f>+IFERROR(VLOOKUP($B96,'[68]Payroll Pivots'!$T:$V,3,FALSE),0)</f>
        <v>423.90003299999995</v>
      </c>
      <c r="I96" s="1442">
        <f t="shared" si="68"/>
        <v>17727.499380059999</v>
      </c>
      <c r="J96" s="1438">
        <f t="shared" si="69"/>
        <v>77268.956731979997</v>
      </c>
      <c r="K96" s="1442">
        <f>+IFERROR(VLOOKUP($B96,'[68]Payroll Pivots'!$AB:$AD,3,FALSE),0)</f>
        <v>1665.5100000000007</v>
      </c>
      <c r="L96" s="1442">
        <f>+IFERROR(VLOOKUP($B96,'[68]Payroll Pivots'!$AJ:$AL,3,FALSE),0)</f>
        <v>929.09</v>
      </c>
      <c r="M96" s="1442">
        <f t="shared" si="70"/>
        <v>79863.556731980003</v>
      </c>
      <c r="N96" s="1448">
        <f>+VLOOKUP($B96,'[68]EE Listing with Position'!$A:$H,8,FALSE)</f>
        <v>0</v>
      </c>
      <c r="O96" s="1449">
        <f t="shared" si="71"/>
        <v>27.88</v>
      </c>
      <c r="P96" s="1450">
        <f t="shared" si="72"/>
        <v>59541.457351919998</v>
      </c>
      <c r="Q96" s="1451">
        <f t="shared" si="73"/>
        <v>17727.499380059999</v>
      </c>
      <c r="R96" s="1451">
        <f t="shared" si="74"/>
        <v>929.09</v>
      </c>
      <c r="S96" s="1442">
        <f t="shared" si="75"/>
        <v>79863.556731979988</v>
      </c>
      <c r="T96" s="1444">
        <f t="shared" si="76"/>
        <v>79863.556731979988</v>
      </c>
      <c r="U96" s="1437"/>
      <c r="V96" s="1438">
        <f t="shared" si="77"/>
        <v>0</v>
      </c>
      <c r="W96" s="1439"/>
    </row>
    <row r="97" spans="1:23" ht="12.75">
      <c r="A97" s="1447">
        <v>2195</v>
      </c>
      <c r="B97" s="1533">
        <v>114469</v>
      </c>
      <c r="C97" s="1534" t="str">
        <f>VLOOKUP($B97,'[68]EE Listing with Position'!$A$2:$D$97,2,FALSE)</f>
        <v xml:space="preserve">Josh Moore </v>
      </c>
      <c r="D97" s="1434" t="str">
        <f>+VLOOKUP($B97,'[68]EE Listing with Position'!$A:$E,5,FALSE)</f>
        <v>Comm MSW</v>
      </c>
      <c r="E97" s="1438">
        <f>+IFERROR(VLOOKUP($B97,'[68]Payroll Pivots'!$A:$D,4,FALSE),0)</f>
        <v>27.88</v>
      </c>
      <c r="F97" s="1442">
        <f>+IFERROR(VLOOKUP($B97,'[68]Payroll Pivots'!$K:$M,3,FALSE),0)</f>
        <v>2168.6166680000001</v>
      </c>
      <c r="G97" s="1442">
        <f t="shared" si="67"/>
        <v>60461.032703839999</v>
      </c>
      <c r="H97" s="1442">
        <f>+IFERROR(VLOOKUP($B97,'[68]Payroll Pivots'!$T:$V,3,FALSE),0)</f>
        <v>333.10000500000007</v>
      </c>
      <c r="I97" s="1442">
        <f t="shared" si="68"/>
        <v>13930.242209100003</v>
      </c>
      <c r="J97" s="1438">
        <f t="shared" si="69"/>
        <v>74391.274912940004</v>
      </c>
      <c r="K97" s="1442">
        <f>+IFERROR(VLOOKUP($B97,'[68]Payroll Pivots'!$AB:$AD,3,FALSE),0)</f>
        <v>382.53999999999996</v>
      </c>
      <c r="L97" s="1442">
        <f>+IFERROR(VLOOKUP($B97,'[68]Payroll Pivots'!$AJ:$AL,3,FALSE),0)</f>
        <v>463.75</v>
      </c>
      <c r="M97" s="1442">
        <f t="shared" si="70"/>
        <v>75237.564912939997</v>
      </c>
      <c r="N97" s="1448">
        <f>+VLOOKUP($B97,'[68]EE Listing with Position'!$A:$H,8,FALSE)</f>
        <v>0</v>
      </c>
      <c r="O97" s="1449">
        <f t="shared" si="71"/>
        <v>27.88</v>
      </c>
      <c r="P97" s="1450">
        <f t="shared" si="72"/>
        <v>60461.032703839999</v>
      </c>
      <c r="Q97" s="1451">
        <f t="shared" si="73"/>
        <v>13930.242209100004</v>
      </c>
      <c r="R97" s="1451">
        <f t="shared" si="74"/>
        <v>463.75</v>
      </c>
      <c r="S97" s="1442">
        <f t="shared" si="75"/>
        <v>75237.564912939997</v>
      </c>
      <c r="T97" s="1444">
        <f t="shared" si="76"/>
        <v>75237.564912939997</v>
      </c>
      <c r="U97" s="1437"/>
      <c r="V97" s="1438">
        <f t="shared" si="77"/>
        <v>0</v>
      </c>
      <c r="W97" s="1439"/>
    </row>
    <row r="98" spans="1:23" ht="12.75">
      <c r="A98" s="1447">
        <v>2195</v>
      </c>
      <c r="B98" s="1533">
        <v>151918</v>
      </c>
      <c r="C98" s="1534" t="str">
        <f>VLOOKUP($B98,'[68]EE Listing with Position'!$A$2:$D$97,2,FALSE)</f>
        <v xml:space="preserve">Sergio Valencia </v>
      </c>
      <c r="D98" s="1434" t="str">
        <f>+VLOOKUP($B98,'[68]EE Listing with Position'!$A:$E,5,FALSE)</f>
        <v>Comm MSW</v>
      </c>
      <c r="E98" s="1438">
        <f>+IFERROR(VLOOKUP($B98,'[68]Payroll Pivots'!$A:$D,4,FALSE),0)</f>
        <v>27.88</v>
      </c>
      <c r="F98" s="1442">
        <f>+IFERROR(VLOOKUP($B98,'[68]Payroll Pivots'!$K:$M,3,FALSE),0)</f>
        <v>2142.9999980000002</v>
      </c>
      <c r="G98" s="1442">
        <f t="shared" si="67"/>
        <v>59746.839944240004</v>
      </c>
      <c r="H98" s="1442">
        <f>+IFERROR(VLOOKUP($B98,'[68]Payroll Pivots'!$T:$V,3,FALSE),0)</f>
        <v>283.18333800000005</v>
      </c>
      <c r="I98" s="1442">
        <f t="shared" si="68"/>
        <v>11842.727195160001</v>
      </c>
      <c r="J98" s="1438">
        <f t="shared" si="69"/>
        <v>71589.567139400009</v>
      </c>
      <c r="K98" s="1442">
        <f>+IFERROR(VLOOKUP($B98,'[68]Payroll Pivots'!$AB:$AD,3,FALSE),0)</f>
        <v>1674.6500000000008</v>
      </c>
      <c r="L98" s="1442">
        <f>+IFERROR(VLOOKUP($B98,'[68]Payroll Pivots'!$AJ:$AL,3,FALSE),0)</f>
        <v>3411.08</v>
      </c>
      <c r="M98" s="1442">
        <f t="shared" si="70"/>
        <v>76675.297139400005</v>
      </c>
      <c r="N98" s="1448">
        <f>+VLOOKUP($B98,'[68]EE Listing with Position'!$A:$H,8,FALSE)</f>
        <v>0</v>
      </c>
      <c r="O98" s="1449">
        <f t="shared" si="71"/>
        <v>27.88</v>
      </c>
      <c r="P98" s="1450">
        <f t="shared" si="72"/>
        <v>59746.839944240004</v>
      </c>
      <c r="Q98" s="1451">
        <f t="shared" si="73"/>
        <v>11842.727195160001</v>
      </c>
      <c r="R98" s="1451">
        <f t="shared" si="74"/>
        <v>3411.08</v>
      </c>
      <c r="S98" s="1442">
        <f t="shared" si="75"/>
        <v>76675.297139400005</v>
      </c>
      <c r="T98" s="1444">
        <f t="shared" si="76"/>
        <v>76675.297139400005</v>
      </c>
      <c r="U98" s="1437"/>
      <c r="V98" s="1438">
        <f t="shared" si="77"/>
        <v>0</v>
      </c>
      <c r="W98" s="1439"/>
    </row>
    <row r="99" spans="1:23" ht="12.75">
      <c r="A99" s="1447">
        <v>2195</v>
      </c>
      <c r="B99" s="1533">
        <v>114473</v>
      </c>
      <c r="C99" s="1534" t="str">
        <f>VLOOKUP($B99,'[68]EE Listing with Position'!$A$2:$D$97,2,FALSE)</f>
        <v xml:space="preserve">Jesus Ortega </v>
      </c>
      <c r="D99" s="1434" t="str">
        <f>+VLOOKUP($B99,'[68]EE Listing with Position'!$A:$E,5,FALSE)</f>
        <v>Comm MSW</v>
      </c>
      <c r="E99" s="1438">
        <f>+IFERROR(VLOOKUP($B99,'[68]Payroll Pivots'!$A:$D,4,FALSE),0)</f>
        <v>27.88</v>
      </c>
      <c r="F99" s="1442">
        <f>+IFERROR(VLOOKUP($B99,'[68]Payroll Pivots'!$K:$M,3,FALSE),0)</f>
        <v>2162.8666710000002</v>
      </c>
      <c r="G99" s="1442">
        <f t="shared" si="67"/>
        <v>60300.722787480001</v>
      </c>
      <c r="H99" s="1442">
        <f>+IFERROR(VLOOKUP($B99,'[68]Payroll Pivots'!$T:$V,3,FALSE),0)</f>
        <v>331.20000099999993</v>
      </c>
      <c r="I99" s="1442">
        <f t="shared" si="68"/>
        <v>13850.784041819998</v>
      </c>
      <c r="J99" s="1438">
        <f t="shared" si="69"/>
        <v>74151.506829299993</v>
      </c>
      <c r="K99" s="1442">
        <f>+IFERROR(VLOOKUP($B99,'[68]Payroll Pivots'!$AB:$AD,3,FALSE),0)</f>
        <v>1769.4899999999991</v>
      </c>
      <c r="L99" s="1442">
        <f>+IFERROR(VLOOKUP($B99,'[68]Payroll Pivots'!$AJ:$AL,3,FALSE),0)</f>
        <v>5379.5</v>
      </c>
      <c r="M99" s="1442">
        <f t="shared" si="70"/>
        <v>81300.496829299998</v>
      </c>
      <c r="N99" s="1448">
        <f>+VLOOKUP($B99,'[68]EE Listing with Position'!$A:$H,8,FALSE)</f>
        <v>0</v>
      </c>
      <c r="O99" s="1449">
        <f t="shared" si="71"/>
        <v>27.88</v>
      </c>
      <c r="P99" s="1450">
        <f t="shared" si="72"/>
        <v>60300.722787480001</v>
      </c>
      <c r="Q99" s="1451">
        <f t="shared" si="73"/>
        <v>13850.784041819996</v>
      </c>
      <c r="R99" s="1451">
        <f t="shared" si="74"/>
        <v>5379.5</v>
      </c>
      <c r="S99" s="1442">
        <f t="shared" si="75"/>
        <v>81300.496829299998</v>
      </c>
      <c r="T99" s="1444">
        <f t="shared" si="76"/>
        <v>81300.496829299998</v>
      </c>
      <c r="U99" s="1437"/>
      <c r="V99" s="1438">
        <f t="shared" si="77"/>
        <v>0</v>
      </c>
      <c r="W99" s="1439"/>
    </row>
    <row r="100" spans="1:23" ht="12.75">
      <c r="A100" s="1447"/>
      <c r="B100" s="1535"/>
      <c r="C100" s="1534"/>
      <c r="D100" s="1434"/>
      <c r="E100" s="1438"/>
      <c r="F100" s="1442"/>
      <c r="G100" s="1438"/>
      <c r="H100" s="1442"/>
      <c r="I100" s="1438"/>
      <c r="J100" s="1438"/>
      <c r="K100" s="1442"/>
      <c r="L100" s="1442"/>
      <c r="M100" s="1442"/>
      <c r="N100" s="1448"/>
      <c r="O100" s="1449"/>
      <c r="P100" s="1451"/>
      <c r="Q100" s="1451"/>
      <c r="R100" s="1451"/>
      <c r="S100" s="1442"/>
      <c r="T100" s="1444"/>
      <c r="U100" s="1437"/>
      <c r="V100" s="1438"/>
      <c r="W100" s="1439"/>
    </row>
    <row r="101" spans="1:23">
      <c r="A101" s="1447"/>
      <c r="B101" s="1441"/>
      <c r="C101" s="1519" t="str">
        <f>CONCATENATE("TOTAL ",A93)</f>
        <v>TOTAL Commercial Garbage</v>
      </c>
      <c r="D101" s="1434"/>
      <c r="E101" s="1452">
        <f t="shared" ref="E101:T101" si="78">+SUM(E94:E100)</f>
        <v>165.78</v>
      </c>
      <c r="F101" s="1452">
        <f t="shared" si="78"/>
        <v>12409.073339999999</v>
      </c>
      <c r="G101" s="1452">
        <f t="shared" si="78"/>
        <v>342745.96471769997</v>
      </c>
      <c r="H101" s="1452">
        <f t="shared" si="78"/>
        <v>2005.9667429999997</v>
      </c>
      <c r="I101" s="1452">
        <f t="shared" si="78"/>
        <v>83076.754132259986</v>
      </c>
      <c r="J101" s="1452">
        <f t="shared" si="78"/>
        <v>425822.71884996002</v>
      </c>
      <c r="K101" s="1452">
        <f t="shared" si="78"/>
        <v>7435.3399999999983</v>
      </c>
      <c r="L101" s="1452">
        <f t="shared" si="78"/>
        <v>13022.14</v>
      </c>
      <c r="M101" s="1452">
        <f t="shared" si="78"/>
        <v>446280.19884996006</v>
      </c>
      <c r="N101" s="1452">
        <f t="shared" si="78"/>
        <v>0</v>
      </c>
      <c r="O101" s="1452">
        <f t="shared" si="78"/>
        <v>165.78</v>
      </c>
      <c r="P101" s="1452">
        <f t="shared" si="78"/>
        <v>342745.96471769997</v>
      </c>
      <c r="Q101" s="1452">
        <f t="shared" si="78"/>
        <v>83076.754132259986</v>
      </c>
      <c r="R101" s="1452">
        <f t="shared" si="78"/>
        <v>13022.14</v>
      </c>
      <c r="S101" s="1452">
        <f t="shared" si="78"/>
        <v>446280.19884996006</v>
      </c>
      <c r="T101" s="1453">
        <f t="shared" si="78"/>
        <v>446280.19884996006</v>
      </c>
      <c r="U101" s="1437"/>
      <c r="V101" s="1453">
        <f>+SUM(V94:V100)</f>
        <v>0</v>
      </c>
      <c r="W101" s="1454">
        <f>+SUM(W94:W100)</f>
        <v>0</v>
      </c>
    </row>
    <row r="102" spans="1:23">
      <c r="A102" s="1440"/>
      <c r="B102" s="1441"/>
      <c r="C102" s="1519"/>
      <c r="D102" s="1434"/>
      <c r="E102" s="1442"/>
      <c r="F102" s="1442"/>
      <c r="G102" s="1442"/>
      <c r="H102" s="1442"/>
      <c r="I102" s="1438"/>
      <c r="J102" s="1442"/>
      <c r="K102" s="1442"/>
      <c r="L102" s="1442"/>
      <c r="M102" s="1442"/>
      <c r="N102" s="1442"/>
      <c r="O102" s="1443"/>
      <c r="P102" s="1442"/>
      <c r="Q102" s="1442"/>
      <c r="R102" s="1442"/>
      <c r="S102" s="1442"/>
      <c r="T102" s="1444"/>
      <c r="U102" s="1437"/>
      <c r="V102" s="1438"/>
      <c r="W102" s="1439"/>
    </row>
    <row r="103" spans="1:23">
      <c r="A103" s="1447"/>
      <c r="B103" s="1441"/>
      <c r="C103" s="1519"/>
      <c r="D103" s="1434"/>
      <c r="E103" s="1442"/>
      <c r="F103" s="1442"/>
      <c r="G103" s="1442"/>
      <c r="H103" s="1442"/>
      <c r="I103" s="1442"/>
      <c r="J103" s="1442"/>
      <c r="K103" s="1442"/>
      <c r="L103" s="1442"/>
      <c r="M103" s="1442"/>
      <c r="N103" s="1442"/>
      <c r="O103" s="1442"/>
      <c r="P103" s="1442"/>
      <c r="Q103" s="1442"/>
      <c r="R103" s="1442"/>
      <c r="S103" s="1442"/>
      <c r="T103" s="1444"/>
      <c r="U103" s="1437"/>
      <c r="V103" s="1442"/>
      <c r="W103" s="1455"/>
    </row>
    <row r="104" spans="1:23">
      <c r="A104" s="1447"/>
      <c r="B104" s="1456"/>
      <c r="C104" s="1457"/>
      <c r="D104" s="1434"/>
      <c r="E104" s="1442"/>
      <c r="F104" s="1442"/>
      <c r="G104" s="1442"/>
      <c r="H104" s="1442"/>
      <c r="I104" s="1438"/>
      <c r="J104" s="1442"/>
      <c r="K104" s="1442"/>
      <c r="L104" s="1442"/>
      <c r="M104" s="1442"/>
      <c r="N104" s="1442"/>
      <c r="O104" s="1443"/>
      <c r="P104" s="1442"/>
      <c r="Q104" s="1442"/>
      <c r="R104" s="1442"/>
      <c r="S104" s="1442"/>
      <c r="T104" s="1444"/>
      <c r="U104" s="1437"/>
      <c r="V104" s="1438"/>
      <c r="W104" s="1439"/>
    </row>
    <row r="105" spans="1:23">
      <c r="A105" s="1440" t="s">
        <v>546</v>
      </c>
      <c r="B105" s="1441"/>
      <c r="C105" s="1519"/>
      <c r="D105" s="1434"/>
      <c r="E105" s="1442"/>
      <c r="F105" s="1442"/>
      <c r="G105" s="1442"/>
      <c r="H105" s="1442"/>
      <c r="I105" s="1438"/>
      <c r="J105" s="1442"/>
      <c r="K105" s="1442"/>
      <c r="L105" s="1442"/>
      <c r="M105" s="1442"/>
      <c r="N105" s="1442"/>
      <c r="O105" s="1443"/>
      <c r="P105" s="1442"/>
      <c r="Q105" s="1442"/>
      <c r="R105" s="1442"/>
      <c r="S105" s="1442"/>
      <c r="T105" s="1444"/>
      <c r="U105" s="1437"/>
      <c r="V105" s="1438"/>
      <c r="W105" s="1439"/>
    </row>
    <row r="106" spans="1:23" ht="12.75">
      <c r="A106" s="1447">
        <v>2195</v>
      </c>
      <c r="B106" s="1533">
        <v>114439</v>
      </c>
      <c r="C106" s="1534" t="str">
        <f>VLOOKUP($B106,'[68]EE Listing with Position'!$A$2:$D$97,2,FALSE)</f>
        <v xml:space="preserve">Roberto Ayungua </v>
      </c>
      <c r="D106" s="1434" t="str">
        <f>+VLOOKUP($B106,'[68]EE Listing with Position'!$A:$E,5,FALSE)</f>
        <v>Container Repair</v>
      </c>
      <c r="E106" s="1438">
        <f>+IFERROR(VLOOKUP($B106,'[68]Payroll Pivots'!$A:$D,4,FALSE),0)</f>
        <v>18.989999999999998</v>
      </c>
      <c r="F106" s="1442">
        <f>+IFERROR(VLOOKUP($B106,'[68]Payroll Pivots'!$K:$M,3,FALSE),0)</f>
        <v>2110.8333339999999</v>
      </c>
      <c r="G106" s="1442">
        <f t="shared" ref="G106:G107" si="79">+E106*F106</f>
        <v>40084.725012659997</v>
      </c>
      <c r="H106" s="1442">
        <f>+IFERROR(VLOOKUP($B106,'[68]Payroll Pivots'!$T:$V,3,FALSE),0)</f>
        <v>295.63334599999996</v>
      </c>
      <c r="I106" s="1442">
        <f t="shared" ref="I106:I107" si="80">+(E106*1.5)*H106</f>
        <v>8421.1158608099995</v>
      </c>
      <c r="J106" s="1438">
        <f t="shared" ref="J106:J107" si="81">+G106+I106</f>
        <v>48505.840873469999</v>
      </c>
      <c r="K106" s="1442">
        <f>+IFERROR(VLOOKUP($B106,'[68]Payroll Pivots'!$AB:$AD,3,FALSE),0)</f>
        <v>1766.3500000000031</v>
      </c>
      <c r="L106" s="1442">
        <f>+IFERROR(VLOOKUP($B106,'[68]Payroll Pivots'!$AJ:$AL,3,FALSE),0)</f>
        <v>0</v>
      </c>
      <c r="M106" s="1442">
        <f t="shared" ref="M106:M107" si="82">+L106+K106+J106</f>
        <v>50272.190873470005</v>
      </c>
      <c r="N106" s="1448">
        <f>+VLOOKUP($B106,'[68]EE Listing with Position'!$A:$H,8,FALSE)</f>
        <v>0</v>
      </c>
      <c r="O106" s="1449">
        <f t="shared" ref="O106:O107" si="83">E106*(1+N106)</f>
        <v>18.989999999999998</v>
      </c>
      <c r="P106" s="1450">
        <f t="shared" ref="P106:P107" si="84">+F106*O106</f>
        <v>40084.725012659997</v>
      </c>
      <c r="Q106" s="1451">
        <f t="shared" ref="Q106:Q107" si="85">+O106*H106*1.5</f>
        <v>8421.1158608099977</v>
      </c>
      <c r="R106" s="1451">
        <f t="shared" ref="R106:R107" si="86">+L106*(1+N106)</f>
        <v>0</v>
      </c>
      <c r="S106" s="1442">
        <f t="shared" ref="S106:S107" si="87">SUM(P106:R106)+K106</f>
        <v>50272.190873469997</v>
      </c>
      <c r="T106" s="1444">
        <f t="shared" ref="T106:T107" si="88">+S106</f>
        <v>50272.190873469997</v>
      </c>
      <c r="U106" s="1437"/>
      <c r="V106" s="1438">
        <f>T106-M106</f>
        <v>0</v>
      </c>
      <c r="W106" s="1439"/>
    </row>
    <row r="107" spans="1:23" ht="12.75">
      <c r="A107" s="1447">
        <v>2195</v>
      </c>
      <c r="B107" s="1533">
        <v>114479</v>
      </c>
      <c r="C107" s="1534" t="str">
        <f>VLOOKUP($B107,'[68]EE Listing with Position'!$A$2:$D$97,2,FALSE)</f>
        <v xml:space="preserve">Steven Powers </v>
      </c>
      <c r="D107" s="1434" t="str">
        <f>+VLOOKUP($B107,'[68]EE Listing with Position'!$A:$E,5,FALSE)</f>
        <v>Delivery</v>
      </c>
      <c r="E107" s="1438">
        <f>+IFERROR(VLOOKUP($B107,'[68]Payroll Pivots'!$A:$D,4,FALSE),0)</f>
        <v>23.21</v>
      </c>
      <c r="F107" s="1442">
        <f>+IFERROR(VLOOKUP($B107,'[68]Payroll Pivots'!$K:$M,3,FALSE),0)</f>
        <v>2122.5</v>
      </c>
      <c r="G107" s="1442">
        <f t="shared" si="79"/>
        <v>49263.224999999999</v>
      </c>
      <c r="H107" s="1442">
        <f>+IFERROR(VLOOKUP($B107,'[68]Payroll Pivots'!$T:$V,3,FALSE),0)</f>
        <v>373.96666600000003</v>
      </c>
      <c r="I107" s="1442">
        <f t="shared" si="80"/>
        <v>13019.64947679</v>
      </c>
      <c r="J107" s="1438">
        <f t="shared" si="81"/>
        <v>62282.874476789999</v>
      </c>
      <c r="K107" s="1442">
        <f>+IFERROR(VLOOKUP($B107,'[68]Payroll Pivots'!$AB:$AD,3,FALSE),0)</f>
        <v>381.43</v>
      </c>
      <c r="L107" s="1442">
        <f>+IFERROR(VLOOKUP($B107,'[68]Payroll Pivots'!$AJ:$AL,3,FALSE),0)</f>
        <v>5145.58</v>
      </c>
      <c r="M107" s="1442">
        <f t="shared" si="82"/>
        <v>67809.884476790001</v>
      </c>
      <c r="N107" s="1448">
        <f>+VLOOKUP($B107,'[68]EE Listing with Position'!$A:$H,8,FALSE)</f>
        <v>0</v>
      </c>
      <c r="O107" s="1449">
        <f t="shared" si="83"/>
        <v>23.21</v>
      </c>
      <c r="P107" s="1450">
        <f t="shared" si="84"/>
        <v>49263.224999999999</v>
      </c>
      <c r="Q107" s="1451">
        <f t="shared" si="85"/>
        <v>13019.649476790002</v>
      </c>
      <c r="R107" s="1451">
        <f t="shared" si="86"/>
        <v>5145.58</v>
      </c>
      <c r="S107" s="1442">
        <f t="shared" si="87"/>
        <v>67809.884476789986</v>
      </c>
      <c r="T107" s="1444">
        <f t="shared" si="88"/>
        <v>67809.884476789986</v>
      </c>
      <c r="U107" s="1437"/>
      <c r="V107" s="1438">
        <f>T107-M107</f>
        <v>0</v>
      </c>
      <c r="W107" s="1439"/>
    </row>
    <row r="108" spans="1:23">
      <c r="A108" s="1447"/>
      <c r="B108" s="1441"/>
      <c r="C108" s="1519"/>
      <c r="D108" s="1434"/>
      <c r="E108" s="1442"/>
      <c r="F108" s="1442"/>
      <c r="G108" s="1442"/>
      <c r="H108" s="1442"/>
      <c r="I108" s="1438"/>
      <c r="J108" s="1442"/>
      <c r="K108" s="1442"/>
      <c r="L108" s="1442"/>
      <c r="M108" s="1442"/>
      <c r="N108" s="1442"/>
      <c r="O108" s="1443"/>
      <c r="P108" s="1442"/>
      <c r="Q108" s="1442"/>
      <c r="R108" s="1442"/>
      <c r="S108" s="1442"/>
      <c r="T108" s="1444"/>
      <c r="U108" s="1437"/>
      <c r="V108" s="1438"/>
      <c r="W108" s="1439"/>
    </row>
    <row r="109" spans="1:23">
      <c r="A109" s="1447"/>
      <c r="B109" s="1441"/>
      <c r="C109" s="1519" t="str">
        <f>CONCATENATE("TOTAL ",A105)</f>
        <v>TOTAL Delivery Drivers</v>
      </c>
      <c r="D109" s="1434"/>
      <c r="E109" s="1452">
        <f t="shared" ref="E109:T109" si="89">+SUM(E106:E108)</f>
        <v>42.2</v>
      </c>
      <c r="F109" s="1452">
        <f t="shared" si="89"/>
        <v>4233.3333339999999</v>
      </c>
      <c r="G109" s="1452">
        <f t="shared" si="89"/>
        <v>89347.950012660003</v>
      </c>
      <c r="H109" s="1452">
        <f t="shared" si="89"/>
        <v>669.60001199999999</v>
      </c>
      <c r="I109" s="1452">
        <f t="shared" si="89"/>
        <v>21440.765337600002</v>
      </c>
      <c r="J109" s="1452">
        <f t="shared" si="89"/>
        <v>110788.71535026</v>
      </c>
      <c r="K109" s="1452">
        <f t="shared" si="89"/>
        <v>2147.7800000000029</v>
      </c>
      <c r="L109" s="1452">
        <f t="shared" si="89"/>
        <v>5145.58</v>
      </c>
      <c r="M109" s="1452">
        <f t="shared" si="89"/>
        <v>118082.07535026001</v>
      </c>
      <c r="N109" s="1452">
        <f t="shared" si="89"/>
        <v>0</v>
      </c>
      <c r="O109" s="1452">
        <f t="shared" si="89"/>
        <v>42.2</v>
      </c>
      <c r="P109" s="1452">
        <f t="shared" si="89"/>
        <v>89347.950012660003</v>
      </c>
      <c r="Q109" s="1452">
        <f t="shared" si="89"/>
        <v>21440.765337600002</v>
      </c>
      <c r="R109" s="1452">
        <f t="shared" si="89"/>
        <v>5145.58</v>
      </c>
      <c r="S109" s="1452">
        <f t="shared" si="89"/>
        <v>118082.07535025998</v>
      </c>
      <c r="T109" s="1453">
        <f t="shared" si="89"/>
        <v>118082.07535025998</v>
      </c>
      <c r="U109" s="1437"/>
      <c r="V109" s="1453">
        <f>+SUM(V106:V108)</f>
        <v>0</v>
      </c>
      <c r="W109" s="1454">
        <f>+SUM(W106:W108)</f>
        <v>0</v>
      </c>
    </row>
    <row r="110" spans="1:23">
      <c r="A110" s="1447"/>
      <c r="B110" s="1441"/>
      <c r="C110" s="1519"/>
      <c r="D110" s="1434"/>
      <c r="E110" s="1442"/>
      <c r="F110" s="1442"/>
      <c r="G110" s="1442"/>
      <c r="H110" s="1442"/>
      <c r="I110" s="1442"/>
      <c r="J110" s="1442"/>
      <c r="K110" s="1442"/>
      <c r="L110" s="1442"/>
      <c r="M110" s="1442"/>
      <c r="N110" s="1442"/>
      <c r="O110" s="1442"/>
      <c r="P110" s="1442"/>
      <c r="Q110" s="1442"/>
      <c r="R110" s="1442"/>
      <c r="S110" s="1442"/>
      <c r="T110" s="1444"/>
      <c r="U110" s="1437"/>
      <c r="V110" s="1442"/>
      <c r="W110" s="1455"/>
    </row>
    <row r="111" spans="1:23">
      <c r="A111" s="1440" t="s">
        <v>2967</v>
      </c>
      <c r="B111" s="1441"/>
      <c r="C111" s="1519"/>
      <c r="D111" s="1434"/>
      <c r="E111" s="1442"/>
      <c r="F111" s="1442"/>
      <c r="G111" s="1442"/>
      <c r="H111" s="1442"/>
      <c r="I111" s="1442"/>
      <c r="J111" s="1442"/>
      <c r="K111" s="1442"/>
      <c r="L111" s="1442"/>
      <c r="M111" s="1442"/>
      <c r="N111" s="1442"/>
      <c r="O111" s="1442"/>
      <c r="P111" s="1442"/>
      <c r="Q111" s="1442"/>
      <c r="R111" s="1442"/>
      <c r="S111" s="1442"/>
      <c r="T111" s="1444"/>
      <c r="U111" s="1437"/>
      <c r="V111" s="1442"/>
      <c r="W111" s="1455"/>
    </row>
    <row r="112" spans="1:23" ht="12.75">
      <c r="A112" s="1447">
        <v>2195</v>
      </c>
      <c r="B112" s="1533">
        <v>312518</v>
      </c>
      <c r="C112" s="1534" t="str">
        <f>VLOOKUP($B112,'[68]EE Listing with Position'!$A$2:$D$97,2,FALSE)</f>
        <v xml:space="preserve">Jason Wilson </v>
      </c>
      <c r="D112" s="1434" t="str">
        <f>+VLOOKUP($B112,'[68]EE Listing with Position'!$A:$E,5,FALSE)</f>
        <v>General Laborer</v>
      </c>
      <c r="E112" s="1438">
        <f>+IFERROR(VLOOKUP($B112,'[68]Payroll Pivots'!$A:$D,4,FALSE),0)</f>
        <v>17.940000000000001</v>
      </c>
      <c r="F112" s="1442">
        <f>+IFERROR(VLOOKUP($B112,'[68]Payroll Pivots'!$K:$M,3,FALSE),0)</f>
        <v>2071.4166700000001</v>
      </c>
      <c r="G112" s="1442">
        <f t="shared" ref="G112" si="90">+E112*F112</f>
        <v>37161.215059800001</v>
      </c>
      <c r="H112" s="1442">
        <f>+IFERROR(VLOOKUP($B112,'[68]Payroll Pivots'!$T:$V,3,FALSE),0)</f>
        <v>92.750001999999981</v>
      </c>
      <c r="I112" s="1442">
        <f t="shared" ref="I112" si="91">+(E112*1.5)*H112</f>
        <v>2495.9025538199999</v>
      </c>
      <c r="J112" s="1438">
        <f t="shared" ref="J112" si="92">+G112+I112</f>
        <v>39657.117613620001</v>
      </c>
      <c r="K112" s="1442">
        <f>+IFERROR(VLOOKUP($B112,'[68]Payroll Pivots'!$AB:$AD,3,FALSE),0)</f>
        <v>1238.6500000000003</v>
      </c>
      <c r="L112" s="1442">
        <f>+IFERROR(VLOOKUP($B112,'[68]Payroll Pivots'!$AJ:$AL,3,FALSE),0)</f>
        <v>0</v>
      </c>
      <c r="M112" s="1442">
        <f t="shared" ref="M112" si="93">+L112+K112+J112</f>
        <v>40895.767613620003</v>
      </c>
      <c r="N112" s="1448">
        <f>+VLOOKUP($B112,'[68]EE Listing with Position'!$A:$H,8,FALSE)</f>
        <v>0</v>
      </c>
      <c r="O112" s="1449">
        <f t="shared" ref="O112" si="94">E112*(1+N112)</f>
        <v>17.940000000000001</v>
      </c>
      <c r="P112" s="1450">
        <f t="shared" ref="P112" si="95">+F112*O112</f>
        <v>37161.215059800001</v>
      </c>
      <c r="Q112" s="1451">
        <f t="shared" ref="Q112" si="96">+O112*H112*1.5</f>
        <v>2495.9025538199994</v>
      </c>
      <c r="R112" s="1451">
        <f t="shared" ref="R112" si="97">+L112*(1+N112)</f>
        <v>0</v>
      </c>
      <c r="S112" s="1442">
        <f t="shared" ref="S112" si="98">SUM(P112:R112)+K112</f>
        <v>40895.767613620003</v>
      </c>
      <c r="T112" s="1444">
        <f t="shared" ref="T112" si="99">+S112</f>
        <v>40895.767613620003</v>
      </c>
      <c r="U112" s="1437"/>
      <c r="V112" s="1438">
        <f>T112-M112</f>
        <v>0</v>
      </c>
      <c r="W112" s="1439"/>
    </row>
    <row r="113" spans="1:23">
      <c r="A113" s="1447"/>
      <c r="B113" s="1441"/>
      <c r="C113" s="1519"/>
      <c r="D113" s="1434"/>
      <c r="E113" s="1442"/>
      <c r="F113" s="1442"/>
      <c r="G113" s="1442"/>
      <c r="H113" s="1442"/>
      <c r="I113" s="1442"/>
      <c r="J113" s="1442"/>
      <c r="K113" s="1442"/>
      <c r="L113" s="1442"/>
      <c r="M113" s="1442"/>
      <c r="N113" s="1442"/>
      <c r="O113" s="1442"/>
      <c r="P113" s="1442"/>
      <c r="Q113" s="1442"/>
      <c r="R113" s="1442"/>
      <c r="S113" s="1442"/>
      <c r="T113" s="1444"/>
      <c r="U113" s="1437"/>
      <c r="V113" s="1442"/>
      <c r="W113" s="1455"/>
    </row>
    <row r="114" spans="1:23">
      <c r="A114" s="1447"/>
      <c r="B114" s="1441"/>
      <c r="C114" s="1519" t="str">
        <f>CONCATENATE("TOTAL ",A111)</f>
        <v>TOTAL General Laborer</v>
      </c>
      <c r="D114" s="1434"/>
      <c r="E114" s="1452">
        <f t="shared" ref="E114:T114" si="100">+SUM(E112:E113)</f>
        <v>17.940000000000001</v>
      </c>
      <c r="F114" s="1452">
        <f t="shared" si="100"/>
        <v>2071.4166700000001</v>
      </c>
      <c r="G114" s="1452">
        <f t="shared" si="100"/>
        <v>37161.215059800001</v>
      </c>
      <c r="H114" s="1452">
        <f t="shared" si="100"/>
        <v>92.750001999999981</v>
      </c>
      <c r="I114" s="1452">
        <f t="shared" si="100"/>
        <v>2495.9025538199999</v>
      </c>
      <c r="J114" s="1452">
        <f t="shared" si="100"/>
        <v>39657.117613620001</v>
      </c>
      <c r="K114" s="1452">
        <f t="shared" si="100"/>
        <v>1238.6500000000003</v>
      </c>
      <c r="L114" s="1452">
        <f t="shared" si="100"/>
        <v>0</v>
      </c>
      <c r="M114" s="1452">
        <f t="shared" si="100"/>
        <v>40895.767613620003</v>
      </c>
      <c r="N114" s="1452">
        <f t="shared" si="100"/>
        <v>0</v>
      </c>
      <c r="O114" s="1452">
        <f t="shared" si="100"/>
        <v>17.940000000000001</v>
      </c>
      <c r="P114" s="1452">
        <f t="shared" si="100"/>
        <v>37161.215059800001</v>
      </c>
      <c r="Q114" s="1452">
        <f t="shared" si="100"/>
        <v>2495.9025538199994</v>
      </c>
      <c r="R114" s="1452">
        <f t="shared" si="100"/>
        <v>0</v>
      </c>
      <c r="S114" s="1452">
        <f t="shared" si="100"/>
        <v>40895.767613620003</v>
      </c>
      <c r="T114" s="1453">
        <f t="shared" si="100"/>
        <v>40895.767613620003</v>
      </c>
      <c r="U114" s="1437"/>
      <c r="V114" s="1453">
        <f>+SUM(V112:V113)</f>
        <v>0</v>
      </c>
      <c r="W114" s="1454">
        <f>+SUM(W112:W113)</f>
        <v>0</v>
      </c>
    </row>
    <row r="115" spans="1:23">
      <c r="A115" s="1447"/>
      <c r="B115" s="1441"/>
      <c r="C115" s="1519"/>
      <c r="D115" s="1434"/>
      <c r="E115" s="1442"/>
      <c r="F115" s="1442"/>
      <c r="G115" s="1442"/>
      <c r="H115" s="1442"/>
      <c r="I115" s="1438"/>
      <c r="J115" s="1442"/>
      <c r="K115" s="1442"/>
      <c r="L115" s="1442"/>
      <c r="M115" s="1442"/>
      <c r="N115" s="1442"/>
      <c r="O115" s="1443"/>
      <c r="P115" s="1442"/>
      <c r="Q115" s="1442"/>
      <c r="R115" s="1442"/>
      <c r="S115" s="1442"/>
      <c r="T115" s="1444"/>
      <c r="U115" s="1437"/>
      <c r="V115" s="1438"/>
      <c r="W115" s="1439"/>
    </row>
    <row r="116" spans="1:23">
      <c r="A116" s="1447"/>
      <c r="B116" s="1441"/>
      <c r="C116" s="1537" t="s">
        <v>1083</v>
      </c>
      <c r="D116" s="1434"/>
      <c r="E116" s="1452">
        <f t="shared" ref="E116:T116" si="101">+E109+E101+E91+E81+E76+E55+E114+E86</f>
        <v>1696.44</v>
      </c>
      <c r="F116" s="1452">
        <f t="shared" si="101"/>
        <v>111309.34177000001</v>
      </c>
      <c r="G116" s="1452">
        <f t="shared" si="101"/>
        <v>2930184.3895328096</v>
      </c>
      <c r="H116" s="1452">
        <f t="shared" si="101"/>
        <v>17940.816978999999</v>
      </c>
      <c r="I116" s="1452">
        <f t="shared" si="101"/>
        <v>715553.97406626015</v>
      </c>
      <c r="J116" s="1452">
        <f t="shared" si="101"/>
        <v>3645738.3635990694</v>
      </c>
      <c r="K116" s="1452">
        <f t="shared" si="101"/>
        <v>74150.8</v>
      </c>
      <c r="L116" s="1452">
        <f t="shared" si="101"/>
        <v>122036.36000000002</v>
      </c>
      <c r="M116" s="1452">
        <f t="shared" si="101"/>
        <v>3841925.5235990696</v>
      </c>
      <c r="N116" s="1452">
        <f t="shared" si="101"/>
        <v>0</v>
      </c>
      <c r="O116" s="1452">
        <f t="shared" si="101"/>
        <v>1696.44</v>
      </c>
      <c r="P116" s="1452">
        <f t="shared" si="101"/>
        <v>2930184.3895328096</v>
      </c>
      <c r="Q116" s="1452">
        <f t="shared" si="101"/>
        <v>715553.97406626015</v>
      </c>
      <c r="R116" s="1452">
        <f t="shared" si="101"/>
        <v>122036.36000000002</v>
      </c>
      <c r="S116" s="1452">
        <f t="shared" si="101"/>
        <v>3841925.52359907</v>
      </c>
      <c r="T116" s="1452">
        <f t="shared" si="101"/>
        <v>3841925.52359907</v>
      </c>
      <c r="U116" s="1437"/>
      <c r="V116" s="1452">
        <f>+V109+V101+V91+V81+V76+V55+V114+V86</f>
        <v>0</v>
      </c>
      <c r="W116" s="1454">
        <f>+W109+W101+W91+W81+W76+W55+W114+W86</f>
        <v>0</v>
      </c>
    </row>
    <row r="117" spans="1:23" ht="12" thickBot="1">
      <c r="A117" s="1447"/>
      <c r="B117" s="1441"/>
      <c r="C117" s="1437"/>
      <c r="D117" s="1434"/>
      <c r="E117" s="1442"/>
      <c r="F117" s="1442">
        <f>+F116/2080</f>
        <v>53.514106620192315</v>
      </c>
      <c r="G117" s="1442"/>
      <c r="H117" s="1442">
        <f>+H116/2080</f>
        <v>8.6253927783653843</v>
      </c>
      <c r="I117" s="1438"/>
      <c r="J117" s="1442"/>
      <c r="K117" s="1442"/>
      <c r="L117" s="1442"/>
      <c r="M117" s="1442"/>
      <c r="N117" s="1442"/>
      <c r="O117" s="1443"/>
      <c r="P117" s="1442"/>
      <c r="Q117" s="1442"/>
      <c r="R117" s="1442"/>
      <c r="S117" s="1442"/>
      <c r="T117" s="1444"/>
      <c r="U117" s="1437"/>
      <c r="V117" s="1438"/>
      <c r="W117" s="1439"/>
    </row>
    <row r="118" spans="1:23" ht="12.75" thickTop="1" thickBot="1">
      <c r="A118" s="1458"/>
      <c r="B118" s="1459" t="s">
        <v>1084</v>
      </c>
      <c r="C118" s="1460"/>
      <c r="D118" s="1461"/>
      <c r="E118" s="1442"/>
      <c r="F118" s="1442"/>
      <c r="G118" s="1438"/>
      <c r="H118" s="1442"/>
      <c r="I118" s="1438"/>
      <c r="J118" s="1442"/>
      <c r="K118" s="1442"/>
      <c r="L118" s="1442"/>
      <c r="M118" s="1442"/>
      <c r="N118" s="1442"/>
      <c r="O118" s="1443"/>
      <c r="P118" s="1442"/>
      <c r="Q118" s="1442"/>
      <c r="R118" s="1442"/>
      <c r="S118" s="1442"/>
      <c r="T118" s="1444"/>
      <c r="U118" s="1437"/>
      <c r="V118" s="1438">
        <f>+S118-M118</f>
        <v>0</v>
      </c>
      <c r="W118" s="1439"/>
    </row>
    <row r="119" spans="1:23" ht="13.5" thickTop="1">
      <c r="A119" s="1447">
        <v>2195</v>
      </c>
      <c r="B119" s="1533">
        <v>156668</v>
      </c>
      <c r="C119" s="1538" t="str">
        <f>VLOOKUP($B119,'[68]EE Listing with Position'!$A$2:$D$97,2,FALSE)</f>
        <v xml:space="preserve">Jose Martinez </v>
      </c>
      <c r="D119" s="1434" t="str">
        <f>+VLOOKUP($B119,'[68]EE Listing with Position'!$A:$E,5,FALSE)</f>
        <v>Mechanic</v>
      </c>
      <c r="E119" s="1438">
        <f>+IFERROR(VLOOKUP($B119,'[68]Payroll Pivots'!$A:$D,4,FALSE),0)</f>
        <v>28.49</v>
      </c>
      <c r="F119" s="1442">
        <f>+IFERROR(VLOOKUP($B119,'[68]Payroll Pivots'!$K:$M,3,FALSE),0)</f>
        <v>2130.4666690000004</v>
      </c>
      <c r="G119" s="1442">
        <f t="shared" ref="G119:G126" si="102">+E119*F119</f>
        <v>60696.99539981001</v>
      </c>
      <c r="H119" s="1442">
        <f>+IFERROR(VLOOKUP($B119,'[68]Payroll Pivots'!$T:$V,3,FALSE),0)</f>
        <v>503.48333200000002</v>
      </c>
      <c r="I119" s="1442">
        <f t="shared" ref="I119:I126" si="103">+(E119*1.5)*H119</f>
        <v>21516.360193020002</v>
      </c>
      <c r="J119" s="1438">
        <f t="shared" ref="J119:J126" si="104">+G119+I119</f>
        <v>82213.355592830019</v>
      </c>
      <c r="K119" s="1442">
        <f>+IFERROR(VLOOKUP($B119,'[68]Payroll Pivots'!$AB:$AD,3,FALSE),0)</f>
        <v>1846.8200000000004</v>
      </c>
      <c r="L119" s="1442">
        <f>+IFERROR(VLOOKUP($B119,'[68]Payroll Pivots'!$AJ:$AL,3,FALSE),0)</f>
        <v>7465.23</v>
      </c>
      <c r="M119" s="1442">
        <f t="shared" ref="M119:M126" si="105">+L119+K119+J119</f>
        <v>91525.405592830022</v>
      </c>
      <c r="N119" s="1448">
        <f>+VLOOKUP($B119,'[68]EE Listing with Position'!$A:$H,8,FALSE)</f>
        <v>0</v>
      </c>
      <c r="O119" s="1449">
        <f t="shared" ref="O119:O126" si="106">E119*(1+N119)</f>
        <v>28.49</v>
      </c>
      <c r="P119" s="1450">
        <f t="shared" ref="P119:P126" si="107">+F119*O119</f>
        <v>60696.99539981001</v>
      </c>
      <c r="Q119" s="1451">
        <f t="shared" ref="Q119:Q126" si="108">+O119*H119*1.5</f>
        <v>21516.360193019998</v>
      </c>
      <c r="R119" s="1451">
        <f t="shared" ref="R119:R126" si="109">+L119*(1+N119)</f>
        <v>7465.23</v>
      </c>
      <c r="S119" s="1442">
        <f t="shared" ref="S119:S126" si="110">SUM(P119:R119)+K119</f>
        <v>91525.405592830008</v>
      </c>
      <c r="T119" s="1444">
        <f t="shared" ref="T119:T126" si="111">+S119</f>
        <v>91525.405592830008</v>
      </c>
      <c r="U119" s="1437"/>
      <c r="V119" s="1438">
        <f t="shared" ref="V119:V129" si="112">T119-M119</f>
        <v>0</v>
      </c>
      <c r="W119" s="1439"/>
    </row>
    <row r="120" spans="1:23" ht="12.75">
      <c r="A120" s="1447">
        <v>2195</v>
      </c>
      <c r="B120" s="1533">
        <v>158542</v>
      </c>
      <c r="C120" s="1538" t="str">
        <f>VLOOKUP($B120,'[68]EE Listing with Position'!$A$2:$D$97,2,FALSE)</f>
        <v xml:space="preserve">Christopher Hubble </v>
      </c>
      <c r="D120" s="1434" t="str">
        <f>+VLOOKUP($B120,'[68]EE Listing with Position'!$A:$E,5,FALSE)</f>
        <v>Mechanic</v>
      </c>
      <c r="E120" s="1438">
        <f>+IFERROR(VLOOKUP($B120,'[68]Payroll Pivots'!$A:$D,4,FALSE),0)</f>
        <v>27.43</v>
      </c>
      <c r="F120" s="1442">
        <f>+IFERROR(VLOOKUP($B120,'[68]Payroll Pivots'!$K:$M,3,FALSE),0)</f>
        <v>2062.8833350000004</v>
      </c>
      <c r="G120" s="1442">
        <f t="shared" si="102"/>
        <v>56584.88987905001</v>
      </c>
      <c r="H120" s="1442">
        <f>+IFERROR(VLOOKUP($B120,'[68]Payroll Pivots'!$T:$V,3,FALSE),0)</f>
        <v>31.283328000000004</v>
      </c>
      <c r="I120" s="1442">
        <f t="shared" si="103"/>
        <v>1287.1525305600001</v>
      </c>
      <c r="J120" s="1438">
        <f t="shared" si="104"/>
        <v>57872.042409610011</v>
      </c>
      <c r="K120" s="1442">
        <f>+IFERROR(VLOOKUP($B120,'[68]Payroll Pivots'!$AB:$AD,3,FALSE),0)</f>
        <v>1546.2100000000005</v>
      </c>
      <c r="L120" s="1442">
        <f>+IFERROR(VLOOKUP($B120,'[68]Payroll Pivots'!$AJ:$AL,3,FALSE),0)</f>
        <v>0</v>
      </c>
      <c r="M120" s="1442">
        <f t="shared" si="105"/>
        <v>59418.25240961001</v>
      </c>
      <c r="N120" s="1448">
        <f>+VLOOKUP($B120,'[68]EE Listing with Position'!$A:$H,8,FALSE)</f>
        <v>0</v>
      </c>
      <c r="O120" s="1449">
        <f t="shared" si="106"/>
        <v>27.43</v>
      </c>
      <c r="P120" s="1450">
        <f t="shared" si="107"/>
        <v>56584.88987905001</v>
      </c>
      <c r="Q120" s="1451">
        <f t="shared" si="108"/>
        <v>1287.1525305600003</v>
      </c>
      <c r="R120" s="1451">
        <f t="shared" si="109"/>
        <v>0</v>
      </c>
      <c r="S120" s="1442">
        <f t="shared" si="110"/>
        <v>59418.25240961001</v>
      </c>
      <c r="T120" s="1444">
        <f t="shared" si="111"/>
        <v>59418.25240961001</v>
      </c>
      <c r="U120" s="1437"/>
      <c r="V120" s="1438">
        <f t="shared" si="112"/>
        <v>0</v>
      </c>
      <c r="W120" s="1439"/>
    </row>
    <row r="121" spans="1:23" ht="12.75">
      <c r="A121" s="1447">
        <v>2195</v>
      </c>
      <c r="B121" s="1533">
        <v>302247</v>
      </c>
      <c r="C121" s="1538" t="str">
        <f>VLOOKUP($B121,'[68]EE Listing with Position'!$A$2:$D$97,2,FALSE)</f>
        <v xml:space="preserve">James Wood </v>
      </c>
      <c r="D121" s="1434" t="str">
        <f>+VLOOKUP($B121,'[68]EE Listing with Position'!$A:$E,5,FALSE)</f>
        <v>Mechanic</v>
      </c>
      <c r="E121" s="1438">
        <f>+IFERROR(VLOOKUP($B121,'[68]Payroll Pivots'!$A:$D,4,FALSE),0)</f>
        <v>29.54</v>
      </c>
      <c r="F121" s="1442">
        <f>+IFERROR(VLOOKUP($B121,'[68]Payroll Pivots'!$K:$M,3,FALSE),0)</f>
        <v>2103.0833309999994</v>
      </c>
      <c r="G121" s="1442">
        <f t="shared" si="102"/>
        <v>62125.081597739976</v>
      </c>
      <c r="H121" s="1442">
        <f>+IFERROR(VLOOKUP($B121,'[68]Payroll Pivots'!$T:$V,3,FALSE),0)</f>
        <v>134.33332599999997</v>
      </c>
      <c r="I121" s="1442">
        <f t="shared" si="103"/>
        <v>5952.3096750599989</v>
      </c>
      <c r="J121" s="1438">
        <f t="shared" si="104"/>
        <v>68077.39127279997</v>
      </c>
      <c r="K121" s="1442">
        <f>+IFERROR(VLOOKUP($B121,'[68]Payroll Pivots'!$AB:$AD,3,FALSE),0)</f>
        <v>9448.4399999999987</v>
      </c>
      <c r="L121" s="1442">
        <f>+IFERROR(VLOOKUP($B121,'[68]Payroll Pivots'!$AJ:$AL,3,FALSE),0)</f>
        <v>350</v>
      </c>
      <c r="M121" s="1442">
        <f t="shared" si="105"/>
        <v>77875.831272799973</v>
      </c>
      <c r="N121" s="1448">
        <f>+VLOOKUP($B121,'[68]EE Listing with Position'!$A:$H,8,FALSE)</f>
        <v>0</v>
      </c>
      <c r="O121" s="1449">
        <f t="shared" si="106"/>
        <v>29.54</v>
      </c>
      <c r="P121" s="1450">
        <f t="shared" si="107"/>
        <v>62125.081597739976</v>
      </c>
      <c r="Q121" s="1451">
        <f t="shared" si="108"/>
        <v>5952.3096750599989</v>
      </c>
      <c r="R121" s="1451">
        <f t="shared" si="109"/>
        <v>350</v>
      </c>
      <c r="S121" s="1442">
        <f t="shared" si="110"/>
        <v>77875.831272799973</v>
      </c>
      <c r="T121" s="1444">
        <f t="shared" si="111"/>
        <v>77875.831272799973</v>
      </c>
      <c r="U121" s="1437"/>
      <c r="V121" s="1438">
        <f t="shared" si="112"/>
        <v>0</v>
      </c>
      <c r="W121" s="1439"/>
    </row>
    <row r="122" spans="1:23" ht="12.75">
      <c r="A122" s="1447">
        <v>2195</v>
      </c>
      <c r="B122" s="1533">
        <v>303295</v>
      </c>
      <c r="C122" s="1538" t="str">
        <f>VLOOKUP($B122,'[68]EE Listing with Position'!$A$2:$D$97,2,FALSE)</f>
        <v xml:space="preserve">Salvador Gonzalez </v>
      </c>
      <c r="D122" s="1434" t="str">
        <f>+VLOOKUP($B122,'[68]EE Listing with Position'!$A:$E,5,FALSE)</f>
        <v>Mechanic</v>
      </c>
      <c r="E122" s="1438">
        <f>+IFERROR(VLOOKUP($B122,'[68]Payroll Pivots'!$A:$D,4,FALSE),0)</f>
        <v>25.32</v>
      </c>
      <c r="F122" s="1442">
        <f>+IFERROR(VLOOKUP($B122,'[68]Payroll Pivots'!$K:$M,3,FALSE),0)</f>
        <v>2084.9666630000002</v>
      </c>
      <c r="G122" s="1442">
        <f t="shared" si="102"/>
        <v>52791.355907160003</v>
      </c>
      <c r="H122" s="1442">
        <f>+IFERROR(VLOOKUP($B122,'[68]Payroll Pivots'!$T:$V,3,FALSE),0)</f>
        <v>116.400002</v>
      </c>
      <c r="I122" s="1442">
        <f t="shared" si="103"/>
        <v>4420.8720759600001</v>
      </c>
      <c r="J122" s="1438">
        <f t="shared" si="104"/>
        <v>57212.227983119999</v>
      </c>
      <c r="K122" s="1442">
        <f>+IFERROR(VLOOKUP($B122,'[68]Payroll Pivots'!$AB:$AD,3,FALSE),0)</f>
        <v>1557.8799999999981</v>
      </c>
      <c r="L122" s="1442">
        <f>+IFERROR(VLOOKUP($B122,'[68]Payroll Pivots'!$AJ:$AL,3,FALSE),0)</f>
        <v>1897.36</v>
      </c>
      <c r="M122" s="1442">
        <f t="shared" si="105"/>
        <v>60667.467983119997</v>
      </c>
      <c r="N122" s="1448">
        <f>+VLOOKUP($B122,'[68]EE Listing with Position'!$A:$H,8,FALSE)</f>
        <v>0</v>
      </c>
      <c r="O122" s="1449">
        <f t="shared" si="106"/>
        <v>25.32</v>
      </c>
      <c r="P122" s="1450">
        <f t="shared" si="107"/>
        <v>52791.355907160003</v>
      </c>
      <c r="Q122" s="1451">
        <f t="shared" si="108"/>
        <v>4420.8720759600001</v>
      </c>
      <c r="R122" s="1451">
        <f t="shared" si="109"/>
        <v>1897.36</v>
      </c>
      <c r="S122" s="1442">
        <f t="shared" si="110"/>
        <v>60667.467983119997</v>
      </c>
      <c r="T122" s="1444">
        <f t="shared" si="111"/>
        <v>60667.467983119997</v>
      </c>
      <c r="U122" s="1437"/>
      <c r="V122" s="1438">
        <f t="shared" si="112"/>
        <v>0</v>
      </c>
      <c r="W122" s="1439"/>
    </row>
    <row r="123" spans="1:23" ht="12.75">
      <c r="A123" s="1447">
        <v>2195</v>
      </c>
      <c r="B123" s="1533">
        <v>303857</v>
      </c>
      <c r="C123" s="1538" t="str">
        <f>VLOOKUP($B123,'[68]EE Listing with Position'!$A$2:$D$97,2,FALSE)</f>
        <v xml:space="preserve">Angel Espinoza </v>
      </c>
      <c r="D123" s="1434" t="str">
        <f>+VLOOKUP($B123,'[68]EE Listing with Position'!$A:$E,5,FALSE)</f>
        <v>Mechanic</v>
      </c>
      <c r="E123" s="1438">
        <f>+IFERROR(VLOOKUP($B123,'[68]Payroll Pivots'!$A:$D,4,FALSE),0)</f>
        <v>25.32</v>
      </c>
      <c r="F123" s="1442">
        <f>+IFERROR(VLOOKUP($B123,'[68]Payroll Pivots'!$K:$M,3,FALSE),0)</f>
        <v>2134.9666689999999</v>
      </c>
      <c r="G123" s="1442">
        <f t="shared" si="102"/>
        <v>54057.356059079997</v>
      </c>
      <c r="H123" s="1442">
        <f>+IFERROR(VLOOKUP($B123,'[68]Payroll Pivots'!$T:$V,3,FALSE),0)</f>
        <v>260.66666400000003</v>
      </c>
      <c r="I123" s="1442">
        <f t="shared" si="103"/>
        <v>9900.1198987200023</v>
      </c>
      <c r="J123" s="1438">
        <f t="shared" si="104"/>
        <v>63957.475957800001</v>
      </c>
      <c r="K123" s="1442">
        <f>+IFERROR(VLOOKUP($B123,'[68]Payroll Pivots'!$AB:$AD,3,FALSE),0)</f>
        <v>1452.2799999999997</v>
      </c>
      <c r="L123" s="1442">
        <f>+IFERROR(VLOOKUP($B123,'[68]Payroll Pivots'!$AJ:$AL,3,FALSE),0)</f>
        <v>1576.32</v>
      </c>
      <c r="M123" s="1442">
        <f t="shared" si="105"/>
        <v>66986.0759578</v>
      </c>
      <c r="N123" s="1448">
        <f>+VLOOKUP($B123,'[68]EE Listing with Position'!$A:$H,8,FALSE)</f>
        <v>0</v>
      </c>
      <c r="O123" s="1449">
        <f t="shared" si="106"/>
        <v>25.32</v>
      </c>
      <c r="P123" s="1450">
        <f t="shared" si="107"/>
        <v>54057.356059079997</v>
      </c>
      <c r="Q123" s="1451">
        <f t="shared" si="108"/>
        <v>9900.1198987200005</v>
      </c>
      <c r="R123" s="1451">
        <f t="shared" si="109"/>
        <v>1576.32</v>
      </c>
      <c r="S123" s="1442">
        <f t="shared" si="110"/>
        <v>66986.0759578</v>
      </c>
      <c r="T123" s="1444">
        <f t="shared" si="111"/>
        <v>66986.0759578</v>
      </c>
      <c r="U123" s="1437"/>
      <c r="V123" s="1438">
        <f t="shared" si="112"/>
        <v>0</v>
      </c>
      <c r="W123" s="1439"/>
    </row>
    <row r="124" spans="1:23" ht="12.75">
      <c r="A124" s="1447">
        <v>2195</v>
      </c>
      <c r="B124" s="1533">
        <v>305700</v>
      </c>
      <c r="C124" s="1538" t="str">
        <f>VLOOKUP($B124,'[68]EE Listing with Position'!$A$2:$D$97,2,FALSE)</f>
        <v xml:space="preserve">William Mallory </v>
      </c>
      <c r="D124" s="1434" t="str">
        <f>+VLOOKUP($B124,'[68]EE Listing with Position'!$A:$E,5,FALSE)</f>
        <v>Mechanic</v>
      </c>
      <c r="E124" s="1438">
        <f>+IFERROR(VLOOKUP($B124,'[68]Payroll Pivots'!$A:$D,4,FALSE),0)</f>
        <v>24.27</v>
      </c>
      <c r="F124" s="1442">
        <f>+IFERROR(VLOOKUP($B124,'[68]Payroll Pivots'!$K:$M,3,FALSE),0)</f>
        <v>2112.3999970000004</v>
      </c>
      <c r="G124" s="1442">
        <f t="shared" si="102"/>
        <v>51267.947927190013</v>
      </c>
      <c r="H124" s="1442">
        <f>+IFERROR(VLOOKUP($B124,'[68]Payroll Pivots'!$T:$V,3,FALSE),0)</f>
        <v>68.633330000000001</v>
      </c>
      <c r="I124" s="1442">
        <f t="shared" si="103"/>
        <v>2498.5963786500001</v>
      </c>
      <c r="J124" s="1438">
        <f t="shared" si="104"/>
        <v>53766.544305840012</v>
      </c>
      <c r="K124" s="1442">
        <f>+IFERROR(VLOOKUP($B124,'[68]Payroll Pivots'!$AB:$AD,3,FALSE),0)</f>
        <v>1442.5099999999991</v>
      </c>
      <c r="L124" s="1442">
        <f>+IFERROR(VLOOKUP($B124,'[68]Payroll Pivots'!$AJ:$AL,3,FALSE),0)</f>
        <v>0</v>
      </c>
      <c r="M124" s="1442">
        <f t="shared" si="105"/>
        <v>55209.054305840014</v>
      </c>
      <c r="N124" s="1448">
        <f>+VLOOKUP($B124,'[68]EE Listing with Position'!$A:$H,8,FALSE)</f>
        <v>0</v>
      </c>
      <c r="O124" s="1449">
        <f t="shared" si="106"/>
        <v>24.27</v>
      </c>
      <c r="P124" s="1450">
        <f t="shared" si="107"/>
        <v>51267.947927190013</v>
      </c>
      <c r="Q124" s="1451">
        <f t="shared" si="108"/>
        <v>2498.5963786499997</v>
      </c>
      <c r="R124" s="1451">
        <f t="shared" si="109"/>
        <v>0</v>
      </c>
      <c r="S124" s="1442">
        <f t="shared" si="110"/>
        <v>55209.054305840014</v>
      </c>
      <c r="T124" s="1444">
        <f t="shared" si="111"/>
        <v>55209.054305840014</v>
      </c>
      <c r="U124" s="1437"/>
      <c r="V124" s="1438">
        <f t="shared" si="112"/>
        <v>0</v>
      </c>
      <c r="W124" s="1439"/>
    </row>
    <row r="125" spans="1:23" ht="12.75">
      <c r="A125" s="1447">
        <v>2195</v>
      </c>
      <c r="B125" s="1533">
        <v>317063</v>
      </c>
      <c r="C125" s="1538" t="str">
        <f>VLOOKUP($B125,'[68]EE Listing with Position'!$A$2:$D$97,2,FALSE)</f>
        <v xml:space="preserve">Joshua Bailey </v>
      </c>
      <c r="D125" s="1434" t="str">
        <f>+VLOOKUP($B125,'[68]EE Listing with Position'!$A:$E,5,FALSE)</f>
        <v>Mechanic</v>
      </c>
      <c r="E125" s="1438">
        <f>+IFERROR(VLOOKUP($B125,'[68]Payroll Pivots'!$A:$D,4,FALSE),0)</f>
        <v>26.38</v>
      </c>
      <c r="F125" s="1442">
        <f>+IFERROR(VLOOKUP($B125,'[68]Payroll Pivots'!$K:$M,3,FALSE),0)</f>
        <v>1773.04</v>
      </c>
      <c r="G125" s="1442">
        <f t="shared" si="102"/>
        <v>46772.7952</v>
      </c>
      <c r="H125" s="1442">
        <f>+IFERROR(VLOOKUP($B125,'[68]Payroll Pivots'!$T:$V,3,FALSE),0)</f>
        <v>7.100003000000001</v>
      </c>
      <c r="I125" s="1442">
        <f t="shared" si="103"/>
        <v>280.94711871000004</v>
      </c>
      <c r="J125" s="1438">
        <f t="shared" si="104"/>
        <v>47053.742318709999</v>
      </c>
      <c r="K125" s="1442">
        <f>+IFERROR(VLOOKUP($B125,'[68]Payroll Pivots'!$AB:$AD,3,FALSE),0)</f>
        <v>1134.48</v>
      </c>
      <c r="L125" s="1442">
        <f>+IFERROR(VLOOKUP($B125,'[68]Payroll Pivots'!$AJ:$AL,3,FALSE),0)</f>
        <v>0</v>
      </c>
      <c r="M125" s="1442">
        <f t="shared" si="105"/>
        <v>48188.222318710003</v>
      </c>
      <c r="N125" s="1448">
        <f>+VLOOKUP($B125,'[68]EE Listing with Position'!$A:$H,8,FALSE)</f>
        <v>0</v>
      </c>
      <c r="O125" s="1449">
        <f t="shared" si="106"/>
        <v>26.38</v>
      </c>
      <c r="P125" s="1450">
        <f t="shared" si="107"/>
        <v>46772.7952</v>
      </c>
      <c r="Q125" s="1451">
        <f t="shared" si="108"/>
        <v>280.94711871000004</v>
      </c>
      <c r="R125" s="1451">
        <f t="shared" si="109"/>
        <v>0</v>
      </c>
      <c r="S125" s="1442">
        <f t="shared" si="110"/>
        <v>48188.222318710003</v>
      </c>
      <c r="T125" s="1444">
        <f t="shared" si="111"/>
        <v>48188.222318710003</v>
      </c>
      <c r="U125" s="1437"/>
      <c r="V125" s="1438">
        <f t="shared" si="112"/>
        <v>0</v>
      </c>
      <c r="W125" s="1439"/>
    </row>
    <row r="126" spans="1:23" ht="12.75">
      <c r="A126" s="1447">
        <v>2195</v>
      </c>
      <c r="B126" s="1533">
        <v>322561</v>
      </c>
      <c r="C126" s="1538" t="str">
        <f>VLOOKUP($B126,'[68]EE Listing with Position'!$A$2:$D$97,2,FALSE)</f>
        <v xml:space="preserve">Shane Linker </v>
      </c>
      <c r="D126" s="1434" t="str">
        <f>+VLOOKUP($B126,'[68]EE Listing with Position'!$A:$E,5,FALSE)</f>
        <v>Mechanic</v>
      </c>
      <c r="E126" s="1438">
        <f>+IFERROR(VLOOKUP($B126,'[68]Payroll Pivots'!$A:$D,4,FALSE),0)</f>
        <v>20.05</v>
      </c>
      <c r="F126" s="1442">
        <f>+IFERROR(VLOOKUP($B126,'[68]Payroll Pivots'!$K:$M,3,FALSE),0)</f>
        <v>2061.133339</v>
      </c>
      <c r="G126" s="1442">
        <f t="shared" si="102"/>
        <v>41325.723446950004</v>
      </c>
      <c r="H126" s="1442">
        <f>+IFERROR(VLOOKUP($B126,'[68]Payroll Pivots'!$T:$V,3,FALSE),0)</f>
        <v>67.116668000000004</v>
      </c>
      <c r="I126" s="1442">
        <f t="shared" si="103"/>
        <v>2018.5337901000003</v>
      </c>
      <c r="J126" s="1438">
        <f t="shared" si="104"/>
        <v>43344.257237050006</v>
      </c>
      <c r="K126" s="1442">
        <f>+IFERROR(VLOOKUP($B126,'[68]Payroll Pivots'!$AB:$AD,3,FALSE),0)</f>
        <v>1052.51</v>
      </c>
      <c r="L126" s="1442">
        <f>+IFERROR(VLOOKUP($B126,'[68]Payroll Pivots'!$AJ:$AL,3,FALSE),0)</f>
        <v>0</v>
      </c>
      <c r="M126" s="1442">
        <f t="shared" si="105"/>
        <v>44396.767237050008</v>
      </c>
      <c r="N126" s="1448">
        <f>+VLOOKUP($B126,'[68]EE Listing with Position'!$A:$H,8,FALSE)</f>
        <v>0</v>
      </c>
      <c r="O126" s="1449">
        <f t="shared" si="106"/>
        <v>20.05</v>
      </c>
      <c r="P126" s="1450">
        <f t="shared" si="107"/>
        <v>41325.723446950004</v>
      </c>
      <c r="Q126" s="1451">
        <f t="shared" si="108"/>
        <v>2018.5337901</v>
      </c>
      <c r="R126" s="1451">
        <f t="shared" si="109"/>
        <v>0</v>
      </c>
      <c r="S126" s="1442">
        <f t="shared" si="110"/>
        <v>44396.767237050008</v>
      </c>
      <c r="T126" s="1444">
        <f t="shared" si="111"/>
        <v>44396.767237050008</v>
      </c>
      <c r="U126" s="1437"/>
      <c r="V126" s="1438">
        <f t="shared" si="112"/>
        <v>0</v>
      </c>
      <c r="W126" s="1439"/>
    </row>
    <row r="127" spans="1:23" ht="12.75">
      <c r="A127" s="1447">
        <v>2195</v>
      </c>
      <c r="B127" s="1533" t="s">
        <v>1437</v>
      </c>
      <c r="C127" s="1538" t="s">
        <v>2966</v>
      </c>
      <c r="D127" s="1434" t="s">
        <v>2965</v>
      </c>
      <c r="E127" s="1438">
        <f>+'[68]C. Miller Pivot'!G5</f>
        <v>31.009615384615383</v>
      </c>
      <c r="F127" s="1442">
        <f>+'[68]C. Miller Pivot'!B20+'[68]C. Miller Pivot'!B21+'[68]C. Miller Pivot'!B23+'[68]C. Miller Pivot'!B25</f>
        <v>2086.5500000000002</v>
      </c>
      <c r="G127" s="1442">
        <f t="shared" ref="G127:G129" si="113">+E127*F127</f>
        <v>64703.112980769234</v>
      </c>
      <c r="H127" s="1442">
        <f>+'[68]C. Miller Pivot'!B22</f>
        <v>95.316654999999983</v>
      </c>
      <c r="I127" s="1442">
        <f t="shared" ref="I127:I129" si="114">+(E127*1.5)*H127</f>
        <v>4433.5992169471147</v>
      </c>
      <c r="J127" s="1438">
        <f t="shared" ref="J127:J129" si="115">+G127+I127</f>
        <v>69136.712197716348</v>
      </c>
      <c r="K127" s="1442">
        <f>+'[68]C. Miller Pivot'!C28+'[68]C. Miller Pivot'!C27+'[68]C. Miller Pivot'!C24</f>
        <v>2388.98</v>
      </c>
      <c r="L127" s="1442">
        <f>+'[68]C. Miller Pivot'!C26</f>
        <v>700</v>
      </c>
      <c r="M127" s="1442">
        <f t="shared" ref="M127:M129" si="116">+L127+K127+J127</f>
        <v>72225.692197716344</v>
      </c>
      <c r="N127" s="1448">
        <v>0</v>
      </c>
      <c r="O127" s="1449">
        <f t="shared" ref="O127:O129" si="117">E127*(1+N127)</f>
        <v>31.009615384615383</v>
      </c>
      <c r="P127" s="1451">
        <f t="shared" ref="P127:P129" si="118">+F127*O127</f>
        <v>64703.112980769234</v>
      </c>
      <c r="Q127" s="1451">
        <f t="shared" ref="Q127:Q129" si="119">+O127*H127*1.5</f>
        <v>4433.5992169471147</v>
      </c>
      <c r="R127" s="1451">
        <f t="shared" ref="R127:R129" si="120">+L127*(1+N127)</f>
        <v>700</v>
      </c>
      <c r="S127" s="1442">
        <f t="shared" ref="S127:S129" si="121">SUM(P127:R127)+K127</f>
        <v>72225.692197716344</v>
      </c>
      <c r="T127" s="1444">
        <f t="shared" ref="T127:T129" si="122">+S127</f>
        <v>72225.692197716344</v>
      </c>
      <c r="U127" s="1437"/>
      <c r="V127" s="1438">
        <f t="shared" si="112"/>
        <v>0</v>
      </c>
      <c r="W127" s="1439"/>
    </row>
    <row r="128" spans="1:23" ht="12.75">
      <c r="A128" s="1447">
        <v>2195</v>
      </c>
      <c r="B128" s="1533">
        <v>152785</v>
      </c>
      <c r="C128" s="1538" t="str">
        <f>VLOOKUP($B128,'[68]EE Listing with Position'!$A$2:$D$97,2,FALSE)</f>
        <v xml:space="preserve">Anna Spence </v>
      </c>
      <c r="D128" s="1434" t="str">
        <f>+VLOOKUP($B128,'[68]EE Listing with Position'!$A:$E,5,FALSE)</f>
        <v>Maintenance Clerk</v>
      </c>
      <c r="E128" s="1438">
        <f>+IFERROR(VLOOKUP($B128,'[68]Payroll Pivots'!$A:$D,4,FALSE),0)</f>
        <v>20.05</v>
      </c>
      <c r="F128" s="1442">
        <f>+IFERROR(VLOOKUP($B128,'[68]Payroll Pivots'!$K:$M,3,FALSE),0)</f>
        <v>2096.2833369999998</v>
      </c>
      <c r="G128" s="1442">
        <f t="shared" si="113"/>
        <v>42030.480906849996</v>
      </c>
      <c r="H128" s="1442">
        <f>+IFERROR(VLOOKUP($B128,'[68]Payroll Pivots'!$T:$V,3,FALSE),0)</f>
        <v>28.850006</v>
      </c>
      <c r="I128" s="1442">
        <f t="shared" si="114"/>
        <v>867.66393045000007</v>
      </c>
      <c r="J128" s="1438">
        <f t="shared" si="115"/>
        <v>42898.144837299995</v>
      </c>
      <c r="K128" s="1442">
        <f>+IFERROR(VLOOKUP($B128,'[68]Payroll Pivots'!$AB:$AD,3,FALSE),0)</f>
        <v>231.26000000000002</v>
      </c>
      <c r="L128" s="1442">
        <f>+IFERROR(VLOOKUP($B128,'[68]Payroll Pivots'!$AJ:$AL,3,FALSE),0)</f>
        <v>82.08</v>
      </c>
      <c r="M128" s="1442">
        <f t="shared" si="116"/>
        <v>43211.484837299991</v>
      </c>
      <c r="N128" s="1448">
        <f>+VLOOKUP($B128,'[68]EE Listing with Position'!$A:$H,8,FALSE)</f>
        <v>0</v>
      </c>
      <c r="O128" s="1449">
        <f t="shared" si="117"/>
        <v>20.05</v>
      </c>
      <c r="P128" s="1450">
        <f t="shared" si="118"/>
        <v>42030.480906849996</v>
      </c>
      <c r="Q128" s="1451">
        <f t="shared" si="119"/>
        <v>867.66393045000007</v>
      </c>
      <c r="R128" s="1451">
        <f t="shared" si="120"/>
        <v>82.08</v>
      </c>
      <c r="S128" s="1442">
        <f t="shared" si="121"/>
        <v>43211.484837299999</v>
      </c>
      <c r="T128" s="1444">
        <f t="shared" si="122"/>
        <v>43211.484837299999</v>
      </c>
      <c r="U128" s="1437"/>
      <c r="V128" s="1438">
        <f t="shared" si="112"/>
        <v>0</v>
      </c>
      <c r="W128" s="1439"/>
    </row>
    <row r="129" spans="1:23" ht="12.75">
      <c r="A129" s="1447">
        <v>2195</v>
      </c>
      <c r="B129" s="1533">
        <v>156743</v>
      </c>
      <c r="C129" s="1538" t="str">
        <f>VLOOKUP($B129,'[68]EE Listing with Position'!$A$2:$D$97,2,FALSE)</f>
        <v xml:space="preserve">Joshua Nathanson </v>
      </c>
      <c r="D129" s="1434" t="str">
        <f>+VLOOKUP($B129,'[68]EE Listing with Position'!$A:$E,5,FALSE)</f>
        <v>Maintenance Manager</v>
      </c>
      <c r="E129" s="1438">
        <f>+IFERROR(VLOOKUP($B129,'[68]Payroll Pivots'!$A:$D,4,FALSE),0)</f>
        <v>42.247250000000001</v>
      </c>
      <c r="F129" s="1442">
        <f>+IFERROR(VLOOKUP($B129,'[68]Payroll Pivots'!$K:$M,3,FALSE),0)</f>
        <v>2304</v>
      </c>
      <c r="G129" s="1442">
        <f t="shared" si="113"/>
        <v>97337.664000000004</v>
      </c>
      <c r="H129" s="1442">
        <f>+IFERROR(VLOOKUP($B129,'[68]Payroll Pivots'!$T:$V,3,FALSE),0)</f>
        <v>0</v>
      </c>
      <c r="I129" s="1442">
        <f t="shared" si="114"/>
        <v>0</v>
      </c>
      <c r="J129" s="1438">
        <f t="shared" si="115"/>
        <v>97337.664000000004</v>
      </c>
      <c r="K129" s="1442">
        <f>+IFERROR(VLOOKUP($B129,'[68]Payroll Pivots'!$AB:$AD,3,FALSE),0)</f>
        <v>525</v>
      </c>
      <c r="L129" s="1442">
        <f>+IFERROR(VLOOKUP($B129,'[68]Payroll Pivots'!$AJ:$AL,3,FALSE),0)</f>
        <v>0</v>
      </c>
      <c r="M129" s="1442">
        <f t="shared" si="116"/>
        <v>97862.664000000004</v>
      </c>
      <c r="N129" s="1448">
        <f>+VLOOKUP($B129,'[68]EE Listing with Position'!$A:$H,8,FALSE)</f>
        <v>0.03</v>
      </c>
      <c r="O129" s="1449">
        <f t="shared" si="117"/>
        <v>43.514667500000002</v>
      </c>
      <c r="P129" s="1450">
        <f t="shared" si="118"/>
        <v>100257.79392</v>
      </c>
      <c r="Q129" s="1451">
        <f t="shared" si="119"/>
        <v>0</v>
      </c>
      <c r="R129" s="1451">
        <f t="shared" si="120"/>
        <v>0</v>
      </c>
      <c r="S129" s="1442">
        <f t="shared" si="121"/>
        <v>100782.79392</v>
      </c>
      <c r="T129" s="1444">
        <f t="shared" si="122"/>
        <v>100782.79392</v>
      </c>
      <c r="U129" s="1437"/>
      <c r="V129" s="1438">
        <f t="shared" si="112"/>
        <v>2920.1299199999921</v>
      </c>
      <c r="W129" s="1439"/>
    </row>
    <row r="130" spans="1:23" ht="12.75">
      <c r="A130" s="1447"/>
      <c r="B130" s="1539"/>
      <c r="C130" s="1538"/>
      <c r="D130" s="1434"/>
      <c r="E130" s="1438"/>
      <c r="F130" s="1442"/>
      <c r="G130" s="1438"/>
      <c r="H130" s="1442"/>
      <c r="I130" s="1438"/>
      <c r="J130" s="1438"/>
      <c r="K130" s="1442"/>
      <c r="L130" s="1442"/>
      <c r="M130" s="1442"/>
      <c r="N130" s="1448"/>
      <c r="O130" s="1449"/>
      <c r="P130" s="1451"/>
      <c r="Q130" s="1451"/>
      <c r="R130" s="1451"/>
      <c r="S130" s="1442"/>
      <c r="T130" s="1444"/>
      <c r="U130" s="1437"/>
      <c r="V130" s="1438"/>
      <c r="W130" s="1439"/>
    </row>
    <row r="131" spans="1:23">
      <c r="A131" s="1447"/>
      <c r="B131" s="1441"/>
      <c r="C131" s="1537" t="s">
        <v>1085</v>
      </c>
      <c r="D131" s="1434"/>
      <c r="E131" s="1452">
        <f t="shared" ref="E131:S131" si="123">+SUM(E119:E130)</f>
        <v>300.10686538461539</v>
      </c>
      <c r="F131" s="1452">
        <f t="shared" si="123"/>
        <v>22949.77334</v>
      </c>
      <c r="G131" s="1452">
        <f t="shared" si="123"/>
        <v>629693.40330459923</v>
      </c>
      <c r="H131" s="1452">
        <f t="shared" si="123"/>
        <v>1313.1833140000001</v>
      </c>
      <c r="I131" s="1452">
        <f t="shared" si="123"/>
        <v>53176.154808177118</v>
      </c>
      <c r="J131" s="1452">
        <f t="shared" si="123"/>
        <v>682869.55811277637</v>
      </c>
      <c r="K131" s="1452">
        <f t="shared" si="123"/>
        <v>22626.369999999992</v>
      </c>
      <c r="L131" s="1452">
        <f t="shared" si="123"/>
        <v>12070.99</v>
      </c>
      <c r="M131" s="1452">
        <f t="shared" si="123"/>
        <v>717566.91811277636</v>
      </c>
      <c r="N131" s="1452">
        <f t="shared" si="123"/>
        <v>0.03</v>
      </c>
      <c r="O131" s="1452">
        <f t="shared" si="123"/>
        <v>301.37428288461535</v>
      </c>
      <c r="P131" s="1452">
        <f t="shared" si="123"/>
        <v>632613.5332245992</v>
      </c>
      <c r="Q131" s="1452">
        <f t="shared" si="123"/>
        <v>53176.154808177111</v>
      </c>
      <c r="R131" s="1452">
        <f t="shared" si="123"/>
        <v>12070.99</v>
      </c>
      <c r="S131" s="1452">
        <f t="shared" si="123"/>
        <v>720487.04803277634</v>
      </c>
      <c r="T131" s="1453">
        <f>+SUM(T119:T130)</f>
        <v>720487.04803277634</v>
      </c>
      <c r="U131" s="1437"/>
      <c r="V131" s="1453">
        <f>+SUM(V119:V130)</f>
        <v>2920.1299199999921</v>
      </c>
      <c r="W131" s="1454">
        <f>+SUM(W119:W130)</f>
        <v>0</v>
      </c>
    </row>
    <row r="132" spans="1:23" ht="12" thickBot="1">
      <c r="A132" s="1447"/>
      <c r="B132" s="1441"/>
      <c r="C132" s="1437"/>
      <c r="D132" s="1434"/>
      <c r="E132" s="1442"/>
      <c r="F132" s="1442"/>
      <c r="G132" s="1442"/>
      <c r="H132" s="1442"/>
      <c r="I132" s="1438"/>
      <c r="J132" s="1442"/>
      <c r="K132" s="1442"/>
      <c r="L132" s="1442"/>
      <c r="M132" s="1442"/>
      <c r="N132" s="1442"/>
      <c r="O132" s="1443"/>
      <c r="P132" s="1442"/>
      <c r="Q132" s="1442"/>
      <c r="R132" s="1442"/>
      <c r="S132" s="1442"/>
      <c r="T132" s="1444"/>
      <c r="U132" s="1437"/>
      <c r="V132" s="1438"/>
      <c r="W132" s="1439"/>
    </row>
    <row r="133" spans="1:23" ht="12.75" thickTop="1" thickBot="1">
      <c r="A133" s="1458"/>
      <c r="B133" s="1459" t="s">
        <v>1086</v>
      </c>
      <c r="C133" s="1460"/>
      <c r="D133" s="1461"/>
      <c r="E133" s="1442"/>
      <c r="F133" s="1442"/>
      <c r="G133" s="1442"/>
      <c r="H133" s="1442"/>
      <c r="I133" s="1438"/>
      <c r="J133" s="1442"/>
      <c r="K133" s="1442"/>
      <c r="L133" s="1442"/>
      <c r="M133" s="1442"/>
      <c r="N133" s="1442"/>
      <c r="O133" s="1443"/>
      <c r="P133" s="1442"/>
      <c r="Q133" s="1442"/>
      <c r="R133" s="1442"/>
      <c r="S133" s="1442"/>
      <c r="T133" s="1444"/>
      <c r="U133" s="1437"/>
      <c r="V133" s="1438"/>
      <c r="W133" s="1439"/>
    </row>
    <row r="134" spans="1:23" ht="12" thickTop="1">
      <c r="A134" s="1447"/>
      <c r="B134" s="1462"/>
      <c r="C134" s="1463"/>
      <c r="D134" s="1434"/>
      <c r="E134" s="1438"/>
      <c r="F134" s="1442"/>
      <c r="G134" s="1442"/>
      <c r="H134" s="1442"/>
      <c r="I134" s="1442"/>
      <c r="J134" s="1438"/>
      <c r="K134" s="1442"/>
      <c r="L134" s="1442"/>
      <c r="M134" s="1442"/>
      <c r="N134" s="1448"/>
      <c r="O134" s="1449"/>
      <c r="P134" s="1451"/>
      <c r="Q134" s="1451"/>
      <c r="R134" s="1451"/>
      <c r="S134" s="1442"/>
      <c r="T134" s="1444"/>
      <c r="U134" s="1437"/>
      <c r="V134" s="1438"/>
      <c r="W134" s="1439"/>
    </row>
    <row r="135" spans="1:23">
      <c r="A135" s="1447"/>
      <c r="B135" s="1456"/>
      <c r="C135" s="1457"/>
      <c r="D135" s="1434"/>
      <c r="E135" s="1442"/>
      <c r="F135" s="1442"/>
      <c r="G135" s="1442"/>
      <c r="H135" s="1442"/>
      <c r="I135" s="1438"/>
      <c r="J135" s="1442"/>
      <c r="K135" s="1442"/>
      <c r="L135" s="1442"/>
      <c r="M135" s="1442"/>
      <c r="N135" s="1442"/>
      <c r="O135" s="1443"/>
      <c r="P135" s="1442"/>
      <c r="Q135" s="1442"/>
      <c r="R135" s="1442"/>
      <c r="S135" s="1442"/>
      <c r="T135" s="1444"/>
      <c r="U135" s="1437"/>
      <c r="V135" s="1438"/>
      <c r="W135" s="1439"/>
    </row>
    <row r="136" spans="1:23">
      <c r="A136" s="1447"/>
      <c r="B136" s="1441"/>
      <c r="C136" s="1537" t="s">
        <v>1087</v>
      </c>
      <c r="D136" s="1434"/>
      <c r="E136" s="1452">
        <f t="shared" ref="E136:M136" si="124">+SUM(E134:E135)</f>
        <v>0</v>
      </c>
      <c r="F136" s="1452">
        <f t="shared" si="124"/>
        <v>0</v>
      </c>
      <c r="G136" s="1452">
        <f t="shared" si="124"/>
        <v>0</v>
      </c>
      <c r="H136" s="1452">
        <f t="shared" si="124"/>
        <v>0</v>
      </c>
      <c r="I136" s="1464">
        <f t="shared" si="124"/>
        <v>0</v>
      </c>
      <c r="J136" s="1464">
        <f t="shared" si="124"/>
        <v>0</v>
      </c>
      <c r="K136" s="1464">
        <f t="shared" si="124"/>
        <v>0</v>
      </c>
      <c r="L136" s="1464">
        <f t="shared" si="124"/>
        <v>0</v>
      </c>
      <c r="M136" s="1464">
        <f t="shared" si="124"/>
        <v>0</v>
      </c>
      <c r="N136" s="1452"/>
      <c r="O136" s="1465"/>
      <c r="P136" s="1452"/>
      <c r="Q136" s="1452"/>
      <c r="R136" s="1452"/>
      <c r="S136" s="1452">
        <f>+SUM(S134:S135)</f>
        <v>0</v>
      </c>
      <c r="T136" s="1453">
        <f>+SUM(T134:T135)</f>
        <v>0</v>
      </c>
      <c r="U136" s="1437"/>
      <c r="V136" s="1453">
        <f>+SUM(V134:V135)</f>
        <v>0</v>
      </c>
      <c r="W136" s="1454">
        <f>+SUM(W134:W135)</f>
        <v>0</v>
      </c>
    </row>
    <row r="137" spans="1:23" s="507" customFormat="1" ht="12" thickBot="1">
      <c r="A137" s="1447"/>
      <c r="B137" s="1456"/>
      <c r="C137" s="1457"/>
      <c r="D137" s="1434"/>
      <c r="E137" s="1442"/>
      <c r="F137" s="1442"/>
      <c r="G137" s="1442"/>
      <c r="H137" s="1442"/>
      <c r="I137" s="1438"/>
      <c r="J137" s="1442"/>
      <c r="K137" s="1442"/>
      <c r="L137" s="1442"/>
      <c r="M137" s="1442"/>
      <c r="N137" s="1442"/>
      <c r="O137" s="1443"/>
      <c r="P137" s="1442"/>
      <c r="Q137" s="1442"/>
      <c r="R137" s="1442"/>
      <c r="S137" s="1442"/>
      <c r="T137" s="1444"/>
      <c r="U137" s="1437"/>
      <c r="V137" s="1438"/>
      <c r="W137" s="1439"/>
    </row>
    <row r="138" spans="1:23" ht="12.75" thickTop="1" thickBot="1">
      <c r="A138" s="1458"/>
      <c r="B138" s="1459" t="s">
        <v>1088</v>
      </c>
      <c r="C138" s="1460"/>
      <c r="D138" s="1461"/>
      <c r="E138" s="1442"/>
      <c r="F138" s="1442"/>
      <c r="G138" s="1442"/>
      <c r="H138" s="1442"/>
      <c r="I138" s="1438"/>
      <c r="J138" s="1442"/>
      <c r="K138" s="1442"/>
      <c r="L138" s="1442"/>
      <c r="M138" s="1442"/>
      <c r="N138" s="1442"/>
      <c r="O138" s="1443"/>
      <c r="P138" s="1442"/>
      <c r="Q138" s="1442"/>
      <c r="R138" s="1442"/>
      <c r="S138" s="1442"/>
      <c r="T138" s="1444"/>
      <c r="U138" s="1437"/>
      <c r="V138" s="1438"/>
      <c r="W138" s="1439"/>
    </row>
    <row r="139" spans="1:23" ht="13.5" thickTop="1">
      <c r="A139" s="1447">
        <v>2195</v>
      </c>
      <c r="B139" s="1533">
        <v>156717</v>
      </c>
      <c r="C139" s="1538" t="str">
        <f>VLOOKUP($B139,'[68]EE Listing with Position'!$A$2:$D$97,2,FALSE)</f>
        <v xml:space="preserve">Tony Jenkins </v>
      </c>
      <c r="D139" s="1434" t="str">
        <f>+VLOOKUP($B139,'[68]EE Listing with Position'!$A:$E,5,FALSE)</f>
        <v>Welder</v>
      </c>
      <c r="E139" s="1438">
        <f>+IFERROR(VLOOKUP($B139,'[68]Payroll Pivots'!$A:$D,4,FALSE),0)</f>
        <v>25.85</v>
      </c>
      <c r="F139" s="1442">
        <f>+IFERROR(VLOOKUP($B139,'[68]Payroll Pivots'!$K:$M,3,FALSE),0)</f>
        <v>1917.05</v>
      </c>
      <c r="G139" s="1442">
        <f t="shared" ref="G139:G140" si="125">+E139*F139</f>
        <v>49555.7425</v>
      </c>
      <c r="H139" s="1442">
        <f>+IFERROR(VLOOKUP($B139,'[68]Payroll Pivots'!$T:$V,3,FALSE),0)</f>
        <v>92.16666699999999</v>
      </c>
      <c r="I139" s="1442">
        <f t="shared" ref="I139:I140" si="126">+(E139*1.5)*H139</f>
        <v>3573.762512925</v>
      </c>
      <c r="J139" s="1438">
        <f t="shared" ref="J139:J140" si="127">+G139+I139</f>
        <v>53129.505012925001</v>
      </c>
      <c r="K139" s="1442">
        <f>+IFERROR(VLOOKUP($B139,'[68]Payroll Pivots'!$AB:$AD,3,FALSE),0)</f>
        <v>1503.7500000000005</v>
      </c>
      <c r="L139" s="1442">
        <f>+IFERROR(VLOOKUP($B139,'[68]Payroll Pivots'!$AJ:$AL,3,FALSE),0)</f>
        <v>0</v>
      </c>
      <c r="M139" s="1442">
        <f t="shared" ref="M139:M140" si="128">+L139+K139+J139</f>
        <v>54633.255012925001</v>
      </c>
      <c r="N139" s="1448">
        <f>+VLOOKUP($B139,'[68]EE Listing with Position'!$A:$H,8,FALSE)</f>
        <v>0</v>
      </c>
      <c r="O139" s="1449">
        <f t="shared" ref="O139:O140" si="129">E139*(1+N139)</f>
        <v>25.85</v>
      </c>
      <c r="P139" s="1450">
        <f t="shared" ref="P139:P140" si="130">+F139*O139</f>
        <v>49555.7425</v>
      </c>
      <c r="Q139" s="1451">
        <f t="shared" ref="Q139:Q140" si="131">+O139*H139*1.5</f>
        <v>3573.7625129249996</v>
      </c>
      <c r="R139" s="1451">
        <f t="shared" ref="R139:R140" si="132">+L139*(1+N139)</f>
        <v>0</v>
      </c>
      <c r="S139" s="1442">
        <f t="shared" ref="S139:S140" si="133">SUM(P139:R139)+K139</f>
        <v>54633.255012925001</v>
      </c>
      <c r="T139" s="1444">
        <f t="shared" ref="T139:T140" si="134">+S139</f>
        <v>54633.255012925001</v>
      </c>
      <c r="U139" s="1437"/>
      <c r="V139" s="1438">
        <f>T139-M139</f>
        <v>0</v>
      </c>
      <c r="W139" s="1439"/>
    </row>
    <row r="140" spans="1:23" ht="12.75">
      <c r="A140" s="1447">
        <v>2195</v>
      </c>
      <c r="B140" s="1533">
        <v>311428</v>
      </c>
      <c r="C140" s="1538" t="str">
        <f>VLOOKUP($B140,'[68]EE Listing with Position'!$A$2:$D$97,2,FALSE)</f>
        <v xml:space="preserve">BRANDON LANSDEN </v>
      </c>
      <c r="D140" s="1434" t="str">
        <f>+VLOOKUP($B140,'[68]EE Listing with Position'!$A:$E,5,FALSE)</f>
        <v>Welder</v>
      </c>
      <c r="E140" s="1438">
        <f>+IFERROR(VLOOKUP($B140,'[68]Payroll Pivots'!$A:$D,4,FALSE),0)</f>
        <v>25.32</v>
      </c>
      <c r="F140" s="1442">
        <f>+IFERROR(VLOOKUP($B140,'[68]Payroll Pivots'!$K:$M,3,FALSE),0)</f>
        <v>2022.216666</v>
      </c>
      <c r="G140" s="1442">
        <f t="shared" si="125"/>
        <v>51202.525983120002</v>
      </c>
      <c r="H140" s="1442">
        <f>+IFERROR(VLOOKUP($B140,'[68]Payroll Pivots'!$T:$V,3,FALSE),0)</f>
        <v>12.400001000000001</v>
      </c>
      <c r="I140" s="1442">
        <f t="shared" si="126"/>
        <v>470.95203798000011</v>
      </c>
      <c r="J140" s="1438">
        <f t="shared" si="127"/>
        <v>51673.478021100003</v>
      </c>
      <c r="K140" s="1442">
        <f>+IFERROR(VLOOKUP($B140,'[68]Payroll Pivots'!$AB:$AD,3,FALSE),0)</f>
        <v>1499.5799999999986</v>
      </c>
      <c r="L140" s="1442">
        <f>+IFERROR(VLOOKUP($B140,'[68]Payroll Pivots'!$AJ:$AL,3,FALSE),0)</f>
        <v>0</v>
      </c>
      <c r="M140" s="1442">
        <f t="shared" si="128"/>
        <v>53173.058021100005</v>
      </c>
      <c r="N140" s="1448">
        <f>+VLOOKUP($B140,'[68]EE Listing with Position'!$A:$H,8,FALSE)</f>
        <v>0</v>
      </c>
      <c r="O140" s="1449">
        <f t="shared" si="129"/>
        <v>25.32</v>
      </c>
      <c r="P140" s="1450">
        <f t="shared" si="130"/>
        <v>51202.525983120002</v>
      </c>
      <c r="Q140" s="1451">
        <f t="shared" si="131"/>
        <v>470.95203798000006</v>
      </c>
      <c r="R140" s="1451">
        <f t="shared" si="132"/>
        <v>0</v>
      </c>
      <c r="S140" s="1442">
        <f t="shared" si="133"/>
        <v>53173.058021100005</v>
      </c>
      <c r="T140" s="1444">
        <f t="shared" si="134"/>
        <v>53173.058021100005</v>
      </c>
      <c r="U140" s="1437"/>
      <c r="V140" s="1438">
        <f>T140-M140</f>
        <v>0</v>
      </c>
      <c r="W140" s="1439"/>
    </row>
    <row r="141" spans="1:23" ht="12.75">
      <c r="A141" s="1447">
        <v>2195</v>
      </c>
      <c r="B141" s="1540"/>
      <c r="C141" s="1537" t="s">
        <v>2964</v>
      </c>
      <c r="D141" s="1434" t="s">
        <v>2963</v>
      </c>
      <c r="E141" s="1438">
        <f>+IFERROR(VLOOKUP($B141,'[68]Payroll Pivots'!$A:$D,4,FALSE),0)</f>
        <v>0</v>
      </c>
      <c r="F141" s="1442">
        <f>+IFERROR(VLOOKUP($B141,'[68]Payroll Pivots'!$K:$M,3,FALSE),0)</f>
        <v>0</v>
      </c>
      <c r="G141" s="1442">
        <f>+E141*F141</f>
        <v>0</v>
      </c>
      <c r="H141" s="1442">
        <f>+IFERROR(VLOOKUP($B141,'[68]Payroll Pivots'!$T:$V,3,FALSE),0)</f>
        <v>0</v>
      </c>
      <c r="I141" s="1442">
        <f>+(E141*1.5)*H141</f>
        <v>0</v>
      </c>
      <c r="J141" s="1438">
        <f>+G141+I141</f>
        <v>0</v>
      </c>
      <c r="K141" s="1442">
        <f>+IFERROR(VLOOKUP($B141,'[68]Payroll Pivots'!$AB:$AD,3,FALSE),0)</f>
        <v>0</v>
      </c>
      <c r="L141" s="1442">
        <f>+IFERROR(VLOOKUP($B141,'[68]Payroll Pivots'!$AJ:$AL,3,FALSE),0)</f>
        <v>0</v>
      </c>
      <c r="M141" s="1442">
        <f>+L141+K141+J141</f>
        <v>0</v>
      </c>
      <c r="N141" s="1448">
        <v>0</v>
      </c>
      <c r="O141" s="1449">
        <f>E141*(1+N141)</f>
        <v>0</v>
      </c>
      <c r="P141" s="1451">
        <f>+F141*O141</f>
        <v>0</v>
      </c>
      <c r="Q141" s="1451">
        <f>+O141*H141*1.5</f>
        <v>0</v>
      </c>
      <c r="R141" s="1451">
        <f>+L141*(1+N141)</f>
        <v>0</v>
      </c>
      <c r="S141" s="1442">
        <f>SUM(P141:R141)+K141</f>
        <v>0</v>
      </c>
      <c r="T141" s="1444">
        <f>+S141</f>
        <v>0</v>
      </c>
      <c r="U141" s="1437"/>
      <c r="V141" s="1438">
        <f>T141-M141</f>
        <v>0</v>
      </c>
      <c r="W141" s="1439">
        <f>25*2080*1.25</f>
        <v>65000</v>
      </c>
    </row>
    <row r="142" spans="1:23">
      <c r="A142" s="1447"/>
      <c r="B142" s="1456"/>
      <c r="C142" s="1457"/>
      <c r="D142" s="1434"/>
      <c r="E142" s="1442"/>
      <c r="F142" s="1442"/>
      <c r="G142" s="1442"/>
      <c r="H142" s="1442"/>
      <c r="I142" s="1438"/>
      <c r="J142" s="1442"/>
      <c r="K142" s="1442"/>
      <c r="L142" s="1442"/>
      <c r="M142" s="1442"/>
      <c r="N142" s="1442"/>
      <c r="O142" s="1443"/>
      <c r="P142" s="1442"/>
      <c r="Q142" s="1442"/>
      <c r="R142" s="1442"/>
      <c r="S142" s="1442"/>
      <c r="T142" s="1444"/>
      <c r="U142" s="1437"/>
      <c r="V142" s="1438"/>
      <c r="W142" s="1439"/>
    </row>
    <row r="143" spans="1:23">
      <c r="A143" s="1447"/>
      <c r="B143" s="1441"/>
      <c r="C143" s="1537" t="s">
        <v>1089</v>
      </c>
      <c r="D143" s="1434"/>
      <c r="E143" s="1452">
        <f t="shared" ref="E143:S143" si="135">+SUM(E139:E142)</f>
        <v>51.17</v>
      </c>
      <c r="F143" s="1452">
        <f t="shared" si="135"/>
        <v>3939.266666</v>
      </c>
      <c r="G143" s="1452">
        <f t="shared" si="135"/>
        <v>100758.26848312</v>
      </c>
      <c r="H143" s="1452">
        <f t="shared" si="135"/>
        <v>104.56666799999999</v>
      </c>
      <c r="I143" s="1452">
        <f t="shared" si="135"/>
        <v>4044.7145509050001</v>
      </c>
      <c r="J143" s="1452">
        <f t="shared" si="135"/>
        <v>104802.983034025</v>
      </c>
      <c r="K143" s="1452">
        <f t="shared" si="135"/>
        <v>3003.329999999999</v>
      </c>
      <c r="L143" s="1452">
        <f t="shared" si="135"/>
        <v>0</v>
      </c>
      <c r="M143" s="1452">
        <f t="shared" si="135"/>
        <v>107806.31303402501</v>
      </c>
      <c r="N143" s="1452">
        <f t="shared" si="135"/>
        <v>0</v>
      </c>
      <c r="O143" s="1452">
        <f t="shared" si="135"/>
        <v>51.17</v>
      </c>
      <c r="P143" s="1452">
        <f t="shared" si="135"/>
        <v>100758.26848312</v>
      </c>
      <c r="Q143" s="1452">
        <f t="shared" si="135"/>
        <v>4044.7145509049997</v>
      </c>
      <c r="R143" s="1452">
        <f t="shared" si="135"/>
        <v>0</v>
      </c>
      <c r="S143" s="1452">
        <f t="shared" si="135"/>
        <v>107806.31303402501</v>
      </c>
      <c r="T143" s="1453">
        <f>+SUM(T139:T142)</f>
        <v>107806.31303402501</v>
      </c>
      <c r="U143" s="1437"/>
      <c r="V143" s="1453">
        <f>+SUM(V139:V142)</f>
        <v>0</v>
      </c>
      <c r="W143" s="1454">
        <f>+SUM(W139:W142)</f>
        <v>65000</v>
      </c>
    </row>
    <row r="144" spans="1:23" ht="12" thickBot="1">
      <c r="A144" s="1447"/>
      <c r="B144" s="1441"/>
      <c r="C144" s="1437"/>
      <c r="D144" s="1434"/>
      <c r="E144" s="1442"/>
      <c r="F144" s="1442"/>
      <c r="G144" s="1442"/>
      <c r="H144" s="1442"/>
      <c r="I144" s="1438"/>
      <c r="J144" s="1442"/>
      <c r="K144" s="1442"/>
      <c r="L144" s="1442"/>
      <c r="M144" s="1442"/>
      <c r="N144" s="1442"/>
      <c r="O144" s="1443"/>
      <c r="P144" s="1442"/>
      <c r="Q144" s="1442"/>
      <c r="R144" s="1442"/>
      <c r="S144" s="1442"/>
      <c r="T144" s="1444"/>
      <c r="U144" s="1437"/>
      <c r="V144" s="1438"/>
      <c r="W144" s="1439"/>
    </row>
    <row r="145" spans="1:23" ht="12.75" thickTop="1" thickBot="1">
      <c r="A145" s="1458"/>
      <c r="B145" s="1459" t="s">
        <v>1090</v>
      </c>
      <c r="C145" s="1460"/>
      <c r="D145" s="1461"/>
      <c r="E145" s="1442"/>
      <c r="F145" s="1442"/>
      <c r="G145" s="1442"/>
      <c r="H145" s="1442"/>
      <c r="I145" s="1438"/>
      <c r="J145" s="1442"/>
      <c r="K145" s="1442"/>
      <c r="L145" s="1442"/>
      <c r="M145" s="1442"/>
      <c r="N145" s="1442"/>
      <c r="O145" s="1443"/>
      <c r="P145" s="1442"/>
      <c r="Q145" s="1442"/>
      <c r="R145" s="1442"/>
      <c r="S145" s="1442"/>
      <c r="T145" s="1444"/>
      <c r="U145" s="1437"/>
      <c r="V145" s="1438"/>
      <c r="W145" s="1439"/>
    </row>
    <row r="146" spans="1:23" ht="13.5" thickTop="1">
      <c r="A146" s="1447">
        <v>2195</v>
      </c>
      <c r="B146" s="1533">
        <v>114508</v>
      </c>
      <c r="C146" s="1538" t="str">
        <f>VLOOKUP($B146,'[68]EE Listing with Position'!$A$2:$D$97,2,FALSE)</f>
        <v xml:space="preserve">Debra Hansen </v>
      </c>
      <c r="D146" s="1434" t="str">
        <f>+VLOOKUP($B146,'[68]EE Listing with Position'!$A:$E,5,FALSE)</f>
        <v>Customer Service Representative</v>
      </c>
      <c r="E146" s="1438">
        <f>+IFERROR(VLOOKUP($B146,'[68]Payroll Pivots'!$A:$D,4,FALSE),0)</f>
        <v>21.1</v>
      </c>
      <c r="F146" s="1442">
        <f>+IFERROR(VLOOKUP($B146,'[68]Payroll Pivots'!$K:$M,3,FALSE),0)</f>
        <v>1714.629995</v>
      </c>
      <c r="G146" s="1442">
        <f t="shared" ref="G146:G158" si="136">+E146*F146</f>
        <v>36178.692894500004</v>
      </c>
      <c r="H146" s="1442">
        <f>+IFERROR(VLOOKUP($B146,'[68]Payroll Pivots'!$T:$V,3,FALSE),0)</f>
        <v>0.96666399999999997</v>
      </c>
      <c r="I146" s="1442">
        <f t="shared" ref="I146:I158" si="137">+(E146*1.5)*H146</f>
        <v>30.5949156</v>
      </c>
      <c r="J146" s="1438">
        <f t="shared" ref="J146:J158" si="138">+G146+I146</f>
        <v>36209.287810100002</v>
      </c>
      <c r="K146" s="1442">
        <f>+IFERROR(VLOOKUP($B146,'[68]Payroll Pivots'!$AB:$AD,3,FALSE),0)</f>
        <v>226.16</v>
      </c>
      <c r="L146" s="1442">
        <f>+IFERROR(VLOOKUP($B146,'[68]Payroll Pivots'!$AJ:$AL,3,FALSE),0)</f>
        <v>335.6</v>
      </c>
      <c r="M146" s="1442">
        <f t="shared" ref="M146:M158" si="139">+L146+K146+J146</f>
        <v>36771.047810100004</v>
      </c>
      <c r="N146" s="1448">
        <f>+VLOOKUP($B146,'[68]EE Listing with Position'!$A:$H,8,FALSE)</f>
        <v>0</v>
      </c>
      <c r="O146" s="1449">
        <f t="shared" ref="O146:O158" si="140">E146*(1+N146)</f>
        <v>21.1</v>
      </c>
      <c r="P146" s="1450">
        <f t="shared" ref="P146:P158" si="141">+F146*O146</f>
        <v>36178.692894500004</v>
      </c>
      <c r="Q146" s="1451">
        <f t="shared" ref="Q146:Q158" si="142">+O146*H146*1.5</f>
        <v>30.5949156</v>
      </c>
      <c r="R146" s="1451">
        <f t="shared" ref="R146:R158" si="143">+L146*(1+N146)</f>
        <v>335.6</v>
      </c>
      <c r="S146" s="1442">
        <f t="shared" ref="S146:S158" si="144">SUM(P146:R146)+K146</f>
        <v>36771.047810100004</v>
      </c>
      <c r="T146" s="1444">
        <f t="shared" ref="T146:T158" si="145">+S146</f>
        <v>36771.047810100004</v>
      </c>
      <c r="U146" s="1437"/>
      <c r="V146" s="1438">
        <f t="shared" ref="V146:V160" si="146">T146-M146</f>
        <v>0</v>
      </c>
      <c r="W146" s="1439"/>
    </row>
    <row r="147" spans="1:23" ht="12.75">
      <c r="A147" s="1447">
        <v>2195</v>
      </c>
      <c r="B147" s="1533">
        <v>153091</v>
      </c>
      <c r="C147" s="1538" t="str">
        <f>VLOOKUP($B147,'[68]EE Listing with Position'!$A$2:$D$97,2,FALSE)</f>
        <v xml:space="preserve">Kathleen Winter </v>
      </c>
      <c r="D147" s="1434" t="str">
        <f>+VLOOKUP($B147,'[68]EE Listing with Position'!$A:$E,5,FALSE)</f>
        <v>Customer Service Representative</v>
      </c>
      <c r="E147" s="1438">
        <f>+IFERROR(VLOOKUP($B147,'[68]Payroll Pivots'!$A:$D,4,FALSE),0)</f>
        <v>20.05</v>
      </c>
      <c r="F147" s="1442">
        <f>+IFERROR(VLOOKUP($B147,'[68]Payroll Pivots'!$K:$M,3,FALSE),0)</f>
        <v>2148.4866670000001</v>
      </c>
      <c r="G147" s="1442">
        <f t="shared" si="136"/>
        <v>43077.157673350004</v>
      </c>
      <c r="H147" s="1442">
        <f>+IFERROR(VLOOKUP($B147,'[68]Payroll Pivots'!$T:$V,3,FALSE),0)</f>
        <v>27.150011000000006</v>
      </c>
      <c r="I147" s="1442">
        <f t="shared" si="137"/>
        <v>816.53658082500021</v>
      </c>
      <c r="J147" s="1438">
        <f t="shared" si="138"/>
        <v>43893.694254175003</v>
      </c>
      <c r="K147" s="1442">
        <f>+IFERROR(VLOOKUP($B147,'[68]Payroll Pivots'!$AB:$AD,3,FALSE),0)</f>
        <v>3501.0699999999997</v>
      </c>
      <c r="L147" s="1442">
        <f>+IFERROR(VLOOKUP($B147,'[68]Payroll Pivots'!$AJ:$AL,3,FALSE),0)</f>
        <v>4467.66</v>
      </c>
      <c r="M147" s="1442">
        <f t="shared" si="139"/>
        <v>51862.424254174999</v>
      </c>
      <c r="N147" s="1448">
        <f>+VLOOKUP($B147,'[68]EE Listing with Position'!$A:$H,8,FALSE)</f>
        <v>0</v>
      </c>
      <c r="O147" s="1449">
        <f t="shared" si="140"/>
        <v>20.05</v>
      </c>
      <c r="P147" s="1450">
        <f t="shared" si="141"/>
        <v>43077.157673350004</v>
      </c>
      <c r="Q147" s="1451">
        <f t="shared" si="142"/>
        <v>816.53658082500033</v>
      </c>
      <c r="R147" s="1451">
        <f t="shared" si="143"/>
        <v>4467.66</v>
      </c>
      <c r="S147" s="1442">
        <f t="shared" si="144"/>
        <v>51862.424254175006</v>
      </c>
      <c r="T147" s="1444">
        <f t="shared" si="145"/>
        <v>51862.424254175006</v>
      </c>
      <c r="U147" s="1437"/>
      <c r="V147" s="1438">
        <f t="shared" si="146"/>
        <v>0</v>
      </c>
      <c r="W147" s="1439"/>
    </row>
    <row r="148" spans="1:23" ht="12.75" customHeight="1">
      <c r="A148" s="1447">
        <v>2195</v>
      </c>
      <c r="B148" s="1533">
        <v>154751</v>
      </c>
      <c r="C148" s="1538" t="str">
        <f>VLOOKUP($B148,'[68]EE Listing with Position'!$A$2:$D$97,2,FALSE)</f>
        <v xml:space="preserve">Deborah Lago </v>
      </c>
      <c r="D148" s="1434" t="str">
        <f>+VLOOKUP($B148,'[68]EE Listing with Position'!$A:$E,5,FALSE)</f>
        <v>Customer Service Representative</v>
      </c>
      <c r="E148" s="1438">
        <f>+IFERROR(VLOOKUP($B148,'[68]Payroll Pivots'!$A:$D,4,FALSE),0)</f>
        <v>19</v>
      </c>
      <c r="F148" s="1442">
        <f>+IFERROR(VLOOKUP($B148,'[68]Payroll Pivots'!$K:$M,3,FALSE),0)</f>
        <v>355.313333</v>
      </c>
      <c r="G148" s="1442">
        <f t="shared" si="136"/>
        <v>6750.9533270000002</v>
      </c>
      <c r="H148" s="1442">
        <f>+IFERROR(VLOOKUP($B148,'[68]Payroll Pivots'!$T:$V,3,FALSE),0)</f>
        <v>5.4333330000000002</v>
      </c>
      <c r="I148" s="1442">
        <f t="shared" si="137"/>
        <v>154.84999050000002</v>
      </c>
      <c r="J148" s="1438">
        <f t="shared" si="138"/>
        <v>6905.8033175</v>
      </c>
      <c r="K148" s="1442">
        <f>+IFERROR(VLOOKUP($B148,'[68]Payroll Pivots'!$AB:$AD,3,FALSE),0)</f>
        <v>0</v>
      </c>
      <c r="L148" s="1442">
        <f>+IFERROR(VLOOKUP($B148,'[68]Payroll Pivots'!$AJ:$AL,3,FALSE),0)</f>
        <v>877.23</v>
      </c>
      <c r="M148" s="1442">
        <f t="shared" si="139"/>
        <v>7783.0333174999996</v>
      </c>
      <c r="N148" s="1448">
        <f>+VLOOKUP($B148,'[68]EE Listing with Position'!$A:$H,8,FALSE)</f>
        <v>0</v>
      </c>
      <c r="O148" s="1449">
        <f t="shared" si="140"/>
        <v>19</v>
      </c>
      <c r="P148" s="1450">
        <f t="shared" si="141"/>
        <v>6750.9533270000002</v>
      </c>
      <c r="Q148" s="1451">
        <f t="shared" si="142"/>
        <v>154.84999049999999</v>
      </c>
      <c r="R148" s="1451">
        <f t="shared" si="143"/>
        <v>877.23</v>
      </c>
      <c r="S148" s="1442">
        <f t="shared" si="144"/>
        <v>7783.0333174999996</v>
      </c>
      <c r="T148" s="1444">
        <f t="shared" si="145"/>
        <v>7783.0333174999996</v>
      </c>
      <c r="U148" s="1437"/>
      <c r="V148" s="1438">
        <f t="shared" si="146"/>
        <v>0</v>
      </c>
      <c r="W148" s="1439"/>
    </row>
    <row r="149" spans="1:23" ht="12.75">
      <c r="A149" s="1447">
        <v>2195</v>
      </c>
      <c r="B149" s="1533">
        <v>302985</v>
      </c>
      <c r="C149" s="1538" t="str">
        <f>VLOOKUP($B149,'[68]EE Listing with Position'!$A$2:$D$97,2,FALSE)</f>
        <v xml:space="preserve">Lynsey Ackerman </v>
      </c>
      <c r="D149" s="1434" t="str">
        <f>+VLOOKUP($B149,'[68]EE Listing with Position'!$A:$E,5,FALSE)</f>
        <v>Customer Service Representative</v>
      </c>
      <c r="E149" s="1438">
        <f>+IFERROR(VLOOKUP($B149,'[68]Payroll Pivots'!$A:$D,4,FALSE),0)</f>
        <v>20.05</v>
      </c>
      <c r="F149" s="1442">
        <f>+IFERROR(VLOOKUP($B149,'[68]Payroll Pivots'!$K:$M,3,FALSE),0)</f>
        <v>1862.2600060000002</v>
      </c>
      <c r="G149" s="1442">
        <f t="shared" si="136"/>
        <v>37338.313120300008</v>
      </c>
      <c r="H149" s="1442">
        <f>+IFERROR(VLOOKUP($B149,'[68]Payroll Pivots'!$T:$V,3,FALSE),0)</f>
        <v>9.0999969999999983</v>
      </c>
      <c r="I149" s="1442">
        <f t="shared" si="137"/>
        <v>273.682409775</v>
      </c>
      <c r="J149" s="1438">
        <f t="shared" si="138"/>
        <v>37611.995530075008</v>
      </c>
      <c r="K149" s="1442">
        <f>+IFERROR(VLOOKUP($B149,'[68]Payroll Pivots'!$AB:$AD,3,FALSE),0)</f>
        <v>1542.2700000000002</v>
      </c>
      <c r="L149" s="1442">
        <f>+IFERROR(VLOOKUP($B149,'[68]Payroll Pivots'!$AJ:$AL,3,FALSE),0)</f>
        <v>0</v>
      </c>
      <c r="M149" s="1442">
        <f t="shared" si="139"/>
        <v>39154.265530075005</v>
      </c>
      <c r="N149" s="1448">
        <f>+VLOOKUP($B149,'[68]EE Listing with Position'!$A:$H,8,FALSE)</f>
        <v>0</v>
      </c>
      <c r="O149" s="1449">
        <f t="shared" si="140"/>
        <v>20.05</v>
      </c>
      <c r="P149" s="1450">
        <f t="shared" si="141"/>
        <v>37338.313120300008</v>
      </c>
      <c r="Q149" s="1451">
        <f t="shared" si="142"/>
        <v>273.68240977499994</v>
      </c>
      <c r="R149" s="1451">
        <f t="shared" si="143"/>
        <v>0</v>
      </c>
      <c r="S149" s="1442">
        <f t="shared" si="144"/>
        <v>39154.265530075005</v>
      </c>
      <c r="T149" s="1444">
        <f t="shared" si="145"/>
        <v>39154.265530075005</v>
      </c>
      <c r="U149" s="1437"/>
      <c r="V149" s="1438">
        <f t="shared" si="146"/>
        <v>0</v>
      </c>
      <c r="W149" s="1439"/>
    </row>
    <row r="150" spans="1:23" ht="12.75">
      <c r="A150" s="1447">
        <v>2195</v>
      </c>
      <c r="B150" s="1533">
        <v>307242</v>
      </c>
      <c r="C150" s="1538" t="str">
        <f>VLOOKUP($B150,'[68]EE Listing with Position'!$A$2:$D$97,2,FALSE)</f>
        <v xml:space="preserve">Susanna Martinez </v>
      </c>
      <c r="D150" s="1434" t="str">
        <f>+VLOOKUP($B150,'[68]EE Listing with Position'!$A:$E,5,FALSE)</f>
        <v>Customer Service Representative</v>
      </c>
      <c r="E150" s="1438">
        <f>+IFERROR(VLOOKUP($B150,'[68]Payroll Pivots'!$A:$D,4,FALSE),0)</f>
        <v>20.05</v>
      </c>
      <c r="F150" s="1442">
        <f>+IFERROR(VLOOKUP($B150,'[68]Payroll Pivots'!$K:$M,3,FALSE),0)</f>
        <v>2117.8566669999996</v>
      </c>
      <c r="G150" s="1442">
        <f t="shared" si="136"/>
        <v>42463.026173349994</v>
      </c>
      <c r="H150" s="1442">
        <f>+IFERROR(VLOOKUP($B150,'[68]Payroll Pivots'!$T:$V,3,FALSE),0)</f>
        <v>43.533331000000004</v>
      </c>
      <c r="I150" s="1442">
        <f t="shared" si="137"/>
        <v>1309.2649298250003</v>
      </c>
      <c r="J150" s="1438">
        <f t="shared" si="138"/>
        <v>43772.291103174997</v>
      </c>
      <c r="K150" s="1442">
        <f>+IFERROR(VLOOKUP($B150,'[68]Payroll Pivots'!$AB:$AD,3,FALSE),0)</f>
        <v>313.64</v>
      </c>
      <c r="L150" s="1442">
        <f>+IFERROR(VLOOKUP($B150,'[68]Payroll Pivots'!$AJ:$AL,3,FALSE),0)</f>
        <v>47.12</v>
      </c>
      <c r="M150" s="1442">
        <f t="shared" si="139"/>
        <v>44133.051103174999</v>
      </c>
      <c r="N150" s="1448">
        <f>+VLOOKUP($B150,'[68]EE Listing with Position'!$A:$H,8,FALSE)</f>
        <v>0</v>
      </c>
      <c r="O150" s="1449">
        <f t="shared" si="140"/>
        <v>20.05</v>
      </c>
      <c r="P150" s="1450">
        <f t="shared" si="141"/>
        <v>42463.026173349994</v>
      </c>
      <c r="Q150" s="1451">
        <f t="shared" si="142"/>
        <v>1309.2649298250003</v>
      </c>
      <c r="R150" s="1451">
        <f t="shared" si="143"/>
        <v>47.12</v>
      </c>
      <c r="S150" s="1442">
        <f t="shared" si="144"/>
        <v>44133.051103174999</v>
      </c>
      <c r="T150" s="1444">
        <f t="shared" si="145"/>
        <v>44133.051103174999</v>
      </c>
      <c r="U150" s="1437"/>
      <c r="V150" s="1438">
        <f t="shared" si="146"/>
        <v>0</v>
      </c>
      <c r="W150" s="1439"/>
    </row>
    <row r="151" spans="1:23" ht="12.75">
      <c r="A151" s="1447">
        <v>2195</v>
      </c>
      <c r="B151" s="1533">
        <v>308516</v>
      </c>
      <c r="C151" s="1538" t="str">
        <f>VLOOKUP($B151,'[68]EE Listing with Position'!$A$2:$D$97,2,FALSE)</f>
        <v xml:space="preserve">Becky Moller </v>
      </c>
      <c r="D151" s="1434" t="str">
        <f>+VLOOKUP($B151,'[68]EE Listing with Position'!$A:$E,5,FALSE)</f>
        <v>Customer Service Representative</v>
      </c>
      <c r="E151" s="1438">
        <f>+IFERROR(VLOOKUP($B151,'[68]Payroll Pivots'!$A:$D,4,FALSE),0)</f>
        <v>20.05</v>
      </c>
      <c r="F151" s="1442">
        <f>+IFERROR(VLOOKUP($B151,'[68]Payroll Pivots'!$K:$M,3,FALSE),0)</f>
        <v>1778.5433310000003</v>
      </c>
      <c r="G151" s="1442">
        <f t="shared" si="136"/>
        <v>35659.793786550006</v>
      </c>
      <c r="H151" s="1442">
        <f>+IFERROR(VLOOKUP($B151,'[68]Payroll Pivots'!$T:$V,3,FALSE),0)</f>
        <v>26.300006999999994</v>
      </c>
      <c r="I151" s="1442">
        <f t="shared" si="137"/>
        <v>790.97271052499991</v>
      </c>
      <c r="J151" s="1438">
        <f t="shared" si="138"/>
        <v>36450.766497075005</v>
      </c>
      <c r="K151" s="1442">
        <f>+IFERROR(VLOOKUP($B151,'[68]Payroll Pivots'!$AB:$AD,3,FALSE),0)</f>
        <v>308.60000000000002</v>
      </c>
      <c r="L151" s="1442">
        <f>+IFERROR(VLOOKUP($B151,'[68]Payroll Pivots'!$AJ:$AL,3,FALSE),0)</f>
        <v>0</v>
      </c>
      <c r="M151" s="1442">
        <f t="shared" si="139"/>
        <v>36759.366497075003</v>
      </c>
      <c r="N151" s="1448">
        <f>+VLOOKUP($B151,'[68]EE Listing with Position'!$A:$H,8,FALSE)</f>
        <v>0</v>
      </c>
      <c r="O151" s="1449">
        <f t="shared" si="140"/>
        <v>20.05</v>
      </c>
      <c r="P151" s="1450">
        <f t="shared" si="141"/>
        <v>35659.793786550006</v>
      </c>
      <c r="Q151" s="1451">
        <f t="shared" si="142"/>
        <v>790.9727105249998</v>
      </c>
      <c r="R151" s="1451">
        <f t="shared" si="143"/>
        <v>0</v>
      </c>
      <c r="S151" s="1442">
        <f t="shared" si="144"/>
        <v>36759.366497075003</v>
      </c>
      <c r="T151" s="1444">
        <f t="shared" si="145"/>
        <v>36759.366497075003</v>
      </c>
      <c r="U151" s="1437"/>
      <c r="V151" s="1438">
        <f t="shared" si="146"/>
        <v>0</v>
      </c>
      <c r="W151" s="1439"/>
    </row>
    <row r="152" spans="1:23" ht="12.75" customHeight="1">
      <c r="A152" s="1447">
        <v>2195</v>
      </c>
      <c r="B152" s="1533">
        <v>311377</v>
      </c>
      <c r="C152" s="1538" t="str">
        <f>VLOOKUP($B152,'[68]EE Listing with Position'!$A$2:$D$97,2,FALSE)</f>
        <v xml:space="preserve">Chelsea Myers </v>
      </c>
      <c r="D152" s="1434" t="str">
        <f>+VLOOKUP($B152,'[68]EE Listing with Position'!$A:$E,5,FALSE)</f>
        <v>Customer Service Representative</v>
      </c>
      <c r="E152" s="1438">
        <f>+IFERROR(VLOOKUP($B152,'[68]Payroll Pivots'!$A:$D,4,FALSE),0)</f>
        <v>20.05</v>
      </c>
      <c r="F152" s="1442">
        <f>+IFERROR(VLOOKUP($B152,'[68]Payroll Pivots'!$K:$M,3,FALSE),0)</f>
        <v>2093.8933339999994</v>
      </c>
      <c r="G152" s="1442">
        <f t="shared" si="136"/>
        <v>41982.561346699993</v>
      </c>
      <c r="H152" s="1442">
        <f>+IFERROR(VLOOKUP($B152,'[68]Payroll Pivots'!$T:$V,3,FALSE),0)</f>
        <v>31.099996000000001</v>
      </c>
      <c r="I152" s="1442">
        <f t="shared" si="137"/>
        <v>935.33237970000016</v>
      </c>
      <c r="J152" s="1438">
        <f t="shared" si="138"/>
        <v>42917.893726399991</v>
      </c>
      <c r="K152" s="1442">
        <f>+IFERROR(VLOOKUP($B152,'[68]Payroll Pivots'!$AB:$AD,3,FALSE),0)</f>
        <v>3957.9399999999996</v>
      </c>
      <c r="L152" s="1442">
        <f>+IFERROR(VLOOKUP($B152,'[68]Payroll Pivots'!$AJ:$AL,3,FALSE),0)</f>
        <v>0</v>
      </c>
      <c r="M152" s="1442">
        <f t="shared" si="139"/>
        <v>46875.833726399993</v>
      </c>
      <c r="N152" s="1448">
        <f>+VLOOKUP($B152,'[68]EE Listing with Position'!$A:$H,8,FALSE)</f>
        <v>0</v>
      </c>
      <c r="O152" s="1449">
        <f t="shared" si="140"/>
        <v>20.05</v>
      </c>
      <c r="P152" s="1450">
        <f t="shared" si="141"/>
        <v>41982.561346699993</v>
      </c>
      <c r="Q152" s="1451">
        <f t="shared" si="142"/>
        <v>935.33237970000005</v>
      </c>
      <c r="R152" s="1451">
        <f t="shared" si="143"/>
        <v>0</v>
      </c>
      <c r="S152" s="1442">
        <f t="shared" si="144"/>
        <v>46875.833726399993</v>
      </c>
      <c r="T152" s="1444">
        <f t="shared" si="145"/>
        <v>46875.833726399993</v>
      </c>
      <c r="U152" s="1437"/>
      <c r="V152" s="1438">
        <f t="shared" si="146"/>
        <v>0</v>
      </c>
      <c r="W152" s="1439"/>
    </row>
    <row r="153" spans="1:23" ht="12.75">
      <c r="A153" s="1447">
        <v>2195</v>
      </c>
      <c r="B153" s="1533">
        <v>319811</v>
      </c>
      <c r="C153" s="1538" t="str">
        <f>VLOOKUP($B153,'[68]EE Listing with Position'!$A$2:$D$97,2,FALSE)</f>
        <v xml:space="preserve">KAREN SIMOND </v>
      </c>
      <c r="D153" s="1434" t="str">
        <f>+VLOOKUP($B153,'[68]EE Listing with Position'!$A:$E,5,FALSE)</f>
        <v>Customer Service Representative</v>
      </c>
      <c r="E153" s="1438">
        <f>+IFERROR(VLOOKUP($B153,'[68]Payroll Pivots'!$A:$D,4,FALSE),0)</f>
        <v>20.05</v>
      </c>
      <c r="F153" s="1442">
        <f>+IFERROR(VLOOKUP($B153,'[68]Payroll Pivots'!$K:$M,3,FALSE),0)</f>
        <v>2113.2433339999998</v>
      </c>
      <c r="G153" s="1442">
        <f t="shared" si="136"/>
        <v>42370.528846699999</v>
      </c>
      <c r="H153" s="1442">
        <f>+IFERROR(VLOOKUP($B153,'[68]Payroll Pivots'!$T:$V,3,FALSE),0)</f>
        <v>39.149998000000004</v>
      </c>
      <c r="I153" s="1442">
        <f t="shared" si="137"/>
        <v>1177.4361898500001</v>
      </c>
      <c r="J153" s="1438">
        <f t="shared" si="138"/>
        <v>43547.965036549998</v>
      </c>
      <c r="K153" s="1442">
        <f>+IFERROR(VLOOKUP($B153,'[68]Payroll Pivots'!$AB:$AD,3,FALSE),0)</f>
        <v>306.33000000000004</v>
      </c>
      <c r="L153" s="1442">
        <f>+IFERROR(VLOOKUP($B153,'[68]Payroll Pivots'!$AJ:$AL,3,FALSE),0)</f>
        <v>125.21</v>
      </c>
      <c r="M153" s="1442">
        <f t="shared" si="139"/>
        <v>43979.505036549999</v>
      </c>
      <c r="N153" s="1448">
        <f>+VLOOKUP($B153,'[68]EE Listing with Position'!$A:$H,8,FALSE)</f>
        <v>0</v>
      </c>
      <c r="O153" s="1449">
        <f t="shared" si="140"/>
        <v>20.05</v>
      </c>
      <c r="P153" s="1450">
        <f t="shared" si="141"/>
        <v>42370.528846699999</v>
      </c>
      <c r="Q153" s="1451">
        <f t="shared" si="142"/>
        <v>1177.4361898500001</v>
      </c>
      <c r="R153" s="1451">
        <f t="shared" si="143"/>
        <v>125.21</v>
      </c>
      <c r="S153" s="1442">
        <f t="shared" si="144"/>
        <v>43979.505036549999</v>
      </c>
      <c r="T153" s="1444">
        <f t="shared" si="145"/>
        <v>43979.505036549999</v>
      </c>
      <c r="U153" s="1437"/>
      <c r="V153" s="1438">
        <f t="shared" si="146"/>
        <v>0</v>
      </c>
      <c r="W153" s="1439"/>
    </row>
    <row r="154" spans="1:23" ht="12.75">
      <c r="A154" s="1447">
        <v>2195</v>
      </c>
      <c r="B154" s="1533">
        <v>323475</v>
      </c>
      <c r="C154" s="1538" t="str">
        <f>VLOOKUP($B154,'[68]EE Listing with Position'!$A$2:$D$97,2,FALSE)</f>
        <v xml:space="preserve">DANIELLE WALLACE </v>
      </c>
      <c r="D154" s="1434" t="str">
        <f>+VLOOKUP($B154,'[68]EE Listing with Position'!$A:$E,5,FALSE)</f>
        <v>Customer Service Representative</v>
      </c>
      <c r="E154" s="1438">
        <f>+IFERROR(VLOOKUP($B154,'[68]Payroll Pivots'!$A:$D,4,FALSE),0)</f>
        <v>18.2</v>
      </c>
      <c r="F154" s="1442">
        <f>+IFERROR(VLOOKUP($B154,'[68]Payroll Pivots'!$K:$M,3,FALSE),0)</f>
        <v>1850.3666700000001</v>
      </c>
      <c r="G154" s="1442">
        <f t="shared" si="136"/>
        <v>33676.673393999998</v>
      </c>
      <c r="H154" s="1442">
        <f>+IFERROR(VLOOKUP($B154,'[68]Payroll Pivots'!$T:$V,3,FALSE),0)</f>
        <v>20.366662999999999</v>
      </c>
      <c r="I154" s="1442">
        <f t="shared" si="137"/>
        <v>556.00989989999994</v>
      </c>
      <c r="J154" s="1438">
        <f t="shared" si="138"/>
        <v>34232.683293899994</v>
      </c>
      <c r="K154" s="1442">
        <f>+IFERROR(VLOOKUP($B154,'[68]Payroll Pivots'!$AB:$AD,3,FALSE),0)</f>
        <v>378.2000000000001</v>
      </c>
      <c r="L154" s="1442">
        <f>+IFERROR(VLOOKUP($B154,'[68]Payroll Pivots'!$AJ:$AL,3,FALSE),0)</f>
        <v>0</v>
      </c>
      <c r="M154" s="1442">
        <f t="shared" si="139"/>
        <v>34610.883293899991</v>
      </c>
      <c r="N154" s="1448">
        <f>+VLOOKUP($B154,'[68]EE Listing with Position'!$A:$H,8,FALSE)</f>
        <v>0</v>
      </c>
      <c r="O154" s="1449">
        <f t="shared" si="140"/>
        <v>18.2</v>
      </c>
      <c r="P154" s="1450">
        <f t="shared" si="141"/>
        <v>33676.673393999998</v>
      </c>
      <c r="Q154" s="1451">
        <f t="shared" si="142"/>
        <v>556.00989989999994</v>
      </c>
      <c r="R154" s="1451">
        <f t="shared" si="143"/>
        <v>0</v>
      </c>
      <c r="S154" s="1442">
        <f t="shared" si="144"/>
        <v>34610.883293899991</v>
      </c>
      <c r="T154" s="1444">
        <f t="shared" si="145"/>
        <v>34610.883293899991</v>
      </c>
      <c r="U154" s="1437"/>
      <c r="V154" s="1438">
        <f t="shared" si="146"/>
        <v>0</v>
      </c>
      <c r="W154" s="1439"/>
    </row>
    <row r="155" spans="1:23" ht="12.75">
      <c r="A155" s="1447">
        <v>2195</v>
      </c>
      <c r="B155" s="1533">
        <v>325506</v>
      </c>
      <c r="C155" s="1538" t="str">
        <f>VLOOKUP($B155,'[68]EE Listing with Position'!$A$2:$D$97,2,FALSE)</f>
        <v xml:space="preserve">Roxanne Torres </v>
      </c>
      <c r="D155" s="1434" t="str">
        <f>+VLOOKUP($B155,'[68]EE Listing with Position'!$A:$E,5,FALSE)</f>
        <v>Customer Service Representative</v>
      </c>
      <c r="E155" s="1438">
        <f>+IFERROR(VLOOKUP($B155,'[68]Payroll Pivots'!$A:$D,4,FALSE),0)</f>
        <v>18.2</v>
      </c>
      <c r="F155" s="1442">
        <f>+IFERROR(VLOOKUP($B155,'[68]Payroll Pivots'!$K:$M,3,FALSE),0)</f>
        <v>1156.160003</v>
      </c>
      <c r="G155" s="1442">
        <f t="shared" si="136"/>
        <v>21042.112054599998</v>
      </c>
      <c r="H155" s="1442">
        <f>+IFERROR(VLOOKUP($B155,'[68]Payroll Pivots'!$T:$V,3,FALSE),0)</f>
        <v>10.983331</v>
      </c>
      <c r="I155" s="1442">
        <f t="shared" si="137"/>
        <v>299.84493629999997</v>
      </c>
      <c r="J155" s="1438">
        <f t="shared" si="138"/>
        <v>21341.956990899998</v>
      </c>
      <c r="K155" s="1442">
        <f>+IFERROR(VLOOKUP($B155,'[68]Payroll Pivots'!$AB:$AD,3,FALSE),0)</f>
        <v>296.03000000000003</v>
      </c>
      <c r="L155" s="1442">
        <f>+IFERROR(VLOOKUP($B155,'[68]Payroll Pivots'!$AJ:$AL,3,FALSE),0)</f>
        <v>0</v>
      </c>
      <c r="M155" s="1442">
        <f t="shared" si="139"/>
        <v>21637.986990899997</v>
      </c>
      <c r="N155" s="1448">
        <f>+VLOOKUP($B155,'[68]EE Listing with Position'!$A:$H,8,FALSE)</f>
        <v>0</v>
      </c>
      <c r="O155" s="1449">
        <f t="shared" si="140"/>
        <v>18.2</v>
      </c>
      <c r="P155" s="1450">
        <f t="shared" si="141"/>
        <v>21042.112054599998</v>
      </c>
      <c r="Q155" s="1451">
        <f t="shared" si="142"/>
        <v>299.84493629999997</v>
      </c>
      <c r="R155" s="1451">
        <f t="shared" si="143"/>
        <v>0</v>
      </c>
      <c r="S155" s="1442">
        <f t="shared" si="144"/>
        <v>21637.986990899997</v>
      </c>
      <c r="T155" s="1444">
        <f t="shared" si="145"/>
        <v>21637.986990899997</v>
      </c>
      <c r="U155" s="1437"/>
      <c r="V155" s="1438">
        <f t="shared" si="146"/>
        <v>0</v>
      </c>
      <c r="W155" s="1439"/>
    </row>
    <row r="156" spans="1:23" ht="12.75">
      <c r="A156" s="1447">
        <v>2195</v>
      </c>
      <c r="B156" s="1533">
        <v>102740</v>
      </c>
      <c r="C156" s="1538" t="str">
        <f>VLOOKUP($B156,'[68]EE Listing with Position'!$A$2:$D$97,2,FALSE)</f>
        <v xml:space="preserve">Keith Kovalenko </v>
      </c>
      <c r="D156" s="1434" t="str">
        <f>+VLOOKUP($B156,'[68]EE Listing with Position'!$A:$E,5,FALSE)</f>
        <v>District Manager</v>
      </c>
      <c r="E156" s="1438">
        <f>+IFERROR(VLOOKUP($B156,'[68]Payroll Pivots'!$A:$D,4,FALSE),0)</f>
        <v>31.25</v>
      </c>
      <c r="F156" s="1442">
        <f>+IFERROR(VLOOKUP($B156,'[68]Payroll Pivots'!$K:$M,3,FALSE),0)</f>
        <v>1976</v>
      </c>
      <c r="G156" s="1442">
        <f t="shared" si="136"/>
        <v>61750</v>
      </c>
      <c r="H156" s="1442">
        <f>+IFERROR(VLOOKUP($B156,'[68]Payroll Pivots'!$T:$V,3,FALSE),0)</f>
        <v>0</v>
      </c>
      <c r="I156" s="1442">
        <f t="shared" si="137"/>
        <v>0</v>
      </c>
      <c r="J156" s="1438">
        <f t="shared" si="138"/>
        <v>61750</v>
      </c>
      <c r="K156" s="1442">
        <f>+IFERROR(VLOOKUP($B156,'[68]Payroll Pivots'!$AB:$AD,3,FALSE),0)</f>
        <v>0</v>
      </c>
      <c r="L156" s="1442">
        <f>+IFERROR(VLOOKUP($B156,'[68]Payroll Pivots'!$AJ:$AL,3,FALSE),0)</f>
        <v>0</v>
      </c>
      <c r="M156" s="1442">
        <f t="shared" si="139"/>
        <v>61750</v>
      </c>
      <c r="N156" s="1448">
        <f>+VLOOKUP($B156,'[68]EE Listing with Position'!$A:$H,8,FALSE)</f>
        <v>0</v>
      </c>
      <c r="O156" s="1449">
        <f t="shared" si="140"/>
        <v>31.25</v>
      </c>
      <c r="P156" s="1450">
        <f t="shared" si="141"/>
        <v>61750</v>
      </c>
      <c r="Q156" s="1451">
        <f t="shared" si="142"/>
        <v>0</v>
      </c>
      <c r="R156" s="1451">
        <f t="shared" si="143"/>
        <v>0</v>
      </c>
      <c r="S156" s="1442">
        <f t="shared" si="144"/>
        <v>61750</v>
      </c>
      <c r="T156" s="1444">
        <f t="shared" si="145"/>
        <v>61750</v>
      </c>
      <c r="U156" s="1437"/>
      <c r="V156" s="1438">
        <f t="shared" si="146"/>
        <v>0</v>
      </c>
      <c r="W156" s="1439"/>
    </row>
    <row r="157" spans="1:23" ht="12.75">
      <c r="A157" s="1447">
        <v>2195</v>
      </c>
      <c r="B157" s="1533">
        <v>316716</v>
      </c>
      <c r="C157" s="1538" t="str">
        <f>VLOOKUP($B157,'[68]EE Listing with Position'!$A$2:$D$97,2,FALSE)</f>
        <v xml:space="preserve">Mark Lanter </v>
      </c>
      <c r="D157" s="1434" t="str">
        <f>+VLOOKUP($B157,'[68]EE Listing with Position'!$A:$E,5,FALSE)</f>
        <v>District Manager</v>
      </c>
      <c r="E157" s="1438">
        <f>+IFERROR(VLOOKUP($B157,'[68]Payroll Pivots'!$A:$D,4,FALSE),0)</f>
        <v>46.875</v>
      </c>
      <c r="F157" s="1442">
        <f>+IFERROR(VLOOKUP($B157,'[68]Payroll Pivots'!$K:$M,3,FALSE),0)</f>
        <v>1000</v>
      </c>
      <c r="G157" s="1442">
        <f t="shared" si="136"/>
        <v>46875</v>
      </c>
      <c r="H157" s="1442">
        <f>+IFERROR(VLOOKUP($B157,'[68]Payroll Pivots'!$T:$V,3,FALSE),0)</f>
        <v>0</v>
      </c>
      <c r="I157" s="1442">
        <f t="shared" si="137"/>
        <v>0</v>
      </c>
      <c r="J157" s="1438">
        <f t="shared" si="138"/>
        <v>46875</v>
      </c>
      <c r="K157" s="1442">
        <f>+IFERROR(VLOOKUP($B157,'[68]Payroll Pivots'!$AB:$AD,3,FALSE),0)</f>
        <v>0</v>
      </c>
      <c r="L157" s="1442">
        <f>+IFERROR(VLOOKUP($B157,'[68]Payroll Pivots'!$AJ:$AL,3,FALSE),0)</f>
        <v>0</v>
      </c>
      <c r="M157" s="1442">
        <f t="shared" si="139"/>
        <v>46875</v>
      </c>
      <c r="N157" s="1448">
        <f>+VLOOKUP($B157,'[68]EE Listing with Position'!$A:$H,8,FALSE)</f>
        <v>0.12820512820512819</v>
      </c>
      <c r="O157" s="1449">
        <f t="shared" si="140"/>
        <v>52.884615384615387</v>
      </c>
      <c r="P157" s="1450">
        <f t="shared" si="141"/>
        <v>52884.61538461539</v>
      </c>
      <c r="Q157" s="1451">
        <f t="shared" si="142"/>
        <v>0</v>
      </c>
      <c r="R157" s="1451">
        <f t="shared" si="143"/>
        <v>0</v>
      </c>
      <c r="S157" s="1442">
        <f t="shared" si="144"/>
        <v>52884.61538461539</v>
      </c>
      <c r="T157" s="1444">
        <f t="shared" si="145"/>
        <v>52884.61538461539</v>
      </c>
      <c r="U157" s="1437"/>
      <c r="V157" s="1438">
        <f t="shared" si="146"/>
        <v>6009.6153846153902</v>
      </c>
      <c r="W157" s="1439"/>
    </row>
    <row r="158" spans="1:23" ht="12.75">
      <c r="A158" s="1447">
        <v>2195</v>
      </c>
      <c r="B158" s="1533">
        <v>114460</v>
      </c>
      <c r="C158" s="1538" t="str">
        <f>VLOOKUP($B158,'[68]EE Listing with Position'!$A$2:$D$97,2,FALSE)</f>
        <v xml:space="preserve">Christie Herbst </v>
      </c>
      <c r="D158" s="1434" t="str">
        <f>+VLOOKUP($B158,'[68]EE Listing with Position'!$A:$E,5,FALSE)</f>
        <v>Office Manager</v>
      </c>
      <c r="E158" s="1438">
        <f>+IFERROR(VLOOKUP($B158,'[68]Payroll Pivots'!$A:$D,4,FALSE),0)</f>
        <v>32.386360576923082</v>
      </c>
      <c r="F158" s="1442">
        <f>+IFERROR(VLOOKUP($B158,'[68]Payroll Pivots'!$K:$M,3,FALSE),0)</f>
        <v>2256</v>
      </c>
      <c r="G158" s="1442">
        <f t="shared" si="136"/>
        <v>73063.629461538469</v>
      </c>
      <c r="H158" s="1442">
        <f>+IFERROR(VLOOKUP($B158,'[68]Payroll Pivots'!$T:$V,3,FALSE),0)</f>
        <v>0</v>
      </c>
      <c r="I158" s="1442">
        <f t="shared" si="137"/>
        <v>0</v>
      </c>
      <c r="J158" s="1438">
        <f t="shared" si="138"/>
        <v>73063.629461538469</v>
      </c>
      <c r="K158" s="1442">
        <f>+IFERROR(VLOOKUP($B158,'[68]Payroll Pivots'!$AB:$AD,3,FALSE),0)</f>
        <v>525</v>
      </c>
      <c r="L158" s="1442">
        <f>+IFERROR(VLOOKUP($B158,'[68]Payroll Pivots'!$AJ:$AL,3,FALSE),0)</f>
        <v>0</v>
      </c>
      <c r="M158" s="1442">
        <f t="shared" si="139"/>
        <v>73588.629461538469</v>
      </c>
      <c r="N158" s="1448">
        <f>+VLOOKUP($B158,'[68]EE Listing with Position'!$A:$H,8,FALSE)</f>
        <v>0</v>
      </c>
      <c r="O158" s="1449">
        <f t="shared" si="140"/>
        <v>32.386360576923082</v>
      </c>
      <c r="P158" s="1450">
        <f t="shared" si="141"/>
        <v>73063.629461538469</v>
      </c>
      <c r="Q158" s="1451">
        <f t="shared" si="142"/>
        <v>0</v>
      </c>
      <c r="R158" s="1451">
        <f t="shared" si="143"/>
        <v>0</v>
      </c>
      <c r="S158" s="1442">
        <f t="shared" si="144"/>
        <v>73588.629461538469</v>
      </c>
      <c r="T158" s="1444">
        <f t="shared" si="145"/>
        <v>73588.629461538469</v>
      </c>
      <c r="U158" s="1437"/>
      <c r="V158" s="1438">
        <f t="shared" si="146"/>
        <v>0</v>
      </c>
      <c r="W158" s="1439"/>
    </row>
    <row r="159" spans="1:23" ht="12.75">
      <c r="A159" s="1447">
        <v>2195</v>
      </c>
      <c r="B159" s="1533" t="s">
        <v>1438</v>
      </c>
      <c r="C159" s="1538" t="s">
        <v>2962</v>
      </c>
      <c r="D159" s="1434" t="s">
        <v>2961</v>
      </c>
      <c r="E159" s="1438">
        <f>+'[68]J. Hill Pivot'!G5</f>
        <v>48.07692307692308</v>
      </c>
      <c r="F159" s="1442">
        <f>+'[68]J. Hill Pivot'!B15+'[68]J. Hill Pivot'!B14+'[68]J. Hill Pivot'!B13</f>
        <v>560</v>
      </c>
      <c r="G159" s="1442">
        <f t="shared" ref="G159:G160" si="147">+E159*F159</f>
        <v>26923.076923076926</v>
      </c>
      <c r="H159" s="1442">
        <v>0</v>
      </c>
      <c r="I159" s="1442">
        <f t="shared" ref="I159:I160" si="148">+(E159*1.5)*H159</f>
        <v>0</v>
      </c>
      <c r="J159" s="1438">
        <f t="shared" ref="J159:J160" si="149">+G159+I159</f>
        <v>26923.076923076926</v>
      </c>
      <c r="K159" s="1442">
        <f>+IFERROR(VLOOKUP($B159,'[68]Payroll Pivots'!$AB:$AD,3,FALSE),0)</f>
        <v>0</v>
      </c>
      <c r="L159" s="1442">
        <f>+IFERROR(VLOOKUP($B159,'[68]Payroll Pivots'!$AJ:$AL,3,FALSE),0)</f>
        <v>0</v>
      </c>
      <c r="M159" s="1442">
        <f t="shared" ref="M159:M160" si="150">+L159+K159+J159</f>
        <v>26923.076923076926</v>
      </c>
      <c r="N159" s="1448">
        <v>0</v>
      </c>
      <c r="O159" s="1449">
        <f t="shared" ref="O159:O160" si="151">E159*(1+N159)</f>
        <v>48.07692307692308</v>
      </c>
      <c r="P159" s="1451">
        <f t="shared" ref="P159:P160" si="152">+F159*O159</f>
        <v>26923.076923076926</v>
      </c>
      <c r="Q159" s="1451">
        <f t="shared" ref="Q159:Q160" si="153">+O159*H159*1.5</f>
        <v>0</v>
      </c>
      <c r="R159" s="1451">
        <f t="shared" ref="R159:R160" si="154">+L159*(1+N159)</f>
        <v>0</v>
      </c>
      <c r="S159" s="1442">
        <f t="shared" ref="S159:S160" si="155">SUM(P159:R159)+K159</f>
        <v>26923.076923076926</v>
      </c>
      <c r="T159" s="1444">
        <f t="shared" ref="T159:T160" si="156">+S159</f>
        <v>26923.076923076926</v>
      </c>
      <c r="U159" s="1437"/>
      <c r="V159" s="1438">
        <f t="shared" si="146"/>
        <v>0</v>
      </c>
      <c r="W159" s="1439"/>
    </row>
    <row r="160" spans="1:23" ht="12.75">
      <c r="A160" s="1447">
        <v>2195</v>
      </c>
      <c r="B160" s="1533">
        <v>317612</v>
      </c>
      <c r="C160" s="1538" t="str">
        <f>VLOOKUP($B160,'[68]EE Listing with Position'!$A$2:$D$97,2,FALSE)</f>
        <v xml:space="preserve">NICOLE MOSER </v>
      </c>
      <c r="D160" s="1434" t="str">
        <f>+VLOOKUP($B160,'[68]EE Listing with Position'!$A:$E,5,FALSE)</f>
        <v>Controller</v>
      </c>
      <c r="E160" s="1438">
        <f>+IFERROR(VLOOKUP($B160,'[68]Payroll Pivots'!$A:$D,4,FALSE),0)</f>
        <v>40.865384615384613</v>
      </c>
      <c r="F160" s="1442">
        <f>+IFERROR(VLOOKUP($B160,'[68]Payroll Pivots'!$K:$M,3,FALSE),0)</f>
        <v>1400</v>
      </c>
      <c r="G160" s="1442">
        <f t="shared" si="147"/>
        <v>57211.538461538461</v>
      </c>
      <c r="H160" s="1442">
        <f>+IFERROR(VLOOKUP($B160,'[68]Payroll Pivots'!$T:$V,3,FALSE),0)</f>
        <v>0</v>
      </c>
      <c r="I160" s="1442">
        <f t="shared" si="148"/>
        <v>0</v>
      </c>
      <c r="J160" s="1438">
        <f t="shared" si="149"/>
        <v>57211.538461538461</v>
      </c>
      <c r="K160" s="1442">
        <f>+IFERROR(VLOOKUP($B160,'[68]Payroll Pivots'!$AB:$AD,3,FALSE),0)</f>
        <v>0</v>
      </c>
      <c r="L160" s="1442">
        <f>+IFERROR(VLOOKUP($B160,'[68]Payroll Pivots'!$AJ:$AL,3,FALSE),0)</f>
        <v>0</v>
      </c>
      <c r="M160" s="1442">
        <f t="shared" si="150"/>
        <v>57211.538461538461</v>
      </c>
      <c r="N160" s="1448">
        <f>+VLOOKUP($B160,'[68]EE Listing with Position'!$A:$H,8,FALSE)</f>
        <v>0</v>
      </c>
      <c r="O160" s="1449">
        <f t="shared" si="151"/>
        <v>40.865384615384613</v>
      </c>
      <c r="P160" s="1450">
        <f t="shared" si="152"/>
        <v>57211.538461538461</v>
      </c>
      <c r="Q160" s="1451">
        <f t="shared" si="153"/>
        <v>0</v>
      </c>
      <c r="R160" s="1451">
        <f t="shared" si="154"/>
        <v>0</v>
      </c>
      <c r="S160" s="1442">
        <f t="shared" si="155"/>
        <v>57211.538461538461</v>
      </c>
      <c r="T160" s="1444">
        <f t="shared" si="156"/>
        <v>57211.538461538461</v>
      </c>
      <c r="U160" s="1437"/>
      <c r="V160" s="1438">
        <f t="shared" si="146"/>
        <v>0</v>
      </c>
      <c r="W160" s="1439"/>
    </row>
    <row r="161" spans="1:23" ht="12.75">
      <c r="A161" s="1447"/>
      <c r="B161" s="1541"/>
      <c r="C161" s="1542"/>
      <c r="D161" s="1434"/>
      <c r="E161" s="1438"/>
      <c r="F161" s="1442"/>
      <c r="G161" s="1438"/>
      <c r="H161" s="1442"/>
      <c r="I161" s="1438"/>
      <c r="J161" s="1438"/>
      <c r="K161" s="1442"/>
      <c r="L161" s="1442"/>
      <c r="M161" s="1442"/>
      <c r="N161" s="1448"/>
      <c r="O161" s="1449"/>
      <c r="P161" s="1451"/>
      <c r="Q161" s="1451"/>
      <c r="R161" s="1451"/>
      <c r="S161" s="1442"/>
      <c r="T161" s="1444"/>
      <c r="U161" s="1437"/>
      <c r="V161" s="1438"/>
      <c r="W161" s="1439"/>
    </row>
    <row r="162" spans="1:23">
      <c r="A162" s="1447"/>
      <c r="B162" s="1441"/>
      <c r="C162" s="1537" t="s">
        <v>1091</v>
      </c>
      <c r="D162" s="1434"/>
      <c r="E162" s="1452">
        <f t="shared" ref="E162:S162" si="157">+SUM(E146:E161)</f>
        <v>396.25366826923073</v>
      </c>
      <c r="F162" s="1452">
        <f t="shared" si="157"/>
        <v>24382.753339999999</v>
      </c>
      <c r="G162" s="1452">
        <f t="shared" si="157"/>
        <v>606363.05746320379</v>
      </c>
      <c r="H162" s="1452">
        <f t="shared" si="157"/>
        <v>214.08333099999999</v>
      </c>
      <c r="I162" s="1452">
        <f t="shared" si="157"/>
        <v>6344.5249428000006</v>
      </c>
      <c r="J162" s="1452">
        <f t="shared" si="157"/>
        <v>612707.58240600384</v>
      </c>
      <c r="K162" s="1452">
        <f t="shared" si="157"/>
        <v>11355.240000000002</v>
      </c>
      <c r="L162" s="1452">
        <f t="shared" si="157"/>
        <v>5852.82</v>
      </c>
      <c r="M162" s="1452">
        <f t="shared" si="157"/>
        <v>629915.6424060039</v>
      </c>
      <c r="N162" s="1452">
        <f t="shared" si="157"/>
        <v>0.12820512820512819</v>
      </c>
      <c r="O162" s="1452">
        <f t="shared" si="157"/>
        <v>402.2632836538462</v>
      </c>
      <c r="P162" s="1452">
        <f t="shared" si="157"/>
        <v>612372.67284781917</v>
      </c>
      <c r="Q162" s="1452">
        <f t="shared" si="157"/>
        <v>6344.5249428000006</v>
      </c>
      <c r="R162" s="1452">
        <f t="shared" si="157"/>
        <v>5852.82</v>
      </c>
      <c r="S162" s="1452">
        <f t="shared" si="157"/>
        <v>635925.25779061927</v>
      </c>
      <c r="T162" s="1453">
        <f>+SUM(T146:T161)</f>
        <v>635925.25779061927</v>
      </c>
      <c r="U162" s="1437"/>
      <c r="V162" s="1453">
        <f>+SUM(V146:V161)</f>
        <v>6009.6153846153902</v>
      </c>
      <c r="W162" s="1454">
        <f>+SUM(W146:W161)</f>
        <v>0</v>
      </c>
    </row>
    <row r="163" spans="1:23">
      <c r="A163" s="1447"/>
      <c r="B163" s="1441"/>
      <c r="C163" s="1437"/>
      <c r="D163" s="1434"/>
      <c r="E163" s="1442"/>
      <c r="F163" s="1442"/>
      <c r="G163" s="1442"/>
      <c r="H163" s="1442"/>
      <c r="I163" s="1438"/>
      <c r="J163" s="1442"/>
      <c r="K163" s="1442"/>
      <c r="L163" s="1442"/>
      <c r="M163" s="1442"/>
      <c r="N163" s="1442"/>
      <c r="O163" s="1443"/>
      <c r="P163" s="1442"/>
      <c r="Q163" s="1442"/>
      <c r="R163" s="1442"/>
      <c r="S163" s="1442"/>
      <c r="T163" s="1444"/>
      <c r="U163" s="1437"/>
      <c r="V163" s="1438"/>
      <c r="W163" s="1439"/>
    </row>
    <row r="164" spans="1:23" ht="12" thickBot="1">
      <c r="A164" s="1447"/>
      <c r="B164" s="1441"/>
      <c r="C164" s="1437"/>
      <c r="D164" s="1434"/>
      <c r="E164" s="1442"/>
      <c r="F164" s="1442"/>
      <c r="G164" s="1442"/>
      <c r="H164" s="1442"/>
      <c r="I164" s="1438"/>
      <c r="J164" s="1442"/>
      <c r="K164" s="1442"/>
      <c r="L164" s="1442"/>
      <c r="M164" s="1442"/>
      <c r="N164" s="1442"/>
      <c r="O164" s="1443"/>
      <c r="P164" s="1442"/>
      <c r="Q164" s="1442"/>
      <c r="R164" s="1442"/>
      <c r="S164" s="1442"/>
      <c r="T164" s="1444"/>
      <c r="U164" s="1437"/>
      <c r="V164" s="1438"/>
      <c r="W164" s="1439"/>
    </row>
    <row r="165" spans="1:23" ht="12" thickTop="1">
      <c r="A165" s="1466"/>
      <c r="B165" s="1467"/>
      <c r="C165" s="1468" t="s">
        <v>1092</v>
      </c>
      <c r="D165" s="1433"/>
      <c r="E165" s="1442"/>
      <c r="F165" s="1442"/>
      <c r="G165" s="1442"/>
      <c r="H165" s="1442"/>
      <c r="I165" s="1438"/>
      <c r="J165" s="1442"/>
      <c r="K165" s="1442"/>
      <c r="L165" s="1442"/>
      <c r="M165" s="1442"/>
      <c r="N165" s="1442"/>
      <c r="O165" s="1443"/>
      <c r="P165" s="1442"/>
      <c r="Q165" s="1442"/>
      <c r="R165" s="1442"/>
      <c r="S165" s="1442"/>
      <c r="T165" s="1444"/>
      <c r="U165" s="1437"/>
      <c r="V165" s="1438">
        <f>+S165-M165</f>
        <v>0</v>
      </c>
      <c r="W165" s="1439"/>
    </row>
    <row r="166" spans="1:23" ht="12.75">
      <c r="A166" s="1447">
        <v>2195</v>
      </c>
      <c r="B166" s="1533">
        <v>114461</v>
      </c>
      <c r="C166" s="1538" t="str">
        <f>VLOOKUP($B166,'[68]EE Listing with Position'!$A$2:$D$97,2,FALSE)</f>
        <v xml:space="preserve">Carl Herbst </v>
      </c>
      <c r="D166" s="1434" t="str">
        <f>VLOOKUP($B166,'[68]EE Listing with Position'!$A$2:$D$97,4,FALSE)</f>
        <v>Ops Manager</v>
      </c>
      <c r="E166" s="1438">
        <f>+IFERROR(VLOOKUP($B166,'[68]Payroll Pivots'!$A:$D,4,FALSE),0)</f>
        <v>38.271254807692308</v>
      </c>
      <c r="F166" s="1442">
        <f>+IFERROR(VLOOKUP($B166,'[68]Payroll Pivots'!$K:$M,3,FALSE),0)</f>
        <v>2080</v>
      </c>
      <c r="G166" s="1442">
        <f t="shared" ref="G166:G169" si="158">+E166*F166</f>
        <v>79604.210000000006</v>
      </c>
      <c r="H166" s="1442">
        <f>+IFERROR(VLOOKUP($B166,'[68]Payroll Pivots'!$T:$V,3,FALSE),0)</f>
        <v>0</v>
      </c>
      <c r="I166" s="1442">
        <f t="shared" ref="I166:I169" si="159">+(E166*1.5)*H166</f>
        <v>0</v>
      </c>
      <c r="J166" s="1438">
        <f t="shared" ref="J166:J169" si="160">+G166+I166</f>
        <v>79604.210000000006</v>
      </c>
      <c r="K166" s="1442">
        <f>+IFERROR(VLOOKUP($B166,'[68]Payroll Pivots'!$AB:$AD,3,FALSE),0)</f>
        <v>525</v>
      </c>
      <c r="L166" s="1442">
        <f>+IFERROR(VLOOKUP($B166,'[68]Payroll Pivots'!$AJ:$AL,3,FALSE),0)</f>
        <v>0</v>
      </c>
      <c r="M166" s="1442">
        <f t="shared" ref="M166:M169" si="161">+L166+K166+J166</f>
        <v>80129.210000000006</v>
      </c>
      <c r="N166" s="1448">
        <f>+VLOOKUP($B166,'[68]EE Listing with Position'!$A:$H,8,FALSE)</f>
        <v>0</v>
      </c>
      <c r="O166" s="1449">
        <f t="shared" ref="O166:O169" si="162">E166*(1+N166)</f>
        <v>38.271254807692308</v>
      </c>
      <c r="P166" s="1450">
        <f t="shared" ref="P166:P169" si="163">+F166*O166</f>
        <v>79604.210000000006</v>
      </c>
      <c r="Q166" s="1451">
        <f t="shared" ref="Q166:Q169" si="164">+O166*H166*1.5</f>
        <v>0</v>
      </c>
      <c r="R166" s="1451">
        <f t="shared" ref="R166:R169" si="165">+L166*(1+N166)</f>
        <v>0</v>
      </c>
      <c r="S166" s="1442">
        <f t="shared" ref="S166:S169" si="166">SUM(P166:R166)+K166</f>
        <v>80129.210000000006</v>
      </c>
      <c r="T166" s="1444">
        <f t="shared" ref="T166:T169" si="167">+S166</f>
        <v>80129.210000000006</v>
      </c>
      <c r="U166" s="1437"/>
      <c r="V166" s="1438">
        <f>T166-M166</f>
        <v>0</v>
      </c>
      <c r="W166" s="1439"/>
    </row>
    <row r="167" spans="1:23" ht="12.75">
      <c r="A167" s="1447">
        <v>2195</v>
      </c>
      <c r="B167" s="1533">
        <v>114455</v>
      </c>
      <c r="C167" s="1538" t="str">
        <f>VLOOKUP($B167,'[68]EE Listing with Position'!$A$2:$D$97,2,FALSE)</f>
        <v xml:space="preserve">Robert Garcia </v>
      </c>
      <c r="D167" s="1434" t="str">
        <f>VLOOKUP($B167,'[68]EE Listing with Position'!$A$2:$D$97,4,FALSE)</f>
        <v>Ops Supervisor</v>
      </c>
      <c r="E167" s="1438">
        <f>+IFERROR(VLOOKUP($B167,'[68]Payroll Pivots'!$A:$D,4,FALSE),0)</f>
        <v>36.659918269230772</v>
      </c>
      <c r="F167" s="1442">
        <f>+IFERROR(VLOOKUP($B167,'[68]Payroll Pivots'!$K:$M,3,FALSE),0)</f>
        <v>2080</v>
      </c>
      <c r="G167" s="1442">
        <f t="shared" si="158"/>
        <v>76252.63</v>
      </c>
      <c r="H167" s="1442">
        <f>+IFERROR(VLOOKUP($B167,'[68]Payroll Pivots'!$T:$V,3,FALSE),0)</f>
        <v>0</v>
      </c>
      <c r="I167" s="1442">
        <f t="shared" si="159"/>
        <v>0</v>
      </c>
      <c r="J167" s="1438">
        <f t="shared" si="160"/>
        <v>76252.63</v>
      </c>
      <c r="K167" s="1442">
        <f>+IFERROR(VLOOKUP($B167,'[68]Payroll Pivots'!$AB:$AD,3,FALSE),0)</f>
        <v>525</v>
      </c>
      <c r="L167" s="1442">
        <f>+IFERROR(VLOOKUP($B167,'[68]Payroll Pivots'!$AJ:$AL,3,FALSE),0)</f>
        <v>0</v>
      </c>
      <c r="M167" s="1442">
        <f t="shared" si="161"/>
        <v>76777.63</v>
      </c>
      <c r="N167" s="1448">
        <f>+VLOOKUP($B167,'[68]EE Listing with Position'!$A:$H,8,FALSE)</f>
        <v>0</v>
      </c>
      <c r="O167" s="1449">
        <f t="shared" si="162"/>
        <v>36.659918269230772</v>
      </c>
      <c r="P167" s="1450">
        <f t="shared" si="163"/>
        <v>76252.63</v>
      </c>
      <c r="Q167" s="1451">
        <f t="shared" si="164"/>
        <v>0</v>
      </c>
      <c r="R167" s="1451">
        <f t="shared" si="165"/>
        <v>0</v>
      </c>
      <c r="S167" s="1442">
        <f t="shared" si="166"/>
        <v>76777.63</v>
      </c>
      <c r="T167" s="1444">
        <f t="shared" si="167"/>
        <v>76777.63</v>
      </c>
      <c r="U167" s="1437"/>
      <c r="V167" s="1438">
        <f>T167-M167</f>
        <v>0</v>
      </c>
      <c r="W167" s="1439"/>
    </row>
    <row r="168" spans="1:23" ht="12.75">
      <c r="A168" s="1447">
        <v>2195</v>
      </c>
      <c r="B168" s="1533">
        <v>312399</v>
      </c>
      <c r="C168" s="1538" t="str">
        <f>VLOOKUP($B168,'[68]EE Listing with Position'!$A$2:$D$97,2,FALSE)</f>
        <v xml:space="preserve">Arturo Obispo </v>
      </c>
      <c r="D168" s="1434" t="str">
        <f>VLOOKUP($B168,'[68]EE Listing with Position'!$A$2:$D$97,4,FALSE)</f>
        <v>Ops Supervisor</v>
      </c>
      <c r="E168" s="1438">
        <f>+IFERROR(VLOOKUP($B168,'[68]Payroll Pivots'!$A:$D,4,FALSE),0)</f>
        <v>34.495192307692307</v>
      </c>
      <c r="F168" s="1442">
        <f>+IFERROR(VLOOKUP($B168,'[68]Payroll Pivots'!$K:$M,3,FALSE),0)</f>
        <v>840</v>
      </c>
      <c r="G168" s="1442">
        <f t="shared" si="158"/>
        <v>28975.961538461539</v>
      </c>
      <c r="H168" s="1442">
        <f>+IFERROR(VLOOKUP($B168,'[68]Payroll Pivots'!$T:$V,3,FALSE),0)</f>
        <v>0</v>
      </c>
      <c r="I168" s="1442">
        <f t="shared" si="159"/>
        <v>0</v>
      </c>
      <c r="J168" s="1438">
        <f t="shared" si="160"/>
        <v>28975.961538461539</v>
      </c>
      <c r="K168" s="1442">
        <f>+IFERROR(VLOOKUP($B168,'[68]Payroll Pivots'!$AB:$AD,3,FALSE),0)</f>
        <v>400</v>
      </c>
      <c r="L168" s="1442">
        <f>+IFERROR(VLOOKUP($B168,'[68]Payroll Pivots'!$AJ:$AL,3,FALSE),0)</f>
        <v>2484</v>
      </c>
      <c r="M168" s="1442">
        <f t="shared" si="161"/>
        <v>31859.961538461539</v>
      </c>
      <c r="N168" s="1448">
        <f>+VLOOKUP($B168,'[68]EE Listing with Position'!$A:$H,8,FALSE)</f>
        <v>0</v>
      </c>
      <c r="O168" s="1449">
        <f t="shared" si="162"/>
        <v>34.495192307692307</v>
      </c>
      <c r="P168" s="1450">
        <f t="shared" si="163"/>
        <v>28975.961538461539</v>
      </c>
      <c r="Q168" s="1451">
        <f t="shared" si="164"/>
        <v>0</v>
      </c>
      <c r="R168" s="1451">
        <f t="shared" si="165"/>
        <v>2484</v>
      </c>
      <c r="S168" s="1442">
        <f t="shared" si="166"/>
        <v>31859.961538461539</v>
      </c>
      <c r="T168" s="1444">
        <f t="shared" si="167"/>
        <v>31859.961538461539</v>
      </c>
      <c r="U168" s="1437"/>
      <c r="V168" s="1438">
        <f>T168-M168</f>
        <v>0</v>
      </c>
      <c r="W168" s="1455">
        <f>+(2080-F168)*O168</f>
        <v>42774.038461538461</v>
      </c>
    </row>
    <row r="169" spans="1:23" ht="12.75">
      <c r="A169" s="1447">
        <v>2195</v>
      </c>
      <c r="B169" s="1533">
        <v>327365</v>
      </c>
      <c r="C169" s="1538" t="str">
        <f>VLOOKUP($B169,'[68]EE Listing with Position'!$A$2:$D$97,2,FALSE)</f>
        <v xml:space="preserve">Zachary Wonderly </v>
      </c>
      <c r="D169" s="1434" t="str">
        <f>VLOOKUP($B169,'[68]EE Listing with Position'!$A$2:$D$97,4,FALSE)</f>
        <v>Ops Supervisor</v>
      </c>
      <c r="E169" s="1438">
        <f>+IFERROR(VLOOKUP($B169,'[68]Payroll Pivots'!$A:$D,4,FALSE),0)</f>
        <v>33.653846153846153</v>
      </c>
      <c r="F169" s="1442">
        <f>+IFERROR(VLOOKUP($B169,'[68]Payroll Pivots'!$K:$M,3,FALSE),0)</f>
        <v>800</v>
      </c>
      <c r="G169" s="1442">
        <f t="shared" si="158"/>
        <v>26923.076923076922</v>
      </c>
      <c r="H169" s="1442">
        <f>+IFERROR(VLOOKUP($B169,'[68]Payroll Pivots'!$T:$V,3,FALSE),0)</f>
        <v>0</v>
      </c>
      <c r="I169" s="1442">
        <f t="shared" si="159"/>
        <v>0</v>
      </c>
      <c r="J169" s="1438">
        <f t="shared" si="160"/>
        <v>26923.076923076922</v>
      </c>
      <c r="K169" s="1442">
        <f>+IFERROR(VLOOKUP($B169,'[68]Payroll Pivots'!$AB:$AD,3,FALSE),0)</f>
        <v>525</v>
      </c>
      <c r="L169" s="1442">
        <f>+IFERROR(VLOOKUP($B169,'[68]Payroll Pivots'!$AJ:$AL,3,FALSE),0)</f>
        <v>0</v>
      </c>
      <c r="M169" s="1442">
        <f t="shared" si="161"/>
        <v>27448.076923076922</v>
      </c>
      <c r="N169" s="1448">
        <f>+VLOOKUP($B169,'[68]EE Listing with Position'!$A:$H,8,FALSE)</f>
        <v>0.03</v>
      </c>
      <c r="O169" s="1449">
        <f t="shared" si="162"/>
        <v>34.66346153846154</v>
      </c>
      <c r="P169" s="1450">
        <f t="shared" si="163"/>
        <v>27730.76923076923</v>
      </c>
      <c r="Q169" s="1451">
        <f t="shared" si="164"/>
        <v>0</v>
      </c>
      <c r="R169" s="1451">
        <f t="shared" si="165"/>
        <v>0</v>
      </c>
      <c r="S169" s="1442">
        <f t="shared" si="166"/>
        <v>28255.76923076923</v>
      </c>
      <c r="T169" s="1444">
        <f t="shared" si="167"/>
        <v>28255.76923076923</v>
      </c>
      <c r="U169" s="1437"/>
      <c r="V169" s="1438">
        <f>T169-M169</f>
        <v>807.69230769230853</v>
      </c>
      <c r="W169" s="1455">
        <f>+(2080-F169)*O169</f>
        <v>44369.230769230773</v>
      </c>
    </row>
    <row r="170" spans="1:23">
      <c r="A170" s="1447"/>
      <c r="B170" s="1469"/>
      <c r="C170" s="1434"/>
      <c r="D170" s="1434"/>
      <c r="E170" s="1434"/>
      <c r="F170" s="1434"/>
      <c r="G170" s="1434"/>
      <c r="H170" s="1434"/>
      <c r="I170" s="1435"/>
      <c r="J170" s="1434"/>
      <c r="K170" s="1434"/>
      <c r="L170" s="1434"/>
      <c r="M170" s="1434"/>
      <c r="N170" s="1434"/>
      <c r="O170" s="1434"/>
      <c r="P170" s="1434"/>
      <c r="Q170" s="1434"/>
      <c r="R170" s="1434"/>
      <c r="S170" s="1434"/>
      <c r="T170" s="1436"/>
      <c r="U170" s="1437"/>
      <c r="V170" s="1438"/>
      <c r="W170" s="1439"/>
    </row>
    <row r="171" spans="1:23">
      <c r="A171" s="1447"/>
      <c r="B171" s="1469"/>
      <c r="C171" s="1537" t="s">
        <v>1093</v>
      </c>
      <c r="D171" s="1434"/>
      <c r="E171" s="1465">
        <f t="shared" ref="E171:S171" si="168">+SUM(E166:E170)</f>
        <v>143.08021153846153</v>
      </c>
      <c r="F171" s="1465">
        <f t="shared" si="168"/>
        <v>5800</v>
      </c>
      <c r="G171" s="1465">
        <f t="shared" si="168"/>
        <v>211755.87846153846</v>
      </c>
      <c r="H171" s="1465">
        <f t="shared" si="168"/>
        <v>0</v>
      </c>
      <c r="I171" s="1465">
        <f t="shared" si="168"/>
        <v>0</v>
      </c>
      <c r="J171" s="1465">
        <f t="shared" si="168"/>
        <v>211755.87846153846</v>
      </c>
      <c r="K171" s="1465">
        <f t="shared" si="168"/>
        <v>1975</v>
      </c>
      <c r="L171" s="1465">
        <f t="shared" si="168"/>
        <v>2484</v>
      </c>
      <c r="M171" s="1465">
        <f t="shared" si="168"/>
        <v>216214.87846153846</v>
      </c>
      <c r="N171" s="1465">
        <f t="shared" si="168"/>
        <v>0.03</v>
      </c>
      <c r="O171" s="1465">
        <f t="shared" si="168"/>
        <v>144.08982692307691</v>
      </c>
      <c r="P171" s="1465">
        <f t="shared" si="168"/>
        <v>212563.57076923078</v>
      </c>
      <c r="Q171" s="1465">
        <f t="shared" si="168"/>
        <v>0</v>
      </c>
      <c r="R171" s="1465">
        <f t="shared" si="168"/>
        <v>2484</v>
      </c>
      <c r="S171" s="1465">
        <f t="shared" si="168"/>
        <v>217022.57076923078</v>
      </c>
      <c r="T171" s="1470">
        <f>+SUM(T166:T170)</f>
        <v>217022.57076923078</v>
      </c>
      <c r="U171" s="1437"/>
      <c r="V171" s="1470">
        <f>+SUM(V166:V170)</f>
        <v>807.69230769230853</v>
      </c>
      <c r="W171" s="1471">
        <f>+SUM(W166:W170)</f>
        <v>87143.269230769234</v>
      </c>
    </row>
    <row r="172" spans="1:23">
      <c r="A172" s="1447"/>
      <c r="B172" s="1469"/>
      <c r="C172" s="1434"/>
      <c r="D172" s="1434"/>
      <c r="E172" s="1434"/>
      <c r="F172" s="1434"/>
      <c r="G172" s="1434"/>
      <c r="H172" s="1434"/>
      <c r="I172" s="1435"/>
      <c r="J172" s="1434"/>
      <c r="K172" s="1434"/>
      <c r="L172" s="1434"/>
      <c r="M172" s="1434"/>
      <c r="N172" s="1434"/>
      <c r="O172" s="1434"/>
      <c r="P172" s="1434"/>
      <c r="Q172" s="1434"/>
      <c r="R172" s="1434"/>
      <c r="S172" s="1434"/>
      <c r="T172" s="1436"/>
      <c r="U172" s="1437"/>
      <c r="V172" s="1438">
        <f>+S172-M172</f>
        <v>0</v>
      </c>
      <c r="W172" s="1472"/>
    </row>
    <row r="173" spans="1:23">
      <c r="A173" s="1447"/>
      <c r="B173" s="1469"/>
      <c r="C173" s="1537" t="s">
        <v>1094</v>
      </c>
      <c r="D173" s="1434"/>
      <c r="E173" s="1465">
        <f t="shared" ref="E173:T173" si="169">+E171+E162+E131+E116+E143+E136</f>
        <v>2587.0507451923077</v>
      </c>
      <c r="F173" s="1465">
        <f t="shared" si="169"/>
        <v>168381.13511600002</v>
      </c>
      <c r="G173" s="1465">
        <f t="shared" si="169"/>
        <v>4478754.9972452717</v>
      </c>
      <c r="H173" s="1465">
        <f t="shared" si="169"/>
        <v>19572.650291999998</v>
      </c>
      <c r="I173" s="1465">
        <f t="shared" si="169"/>
        <v>779119.36836814228</v>
      </c>
      <c r="J173" s="1465">
        <f t="shared" si="169"/>
        <v>5257874.365613413</v>
      </c>
      <c r="K173" s="1465">
        <f t="shared" si="169"/>
        <v>113110.74</v>
      </c>
      <c r="L173" s="1465">
        <f t="shared" si="169"/>
        <v>142444.17000000001</v>
      </c>
      <c r="M173" s="1465">
        <f t="shared" si="169"/>
        <v>5513429.2756134132</v>
      </c>
      <c r="N173" s="1465">
        <f t="shared" si="169"/>
        <v>0.18820512820512819</v>
      </c>
      <c r="O173" s="1465">
        <f t="shared" si="169"/>
        <v>2595.3373934615383</v>
      </c>
      <c r="P173" s="1465">
        <f t="shared" si="169"/>
        <v>4488492.4348575789</v>
      </c>
      <c r="Q173" s="1465">
        <f t="shared" si="169"/>
        <v>779119.36836814228</v>
      </c>
      <c r="R173" s="1465">
        <f t="shared" si="169"/>
        <v>142444.17000000001</v>
      </c>
      <c r="S173" s="1465">
        <f t="shared" si="169"/>
        <v>5523166.7132257214</v>
      </c>
      <c r="T173" s="1470">
        <f t="shared" si="169"/>
        <v>5523166.7132257214</v>
      </c>
      <c r="U173" s="1437"/>
      <c r="V173" s="1470">
        <f>+V171+V162+V131+V116+V143+V136</f>
        <v>9737.4376123076909</v>
      </c>
      <c r="W173" s="1471">
        <f>+W171+W162+W131+W116+W143+W136</f>
        <v>152143.26923076925</v>
      </c>
    </row>
    <row r="174" spans="1:23" ht="12" thickBot="1">
      <c r="A174" s="1473"/>
      <c r="B174" s="1474"/>
      <c r="C174" s="1475"/>
      <c r="D174" s="1475"/>
      <c r="E174" s="1475"/>
      <c r="F174" s="1476">
        <f>+'[68]Payroll Pivots'!M106-'Payroll Summary (C)'!F173+'[68]J. Hill Pivot'!B16+SUM('[68]C. Miller Pivot'!B20:B21,'[68]C. Miller Pivot'!B23:B25)</f>
        <v>-7.5488060247153044E-11</v>
      </c>
      <c r="G174" s="1476"/>
      <c r="H174" s="1476">
        <f>+'[68]Payroll Pivots'!V95-'Payroll Summary (C)'!H173+'[68]C. Miller Pivot'!B22</f>
        <v>1.2647660696529783E-12</v>
      </c>
      <c r="I174" s="1476"/>
      <c r="J174" s="1475"/>
      <c r="K174" s="1476">
        <f>+'[68]Payroll Pivots'!AD95-'Payroll Summary (C)'!K173+SUM('[68]C. Miller Pivot'!C24,'[68]C. Miller Pivot'!C27:C28)</f>
        <v>-3.9563019527122378E-11</v>
      </c>
      <c r="L174" s="1476">
        <f>+'[68]Payroll Pivots'!AL62-'Payroll Summary (C)'!L173+'[68]C. Miller Pivot'!C26</f>
        <v>0</v>
      </c>
      <c r="M174" s="1476"/>
      <c r="N174" s="1475"/>
      <c r="O174" s="1475"/>
      <c r="P174" s="1475"/>
      <c r="Q174" s="1475"/>
      <c r="R174" s="1475"/>
      <c r="S174" s="1475"/>
      <c r="T174" s="1477"/>
      <c r="U174" s="1478"/>
      <c r="V174" s="1479"/>
      <c r="W174" s="1480"/>
    </row>
    <row r="175" spans="1:23" ht="9" customHeight="1" thickTop="1">
      <c r="A175" s="484"/>
      <c r="B175" s="483"/>
      <c r="C175" s="484"/>
      <c r="D175" s="485"/>
      <c r="E175" s="485"/>
      <c r="F175" s="485"/>
      <c r="G175" s="485"/>
      <c r="H175" s="485"/>
      <c r="I175" s="486"/>
      <c r="J175" s="485"/>
      <c r="K175" s="485"/>
      <c r="L175" s="485"/>
      <c r="M175" s="485"/>
      <c r="N175" s="485"/>
      <c r="O175" s="487"/>
      <c r="P175" s="485"/>
      <c r="Q175" s="485"/>
      <c r="R175" s="485"/>
      <c r="S175" s="485"/>
      <c r="T175" s="485"/>
      <c r="U175" s="484"/>
      <c r="V175" s="546"/>
      <c r="W175" s="880"/>
    </row>
    <row r="176" spans="1:23" ht="12" thickBot="1">
      <c r="A176" s="484"/>
      <c r="B176" s="483"/>
      <c r="C176" s="484"/>
      <c r="D176" s="485"/>
      <c r="E176" s="485"/>
      <c r="F176" s="485"/>
      <c r="G176" s="485"/>
      <c r="H176" s="485"/>
      <c r="I176" s="486"/>
      <c r="J176" s="485"/>
      <c r="K176" s="485"/>
      <c r="L176" s="485"/>
      <c r="M176" s="485"/>
      <c r="N176" s="485"/>
      <c r="O176" s="487"/>
      <c r="P176" s="485"/>
      <c r="Q176" s="485"/>
      <c r="R176" s="485"/>
      <c r="S176" s="485"/>
      <c r="T176" s="485"/>
      <c r="U176" s="484"/>
      <c r="V176" s="546"/>
      <c r="W176" s="880"/>
    </row>
    <row r="177" spans="1:23" ht="12.75" customHeight="1" thickTop="1">
      <c r="A177" s="1481" t="s">
        <v>1095</v>
      </c>
      <c r="B177" s="1482"/>
      <c r="C177" s="1482"/>
      <c r="D177" s="1482"/>
      <c r="E177" s="1483"/>
      <c r="F177" s="1483"/>
      <c r="G177" s="1483"/>
      <c r="H177" s="1483"/>
      <c r="I177" s="1484"/>
      <c r="J177" s="1483"/>
      <c r="K177" s="1483"/>
      <c r="L177" s="1483"/>
      <c r="M177" s="1483"/>
      <c r="N177" s="1483"/>
      <c r="O177" s="1485"/>
      <c r="P177" s="1483"/>
      <c r="Q177" s="1483"/>
      <c r="R177" s="1483"/>
      <c r="S177" s="1483"/>
      <c r="T177" s="1483"/>
      <c r="U177" s="1486"/>
      <c r="V177" s="546"/>
      <c r="W177" s="880"/>
    </row>
    <row r="178" spans="1:23">
      <c r="A178" s="1487"/>
      <c r="B178" s="1488"/>
      <c r="C178" s="1437"/>
      <c r="D178" s="1489"/>
      <c r="E178" s="1489"/>
      <c r="F178" s="1489"/>
      <c r="G178" s="1489"/>
      <c r="H178" s="1489"/>
      <c r="I178" s="1490"/>
      <c r="J178" s="1489"/>
      <c r="K178" s="1489"/>
      <c r="L178" s="1489"/>
      <c r="M178" s="1489"/>
      <c r="N178" s="1489"/>
      <c r="O178" s="1457"/>
      <c r="P178" s="1489"/>
      <c r="Q178" s="1489"/>
      <c r="R178" s="1489"/>
      <c r="S178" s="1489"/>
      <c r="T178" s="1489"/>
      <c r="U178" s="1491"/>
      <c r="V178" s="546"/>
      <c r="W178" s="880"/>
    </row>
    <row r="179" spans="1:23">
      <c r="A179" s="1492"/>
      <c r="B179" s="1493"/>
      <c r="C179" s="1494" t="s">
        <v>1096</v>
      </c>
      <c r="D179" s="1495"/>
      <c r="E179" s="1495"/>
      <c r="F179" s="1495"/>
      <c r="G179" s="1495"/>
      <c r="H179" s="1495"/>
      <c r="I179" s="1496"/>
      <c r="J179" s="1495"/>
      <c r="K179" s="1495"/>
      <c r="L179" s="1495"/>
      <c r="M179" s="1495"/>
      <c r="N179" s="1495"/>
      <c r="O179" s="1497"/>
      <c r="P179" s="1495"/>
      <c r="Q179" s="1495"/>
      <c r="R179" s="1495"/>
      <c r="S179" s="1495"/>
      <c r="T179" s="1498">
        <f>+M116</f>
        <v>3841925.5235990696</v>
      </c>
      <c r="U179" s="1491"/>
      <c r="V179" s="546"/>
      <c r="W179" s="880"/>
    </row>
    <row r="180" spans="1:23" ht="13.5" customHeight="1">
      <c r="A180" s="1487"/>
      <c r="B180" s="1488"/>
      <c r="C180" s="1437"/>
      <c r="D180" s="1489"/>
      <c r="E180" s="1489"/>
      <c r="F180" s="1489"/>
      <c r="G180" s="1489"/>
      <c r="H180" s="1489"/>
      <c r="I180" s="1490"/>
      <c r="J180" s="1489"/>
      <c r="K180" s="1489"/>
      <c r="L180" s="1489"/>
      <c r="M180" s="1489"/>
      <c r="N180" s="1489"/>
      <c r="O180" s="1457"/>
      <c r="P180" s="1489"/>
      <c r="Q180" s="1489"/>
      <c r="R180" s="1489"/>
      <c r="S180" s="1489"/>
      <c r="T180" s="1489"/>
      <c r="U180" s="1491"/>
      <c r="V180" s="546"/>
      <c r="W180" s="880"/>
    </row>
    <row r="181" spans="1:23">
      <c r="A181" s="1487"/>
      <c r="B181" s="1488"/>
      <c r="C181" s="1437"/>
      <c r="D181" s="1499" t="s">
        <v>1097</v>
      </c>
      <c r="E181" s="1489"/>
      <c r="F181" s="1489"/>
      <c r="G181" s="1489"/>
      <c r="H181" s="1489"/>
      <c r="I181" s="1490"/>
      <c r="J181" s="1489"/>
      <c r="K181" s="1489"/>
      <c r="L181" s="1489"/>
      <c r="M181" s="1489"/>
      <c r="N181" s="1489"/>
      <c r="O181" s="1457"/>
      <c r="P181" s="1489"/>
      <c r="Q181" s="1489"/>
      <c r="R181" s="1489"/>
      <c r="S181" s="1489"/>
      <c r="T181" s="1500">
        <f>+'[68]Driver JE Query'!D1356</f>
        <v>43451.189999999922</v>
      </c>
      <c r="U181" s="1491"/>
      <c r="V181" s="546"/>
      <c r="W181" s="880"/>
    </row>
    <row r="182" spans="1:23">
      <c r="A182" s="1487"/>
      <c r="B182" s="1488"/>
      <c r="C182" s="1437"/>
      <c r="D182" s="1499"/>
      <c r="E182" s="1489"/>
      <c r="F182" s="1489"/>
      <c r="G182" s="1489"/>
      <c r="H182" s="1489"/>
      <c r="I182" s="1490"/>
      <c r="J182" s="1489"/>
      <c r="K182" s="1489"/>
      <c r="L182" s="1489"/>
      <c r="M182" s="1489"/>
      <c r="N182" s="1489"/>
      <c r="O182" s="1457"/>
      <c r="P182" s="1489"/>
      <c r="Q182" s="1489"/>
      <c r="R182" s="1489"/>
      <c r="S182" s="1489"/>
      <c r="T182" s="1500"/>
      <c r="U182" s="1491"/>
      <c r="V182" s="546"/>
      <c r="W182" s="880"/>
    </row>
    <row r="183" spans="1:23">
      <c r="A183" s="1487"/>
      <c r="B183" s="1488"/>
      <c r="C183" s="1437"/>
      <c r="D183" s="1499"/>
      <c r="E183" s="1489"/>
      <c r="F183" s="1489"/>
      <c r="G183" s="1489"/>
      <c r="H183" s="1489"/>
      <c r="I183" s="1490"/>
      <c r="J183" s="1489"/>
      <c r="K183" s="1489"/>
      <c r="L183" s="1489"/>
      <c r="M183" s="1489"/>
      <c r="N183" s="1489"/>
      <c r="O183" s="1457"/>
      <c r="P183" s="1489"/>
      <c r="Q183" s="1489"/>
      <c r="R183" s="1489"/>
      <c r="S183" s="1489"/>
      <c r="T183" s="1489"/>
      <c r="U183" s="1491"/>
      <c r="V183" s="546"/>
      <c r="W183" s="880"/>
    </row>
    <row r="184" spans="1:23">
      <c r="A184" s="1487"/>
      <c r="B184" s="1488"/>
      <c r="C184" s="1437"/>
      <c r="D184" s="1437"/>
      <c r="E184" s="1489"/>
      <c r="F184" s="1489"/>
      <c r="G184" s="1489"/>
      <c r="H184" s="1489"/>
      <c r="I184" s="1490"/>
      <c r="J184" s="1489"/>
      <c r="K184" s="1489"/>
      <c r="L184" s="1489"/>
      <c r="M184" s="1489"/>
      <c r="N184" s="1489"/>
      <c r="O184" s="1457"/>
      <c r="P184" s="1489"/>
      <c r="Q184" s="1489"/>
      <c r="R184" s="1489"/>
      <c r="S184" s="1489"/>
      <c r="T184" s="1501" t="s">
        <v>933</v>
      </c>
      <c r="U184" s="1491"/>
      <c r="V184" s="546"/>
      <c r="W184" s="880"/>
    </row>
    <row r="185" spans="1:23">
      <c r="A185" s="1487"/>
      <c r="B185" s="1488"/>
      <c r="C185" s="1499">
        <v>50010</v>
      </c>
      <c r="D185" s="1499" t="s">
        <v>62</v>
      </c>
      <c r="E185" s="1489"/>
      <c r="F185" s="1489"/>
      <c r="G185" s="1489"/>
      <c r="H185" s="1489"/>
      <c r="I185" s="1490"/>
      <c r="J185" s="1489"/>
      <c r="K185" s="1489"/>
      <c r="L185" s="1489"/>
      <c r="M185" s="1489"/>
      <c r="N185" s="1489"/>
      <c r="O185" s="1457"/>
      <c r="P185" s="1489"/>
      <c r="Q185" s="1489"/>
      <c r="R185" s="1489"/>
      <c r="S185" s="1489"/>
      <c r="T185" s="1442">
        <f>+IFERROR(VLOOKUP($C185,'[68]2195 IS210'!$D:$AH,31,FALSE),0)</f>
        <v>0</v>
      </c>
      <c r="U185" s="1491"/>
      <c r="V185" s="546"/>
      <c r="W185" s="880"/>
    </row>
    <row r="186" spans="1:23">
      <c r="A186" s="1487"/>
      <c r="B186" s="1488"/>
      <c r="C186" s="1502">
        <v>50020</v>
      </c>
      <c r="D186" s="1502" t="s">
        <v>63</v>
      </c>
      <c r="E186" s="1503"/>
      <c r="F186" s="1503"/>
      <c r="G186" s="1503"/>
      <c r="H186" s="1503"/>
      <c r="I186" s="1504"/>
      <c r="J186" s="1503"/>
      <c r="K186" s="1503"/>
      <c r="L186" s="1503"/>
      <c r="M186" s="1503"/>
      <c r="N186" s="1503"/>
      <c r="O186" s="1505"/>
      <c r="P186" s="1503"/>
      <c r="Q186" s="1503"/>
      <c r="R186" s="1503"/>
      <c r="S186" s="1503"/>
      <c r="T186" s="1442">
        <f>+IFERROR(VLOOKUP($C186,'[68]2195 IS210'!$D:$AH,31,FALSE),0)</f>
        <v>2555726.62</v>
      </c>
      <c r="U186" s="1439"/>
      <c r="V186" s="546"/>
      <c r="W186" s="880"/>
    </row>
    <row r="187" spans="1:23">
      <c r="A187" s="1487"/>
      <c r="B187" s="1488"/>
      <c r="C187" s="1502">
        <v>50025</v>
      </c>
      <c r="D187" s="1502" t="s">
        <v>64</v>
      </c>
      <c r="E187" s="1503"/>
      <c r="F187" s="1503"/>
      <c r="G187" s="1503"/>
      <c r="H187" s="1503"/>
      <c r="I187" s="1504"/>
      <c r="J187" s="1503"/>
      <c r="K187" s="1503"/>
      <c r="L187" s="1503"/>
      <c r="M187" s="1503"/>
      <c r="N187" s="1503"/>
      <c r="O187" s="1505"/>
      <c r="P187" s="1503"/>
      <c r="Q187" s="1503"/>
      <c r="R187" s="1503"/>
      <c r="S187" s="1503"/>
      <c r="T187" s="1442">
        <f>+IFERROR(VLOOKUP($C187,'[68]2195 IS210'!$D:$AH,31,FALSE),0)</f>
        <v>676992.59</v>
      </c>
      <c r="U187" s="1491"/>
      <c r="V187" s="506"/>
      <c r="W187" s="881"/>
    </row>
    <row r="188" spans="1:23">
      <c r="A188" s="1487"/>
      <c r="B188" s="1488"/>
      <c r="C188" s="1502">
        <v>50035</v>
      </c>
      <c r="D188" s="1506" t="s">
        <v>65</v>
      </c>
      <c r="E188" s="1503"/>
      <c r="F188" s="1503"/>
      <c r="G188" s="1503"/>
      <c r="H188" s="1503"/>
      <c r="I188" s="1504"/>
      <c r="J188" s="1503"/>
      <c r="K188" s="1503"/>
      <c r="L188" s="1503"/>
      <c r="M188" s="1503"/>
      <c r="N188" s="1503"/>
      <c r="O188" s="1505"/>
      <c r="P188" s="1503"/>
      <c r="Q188" s="1503"/>
      <c r="R188" s="1503"/>
      <c r="S188" s="1503"/>
      <c r="T188" s="1442">
        <f>+IFERROR(VLOOKUP($C188,'[68]2195 IS210'!$D:$AH,31,FALSE),0)</f>
        <v>56129.120000000003</v>
      </c>
      <c r="U188" s="1491"/>
      <c r="V188" s="506"/>
      <c r="W188" s="881"/>
    </row>
    <row r="189" spans="1:23">
      <c r="A189" s="1487"/>
      <c r="B189" s="1488"/>
      <c r="C189" s="1502">
        <v>50036</v>
      </c>
      <c r="D189" s="1506" t="s">
        <v>1098</v>
      </c>
      <c r="E189" s="1503"/>
      <c r="F189" s="1503"/>
      <c r="G189" s="1503"/>
      <c r="H189" s="1503"/>
      <c r="I189" s="1504"/>
      <c r="J189" s="1503"/>
      <c r="K189" s="1503"/>
      <c r="L189" s="1503"/>
      <c r="M189" s="1503"/>
      <c r="N189" s="1503"/>
      <c r="O189" s="1505"/>
      <c r="P189" s="1503"/>
      <c r="Q189" s="1503"/>
      <c r="R189" s="1503"/>
      <c r="S189" s="1503"/>
      <c r="T189" s="1442">
        <f>+IFERROR(VLOOKUP($C189,'[68]2195 IS210'!$D:$AH,31,FALSE),0)</f>
        <v>22651.48</v>
      </c>
      <c r="U189" s="1491"/>
      <c r="V189" s="546"/>
      <c r="W189" s="880"/>
    </row>
    <row r="190" spans="1:23">
      <c r="A190" s="1487"/>
      <c r="B190" s="1488"/>
      <c r="C190" s="1502">
        <v>50065</v>
      </c>
      <c r="D190" s="1502" t="s">
        <v>70</v>
      </c>
      <c r="E190" s="1503"/>
      <c r="F190" s="1503"/>
      <c r="G190" s="1503"/>
      <c r="H190" s="1503"/>
      <c r="I190" s="1504"/>
      <c r="J190" s="1503"/>
      <c r="K190" s="1503"/>
      <c r="L190" s="1503"/>
      <c r="M190" s="1503"/>
      <c r="N190" s="1503"/>
      <c r="O190" s="1505"/>
      <c r="P190" s="1503"/>
      <c r="Q190" s="1503"/>
      <c r="R190" s="1503"/>
      <c r="S190" s="1503"/>
      <c r="T190" s="1442">
        <f>+IFERROR(VLOOKUP($C190,'[68]2195 IS210'!$D:$AH,31,FALSE),0)</f>
        <v>162004.59000000003</v>
      </c>
      <c r="U190" s="1491"/>
      <c r="V190" s="546"/>
      <c r="W190" s="880"/>
    </row>
    <row r="191" spans="1:23">
      <c r="A191" s="1487"/>
      <c r="B191" s="1488"/>
      <c r="C191" s="1502">
        <v>50070</v>
      </c>
      <c r="D191" s="1502" t="s">
        <v>71</v>
      </c>
      <c r="E191" s="1503"/>
      <c r="F191" s="1503"/>
      <c r="G191" s="1503"/>
      <c r="H191" s="1503"/>
      <c r="I191" s="1504"/>
      <c r="J191" s="1503"/>
      <c r="K191" s="1503"/>
      <c r="L191" s="1503"/>
      <c r="M191" s="1503"/>
      <c r="N191" s="1503"/>
      <c r="O191" s="1505"/>
      <c r="P191" s="1503"/>
      <c r="Q191" s="1503"/>
      <c r="R191" s="1503"/>
      <c r="S191" s="1503"/>
      <c r="T191" s="1507">
        <f>+IFERROR(VLOOKUP($C191,'[68]2195 IS210'!$D:$AH,31,FALSE),0)</f>
        <v>173049.71</v>
      </c>
      <c r="U191" s="1491"/>
      <c r="V191" s="546"/>
      <c r="W191" s="880"/>
    </row>
    <row r="192" spans="1:23">
      <c r="A192" s="1487"/>
      <c r="B192" s="1488"/>
      <c r="C192" s="1503"/>
      <c r="D192" s="1503"/>
      <c r="E192" s="1503"/>
      <c r="F192" s="1503"/>
      <c r="G192" s="1503"/>
      <c r="H192" s="1503"/>
      <c r="I192" s="1504"/>
      <c r="J192" s="1503"/>
      <c r="K192" s="1503"/>
      <c r="L192" s="1503"/>
      <c r="M192" s="1503"/>
      <c r="N192" s="1503"/>
      <c r="O192" s="1505"/>
      <c r="P192" s="1503"/>
      <c r="Q192" s="1503"/>
      <c r="R192" s="1503"/>
      <c r="S192" s="1503"/>
      <c r="T192" s="1442">
        <f>SUM(T185:T191)</f>
        <v>3646554.11</v>
      </c>
      <c r="U192" s="1491"/>
      <c r="V192" s="546"/>
      <c r="W192" s="880"/>
    </row>
    <row r="193" spans="1:23">
      <c r="A193" s="1487"/>
      <c r="B193" s="1488"/>
      <c r="C193" s="1503"/>
      <c r="D193" s="1503"/>
      <c r="E193" s="1503"/>
      <c r="F193" s="1503"/>
      <c r="G193" s="1503"/>
      <c r="H193" s="1503"/>
      <c r="I193" s="1504"/>
      <c r="J193" s="1503"/>
      <c r="K193" s="1503"/>
      <c r="L193" s="1503"/>
      <c r="M193" s="1503"/>
      <c r="N193" s="1503"/>
      <c r="O193" s="1505"/>
      <c r="P193" s="1503"/>
      <c r="Q193" s="1503"/>
      <c r="R193" s="1503"/>
      <c r="S193" s="1503"/>
      <c r="T193" s="1508"/>
      <c r="U193" s="1491"/>
      <c r="V193" s="546"/>
      <c r="W193" s="880"/>
    </row>
    <row r="194" spans="1:23">
      <c r="A194" s="1487"/>
      <c r="B194" s="1488"/>
      <c r="C194" s="1503"/>
      <c r="D194" s="1506" t="s">
        <v>193</v>
      </c>
      <c r="E194" s="1509"/>
      <c r="F194" s="1509"/>
      <c r="G194" s="1509"/>
      <c r="H194" s="1509"/>
      <c r="I194" s="1490"/>
      <c r="J194" s="1509"/>
      <c r="K194" s="1509"/>
      <c r="L194" s="1509"/>
      <c r="M194" s="1509"/>
      <c r="N194" s="1509"/>
      <c r="O194" s="1510"/>
      <c r="P194" s="1509"/>
      <c r="Q194" s="1509"/>
      <c r="R194" s="1509"/>
      <c r="S194" s="1509"/>
      <c r="T194" s="1508">
        <f>T179+T181-T192</f>
        <v>238822.60359906964</v>
      </c>
      <c r="U194" s="1511">
        <f>T194/T192</f>
        <v>6.5492680595124822E-2</v>
      </c>
      <c r="V194" s="546"/>
      <c r="W194" s="880"/>
    </row>
    <row r="195" spans="1:23" s="474" customFormat="1">
      <c r="A195" s="1512"/>
      <c r="B195" s="1488"/>
      <c r="C195" s="1437"/>
      <c r="D195" s="1489"/>
      <c r="E195" s="1489"/>
      <c r="F195" s="1489"/>
      <c r="G195" s="1489"/>
      <c r="H195" s="1489"/>
      <c r="I195" s="1490"/>
      <c r="J195" s="1489"/>
      <c r="K195" s="1489"/>
      <c r="L195" s="1489"/>
      <c r="M195" s="1489"/>
      <c r="N195" s="1489"/>
      <c r="O195" s="1457"/>
      <c r="P195" s="1489"/>
      <c r="Q195" s="1489"/>
      <c r="R195" s="1489"/>
      <c r="S195" s="1489"/>
      <c r="T195" s="1442"/>
      <c r="U195" s="1491"/>
      <c r="V195" s="546"/>
      <c r="W195" s="880"/>
    </row>
    <row r="196" spans="1:23">
      <c r="A196" s="1487"/>
      <c r="B196" s="1488"/>
      <c r="C196" s="1437"/>
      <c r="D196" s="1489"/>
      <c r="E196" s="1489"/>
      <c r="F196" s="1489"/>
      <c r="G196" s="1489"/>
      <c r="H196" s="1489"/>
      <c r="I196" s="1490"/>
      <c r="J196" s="1489"/>
      <c r="K196" s="1489"/>
      <c r="L196" s="1489"/>
      <c r="M196" s="1489"/>
      <c r="N196" s="1489"/>
      <c r="O196" s="1457"/>
      <c r="P196" s="1489"/>
      <c r="Q196" s="1489"/>
      <c r="R196" s="1489"/>
      <c r="S196" s="1489"/>
      <c r="T196" s="1507"/>
      <c r="U196" s="1491"/>
      <c r="V196" s="546"/>
      <c r="W196" s="880"/>
    </row>
    <row r="197" spans="1:23">
      <c r="A197" s="1513"/>
      <c r="B197" s="1514"/>
      <c r="C197" s="1497" t="s">
        <v>1099</v>
      </c>
      <c r="D197" s="1515"/>
      <c r="E197" s="1515"/>
      <c r="F197" s="1515"/>
      <c r="G197" s="1515"/>
      <c r="H197" s="1515"/>
      <c r="I197" s="1516"/>
      <c r="J197" s="1515"/>
      <c r="K197" s="1515"/>
      <c r="L197" s="1515"/>
      <c r="M197" s="1515"/>
      <c r="N197" s="1515"/>
      <c r="O197" s="1517"/>
      <c r="P197" s="1515"/>
      <c r="Q197" s="1515"/>
      <c r="R197" s="1515"/>
      <c r="S197" s="1515"/>
      <c r="T197" s="1498">
        <f>M131</f>
        <v>717566.91811277636</v>
      </c>
      <c r="U197" s="1491"/>
      <c r="V197" s="506"/>
      <c r="W197" s="881"/>
    </row>
    <row r="198" spans="1:23">
      <c r="A198" s="1487"/>
      <c r="B198" s="1488"/>
      <c r="C198" s="1437"/>
      <c r="D198" s="1437"/>
      <c r="E198" s="1489"/>
      <c r="F198" s="1489"/>
      <c r="G198" s="1489"/>
      <c r="H198" s="1489"/>
      <c r="I198" s="1490"/>
      <c r="J198" s="1489"/>
      <c r="K198" s="1489"/>
      <c r="L198" s="1489"/>
      <c r="M198" s="1489"/>
      <c r="N198" s="1489"/>
      <c r="O198" s="1457"/>
      <c r="P198" s="1489"/>
      <c r="Q198" s="1489"/>
      <c r="R198" s="1489"/>
      <c r="S198" s="1489"/>
      <c r="T198" s="1489"/>
      <c r="U198" s="1491"/>
      <c r="V198" s="546"/>
      <c r="W198" s="880"/>
    </row>
    <row r="199" spans="1:23">
      <c r="A199" s="1487"/>
      <c r="B199" s="1488"/>
      <c r="C199" s="1437"/>
      <c r="D199" s="1499" t="s">
        <v>1097</v>
      </c>
      <c r="E199" s="1489"/>
      <c r="F199" s="1489"/>
      <c r="G199" s="1489"/>
      <c r="H199" s="1489"/>
      <c r="I199" s="1490"/>
      <c r="J199" s="1489"/>
      <c r="K199" s="1489"/>
      <c r="L199" s="1489"/>
      <c r="M199" s="1489"/>
      <c r="N199" s="1489"/>
      <c r="O199" s="1457"/>
      <c r="P199" s="1489"/>
      <c r="Q199" s="1489"/>
      <c r="R199" s="1489"/>
      <c r="S199" s="1489"/>
      <c r="T199" s="1500">
        <f>+'[68]TV JE Query'!D724</f>
        <v>27978.69000000001</v>
      </c>
      <c r="U199" s="1491"/>
      <c r="V199" s="546"/>
      <c r="W199" s="880"/>
    </row>
    <row r="200" spans="1:23">
      <c r="A200" s="1487"/>
      <c r="B200" s="1488"/>
      <c r="C200" s="1437"/>
      <c r="D200" s="1499" t="s">
        <v>1100</v>
      </c>
      <c r="E200" s="1489"/>
      <c r="F200" s="1489"/>
      <c r="G200" s="1489"/>
      <c r="H200" s="1489"/>
      <c r="I200" s="1490"/>
      <c r="J200" s="1489"/>
      <c r="K200" s="1489"/>
      <c r="L200" s="1489"/>
      <c r="M200" s="1489"/>
      <c r="N200" s="1489"/>
      <c r="O200" s="1457"/>
      <c r="P200" s="1489"/>
      <c r="Q200" s="1489"/>
      <c r="R200" s="1489"/>
      <c r="S200" s="1489"/>
      <c r="T200" s="1489"/>
      <c r="U200" s="1491"/>
      <c r="V200" s="546"/>
      <c r="W200" s="880"/>
    </row>
    <row r="201" spans="1:23">
      <c r="A201" s="1487"/>
      <c r="B201" s="1488"/>
      <c r="C201" s="1437"/>
      <c r="D201" s="1499"/>
      <c r="E201" s="1489"/>
      <c r="F201" s="1489"/>
      <c r="G201" s="1489"/>
      <c r="H201" s="1489"/>
      <c r="I201" s="1490"/>
      <c r="J201" s="1489"/>
      <c r="K201" s="1489"/>
      <c r="L201" s="1489"/>
      <c r="M201" s="1489"/>
      <c r="N201" s="1489"/>
      <c r="O201" s="1457"/>
      <c r="P201" s="1489"/>
      <c r="Q201" s="1489"/>
      <c r="R201" s="1489"/>
      <c r="S201" s="1489"/>
      <c r="T201" s="1489"/>
      <c r="U201" s="1491"/>
      <c r="V201" s="546"/>
      <c r="W201" s="880"/>
    </row>
    <row r="202" spans="1:23">
      <c r="A202" s="1487"/>
      <c r="B202" s="1488"/>
      <c r="C202" s="1437"/>
      <c r="D202" s="1437"/>
      <c r="E202" s="1489"/>
      <c r="F202" s="1489"/>
      <c r="G202" s="1489"/>
      <c r="H202" s="1489"/>
      <c r="I202" s="1490"/>
      <c r="J202" s="1489"/>
      <c r="K202" s="1489"/>
      <c r="L202" s="1489"/>
      <c r="M202" s="1489"/>
      <c r="N202" s="1489"/>
      <c r="O202" s="1457"/>
      <c r="P202" s="1489"/>
      <c r="Q202" s="1489"/>
      <c r="R202" s="1489"/>
      <c r="S202" s="1489"/>
      <c r="T202" s="1501" t="s">
        <v>933</v>
      </c>
      <c r="U202" s="1491"/>
      <c r="V202" s="546"/>
      <c r="W202" s="880"/>
    </row>
    <row r="203" spans="1:23">
      <c r="A203" s="1487"/>
      <c r="B203" s="1488"/>
      <c r="C203" s="1502">
        <v>52010</v>
      </c>
      <c r="D203" s="1502" t="s">
        <v>62</v>
      </c>
      <c r="E203" s="1489"/>
      <c r="F203" s="1489"/>
      <c r="G203" s="1489"/>
      <c r="H203" s="1489"/>
      <c r="I203" s="1490"/>
      <c r="J203" s="1489"/>
      <c r="K203" s="1489"/>
      <c r="L203" s="1489"/>
      <c r="M203" s="1489"/>
      <c r="N203" s="1489"/>
      <c r="O203" s="1457"/>
      <c r="P203" s="1489"/>
      <c r="Q203" s="1489"/>
      <c r="R203" s="1489"/>
      <c r="S203" s="1489"/>
      <c r="T203" s="1442">
        <f>+IFERROR(VLOOKUP($C203,'[68]2195 IS210'!$D:$AH,31,FALSE),0)</f>
        <v>104033.16</v>
      </c>
      <c r="U203" s="1518">
        <f>+T203/T210</f>
        <v>0.15075210815775114</v>
      </c>
      <c r="V203" s="546"/>
      <c r="W203" s="880"/>
    </row>
    <row r="204" spans="1:23">
      <c r="A204" s="1487"/>
      <c r="B204" s="1488"/>
      <c r="C204" s="1502">
        <v>52020</v>
      </c>
      <c r="D204" s="1502" t="s">
        <v>63</v>
      </c>
      <c r="E204" s="1503"/>
      <c r="F204" s="1503"/>
      <c r="G204" s="1503"/>
      <c r="H204" s="1503"/>
      <c r="I204" s="1504"/>
      <c r="J204" s="1503"/>
      <c r="K204" s="1503"/>
      <c r="L204" s="1503"/>
      <c r="M204" s="1503"/>
      <c r="N204" s="1503"/>
      <c r="O204" s="1505"/>
      <c r="P204" s="1503"/>
      <c r="Q204" s="1503"/>
      <c r="R204" s="1503"/>
      <c r="S204" s="1503"/>
      <c r="T204" s="1442">
        <f>+IFERROR(VLOOKUP($C204,'[68]2195 IS210'!$D:$AH,31,FALSE),0)</f>
        <v>468259.98</v>
      </c>
      <c r="U204" s="1491"/>
      <c r="V204" s="546"/>
      <c r="W204" s="880"/>
    </row>
    <row r="205" spans="1:23">
      <c r="A205" s="1487"/>
      <c r="B205" s="1488"/>
      <c r="C205" s="1502">
        <v>52025</v>
      </c>
      <c r="D205" s="1502" t="s">
        <v>64</v>
      </c>
      <c r="E205" s="1503"/>
      <c r="F205" s="1503"/>
      <c r="G205" s="1503"/>
      <c r="H205" s="1503"/>
      <c r="I205" s="1504"/>
      <c r="J205" s="1503"/>
      <c r="K205" s="1503"/>
      <c r="L205" s="1503"/>
      <c r="M205" s="1503"/>
      <c r="N205" s="1503"/>
      <c r="O205" s="1505"/>
      <c r="P205" s="1503"/>
      <c r="Q205" s="1503"/>
      <c r="R205" s="1503"/>
      <c r="S205" s="1503"/>
      <c r="T205" s="1442">
        <f>+IFERROR(VLOOKUP($C205,'[68]2195 IS210'!$D:$AH,31,FALSE),0)</f>
        <v>50090.879999999997</v>
      </c>
      <c r="U205" s="1491"/>
      <c r="V205" s="546"/>
      <c r="W205" s="880"/>
    </row>
    <row r="206" spans="1:23">
      <c r="A206" s="1487"/>
      <c r="B206" s="1488"/>
      <c r="C206" s="1502">
        <v>52035</v>
      </c>
      <c r="D206" s="1506" t="s">
        <v>65</v>
      </c>
      <c r="E206" s="1503"/>
      <c r="F206" s="1503"/>
      <c r="G206" s="1503"/>
      <c r="H206" s="1503"/>
      <c r="I206" s="1504"/>
      <c r="J206" s="1503"/>
      <c r="K206" s="1503"/>
      <c r="L206" s="1503"/>
      <c r="M206" s="1503"/>
      <c r="N206" s="1503"/>
      <c r="O206" s="1505"/>
      <c r="P206" s="1503"/>
      <c r="Q206" s="1503"/>
      <c r="R206" s="1503"/>
      <c r="S206" s="1503"/>
      <c r="T206" s="1442">
        <f>+IFERROR(VLOOKUP($C206,'[68]2195 IS210'!$D:$AH,31,FALSE),0)</f>
        <v>12338.41</v>
      </c>
      <c r="U206" s="1491"/>
      <c r="V206" s="506"/>
      <c r="W206" s="881"/>
    </row>
    <row r="207" spans="1:23">
      <c r="A207" s="1487"/>
      <c r="B207" s="1488"/>
      <c r="C207" s="1502">
        <v>52036</v>
      </c>
      <c r="D207" s="1506" t="s">
        <v>1098</v>
      </c>
      <c r="E207" s="1503"/>
      <c r="F207" s="1503"/>
      <c r="G207" s="1503"/>
      <c r="H207" s="1503"/>
      <c r="I207" s="1504"/>
      <c r="J207" s="1503"/>
      <c r="K207" s="1503"/>
      <c r="L207" s="1503"/>
      <c r="M207" s="1503"/>
      <c r="N207" s="1503"/>
      <c r="O207" s="1505"/>
      <c r="P207" s="1503"/>
      <c r="Q207" s="1503"/>
      <c r="R207" s="1503"/>
      <c r="S207" s="1503"/>
      <c r="T207" s="1442">
        <f>+IFERROR(VLOOKUP($C207,'[68]2195 IS210'!$D:$AH,31,FALSE),0)</f>
        <v>12228.02</v>
      </c>
      <c r="U207" s="1491"/>
      <c r="V207" s="546"/>
      <c r="W207" s="880"/>
    </row>
    <row r="208" spans="1:23">
      <c r="A208" s="1487"/>
      <c r="B208" s="1488"/>
      <c r="C208" s="1502">
        <v>52065</v>
      </c>
      <c r="D208" s="1502" t="s">
        <v>70</v>
      </c>
      <c r="E208" s="1503"/>
      <c r="F208" s="1503"/>
      <c r="G208" s="1503"/>
      <c r="H208" s="1503"/>
      <c r="I208" s="1504"/>
      <c r="J208" s="1503"/>
      <c r="K208" s="1503"/>
      <c r="L208" s="1503"/>
      <c r="M208" s="1503"/>
      <c r="N208" s="1503"/>
      <c r="O208" s="1505"/>
      <c r="P208" s="1503"/>
      <c r="Q208" s="1503"/>
      <c r="R208" s="1503"/>
      <c r="S208" s="1503"/>
      <c r="T208" s="1442">
        <f>+IFERROR(VLOOKUP($C208,'[68]2195 IS210'!$D:$AH,31,FALSE),0)</f>
        <v>19422.98</v>
      </c>
      <c r="U208" s="1491"/>
      <c r="V208" s="546"/>
      <c r="W208" s="880"/>
    </row>
    <row r="209" spans="1:23">
      <c r="A209" s="1487"/>
      <c r="B209" s="1488"/>
      <c r="C209" s="1502">
        <v>52070</v>
      </c>
      <c r="D209" s="1502" t="s">
        <v>71</v>
      </c>
      <c r="E209" s="1503"/>
      <c r="F209" s="1503"/>
      <c r="G209" s="1503"/>
      <c r="H209" s="1503"/>
      <c r="I209" s="1504"/>
      <c r="J209" s="1503"/>
      <c r="K209" s="1503"/>
      <c r="L209" s="1503"/>
      <c r="M209" s="1503"/>
      <c r="N209" s="1503"/>
      <c r="O209" s="1505"/>
      <c r="P209" s="1503"/>
      <c r="Q209" s="1503"/>
      <c r="R209" s="1503"/>
      <c r="S209" s="1503"/>
      <c r="T209" s="1507">
        <f>+IFERROR(VLOOKUP($C209,'[68]2195 IS210'!$D:$AH,31,FALSE),0)</f>
        <v>23720.799999999999</v>
      </c>
      <c r="U209" s="1491"/>
      <c r="V209" s="546"/>
      <c r="W209" s="880"/>
    </row>
    <row r="210" spans="1:23">
      <c r="A210" s="1487"/>
      <c r="B210" s="1488"/>
      <c r="C210" s="1503"/>
      <c r="D210" s="1503"/>
      <c r="E210" s="1503"/>
      <c r="F210" s="1503"/>
      <c r="G210" s="1503"/>
      <c r="H210" s="1503"/>
      <c r="I210" s="1504"/>
      <c r="J210" s="1503"/>
      <c r="K210" s="1503"/>
      <c r="L210" s="1503"/>
      <c r="M210" s="1503"/>
      <c r="N210" s="1503"/>
      <c r="O210" s="1505"/>
      <c r="P210" s="1503"/>
      <c r="Q210" s="1503"/>
      <c r="R210" s="1503"/>
      <c r="S210" s="1503"/>
      <c r="T210" s="1442">
        <f>SUM(T203:T209)</f>
        <v>690094.2300000001</v>
      </c>
      <c r="U210" s="1491"/>
      <c r="V210" s="546"/>
      <c r="W210" s="880"/>
    </row>
    <row r="211" spans="1:23">
      <c r="A211" s="1487"/>
      <c r="B211" s="1488"/>
      <c r="C211" s="1503"/>
      <c r="D211" s="1503"/>
      <c r="E211" s="1503"/>
      <c r="F211" s="1503"/>
      <c r="G211" s="1503"/>
      <c r="H211" s="1503"/>
      <c r="I211" s="1504"/>
      <c r="J211" s="1503"/>
      <c r="K211" s="1503"/>
      <c r="L211" s="1503"/>
      <c r="M211" s="1503"/>
      <c r="N211" s="1503"/>
      <c r="O211" s="1505"/>
      <c r="P211" s="1503"/>
      <c r="Q211" s="1503"/>
      <c r="R211" s="1503"/>
      <c r="S211" s="1503"/>
      <c r="T211" s="1508"/>
      <c r="U211" s="1491"/>
      <c r="V211" s="546"/>
      <c r="W211" s="880"/>
    </row>
    <row r="212" spans="1:23">
      <c r="A212" s="1487"/>
      <c r="B212" s="1488"/>
      <c r="C212" s="1503"/>
      <c r="D212" s="1509" t="s">
        <v>193</v>
      </c>
      <c r="E212" s="1509"/>
      <c r="F212" s="1509"/>
      <c r="G212" s="1509"/>
      <c r="H212" s="1509"/>
      <c r="I212" s="1490"/>
      <c r="J212" s="1509"/>
      <c r="K212" s="1509"/>
      <c r="L212" s="1509"/>
      <c r="M212" s="1509"/>
      <c r="N212" s="1509"/>
      <c r="O212" s="1510"/>
      <c r="P212" s="1509"/>
      <c r="Q212" s="1509"/>
      <c r="R212" s="1509"/>
      <c r="S212" s="1509"/>
      <c r="T212" s="1508">
        <f>T197+T199-T210</f>
        <v>55451.378112776321</v>
      </c>
      <c r="U212" s="1511">
        <f>T212/T210</f>
        <v>8.0353342633768018E-2</v>
      </c>
      <c r="V212" s="546"/>
      <c r="W212" s="880"/>
    </row>
    <row r="213" spans="1:23" s="474" customFormat="1">
      <c r="A213" s="1512"/>
      <c r="B213" s="1488"/>
      <c r="C213" s="1437"/>
      <c r="D213" s="1489"/>
      <c r="E213" s="1489"/>
      <c r="F213" s="1489"/>
      <c r="G213" s="1489"/>
      <c r="H213" s="1489"/>
      <c r="I213" s="1490"/>
      <c r="J213" s="1489"/>
      <c r="K213" s="1489"/>
      <c r="L213" s="1489"/>
      <c r="M213" s="1489"/>
      <c r="N213" s="1489"/>
      <c r="O213" s="1457"/>
      <c r="P213" s="1489"/>
      <c r="Q213" s="1489"/>
      <c r="R213" s="1489"/>
      <c r="S213" s="1489"/>
      <c r="T213" s="1489"/>
      <c r="U213" s="1491"/>
      <c r="V213" s="546"/>
      <c r="W213" s="880"/>
    </row>
    <row r="214" spans="1:23">
      <c r="A214" s="1487"/>
      <c r="B214" s="1488"/>
      <c r="C214" s="1437"/>
      <c r="D214" s="1489"/>
      <c r="E214" s="1489"/>
      <c r="F214" s="1489"/>
      <c r="G214" s="1489"/>
      <c r="H214" s="1489"/>
      <c r="I214" s="1490"/>
      <c r="J214" s="1489"/>
      <c r="K214" s="1489"/>
      <c r="L214" s="1489"/>
      <c r="M214" s="1489"/>
      <c r="N214" s="1489"/>
      <c r="O214" s="1457"/>
      <c r="P214" s="1489"/>
      <c r="Q214" s="1489"/>
      <c r="R214" s="1489"/>
      <c r="S214" s="1489"/>
      <c r="T214" s="1489"/>
      <c r="U214" s="1491"/>
      <c r="V214" s="546"/>
      <c r="W214" s="880"/>
    </row>
    <row r="215" spans="1:23" s="508" customFormat="1">
      <c r="A215" s="1487"/>
      <c r="B215" s="1488"/>
      <c r="C215" s="1437"/>
      <c r="D215" s="1489"/>
      <c r="E215" s="1489"/>
      <c r="F215" s="1489"/>
      <c r="G215" s="1489"/>
      <c r="H215" s="1489"/>
      <c r="I215" s="1490"/>
      <c r="J215" s="1489"/>
      <c r="K215" s="1489"/>
      <c r="L215" s="1489"/>
      <c r="M215" s="1489"/>
      <c r="N215" s="1489"/>
      <c r="O215" s="1457"/>
      <c r="P215" s="1489"/>
      <c r="Q215" s="1489"/>
      <c r="R215" s="1489"/>
      <c r="S215" s="1489"/>
      <c r="T215" s="1489"/>
      <c r="U215" s="1491"/>
      <c r="V215" s="506"/>
      <c r="W215" s="881"/>
    </row>
    <row r="216" spans="1:23" hidden="1">
      <c r="A216" s="1513"/>
      <c r="B216" s="1514"/>
      <c r="C216" s="1497" t="s">
        <v>1101</v>
      </c>
      <c r="D216" s="1515"/>
      <c r="E216" s="1515"/>
      <c r="F216" s="1515"/>
      <c r="G216" s="1515"/>
      <c r="H216" s="1515"/>
      <c r="I216" s="1516"/>
      <c r="J216" s="1515"/>
      <c r="K216" s="1515"/>
      <c r="L216" s="1515"/>
      <c r="M216" s="1515"/>
      <c r="N216" s="1515"/>
      <c r="O216" s="1517"/>
      <c r="P216" s="1515"/>
      <c r="Q216" s="1515"/>
      <c r="R216" s="1515"/>
      <c r="S216" s="1515"/>
      <c r="T216" s="1498">
        <f>+M136</f>
        <v>0</v>
      </c>
      <c r="U216" s="1491"/>
      <c r="V216" s="506"/>
      <c r="W216" s="881"/>
    </row>
    <row r="217" spans="1:23" hidden="1">
      <c r="A217" s="1487"/>
      <c r="B217" s="1488"/>
      <c r="C217" s="1437"/>
      <c r="D217" s="1499" t="s">
        <v>1097</v>
      </c>
      <c r="E217" s="1489"/>
      <c r="F217" s="1489"/>
      <c r="G217" s="1489"/>
      <c r="H217" s="1489"/>
      <c r="I217" s="1490"/>
      <c r="J217" s="1489"/>
      <c r="K217" s="1489"/>
      <c r="L217" s="1489"/>
      <c r="M217" s="1489"/>
      <c r="N217" s="1489"/>
      <c r="O217" s="1457"/>
      <c r="P217" s="1489"/>
      <c r="Q217" s="1489"/>
      <c r="R217" s="1489"/>
      <c r="S217" s="1489"/>
      <c r="T217" s="1500">
        <v>0</v>
      </c>
      <c r="U217" s="1491"/>
      <c r="V217" s="506"/>
      <c r="W217" s="881"/>
    </row>
    <row r="218" spans="1:23" hidden="1">
      <c r="A218" s="1487"/>
      <c r="B218" s="1488"/>
      <c r="C218" s="1437"/>
      <c r="D218" s="1499" t="s">
        <v>1100</v>
      </c>
      <c r="E218" s="1489"/>
      <c r="F218" s="1489"/>
      <c r="G218" s="1489"/>
      <c r="H218" s="1489"/>
      <c r="I218" s="1490"/>
      <c r="J218" s="1489"/>
      <c r="K218" s="1489"/>
      <c r="L218" s="1489"/>
      <c r="M218" s="1489"/>
      <c r="N218" s="1489"/>
      <c r="O218" s="1457"/>
      <c r="P218" s="1489"/>
      <c r="Q218" s="1489"/>
      <c r="R218" s="1489"/>
      <c r="S218" s="1489"/>
      <c r="T218" s="1437"/>
      <c r="U218" s="1491"/>
      <c r="V218" s="506"/>
      <c r="W218" s="881"/>
    </row>
    <row r="219" spans="1:23" hidden="1">
      <c r="A219" s="1487"/>
      <c r="B219" s="1488"/>
      <c r="C219" s="1437"/>
      <c r="D219" s="1489"/>
      <c r="E219" s="1489"/>
      <c r="F219" s="1489"/>
      <c r="G219" s="1489"/>
      <c r="H219" s="1489"/>
      <c r="I219" s="1490"/>
      <c r="J219" s="1489"/>
      <c r="K219" s="1489"/>
      <c r="L219" s="1489"/>
      <c r="M219" s="1489"/>
      <c r="N219" s="1489"/>
      <c r="O219" s="1457"/>
      <c r="P219" s="1489"/>
      <c r="Q219" s="1489"/>
      <c r="R219" s="1489"/>
      <c r="S219" s="1489"/>
      <c r="T219" s="1489"/>
      <c r="U219" s="1491"/>
      <c r="V219" s="506"/>
      <c r="W219" s="881"/>
    </row>
    <row r="220" spans="1:23" hidden="1">
      <c r="A220" s="1487"/>
      <c r="B220" s="1488"/>
      <c r="C220" s="1437"/>
      <c r="D220" s="1489"/>
      <c r="E220" s="1489"/>
      <c r="F220" s="1489"/>
      <c r="G220" s="1489"/>
      <c r="H220" s="1489"/>
      <c r="I220" s="1490"/>
      <c r="J220" s="1489"/>
      <c r="K220" s="1489"/>
      <c r="L220" s="1489"/>
      <c r="M220" s="1489"/>
      <c r="N220" s="1489"/>
      <c r="O220" s="1457"/>
      <c r="P220" s="1489"/>
      <c r="Q220" s="1489"/>
      <c r="R220" s="1489"/>
      <c r="S220" s="1489"/>
      <c r="T220" s="1501" t="s">
        <v>933</v>
      </c>
      <c r="U220" s="1491"/>
      <c r="V220" s="506"/>
      <c r="W220" s="881"/>
    </row>
    <row r="221" spans="1:23" hidden="1">
      <c r="A221" s="1487"/>
      <c r="B221" s="1488"/>
      <c r="C221" s="1502">
        <v>60010</v>
      </c>
      <c r="D221" s="1502" t="s">
        <v>62</v>
      </c>
      <c r="E221" s="1489"/>
      <c r="F221" s="1489"/>
      <c r="G221" s="1489"/>
      <c r="H221" s="1489"/>
      <c r="I221" s="1490"/>
      <c r="J221" s="1489"/>
      <c r="K221" s="1489"/>
      <c r="L221" s="1489"/>
      <c r="M221" s="1489"/>
      <c r="N221" s="1489"/>
      <c r="O221" s="1457"/>
      <c r="P221" s="1489"/>
      <c r="Q221" s="1489"/>
      <c r="R221" s="1489"/>
      <c r="S221" s="1489"/>
      <c r="T221" s="1442">
        <f>+IFERROR(VLOOKUP($C221,'[68]2195 IS210'!$D:$AH,31,FALSE),0)</f>
        <v>0</v>
      </c>
      <c r="U221" s="1491"/>
      <c r="V221" s="506"/>
      <c r="W221" s="881"/>
    </row>
    <row r="222" spans="1:23" hidden="1">
      <c r="A222" s="1487"/>
      <c r="B222" s="1488"/>
      <c r="C222" s="1502">
        <v>60030</v>
      </c>
      <c r="D222" s="1502" t="s">
        <v>63</v>
      </c>
      <c r="E222" s="1489"/>
      <c r="F222" s="1489"/>
      <c r="G222" s="1489"/>
      <c r="H222" s="1489"/>
      <c r="I222" s="1490"/>
      <c r="J222" s="1489"/>
      <c r="K222" s="1489"/>
      <c r="L222" s="1489"/>
      <c r="M222" s="1489"/>
      <c r="N222" s="1489"/>
      <c r="O222" s="1457"/>
      <c r="P222" s="1489"/>
      <c r="Q222" s="1489"/>
      <c r="R222" s="1489"/>
      <c r="S222" s="1489"/>
      <c r="T222" s="1442">
        <f>+IFERROR(VLOOKUP($C222,'[68]2195 IS210'!$D:$AH,31,FALSE),0)</f>
        <v>0</v>
      </c>
      <c r="U222" s="1491"/>
      <c r="V222" s="506"/>
      <c r="W222" s="881"/>
    </row>
    <row r="223" spans="1:23" hidden="1">
      <c r="A223" s="1487"/>
      <c r="B223" s="1488"/>
      <c r="C223" s="1502">
        <v>60065</v>
      </c>
      <c r="D223" s="1502" t="s">
        <v>70</v>
      </c>
      <c r="E223" s="1489"/>
      <c r="F223" s="1489"/>
      <c r="G223" s="1489"/>
      <c r="H223" s="1489"/>
      <c r="I223" s="1490"/>
      <c r="J223" s="1489"/>
      <c r="K223" s="1489"/>
      <c r="L223" s="1489"/>
      <c r="M223" s="1489"/>
      <c r="N223" s="1489"/>
      <c r="O223" s="1457"/>
      <c r="P223" s="1489"/>
      <c r="Q223" s="1489"/>
      <c r="R223" s="1489"/>
      <c r="S223" s="1489"/>
      <c r="T223" s="1442">
        <f>+IFERROR(VLOOKUP($C223,'[68]2195 IS210'!$D:$AH,31,FALSE),0)</f>
        <v>0</v>
      </c>
      <c r="U223" s="1491"/>
      <c r="V223" s="506"/>
      <c r="W223" s="881"/>
    </row>
    <row r="224" spans="1:23" hidden="1">
      <c r="A224" s="1487"/>
      <c r="B224" s="1488"/>
      <c r="C224" s="1502">
        <v>60070</v>
      </c>
      <c r="D224" s="1506" t="s">
        <v>71</v>
      </c>
      <c r="E224" s="1489"/>
      <c r="F224" s="1489"/>
      <c r="G224" s="1489"/>
      <c r="H224" s="1489"/>
      <c r="I224" s="1490"/>
      <c r="J224" s="1489"/>
      <c r="K224" s="1489"/>
      <c r="L224" s="1489"/>
      <c r="M224" s="1489"/>
      <c r="N224" s="1489"/>
      <c r="O224" s="1457"/>
      <c r="P224" s="1489"/>
      <c r="Q224" s="1489"/>
      <c r="R224" s="1489"/>
      <c r="S224" s="1489"/>
      <c r="T224" s="1442">
        <f>+IFERROR(VLOOKUP($C224,'[68]2195 IS210'!$D:$AH,31,FALSE),0)</f>
        <v>0</v>
      </c>
      <c r="U224" s="1491"/>
      <c r="V224" s="506"/>
      <c r="W224" s="881"/>
    </row>
    <row r="225" spans="1:23" hidden="1">
      <c r="A225" s="1487"/>
      <c r="B225" s="1488"/>
      <c r="C225" s="1437"/>
      <c r="D225" s="1489"/>
      <c r="E225" s="1489"/>
      <c r="F225" s="1489"/>
      <c r="G225" s="1489"/>
      <c r="H225" s="1489"/>
      <c r="I225" s="1490"/>
      <c r="J225" s="1489"/>
      <c r="K225" s="1489"/>
      <c r="L225" s="1489"/>
      <c r="M225" s="1489"/>
      <c r="N225" s="1489"/>
      <c r="O225" s="1457"/>
      <c r="P225" s="1489"/>
      <c r="Q225" s="1489"/>
      <c r="R225" s="1489"/>
      <c r="S225" s="1489"/>
      <c r="T225" s="1442">
        <f>+SUM(T221:T224)</f>
        <v>0</v>
      </c>
      <c r="U225" s="1491"/>
      <c r="V225" s="506"/>
      <c r="W225" s="881"/>
    </row>
    <row r="226" spans="1:23" hidden="1">
      <c r="A226" s="1487"/>
      <c r="B226" s="1488"/>
      <c r="C226" s="1437"/>
      <c r="D226" s="1489"/>
      <c r="E226" s="1489"/>
      <c r="F226" s="1489"/>
      <c r="G226" s="1489"/>
      <c r="H226" s="1489"/>
      <c r="I226" s="1490"/>
      <c r="J226" s="1489"/>
      <c r="K226" s="1489"/>
      <c r="L226" s="1489"/>
      <c r="M226" s="1489"/>
      <c r="N226" s="1489"/>
      <c r="O226" s="1457"/>
      <c r="P226" s="1489"/>
      <c r="Q226" s="1489"/>
      <c r="R226" s="1489"/>
      <c r="S226" s="1489"/>
      <c r="T226" s="1503"/>
      <c r="U226" s="1491"/>
      <c r="V226" s="506"/>
      <c r="W226" s="881"/>
    </row>
    <row r="227" spans="1:23">
      <c r="A227" s="1487"/>
      <c r="B227" s="1488"/>
      <c r="C227" s="1437"/>
      <c r="D227" s="1509" t="s">
        <v>193</v>
      </c>
      <c r="E227" s="1509"/>
      <c r="F227" s="1509"/>
      <c r="G227" s="1509"/>
      <c r="H227" s="1509"/>
      <c r="I227" s="1490"/>
      <c r="J227" s="1509"/>
      <c r="K227" s="1509"/>
      <c r="L227" s="1509"/>
      <c r="M227" s="1509"/>
      <c r="N227" s="1509"/>
      <c r="O227" s="1510"/>
      <c r="P227" s="1509"/>
      <c r="Q227" s="1509"/>
      <c r="R227" s="1509"/>
      <c r="S227" s="1509"/>
      <c r="T227" s="1508">
        <f>+T216+T217-T225</f>
        <v>0</v>
      </c>
      <c r="U227" s="1491"/>
      <c r="V227" s="506"/>
      <c r="W227" s="881"/>
    </row>
    <row r="228" spans="1:23">
      <c r="A228" s="1487"/>
      <c r="B228" s="1488"/>
      <c r="C228" s="1437"/>
      <c r="D228" s="1489"/>
      <c r="E228" s="1489"/>
      <c r="F228" s="1489"/>
      <c r="G228" s="1489"/>
      <c r="H228" s="1489"/>
      <c r="I228" s="1490"/>
      <c r="J228" s="1489"/>
      <c r="K228" s="1489"/>
      <c r="L228" s="1489"/>
      <c r="M228" s="1489"/>
      <c r="N228" s="1489"/>
      <c r="O228" s="1457"/>
      <c r="P228" s="1489"/>
      <c r="Q228" s="1489"/>
      <c r="R228" s="1489"/>
      <c r="S228" s="1489"/>
      <c r="T228" s="1503"/>
      <c r="U228" s="1491"/>
      <c r="V228" s="506"/>
      <c r="W228" s="881"/>
    </row>
    <row r="229" spans="1:23">
      <c r="A229" s="1513"/>
      <c r="B229" s="1514"/>
      <c r="C229" s="1497" t="s">
        <v>1102</v>
      </c>
      <c r="D229" s="1515"/>
      <c r="E229" s="1515"/>
      <c r="F229" s="1515"/>
      <c r="G229" s="1515"/>
      <c r="H229" s="1515"/>
      <c r="I229" s="1516"/>
      <c r="J229" s="1515"/>
      <c r="K229" s="1515"/>
      <c r="L229" s="1515"/>
      <c r="M229" s="1515"/>
      <c r="N229" s="1515"/>
      <c r="O229" s="1517"/>
      <c r="P229" s="1515"/>
      <c r="Q229" s="1515"/>
      <c r="R229" s="1515"/>
      <c r="S229" s="1515"/>
      <c r="T229" s="1498">
        <f>+M171</f>
        <v>216214.87846153846</v>
      </c>
      <c r="U229" s="1491"/>
      <c r="V229" s="506"/>
      <c r="W229" s="881"/>
    </row>
    <row r="230" spans="1:23">
      <c r="A230" s="1487"/>
      <c r="B230" s="1488"/>
      <c r="C230" s="1519"/>
      <c r="D230" s="1489"/>
      <c r="E230" s="1489"/>
      <c r="F230" s="1489"/>
      <c r="G230" s="1489"/>
      <c r="H230" s="1489"/>
      <c r="I230" s="1490"/>
      <c r="J230" s="1489"/>
      <c r="K230" s="1489"/>
      <c r="L230" s="1489"/>
      <c r="M230" s="1489"/>
      <c r="N230" s="1489"/>
      <c r="O230" s="1457"/>
      <c r="P230" s="1489"/>
      <c r="Q230" s="1489"/>
      <c r="R230" s="1489"/>
      <c r="S230" s="1489"/>
      <c r="T230" s="1489"/>
      <c r="U230" s="1491"/>
      <c r="V230" s="506"/>
      <c r="W230" s="881"/>
    </row>
    <row r="231" spans="1:23">
      <c r="A231" s="1487"/>
      <c r="B231" s="1488"/>
      <c r="C231" s="1437"/>
      <c r="D231" s="1499" t="s">
        <v>1097</v>
      </c>
      <c r="E231" s="1489"/>
      <c r="F231" s="1489"/>
      <c r="G231" s="1489"/>
      <c r="H231" s="1489"/>
      <c r="I231" s="1490"/>
      <c r="J231" s="1489"/>
      <c r="K231" s="1489"/>
      <c r="L231" s="1489"/>
      <c r="M231" s="1489"/>
      <c r="N231" s="1489"/>
      <c r="O231" s="1457"/>
      <c r="P231" s="1489"/>
      <c r="Q231" s="1489"/>
      <c r="R231" s="1489"/>
      <c r="S231" s="1489"/>
      <c r="T231" s="1500">
        <f>+'[68]Sup JE Query'!D228</f>
        <v>29028.539999999997</v>
      </c>
      <c r="U231" s="1491"/>
      <c r="V231" s="506"/>
      <c r="W231" s="881"/>
    </row>
    <row r="232" spans="1:23">
      <c r="A232" s="1487"/>
      <c r="B232" s="1488"/>
      <c r="C232" s="1437"/>
      <c r="D232" s="1520" t="s">
        <v>1103</v>
      </c>
      <c r="E232" s="1489"/>
      <c r="F232" s="1489"/>
      <c r="G232" s="1489"/>
      <c r="H232" s="1489"/>
      <c r="I232" s="1490"/>
      <c r="J232" s="1489"/>
      <c r="K232" s="1489"/>
      <c r="L232" s="1489"/>
      <c r="M232" s="1489"/>
      <c r="N232" s="1489"/>
      <c r="O232" s="1457"/>
      <c r="P232" s="1489"/>
      <c r="Q232" s="1489"/>
      <c r="R232" s="1489"/>
      <c r="S232" s="1489"/>
      <c r="T232" s="1489"/>
      <c r="U232" s="1491"/>
      <c r="V232" s="506"/>
      <c r="W232" s="881"/>
    </row>
    <row r="233" spans="1:23">
      <c r="A233" s="1487"/>
      <c r="B233" s="1488"/>
      <c r="C233" s="1437"/>
      <c r="D233" s="1499"/>
      <c r="E233" s="1489"/>
      <c r="F233" s="1489"/>
      <c r="G233" s="1489"/>
      <c r="H233" s="1489"/>
      <c r="I233" s="1490"/>
      <c r="J233" s="1489"/>
      <c r="K233" s="1489"/>
      <c r="L233" s="1489"/>
      <c r="M233" s="1489"/>
      <c r="N233" s="1489"/>
      <c r="O233" s="1457"/>
      <c r="P233" s="1489"/>
      <c r="Q233" s="1489"/>
      <c r="R233" s="1489"/>
      <c r="S233" s="1489"/>
      <c r="T233" s="1489"/>
      <c r="U233" s="1491"/>
      <c r="V233" s="506"/>
      <c r="W233" s="881"/>
    </row>
    <row r="234" spans="1:23">
      <c r="A234" s="1487"/>
      <c r="B234" s="1456"/>
      <c r="C234" s="1437"/>
      <c r="D234" s="1457"/>
      <c r="E234" s="1489"/>
      <c r="F234" s="1489"/>
      <c r="G234" s="1489"/>
      <c r="H234" s="1489"/>
      <c r="I234" s="1490"/>
      <c r="J234" s="1489"/>
      <c r="K234" s="1489"/>
      <c r="L234" s="1489"/>
      <c r="M234" s="1489"/>
      <c r="N234" s="1489"/>
      <c r="O234" s="1457"/>
      <c r="P234" s="1489"/>
      <c r="Q234" s="1489"/>
      <c r="R234" s="1489"/>
      <c r="S234" s="1489"/>
      <c r="T234" s="1501" t="s">
        <v>933</v>
      </c>
      <c r="U234" s="1491"/>
      <c r="V234" s="506"/>
      <c r="W234" s="881"/>
    </row>
    <row r="235" spans="1:23">
      <c r="A235" s="1487"/>
      <c r="B235" s="1488"/>
      <c r="C235" s="1499">
        <v>56010</v>
      </c>
      <c r="D235" s="1499" t="s">
        <v>62</v>
      </c>
      <c r="E235" s="1489"/>
      <c r="F235" s="1489"/>
      <c r="G235" s="1489"/>
      <c r="H235" s="1489"/>
      <c r="I235" s="1490"/>
      <c r="J235" s="1489"/>
      <c r="K235" s="1489"/>
      <c r="L235" s="1489"/>
      <c r="M235" s="1489"/>
      <c r="N235" s="1489"/>
      <c r="O235" s="1457"/>
      <c r="P235" s="1489"/>
      <c r="Q235" s="1489"/>
      <c r="R235" s="1489"/>
      <c r="S235" s="1489"/>
      <c r="T235" s="1442">
        <f>+IFERROR(VLOOKUP($C235,'[68]2195 IS210'!$D:$AH,31,FALSE),0)</f>
        <v>235740.46999999997</v>
      </c>
      <c r="U235" s="1491"/>
      <c r="V235" s="506"/>
      <c r="W235" s="881"/>
    </row>
    <row r="236" spans="1:23">
      <c r="A236" s="1487"/>
      <c r="B236" s="1488"/>
      <c r="C236" s="1499">
        <v>56020</v>
      </c>
      <c r="D236" s="1499" t="s">
        <v>63</v>
      </c>
      <c r="E236" s="1489"/>
      <c r="F236" s="1489"/>
      <c r="G236" s="1489"/>
      <c r="H236" s="1489"/>
      <c r="I236" s="1490"/>
      <c r="J236" s="1489"/>
      <c r="K236" s="1489"/>
      <c r="L236" s="1489"/>
      <c r="M236" s="1489"/>
      <c r="N236" s="1489"/>
      <c r="O236" s="1457"/>
      <c r="P236" s="1489"/>
      <c r="Q236" s="1489"/>
      <c r="R236" s="1489"/>
      <c r="S236" s="1489"/>
      <c r="T236" s="1442">
        <f>+IFERROR(VLOOKUP($C236,'[68]2195 IS210'!$D:$AH,31,FALSE),0)</f>
        <v>0</v>
      </c>
      <c r="U236" s="1491"/>
      <c r="V236" s="506"/>
      <c r="W236" s="881"/>
    </row>
    <row r="237" spans="1:23">
      <c r="A237" s="1487"/>
      <c r="B237" s="1488"/>
      <c r="C237" s="1499">
        <v>56025</v>
      </c>
      <c r="D237" s="1502" t="s">
        <v>64</v>
      </c>
      <c r="E237" s="1489"/>
      <c r="F237" s="1489"/>
      <c r="G237" s="1489"/>
      <c r="H237" s="1489"/>
      <c r="I237" s="1490"/>
      <c r="J237" s="1489"/>
      <c r="K237" s="1489"/>
      <c r="L237" s="1489"/>
      <c r="M237" s="1489"/>
      <c r="N237" s="1489"/>
      <c r="O237" s="1457"/>
      <c r="P237" s="1489"/>
      <c r="Q237" s="1489"/>
      <c r="R237" s="1489"/>
      <c r="S237" s="1489"/>
      <c r="T237" s="1442">
        <f>+IFERROR(VLOOKUP($C237,'[68]2195 IS210'!$D:$AH,31,FALSE),0)</f>
        <v>0</v>
      </c>
      <c r="U237" s="1491"/>
      <c r="V237" s="506"/>
      <c r="W237" s="881"/>
    </row>
    <row r="238" spans="1:23">
      <c r="A238" s="1487"/>
      <c r="B238" s="1488"/>
      <c r="C238" s="1499">
        <v>56035</v>
      </c>
      <c r="D238" s="1502" t="s">
        <v>237</v>
      </c>
      <c r="E238" s="1489"/>
      <c r="F238" s="1489"/>
      <c r="G238" s="1489"/>
      <c r="H238" s="1489"/>
      <c r="I238" s="1490"/>
      <c r="J238" s="1489"/>
      <c r="K238" s="1489"/>
      <c r="L238" s="1489"/>
      <c r="M238" s="1489"/>
      <c r="N238" s="1489"/>
      <c r="O238" s="1457"/>
      <c r="P238" s="1489"/>
      <c r="Q238" s="1489"/>
      <c r="R238" s="1489"/>
      <c r="S238" s="1489"/>
      <c r="T238" s="1442">
        <f>+IFERROR(VLOOKUP($C238,'[68]2195 IS210'!$D:$AH,31,FALSE),0)</f>
        <v>0</v>
      </c>
      <c r="U238" s="1491"/>
      <c r="V238" s="506"/>
      <c r="W238" s="881"/>
    </row>
    <row r="239" spans="1:23">
      <c r="A239" s="1487"/>
      <c r="B239" s="1488"/>
      <c r="C239" s="1499">
        <v>56036</v>
      </c>
      <c r="D239" s="1506" t="s">
        <v>1104</v>
      </c>
      <c r="E239" s="1489"/>
      <c r="F239" s="1489"/>
      <c r="G239" s="1489"/>
      <c r="H239" s="1489"/>
      <c r="I239" s="1490"/>
      <c r="J239" s="1489"/>
      <c r="K239" s="1489"/>
      <c r="L239" s="1489"/>
      <c r="M239" s="1489"/>
      <c r="N239" s="1489"/>
      <c r="O239" s="1457"/>
      <c r="P239" s="1489"/>
      <c r="Q239" s="1489"/>
      <c r="R239" s="1489"/>
      <c r="S239" s="1489"/>
      <c r="T239" s="1442">
        <f>+IFERROR(VLOOKUP($C239,'[68]2195 IS210'!$D:$AH,31,FALSE),0)</f>
        <v>1975</v>
      </c>
      <c r="U239" s="1491"/>
      <c r="V239" s="506"/>
      <c r="W239" s="881"/>
    </row>
    <row r="240" spans="1:23">
      <c r="A240" s="1487"/>
      <c r="B240" s="1488"/>
      <c r="C240" s="1499">
        <v>56065</v>
      </c>
      <c r="D240" s="1506" t="s">
        <v>70</v>
      </c>
      <c r="E240" s="1489"/>
      <c r="F240" s="1489"/>
      <c r="G240" s="1489"/>
      <c r="H240" s="1489"/>
      <c r="I240" s="1490"/>
      <c r="J240" s="1489"/>
      <c r="K240" s="1489"/>
      <c r="L240" s="1489"/>
      <c r="M240" s="1489"/>
      <c r="N240" s="1489"/>
      <c r="O240" s="1457"/>
      <c r="P240" s="1489"/>
      <c r="Q240" s="1489"/>
      <c r="R240" s="1489"/>
      <c r="S240" s="1489"/>
      <c r="T240" s="1442">
        <f>+IFERROR(VLOOKUP($C240,'[68]2195 IS210'!$D:$AH,31,FALSE),0)</f>
        <v>0</v>
      </c>
      <c r="U240" s="1491"/>
      <c r="V240" s="506"/>
      <c r="W240" s="881"/>
    </row>
    <row r="241" spans="1:16371">
      <c r="A241" s="1487"/>
      <c r="B241" s="1488"/>
      <c r="C241" s="1499">
        <v>56070</v>
      </c>
      <c r="D241" s="1506" t="s">
        <v>71</v>
      </c>
      <c r="E241" s="1489"/>
      <c r="F241" s="1489"/>
      <c r="G241" s="1489"/>
      <c r="H241" s="1489"/>
      <c r="I241" s="1490"/>
      <c r="J241" s="1489"/>
      <c r="K241" s="1489"/>
      <c r="L241" s="1489"/>
      <c r="M241" s="1489"/>
      <c r="N241" s="1489"/>
      <c r="O241" s="1457"/>
      <c r="P241" s="1489"/>
      <c r="Q241" s="1489"/>
      <c r="R241" s="1489"/>
      <c r="S241" s="1489"/>
      <c r="T241" s="1507">
        <f>+IFERROR(VLOOKUP($C241,'[68]2195 IS210'!$D:$AH,31,FALSE),0)</f>
        <v>0</v>
      </c>
      <c r="U241" s="1491"/>
      <c r="V241" s="506"/>
      <c r="W241" s="881"/>
    </row>
    <row r="242" spans="1:16371">
      <c r="A242" s="1487"/>
      <c r="B242" s="1488"/>
      <c r="C242" s="1437"/>
      <c r="D242" s="1437"/>
      <c r="E242" s="1489"/>
      <c r="F242" s="1489"/>
      <c r="G242" s="1489"/>
      <c r="H242" s="1489"/>
      <c r="I242" s="1490"/>
      <c r="J242" s="1489"/>
      <c r="K242" s="1489"/>
      <c r="L242" s="1489"/>
      <c r="M242" s="1489"/>
      <c r="N242" s="1489"/>
      <c r="O242" s="1457"/>
      <c r="P242" s="1489"/>
      <c r="Q242" s="1489"/>
      <c r="R242" s="1489"/>
      <c r="S242" s="1489"/>
      <c r="T242" s="1442">
        <f>SUM(T235:T241)</f>
        <v>237715.46999999997</v>
      </c>
      <c r="U242" s="1491"/>
      <c r="V242" s="506"/>
      <c r="W242" s="881"/>
    </row>
    <row r="243" spans="1:16371" s="508" customFormat="1">
      <c r="A243" s="1487"/>
      <c r="B243" s="1488"/>
      <c r="C243" s="1437"/>
      <c r="D243" s="1437"/>
      <c r="E243" s="1489"/>
      <c r="F243" s="1489"/>
      <c r="G243" s="1489"/>
      <c r="H243" s="1489"/>
      <c r="I243" s="1490"/>
      <c r="J243" s="1489"/>
      <c r="K243" s="1489"/>
      <c r="L243" s="1489"/>
      <c r="M243" s="1489"/>
      <c r="N243" s="1489"/>
      <c r="O243" s="1457"/>
      <c r="P243" s="1489"/>
      <c r="Q243" s="1489"/>
      <c r="R243" s="1489"/>
      <c r="S243" s="1489"/>
      <c r="T243" s="1508"/>
      <c r="U243" s="1491"/>
      <c r="V243" s="506"/>
      <c r="W243" s="881"/>
      <c r="X243" s="478"/>
      <c r="Y243" s="478"/>
      <c r="Z243" s="478"/>
      <c r="AA243" s="478"/>
      <c r="AB243" s="478"/>
      <c r="AC243" s="478"/>
      <c r="AD243" s="478"/>
      <c r="AE243" s="478"/>
      <c r="AF243" s="478"/>
      <c r="AG243" s="478"/>
      <c r="AH243" s="478"/>
      <c r="AI243" s="478"/>
      <c r="AJ243" s="478"/>
      <c r="AK243" s="478"/>
      <c r="AL243" s="478"/>
      <c r="AM243" s="478"/>
      <c r="AN243" s="478"/>
      <c r="AO243" s="478"/>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8"/>
      <c r="BM243" s="478"/>
      <c r="BN243" s="478"/>
      <c r="BO243" s="478"/>
      <c r="BP243" s="478"/>
      <c r="BQ243" s="478"/>
      <c r="BR243" s="478"/>
      <c r="BS243" s="478"/>
      <c r="BT243" s="478"/>
      <c r="BU243" s="478"/>
      <c r="BV243" s="478"/>
      <c r="BW243" s="478"/>
      <c r="BX243" s="478"/>
      <c r="BY243" s="478"/>
      <c r="BZ243" s="478"/>
      <c r="CA243" s="478"/>
      <c r="CB243" s="478"/>
      <c r="CC243" s="478"/>
      <c r="CD243" s="478"/>
      <c r="CE243" s="478"/>
      <c r="CF243" s="478"/>
      <c r="CG243" s="478"/>
      <c r="CH243" s="478"/>
      <c r="CI243" s="478"/>
      <c r="CJ243" s="478"/>
      <c r="CK243" s="478"/>
      <c r="CL243" s="478"/>
      <c r="CM243" s="478"/>
      <c r="CN243" s="478"/>
      <c r="CO243" s="478"/>
      <c r="CP243" s="478"/>
      <c r="CQ243" s="478"/>
      <c r="CR243" s="478"/>
      <c r="CS243" s="478"/>
      <c r="CT243" s="478"/>
      <c r="CU243" s="478"/>
      <c r="CV243" s="478"/>
      <c r="CW243" s="478"/>
      <c r="CX243" s="478"/>
      <c r="CY243" s="478"/>
      <c r="CZ243" s="478"/>
      <c r="DA243" s="478"/>
      <c r="DB243" s="478"/>
      <c r="DC243" s="478"/>
      <c r="DD243" s="478"/>
      <c r="DE243" s="478"/>
      <c r="DF243" s="478"/>
      <c r="DG243" s="478"/>
      <c r="DH243" s="478"/>
      <c r="DI243" s="478"/>
      <c r="DJ243" s="478"/>
      <c r="DK243" s="478"/>
      <c r="DL243" s="478"/>
      <c r="DM243" s="478"/>
      <c r="DN243" s="478"/>
      <c r="DO243" s="478"/>
      <c r="DP243" s="478"/>
      <c r="DQ243" s="478"/>
      <c r="DR243" s="478"/>
      <c r="DS243" s="478"/>
      <c r="DT243" s="478"/>
      <c r="DU243" s="478"/>
      <c r="DV243" s="478"/>
      <c r="DW243" s="478"/>
      <c r="DX243" s="478"/>
      <c r="DY243" s="478"/>
      <c r="DZ243" s="478"/>
      <c r="EA243" s="478"/>
      <c r="EB243" s="478"/>
      <c r="EC243" s="478"/>
      <c r="ED243" s="478"/>
      <c r="EE243" s="478"/>
      <c r="EF243" s="478"/>
      <c r="EG243" s="478"/>
      <c r="EH243" s="478"/>
      <c r="EI243" s="478"/>
      <c r="EJ243" s="478"/>
      <c r="EK243" s="478"/>
      <c r="EL243" s="478"/>
      <c r="EM243" s="478"/>
      <c r="EN243" s="478"/>
      <c r="EO243" s="478"/>
      <c r="EP243" s="478"/>
      <c r="EQ243" s="478"/>
      <c r="ER243" s="478"/>
      <c r="ES243" s="478"/>
      <c r="ET243" s="478"/>
      <c r="EU243" s="478"/>
      <c r="EV243" s="478"/>
      <c r="EW243" s="478"/>
      <c r="EX243" s="478"/>
      <c r="EY243" s="478"/>
      <c r="EZ243" s="478"/>
      <c r="FA243" s="478"/>
      <c r="FB243" s="478"/>
      <c r="FC243" s="478"/>
      <c r="FD243" s="478"/>
      <c r="FE243" s="478"/>
      <c r="FF243" s="478"/>
      <c r="FG243" s="478"/>
      <c r="FH243" s="478"/>
      <c r="FI243" s="478"/>
      <c r="FJ243" s="478"/>
      <c r="FK243" s="478"/>
      <c r="FL243" s="478"/>
      <c r="FM243" s="478"/>
      <c r="FN243" s="478"/>
      <c r="FO243" s="478"/>
      <c r="FP243" s="478"/>
      <c r="FQ243" s="478"/>
      <c r="FR243" s="478"/>
      <c r="FS243" s="478"/>
      <c r="FT243" s="478"/>
      <c r="FU243" s="478"/>
      <c r="FV243" s="478"/>
      <c r="FW243" s="478"/>
      <c r="FX243" s="478"/>
      <c r="FY243" s="478"/>
      <c r="FZ243" s="478"/>
      <c r="GA243" s="478"/>
      <c r="GB243" s="478"/>
      <c r="GC243" s="478"/>
      <c r="GD243" s="478"/>
      <c r="GE243" s="478"/>
      <c r="GF243" s="478"/>
      <c r="GG243" s="478"/>
      <c r="GH243" s="478"/>
      <c r="GI243" s="478"/>
      <c r="GJ243" s="478"/>
      <c r="GK243" s="478"/>
      <c r="GL243" s="478"/>
      <c r="GM243" s="478"/>
      <c r="GN243" s="478"/>
      <c r="GO243" s="478"/>
      <c r="GP243" s="478"/>
      <c r="GQ243" s="478"/>
      <c r="GR243" s="478"/>
      <c r="GS243" s="478"/>
      <c r="GT243" s="478"/>
      <c r="GU243" s="478"/>
      <c r="GV243" s="478"/>
      <c r="GW243" s="478"/>
      <c r="GX243" s="478"/>
      <c r="GY243" s="478"/>
      <c r="GZ243" s="478"/>
      <c r="HA243" s="478"/>
      <c r="HB243" s="478"/>
      <c r="HC243" s="478"/>
      <c r="HD243" s="478"/>
      <c r="HE243" s="478"/>
      <c r="HF243" s="478"/>
      <c r="HG243" s="478"/>
      <c r="HH243" s="478"/>
      <c r="HI243" s="478"/>
      <c r="HJ243" s="478"/>
      <c r="HK243" s="478"/>
      <c r="HL243" s="478"/>
      <c r="HM243" s="478"/>
      <c r="HN243" s="478"/>
      <c r="HO243" s="478"/>
      <c r="HP243" s="478"/>
      <c r="HQ243" s="478"/>
      <c r="HR243" s="478"/>
      <c r="HS243" s="478"/>
      <c r="HT243" s="478"/>
      <c r="HU243" s="478"/>
      <c r="HV243" s="478"/>
      <c r="HW243" s="478"/>
      <c r="HX243" s="478"/>
      <c r="HY243" s="478"/>
      <c r="HZ243" s="478"/>
      <c r="IA243" s="478"/>
      <c r="IB243" s="478"/>
      <c r="IC243" s="478"/>
      <c r="ID243" s="478"/>
      <c r="IE243" s="478"/>
      <c r="IF243" s="478"/>
      <c r="IG243" s="478"/>
      <c r="IH243" s="478"/>
      <c r="II243" s="478"/>
      <c r="IJ243" s="478"/>
      <c r="IK243" s="478"/>
      <c r="IL243" s="478"/>
      <c r="IM243" s="478"/>
      <c r="IN243" s="478"/>
      <c r="IO243" s="478"/>
      <c r="IP243" s="478"/>
      <c r="IQ243" s="478"/>
      <c r="IR243" s="478"/>
      <c r="IS243" s="478"/>
      <c r="IT243" s="478"/>
      <c r="IU243" s="478"/>
      <c r="IV243" s="478"/>
      <c r="IW243" s="478"/>
      <c r="IX243" s="478"/>
      <c r="IY243" s="478"/>
      <c r="IZ243" s="478"/>
      <c r="JA243" s="478"/>
      <c r="JB243" s="478"/>
      <c r="JC243" s="478"/>
      <c r="JD243" s="478"/>
      <c r="JE243" s="478"/>
      <c r="JF243" s="478"/>
      <c r="JG243" s="478"/>
      <c r="JH243" s="478"/>
      <c r="JI243" s="478"/>
      <c r="JJ243" s="478"/>
      <c r="JK243" s="478"/>
      <c r="JL243" s="478"/>
      <c r="JM243" s="478"/>
      <c r="JN243" s="478"/>
      <c r="JO243" s="478"/>
      <c r="JP243" s="478"/>
      <c r="JQ243" s="478"/>
      <c r="JR243" s="478"/>
      <c r="JS243" s="478"/>
      <c r="JT243" s="478"/>
      <c r="JU243" s="478"/>
      <c r="JV243" s="478"/>
      <c r="JW243" s="478"/>
      <c r="JX243" s="478"/>
      <c r="JY243" s="478"/>
      <c r="JZ243" s="478"/>
      <c r="KA243" s="478"/>
      <c r="KB243" s="478"/>
      <c r="KC243" s="478"/>
      <c r="KD243" s="478"/>
      <c r="KE243" s="478"/>
      <c r="KF243" s="478"/>
      <c r="KG243" s="478"/>
      <c r="KH243" s="478"/>
      <c r="KI243" s="478"/>
      <c r="KJ243" s="478"/>
      <c r="KK243" s="478"/>
      <c r="KL243" s="478"/>
      <c r="KM243" s="478"/>
      <c r="KN243" s="478"/>
      <c r="KO243" s="478"/>
      <c r="KP243" s="478"/>
      <c r="KQ243" s="478"/>
      <c r="KR243" s="478"/>
      <c r="KS243" s="478"/>
      <c r="KT243" s="478"/>
      <c r="KU243" s="478"/>
      <c r="KV243" s="478"/>
      <c r="KW243" s="478"/>
      <c r="KX243" s="478"/>
      <c r="KY243" s="478"/>
      <c r="KZ243" s="478"/>
      <c r="LA243" s="478"/>
      <c r="LB243" s="478"/>
      <c r="LC243" s="478"/>
      <c r="LD243" s="478"/>
      <c r="LE243" s="478"/>
      <c r="LF243" s="478"/>
      <c r="LG243" s="478"/>
      <c r="LH243" s="478"/>
      <c r="LI243" s="478"/>
      <c r="LJ243" s="478"/>
      <c r="LK243" s="478"/>
      <c r="LL243" s="478"/>
      <c r="LM243" s="478"/>
      <c r="LN243" s="478"/>
      <c r="LO243" s="478"/>
      <c r="LP243" s="478"/>
      <c r="LQ243" s="478"/>
      <c r="LR243" s="478"/>
      <c r="LS243" s="478"/>
      <c r="LT243" s="478"/>
      <c r="LU243" s="478"/>
      <c r="LV243" s="478"/>
      <c r="LW243" s="478"/>
      <c r="LX243" s="478"/>
      <c r="LY243" s="478"/>
      <c r="LZ243" s="478"/>
      <c r="MA243" s="478"/>
      <c r="MB243" s="478"/>
      <c r="MC243" s="478"/>
      <c r="MD243" s="478"/>
      <c r="ME243" s="478"/>
      <c r="MF243" s="478"/>
      <c r="MG243" s="478"/>
      <c r="MH243" s="478"/>
      <c r="MI243" s="478"/>
      <c r="MJ243" s="478"/>
      <c r="MK243" s="478"/>
      <c r="ML243" s="478"/>
      <c r="MM243" s="478"/>
      <c r="MN243" s="478"/>
      <c r="MO243" s="478"/>
      <c r="MP243" s="478"/>
      <c r="MQ243" s="478"/>
      <c r="MR243" s="478"/>
      <c r="MS243" s="478"/>
      <c r="MT243" s="478"/>
      <c r="MU243" s="478"/>
      <c r="MV243" s="478"/>
      <c r="MW243" s="478"/>
      <c r="MX243" s="478"/>
      <c r="MY243" s="478"/>
      <c r="MZ243" s="478"/>
      <c r="NA243" s="478"/>
      <c r="NB243" s="478"/>
      <c r="NC243" s="478"/>
      <c r="ND243" s="478"/>
      <c r="NE243" s="478"/>
      <c r="NF243" s="478"/>
      <c r="NG243" s="478"/>
      <c r="NH243" s="478"/>
      <c r="NI243" s="478"/>
      <c r="NJ243" s="478"/>
      <c r="NK243" s="478"/>
      <c r="NL243" s="478"/>
      <c r="NM243" s="478"/>
      <c r="NN243" s="478"/>
      <c r="NO243" s="478"/>
      <c r="NP243" s="478"/>
      <c r="NQ243" s="478"/>
      <c r="NR243" s="478"/>
      <c r="NS243" s="478"/>
      <c r="NT243" s="478"/>
      <c r="NU243" s="478"/>
      <c r="NV243" s="478"/>
      <c r="NW243" s="478"/>
      <c r="NX243" s="478"/>
      <c r="NY243" s="478"/>
      <c r="NZ243" s="478"/>
      <c r="OA243" s="478"/>
      <c r="OB243" s="478"/>
      <c r="OC243" s="478"/>
      <c r="OD243" s="478"/>
      <c r="OE243" s="478"/>
      <c r="OF243" s="478"/>
      <c r="OG243" s="478"/>
      <c r="OH243" s="478"/>
      <c r="OI243" s="478"/>
      <c r="OJ243" s="478"/>
      <c r="OK243" s="478"/>
      <c r="OL243" s="478"/>
      <c r="OM243" s="478"/>
      <c r="ON243" s="478"/>
      <c r="OO243" s="478"/>
      <c r="OP243" s="478"/>
      <c r="OQ243" s="478"/>
      <c r="OR243" s="478"/>
      <c r="OS243" s="478"/>
      <c r="OT243" s="478"/>
      <c r="OU243" s="478"/>
      <c r="OV243" s="478"/>
      <c r="OW243" s="478"/>
      <c r="OX243" s="478"/>
      <c r="OY243" s="478"/>
      <c r="OZ243" s="478"/>
      <c r="PA243" s="478"/>
      <c r="PB243" s="478"/>
      <c r="PC243" s="478"/>
      <c r="PD243" s="478"/>
      <c r="PE243" s="478"/>
      <c r="PF243" s="478"/>
      <c r="PG243" s="478"/>
      <c r="PH243" s="478"/>
      <c r="PI243" s="478"/>
      <c r="PJ243" s="478"/>
      <c r="PK243" s="478"/>
      <c r="PL243" s="478"/>
      <c r="PM243" s="478"/>
      <c r="PN243" s="478"/>
      <c r="PO243" s="478"/>
      <c r="PP243" s="478"/>
      <c r="PQ243" s="478"/>
      <c r="PR243" s="478"/>
      <c r="PS243" s="478"/>
      <c r="PT243" s="478"/>
      <c r="PU243" s="478"/>
      <c r="PV243" s="478"/>
      <c r="PW243" s="478"/>
      <c r="PX243" s="478"/>
      <c r="PY243" s="478"/>
      <c r="PZ243" s="478"/>
      <c r="QA243" s="478"/>
      <c r="QB243" s="478"/>
      <c r="QC243" s="478"/>
      <c r="QD243" s="478"/>
      <c r="QE243" s="478"/>
      <c r="QF243" s="478"/>
      <c r="QG243" s="478"/>
      <c r="QH243" s="478"/>
      <c r="QI243" s="478"/>
      <c r="QJ243" s="478"/>
      <c r="QK243" s="478"/>
      <c r="QL243" s="478"/>
      <c r="QM243" s="478"/>
      <c r="QN243" s="478"/>
      <c r="QO243" s="478"/>
      <c r="QP243" s="478"/>
      <c r="QQ243" s="478"/>
      <c r="QR243" s="478"/>
      <c r="QS243" s="478"/>
      <c r="QT243" s="478"/>
      <c r="QU243" s="478"/>
      <c r="QV243" s="478"/>
      <c r="QW243" s="478"/>
      <c r="QX243" s="478"/>
      <c r="QY243" s="478"/>
      <c r="QZ243" s="478"/>
      <c r="RA243" s="478"/>
      <c r="RB243" s="478"/>
      <c r="RC243" s="478"/>
      <c r="RD243" s="478"/>
      <c r="RE243" s="478"/>
      <c r="RF243" s="478"/>
      <c r="RG243" s="478"/>
      <c r="RH243" s="478"/>
      <c r="RI243" s="478"/>
      <c r="RJ243" s="478"/>
      <c r="RK243" s="478"/>
      <c r="RL243" s="478"/>
      <c r="RM243" s="478"/>
      <c r="RN243" s="478"/>
      <c r="RO243" s="478"/>
      <c r="RP243" s="478"/>
      <c r="RQ243" s="478"/>
      <c r="RR243" s="478"/>
      <c r="RS243" s="478"/>
      <c r="RT243" s="478"/>
      <c r="RU243" s="478"/>
      <c r="RV243" s="478"/>
      <c r="RW243" s="478"/>
      <c r="RX243" s="478"/>
      <c r="RY243" s="478"/>
      <c r="RZ243" s="478"/>
      <c r="SA243" s="478"/>
      <c r="SB243" s="478"/>
      <c r="SC243" s="478"/>
      <c r="SD243" s="478"/>
      <c r="SE243" s="478"/>
      <c r="SF243" s="478"/>
      <c r="SG243" s="478"/>
      <c r="SH243" s="478"/>
      <c r="SI243" s="478"/>
      <c r="SJ243" s="478"/>
      <c r="SK243" s="478"/>
      <c r="SL243" s="478"/>
      <c r="SM243" s="478"/>
      <c r="SN243" s="478"/>
      <c r="SO243" s="478"/>
      <c r="SP243" s="478"/>
      <c r="SQ243" s="478"/>
      <c r="SR243" s="478"/>
      <c r="SS243" s="478"/>
      <c r="ST243" s="478"/>
      <c r="SU243" s="478"/>
      <c r="SV243" s="478"/>
      <c r="SW243" s="478"/>
      <c r="SX243" s="478"/>
      <c r="SY243" s="478"/>
      <c r="SZ243" s="478"/>
      <c r="TA243" s="478"/>
      <c r="TB243" s="478"/>
      <c r="TC243" s="478"/>
      <c r="TD243" s="478"/>
      <c r="TE243" s="478"/>
      <c r="TF243" s="478"/>
      <c r="TG243" s="478"/>
      <c r="TH243" s="478"/>
      <c r="TI243" s="478"/>
      <c r="TJ243" s="478"/>
      <c r="TK243" s="478"/>
      <c r="TL243" s="478"/>
      <c r="TM243" s="478"/>
      <c r="TN243" s="478"/>
      <c r="TO243" s="478"/>
      <c r="TP243" s="478"/>
      <c r="TQ243" s="478"/>
      <c r="TR243" s="478"/>
      <c r="TS243" s="478"/>
      <c r="TT243" s="478"/>
      <c r="TU243" s="478"/>
      <c r="TV243" s="478"/>
      <c r="TW243" s="478"/>
      <c r="TX243" s="478"/>
      <c r="TY243" s="478"/>
      <c r="TZ243" s="478"/>
      <c r="UA243" s="478"/>
      <c r="UB243" s="478"/>
      <c r="UC243" s="478"/>
      <c r="UD243" s="478"/>
      <c r="UE243" s="478"/>
      <c r="UF243" s="478"/>
      <c r="UG243" s="478"/>
      <c r="UH243" s="478"/>
      <c r="UI243" s="478"/>
      <c r="UJ243" s="478"/>
      <c r="UK243" s="478"/>
      <c r="UL243" s="478"/>
      <c r="UM243" s="478"/>
      <c r="UN243" s="478"/>
      <c r="UO243" s="478"/>
      <c r="UP243" s="478"/>
      <c r="UQ243" s="478"/>
      <c r="UR243" s="478"/>
      <c r="US243" s="478"/>
      <c r="UT243" s="478"/>
      <c r="UU243" s="478"/>
      <c r="UV243" s="478"/>
      <c r="UW243" s="478"/>
      <c r="UX243" s="478"/>
      <c r="UY243" s="478"/>
      <c r="UZ243" s="478"/>
      <c r="VA243" s="478"/>
      <c r="VB243" s="478"/>
      <c r="VC243" s="478"/>
      <c r="VD243" s="478"/>
      <c r="VE243" s="478"/>
      <c r="VF243" s="478"/>
      <c r="VG243" s="478"/>
      <c r="VH243" s="478"/>
      <c r="VI243" s="478"/>
      <c r="VJ243" s="478"/>
      <c r="VK243" s="478"/>
      <c r="VL243" s="478"/>
      <c r="VM243" s="478"/>
      <c r="VN243" s="478"/>
      <c r="VO243" s="478"/>
      <c r="VP243" s="478"/>
      <c r="VQ243" s="478"/>
      <c r="VR243" s="478"/>
      <c r="VS243" s="478"/>
      <c r="VT243" s="478"/>
      <c r="VU243" s="478"/>
      <c r="VV243" s="478"/>
      <c r="VW243" s="478"/>
      <c r="VX243" s="478"/>
      <c r="VY243" s="478"/>
      <c r="VZ243" s="478"/>
      <c r="WA243" s="478"/>
      <c r="WB243" s="478"/>
      <c r="WC243" s="478"/>
      <c r="WD243" s="478"/>
      <c r="WE243" s="478"/>
      <c r="WF243" s="478"/>
      <c r="WG243" s="478"/>
      <c r="WH243" s="478"/>
      <c r="WI243" s="478"/>
      <c r="WJ243" s="478"/>
      <c r="WK243" s="478"/>
      <c r="WL243" s="478"/>
      <c r="WM243" s="478"/>
      <c r="WN243" s="478"/>
      <c r="WO243" s="478"/>
      <c r="WP243" s="478"/>
      <c r="WQ243" s="478"/>
      <c r="WR243" s="478"/>
      <c r="WS243" s="478"/>
      <c r="WT243" s="478"/>
      <c r="WU243" s="478"/>
      <c r="WV243" s="478"/>
      <c r="WW243" s="478"/>
      <c r="WX243" s="478"/>
      <c r="WY243" s="478"/>
      <c r="WZ243" s="478"/>
      <c r="XA243" s="478"/>
      <c r="XB243" s="478"/>
      <c r="XC243" s="478"/>
      <c r="XD243" s="478"/>
      <c r="XE243" s="478"/>
      <c r="XF243" s="478"/>
      <c r="XG243" s="478"/>
      <c r="XH243" s="478"/>
      <c r="XI243" s="478"/>
      <c r="XJ243" s="478"/>
      <c r="XK243" s="478"/>
      <c r="XL243" s="478"/>
      <c r="XM243" s="478"/>
      <c r="XN243" s="478"/>
      <c r="XO243" s="478"/>
      <c r="XP243" s="478"/>
      <c r="XQ243" s="478"/>
      <c r="XR243" s="478"/>
      <c r="XS243" s="478"/>
      <c r="XT243" s="478"/>
      <c r="XU243" s="478"/>
      <c r="XV243" s="478"/>
      <c r="XW243" s="478"/>
      <c r="XX243" s="478"/>
      <c r="XY243" s="478"/>
      <c r="XZ243" s="478"/>
      <c r="YA243" s="478"/>
      <c r="YB243" s="478"/>
      <c r="YC243" s="478"/>
      <c r="YD243" s="478"/>
      <c r="YE243" s="478"/>
      <c r="YF243" s="478"/>
      <c r="YG243" s="478"/>
      <c r="YH243" s="478"/>
      <c r="YI243" s="478"/>
      <c r="YJ243" s="478"/>
      <c r="YK243" s="478"/>
      <c r="YL243" s="478"/>
      <c r="YM243" s="478"/>
      <c r="YN243" s="478"/>
      <c r="YO243" s="478"/>
      <c r="YP243" s="478"/>
      <c r="YQ243" s="478"/>
      <c r="YR243" s="478"/>
      <c r="YS243" s="478"/>
      <c r="YT243" s="478"/>
      <c r="YU243" s="478"/>
      <c r="YV243" s="478"/>
      <c r="YW243" s="478"/>
      <c r="YX243" s="478"/>
      <c r="YY243" s="478"/>
      <c r="YZ243" s="478"/>
      <c r="ZA243" s="478"/>
      <c r="ZB243" s="478"/>
      <c r="ZC243" s="478"/>
      <c r="ZD243" s="478"/>
      <c r="ZE243" s="478"/>
      <c r="ZF243" s="478"/>
      <c r="ZG243" s="478"/>
      <c r="ZH243" s="478"/>
      <c r="ZI243" s="478"/>
      <c r="ZJ243" s="478"/>
      <c r="ZK243" s="478"/>
      <c r="ZL243" s="478"/>
      <c r="ZM243" s="478"/>
      <c r="ZN243" s="478"/>
      <c r="ZO243" s="478"/>
      <c r="ZP243" s="478"/>
      <c r="ZQ243" s="478"/>
      <c r="ZR243" s="478"/>
      <c r="ZS243" s="478"/>
      <c r="ZT243" s="478"/>
      <c r="ZU243" s="478"/>
      <c r="ZV243" s="478"/>
      <c r="ZW243" s="478"/>
      <c r="ZX243" s="478"/>
      <c r="ZY243" s="478"/>
      <c r="ZZ243" s="478"/>
      <c r="AAA243" s="478"/>
      <c r="AAB243" s="478"/>
      <c r="AAC243" s="478"/>
      <c r="AAD243" s="478"/>
      <c r="AAE243" s="478"/>
      <c r="AAF243" s="478"/>
      <c r="AAG243" s="478"/>
      <c r="AAH243" s="478"/>
      <c r="AAI243" s="478"/>
      <c r="AAJ243" s="478"/>
      <c r="AAK243" s="478"/>
      <c r="AAL243" s="478"/>
      <c r="AAM243" s="478"/>
      <c r="AAN243" s="478"/>
      <c r="AAO243" s="478"/>
      <c r="AAP243" s="478"/>
      <c r="AAQ243" s="478"/>
      <c r="AAR243" s="478"/>
      <c r="AAS243" s="478"/>
      <c r="AAT243" s="478"/>
      <c r="AAU243" s="478"/>
      <c r="AAV243" s="478"/>
      <c r="AAW243" s="478"/>
      <c r="AAX243" s="478"/>
      <c r="AAY243" s="478"/>
      <c r="AAZ243" s="478"/>
      <c r="ABA243" s="478"/>
      <c r="ABB243" s="478"/>
      <c r="ABC243" s="478"/>
      <c r="ABD243" s="478"/>
      <c r="ABE243" s="478"/>
      <c r="ABF243" s="478"/>
      <c r="ABG243" s="478"/>
      <c r="ABH243" s="478"/>
      <c r="ABI243" s="478"/>
      <c r="ABJ243" s="478"/>
      <c r="ABK243" s="478"/>
      <c r="ABL243" s="478"/>
      <c r="ABM243" s="478"/>
      <c r="ABN243" s="478"/>
      <c r="ABO243" s="478"/>
      <c r="ABP243" s="478"/>
      <c r="ABQ243" s="478"/>
      <c r="ABR243" s="478"/>
      <c r="ABS243" s="478"/>
      <c r="ABT243" s="478"/>
      <c r="ABU243" s="478"/>
      <c r="ABV243" s="478"/>
      <c r="ABW243" s="478"/>
      <c r="ABX243" s="478"/>
      <c r="ABY243" s="478"/>
      <c r="ABZ243" s="478"/>
      <c r="ACA243" s="478"/>
      <c r="ACB243" s="478"/>
      <c r="ACC243" s="478"/>
      <c r="ACD243" s="478"/>
      <c r="ACE243" s="478"/>
      <c r="ACF243" s="478"/>
      <c r="ACG243" s="478"/>
      <c r="ACH243" s="478"/>
      <c r="ACI243" s="478"/>
      <c r="ACJ243" s="478"/>
      <c r="ACK243" s="478"/>
      <c r="ACL243" s="478"/>
      <c r="ACM243" s="478"/>
      <c r="ACN243" s="478"/>
      <c r="ACO243" s="478"/>
      <c r="ACP243" s="478"/>
      <c r="ACQ243" s="478"/>
      <c r="ACR243" s="478"/>
      <c r="ACS243" s="478"/>
      <c r="ACT243" s="478"/>
      <c r="ACU243" s="478"/>
      <c r="ACV243" s="478"/>
      <c r="ACW243" s="478"/>
      <c r="ACX243" s="478"/>
      <c r="ACY243" s="478"/>
      <c r="ACZ243" s="478"/>
      <c r="ADA243" s="478"/>
      <c r="ADB243" s="478"/>
      <c r="ADC243" s="478"/>
      <c r="ADD243" s="478"/>
      <c r="ADE243" s="478"/>
      <c r="ADF243" s="478"/>
      <c r="ADG243" s="478"/>
      <c r="ADH243" s="478"/>
      <c r="ADI243" s="478"/>
      <c r="ADJ243" s="478"/>
      <c r="ADK243" s="478"/>
      <c r="ADL243" s="478"/>
      <c r="ADM243" s="478"/>
      <c r="ADN243" s="478"/>
      <c r="ADO243" s="478"/>
      <c r="ADP243" s="478"/>
      <c r="ADQ243" s="478"/>
      <c r="ADR243" s="478"/>
      <c r="ADS243" s="478"/>
      <c r="ADT243" s="478"/>
      <c r="ADU243" s="478"/>
      <c r="ADV243" s="478"/>
      <c r="ADW243" s="478"/>
      <c r="ADX243" s="478"/>
      <c r="ADY243" s="478"/>
      <c r="ADZ243" s="478"/>
      <c r="AEA243" s="478"/>
      <c r="AEB243" s="478"/>
      <c r="AEC243" s="478"/>
      <c r="AED243" s="478"/>
      <c r="AEE243" s="478"/>
      <c r="AEF243" s="478"/>
      <c r="AEG243" s="478"/>
      <c r="AEH243" s="478"/>
      <c r="AEI243" s="478"/>
      <c r="AEJ243" s="478"/>
      <c r="AEK243" s="478"/>
      <c r="AEL243" s="478"/>
      <c r="AEM243" s="478"/>
      <c r="AEN243" s="478"/>
      <c r="AEO243" s="478"/>
      <c r="AEP243" s="478"/>
      <c r="AEQ243" s="478"/>
      <c r="AER243" s="478"/>
      <c r="AES243" s="478"/>
      <c r="AET243" s="478"/>
      <c r="AEU243" s="478"/>
      <c r="AEV243" s="478"/>
      <c r="AEW243" s="478"/>
      <c r="AEX243" s="478"/>
      <c r="AEY243" s="478"/>
      <c r="AEZ243" s="478"/>
      <c r="AFA243" s="478"/>
      <c r="AFB243" s="478"/>
      <c r="AFC243" s="478"/>
      <c r="AFD243" s="478"/>
      <c r="AFE243" s="478"/>
      <c r="AFF243" s="478"/>
      <c r="AFG243" s="478"/>
      <c r="AFH243" s="478"/>
      <c r="AFI243" s="478"/>
      <c r="AFJ243" s="478"/>
      <c r="AFK243" s="478"/>
      <c r="AFL243" s="478"/>
      <c r="AFM243" s="478"/>
      <c r="AFN243" s="478"/>
      <c r="AFO243" s="478"/>
      <c r="AFP243" s="478"/>
      <c r="AFQ243" s="478"/>
      <c r="AFR243" s="478"/>
      <c r="AFS243" s="478"/>
      <c r="AFT243" s="478"/>
      <c r="AFU243" s="478"/>
      <c r="AFV243" s="478"/>
      <c r="AFW243" s="478"/>
      <c r="AFX243" s="478"/>
      <c r="AFY243" s="478"/>
      <c r="AFZ243" s="478"/>
      <c r="AGA243" s="478"/>
      <c r="AGB243" s="478"/>
      <c r="AGC243" s="478"/>
      <c r="AGD243" s="478"/>
      <c r="AGE243" s="478"/>
      <c r="AGF243" s="478"/>
      <c r="AGG243" s="478"/>
      <c r="AGH243" s="478"/>
      <c r="AGI243" s="478"/>
      <c r="AGJ243" s="478"/>
      <c r="AGK243" s="478"/>
      <c r="AGL243" s="478"/>
      <c r="AGM243" s="478"/>
      <c r="AGN243" s="478"/>
      <c r="AGO243" s="478"/>
      <c r="AGP243" s="478"/>
      <c r="AGQ243" s="478"/>
      <c r="AGR243" s="478"/>
      <c r="AGS243" s="478"/>
      <c r="AGT243" s="478"/>
      <c r="AGU243" s="478"/>
      <c r="AGV243" s="478"/>
      <c r="AGW243" s="478"/>
      <c r="AGX243" s="478"/>
      <c r="AGY243" s="478"/>
      <c r="AGZ243" s="478"/>
      <c r="AHA243" s="478"/>
      <c r="AHB243" s="478"/>
      <c r="AHC243" s="478"/>
      <c r="AHD243" s="478"/>
      <c r="AHE243" s="478"/>
      <c r="AHF243" s="478"/>
      <c r="AHG243" s="478"/>
      <c r="AHH243" s="478"/>
      <c r="AHI243" s="478"/>
      <c r="AHJ243" s="478"/>
      <c r="AHK243" s="478"/>
      <c r="AHL243" s="478"/>
      <c r="AHM243" s="478"/>
      <c r="AHN243" s="478"/>
      <c r="AHO243" s="478"/>
      <c r="AHP243" s="478"/>
      <c r="AHQ243" s="478"/>
      <c r="AHR243" s="478"/>
      <c r="AHS243" s="478"/>
      <c r="AHT243" s="478"/>
      <c r="AHU243" s="478"/>
      <c r="AHV243" s="478"/>
      <c r="AHW243" s="478"/>
      <c r="AHX243" s="478"/>
      <c r="AHY243" s="478"/>
      <c r="AHZ243" s="478"/>
      <c r="AIA243" s="478"/>
      <c r="AIB243" s="478"/>
      <c r="AIC243" s="478"/>
      <c r="AID243" s="478"/>
      <c r="AIE243" s="478"/>
      <c r="AIF243" s="478"/>
      <c r="AIG243" s="478"/>
      <c r="AIH243" s="478"/>
      <c r="AII243" s="478"/>
      <c r="AIJ243" s="478"/>
      <c r="AIK243" s="478"/>
      <c r="AIL243" s="478"/>
      <c r="AIM243" s="478"/>
      <c r="AIN243" s="478"/>
      <c r="AIO243" s="478"/>
      <c r="AIP243" s="478"/>
      <c r="AIQ243" s="478"/>
      <c r="AIR243" s="478"/>
      <c r="AIS243" s="478"/>
      <c r="AIT243" s="478"/>
      <c r="AIU243" s="478"/>
      <c r="AIV243" s="478"/>
      <c r="AIW243" s="478"/>
      <c r="AIX243" s="478"/>
      <c r="AIY243" s="478"/>
      <c r="AIZ243" s="478"/>
      <c r="AJA243" s="478"/>
      <c r="AJB243" s="478"/>
      <c r="AJC243" s="478"/>
      <c r="AJD243" s="478"/>
      <c r="AJE243" s="478"/>
      <c r="AJF243" s="478"/>
      <c r="AJG243" s="478"/>
      <c r="AJH243" s="478"/>
      <c r="AJI243" s="478"/>
      <c r="AJJ243" s="478"/>
      <c r="AJK243" s="478"/>
      <c r="AJL243" s="478"/>
      <c r="AJM243" s="478"/>
      <c r="AJN243" s="478"/>
      <c r="AJO243" s="478"/>
      <c r="AJP243" s="478"/>
      <c r="AJQ243" s="478"/>
      <c r="AJR243" s="478"/>
      <c r="AJS243" s="478"/>
      <c r="AJT243" s="478"/>
      <c r="AJU243" s="478"/>
      <c r="AJV243" s="478"/>
      <c r="AJW243" s="478"/>
      <c r="AJX243" s="478"/>
      <c r="AJY243" s="478"/>
      <c r="AJZ243" s="478"/>
      <c r="AKA243" s="478"/>
      <c r="AKB243" s="478"/>
      <c r="AKC243" s="478"/>
      <c r="AKD243" s="478"/>
      <c r="AKE243" s="478"/>
      <c r="AKF243" s="478"/>
      <c r="AKG243" s="478"/>
      <c r="AKH243" s="478"/>
      <c r="AKI243" s="478"/>
      <c r="AKJ243" s="478"/>
      <c r="AKK243" s="478"/>
      <c r="AKL243" s="478"/>
      <c r="AKM243" s="478"/>
      <c r="AKN243" s="478"/>
      <c r="AKO243" s="478"/>
      <c r="AKP243" s="478"/>
      <c r="AKQ243" s="478"/>
      <c r="AKR243" s="478"/>
      <c r="AKS243" s="478"/>
      <c r="AKT243" s="478"/>
      <c r="AKU243" s="478"/>
      <c r="AKV243" s="478"/>
      <c r="AKW243" s="478"/>
      <c r="AKX243" s="478"/>
      <c r="AKY243" s="478"/>
      <c r="AKZ243" s="478"/>
      <c r="ALA243" s="478"/>
      <c r="ALB243" s="478"/>
      <c r="ALC243" s="478"/>
      <c r="ALD243" s="478"/>
      <c r="ALE243" s="478"/>
      <c r="ALF243" s="478"/>
      <c r="ALG243" s="478"/>
      <c r="ALH243" s="478"/>
      <c r="ALI243" s="478"/>
      <c r="ALJ243" s="478"/>
      <c r="ALK243" s="478"/>
      <c r="ALL243" s="478"/>
      <c r="ALM243" s="478"/>
      <c r="ALN243" s="478"/>
      <c r="ALO243" s="478"/>
      <c r="ALP243" s="478"/>
      <c r="ALQ243" s="478"/>
      <c r="ALR243" s="478"/>
      <c r="ALS243" s="478"/>
      <c r="ALT243" s="478"/>
      <c r="ALU243" s="478"/>
      <c r="ALV243" s="478"/>
      <c r="ALW243" s="478"/>
      <c r="ALX243" s="478"/>
      <c r="ALY243" s="478"/>
      <c r="ALZ243" s="478"/>
      <c r="AMA243" s="478"/>
      <c r="AMB243" s="478"/>
      <c r="AMC243" s="478"/>
      <c r="AMD243" s="478"/>
      <c r="AME243" s="478"/>
      <c r="AMF243" s="478"/>
      <c r="AMG243" s="478"/>
      <c r="AMH243" s="478"/>
      <c r="AMI243" s="478"/>
      <c r="AMJ243" s="478"/>
      <c r="AMK243" s="478"/>
      <c r="AML243" s="478"/>
      <c r="AMM243" s="478"/>
      <c r="AMN243" s="478"/>
      <c r="AMO243" s="478"/>
      <c r="AMP243" s="478"/>
      <c r="AMQ243" s="478"/>
      <c r="AMR243" s="478"/>
      <c r="AMS243" s="478"/>
      <c r="AMT243" s="478"/>
      <c r="AMU243" s="478"/>
      <c r="AMV243" s="478"/>
      <c r="AMW243" s="478"/>
      <c r="AMX243" s="478"/>
      <c r="AMY243" s="478"/>
      <c r="AMZ243" s="478"/>
      <c r="ANA243" s="478"/>
      <c r="ANB243" s="478"/>
      <c r="ANC243" s="478"/>
      <c r="AND243" s="478"/>
      <c r="ANE243" s="478"/>
      <c r="ANF243" s="478"/>
      <c r="ANG243" s="478"/>
      <c r="ANH243" s="478"/>
      <c r="ANI243" s="478"/>
      <c r="ANJ243" s="478"/>
      <c r="ANK243" s="478"/>
      <c r="ANL243" s="478"/>
      <c r="ANM243" s="478"/>
      <c r="ANN243" s="478"/>
      <c r="ANO243" s="478"/>
      <c r="ANP243" s="478"/>
      <c r="ANQ243" s="478"/>
      <c r="ANR243" s="478"/>
      <c r="ANS243" s="478"/>
      <c r="ANT243" s="478"/>
      <c r="ANU243" s="478"/>
      <c r="ANV243" s="478"/>
      <c r="ANW243" s="478"/>
      <c r="ANX243" s="478"/>
      <c r="ANY243" s="478"/>
      <c r="ANZ243" s="478"/>
      <c r="AOA243" s="478"/>
      <c r="AOB243" s="478"/>
      <c r="AOC243" s="478"/>
      <c r="AOD243" s="478"/>
      <c r="AOE243" s="478"/>
      <c r="AOF243" s="478"/>
      <c r="AOG243" s="478"/>
      <c r="AOH243" s="478"/>
      <c r="AOI243" s="478"/>
      <c r="AOJ243" s="478"/>
      <c r="AOK243" s="478"/>
      <c r="AOL243" s="478"/>
      <c r="AOM243" s="478"/>
      <c r="AON243" s="478"/>
      <c r="AOO243" s="478"/>
      <c r="AOP243" s="478"/>
      <c r="AOQ243" s="478"/>
      <c r="AOR243" s="478"/>
      <c r="AOS243" s="478"/>
      <c r="AOT243" s="478"/>
      <c r="AOU243" s="478"/>
      <c r="AOV243" s="478"/>
      <c r="AOW243" s="478"/>
      <c r="AOX243" s="478"/>
      <c r="AOY243" s="478"/>
      <c r="AOZ243" s="478"/>
      <c r="APA243" s="478"/>
      <c r="APB243" s="478"/>
      <c r="APC243" s="478"/>
      <c r="APD243" s="478"/>
      <c r="APE243" s="478"/>
      <c r="APF243" s="478"/>
      <c r="APG243" s="478"/>
      <c r="APH243" s="478"/>
      <c r="API243" s="478"/>
      <c r="APJ243" s="478"/>
      <c r="APK243" s="478"/>
      <c r="APL243" s="478"/>
      <c r="APM243" s="478"/>
      <c r="APN243" s="478"/>
      <c r="APO243" s="478"/>
      <c r="APP243" s="478"/>
      <c r="APQ243" s="478"/>
      <c r="APR243" s="478"/>
      <c r="APS243" s="478"/>
      <c r="APT243" s="478"/>
      <c r="APU243" s="478"/>
      <c r="APV243" s="478"/>
      <c r="APW243" s="478"/>
      <c r="APX243" s="478"/>
      <c r="APY243" s="478"/>
      <c r="APZ243" s="478"/>
      <c r="AQA243" s="478"/>
      <c r="AQB243" s="478"/>
      <c r="AQC243" s="478"/>
      <c r="AQD243" s="478"/>
      <c r="AQE243" s="478"/>
      <c r="AQF243" s="478"/>
      <c r="AQG243" s="478"/>
      <c r="AQH243" s="478"/>
      <c r="AQI243" s="478"/>
      <c r="AQJ243" s="478"/>
      <c r="AQK243" s="478"/>
      <c r="AQL243" s="478"/>
      <c r="AQM243" s="478"/>
      <c r="AQN243" s="478"/>
      <c r="AQO243" s="478"/>
      <c r="AQP243" s="478"/>
      <c r="AQQ243" s="478"/>
      <c r="AQR243" s="478"/>
      <c r="AQS243" s="478"/>
      <c r="AQT243" s="478"/>
      <c r="AQU243" s="478"/>
      <c r="AQV243" s="478"/>
      <c r="AQW243" s="478"/>
      <c r="AQX243" s="478"/>
      <c r="AQY243" s="478"/>
      <c r="AQZ243" s="478"/>
      <c r="ARA243" s="478"/>
      <c r="ARB243" s="478"/>
      <c r="ARC243" s="478"/>
      <c r="ARD243" s="478"/>
      <c r="ARE243" s="478"/>
      <c r="ARF243" s="478"/>
      <c r="ARG243" s="478"/>
      <c r="ARH243" s="478"/>
      <c r="ARI243" s="478"/>
      <c r="ARJ243" s="478"/>
      <c r="ARK243" s="478"/>
      <c r="ARL243" s="478"/>
      <c r="ARM243" s="478"/>
      <c r="ARN243" s="478"/>
      <c r="ARO243" s="478"/>
      <c r="ARP243" s="478"/>
      <c r="ARQ243" s="478"/>
      <c r="ARR243" s="478"/>
      <c r="ARS243" s="478"/>
      <c r="ART243" s="478"/>
      <c r="ARU243" s="478"/>
      <c r="ARV243" s="478"/>
      <c r="ARW243" s="478"/>
      <c r="ARX243" s="478"/>
      <c r="ARY243" s="478"/>
      <c r="ARZ243" s="478"/>
      <c r="ASA243" s="478"/>
      <c r="ASB243" s="478"/>
      <c r="ASC243" s="478"/>
      <c r="ASD243" s="478"/>
      <c r="ASE243" s="478"/>
      <c r="ASF243" s="478"/>
      <c r="ASG243" s="478"/>
      <c r="ASH243" s="478"/>
      <c r="ASI243" s="478"/>
      <c r="ASJ243" s="478"/>
      <c r="ASK243" s="478"/>
      <c r="ASL243" s="478"/>
      <c r="ASM243" s="478"/>
      <c r="ASN243" s="478"/>
      <c r="ASO243" s="478"/>
      <c r="ASP243" s="478"/>
      <c r="ASQ243" s="478"/>
      <c r="ASR243" s="478"/>
      <c r="ASS243" s="478"/>
      <c r="AST243" s="478"/>
      <c r="ASU243" s="478"/>
      <c r="ASV243" s="478"/>
      <c r="ASW243" s="478"/>
      <c r="ASX243" s="478"/>
      <c r="ASY243" s="478"/>
      <c r="ASZ243" s="478"/>
      <c r="ATA243" s="478"/>
      <c r="ATB243" s="478"/>
      <c r="ATC243" s="478"/>
      <c r="ATD243" s="478"/>
      <c r="ATE243" s="478"/>
      <c r="ATF243" s="478"/>
      <c r="ATG243" s="478"/>
      <c r="ATH243" s="478"/>
      <c r="ATI243" s="478"/>
      <c r="ATJ243" s="478"/>
      <c r="ATK243" s="478"/>
      <c r="ATL243" s="478"/>
      <c r="ATM243" s="478"/>
      <c r="ATN243" s="478"/>
      <c r="ATO243" s="478"/>
      <c r="ATP243" s="478"/>
      <c r="ATQ243" s="478"/>
      <c r="ATR243" s="478"/>
      <c r="ATS243" s="478"/>
      <c r="ATT243" s="478"/>
      <c r="ATU243" s="478"/>
      <c r="ATV243" s="478"/>
      <c r="ATW243" s="478"/>
      <c r="ATX243" s="478"/>
      <c r="ATY243" s="478"/>
      <c r="ATZ243" s="478"/>
      <c r="AUA243" s="478"/>
      <c r="AUB243" s="478"/>
      <c r="AUC243" s="478"/>
      <c r="AUD243" s="478"/>
      <c r="AUE243" s="478"/>
      <c r="AUF243" s="478"/>
      <c r="AUG243" s="478"/>
      <c r="AUH243" s="478"/>
      <c r="AUI243" s="478"/>
      <c r="AUJ243" s="478"/>
      <c r="AUK243" s="478"/>
      <c r="AUL243" s="478"/>
      <c r="AUM243" s="478"/>
      <c r="AUN243" s="478"/>
      <c r="AUO243" s="478"/>
      <c r="AUP243" s="478"/>
      <c r="AUQ243" s="478"/>
      <c r="AUR243" s="478"/>
      <c r="AUS243" s="478"/>
      <c r="AUT243" s="478"/>
      <c r="AUU243" s="478"/>
      <c r="AUV243" s="478"/>
      <c r="AUW243" s="478"/>
      <c r="AUX243" s="478"/>
      <c r="AUY243" s="478"/>
      <c r="AUZ243" s="478"/>
      <c r="AVA243" s="478"/>
      <c r="AVB243" s="478"/>
      <c r="AVC243" s="478"/>
      <c r="AVD243" s="478"/>
      <c r="AVE243" s="478"/>
      <c r="AVF243" s="478"/>
      <c r="AVG243" s="478"/>
      <c r="AVH243" s="478"/>
      <c r="AVI243" s="478"/>
      <c r="AVJ243" s="478"/>
      <c r="AVK243" s="478"/>
      <c r="AVL243" s="478"/>
      <c r="AVM243" s="478"/>
      <c r="AVN243" s="478"/>
      <c r="AVO243" s="478"/>
      <c r="AVP243" s="478"/>
      <c r="AVQ243" s="478"/>
      <c r="AVR243" s="478"/>
      <c r="AVS243" s="478"/>
      <c r="AVT243" s="478"/>
      <c r="AVU243" s="478"/>
      <c r="AVV243" s="478"/>
      <c r="AVW243" s="478"/>
      <c r="AVX243" s="478"/>
      <c r="AVY243" s="478"/>
      <c r="AVZ243" s="478"/>
      <c r="AWA243" s="478"/>
      <c r="AWB243" s="478"/>
      <c r="AWC243" s="478"/>
      <c r="AWD243" s="478"/>
      <c r="AWE243" s="478"/>
      <c r="AWF243" s="478"/>
      <c r="AWG243" s="478"/>
      <c r="AWH243" s="478"/>
      <c r="AWI243" s="478"/>
      <c r="AWJ243" s="478"/>
      <c r="AWK243" s="478"/>
      <c r="AWL243" s="478"/>
      <c r="AWM243" s="478"/>
      <c r="AWN243" s="478"/>
      <c r="AWO243" s="478"/>
      <c r="AWP243" s="478"/>
      <c r="AWQ243" s="478"/>
      <c r="AWR243" s="478"/>
      <c r="AWS243" s="478"/>
      <c r="AWT243" s="478"/>
      <c r="AWU243" s="478"/>
      <c r="AWV243" s="478"/>
      <c r="AWW243" s="478"/>
      <c r="AWX243" s="478"/>
      <c r="AWY243" s="478"/>
      <c r="AWZ243" s="478"/>
      <c r="AXA243" s="478"/>
      <c r="AXB243" s="478"/>
      <c r="AXC243" s="478"/>
      <c r="AXD243" s="478"/>
      <c r="AXE243" s="478"/>
      <c r="AXF243" s="478"/>
      <c r="AXG243" s="478"/>
      <c r="AXH243" s="478"/>
      <c r="AXI243" s="478"/>
      <c r="AXJ243" s="478"/>
      <c r="AXK243" s="478"/>
      <c r="AXL243" s="478"/>
      <c r="AXM243" s="478"/>
      <c r="AXN243" s="478"/>
      <c r="AXO243" s="478"/>
      <c r="AXP243" s="478"/>
      <c r="AXQ243" s="478"/>
      <c r="AXR243" s="478"/>
      <c r="AXS243" s="478"/>
      <c r="AXT243" s="478"/>
      <c r="AXU243" s="478"/>
      <c r="AXV243" s="478"/>
      <c r="AXW243" s="478"/>
      <c r="AXX243" s="478"/>
      <c r="AXY243" s="478"/>
      <c r="AXZ243" s="478"/>
      <c r="AYA243" s="478"/>
      <c r="AYB243" s="478"/>
      <c r="AYC243" s="478"/>
      <c r="AYD243" s="478"/>
      <c r="AYE243" s="478"/>
      <c r="AYF243" s="478"/>
      <c r="AYG243" s="478"/>
      <c r="AYH243" s="478"/>
      <c r="AYI243" s="478"/>
      <c r="AYJ243" s="478"/>
      <c r="AYK243" s="478"/>
      <c r="AYL243" s="478"/>
      <c r="AYM243" s="478"/>
      <c r="AYN243" s="478"/>
      <c r="AYO243" s="478"/>
      <c r="AYP243" s="478"/>
      <c r="AYQ243" s="478"/>
      <c r="AYR243" s="478"/>
      <c r="AYS243" s="478"/>
      <c r="AYT243" s="478"/>
      <c r="AYU243" s="478"/>
      <c r="AYV243" s="478"/>
      <c r="AYW243" s="478"/>
      <c r="AYX243" s="478"/>
      <c r="AYY243" s="478"/>
      <c r="AYZ243" s="478"/>
      <c r="AZA243" s="478"/>
      <c r="AZB243" s="478"/>
      <c r="AZC243" s="478"/>
      <c r="AZD243" s="478"/>
      <c r="AZE243" s="478"/>
      <c r="AZF243" s="478"/>
      <c r="AZG243" s="478"/>
      <c r="AZH243" s="478"/>
      <c r="AZI243" s="478"/>
      <c r="AZJ243" s="478"/>
      <c r="AZK243" s="478"/>
      <c r="AZL243" s="478"/>
      <c r="AZM243" s="478"/>
      <c r="AZN243" s="478"/>
      <c r="AZO243" s="478"/>
      <c r="AZP243" s="478"/>
      <c r="AZQ243" s="478"/>
      <c r="AZR243" s="478"/>
      <c r="AZS243" s="478"/>
      <c r="AZT243" s="478"/>
      <c r="AZU243" s="478"/>
      <c r="AZV243" s="478"/>
      <c r="AZW243" s="478"/>
      <c r="AZX243" s="478"/>
      <c r="AZY243" s="478"/>
      <c r="AZZ243" s="478"/>
      <c r="BAA243" s="478"/>
      <c r="BAB243" s="478"/>
      <c r="BAC243" s="478"/>
      <c r="BAD243" s="478"/>
      <c r="BAE243" s="478"/>
      <c r="BAF243" s="478"/>
      <c r="BAG243" s="478"/>
      <c r="BAH243" s="478"/>
      <c r="BAI243" s="478"/>
      <c r="BAJ243" s="478"/>
      <c r="BAK243" s="478"/>
      <c r="BAL243" s="478"/>
      <c r="BAM243" s="478"/>
      <c r="BAN243" s="478"/>
      <c r="BAO243" s="478"/>
      <c r="BAP243" s="478"/>
      <c r="BAQ243" s="478"/>
      <c r="BAR243" s="478"/>
      <c r="BAS243" s="478"/>
      <c r="BAT243" s="478"/>
      <c r="BAU243" s="478"/>
      <c r="BAV243" s="478"/>
      <c r="BAW243" s="478"/>
      <c r="BAX243" s="478"/>
      <c r="BAY243" s="478"/>
      <c r="BAZ243" s="478"/>
      <c r="BBA243" s="478"/>
      <c r="BBB243" s="478"/>
      <c r="BBC243" s="478"/>
      <c r="BBD243" s="478"/>
      <c r="BBE243" s="478"/>
      <c r="BBF243" s="478"/>
      <c r="BBG243" s="478"/>
      <c r="BBH243" s="478"/>
      <c r="BBI243" s="478"/>
      <c r="BBJ243" s="478"/>
      <c r="BBK243" s="478"/>
      <c r="BBL243" s="478"/>
      <c r="BBM243" s="478"/>
      <c r="BBN243" s="478"/>
      <c r="BBO243" s="478"/>
      <c r="BBP243" s="478"/>
      <c r="BBQ243" s="478"/>
      <c r="BBR243" s="478"/>
      <c r="BBS243" s="478"/>
      <c r="BBT243" s="478"/>
      <c r="BBU243" s="478"/>
      <c r="BBV243" s="478"/>
      <c r="BBW243" s="478"/>
      <c r="BBX243" s="478"/>
      <c r="BBY243" s="478"/>
      <c r="BBZ243" s="478"/>
      <c r="BCA243" s="478"/>
      <c r="BCB243" s="478"/>
      <c r="BCC243" s="478"/>
      <c r="BCD243" s="478"/>
      <c r="BCE243" s="478"/>
      <c r="BCF243" s="478"/>
      <c r="BCG243" s="478"/>
      <c r="BCH243" s="478"/>
      <c r="BCI243" s="478"/>
      <c r="BCJ243" s="478"/>
      <c r="BCK243" s="478"/>
      <c r="BCL243" s="478"/>
      <c r="BCM243" s="478"/>
      <c r="BCN243" s="478"/>
      <c r="BCO243" s="478"/>
      <c r="BCP243" s="478"/>
      <c r="BCQ243" s="478"/>
      <c r="BCR243" s="478"/>
      <c r="BCS243" s="478"/>
      <c r="BCT243" s="478"/>
      <c r="BCU243" s="478"/>
      <c r="BCV243" s="478"/>
      <c r="BCW243" s="478"/>
      <c r="BCX243" s="478"/>
      <c r="BCY243" s="478"/>
      <c r="BCZ243" s="478"/>
      <c r="BDA243" s="478"/>
      <c r="BDB243" s="478"/>
      <c r="BDC243" s="478"/>
      <c r="BDD243" s="478"/>
      <c r="BDE243" s="478"/>
      <c r="BDF243" s="478"/>
      <c r="BDG243" s="478"/>
      <c r="BDH243" s="478"/>
      <c r="BDI243" s="478"/>
      <c r="BDJ243" s="478"/>
      <c r="BDK243" s="478"/>
      <c r="BDL243" s="478"/>
      <c r="BDM243" s="478"/>
      <c r="BDN243" s="478"/>
      <c r="BDO243" s="478"/>
      <c r="BDP243" s="478"/>
      <c r="BDQ243" s="478"/>
      <c r="BDR243" s="478"/>
      <c r="BDS243" s="478"/>
      <c r="BDT243" s="478"/>
      <c r="BDU243" s="478"/>
      <c r="BDV243" s="478"/>
      <c r="BDW243" s="478"/>
      <c r="BDX243" s="478"/>
      <c r="BDY243" s="478"/>
      <c r="BDZ243" s="478"/>
      <c r="BEA243" s="478"/>
      <c r="BEB243" s="478"/>
      <c r="BEC243" s="478"/>
      <c r="BED243" s="478"/>
      <c r="BEE243" s="478"/>
      <c r="BEF243" s="478"/>
      <c r="BEG243" s="478"/>
      <c r="BEH243" s="478"/>
      <c r="BEI243" s="478"/>
      <c r="BEJ243" s="478"/>
      <c r="BEK243" s="478"/>
      <c r="BEL243" s="478"/>
      <c r="BEM243" s="478"/>
      <c r="BEN243" s="478"/>
      <c r="BEO243" s="478"/>
      <c r="BEP243" s="478"/>
      <c r="BEQ243" s="478"/>
      <c r="BER243" s="478"/>
      <c r="BES243" s="478"/>
      <c r="BET243" s="478"/>
      <c r="BEU243" s="478"/>
      <c r="BEV243" s="478"/>
      <c r="BEW243" s="478"/>
      <c r="BEX243" s="478"/>
      <c r="BEY243" s="478"/>
      <c r="BEZ243" s="478"/>
      <c r="BFA243" s="478"/>
      <c r="BFB243" s="478"/>
      <c r="BFC243" s="478"/>
      <c r="BFD243" s="478"/>
      <c r="BFE243" s="478"/>
      <c r="BFF243" s="478"/>
      <c r="BFG243" s="478"/>
      <c r="BFH243" s="478"/>
      <c r="BFI243" s="478"/>
      <c r="BFJ243" s="478"/>
      <c r="BFK243" s="478"/>
      <c r="BFL243" s="478"/>
      <c r="BFM243" s="478"/>
      <c r="BFN243" s="478"/>
      <c r="BFO243" s="478"/>
      <c r="BFP243" s="478"/>
      <c r="BFQ243" s="478"/>
      <c r="BFR243" s="478"/>
      <c r="BFS243" s="478"/>
      <c r="BFT243" s="478"/>
      <c r="BFU243" s="478"/>
      <c r="BFV243" s="478"/>
      <c r="BFW243" s="478"/>
      <c r="BFX243" s="478"/>
      <c r="BFY243" s="478"/>
      <c r="BFZ243" s="478"/>
      <c r="BGA243" s="478"/>
      <c r="BGB243" s="478"/>
      <c r="BGC243" s="478"/>
      <c r="BGD243" s="478"/>
      <c r="BGE243" s="478"/>
      <c r="BGF243" s="478"/>
      <c r="BGG243" s="478"/>
      <c r="BGH243" s="478"/>
      <c r="BGI243" s="478"/>
      <c r="BGJ243" s="478"/>
      <c r="BGK243" s="478"/>
      <c r="BGL243" s="478"/>
      <c r="BGM243" s="478"/>
      <c r="BGN243" s="478"/>
      <c r="BGO243" s="478"/>
      <c r="BGP243" s="478"/>
      <c r="BGQ243" s="478"/>
      <c r="BGR243" s="478"/>
      <c r="BGS243" s="478"/>
      <c r="BGT243" s="478"/>
      <c r="BGU243" s="478"/>
      <c r="BGV243" s="478"/>
      <c r="BGW243" s="478"/>
      <c r="BGX243" s="478"/>
      <c r="BGY243" s="478"/>
      <c r="BGZ243" s="478"/>
      <c r="BHA243" s="478"/>
      <c r="BHB243" s="478"/>
      <c r="BHC243" s="478"/>
      <c r="BHD243" s="478"/>
      <c r="BHE243" s="478"/>
      <c r="BHF243" s="478"/>
      <c r="BHG243" s="478"/>
      <c r="BHH243" s="478"/>
      <c r="BHI243" s="478"/>
      <c r="BHJ243" s="478"/>
      <c r="BHK243" s="478"/>
      <c r="BHL243" s="478"/>
      <c r="BHM243" s="478"/>
      <c r="BHN243" s="478"/>
      <c r="BHO243" s="478"/>
      <c r="BHP243" s="478"/>
      <c r="BHQ243" s="478"/>
      <c r="BHR243" s="478"/>
      <c r="BHS243" s="478"/>
      <c r="BHT243" s="478"/>
      <c r="BHU243" s="478"/>
      <c r="BHV243" s="478"/>
      <c r="BHW243" s="478"/>
      <c r="BHX243" s="478"/>
      <c r="BHY243" s="478"/>
      <c r="BHZ243" s="478"/>
      <c r="BIA243" s="478"/>
      <c r="BIB243" s="478"/>
      <c r="BIC243" s="478"/>
      <c r="BID243" s="478"/>
      <c r="BIE243" s="478"/>
      <c r="BIF243" s="478"/>
      <c r="BIG243" s="478"/>
      <c r="BIH243" s="478"/>
      <c r="BII243" s="478"/>
      <c r="BIJ243" s="478"/>
      <c r="BIK243" s="478"/>
      <c r="BIL243" s="478"/>
      <c r="BIM243" s="478"/>
      <c r="BIN243" s="478"/>
      <c r="BIO243" s="478"/>
      <c r="BIP243" s="478"/>
      <c r="BIQ243" s="478"/>
      <c r="BIR243" s="478"/>
      <c r="BIS243" s="478"/>
      <c r="BIT243" s="478"/>
      <c r="BIU243" s="478"/>
      <c r="BIV243" s="478"/>
      <c r="BIW243" s="478"/>
      <c r="BIX243" s="478"/>
      <c r="BIY243" s="478"/>
      <c r="BIZ243" s="478"/>
      <c r="BJA243" s="478"/>
      <c r="BJB243" s="478"/>
      <c r="BJC243" s="478"/>
      <c r="BJD243" s="478"/>
      <c r="BJE243" s="478"/>
      <c r="BJF243" s="478"/>
      <c r="BJG243" s="478"/>
      <c r="BJH243" s="478"/>
      <c r="BJI243" s="478"/>
      <c r="BJJ243" s="478"/>
      <c r="BJK243" s="478"/>
      <c r="BJL243" s="478"/>
      <c r="BJM243" s="478"/>
      <c r="BJN243" s="478"/>
      <c r="BJO243" s="478"/>
      <c r="BJP243" s="478"/>
      <c r="BJQ243" s="478"/>
      <c r="BJR243" s="478"/>
      <c r="BJS243" s="478"/>
      <c r="BJT243" s="478"/>
      <c r="BJU243" s="478"/>
      <c r="BJV243" s="478"/>
      <c r="BJW243" s="478"/>
      <c r="BJX243" s="478"/>
      <c r="BJY243" s="478"/>
      <c r="BJZ243" s="478"/>
      <c r="BKA243" s="478"/>
      <c r="BKB243" s="478"/>
      <c r="BKC243" s="478"/>
      <c r="BKD243" s="478"/>
      <c r="BKE243" s="478"/>
      <c r="BKF243" s="478"/>
      <c r="BKG243" s="478"/>
      <c r="BKH243" s="478"/>
      <c r="BKI243" s="478"/>
      <c r="BKJ243" s="478"/>
      <c r="BKK243" s="478"/>
      <c r="BKL243" s="478"/>
      <c r="BKM243" s="478"/>
      <c r="BKN243" s="478"/>
      <c r="BKO243" s="478"/>
      <c r="BKP243" s="478"/>
      <c r="BKQ243" s="478"/>
      <c r="BKR243" s="478"/>
      <c r="BKS243" s="478"/>
      <c r="BKT243" s="478"/>
      <c r="BKU243" s="478"/>
      <c r="BKV243" s="478"/>
      <c r="BKW243" s="478"/>
      <c r="BKX243" s="478"/>
      <c r="BKY243" s="478"/>
      <c r="BKZ243" s="478"/>
      <c r="BLA243" s="478"/>
      <c r="BLB243" s="478"/>
      <c r="BLC243" s="478"/>
      <c r="BLD243" s="478"/>
      <c r="BLE243" s="478"/>
      <c r="BLF243" s="478"/>
      <c r="BLG243" s="478"/>
      <c r="BLH243" s="478"/>
      <c r="BLI243" s="478"/>
      <c r="BLJ243" s="478"/>
      <c r="BLK243" s="478"/>
      <c r="BLL243" s="478"/>
      <c r="BLM243" s="478"/>
      <c r="BLN243" s="478"/>
      <c r="BLO243" s="478"/>
      <c r="BLP243" s="478"/>
      <c r="BLQ243" s="478"/>
      <c r="BLR243" s="478"/>
      <c r="BLS243" s="478"/>
      <c r="BLT243" s="478"/>
      <c r="BLU243" s="478"/>
      <c r="BLV243" s="478"/>
      <c r="BLW243" s="478"/>
      <c r="BLX243" s="478"/>
      <c r="BLY243" s="478"/>
      <c r="BLZ243" s="478"/>
      <c r="BMA243" s="478"/>
      <c r="BMB243" s="478"/>
      <c r="BMC243" s="478"/>
      <c r="BMD243" s="478"/>
      <c r="BME243" s="478"/>
      <c r="BMF243" s="478"/>
      <c r="BMG243" s="478"/>
      <c r="BMH243" s="478"/>
      <c r="BMI243" s="478"/>
      <c r="BMJ243" s="478"/>
      <c r="BMK243" s="478"/>
      <c r="BML243" s="478"/>
      <c r="BMM243" s="478"/>
      <c r="BMN243" s="478"/>
      <c r="BMO243" s="478"/>
      <c r="BMP243" s="478"/>
      <c r="BMQ243" s="478"/>
      <c r="BMR243" s="478"/>
      <c r="BMS243" s="478"/>
      <c r="BMT243" s="478"/>
      <c r="BMU243" s="478"/>
      <c r="BMV243" s="478"/>
      <c r="BMW243" s="478"/>
      <c r="BMX243" s="478"/>
      <c r="BMY243" s="478"/>
      <c r="BMZ243" s="478"/>
      <c r="BNA243" s="478"/>
      <c r="BNB243" s="478"/>
      <c r="BNC243" s="478"/>
      <c r="BND243" s="478"/>
      <c r="BNE243" s="478"/>
      <c r="BNF243" s="478"/>
      <c r="BNG243" s="478"/>
      <c r="BNH243" s="478"/>
      <c r="BNI243" s="478"/>
      <c r="BNJ243" s="478"/>
      <c r="BNK243" s="478"/>
      <c r="BNL243" s="478"/>
      <c r="BNM243" s="478"/>
      <c r="BNN243" s="478"/>
      <c r="BNO243" s="478"/>
      <c r="BNP243" s="478"/>
      <c r="BNQ243" s="478"/>
      <c r="BNR243" s="478"/>
      <c r="BNS243" s="478"/>
      <c r="BNT243" s="478"/>
      <c r="BNU243" s="478"/>
      <c r="BNV243" s="478"/>
      <c r="BNW243" s="478"/>
      <c r="BNX243" s="478"/>
      <c r="BNY243" s="478"/>
      <c r="BNZ243" s="478"/>
      <c r="BOA243" s="478"/>
      <c r="BOB243" s="478"/>
      <c r="BOC243" s="478"/>
      <c r="BOD243" s="478"/>
      <c r="BOE243" s="478"/>
      <c r="BOF243" s="478"/>
      <c r="BOG243" s="478"/>
      <c r="BOH243" s="478"/>
      <c r="BOI243" s="478"/>
      <c r="BOJ243" s="478"/>
      <c r="BOK243" s="478"/>
      <c r="BOL243" s="478"/>
      <c r="BOM243" s="478"/>
      <c r="BON243" s="478"/>
      <c r="BOO243" s="478"/>
      <c r="BOP243" s="478"/>
      <c r="BOQ243" s="478"/>
      <c r="BOR243" s="478"/>
      <c r="BOS243" s="478"/>
      <c r="BOT243" s="478"/>
      <c r="BOU243" s="478"/>
      <c r="BOV243" s="478"/>
      <c r="BOW243" s="478"/>
      <c r="BOX243" s="478"/>
      <c r="BOY243" s="478"/>
      <c r="BOZ243" s="478"/>
      <c r="BPA243" s="478"/>
      <c r="BPB243" s="478"/>
      <c r="BPC243" s="478"/>
      <c r="BPD243" s="478"/>
      <c r="BPE243" s="478"/>
      <c r="BPF243" s="478"/>
      <c r="BPG243" s="478"/>
      <c r="BPH243" s="478"/>
      <c r="BPI243" s="478"/>
      <c r="BPJ243" s="478"/>
      <c r="BPK243" s="478"/>
      <c r="BPL243" s="478"/>
      <c r="BPM243" s="478"/>
      <c r="BPN243" s="478"/>
      <c r="BPO243" s="478"/>
      <c r="BPP243" s="478"/>
      <c r="BPQ243" s="478"/>
      <c r="BPR243" s="478"/>
      <c r="BPS243" s="478"/>
      <c r="BPT243" s="478"/>
      <c r="BPU243" s="478"/>
      <c r="BPV243" s="478"/>
      <c r="BPW243" s="478"/>
      <c r="BPX243" s="478"/>
      <c r="BPY243" s="478"/>
      <c r="BPZ243" s="478"/>
      <c r="BQA243" s="478"/>
      <c r="BQB243" s="478"/>
      <c r="BQC243" s="478"/>
      <c r="BQD243" s="478"/>
      <c r="BQE243" s="478"/>
      <c r="BQF243" s="478"/>
      <c r="BQG243" s="478"/>
      <c r="BQH243" s="478"/>
      <c r="BQI243" s="478"/>
      <c r="BQJ243" s="478"/>
      <c r="BQK243" s="478"/>
      <c r="BQL243" s="478"/>
      <c r="BQM243" s="478"/>
      <c r="BQN243" s="478"/>
      <c r="BQO243" s="478"/>
      <c r="BQP243" s="478"/>
      <c r="BQQ243" s="478"/>
      <c r="BQR243" s="478"/>
      <c r="BQS243" s="478"/>
      <c r="BQT243" s="478"/>
      <c r="BQU243" s="478"/>
      <c r="BQV243" s="478"/>
      <c r="BQW243" s="478"/>
      <c r="BQX243" s="478"/>
      <c r="BQY243" s="478"/>
      <c r="BQZ243" s="478"/>
      <c r="BRA243" s="478"/>
      <c r="BRB243" s="478"/>
      <c r="BRC243" s="478"/>
      <c r="BRD243" s="478"/>
      <c r="BRE243" s="478"/>
      <c r="BRF243" s="478"/>
      <c r="BRG243" s="478"/>
      <c r="BRH243" s="478"/>
      <c r="BRI243" s="478"/>
      <c r="BRJ243" s="478"/>
      <c r="BRK243" s="478"/>
      <c r="BRL243" s="478"/>
      <c r="BRM243" s="478"/>
      <c r="BRN243" s="478"/>
      <c r="BRO243" s="478"/>
      <c r="BRP243" s="478"/>
      <c r="BRQ243" s="478"/>
      <c r="BRR243" s="478"/>
      <c r="BRS243" s="478"/>
      <c r="BRT243" s="478"/>
      <c r="BRU243" s="478"/>
      <c r="BRV243" s="478"/>
      <c r="BRW243" s="478"/>
      <c r="BRX243" s="478"/>
      <c r="BRY243" s="478"/>
      <c r="BRZ243" s="478"/>
      <c r="BSA243" s="478"/>
      <c r="BSB243" s="478"/>
      <c r="BSC243" s="478"/>
      <c r="BSD243" s="478"/>
      <c r="BSE243" s="478"/>
      <c r="BSF243" s="478"/>
      <c r="BSG243" s="478"/>
      <c r="BSH243" s="478"/>
      <c r="BSI243" s="478"/>
      <c r="BSJ243" s="478"/>
      <c r="BSK243" s="478"/>
      <c r="BSL243" s="478"/>
      <c r="BSM243" s="478"/>
      <c r="BSN243" s="478"/>
      <c r="BSO243" s="478"/>
      <c r="BSP243" s="478"/>
      <c r="BSQ243" s="478"/>
      <c r="BSR243" s="478"/>
      <c r="BSS243" s="478"/>
      <c r="BST243" s="478"/>
      <c r="BSU243" s="478"/>
      <c r="BSV243" s="478"/>
      <c r="BSW243" s="478"/>
      <c r="BSX243" s="478"/>
      <c r="BSY243" s="478"/>
      <c r="BSZ243" s="478"/>
      <c r="BTA243" s="478"/>
      <c r="BTB243" s="478"/>
      <c r="BTC243" s="478"/>
      <c r="BTD243" s="478"/>
      <c r="BTE243" s="478"/>
      <c r="BTF243" s="478"/>
      <c r="BTG243" s="478"/>
      <c r="BTH243" s="478"/>
      <c r="BTI243" s="478"/>
      <c r="BTJ243" s="478"/>
      <c r="BTK243" s="478"/>
      <c r="BTL243" s="478"/>
      <c r="BTM243" s="478"/>
      <c r="BTN243" s="478"/>
      <c r="BTO243" s="478"/>
      <c r="BTP243" s="478"/>
      <c r="BTQ243" s="478"/>
      <c r="BTR243" s="478"/>
      <c r="BTS243" s="478"/>
      <c r="BTT243" s="478"/>
      <c r="BTU243" s="478"/>
      <c r="BTV243" s="478"/>
      <c r="BTW243" s="478"/>
      <c r="BTX243" s="478"/>
      <c r="BTY243" s="478"/>
      <c r="BTZ243" s="478"/>
      <c r="BUA243" s="478"/>
      <c r="BUB243" s="478"/>
      <c r="BUC243" s="478"/>
      <c r="BUD243" s="478"/>
      <c r="BUE243" s="478"/>
      <c r="BUF243" s="478"/>
      <c r="BUG243" s="478"/>
      <c r="BUH243" s="478"/>
      <c r="BUI243" s="478"/>
      <c r="BUJ243" s="478"/>
      <c r="BUK243" s="478"/>
      <c r="BUL243" s="478"/>
      <c r="BUM243" s="478"/>
      <c r="BUN243" s="478"/>
      <c r="BUO243" s="478"/>
      <c r="BUP243" s="478"/>
      <c r="BUQ243" s="478"/>
      <c r="BUR243" s="478"/>
      <c r="BUS243" s="478"/>
      <c r="BUT243" s="478"/>
      <c r="BUU243" s="478"/>
      <c r="BUV243" s="478"/>
      <c r="BUW243" s="478"/>
      <c r="BUX243" s="478"/>
      <c r="BUY243" s="478"/>
      <c r="BUZ243" s="478"/>
      <c r="BVA243" s="478"/>
      <c r="BVB243" s="478"/>
      <c r="BVC243" s="478"/>
      <c r="BVD243" s="478"/>
      <c r="BVE243" s="478"/>
      <c r="BVF243" s="478"/>
      <c r="BVG243" s="478"/>
      <c r="BVH243" s="478"/>
      <c r="BVI243" s="478"/>
      <c r="BVJ243" s="478"/>
      <c r="BVK243" s="478"/>
      <c r="BVL243" s="478"/>
      <c r="BVM243" s="478"/>
      <c r="BVN243" s="478"/>
      <c r="BVO243" s="478"/>
      <c r="BVP243" s="478"/>
      <c r="BVQ243" s="478"/>
      <c r="BVR243" s="478"/>
      <c r="BVS243" s="478"/>
      <c r="BVT243" s="478"/>
      <c r="BVU243" s="478"/>
      <c r="BVV243" s="478"/>
      <c r="BVW243" s="478"/>
      <c r="BVX243" s="478"/>
      <c r="BVY243" s="478"/>
      <c r="BVZ243" s="478"/>
      <c r="BWA243" s="478"/>
      <c r="BWB243" s="478"/>
      <c r="BWC243" s="478"/>
      <c r="BWD243" s="478"/>
      <c r="BWE243" s="478"/>
      <c r="BWF243" s="478"/>
      <c r="BWG243" s="478"/>
      <c r="BWH243" s="478"/>
      <c r="BWI243" s="478"/>
      <c r="BWJ243" s="478"/>
      <c r="BWK243" s="478"/>
      <c r="BWL243" s="478"/>
      <c r="BWM243" s="478"/>
      <c r="BWN243" s="478"/>
      <c r="BWO243" s="478"/>
      <c r="BWP243" s="478"/>
      <c r="BWQ243" s="478"/>
      <c r="BWR243" s="478"/>
      <c r="BWS243" s="478"/>
      <c r="BWT243" s="478"/>
      <c r="BWU243" s="478"/>
      <c r="BWV243" s="478"/>
      <c r="BWW243" s="478"/>
      <c r="BWX243" s="478"/>
      <c r="BWY243" s="478"/>
      <c r="BWZ243" s="478"/>
      <c r="BXA243" s="478"/>
      <c r="BXB243" s="478"/>
      <c r="BXC243" s="478"/>
      <c r="BXD243" s="478"/>
      <c r="BXE243" s="478"/>
      <c r="BXF243" s="478"/>
      <c r="BXG243" s="478"/>
      <c r="BXH243" s="478"/>
      <c r="BXI243" s="478"/>
      <c r="BXJ243" s="478"/>
      <c r="BXK243" s="478"/>
      <c r="BXL243" s="478"/>
      <c r="BXM243" s="478"/>
      <c r="BXN243" s="478"/>
      <c r="BXO243" s="478"/>
      <c r="BXP243" s="478"/>
      <c r="BXQ243" s="478"/>
      <c r="BXR243" s="478"/>
      <c r="BXS243" s="478"/>
      <c r="BXT243" s="478"/>
      <c r="BXU243" s="478"/>
      <c r="BXV243" s="478"/>
      <c r="BXW243" s="478"/>
      <c r="BXX243" s="478"/>
      <c r="BXY243" s="478"/>
      <c r="BXZ243" s="478"/>
      <c r="BYA243" s="478"/>
      <c r="BYB243" s="478"/>
      <c r="BYC243" s="478"/>
      <c r="BYD243" s="478"/>
      <c r="BYE243" s="478"/>
      <c r="BYF243" s="478"/>
      <c r="BYG243" s="478"/>
      <c r="BYH243" s="478"/>
      <c r="BYI243" s="478"/>
      <c r="BYJ243" s="478"/>
      <c r="BYK243" s="478"/>
      <c r="BYL243" s="478"/>
      <c r="BYM243" s="478"/>
      <c r="BYN243" s="478"/>
      <c r="BYO243" s="478"/>
      <c r="BYP243" s="478"/>
      <c r="BYQ243" s="478"/>
      <c r="BYR243" s="478"/>
      <c r="BYS243" s="478"/>
      <c r="BYT243" s="478"/>
      <c r="BYU243" s="478"/>
      <c r="BYV243" s="478"/>
      <c r="BYW243" s="478"/>
      <c r="BYX243" s="478"/>
      <c r="BYY243" s="478"/>
      <c r="BYZ243" s="478"/>
      <c r="BZA243" s="478"/>
      <c r="BZB243" s="478"/>
      <c r="BZC243" s="478"/>
      <c r="BZD243" s="478"/>
      <c r="BZE243" s="478"/>
      <c r="BZF243" s="478"/>
      <c r="BZG243" s="478"/>
      <c r="BZH243" s="478"/>
      <c r="BZI243" s="478"/>
      <c r="BZJ243" s="478"/>
      <c r="BZK243" s="478"/>
      <c r="BZL243" s="478"/>
      <c r="BZM243" s="478"/>
      <c r="BZN243" s="478"/>
      <c r="BZO243" s="478"/>
      <c r="BZP243" s="478"/>
      <c r="BZQ243" s="478"/>
      <c r="BZR243" s="478"/>
      <c r="BZS243" s="478"/>
      <c r="BZT243" s="478"/>
      <c r="BZU243" s="478"/>
      <c r="BZV243" s="478"/>
      <c r="BZW243" s="478"/>
      <c r="BZX243" s="478"/>
      <c r="BZY243" s="478"/>
      <c r="BZZ243" s="478"/>
      <c r="CAA243" s="478"/>
      <c r="CAB243" s="478"/>
      <c r="CAC243" s="478"/>
      <c r="CAD243" s="478"/>
      <c r="CAE243" s="478"/>
      <c r="CAF243" s="478"/>
      <c r="CAG243" s="478"/>
      <c r="CAH243" s="478"/>
      <c r="CAI243" s="478"/>
      <c r="CAJ243" s="478"/>
      <c r="CAK243" s="478"/>
      <c r="CAL243" s="478"/>
      <c r="CAM243" s="478"/>
      <c r="CAN243" s="478"/>
      <c r="CAO243" s="478"/>
      <c r="CAP243" s="478"/>
      <c r="CAQ243" s="478"/>
      <c r="CAR243" s="478"/>
      <c r="CAS243" s="478"/>
      <c r="CAT243" s="478"/>
      <c r="CAU243" s="478"/>
      <c r="CAV243" s="478"/>
      <c r="CAW243" s="478"/>
      <c r="CAX243" s="478"/>
      <c r="CAY243" s="478"/>
      <c r="CAZ243" s="478"/>
      <c r="CBA243" s="478"/>
      <c r="CBB243" s="478"/>
      <c r="CBC243" s="478"/>
      <c r="CBD243" s="478"/>
      <c r="CBE243" s="478"/>
      <c r="CBF243" s="478"/>
      <c r="CBG243" s="478"/>
      <c r="CBH243" s="478"/>
      <c r="CBI243" s="478"/>
      <c r="CBJ243" s="478"/>
      <c r="CBK243" s="478"/>
      <c r="CBL243" s="478"/>
      <c r="CBM243" s="478"/>
      <c r="CBN243" s="478"/>
      <c r="CBO243" s="478"/>
      <c r="CBP243" s="478"/>
      <c r="CBQ243" s="478"/>
      <c r="CBR243" s="478"/>
      <c r="CBS243" s="478"/>
      <c r="CBT243" s="478"/>
      <c r="CBU243" s="478"/>
      <c r="CBV243" s="478"/>
      <c r="CBW243" s="478"/>
      <c r="CBX243" s="478"/>
      <c r="CBY243" s="478"/>
      <c r="CBZ243" s="478"/>
      <c r="CCA243" s="478"/>
      <c r="CCB243" s="478"/>
      <c r="CCC243" s="478"/>
      <c r="CCD243" s="478"/>
      <c r="CCE243" s="478"/>
      <c r="CCF243" s="478"/>
      <c r="CCG243" s="478"/>
      <c r="CCH243" s="478"/>
      <c r="CCI243" s="478"/>
      <c r="CCJ243" s="478"/>
      <c r="CCK243" s="478"/>
      <c r="CCL243" s="478"/>
      <c r="CCM243" s="478"/>
      <c r="CCN243" s="478"/>
      <c r="CCO243" s="478"/>
      <c r="CCP243" s="478"/>
      <c r="CCQ243" s="478"/>
      <c r="CCR243" s="478"/>
      <c r="CCS243" s="478"/>
      <c r="CCT243" s="478"/>
      <c r="CCU243" s="478"/>
      <c r="CCV243" s="478"/>
      <c r="CCW243" s="478"/>
      <c r="CCX243" s="478"/>
      <c r="CCY243" s="478"/>
      <c r="CCZ243" s="478"/>
      <c r="CDA243" s="478"/>
      <c r="CDB243" s="478"/>
      <c r="CDC243" s="478"/>
      <c r="CDD243" s="478"/>
      <c r="CDE243" s="478"/>
      <c r="CDF243" s="478"/>
      <c r="CDG243" s="478"/>
      <c r="CDH243" s="478"/>
      <c r="CDI243" s="478"/>
      <c r="CDJ243" s="478"/>
      <c r="CDK243" s="478"/>
      <c r="CDL243" s="478"/>
      <c r="CDM243" s="478"/>
      <c r="CDN243" s="478"/>
      <c r="CDO243" s="478"/>
      <c r="CDP243" s="478"/>
      <c r="CDQ243" s="478"/>
      <c r="CDR243" s="478"/>
      <c r="CDS243" s="478"/>
      <c r="CDT243" s="478"/>
      <c r="CDU243" s="478"/>
      <c r="CDV243" s="478"/>
      <c r="CDW243" s="478"/>
      <c r="CDX243" s="478"/>
      <c r="CDY243" s="478"/>
      <c r="CDZ243" s="478"/>
      <c r="CEA243" s="478"/>
      <c r="CEB243" s="478"/>
      <c r="CEC243" s="478"/>
      <c r="CED243" s="478"/>
      <c r="CEE243" s="478"/>
      <c r="CEF243" s="478"/>
      <c r="CEG243" s="478"/>
      <c r="CEH243" s="478"/>
      <c r="CEI243" s="478"/>
      <c r="CEJ243" s="478"/>
      <c r="CEK243" s="478"/>
      <c r="CEL243" s="478"/>
      <c r="CEM243" s="478"/>
      <c r="CEN243" s="478"/>
      <c r="CEO243" s="478"/>
      <c r="CEP243" s="478"/>
      <c r="CEQ243" s="478"/>
      <c r="CER243" s="478"/>
      <c r="CES243" s="478"/>
      <c r="CET243" s="478"/>
      <c r="CEU243" s="478"/>
      <c r="CEV243" s="478"/>
      <c r="CEW243" s="478"/>
      <c r="CEX243" s="478"/>
      <c r="CEY243" s="478"/>
      <c r="CEZ243" s="478"/>
      <c r="CFA243" s="478"/>
      <c r="CFB243" s="478"/>
      <c r="CFC243" s="478"/>
      <c r="CFD243" s="478"/>
      <c r="CFE243" s="478"/>
      <c r="CFF243" s="478"/>
      <c r="CFG243" s="478"/>
      <c r="CFH243" s="478"/>
      <c r="CFI243" s="478"/>
      <c r="CFJ243" s="478"/>
      <c r="CFK243" s="478"/>
      <c r="CFL243" s="478"/>
      <c r="CFM243" s="478"/>
      <c r="CFN243" s="478"/>
      <c r="CFO243" s="478"/>
      <c r="CFP243" s="478"/>
      <c r="CFQ243" s="478"/>
      <c r="CFR243" s="478"/>
      <c r="CFS243" s="478"/>
      <c r="CFT243" s="478"/>
      <c r="CFU243" s="478"/>
      <c r="CFV243" s="478"/>
      <c r="CFW243" s="478"/>
      <c r="CFX243" s="478"/>
      <c r="CFY243" s="478"/>
      <c r="CFZ243" s="478"/>
      <c r="CGA243" s="478"/>
      <c r="CGB243" s="478"/>
      <c r="CGC243" s="478"/>
      <c r="CGD243" s="478"/>
      <c r="CGE243" s="478"/>
      <c r="CGF243" s="478"/>
      <c r="CGG243" s="478"/>
      <c r="CGH243" s="478"/>
      <c r="CGI243" s="478"/>
      <c r="CGJ243" s="478"/>
      <c r="CGK243" s="478"/>
      <c r="CGL243" s="478"/>
      <c r="CGM243" s="478"/>
      <c r="CGN243" s="478"/>
      <c r="CGO243" s="478"/>
      <c r="CGP243" s="478"/>
      <c r="CGQ243" s="478"/>
      <c r="CGR243" s="478"/>
      <c r="CGS243" s="478"/>
      <c r="CGT243" s="478"/>
      <c r="CGU243" s="478"/>
      <c r="CGV243" s="478"/>
      <c r="CGW243" s="478"/>
      <c r="CGX243" s="478"/>
      <c r="CGY243" s="478"/>
      <c r="CGZ243" s="478"/>
      <c r="CHA243" s="478"/>
      <c r="CHB243" s="478"/>
      <c r="CHC243" s="478"/>
      <c r="CHD243" s="478"/>
      <c r="CHE243" s="478"/>
      <c r="CHF243" s="478"/>
      <c r="CHG243" s="478"/>
      <c r="CHH243" s="478"/>
      <c r="CHI243" s="478"/>
      <c r="CHJ243" s="478"/>
      <c r="CHK243" s="478"/>
      <c r="CHL243" s="478"/>
      <c r="CHM243" s="478"/>
      <c r="CHN243" s="478"/>
      <c r="CHO243" s="478"/>
      <c r="CHP243" s="478"/>
      <c r="CHQ243" s="478"/>
      <c r="CHR243" s="478"/>
      <c r="CHS243" s="478"/>
      <c r="CHT243" s="478"/>
      <c r="CHU243" s="478"/>
      <c r="CHV243" s="478"/>
      <c r="CHW243" s="478"/>
      <c r="CHX243" s="478"/>
      <c r="CHY243" s="478"/>
      <c r="CHZ243" s="478"/>
      <c r="CIA243" s="478"/>
      <c r="CIB243" s="478"/>
      <c r="CIC243" s="478"/>
      <c r="CID243" s="478"/>
      <c r="CIE243" s="478"/>
      <c r="CIF243" s="478"/>
      <c r="CIG243" s="478"/>
      <c r="CIH243" s="478"/>
      <c r="CII243" s="478"/>
      <c r="CIJ243" s="478"/>
      <c r="CIK243" s="478"/>
      <c r="CIL243" s="478"/>
      <c r="CIM243" s="478"/>
      <c r="CIN243" s="478"/>
      <c r="CIO243" s="478"/>
      <c r="CIP243" s="478"/>
      <c r="CIQ243" s="478"/>
      <c r="CIR243" s="478"/>
      <c r="CIS243" s="478"/>
      <c r="CIT243" s="478"/>
      <c r="CIU243" s="478"/>
      <c r="CIV243" s="478"/>
      <c r="CIW243" s="478"/>
      <c r="CIX243" s="478"/>
      <c r="CIY243" s="478"/>
      <c r="CIZ243" s="478"/>
      <c r="CJA243" s="478"/>
      <c r="CJB243" s="478"/>
      <c r="CJC243" s="478"/>
      <c r="CJD243" s="478"/>
      <c r="CJE243" s="478"/>
      <c r="CJF243" s="478"/>
      <c r="CJG243" s="478"/>
      <c r="CJH243" s="478"/>
      <c r="CJI243" s="478"/>
      <c r="CJJ243" s="478"/>
      <c r="CJK243" s="478"/>
      <c r="CJL243" s="478"/>
      <c r="CJM243" s="478"/>
      <c r="CJN243" s="478"/>
      <c r="CJO243" s="478"/>
      <c r="CJP243" s="478"/>
      <c r="CJQ243" s="478"/>
      <c r="CJR243" s="478"/>
      <c r="CJS243" s="478"/>
      <c r="CJT243" s="478"/>
      <c r="CJU243" s="478"/>
      <c r="CJV243" s="478"/>
      <c r="CJW243" s="478"/>
      <c r="CJX243" s="478"/>
      <c r="CJY243" s="478"/>
      <c r="CJZ243" s="478"/>
      <c r="CKA243" s="478"/>
      <c r="CKB243" s="478"/>
      <c r="CKC243" s="478"/>
      <c r="CKD243" s="478"/>
      <c r="CKE243" s="478"/>
      <c r="CKF243" s="478"/>
      <c r="CKG243" s="478"/>
      <c r="CKH243" s="478"/>
      <c r="CKI243" s="478"/>
      <c r="CKJ243" s="478"/>
      <c r="CKK243" s="478"/>
      <c r="CKL243" s="478"/>
      <c r="CKM243" s="478"/>
      <c r="CKN243" s="478"/>
      <c r="CKO243" s="478"/>
      <c r="CKP243" s="478"/>
      <c r="CKQ243" s="478"/>
      <c r="CKR243" s="478"/>
      <c r="CKS243" s="478"/>
      <c r="CKT243" s="478"/>
      <c r="CKU243" s="478"/>
      <c r="CKV243" s="478"/>
      <c r="CKW243" s="478"/>
      <c r="CKX243" s="478"/>
      <c r="CKY243" s="478"/>
      <c r="CKZ243" s="478"/>
      <c r="CLA243" s="478"/>
      <c r="CLB243" s="478"/>
      <c r="CLC243" s="478"/>
      <c r="CLD243" s="478"/>
      <c r="CLE243" s="478"/>
      <c r="CLF243" s="478"/>
      <c r="CLG243" s="478"/>
      <c r="CLH243" s="478"/>
      <c r="CLI243" s="478"/>
      <c r="CLJ243" s="478"/>
      <c r="CLK243" s="478"/>
      <c r="CLL243" s="478"/>
      <c r="CLM243" s="478"/>
      <c r="CLN243" s="478"/>
      <c r="CLO243" s="478"/>
      <c r="CLP243" s="478"/>
      <c r="CLQ243" s="478"/>
      <c r="CLR243" s="478"/>
      <c r="CLS243" s="478"/>
      <c r="CLT243" s="478"/>
      <c r="CLU243" s="478"/>
      <c r="CLV243" s="478"/>
      <c r="CLW243" s="478"/>
      <c r="CLX243" s="478"/>
      <c r="CLY243" s="478"/>
      <c r="CLZ243" s="478"/>
      <c r="CMA243" s="478"/>
      <c r="CMB243" s="478"/>
      <c r="CMC243" s="478"/>
      <c r="CMD243" s="478"/>
      <c r="CME243" s="478"/>
      <c r="CMF243" s="478"/>
      <c r="CMG243" s="478"/>
      <c r="CMH243" s="478"/>
      <c r="CMI243" s="478"/>
      <c r="CMJ243" s="478"/>
      <c r="CMK243" s="478"/>
      <c r="CML243" s="478"/>
      <c r="CMM243" s="478"/>
      <c r="CMN243" s="478"/>
      <c r="CMO243" s="478"/>
      <c r="CMP243" s="478"/>
      <c r="CMQ243" s="478"/>
      <c r="CMR243" s="478"/>
      <c r="CMS243" s="478"/>
      <c r="CMT243" s="478"/>
      <c r="CMU243" s="478"/>
      <c r="CMV243" s="478"/>
      <c r="CMW243" s="478"/>
      <c r="CMX243" s="478"/>
      <c r="CMY243" s="478"/>
      <c r="CMZ243" s="478"/>
      <c r="CNA243" s="478"/>
      <c r="CNB243" s="478"/>
      <c r="CNC243" s="478"/>
      <c r="CND243" s="478"/>
      <c r="CNE243" s="478"/>
      <c r="CNF243" s="478"/>
      <c r="CNG243" s="478"/>
      <c r="CNH243" s="478"/>
      <c r="CNI243" s="478"/>
      <c r="CNJ243" s="478"/>
      <c r="CNK243" s="478"/>
      <c r="CNL243" s="478"/>
      <c r="CNM243" s="478"/>
      <c r="CNN243" s="478"/>
      <c r="CNO243" s="478"/>
      <c r="CNP243" s="478"/>
      <c r="CNQ243" s="478"/>
      <c r="CNR243" s="478"/>
      <c r="CNS243" s="478"/>
      <c r="CNT243" s="478"/>
      <c r="CNU243" s="478"/>
      <c r="CNV243" s="478"/>
      <c r="CNW243" s="478"/>
      <c r="CNX243" s="478"/>
      <c r="CNY243" s="478"/>
      <c r="CNZ243" s="478"/>
      <c r="COA243" s="478"/>
      <c r="COB243" s="478"/>
      <c r="COC243" s="478"/>
      <c r="COD243" s="478"/>
      <c r="COE243" s="478"/>
      <c r="COF243" s="478"/>
      <c r="COG243" s="478"/>
      <c r="COH243" s="478"/>
      <c r="COI243" s="478"/>
      <c r="COJ243" s="478"/>
      <c r="COK243" s="478"/>
      <c r="COL243" s="478"/>
      <c r="COM243" s="478"/>
      <c r="CON243" s="478"/>
      <c r="COO243" s="478"/>
      <c r="COP243" s="478"/>
      <c r="COQ243" s="478"/>
      <c r="COR243" s="478"/>
      <c r="COS243" s="478"/>
      <c r="COT243" s="478"/>
      <c r="COU243" s="478"/>
      <c r="COV243" s="478"/>
      <c r="COW243" s="478"/>
      <c r="COX243" s="478"/>
      <c r="COY243" s="478"/>
      <c r="COZ243" s="478"/>
      <c r="CPA243" s="478"/>
      <c r="CPB243" s="478"/>
      <c r="CPC243" s="478"/>
      <c r="CPD243" s="478"/>
      <c r="CPE243" s="478"/>
      <c r="CPF243" s="478"/>
      <c r="CPG243" s="478"/>
      <c r="CPH243" s="478"/>
      <c r="CPI243" s="478"/>
      <c r="CPJ243" s="478"/>
      <c r="CPK243" s="478"/>
      <c r="CPL243" s="478"/>
      <c r="CPM243" s="478"/>
      <c r="CPN243" s="478"/>
      <c r="CPO243" s="478"/>
      <c r="CPP243" s="478"/>
      <c r="CPQ243" s="478"/>
      <c r="CPR243" s="478"/>
      <c r="CPS243" s="478"/>
      <c r="CPT243" s="478"/>
      <c r="CPU243" s="478"/>
      <c r="CPV243" s="478"/>
      <c r="CPW243" s="478"/>
      <c r="CPX243" s="478"/>
      <c r="CPY243" s="478"/>
      <c r="CPZ243" s="478"/>
      <c r="CQA243" s="478"/>
      <c r="CQB243" s="478"/>
      <c r="CQC243" s="478"/>
      <c r="CQD243" s="478"/>
      <c r="CQE243" s="478"/>
      <c r="CQF243" s="478"/>
      <c r="CQG243" s="478"/>
      <c r="CQH243" s="478"/>
      <c r="CQI243" s="478"/>
      <c r="CQJ243" s="478"/>
      <c r="CQK243" s="478"/>
      <c r="CQL243" s="478"/>
      <c r="CQM243" s="478"/>
      <c r="CQN243" s="478"/>
      <c r="CQO243" s="478"/>
      <c r="CQP243" s="478"/>
      <c r="CQQ243" s="478"/>
      <c r="CQR243" s="478"/>
      <c r="CQS243" s="478"/>
      <c r="CQT243" s="478"/>
      <c r="CQU243" s="478"/>
      <c r="CQV243" s="478"/>
      <c r="CQW243" s="478"/>
      <c r="CQX243" s="478"/>
      <c r="CQY243" s="478"/>
      <c r="CQZ243" s="478"/>
      <c r="CRA243" s="478"/>
      <c r="CRB243" s="478"/>
      <c r="CRC243" s="478"/>
      <c r="CRD243" s="478"/>
      <c r="CRE243" s="478"/>
      <c r="CRF243" s="478"/>
      <c r="CRG243" s="478"/>
      <c r="CRH243" s="478"/>
      <c r="CRI243" s="478"/>
      <c r="CRJ243" s="478"/>
      <c r="CRK243" s="478"/>
      <c r="CRL243" s="478"/>
      <c r="CRM243" s="478"/>
      <c r="CRN243" s="478"/>
      <c r="CRO243" s="478"/>
      <c r="CRP243" s="478"/>
      <c r="CRQ243" s="478"/>
      <c r="CRR243" s="478"/>
      <c r="CRS243" s="478"/>
      <c r="CRT243" s="478"/>
      <c r="CRU243" s="478"/>
      <c r="CRV243" s="478"/>
      <c r="CRW243" s="478"/>
      <c r="CRX243" s="478"/>
      <c r="CRY243" s="478"/>
      <c r="CRZ243" s="478"/>
      <c r="CSA243" s="478"/>
      <c r="CSB243" s="478"/>
      <c r="CSC243" s="478"/>
      <c r="CSD243" s="478"/>
      <c r="CSE243" s="478"/>
      <c r="CSF243" s="478"/>
      <c r="CSG243" s="478"/>
      <c r="CSH243" s="478"/>
      <c r="CSI243" s="478"/>
      <c r="CSJ243" s="478"/>
      <c r="CSK243" s="478"/>
      <c r="CSL243" s="478"/>
      <c r="CSM243" s="478"/>
      <c r="CSN243" s="478"/>
      <c r="CSO243" s="478"/>
      <c r="CSP243" s="478"/>
      <c r="CSQ243" s="478"/>
      <c r="CSR243" s="478"/>
      <c r="CSS243" s="478"/>
      <c r="CST243" s="478"/>
      <c r="CSU243" s="478"/>
      <c r="CSV243" s="478"/>
      <c r="CSW243" s="478"/>
      <c r="CSX243" s="478"/>
      <c r="CSY243" s="478"/>
      <c r="CSZ243" s="478"/>
      <c r="CTA243" s="478"/>
      <c r="CTB243" s="478"/>
      <c r="CTC243" s="478"/>
      <c r="CTD243" s="478"/>
      <c r="CTE243" s="478"/>
      <c r="CTF243" s="478"/>
      <c r="CTG243" s="478"/>
      <c r="CTH243" s="478"/>
      <c r="CTI243" s="478"/>
      <c r="CTJ243" s="478"/>
      <c r="CTK243" s="478"/>
      <c r="CTL243" s="478"/>
      <c r="CTM243" s="478"/>
      <c r="CTN243" s="478"/>
      <c r="CTO243" s="478"/>
      <c r="CTP243" s="478"/>
      <c r="CTQ243" s="478"/>
      <c r="CTR243" s="478"/>
      <c r="CTS243" s="478"/>
      <c r="CTT243" s="478"/>
      <c r="CTU243" s="478"/>
      <c r="CTV243" s="478"/>
      <c r="CTW243" s="478"/>
      <c r="CTX243" s="478"/>
      <c r="CTY243" s="478"/>
      <c r="CTZ243" s="478"/>
      <c r="CUA243" s="478"/>
      <c r="CUB243" s="478"/>
      <c r="CUC243" s="478"/>
      <c r="CUD243" s="478"/>
      <c r="CUE243" s="478"/>
      <c r="CUF243" s="478"/>
      <c r="CUG243" s="478"/>
      <c r="CUH243" s="478"/>
      <c r="CUI243" s="478"/>
      <c r="CUJ243" s="478"/>
      <c r="CUK243" s="478"/>
      <c r="CUL243" s="478"/>
      <c r="CUM243" s="478"/>
      <c r="CUN243" s="478"/>
      <c r="CUO243" s="478"/>
      <c r="CUP243" s="478"/>
      <c r="CUQ243" s="478"/>
      <c r="CUR243" s="478"/>
      <c r="CUS243" s="478"/>
      <c r="CUT243" s="478"/>
      <c r="CUU243" s="478"/>
      <c r="CUV243" s="478"/>
      <c r="CUW243" s="478"/>
      <c r="CUX243" s="478"/>
      <c r="CUY243" s="478"/>
      <c r="CUZ243" s="478"/>
      <c r="CVA243" s="478"/>
      <c r="CVB243" s="478"/>
      <c r="CVC243" s="478"/>
      <c r="CVD243" s="478"/>
      <c r="CVE243" s="478"/>
      <c r="CVF243" s="478"/>
      <c r="CVG243" s="478"/>
      <c r="CVH243" s="478"/>
      <c r="CVI243" s="478"/>
      <c r="CVJ243" s="478"/>
      <c r="CVK243" s="478"/>
      <c r="CVL243" s="478"/>
      <c r="CVM243" s="478"/>
      <c r="CVN243" s="478"/>
      <c r="CVO243" s="478"/>
      <c r="CVP243" s="478"/>
      <c r="CVQ243" s="478"/>
      <c r="CVR243" s="478"/>
      <c r="CVS243" s="478"/>
      <c r="CVT243" s="478"/>
      <c r="CVU243" s="478"/>
      <c r="CVV243" s="478"/>
      <c r="CVW243" s="478"/>
      <c r="CVX243" s="478"/>
      <c r="CVY243" s="478"/>
      <c r="CVZ243" s="478"/>
      <c r="CWA243" s="478"/>
      <c r="CWB243" s="478"/>
      <c r="CWC243" s="478"/>
      <c r="CWD243" s="478"/>
      <c r="CWE243" s="478"/>
      <c r="CWF243" s="478"/>
      <c r="CWG243" s="478"/>
      <c r="CWH243" s="478"/>
      <c r="CWI243" s="478"/>
      <c r="CWJ243" s="478"/>
      <c r="CWK243" s="478"/>
      <c r="CWL243" s="478"/>
      <c r="CWM243" s="478"/>
      <c r="CWN243" s="478"/>
      <c r="CWO243" s="478"/>
      <c r="CWP243" s="478"/>
      <c r="CWQ243" s="478"/>
      <c r="CWR243" s="478"/>
      <c r="CWS243" s="478"/>
      <c r="CWT243" s="478"/>
      <c r="CWU243" s="478"/>
      <c r="CWV243" s="478"/>
      <c r="CWW243" s="478"/>
      <c r="CWX243" s="478"/>
      <c r="CWY243" s="478"/>
      <c r="CWZ243" s="478"/>
      <c r="CXA243" s="478"/>
      <c r="CXB243" s="478"/>
      <c r="CXC243" s="478"/>
      <c r="CXD243" s="478"/>
      <c r="CXE243" s="478"/>
      <c r="CXF243" s="478"/>
      <c r="CXG243" s="478"/>
      <c r="CXH243" s="478"/>
      <c r="CXI243" s="478"/>
      <c r="CXJ243" s="478"/>
      <c r="CXK243" s="478"/>
      <c r="CXL243" s="478"/>
      <c r="CXM243" s="478"/>
      <c r="CXN243" s="478"/>
      <c r="CXO243" s="478"/>
      <c r="CXP243" s="478"/>
      <c r="CXQ243" s="478"/>
      <c r="CXR243" s="478"/>
      <c r="CXS243" s="478"/>
      <c r="CXT243" s="478"/>
      <c r="CXU243" s="478"/>
      <c r="CXV243" s="478"/>
      <c r="CXW243" s="478"/>
      <c r="CXX243" s="478"/>
      <c r="CXY243" s="478"/>
      <c r="CXZ243" s="478"/>
      <c r="CYA243" s="478"/>
      <c r="CYB243" s="478"/>
      <c r="CYC243" s="478"/>
      <c r="CYD243" s="478"/>
      <c r="CYE243" s="478"/>
      <c r="CYF243" s="478"/>
      <c r="CYG243" s="478"/>
      <c r="CYH243" s="478"/>
      <c r="CYI243" s="478"/>
      <c r="CYJ243" s="478"/>
      <c r="CYK243" s="478"/>
      <c r="CYL243" s="478"/>
      <c r="CYM243" s="478"/>
      <c r="CYN243" s="478"/>
      <c r="CYO243" s="478"/>
      <c r="CYP243" s="478"/>
      <c r="CYQ243" s="478"/>
      <c r="CYR243" s="478"/>
      <c r="CYS243" s="478"/>
      <c r="CYT243" s="478"/>
      <c r="CYU243" s="478"/>
      <c r="CYV243" s="478"/>
      <c r="CYW243" s="478"/>
      <c r="CYX243" s="478"/>
      <c r="CYY243" s="478"/>
      <c r="CYZ243" s="478"/>
      <c r="CZA243" s="478"/>
      <c r="CZB243" s="478"/>
      <c r="CZC243" s="478"/>
      <c r="CZD243" s="478"/>
      <c r="CZE243" s="478"/>
      <c r="CZF243" s="478"/>
      <c r="CZG243" s="478"/>
      <c r="CZH243" s="478"/>
      <c r="CZI243" s="478"/>
      <c r="CZJ243" s="478"/>
      <c r="CZK243" s="478"/>
      <c r="CZL243" s="478"/>
      <c r="CZM243" s="478"/>
      <c r="CZN243" s="478"/>
      <c r="CZO243" s="478"/>
      <c r="CZP243" s="478"/>
      <c r="CZQ243" s="478"/>
      <c r="CZR243" s="478"/>
      <c r="CZS243" s="478"/>
      <c r="CZT243" s="478"/>
      <c r="CZU243" s="478"/>
      <c r="CZV243" s="478"/>
      <c r="CZW243" s="478"/>
      <c r="CZX243" s="478"/>
      <c r="CZY243" s="478"/>
      <c r="CZZ243" s="478"/>
      <c r="DAA243" s="478"/>
      <c r="DAB243" s="478"/>
      <c r="DAC243" s="478"/>
      <c r="DAD243" s="478"/>
      <c r="DAE243" s="478"/>
      <c r="DAF243" s="478"/>
      <c r="DAG243" s="478"/>
      <c r="DAH243" s="478"/>
      <c r="DAI243" s="478"/>
      <c r="DAJ243" s="478"/>
      <c r="DAK243" s="478"/>
      <c r="DAL243" s="478"/>
      <c r="DAM243" s="478"/>
      <c r="DAN243" s="478"/>
      <c r="DAO243" s="478"/>
      <c r="DAP243" s="478"/>
      <c r="DAQ243" s="478"/>
      <c r="DAR243" s="478"/>
      <c r="DAS243" s="478"/>
      <c r="DAT243" s="478"/>
      <c r="DAU243" s="478"/>
      <c r="DAV243" s="478"/>
      <c r="DAW243" s="478"/>
      <c r="DAX243" s="478"/>
      <c r="DAY243" s="478"/>
      <c r="DAZ243" s="478"/>
      <c r="DBA243" s="478"/>
      <c r="DBB243" s="478"/>
      <c r="DBC243" s="478"/>
      <c r="DBD243" s="478"/>
      <c r="DBE243" s="478"/>
      <c r="DBF243" s="478"/>
      <c r="DBG243" s="478"/>
      <c r="DBH243" s="478"/>
      <c r="DBI243" s="478"/>
      <c r="DBJ243" s="478"/>
      <c r="DBK243" s="478"/>
      <c r="DBL243" s="478"/>
      <c r="DBM243" s="478"/>
      <c r="DBN243" s="478"/>
      <c r="DBO243" s="478"/>
      <c r="DBP243" s="478"/>
      <c r="DBQ243" s="478"/>
      <c r="DBR243" s="478"/>
      <c r="DBS243" s="478"/>
      <c r="DBT243" s="478"/>
      <c r="DBU243" s="478"/>
      <c r="DBV243" s="478"/>
      <c r="DBW243" s="478"/>
      <c r="DBX243" s="478"/>
      <c r="DBY243" s="478"/>
      <c r="DBZ243" s="478"/>
      <c r="DCA243" s="478"/>
      <c r="DCB243" s="478"/>
      <c r="DCC243" s="478"/>
      <c r="DCD243" s="478"/>
      <c r="DCE243" s="478"/>
      <c r="DCF243" s="478"/>
      <c r="DCG243" s="478"/>
      <c r="DCH243" s="478"/>
      <c r="DCI243" s="478"/>
      <c r="DCJ243" s="478"/>
      <c r="DCK243" s="478"/>
      <c r="DCL243" s="478"/>
      <c r="DCM243" s="478"/>
      <c r="DCN243" s="478"/>
      <c r="DCO243" s="478"/>
      <c r="DCP243" s="478"/>
      <c r="DCQ243" s="478"/>
      <c r="DCR243" s="478"/>
      <c r="DCS243" s="478"/>
      <c r="DCT243" s="478"/>
      <c r="DCU243" s="478"/>
      <c r="DCV243" s="478"/>
      <c r="DCW243" s="478"/>
      <c r="DCX243" s="478"/>
      <c r="DCY243" s="478"/>
      <c r="DCZ243" s="478"/>
      <c r="DDA243" s="478"/>
      <c r="DDB243" s="478"/>
      <c r="DDC243" s="478"/>
      <c r="DDD243" s="478"/>
      <c r="DDE243" s="478"/>
      <c r="DDF243" s="478"/>
      <c r="DDG243" s="478"/>
      <c r="DDH243" s="478"/>
      <c r="DDI243" s="478"/>
      <c r="DDJ243" s="478"/>
      <c r="DDK243" s="478"/>
      <c r="DDL243" s="478"/>
      <c r="DDM243" s="478"/>
      <c r="DDN243" s="478"/>
      <c r="DDO243" s="478"/>
      <c r="DDP243" s="478"/>
      <c r="DDQ243" s="478"/>
      <c r="DDR243" s="478"/>
      <c r="DDS243" s="478"/>
      <c r="DDT243" s="478"/>
      <c r="DDU243" s="478"/>
      <c r="DDV243" s="478"/>
      <c r="DDW243" s="478"/>
      <c r="DDX243" s="478"/>
      <c r="DDY243" s="478"/>
      <c r="DDZ243" s="478"/>
      <c r="DEA243" s="478"/>
      <c r="DEB243" s="478"/>
      <c r="DEC243" s="478"/>
      <c r="DED243" s="478"/>
      <c r="DEE243" s="478"/>
      <c r="DEF243" s="478"/>
      <c r="DEG243" s="478"/>
      <c r="DEH243" s="478"/>
      <c r="DEI243" s="478"/>
      <c r="DEJ243" s="478"/>
      <c r="DEK243" s="478"/>
      <c r="DEL243" s="478"/>
      <c r="DEM243" s="478"/>
      <c r="DEN243" s="478"/>
      <c r="DEO243" s="478"/>
      <c r="DEP243" s="478"/>
      <c r="DEQ243" s="478"/>
      <c r="DER243" s="478"/>
      <c r="DES243" s="478"/>
      <c r="DET243" s="478"/>
      <c r="DEU243" s="478"/>
      <c r="DEV243" s="478"/>
      <c r="DEW243" s="478"/>
      <c r="DEX243" s="478"/>
      <c r="DEY243" s="478"/>
      <c r="DEZ243" s="478"/>
      <c r="DFA243" s="478"/>
      <c r="DFB243" s="478"/>
      <c r="DFC243" s="478"/>
      <c r="DFD243" s="478"/>
      <c r="DFE243" s="478"/>
      <c r="DFF243" s="478"/>
      <c r="DFG243" s="478"/>
      <c r="DFH243" s="478"/>
      <c r="DFI243" s="478"/>
      <c r="DFJ243" s="478"/>
      <c r="DFK243" s="478"/>
      <c r="DFL243" s="478"/>
      <c r="DFM243" s="478"/>
      <c r="DFN243" s="478"/>
      <c r="DFO243" s="478"/>
      <c r="DFP243" s="478"/>
      <c r="DFQ243" s="478"/>
      <c r="DFR243" s="478"/>
      <c r="DFS243" s="478"/>
      <c r="DFT243" s="478"/>
      <c r="DFU243" s="478"/>
      <c r="DFV243" s="478"/>
      <c r="DFW243" s="478"/>
      <c r="DFX243" s="478"/>
      <c r="DFY243" s="478"/>
      <c r="DFZ243" s="478"/>
      <c r="DGA243" s="478"/>
      <c r="DGB243" s="478"/>
      <c r="DGC243" s="478"/>
      <c r="DGD243" s="478"/>
      <c r="DGE243" s="478"/>
      <c r="DGF243" s="478"/>
      <c r="DGG243" s="478"/>
      <c r="DGH243" s="478"/>
      <c r="DGI243" s="478"/>
      <c r="DGJ243" s="478"/>
      <c r="DGK243" s="478"/>
      <c r="DGL243" s="478"/>
      <c r="DGM243" s="478"/>
      <c r="DGN243" s="478"/>
      <c r="DGO243" s="478"/>
      <c r="DGP243" s="478"/>
      <c r="DGQ243" s="478"/>
      <c r="DGR243" s="478"/>
      <c r="DGS243" s="478"/>
      <c r="DGT243" s="478"/>
      <c r="DGU243" s="478"/>
      <c r="DGV243" s="478"/>
      <c r="DGW243" s="478"/>
      <c r="DGX243" s="478"/>
      <c r="DGY243" s="478"/>
      <c r="DGZ243" s="478"/>
      <c r="DHA243" s="478"/>
      <c r="DHB243" s="478"/>
      <c r="DHC243" s="478"/>
      <c r="DHD243" s="478"/>
      <c r="DHE243" s="478"/>
      <c r="DHF243" s="478"/>
      <c r="DHG243" s="478"/>
      <c r="DHH243" s="478"/>
      <c r="DHI243" s="478"/>
      <c r="DHJ243" s="478"/>
      <c r="DHK243" s="478"/>
      <c r="DHL243" s="478"/>
      <c r="DHM243" s="478"/>
      <c r="DHN243" s="478"/>
      <c r="DHO243" s="478"/>
      <c r="DHP243" s="478"/>
      <c r="DHQ243" s="478"/>
      <c r="DHR243" s="478"/>
      <c r="DHS243" s="478"/>
      <c r="DHT243" s="478"/>
      <c r="DHU243" s="478"/>
      <c r="DHV243" s="478"/>
      <c r="DHW243" s="478"/>
      <c r="DHX243" s="478"/>
      <c r="DHY243" s="478"/>
      <c r="DHZ243" s="478"/>
      <c r="DIA243" s="478"/>
      <c r="DIB243" s="478"/>
      <c r="DIC243" s="478"/>
      <c r="DID243" s="478"/>
      <c r="DIE243" s="478"/>
      <c r="DIF243" s="478"/>
      <c r="DIG243" s="478"/>
      <c r="DIH243" s="478"/>
      <c r="DII243" s="478"/>
      <c r="DIJ243" s="478"/>
      <c r="DIK243" s="478"/>
      <c r="DIL243" s="478"/>
      <c r="DIM243" s="478"/>
      <c r="DIN243" s="478"/>
      <c r="DIO243" s="478"/>
      <c r="DIP243" s="478"/>
      <c r="DIQ243" s="478"/>
      <c r="DIR243" s="478"/>
      <c r="DIS243" s="478"/>
      <c r="DIT243" s="478"/>
      <c r="DIU243" s="478"/>
      <c r="DIV243" s="478"/>
      <c r="DIW243" s="478"/>
      <c r="DIX243" s="478"/>
      <c r="DIY243" s="478"/>
      <c r="DIZ243" s="478"/>
      <c r="DJA243" s="478"/>
      <c r="DJB243" s="478"/>
      <c r="DJC243" s="478"/>
      <c r="DJD243" s="478"/>
      <c r="DJE243" s="478"/>
      <c r="DJF243" s="478"/>
      <c r="DJG243" s="478"/>
      <c r="DJH243" s="478"/>
      <c r="DJI243" s="478"/>
      <c r="DJJ243" s="478"/>
      <c r="DJK243" s="478"/>
      <c r="DJL243" s="478"/>
      <c r="DJM243" s="478"/>
      <c r="DJN243" s="478"/>
      <c r="DJO243" s="478"/>
      <c r="DJP243" s="478"/>
      <c r="DJQ243" s="478"/>
      <c r="DJR243" s="478"/>
      <c r="DJS243" s="478"/>
      <c r="DJT243" s="478"/>
      <c r="DJU243" s="478"/>
      <c r="DJV243" s="478"/>
      <c r="DJW243" s="478"/>
      <c r="DJX243" s="478"/>
      <c r="DJY243" s="478"/>
      <c r="DJZ243" s="478"/>
      <c r="DKA243" s="478"/>
      <c r="DKB243" s="478"/>
      <c r="DKC243" s="478"/>
      <c r="DKD243" s="478"/>
      <c r="DKE243" s="478"/>
      <c r="DKF243" s="478"/>
      <c r="DKG243" s="478"/>
      <c r="DKH243" s="478"/>
      <c r="DKI243" s="478"/>
      <c r="DKJ243" s="478"/>
      <c r="DKK243" s="478"/>
      <c r="DKL243" s="478"/>
      <c r="DKM243" s="478"/>
      <c r="DKN243" s="478"/>
      <c r="DKO243" s="478"/>
      <c r="DKP243" s="478"/>
      <c r="DKQ243" s="478"/>
      <c r="DKR243" s="478"/>
      <c r="DKS243" s="478"/>
      <c r="DKT243" s="478"/>
      <c r="DKU243" s="478"/>
      <c r="DKV243" s="478"/>
      <c r="DKW243" s="478"/>
      <c r="DKX243" s="478"/>
      <c r="DKY243" s="478"/>
      <c r="DKZ243" s="478"/>
      <c r="DLA243" s="478"/>
      <c r="DLB243" s="478"/>
      <c r="DLC243" s="478"/>
      <c r="DLD243" s="478"/>
      <c r="DLE243" s="478"/>
      <c r="DLF243" s="478"/>
      <c r="DLG243" s="478"/>
      <c r="DLH243" s="478"/>
      <c r="DLI243" s="478"/>
      <c r="DLJ243" s="478"/>
      <c r="DLK243" s="478"/>
      <c r="DLL243" s="478"/>
      <c r="DLM243" s="478"/>
      <c r="DLN243" s="478"/>
      <c r="DLO243" s="478"/>
      <c r="DLP243" s="478"/>
      <c r="DLQ243" s="478"/>
      <c r="DLR243" s="478"/>
      <c r="DLS243" s="478"/>
      <c r="DLT243" s="478"/>
      <c r="DLU243" s="478"/>
      <c r="DLV243" s="478"/>
      <c r="DLW243" s="478"/>
      <c r="DLX243" s="478"/>
      <c r="DLY243" s="478"/>
      <c r="DLZ243" s="478"/>
      <c r="DMA243" s="478"/>
      <c r="DMB243" s="478"/>
      <c r="DMC243" s="478"/>
      <c r="DMD243" s="478"/>
      <c r="DME243" s="478"/>
      <c r="DMF243" s="478"/>
      <c r="DMG243" s="478"/>
      <c r="DMH243" s="478"/>
      <c r="DMI243" s="478"/>
      <c r="DMJ243" s="478"/>
      <c r="DMK243" s="478"/>
      <c r="DML243" s="478"/>
      <c r="DMM243" s="478"/>
      <c r="DMN243" s="478"/>
      <c r="DMO243" s="478"/>
      <c r="DMP243" s="478"/>
      <c r="DMQ243" s="478"/>
      <c r="DMR243" s="478"/>
      <c r="DMS243" s="478"/>
      <c r="DMT243" s="478"/>
      <c r="DMU243" s="478"/>
      <c r="DMV243" s="478"/>
      <c r="DMW243" s="478"/>
      <c r="DMX243" s="478"/>
      <c r="DMY243" s="478"/>
      <c r="DMZ243" s="478"/>
      <c r="DNA243" s="478"/>
      <c r="DNB243" s="478"/>
      <c r="DNC243" s="478"/>
      <c r="DND243" s="478"/>
      <c r="DNE243" s="478"/>
      <c r="DNF243" s="478"/>
      <c r="DNG243" s="478"/>
      <c r="DNH243" s="478"/>
      <c r="DNI243" s="478"/>
      <c r="DNJ243" s="478"/>
      <c r="DNK243" s="478"/>
      <c r="DNL243" s="478"/>
      <c r="DNM243" s="478"/>
      <c r="DNN243" s="478"/>
      <c r="DNO243" s="478"/>
      <c r="DNP243" s="478"/>
      <c r="DNQ243" s="478"/>
      <c r="DNR243" s="478"/>
      <c r="DNS243" s="478"/>
      <c r="DNT243" s="478"/>
      <c r="DNU243" s="478"/>
      <c r="DNV243" s="478"/>
      <c r="DNW243" s="478"/>
      <c r="DNX243" s="478"/>
      <c r="DNY243" s="478"/>
      <c r="DNZ243" s="478"/>
      <c r="DOA243" s="478"/>
      <c r="DOB243" s="478"/>
      <c r="DOC243" s="478"/>
      <c r="DOD243" s="478"/>
      <c r="DOE243" s="478"/>
      <c r="DOF243" s="478"/>
      <c r="DOG243" s="478"/>
      <c r="DOH243" s="478"/>
      <c r="DOI243" s="478"/>
      <c r="DOJ243" s="478"/>
      <c r="DOK243" s="478"/>
      <c r="DOL243" s="478"/>
      <c r="DOM243" s="478"/>
      <c r="DON243" s="478"/>
      <c r="DOO243" s="478"/>
      <c r="DOP243" s="478"/>
      <c r="DOQ243" s="478"/>
      <c r="DOR243" s="478"/>
      <c r="DOS243" s="478"/>
      <c r="DOT243" s="478"/>
      <c r="DOU243" s="478"/>
      <c r="DOV243" s="478"/>
      <c r="DOW243" s="478"/>
      <c r="DOX243" s="478"/>
      <c r="DOY243" s="478"/>
      <c r="DOZ243" s="478"/>
      <c r="DPA243" s="478"/>
      <c r="DPB243" s="478"/>
      <c r="DPC243" s="478"/>
      <c r="DPD243" s="478"/>
      <c r="DPE243" s="478"/>
      <c r="DPF243" s="478"/>
      <c r="DPG243" s="478"/>
      <c r="DPH243" s="478"/>
      <c r="DPI243" s="478"/>
      <c r="DPJ243" s="478"/>
      <c r="DPK243" s="478"/>
      <c r="DPL243" s="478"/>
      <c r="DPM243" s="478"/>
      <c r="DPN243" s="478"/>
      <c r="DPO243" s="478"/>
      <c r="DPP243" s="478"/>
      <c r="DPQ243" s="478"/>
      <c r="DPR243" s="478"/>
      <c r="DPS243" s="478"/>
      <c r="DPT243" s="478"/>
      <c r="DPU243" s="478"/>
      <c r="DPV243" s="478"/>
      <c r="DPW243" s="478"/>
      <c r="DPX243" s="478"/>
      <c r="DPY243" s="478"/>
      <c r="DPZ243" s="478"/>
      <c r="DQA243" s="478"/>
      <c r="DQB243" s="478"/>
      <c r="DQC243" s="478"/>
      <c r="DQD243" s="478"/>
      <c r="DQE243" s="478"/>
      <c r="DQF243" s="478"/>
      <c r="DQG243" s="478"/>
      <c r="DQH243" s="478"/>
      <c r="DQI243" s="478"/>
      <c r="DQJ243" s="478"/>
      <c r="DQK243" s="478"/>
      <c r="DQL243" s="478"/>
      <c r="DQM243" s="478"/>
      <c r="DQN243" s="478"/>
      <c r="DQO243" s="478"/>
      <c r="DQP243" s="478"/>
      <c r="DQQ243" s="478"/>
      <c r="DQR243" s="478"/>
      <c r="DQS243" s="478"/>
      <c r="DQT243" s="478"/>
      <c r="DQU243" s="478"/>
      <c r="DQV243" s="478"/>
      <c r="DQW243" s="478"/>
      <c r="DQX243" s="478"/>
      <c r="DQY243" s="478"/>
      <c r="DQZ243" s="478"/>
      <c r="DRA243" s="478"/>
      <c r="DRB243" s="478"/>
      <c r="DRC243" s="478"/>
      <c r="DRD243" s="478"/>
      <c r="DRE243" s="478"/>
      <c r="DRF243" s="478"/>
      <c r="DRG243" s="478"/>
      <c r="DRH243" s="478"/>
      <c r="DRI243" s="478"/>
      <c r="DRJ243" s="478"/>
      <c r="DRK243" s="478"/>
      <c r="DRL243" s="478"/>
      <c r="DRM243" s="478"/>
      <c r="DRN243" s="478"/>
      <c r="DRO243" s="478"/>
      <c r="DRP243" s="478"/>
      <c r="DRQ243" s="478"/>
      <c r="DRR243" s="478"/>
      <c r="DRS243" s="478"/>
      <c r="DRT243" s="478"/>
      <c r="DRU243" s="478"/>
      <c r="DRV243" s="478"/>
      <c r="DRW243" s="478"/>
      <c r="DRX243" s="478"/>
      <c r="DRY243" s="478"/>
      <c r="DRZ243" s="478"/>
      <c r="DSA243" s="478"/>
      <c r="DSB243" s="478"/>
      <c r="DSC243" s="478"/>
      <c r="DSD243" s="478"/>
      <c r="DSE243" s="478"/>
      <c r="DSF243" s="478"/>
      <c r="DSG243" s="478"/>
      <c r="DSH243" s="478"/>
      <c r="DSI243" s="478"/>
      <c r="DSJ243" s="478"/>
      <c r="DSK243" s="478"/>
      <c r="DSL243" s="478"/>
      <c r="DSM243" s="478"/>
      <c r="DSN243" s="478"/>
      <c r="DSO243" s="478"/>
      <c r="DSP243" s="478"/>
      <c r="DSQ243" s="478"/>
      <c r="DSR243" s="478"/>
      <c r="DSS243" s="478"/>
      <c r="DST243" s="478"/>
      <c r="DSU243" s="478"/>
      <c r="DSV243" s="478"/>
      <c r="DSW243" s="478"/>
      <c r="DSX243" s="478"/>
      <c r="DSY243" s="478"/>
      <c r="DSZ243" s="478"/>
      <c r="DTA243" s="478"/>
      <c r="DTB243" s="478"/>
      <c r="DTC243" s="478"/>
      <c r="DTD243" s="478"/>
      <c r="DTE243" s="478"/>
      <c r="DTF243" s="478"/>
      <c r="DTG243" s="478"/>
      <c r="DTH243" s="478"/>
      <c r="DTI243" s="478"/>
      <c r="DTJ243" s="478"/>
      <c r="DTK243" s="478"/>
      <c r="DTL243" s="478"/>
      <c r="DTM243" s="478"/>
      <c r="DTN243" s="478"/>
      <c r="DTO243" s="478"/>
      <c r="DTP243" s="478"/>
      <c r="DTQ243" s="478"/>
      <c r="DTR243" s="478"/>
      <c r="DTS243" s="478"/>
      <c r="DTT243" s="478"/>
      <c r="DTU243" s="478"/>
      <c r="DTV243" s="478"/>
      <c r="DTW243" s="478"/>
      <c r="DTX243" s="478"/>
      <c r="DTY243" s="478"/>
      <c r="DTZ243" s="478"/>
      <c r="DUA243" s="478"/>
      <c r="DUB243" s="478"/>
      <c r="DUC243" s="478"/>
      <c r="DUD243" s="478"/>
      <c r="DUE243" s="478"/>
      <c r="DUF243" s="478"/>
      <c r="DUG243" s="478"/>
      <c r="DUH243" s="478"/>
      <c r="DUI243" s="478"/>
      <c r="DUJ243" s="478"/>
      <c r="DUK243" s="478"/>
      <c r="DUL243" s="478"/>
      <c r="DUM243" s="478"/>
      <c r="DUN243" s="478"/>
      <c r="DUO243" s="478"/>
      <c r="DUP243" s="478"/>
      <c r="DUQ243" s="478"/>
      <c r="DUR243" s="478"/>
      <c r="DUS243" s="478"/>
      <c r="DUT243" s="478"/>
      <c r="DUU243" s="478"/>
      <c r="DUV243" s="478"/>
      <c r="DUW243" s="478"/>
      <c r="DUX243" s="478"/>
      <c r="DUY243" s="478"/>
      <c r="DUZ243" s="478"/>
      <c r="DVA243" s="478"/>
      <c r="DVB243" s="478"/>
      <c r="DVC243" s="478"/>
      <c r="DVD243" s="478"/>
      <c r="DVE243" s="478"/>
      <c r="DVF243" s="478"/>
      <c r="DVG243" s="478"/>
      <c r="DVH243" s="478"/>
      <c r="DVI243" s="478"/>
      <c r="DVJ243" s="478"/>
      <c r="DVK243" s="478"/>
      <c r="DVL243" s="478"/>
      <c r="DVM243" s="478"/>
      <c r="DVN243" s="478"/>
      <c r="DVO243" s="478"/>
      <c r="DVP243" s="478"/>
      <c r="DVQ243" s="478"/>
      <c r="DVR243" s="478"/>
      <c r="DVS243" s="478"/>
      <c r="DVT243" s="478"/>
      <c r="DVU243" s="478"/>
      <c r="DVV243" s="478"/>
      <c r="DVW243" s="478"/>
      <c r="DVX243" s="478"/>
      <c r="DVY243" s="478"/>
      <c r="DVZ243" s="478"/>
      <c r="DWA243" s="478"/>
      <c r="DWB243" s="478"/>
      <c r="DWC243" s="478"/>
      <c r="DWD243" s="478"/>
      <c r="DWE243" s="478"/>
      <c r="DWF243" s="478"/>
      <c r="DWG243" s="478"/>
      <c r="DWH243" s="478"/>
      <c r="DWI243" s="478"/>
      <c r="DWJ243" s="478"/>
      <c r="DWK243" s="478"/>
      <c r="DWL243" s="478"/>
      <c r="DWM243" s="478"/>
      <c r="DWN243" s="478"/>
      <c r="DWO243" s="478"/>
      <c r="DWP243" s="478"/>
      <c r="DWQ243" s="478"/>
      <c r="DWR243" s="478"/>
      <c r="DWS243" s="478"/>
      <c r="DWT243" s="478"/>
      <c r="DWU243" s="478"/>
      <c r="DWV243" s="478"/>
      <c r="DWW243" s="478"/>
      <c r="DWX243" s="478"/>
      <c r="DWY243" s="478"/>
      <c r="DWZ243" s="478"/>
      <c r="DXA243" s="478"/>
      <c r="DXB243" s="478"/>
      <c r="DXC243" s="478"/>
      <c r="DXD243" s="478"/>
      <c r="DXE243" s="478"/>
      <c r="DXF243" s="478"/>
      <c r="DXG243" s="478"/>
      <c r="DXH243" s="478"/>
      <c r="DXI243" s="478"/>
      <c r="DXJ243" s="478"/>
      <c r="DXK243" s="478"/>
      <c r="DXL243" s="478"/>
      <c r="DXM243" s="478"/>
      <c r="DXN243" s="478"/>
      <c r="DXO243" s="478"/>
      <c r="DXP243" s="478"/>
      <c r="DXQ243" s="478"/>
      <c r="DXR243" s="478"/>
      <c r="DXS243" s="478"/>
      <c r="DXT243" s="478"/>
      <c r="DXU243" s="478"/>
      <c r="DXV243" s="478"/>
      <c r="DXW243" s="478"/>
      <c r="DXX243" s="478"/>
      <c r="DXY243" s="478"/>
      <c r="DXZ243" s="478"/>
      <c r="DYA243" s="478"/>
      <c r="DYB243" s="478"/>
      <c r="DYC243" s="478"/>
      <c r="DYD243" s="478"/>
      <c r="DYE243" s="478"/>
      <c r="DYF243" s="478"/>
      <c r="DYG243" s="478"/>
      <c r="DYH243" s="478"/>
      <c r="DYI243" s="478"/>
      <c r="DYJ243" s="478"/>
      <c r="DYK243" s="478"/>
      <c r="DYL243" s="478"/>
      <c r="DYM243" s="478"/>
      <c r="DYN243" s="478"/>
      <c r="DYO243" s="478"/>
      <c r="DYP243" s="478"/>
      <c r="DYQ243" s="478"/>
      <c r="DYR243" s="478"/>
      <c r="DYS243" s="478"/>
      <c r="DYT243" s="478"/>
      <c r="DYU243" s="478"/>
      <c r="DYV243" s="478"/>
      <c r="DYW243" s="478"/>
      <c r="DYX243" s="478"/>
      <c r="DYY243" s="478"/>
      <c r="DYZ243" s="478"/>
      <c r="DZA243" s="478"/>
      <c r="DZB243" s="478"/>
      <c r="DZC243" s="478"/>
      <c r="DZD243" s="478"/>
      <c r="DZE243" s="478"/>
      <c r="DZF243" s="478"/>
      <c r="DZG243" s="478"/>
      <c r="DZH243" s="478"/>
      <c r="DZI243" s="478"/>
      <c r="DZJ243" s="478"/>
      <c r="DZK243" s="478"/>
      <c r="DZL243" s="478"/>
      <c r="DZM243" s="478"/>
      <c r="DZN243" s="478"/>
      <c r="DZO243" s="478"/>
      <c r="DZP243" s="478"/>
      <c r="DZQ243" s="478"/>
      <c r="DZR243" s="478"/>
      <c r="DZS243" s="478"/>
      <c r="DZT243" s="478"/>
      <c r="DZU243" s="478"/>
      <c r="DZV243" s="478"/>
      <c r="DZW243" s="478"/>
      <c r="DZX243" s="478"/>
      <c r="DZY243" s="478"/>
      <c r="DZZ243" s="478"/>
      <c r="EAA243" s="478"/>
      <c r="EAB243" s="478"/>
      <c r="EAC243" s="478"/>
      <c r="EAD243" s="478"/>
      <c r="EAE243" s="478"/>
      <c r="EAF243" s="478"/>
      <c r="EAG243" s="478"/>
      <c r="EAH243" s="478"/>
      <c r="EAI243" s="478"/>
      <c r="EAJ243" s="478"/>
      <c r="EAK243" s="478"/>
      <c r="EAL243" s="478"/>
      <c r="EAM243" s="478"/>
      <c r="EAN243" s="478"/>
      <c r="EAO243" s="478"/>
      <c r="EAP243" s="478"/>
      <c r="EAQ243" s="478"/>
      <c r="EAR243" s="478"/>
      <c r="EAS243" s="478"/>
      <c r="EAT243" s="478"/>
      <c r="EAU243" s="478"/>
      <c r="EAV243" s="478"/>
      <c r="EAW243" s="478"/>
      <c r="EAX243" s="478"/>
      <c r="EAY243" s="478"/>
      <c r="EAZ243" s="478"/>
      <c r="EBA243" s="478"/>
      <c r="EBB243" s="478"/>
      <c r="EBC243" s="478"/>
      <c r="EBD243" s="478"/>
      <c r="EBE243" s="478"/>
      <c r="EBF243" s="478"/>
      <c r="EBG243" s="478"/>
      <c r="EBH243" s="478"/>
      <c r="EBI243" s="478"/>
      <c r="EBJ243" s="478"/>
      <c r="EBK243" s="478"/>
      <c r="EBL243" s="478"/>
      <c r="EBM243" s="478"/>
      <c r="EBN243" s="478"/>
      <c r="EBO243" s="478"/>
      <c r="EBP243" s="478"/>
      <c r="EBQ243" s="478"/>
      <c r="EBR243" s="478"/>
      <c r="EBS243" s="478"/>
      <c r="EBT243" s="478"/>
      <c r="EBU243" s="478"/>
      <c r="EBV243" s="478"/>
      <c r="EBW243" s="478"/>
      <c r="EBX243" s="478"/>
      <c r="EBY243" s="478"/>
      <c r="EBZ243" s="478"/>
      <c r="ECA243" s="478"/>
      <c r="ECB243" s="478"/>
      <c r="ECC243" s="478"/>
      <c r="ECD243" s="478"/>
      <c r="ECE243" s="478"/>
      <c r="ECF243" s="478"/>
      <c r="ECG243" s="478"/>
      <c r="ECH243" s="478"/>
      <c r="ECI243" s="478"/>
      <c r="ECJ243" s="478"/>
      <c r="ECK243" s="478"/>
      <c r="ECL243" s="478"/>
      <c r="ECM243" s="478"/>
      <c r="ECN243" s="478"/>
      <c r="ECO243" s="478"/>
      <c r="ECP243" s="478"/>
      <c r="ECQ243" s="478"/>
      <c r="ECR243" s="478"/>
      <c r="ECS243" s="478"/>
      <c r="ECT243" s="478"/>
      <c r="ECU243" s="478"/>
      <c r="ECV243" s="478"/>
      <c r="ECW243" s="478"/>
      <c r="ECX243" s="478"/>
      <c r="ECY243" s="478"/>
      <c r="ECZ243" s="478"/>
      <c r="EDA243" s="478"/>
      <c r="EDB243" s="478"/>
      <c r="EDC243" s="478"/>
      <c r="EDD243" s="478"/>
      <c r="EDE243" s="478"/>
      <c r="EDF243" s="478"/>
      <c r="EDG243" s="478"/>
      <c r="EDH243" s="478"/>
      <c r="EDI243" s="478"/>
      <c r="EDJ243" s="478"/>
      <c r="EDK243" s="478"/>
      <c r="EDL243" s="478"/>
      <c r="EDM243" s="478"/>
      <c r="EDN243" s="478"/>
      <c r="EDO243" s="478"/>
      <c r="EDP243" s="478"/>
      <c r="EDQ243" s="478"/>
      <c r="EDR243" s="478"/>
      <c r="EDS243" s="478"/>
      <c r="EDT243" s="478"/>
      <c r="EDU243" s="478"/>
      <c r="EDV243" s="478"/>
      <c r="EDW243" s="478"/>
      <c r="EDX243" s="478"/>
      <c r="EDY243" s="478"/>
      <c r="EDZ243" s="478"/>
      <c r="EEA243" s="478"/>
      <c r="EEB243" s="478"/>
      <c r="EEC243" s="478"/>
      <c r="EED243" s="478"/>
      <c r="EEE243" s="478"/>
      <c r="EEF243" s="478"/>
      <c r="EEG243" s="478"/>
      <c r="EEH243" s="478"/>
      <c r="EEI243" s="478"/>
      <c r="EEJ243" s="478"/>
      <c r="EEK243" s="478"/>
      <c r="EEL243" s="478"/>
      <c r="EEM243" s="478"/>
      <c r="EEN243" s="478"/>
      <c r="EEO243" s="478"/>
      <c r="EEP243" s="478"/>
      <c r="EEQ243" s="478"/>
      <c r="EER243" s="478"/>
      <c r="EES243" s="478"/>
      <c r="EET243" s="478"/>
      <c r="EEU243" s="478"/>
      <c r="EEV243" s="478"/>
      <c r="EEW243" s="478"/>
      <c r="EEX243" s="478"/>
      <c r="EEY243" s="478"/>
      <c r="EEZ243" s="478"/>
      <c r="EFA243" s="478"/>
      <c r="EFB243" s="478"/>
      <c r="EFC243" s="478"/>
      <c r="EFD243" s="478"/>
      <c r="EFE243" s="478"/>
      <c r="EFF243" s="478"/>
      <c r="EFG243" s="478"/>
      <c r="EFH243" s="478"/>
      <c r="EFI243" s="478"/>
      <c r="EFJ243" s="478"/>
      <c r="EFK243" s="478"/>
      <c r="EFL243" s="478"/>
      <c r="EFM243" s="478"/>
      <c r="EFN243" s="478"/>
      <c r="EFO243" s="478"/>
      <c r="EFP243" s="478"/>
      <c r="EFQ243" s="478"/>
      <c r="EFR243" s="478"/>
      <c r="EFS243" s="478"/>
      <c r="EFT243" s="478"/>
      <c r="EFU243" s="478"/>
      <c r="EFV243" s="478"/>
      <c r="EFW243" s="478"/>
      <c r="EFX243" s="478"/>
      <c r="EFY243" s="478"/>
      <c r="EFZ243" s="478"/>
      <c r="EGA243" s="478"/>
      <c r="EGB243" s="478"/>
      <c r="EGC243" s="478"/>
      <c r="EGD243" s="478"/>
      <c r="EGE243" s="478"/>
      <c r="EGF243" s="478"/>
      <c r="EGG243" s="478"/>
      <c r="EGH243" s="478"/>
      <c r="EGI243" s="478"/>
      <c r="EGJ243" s="478"/>
      <c r="EGK243" s="478"/>
      <c r="EGL243" s="478"/>
      <c r="EGM243" s="478"/>
      <c r="EGN243" s="478"/>
      <c r="EGO243" s="478"/>
      <c r="EGP243" s="478"/>
      <c r="EGQ243" s="478"/>
      <c r="EGR243" s="478"/>
      <c r="EGS243" s="478"/>
      <c r="EGT243" s="478"/>
      <c r="EGU243" s="478"/>
      <c r="EGV243" s="478"/>
      <c r="EGW243" s="478"/>
      <c r="EGX243" s="478"/>
      <c r="EGY243" s="478"/>
      <c r="EGZ243" s="478"/>
      <c r="EHA243" s="478"/>
      <c r="EHB243" s="478"/>
      <c r="EHC243" s="478"/>
      <c r="EHD243" s="478"/>
      <c r="EHE243" s="478"/>
      <c r="EHF243" s="478"/>
      <c r="EHG243" s="478"/>
      <c r="EHH243" s="478"/>
      <c r="EHI243" s="478"/>
      <c r="EHJ243" s="478"/>
      <c r="EHK243" s="478"/>
      <c r="EHL243" s="478"/>
      <c r="EHM243" s="478"/>
      <c r="EHN243" s="478"/>
      <c r="EHO243" s="478"/>
      <c r="EHP243" s="478"/>
      <c r="EHQ243" s="478"/>
      <c r="EHR243" s="478"/>
      <c r="EHS243" s="478"/>
      <c r="EHT243" s="478"/>
      <c r="EHU243" s="478"/>
      <c r="EHV243" s="478"/>
      <c r="EHW243" s="478"/>
      <c r="EHX243" s="478"/>
      <c r="EHY243" s="478"/>
      <c r="EHZ243" s="478"/>
      <c r="EIA243" s="478"/>
      <c r="EIB243" s="478"/>
      <c r="EIC243" s="478"/>
      <c r="EID243" s="478"/>
      <c r="EIE243" s="478"/>
      <c r="EIF243" s="478"/>
      <c r="EIG243" s="478"/>
      <c r="EIH243" s="478"/>
      <c r="EII243" s="478"/>
      <c r="EIJ243" s="478"/>
      <c r="EIK243" s="478"/>
      <c r="EIL243" s="478"/>
      <c r="EIM243" s="478"/>
      <c r="EIN243" s="478"/>
      <c r="EIO243" s="478"/>
      <c r="EIP243" s="478"/>
      <c r="EIQ243" s="478"/>
      <c r="EIR243" s="478"/>
      <c r="EIS243" s="478"/>
      <c r="EIT243" s="478"/>
      <c r="EIU243" s="478"/>
      <c r="EIV243" s="478"/>
      <c r="EIW243" s="478"/>
      <c r="EIX243" s="478"/>
      <c r="EIY243" s="478"/>
      <c r="EIZ243" s="478"/>
      <c r="EJA243" s="478"/>
      <c r="EJB243" s="478"/>
      <c r="EJC243" s="478"/>
      <c r="EJD243" s="478"/>
      <c r="EJE243" s="478"/>
      <c r="EJF243" s="478"/>
      <c r="EJG243" s="478"/>
      <c r="EJH243" s="478"/>
      <c r="EJI243" s="478"/>
      <c r="EJJ243" s="478"/>
      <c r="EJK243" s="478"/>
      <c r="EJL243" s="478"/>
      <c r="EJM243" s="478"/>
      <c r="EJN243" s="478"/>
      <c r="EJO243" s="478"/>
      <c r="EJP243" s="478"/>
      <c r="EJQ243" s="478"/>
      <c r="EJR243" s="478"/>
      <c r="EJS243" s="478"/>
      <c r="EJT243" s="478"/>
      <c r="EJU243" s="478"/>
      <c r="EJV243" s="478"/>
      <c r="EJW243" s="478"/>
      <c r="EJX243" s="478"/>
      <c r="EJY243" s="478"/>
      <c r="EJZ243" s="478"/>
      <c r="EKA243" s="478"/>
      <c r="EKB243" s="478"/>
      <c r="EKC243" s="478"/>
      <c r="EKD243" s="478"/>
      <c r="EKE243" s="478"/>
      <c r="EKF243" s="478"/>
      <c r="EKG243" s="478"/>
      <c r="EKH243" s="478"/>
      <c r="EKI243" s="478"/>
      <c r="EKJ243" s="478"/>
      <c r="EKK243" s="478"/>
      <c r="EKL243" s="478"/>
      <c r="EKM243" s="478"/>
      <c r="EKN243" s="478"/>
      <c r="EKO243" s="478"/>
      <c r="EKP243" s="478"/>
      <c r="EKQ243" s="478"/>
      <c r="EKR243" s="478"/>
      <c r="EKS243" s="478"/>
      <c r="EKT243" s="478"/>
      <c r="EKU243" s="478"/>
      <c r="EKV243" s="478"/>
      <c r="EKW243" s="478"/>
      <c r="EKX243" s="478"/>
      <c r="EKY243" s="478"/>
      <c r="EKZ243" s="478"/>
      <c r="ELA243" s="478"/>
      <c r="ELB243" s="478"/>
      <c r="ELC243" s="478"/>
      <c r="ELD243" s="478"/>
      <c r="ELE243" s="478"/>
      <c r="ELF243" s="478"/>
      <c r="ELG243" s="478"/>
      <c r="ELH243" s="478"/>
      <c r="ELI243" s="478"/>
      <c r="ELJ243" s="478"/>
      <c r="ELK243" s="478"/>
      <c r="ELL243" s="478"/>
      <c r="ELM243" s="478"/>
      <c r="ELN243" s="478"/>
      <c r="ELO243" s="478"/>
      <c r="ELP243" s="478"/>
      <c r="ELQ243" s="478"/>
      <c r="ELR243" s="478"/>
      <c r="ELS243" s="478"/>
      <c r="ELT243" s="478"/>
      <c r="ELU243" s="478"/>
      <c r="ELV243" s="478"/>
      <c r="ELW243" s="478"/>
      <c r="ELX243" s="478"/>
      <c r="ELY243" s="478"/>
      <c r="ELZ243" s="478"/>
      <c r="EMA243" s="478"/>
      <c r="EMB243" s="478"/>
      <c r="EMC243" s="478"/>
      <c r="EMD243" s="478"/>
      <c r="EME243" s="478"/>
      <c r="EMF243" s="478"/>
      <c r="EMG243" s="478"/>
      <c r="EMH243" s="478"/>
      <c r="EMI243" s="478"/>
      <c r="EMJ243" s="478"/>
      <c r="EMK243" s="478"/>
      <c r="EML243" s="478"/>
      <c r="EMM243" s="478"/>
      <c r="EMN243" s="478"/>
      <c r="EMO243" s="478"/>
      <c r="EMP243" s="478"/>
      <c r="EMQ243" s="478"/>
      <c r="EMR243" s="478"/>
      <c r="EMS243" s="478"/>
      <c r="EMT243" s="478"/>
      <c r="EMU243" s="478"/>
      <c r="EMV243" s="478"/>
      <c r="EMW243" s="478"/>
      <c r="EMX243" s="478"/>
      <c r="EMY243" s="478"/>
      <c r="EMZ243" s="478"/>
      <c r="ENA243" s="478"/>
      <c r="ENB243" s="478"/>
      <c r="ENC243" s="478"/>
      <c r="END243" s="478"/>
      <c r="ENE243" s="478"/>
      <c r="ENF243" s="478"/>
      <c r="ENG243" s="478"/>
      <c r="ENH243" s="478"/>
      <c r="ENI243" s="478"/>
      <c r="ENJ243" s="478"/>
      <c r="ENK243" s="478"/>
      <c r="ENL243" s="478"/>
      <c r="ENM243" s="478"/>
      <c r="ENN243" s="478"/>
      <c r="ENO243" s="478"/>
      <c r="ENP243" s="478"/>
      <c r="ENQ243" s="478"/>
      <c r="ENR243" s="478"/>
      <c r="ENS243" s="478"/>
      <c r="ENT243" s="478"/>
      <c r="ENU243" s="478"/>
      <c r="ENV243" s="478"/>
      <c r="ENW243" s="478"/>
      <c r="ENX243" s="478"/>
      <c r="ENY243" s="478"/>
      <c r="ENZ243" s="478"/>
      <c r="EOA243" s="478"/>
      <c r="EOB243" s="478"/>
      <c r="EOC243" s="478"/>
      <c r="EOD243" s="478"/>
      <c r="EOE243" s="478"/>
      <c r="EOF243" s="478"/>
      <c r="EOG243" s="478"/>
      <c r="EOH243" s="478"/>
      <c r="EOI243" s="478"/>
      <c r="EOJ243" s="478"/>
      <c r="EOK243" s="478"/>
      <c r="EOL243" s="478"/>
      <c r="EOM243" s="478"/>
      <c r="EON243" s="478"/>
      <c r="EOO243" s="478"/>
      <c r="EOP243" s="478"/>
      <c r="EOQ243" s="478"/>
      <c r="EOR243" s="478"/>
      <c r="EOS243" s="478"/>
      <c r="EOT243" s="478"/>
      <c r="EOU243" s="478"/>
      <c r="EOV243" s="478"/>
      <c r="EOW243" s="478"/>
      <c r="EOX243" s="478"/>
      <c r="EOY243" s="478"/>
      <c r="EOZ243" s="478"/>
      <c r="EPA243" s="478"/>
      <c r="EPB243" s="478"/>
      <c r="EPC243" s="478"/>
      <c r="EPD243" s="478"/>
      <c r="EPE243" s="478"/>
      <c r="EPF243" s="478"/>
      <c r="EPG243" s="478"/>
      <c r="EPH243" s="478"/>
      <c r="EPI243" s="478"/>
      <c r="EPJ243" s="478"/>
      <c r="EPK243" s="478"/>
      <c r="EPL243" s="478"/>
      <c r="EPM243" s="478"/>
      <c r="EPN243" s="478"/>
      <c r="EPO243" s="478"/>
      <c r="EPP243" s="478"/>
      <c r="EPQ243" s="478"/>
      <c r="EPR243" s="478"/>
      <c r="EPS243" s="478"/>
      <c r="EPT243" s="478"/>
      <c r="EPU243" s="478"/>
      <c r="EPV243" s="478"/>
      <c r="EPW243" s="478"/>
      <c r="EPX243" s="478"/>
      <c r="EPY243" s="478"/>
      <c r="EPZ243" s="478"/>
      <c r="EQA243" s="478"/>
      <c r="EQB243" s="478"/>
      <c r="EQC243" s="478"/>
      <c r="EQD243" s="478"/>
      <c r="EQE243" s="478"/>
      <c r="EQF243" s="478"/>
      <c r="EQG243" s="478"/>
      <c r="EQH243" s="478"/>
      <c r="EQI243" s="478"/>
      <c r="EQJ243" s="478"/>
      <c r="EQK243" s="478"/>
      <c r="EQL243" s="478"/>
      <c r="EQM243" s="478"/>
      <c r="EQN243" s="478"/>
      <c r="EQO243" s="478"/>
      <c r="EQP243" s="478"/>
      <c r="EQQ243" s="478"/>
      <c r="EQR243" s="478"/>
      <c r="EQS243" s="478"/>
      <c r="EQT243" s="478"/>
      <c r="EQU243" s="478"/>
      <c r="EQV243" s="478"/>
      <c r="EQW243" s="478"/>
      <c r="EQX243" s="478"/>
      <c r="EQY243" s="478"/>
      <c r="EQZ243" s="478"/>
      <c r="ERA243" s="478"/>
      <c r="ERB243" s="478"/>
      <c r="ERC243" s="478"/>
      <c r="ERD243" s="478"/>
      <c r="ERE243" s="478"/>
      <c r="ERF243" s="478"/>
      <c r="ERG243" s="478"/>
      <c r="ERH243" s="478"/>
      <c r="ERI243" s="478"/>
      <c r="ERJ243" s="478"/>
      <c r="ERK243" s="478"/>
      <c r="ERL243" s="478"/>
      <c r="ERM243" s="478"/>
      <c r="ERN243" s="478"/>
      <c r="ERO243" s="478"/>
      <c r="ERP243" s="478"/>
      <c r="ERQ243" s="478"/>
      <c r="ERR243" s="478"/>
      <c r="ERS243" s="478"/>
      <c r="ERT243" s="478"/>
      <c r="ERU243" s="478"/>
      <c r="ERV243" s="478"/>
      <c r="ERW243" s="478"/>
      <c r="ERX243" s="478"/>
      <c r="ERY243" s="478"/>
      <c r="ERZ243" s="478"/>
      <c r="ESA243" s="478"/>
      <c r="ESB243" s="478"/>
      <c r="ESC243" s="478"/>
      <c r="ESD243" s="478"/>
      <c r="ESE243" s="478"/>
      <c r="ESF243" s="478"/>
      <c r="ESG243" s="478"/>
      <c r="ESH243" s="478"/>
      <c r="ESI243" s="478"/>
      <c r="ESJ243" s="478"/>
      <c r="ESK243" s="478"/>
      <c r="ESL243" s="478"/>
      <c r="ESM243" s="478"/>
      <c r="ESN243" s="478"/>
      <c r="ESO243" s="478"/>
      <c r="ESP243" s="478"/>
      <c r="ESQ243" s="478"/>
      <c r="ESR243" s="478"/>
      <c r="ESS243" s="478"/>
      <c r="EST243" s="478"/>
      <c r="ESU243" s="478"/>
      <c r="ESV243" s="478"/>
      <c r="ESW243" s="478"/>
      <c r="ESX243" s="478"/>
      <c r="ESY243" s="478"/>
      <c r="ESZ243" s="478"/>
      <c r="ETA243" s="478"/>
      <c r="ETB243" s="478"/>
      <c r="ETC243" s="478"/>
      <c r="ETD243" s="478"/>
      <c r="ETE243" s="478"/>
      <c r="ETF243" s="478"/>
      <c r="ETG243" s="478"/>
      <c r="ETH243" s="478"/>
      <c r="ETI243" s="478"/>
      <c r="ETJ243" s="478"/>
      <c r="ETK243" s="478"/>
      <c r="ETL243" s="478"/>
      <c r="ETM243" s="478"/>
      <c r="ETN243" s="478"/>
      <c r="ETO243" s="478"/>
      <c r="ETP243" s="478"/>
      <c r="ETQ243" s="478"/>
      <c r="ETR243" s="478"/>
      <c r="ETS243" s="478"/>
      <c r="ETT243" s="478"/>
      <c r="ETU243" s="478"/>
      <c r="ETV243" s="478"/>
      <c r="ETW243" s="478"/>
      <c r="ETX243" s="478"/>
      <c r="ETY243" s="478"/>
      <c r="ETZ243" s="478"/>
      <c r="EUA243" s="478"/>
      <c r="EUB243" s="478"/>
      <c r="EUC243" s="478"/>
      <c r="EUD243" s="478"/>
      <c r="EUE243" s="478"/>
      <c r="EUF243" s="478"/>
      <c r="EUG243" s="478"/>
      <c r="EUH243" s="478"/>
      <c r="EUI243" s="478"/>
      <c r="EUJ243" s="478"/>
      <c r="EUK243" s="478"/>
      <c r="EUL243" s="478"/>
      <c r="EUM243" s="478"/>
      <c r="EUN243" s="478"/>
      <c r="EUO243" s="478"/>
      <c r="EUP243" s="478"/>
      <c r="EUQ243" s="478"/>
      <c r="EUR243" s="478"/>
      <c r="EUS243" s="478"/>
      <c r="EUT243" s="478"/>
      <c r="EUU243" s="478"/>
      <c r="EUV243" s="478"/>
      <c r="EUW243" s="478"/>
      <c r="EUX243" s="478"/>
      <c r="EUY243" s="478"/>
      <c r="EUZ243" s="478"/>
      <c r="EVA243" s="478"/>
      <c r="EVB243" s="478"/>
      <c r="EVC243" s="478"/>
      <c r="EVD243" s="478"/>
      <c r="EVE243" s="478"/>
      <c r="EVF243" s="478"/>
      <c r="EVG243" s="478"/>
      <c r="EVH243" s="478"/>
      <c r="EVI243" s="478"/>
      <c r="EVJ243" s="478"/>
      <c r="EVK243" s="478"/>
      <c r="EVL243" s="478"/>
      <c r="EVM243" s="478"/>
      <c r="EVN243" s="478"/>
      <c r="EVO243" s="478"/>
      <c r="EVP243" s="478"/>
      <c r="EVQ243" s="478"/>
      <c r="EVR243" s="478"/>
      <c r="EVS243" s="478"/>
      <c r="EVT243" s="478"/>
      <c r="EVU243" s="478"/>
      <c r="EVV243" s="478"/>
      <c r="EVW243" s="478"/>
      <c r="EVX243" s="478"/>
      <c r="EVY243" s="478"/>
      <c r="EVZ243" s="478"/>
      <c r="EWA243" s="478"/>
      <c r="EWB243" s="478"/>
      <c r="EWC243" s="478"/>
      <c r="EWD243" s="478"/>
      <c r="EWE243" s="478"/>
      <c r="EWF243" s="478"/>
      <c r="EWG243" s="478"/>
      <c r="EWH243" s="478"/>
      <c r="EWI243" s="478"/>
      <c r="EWJ243" s="478"/>
      <c r="EWK243" s="478"/>
      <c r="EWL243" s="478"/>
      <c r="EWM243" s="478"/>
      <c r="EWN243" s="478"/>
      <c r="EWO243" s="478"/>
      <c r="EWP243" s="478"/>
      <c r="EWQ243" s="478"/>
      <c r="EWR243" s="478"/>
      <c r="EWS243" s="478"/>
      <c r="EWT243" s="478"/>
      <c r="EWU243" s="478"/>
      <c r="EWV243" s="478"/>
      <c r="EWW243" s="478"/>
      <c r="EWX243" s="478"/>
      <c r="EWY243" s="478"/>
      <c r="EWZ243" s="478"/>
      <c r="EXA243" s="478"/>
      <c r="EXB243" s="478"/>
      <c r="EXC243" s="478"/>
      <c r="EXD243" s="478"/>
      <c r="EXE243" s="478"/>
      <c r="EXF243" s="478"/>
      <c r="EXG243" s="478"/>
      <c r="EXH243" s="478"/>
      <c r="EXI243" s="478"/>
      <c r="EXJ243" s="478"/>
      <c r="EXK243" s="478"/>
      <c r="EXL243" s="478"/>
      <c r="EXM243" s="478"/>
      <c r="EXN243" s="478"/>
      <c r="EXO243" s="478"/>
      <c r="EXP243" s="478"/>
      <c r="EXQ243" s="478"/>
      <c r="EXR243" s="478"/>
      <c r="EXS243" s="478"/>
      <c r="EXT243" s="478"/>
      <c r="EXU243" s="478"/>
      <c r="EXV243" s="478"/>
      <c r="EXW243" s="478"/>
      <c r="EXX243" s="478"/>
      <c r="EXY243" s="478"/>
      <c r="EXZ243" s="478"/>
      <c r="EYA243" s="478"/>
      <c r="EYB243" s="478"/>
      <c r="EYC243" s="478"/>
      <c r="EYD243" s="478"/>
      <c r="EYE243" s="478"/>
      <c r="EYF243" s="478"/>
      <c r="EYG243" s="478"/>
      <c r="EYH243" s="478"/>
      <c r="EYI243" s="478"/>
      <c r="EYJ243" s="478"/>
      <c r="EYK243" s="478"/>
      <c r="EYL243" s="478"/>
      <c r="EYM243" s="478"/>
      <c r="EYN243" s="478"/>
      <c r="EYO243" s="478"/>
      <c r="EYP243" s="478"/>
      <c r="EYQ243" s="478"/>
      <c r="EYR243" s="478"/>
      <c r="EYS243" s="478"/>
      <c r="EYT243" s="478"/>
      <c r="EYU243" s="478"/>
      <c r="EYV243" s="478"/>
      <c r="EYW243" s="478"/>
      <c r="EYX243" s="478"/>
      <c r="EYY243" s="478"/>
      <c r="EYZ243" s="478"/>
      <c r="EZA243" s="478"/>
      <c r="EZB243" s="478"/>
      <c r="EZC243" s="478"/>
      <c r="EZD243" s="478"/>
      <c r="EZE243" s="478"/>
      <c r="EZF243" s="478"/>
      <c r="EZG243" s="478"/>
      <c r="EZH243" s="478"/>
      <c r="EZI243" s="478"/>
      <c r="EZJ243" s="478"/>
      <c r="EZK243" s="478"/>
      <c r="EZL243" s="478"/>
      <c r="EZM243" s="478"/>
      <c r="EZN243" s="478"/>
      <c r="EZO243" s="478"/>
      <c r="EZP243" s="478"/>
      <c r="EZQ243" s="478"/>
      <c r="EZR243" s="478"/>
      <c r="EZS243" s="478"/>
      <c r="EZT243" s="478"/>
      <c r="EZU243" s="478"/>
      <c r="EZV243" s="478"/>
      <c r="EZW243" s="478"/>
      <c r="EZX243" s="478"/>
      <c r="EZY243" s="478"/>
      <c r="EZZ243" s="478"/>
      <c r="FAA243" s="478"/>
      <c r="FAB243" s="478"/>
      <c r="FAC243" s="478"/>
      <c r="FAD243" s="478"/>
      <c r="FAE243" s="478"/>
      <c r="FAF243" s="478"/>
      <c r="FAG243" s="478"/>
      <c r="FAH243" s="478"/>
      <c r="FAI243" s="478"/>
      <c r="FAJ243" s="478"/>
      <c r="FAK243" s="478"/>
      <c r="FAL243" s="478"/>
      <c r="FAM243" s="478"/>
      <c r="FAN243" s="478"/>
      <c r="FAO243" s="478"/>
      <c r="FAP243" s="478"/>
      <c r="FAQ243" s="478"/>
      <c r="FAR243" s="478"/>
      <c r="FAS243" s="478"/>
      <c r="FAT243" s="478"/>
      <c r="FAU243" s="478"/>
      <c r="FAV243" s="478"/>
      <c r="FAW243" s="478"/>
      <c r="FAX243" s="478"/>
      <c r="FAY243" s="478"/>
      <c r="FAZ243" s="478"/>
      <c r="FBA243" s="478"/>
      <c r="FBB243" s="478"/>
      <c r="FBC243" s="478"/>
      <c r="FBD243" s="478"/>
      <c r="FBE243" s="478"/>
      <c r="FBF243" s="478"/>
      <c r="FBG243" s="478"/>
      <c r="FBH243" s="478"/>
      <c r="FBI243" s="478"/>
      <c r="FBJ243" s="478"/>
      <c r="FBK243" s="478"/>
      <c r="FBL243" s="478"/>
      <c r="FBM243" s="478"/>
      <c r="FBN243" s="478"/>
      <c r="FBO243" s="478"/>
      <c r="FBP243" s="478"/>
      <c r="FBQ243" s="478"/>
      <c r="FBR243" s="478"/>
      <c r="FBS243" s="478"/>
      <c r="FBT243" s="478"/>
      <c r="FBU243" s="478"/>
      <c r="FBV243" s="478"/>
      <c r="FBW243" s="478"/>
      <c r="FBX243" s="478"/>
      <c r="FBY243" s="478"/>
      <c r="FBZ243" s="478"/>
      <c r="FCA243" s="478"/>
      <c r="FCB243" s="478"/>
      <c r="FCC243" s="478"/>
      <c r="FCD243" s="478"/>
      <c r="FCE243" s="478"/>
      <c r="FCF243" s="478"/>
      <c r="FCG243" s="478"/>
      <c r="FCH243" s="478"/>
      <c r="FCI243" s="478"/>
      <c r="FCJ243" s="478"/>
      <c r="FCK243" s="478"/>
      <c r="FCL243" s="478"/>
      <c r="FCM243" s="478"/>
      <c r="FCN243" s="478"/>
      <c r="FCO243" s="478"/>
      <c r="FCP243" s="478"/>
      <c r="FCQ243" s="478"/>
      <c r="FCR243" s="478"/>
      <c r="FCS243" s="478"/>
      <c r="FCT243" s="478"/>
      <c r="FCU243" s="478"/>
      <c r="FCV243" s="478"/>
      <c r="FCW243" s="478"/>
      <c r="FCX243" s="478"/>
      <c r="FCY243" s="478"/>
      <c r="FCZ243" s="478"/>
      <c r="FDA243" s="478"/>
      <c r="FDB243" s="478"/>
      <c r="FDC243" s="478"/>
      <c r="FDD243" s="478"/>
      <c r="FDE243" s="478"/>
      <c r="FDF243" s="478"/>
      <c r="FDG243" s="478"/>
      <c r="FDH243" s="478"/>
      <c r="FDI243" s="478"/>
      <c r="FDJ243" s="478"/>
      <c r="FDK243" s="478"/>
      <c r="FDL243" s="478"/>
      <c r="FDM243" s="478"/>
      <c r="FDN243" s="478"/>
      <c r="FDO243" s="478"/>
      <c r="FDP243" s="478"/>
      <c r="FDQ243" s="478"/>
      <c r="FDR243" s="478"/>
      <c r="FDS243" s="478"/>
      <c r="FDT243" s="478"/>
      <c r="FDU243" s="478"/>
      <c r="FDV243" s="478"/>
      <c r="FDW243" s="478"/>
      <c r="FDX243" s="478"/>
      <c r="FDY243" s="478"/>
      <c r="FDZ243" s="478"/>
      <c r="FEA243" s="478"/>
      <c r="FEB243" s="478"/>
      <c r="FEC243" s="478"/>
      <c r="FED243" s="478"/>
      <c r="FEE243" s="478"/>
      <c r="FEF243" s="478"/>
      <c r="FEG243" s="478"/>
      <c r="FEH243" s="478"/>
      <c r="FEI243" s="478"/>
      <c r="FEJ243" s="478"/>
      <c r="FEK243" s="478"/>
      <c r="FEL243" s="478"/>
      <c r="FEM243" s="478"/>
      <c r="FEN243" s="478"/>
      <c r="FEO243" s="478"/>
      <c r="FEP243" s="478"/>
      <c r="FEQ243" s="478"/>
      <c r="FER243" s="478"/>
      <c r="FES243" s="478"/>
      <c r="FET243" s="478"/>
      <c r="FEU243" s="478"/>
      <c r="FEV243" s="478"/>
      <c r="FEW243" s="478"/>
      <c r="FEX243" s="478"/>
      <c r="FEY243" s="478"/>
      <c r="FEZ243" s="478"/>
      <c r="FFA243" s="478"/>
      <c r="FFB243" s="478"/>
      <c r="FFC243" s="478"/>
      <c r="FFD243" s="478"/>
      <c r="FFE243" s="478"/>
      <c r="FFF243" s="478"/>
      <c r="FFG243" s="478"/>
      <c r="FFH243" s="478"/>
      <c r="FFI243" s="478"/>
      <c r="FFJ243" s="478"/>
      <c r="FFK243" s="478"/>
      <c r="FFL243" s="478"/>
      <c r="FFM243" s="478"/>
      <c r="FFN243" s="478"/>
      <c r="FFO243" s="478"/>
      <c r="FFP243" s="478"/>
      <c r="FFQ243" s="478"/>
      <c r="FFR243" s="478"/>
      <c r="FFS243" s="478"/>
      <c r="FFT243" s="478"/>
      <c r="FFU243" s="478"/>
      <c r="FFV243" s="478"/>
      <c r="FFW243" s="478"/>
      <c r="FFX243" s="478"/>
      <c r="FFY243" s="478"/>
      <c r="FFZ243" s="478"/>
      <c r="FGA243" s="478"/>
      <c r="FGB243" s="478"/>
      <c r="FGC243" s="478"/>
      <c r="FGD243" s="478"/>
      <c r="FGE243" s="478"/>
      <c r="FGF243" s="478"/>
      <c r="FGG243" s="478"/>
      <c r="FGH243" s="478"/>
      <c r="FGI243" s="478"/>
      <c r="FGJ243" s="478"/>
      <c r="FGK243" s="478"/>
      <c r="FGL243" s="478"/>
      <c r="FGM243" s="478"/>
      <c r="FGN243" s="478"/>
      <c r="FGO243" s="478"/>
      <c r="FGP243" s="478"/>
      <c r="FGQ243" s="478"/>
      <c r="FGR243" s="478"/>
      <c r="FGS243" s="478"/>
      <c r="FGT243" s="478"/>
      <c r="FGU243" s="478"/>
      <c r="FGV243" s="478"/>
      <c r="FGW243" s="478"/>
      <c r="FGX243" s="478"/>
      <c r="FGY243" s="478"/>
      <c r="FGZ243" s="478"/>
      <c r="FHA243" s="478"/>
      <c r="FHB243" s="478"/>
      <c r="FHC243" s="478"/>
      <c r="FHD243" s="478"/>
      <c r="FHE243" s="478"/>
      <c r="FHF243" s="478"/>
      <c r="FHG243" s="478"/>
      <c r="FHH243" s="478"/>
      <c r="FHI243" s="478"/>
      <c r="FHJ243" s="478"/>
      <c r="FHK243" s="478"/>
      <c r="FHL243" s="478"/>
      <c r="FHM243" s="478"/>
      <c r="FHN243" s="478"/>
      <c r="FHO243" s="478"/>
      <c r="FHP243" s="478"/>
      <c r="FHQ243" s="478"/>
      <c r="FHR243" s="478"/>
      <c r="FHS243" s="478"/>
      <c r="FHT243" s="478"/>
      <c r="FHU243" s="478"/>
      <c r="FHV243" s="478"/>
      <c r="FHW243" s="478"/>
      <c r="FHX243" s="478"/>
      <c r="FHY243" s="478"/>
      <c r="FHZ243" s="478"/>
      <c r="FIA243" s="478"/>
      <c r="FIB243" s="478"/>
      <c r="FIC243" s="478"/>
      <c r="FID243" s="478"/>
      <c r="FIE243" s="478"/>
      <c r="FIF243" s="478"/>
      <c r="FIG243" s="478"/>
      <c r="FIH243" s="478"/>
      <c r="FII243" s="478"/>
      <c r="FIJ243" s="478"/>
      <c r="FIK243" s="478"/>
      <c r="FIL243" s="478"/>
      <c r="FIM243" s="478"/>
      <c r="FIN243" s="478"/>
      <c r="FIO243" s="478"/>
      <c r="FIP243" s="478"/>
      <c r="FIQ243" s="478"/>
      <c r="FIR243" s="478"/>
      <c r="FIS243" s="478"/>
      <c r="FIT243" s="478"/>
      <c r="FIU243" s="478"/>
      <c r="FIV243" s="478"/>
      <c r="FIW243" s="478"/>
      <c r="FIX243" s="478"/>
      <c r="FIY243" s="478"/>
      <c r="FIZ243" s="478"/>
      <c r="FJA243" s="478"/>
      <c r="FJB243" s="478"/>
      <c r="FJC243" s="478"/>
      <c r="FJD243" s="478"/>
      <c r="FJE243" s="478"/>
      <c r="FJF243" s="478"/>
      <c r="FJG243" s="478"/>
      <c r="FJH243" s="478"/>
      <c r="FJI243" s="478"/>
      <c r="FJJ243" s="478"/>
      <c r="FJK243" s="478"/>
      <c r="FJL243" s="478"/>
      <c r="FJM243" s="478"/>
      <c r="FJN243" s="478"/>
      <c r="FJO243" s="478"/>
      <c r="FJP243" s="478"/>
      <c r="FJQ243" s="478"/>
      <c r="FJR243" s="478"/>
      <c r="FJS243" s="478"/>
      <c r="FJT243" s="478"/>
      <c r="FJU243" s="478"/>
      <c r="FJV243" s="478"/>
      <c r="FJW243" s="478"/>
      <c r="FJX243" s="478"/>
      <c r="FJY243" s="478"/>
      <c r="FJZ243" s="478"/>
      <c r="FKA243" s="478"/>
      <c r="FKB243" s="478"/>
      <c r="FKC243" s="478"/>
      <c r="FKD243" s="478"/>
      <c r="FKE243" s="478"/>
      <c r="FKF243" s="478"/>
      <c r="FKG243" s="478"/>
      <c r="FKH243" s="478"/>
      <c r="FKI243" s="478"/>
      <c r="FKJ243" s="478"/>
      <c r="FKK243" s="478"/>
      <c r="FKL243" s="478"/>
      <c r="FKM243" s="478"/>
      <c r="FKN243" s="478"/>
      <c r="FKO243" s="478"/>
      <c r="FKP243" s="478"/>
      <c r="FKQ243" s="478"/>
      <c r="FKR243" s="478"/>
      <c r="FKS243" s="478"/>
      <c r="FKT243" s="478"/>
      <c r="FKU243" s="478"/>
      <c r="FKV243" s="478"/>
      <c r="FKW243" s="478"/>
      <c r="FKX243" s="478"/>
      <c r="FKY243" s="478"/>
      <c r="FKZ243" s="478"/>
      <c r="FLA243" s="478"/>
      <c r="FLB243" s="478"/>
      <c r="FLC243" s="478"/>
      <c r="FLD243" s="478"/>
      <c r="FLE243" s="478"/>
      <c r="FLF243" s="478"/>
      <c r="FLG243" s="478"/>
      <c r="FLH243" s="478"/>
      <c r="FLI243" s="478"/>
      <c r="FLJ243" s="478"/>
      <c r="FLK243" s="478"/>
      <c r="FLL243" s="478"/>
      <c r="FLM243" s="478"/>
      <c r="FLN243" s="478"/>
      <c r="FLO243" s="478"/>
      <c r="FLP243" s="478"/>
      <c r="FLQ243" s="478"/>
      <c r="FLR243" s="478"/>
      <c r="FLS243" s="478"/>
      <c r="FLT243" s="478"/>
      <c r="FLU243" s="478"/>
      <c r="FLV243" s="478"/>
      <c r="FLW243" s="478"/>
      <c r="FLX243" s="478"/>
      <c r="FLY243" s="478"/>
      <c r="FLZ243" s="478"/>
      <c r="FMA243" s="478"/>
      <c r="FMB243" s="478"/>
      <c r="FMC243" s="478"/>
      <c r="FMD243" s="478"/>
      <c r="FME243" s="478"/>
      <c r="FMF243" s="478"/>
      <c r="FMG243" s="478"/>
      <c r="FMH243" s="478"/>
      <c r="FMI243" s="478"/>
      <c r="FMJ243" s="478"/>
      <c r="FMK243" s="478"/>
      <c r="FML243" s="478"/>
      <c r="FMM243" s="478"/>
      <c r="FMN243" s="478"/>
      <c r="FMO243" s="478"/>
      <c r="FMP243" s="478"/>
      <c r="FMQ243" s="478"/>
      <c r="FMR243" s="478"/>
      <c r="FMS243" s="478"/>
      <c r="FMT243" s="478"/>
      <c r="FMU243" s="478"/>
      <c r="FMV243" s="478"/>
      <c r="FMW243" s="478"/>
      <c r="FMX243" s="478"/>
      <c r="FMY243" s="478"/>
      <c r="FMZ243" s="478"/>
      <c r="FNA243" s="478"/>
      <c r="FNB243" s="478"/>
      <c r="FNC243" s="478"/>
      <c r="FND243" s="478"/>
      <c r="FNE243" s="478"/>
      <c r="FNF243" s="478"/>
      <c r="FNG243" s="478"/>
      <c r="FNH243" s="478"/>
      <c r="FNI243" s="478"/>
      <c r="FNJ243" s="478"/>
      <c r="FNK243" s="478"/>
      <c r="FNL243" s="478"/>
      <c r="FNM243" s="478"/>
      <c r="FNN243" s="478"/>
      <c r="FNO243" s="478"/>
      <c r="FNP243" s="478"/>
      <c r="FNQ243" s="478"/>
      <c r="FNR243" s="478"/>
      <c r="FNS243" s="478"/>
      <c r="FNT243" s="478"/>
      <c r="FNU243" s="478"/>
      <c r="FNV243" s="478"/>
      <c r="FNW243" s="478"/>
      <c r="FNX243" s="478"/>
      <c r="FNY243" s="478"/>
      <c r="FNZ243" s="478"/>
      <c r="FOA243" s="478"/>
      <c r="FOB243" s="478"/>
      <c r="FOC243" s="478"/>
      <c r="FOD243" s="478"/>
      <c r="FOE243" s="478"/>
      <c r="FOF243" s="478"/>
      <c r="FOG243" s="478"/>
      <c r="FOH243" s="478"/>
      <c r="FOI243" s="478"/>
      <c r="FOJ243" s="478"/>
      <c r="FOK243" s="478"/>
      <c r="FOL243" s="478"/>
      <c r="FOM243" s="478"/>
      <c r="FON243" s="478"/>
      <c r="FOO243" s="478"/>
      <c r="FOP243" s="478"/>
      <c r="FOQ243" s="478"/>
      <c r="FOR243" s="478"/>
      <c r="FOS243" s="478"/>
      <c r="FOT243" s="478"/>
      <c r="FOU243" s="478"/>
      <c r="FOV243" s="478"/>
      <c r="FOW243" s="478"/>
      <c r="FOX243" s="478"/>
      <c r="FOY243" s="478"/>
      <c r="FOZ243" s="478"/>
      <c r="FPA243" s="478"/>
      <c r="FPB243" s="478"/>
      <c r="FPC243" s="478"/>
      <c r="FPD243" s="478"/>
      <c r="FPE243" s="478"/>
      <c r="FPF243" s="478"/>
      <c r="FPG243" s="478"/>
      <c r="FPH243" s="478"/>
      <c r="FPI243" s="478"/>
      <c r="FPJ243" s="478"/>
      <c r="FPK243" s="478"/>
      <c r="FPL243" s="478"/>
      <c r="FPM243" s="478"/>
      <c r="FPN243" s="478"/>
      <c r="FPO243" s="478"/>
      <c r="FPP243" s="478"/>
      <c r="FPQ243" s="478"/>
      <c r="FPR243" s="478"/>
      <c r="FPS243" s="478"/>
      <c r="FPT243" s="478"/>
      <c r="FPU243" s="478"/>
      <c r="FPV243" s="478"/>
      <c r="FPW243" s="478"/>
      <c r="FPX243" s="478"/>
      <c r="FPY243" s="478"/>
      <c r="FPZ243" s="478"/>
      <c r="FQA243" s="478"/>
      <c r="FQB243" s="478"/>
      <c r="FQC243" s="478"/>
      <c r="FQD243" s="478"/>
      <c r="FQE243" s="478"/>
      <c r="FQF243" s="478"/>
      <c r="FQG243" s="478"/>
      <c r="FQH243" s="478"/>
      <c r="FQI243" s="478"/>
      <c r="FQJ243" s="478"/>
      <c r="FQK243" s="478"/>
      <c r="FQL243" s="478"/>
      <c r="FQM243" s="478"/>
      <c r="FQN243" s="478"/>
      <c r="FQO243" s="478"/>
      <c r="FQP243" s="478"/>
      <c r="FQQ243" s="478"/>
      <c r="FQR243" s="478"/>
      <c r="FQS243" s="478"/>
      <c r="FQT243" s="478"/>
      <c r="FQU243" s="478"/>
      <c r="FQV243" s="478"/>
      <c r="FQW243" s="478"/>
      <c r="FQX243" s="478"/>
      <c r="FQY243" s="478"/>
      <c r="FQZ243" s="478"/>
      <c r="FRA243" s="478"/>
      <c r="FRB243" s="478"/>
      <c r="FRC243" s="478"/>
      <c r="FRD243" s="478"/>
      <c r="FRE243" s="478"/>
      <c r="FRF243" s="478"/>
      <c r="FRG243" s="478"/>
      <c r="FRH243" s="478"/>
      <c r="FRI243" s="478"/>
      <c r="FRJ243" s="478"/>
      <c r="FRK243" s="478"/>
      <c r="FRL243" s="478"/>
      <c r="FRM243" s="478"/>
      <c r="FRN243" s="478"/>
      <c r="FRO243" s="478"/>
      <c r="FRP243" s="478"/>
      <c r="FRQ243" s="478"/>
      <c r="FRR243" s="478"/>
      <c r="FRS243" s="478"/>
      <c r="FRT243" s="478"/>
      <c r="FRU243" s="478"/>
      <c r="FRV243" s="478"/>
      <c r="FRW243" s="478"/>
      <c r="FRX243" s="478"/>
      <c r="FRY243" s="478"/>
      <c r="FRZ243" s="478"/>
      <c r="FSA243" s="478"/>
      <c r="FSB243" s="478"/>
      <c r="FSC243" s="478"/>
      <c r="FSD243" s="478"/>
      <c r="FSE243" s="478"/>
      <c r="FSF243" s="478"/>
      <c r="FSG243" s="478"/>
      <c r="FSH243" s="478"/>
      <c r="FSI243" s="478"/>
      <c r="FSJ243" s="478"/>
      <c r="FSK243" s="478"/>
      <c r="FSL243" s="478"/>
      <c r="FSM243" s="478"/>
      <c r="FSN243" s="478"/>
      <c r="FSO243" s="478"/>
      <c r="FSP243" s="478"/>
      <c r="FSQ243" s="478"/>
      <c r="FSR243" s="478"/>
      <c r="FSS243" s="478"/>
      <c r="FST243" s="478"/>
      <c r="FSU243" s="478"/>
      <c r="FSV243" s="478"/>
      <c r="FSW243" s="478"/>
      <c r="FSX243" s="478"/>
      <c r="FSY243" s="478"/>
      <c r="FSZ243" s="478"/>
      <c r="FTA243" s="478"/>
      <c r="FTB243" s="478"/>
      <c r="FTC243" s="478"/>
      <c r="FTD243" s="478"/>
      <c r="FTE243" s="478"/>
      <c r="FTF243" s="478"/>
      <c r="FTG243" s="478"/>
      <c r="FTH243" s="478"/>
      <c r="FTI243" s="478"/>
      <c r="FTJ243" s="478"/>
      <c r="FTK243" s="478"/>
      <c r="FTL243" s="478"/>
      <c r="FTM243" s="478"/>
      <c r="FTN243" s="478"/>
      <c r="FTO243" s="478"/>
      <c r="FTP243" s="478"/>
      <c r="FTQ243" s="478"/>
      <c r="FTR243" s="478"/>
      <c r="FTS243" s="478"/>
      <c r="FTT243" s="478"/>
      <c r="FTU243" s="478"/>
      <c r="FTV243" s="478"/>
      <c r="FTW243" s="478"/>
      <c r="FTX243" s="478"/>
      <c r="FTY243" s="478"/>
      <c r="FTZ243" s="478"/>
      <c r="FUA243" s="478"/>
      <c r="FUB243" s="478"/>
      <c r="FUC243" s="478"/>
      <c r="FUD243" s="478"/>
      <c r="FUE243" s="478"/>
      <c r="FUF243" s="478"/>
      <c r="FUG243" s="478"/>
      <c r="FUH243" s="478"/>
      <c r="FUI243" s="478"/>
      <c r="FUJ243" s="478"/>
      <c r="FUK243" s="478"/>
      <c r="FUL243" s="478"/>
      <c r="FUM243" s="478"/>
      <c r="FUN243" s="478"/>
      <c r="FUO243" s="478"/>
      <c r="FUP243" s="478"/>
      <c r="FUQ243" s="478"/>
      <c r="FUR243" s="478"/>
      <c r="FUS243" s="478"/>
      <c r="FUT243" s="478"/>
      <c r="FUU243" s="478"/>
      <c r="FUV243" s="478"/>
      <c r="FUW243" s="478"/>
      <c r="FUX243" s="478"/>
      <c r="FUY243" s="478"/>
      <c r="FUZ243" s="478"/>
      <c r="FVA243" s="478"/>
      <c r="FVB243" s="478"/>
      <c r="FVC243" s="478"/>
      <c r="FVD243" s="478"/>
      <c r="FVE243" s="478"/>
      <c r="FVF243" s="478"/>
      <c r="FVG243" s="478"/>
      <c r="FVH243" s="478"/>
      <c r="FVI243" s="478"/>
      <c r="FVJ243" s="478"/>
      <c r="FVK243" s="478"/>
      <c r="FVL243" s="478"/>
      <c r="FVM243" s="478"/>
      <c r="FVN243" s="478"/>
      <c r="FVO243" s="478"/>
      <c r="FVP243" s="478"/>
      <c r="FVQ243" s="478"/>
      <c r="FVR243" s="478"/>
      <c r="FVS243" s="478"/>
      <c r="FVT243" s="478"/>
      <c r="FVU243" s="478"/>
      <c r="FVV243" s="478"/>
      <c r="FVW243" s="478"/>
      <c r="FVX243" s="478"/>
      <c r="FVY243" s="478"/>
      <c r="FVZ243" s="478"/>
      <c r="FWA243" s="478"/>
      <c r="FWB243" s="478"/>
      <c r="FWC243" s="478"/>
      <c r="FWD243" s="478"/>
      <c r="FWE243" s="478"/>
      <c r="FWF243" s="478"/>
      <c r="FWG243" s="478"/>
      <c r="FWH243" s="478"/>
      <c r="FWI243" s="478"/>
      <c r="FWJ243" s="478"/>
      <c r="FWK243" s="478"/>
      <c r="FWL243" s="478"/>
      <c r="FWM243" s="478"/>
      <c r="FWN243" s="478"/>
      <c r="FWO243" s="478"/>
      <c r="FWP243" s="478"/>
      <c r="FWQ243" s="478"/>
      <c r="FWR243" s="478"/>
      <c r="FWS243" s="478"/>
      <c r="FWT243" s="478"/>
      <c r="FWU243" s="478"/>
      <c r="FWV243" s="478"/>
      <c r="FWW243" s="478"/>
      <c r="FWX243" s="478"/>
      <c r="FWY243" s="478"/>
      <c r="FWZ243" s="478"/>
      <c r="FXA243" s="478"/>
      <c r="FXB243" s="478"/>
      <c r="FXC243" s="478"/>
      <c r="FXD243" s="478"/>
      <c r="FXE243" s="478"/>
      <c r="FXF243" s="478"/>
      <c r="FXG243" s="478"/>
      <c r="FXH243" s="478"/>
      <c r="FXI243" s="478"/>
      <c r="FXJ243" s="478"/>
      <c r="FXK243" s="478"/>
      <c r="FXL243" s="478"/>
      <c r="FXM243" s="478"/>
      <c r="FXN243" s="478"/>
      <c r="FXO243" s="478"/>
      <c r="FXP243" s="478"/>
      <c r="FXQ243" s="478"/>
      <c r="FXR243" s="478"/>
      <c r="FXS243" s="478"/>
      <c r="FXT243" s="478"/>
      <c r="FXU243" s="478"/>
      <c r="FXV243" s="478"/>
      <c r="FXW243" s="478"/>
      <c r="FXX243" s="478"/>
      <c r="FXY243" s="478"/>
      <c r="FXZ243" s="478"/>
      <c r="FYA243" s="478"/>
      <c r="FYB243" s="478"/>
      <c r="FYC243" s="478"/>
      <c r="FYD243" s="478"/>
      <c r="FYE243" s="478"/>
      <c r="FYF243" s="478"/>
      <c r="FYG243" s="478"/>
      <c r="FYH243" s="478"/>
      <c r="FYI243" s="478"/>
      <c r="FYJ243" s="478"/>
      <c r="FYK243" s="478"/>
      <c r="FYL243" s="478"/>
      <c r="FYM243" s="478"/>
      <c r="FYN243" s="478"/>
      <c r="FYO243" s="478"/>
      <c r="FYP243" s="478"/>
      <c r="FYQ243" s="478"/>
      <c r="FYR243" s="478"/>
      <c r="FYS243" s="478"/>
      <c r="FYT243" s="478"/>
      <c r="FYU243" s="478"/>
      <c r="FYV243" s="478"/>
      <c r="FYW243" s="478"/>
      <c r="FYX243" s="478"/>
      <c r="FYY243" s="478"/>
      <c r="FYZ243" s="478"/>
      <c r="FZA243" s="478"/>
      <c r="FZB243" s="478"/>
      <c r="FZC243" s="478"/>
      <c r="FZD243" s="478"/>
      <c r="FZE243" s="478"/>
      <c r="FZF243" s="478"/>
      <c r="FZG243" s="478"/>
      <c r="FZH243" s="478"/>
      <c r="FZI243" s="478"/>
      <c r="FZJ243" s="478"/>
      <c r="FZK243" s="478"/>
      <c r="FZL243" s="478"/>
      <c r="FZM243" s="478"/>
      <c r="FZN243" s="478"/>
      <c r="FZO243" s="478"/>
      <c r="FZP243" s="478"/>
      <c r="FZQ243" s="478"/>
      <c r="FZR243" s="478"/>
      <c r="FZS243" s="478"/>
      <c r="FZT243" s="478"/>
      <c r="FZU243" s="478"/>
      <c r="FZV243" s="478"/>
      <c r="FZW243" s="478"/>
      <c r="FZX243" s="478"/>
      <c r="FZY243" s="478"/>
      <c r="FZZ243" s="478"/>
      <c r="GAA243" s="478"/>
      <c r="GAB243" s="478"/>
      <c r="GAC243" s="478"/>
      <c r="GAD243" s="478"/>
      <c r="GAE243" s="478"/>
      <c r="GAF243" s="478"/>
      <c r="GAG243" s="478"/>
      <c r="GAH243" s="478"/>
      <c r="GAI243" s="478"/>
      <c r="GAJ243" s="478"/>
      <c r="GAK243" s="478"/>
      <c r="GAL243" s="478"/>
      <c r="GAM243" s="478"/>
      <c r="GAN243" s="478"/>
      <c r="GAO243" s="478"/>
      <c r="GAP243" s="478"/>
      <c r="GAQ243" s="478"/>
      <c r="GAR243" s="478"/>
      <c r="GAS243" s="478"/>
      <c r="GAT243" s="478"/>
      <c r="GAU243" s="478"/>
      <c r="GAV243" s="478"/>
      <c r="GAW243" s="478"/>
      <c r="GAX243" s="478"/>
      <c r="GAY243" s="478"/>
      <c r="GAZ243" s="478"/>
      <c r="GBA243" s="478"/>
      <c r="GBB243" s="478"/>
      <c r="GBC243" s="478"/>
      <c r="GBD243" s="478"/>
      <c r="GBE243" s="478"/>
      <c r="GBF243" s="478"/>
      <c r="GBG243" s="478"/>
      <c r="GBH243" s="478"/>
      <c r="GBI243" s="478"/>
      <c r="GBJ243" s="478"/>
      <c r="GBK243" s="478"/>
      <c r="GBL243" s="478"/>
      <c r="GBM243" s="478"/>
      <c r="GBN243" s="478"/>
      <c r="GBO243" s="478"/>
      <c r="GBP243" s="478"/>
      <c r="GBQ243" s="478"/>
      <c r="GBR243" s="478"/>
      <c r="GBS243" s="478"/>
      <c r="GBT243" s="478"/>
      <c r="GBU243" s="478"/>
      <c r="GBV243" s="478"/>
      <c r="GBW243" s="478"/>
      <c r="GBX243" s="478"/>
      <c r="GBY243" s="478"/>
      <c r="GBZ243" s="478"/>
      <c r="GCA243" s="478"/>
      <c r="GCB243" s="478"/>
      <c r="GCC243" s="478"/>
      <c r="GCD243" s="478"/>
      <c r="GCE243" s="478"/>
      <c r="GCF243" s="478"/>
      <c r="GCG243" s="478"/>
      <c r="GCH243" s="478"/>
      <c r="GCI243" s="478"/>
      <c r="GCJ243" s="478"/>
      <c r="GCK243" s="478"/>
      <c r="GCL243" s="478"/>
      <c r="GCM243" s="478"/>
      <c r="GCN243" s="478"/>
      <c r="GCO243" s="478"/>
      <c r="GCP243" s="478"/>
      <c r="GCQ243" s="478"/>
      <c r="GCR243" s="478"/>
      <c r="GCS243" s="478"/>
      <c r="GCT243" s="478"/>
      <c r="GCU243" s="478"/>
      <c r="GCV243" s="478"/>
      <c r="GCW243" s="478"/>
      <c r="GCX243" s="478"/>
      <c r="GCY243" s="478"/>
      <c r="GCZ243" s="478"/>
      <c r="GDA243" s="478"/>
      <c r="GDB243" s="478"/>
      <c r="GDC243" s="478"/>
      <c r="GDD243" s="478"/>
      <c r="GDE243" s="478"/>
      <c r="GDF243" s="478"/>
      <c r="GDG243" s="478"/>
      <c r="GDH243" s="478"/>
      <c r="GDI243" s="478"/>
      <c r="GDJ243" s="478"/>
      <c r="GDK243" s="478"/>
      <c r="GDL243" s="478"/>
      <c r="GDM243" s="478"/>
      <c r="GDN243" s="478"/>
      <c r="GDO243" s="478"/>
      <c r="GDP243" s="478"/>
      <c r="GDQ243" s="478"/>
      <c r="GDR243" s="478"/>
      <c r="GDS243" s="478"/>
      <c r="GDT243" s="478"/>
      <c r="GDU243" s="478"/>
      <c r="GDV243" s="478"/>
      <c r="GDW243" s="478"/>
      <c r="GDX243" s="478"/>
      <c r="GDY243" s="478"/>
      <c r="GDZ243" s="478"/>
      <c r="GEA243" s="478"/>
      <c r="GEB243" s="478"/>
      <c r="GEC243" s="478"/>
      <c r="GED243" s="478"/>
      <c r="GEE243" s="478"/>
      <c r="GEF243" s="478"/>
      <c r="GEG243" s="478"/>
      <c r="GEH243" s="478"/>
      <c r="GEI243" s="478"/>
      <c r="GEJ243" s="478"/>
      <c r="GEK243" s="478"/>
      <c r="GEL243" s="478"/>
      <c r="GEM243" s="478"/>
      <c r="GEN243" s="478"/>
      <c r="GEO243" s="478"/>
      <c r="GEP243" s="478"/>
      <c r="GEQ243" s="478"/>
      <c r="GER243" s="478"/>
      <c r="GES243" s="478"/>
      <c r="GET243" s="478"/>
      <c r="GEU243" s="478"/>
      <c r="GEV243" s="478"/>
      <c r="GEW243" s="478"/>
      <c r="GEX243" s="478"/>
      <c r="GEY243" s="478"/>
      <c r="GEZ243" s="478"/>
      <c r="GFA243" s="478"/>
      <c r="GFB243" s="478"/>
      <c r="GFC243" s="478"/>
      <c r="GFD243" s="478"/>
      <c r="GFE243" s="478"/>
      <c r="GFF243" s="478"/>
      <c r="GFG243" s="478"/>
      <c r="GFH243" s="478"/>
      <c r="GFI243" s="478"/>
      <c r="GFJ243" s="478"/>
      <c r="GFK243" s="478"/>
      <c r="GFL243" s="478"/>
      <c r="GFM243" s="478"/>
      <c r="GFN243" s="478"/>
      <c r="GFO243" s="478"/>
      <c r="GFP243" s="478"/>
      <c r="GFQ243" s="478"/>
      <c r="GFR243" s="478"/>
      <c r="GFS243" s="478"/>
      <c r="GFT243" s="478"/>
      <c r="GFU243" s="478"/>
      <c r="GFV243" s="478"/>
      <c r="GFW243" s="478"/>
      <c r="GFX243" s="478"/>
      <c r="GFY243" s="478"/>
      <c r="GFZ243" s="478"/>
      <c r="GGA243" s="478"/>
      <c r="GGB243" s="478"/>
      <c r="GGC243" s="478"/>
      <c r="GGD243" s="478"/>
      <c r="GGE243" s="478"/>
      <c r="GGF243" s="478"/>
      <c r="GGG243" s="478"/>
      <c r="GGH243" s="478"/>
      <c r="GGI243" s="478"/>
      <c r="GGJ243" s="478"/>
      <c r="GGK243" s="478"/>
      <c r="GGL243" s="478"/>
      <c r="GGM243" s="478"/>
      <c r="GGN243" s="478"/>
      <c r="GGO243" s="478"/>
      <c r="GGP243" s="478"/>
      <c r="GGQ243" s="478"/>
      <c r="GGR243" s="478"/>
      <c r="GGS243" s="478"/>
      <c r="GGT243" s="478"/>
      <c r="GGU243" s="478"/>
      <c r="GGV243" s="478"/>
      <c r="GGW243" s="478"/>
      <c r="GGX243" s="478"/>
      <c r="GGY243" s="478"/>
      <c r="GGZ243" s="478"/>
      <c r="GHA243" s="478"/>
      <c r="GHB243" s="478"/>
      <c r="GHC243" s="478"/>
      <c r="GHD243" s="478"/>
      <c r="GHE243" s="478"/>
      <c r="GHF243" s="478"/>
      <c r="GHG243" s="478"/>
      <c r="GHH243" s="478"/>
      <c r="GHI243" s="478"/>
      <c r="GHJ243" s="478"/>
      <c r="GHK243" s="478"/>
      <c r="GHL243" s="478"/>
      <c r="GHM243" s="478"/>
      <c r="GHN243" s="478"/>
      <c r="GHO243" s="478"/>
      <c r="GHP243" s="478"/>
      <c r="GHQ243" s="478"/>
      <c r="GHR243" s="478"/>
      <c r="GHS243" s="478"/>
      <c r="GHT243" s="478"/>
      <c r="GHU243" s="478"/>
      <c r="GHV243" s="478"/>
      <c r="GHW243" s="478"/>
      <c r="GHX243" s="478"/>
      <c r="GHY243" s="478"/>
      <c r="GHZ243" s="478"/>
      <c r="GIA243" s="478"/>
      <c r="GIB243" s="478"/>
      <c r="GIC243" s="478"/>
      <c r="GID243" s="478"/>
      <c r="GIE243" s="478"/>
      <c r="GIF243" s="478"/>
      <c r="GIG243" s="478"/>
      <c r="GIH243" s="478"/>
      <c r="GII243" s="478"/>
      <c r="GIJ243" s="478"/>
      <c r="GIK243" s="478"/>
      <c r="GIL243" s="478"/>
      <c r="GIM243" s="478"/>
      <c r="GIN243" s="478"/>
      <c r="GIO243" s="478"/>
      <c r="GIP243" s="478"/>
      <c r="GIQ243" s="478"/>
      <c r="GIR243" s="478"/>
      <c r="GIS243" s="478"/>
      <c r="GIT243" s="478"/>
      <c r="GIU243" s="478"/>
      <c r="GIV243" s="478"/>
      <c r="GIW243" s="478"/>
      <c r="GIX243" s="478"/>
      <c r="GIY243" s="478"/>
      <c r="GIZ243" s="478"/>
      <c r="GJA243" s="478"/>
      <c r="GJB243" s="478"/>
      <c r="GJC243" s="478"/>
      <c r="GJD243" s="478"/>
      <c r="GJE243" s="478"/>
      <c r="GJF243" s="478"/>
      <c r="GJG243" s="478"/>
      <c r="GJH243" s="478"/>
      <c r="GJI243" s="478"/>
      <c r="GJJ243" s="478"/>
      <c r="GJK243" s="478"/>
      <c r="GJL243" s="478"/>
      <c r="GJM243" s="478"/>
      <c r="GJN243" s="478"/>
      <c r="GJO243" s="478"/>
      <c r="GJP243" s="478"/>
      <c r="GJQ243" s="478"/>
      <c r="GJR243" s="478"/>
      <c r="GJS243" s="478"/>
      <c r="GJT243" s="478"/>
      <c r="GJU243" s="478"/>
      <c r="GJV243" s="478"/>
      <c r="GJW243" s="478"/>
      <c r="GJX243" s="478"/>
      <c r="GJY243" s="478"/>
      <c r="GJZ243" s="478"/>
      <c r="GKA243" s="478"/>
      <c r="GKB243" s="478"/>
      <c r="GKC243" s="478"/>
      <c r="GKD243" s="478"/>
      <c r="GKE243" s="478"/>
      <c r="GKF243" s="478"/>
      <c r="GKG243" s="478"/>
      <c r="GKH243" s="478"/>
      <c r="GKI243" s="478"/>
      <c r="GKJ243" s="478"/>
      <c r="GKK243" s="478"/>
      <c r="GKL243" s="478"/>
      <c r="GKM243" s="478"/>
      <c r="GKN243" s="478"/>
      <c r="GKO243" s="478"/>
      <c r="GKP243" s="478"/>
      <c r="GKQ243" s="478"/>
      <c r="GKR243" s="478"/>
      <c r="GKS243" s="478"/>
      <c r="GKT243" s="478"/>
      <c r="GKU243" s="478"/>
      <c r="GKV243" s="478"/>
      <c r="GKW243" s="478"/>
      <c r="GKX243" s="478"/>
      <c r="GKY243" s="478"/>
      <c r="GKZ243" s="478"/>
      <c r="GLA243" s="478"/>
      <c r="GLB243" s="478"/>
      <c r="GLC243" s="478"/>
      <c r="GLD243" s="478"/>
      <c r="GLE243" s="478"/>
      <c r="GLF243" s="478"/>
      <c r="GLG243" s="478"/>
      <c r="GLH243" s="478"/>
      <c r="GLI243" s="478"/>
      <c r="GLJ243" s="478"/>
      <c r="GLK243" s="478"/>
      <c r="GLL243" s="478"/>
      <c r="GLM243" s="478"/>
      <c r="GLN243" s="478"/>
      <c r="GLO243" s="478"/>
      <c r="GLP243" s="478"/>
      <c r="GLQ243" s="478"/>
      <c r="GLR243" s="478"/>
      <c r="GLS243" s="478"/>
      <c r="GLT243" s="478"/>
      <c r="GLU243" s="478"/>
      <c r="GLV243" s="478"/>
      <c r="GLW243" s="478"/>
      <c r="GLX243" s="478"/>
      <c r="GLY243" s="478"/>
      <c r="GLZ243" s="478"/>
      <c r="GMA243" s="478"/>
      <c r="GMB243" s="478"/>
      <c r="GMC243" s="478"/>
      <c r="GMD243" s="478"/>
      <c r="GME243" s="478"/>
      <c r="GMF243" s="478"/>
      <c r="GMG243" s="478"/>
      <c r="GMH243" s="478"/>
      <c r="GMI243" s="478"/>
      <c r="GMJ243" s="478"/>
      <c r="GMK243" s="478"/>
      <c r="GML243" s="478"/>
      <c r="GMM243" s="478"/>
      <c r="GMN243" s="478"/>
      <c r="GMO243" s="478"/>
      <c r="GMP243" s="478"/>
      <c r="GMQ243" s="478"/>
      <c r="GMR243" s="478"/>
      <c r="GMS243" s="478"/>
      <c r="GMT243" s="478"/>
      <c r="GMU243" s="478"/>
      <c r="GMV243" s="478"/>
      <c r="GMW243" s="478"/>
      <c r="GMX243" s="478"/>
      <c r="GMY243" s="478"/>
      <c r="GMZ243" s="478"/>
      <c r="GNA243" s="478"/>
      <c r="GNB243" s="478"/>
      <c r="GNC243" s="478"/>
      <c r="GND243" s="478"/>
      <c r="GNE243" s="478"/>
      <c r="GNF243" s="478"/>
      <c r="GNG243" s="478"/>
      <c r="GNH243" s="478"/>
      <c r="GNI243" s="478"/>
      <c r="GNJ243" s="478"/>
      <c r="GNK243" s="478"/>
      <c r="GNL243" s="478"/>
      <c r="GNM243" s="478"/>
      <c r="GNN243" s="478"/>
      <c r="GNO243" s="478"/>
      <c r="GNP243" s="478"/>
      <c r="GNQ243" s="478"/>
      <c r="GNR243" s="478"/>
      <c r="GNS243" s="478"/>
      <c r="GNT243" s="478"/>
      <c r="GNU243" s="478"/>
      <c r="GNV243" s="478"/>
      <c r="GNW243" s="478"/>
      <c r="GNX243" s="478"/>
      <c r="GNY243" s="478"/>
      <c r="GNZ243" s="478"/>
      <c r="GOA243" s="478"/>
      <c r="GOB243" s="478"/>
      <c r="GOC243" s="478"/>
      <c r="GOD243" s="478"/>
      <c r="GOE243" s="478"/>
      <c r="GOF243" s="478"/>
      <c r="GOG243" s="478"/>
      <c r="GOH243" s="478"/>
      <c r="GOI243" s="478"/>
      <c r="GOJ243" s="478"/>
      <c r="GOK243" s="478"/>
      <c r="GOL243" s="478"/>
      <c r="GOM243" s="478"/>
      <c r="GON243" s="478"/>
      <c r="GOO243" s="478"/>
      <c r="GOP243" s="478"/>
      <c r="GOQ243" s="478"/>
      <c r="GOR243" s="478"/>
      <c r="GOS243" s="478"/>
      <c r="GOT243" s="478"/>
      <c r="GOU243" s="478"/>
      <c r="GOV243" s="478"/>
      <c r="GOW243" s="478"/>
      <c r="GOX243" s="478"/>
      <c r="GOY243" s="478"/>
      <c r="GOZ243" s="478"/>
      <c r="GPA243" s="478"/>
      <c r="GPB243" s="478"/>
      <c r="GPC243" s="478"/>
      <c r="GPD243" s="478"/>
      <c r="GPE243" s="478"/>
      <c r="GPF243" s="478"/>
      <c r="GPG243" s="478"/>
      <c r="GPH243" s="478"/>
      <c r="GPI243" s="478"/>
      <c r="GPJ243" s="478"/>
      <c r="GPK243" s="478"/>
      <c r="GPL243" s="478"/>
      <c r="GPM243" s="478"/>
      <c r="GPN243" s="478"/>
      <c r="GPO243" s="478"/>
      <c r="GPP243" s="478"/>
      <c r="GPQ243" s="478"/>
      <c r="GPR243" s="478"/>
      <c r="GPS243" s="478"/>
      <c r="GPT243" s="478"/>
      <c r="GPU243" s="478"/>
      <c r="GPV243" s="478"/>
      <c r="GPW243" s="478"/>
      <c r="GPX243" s="478"/>
      <c r="GPY243" s="478"/>
      <c r="GPZ243" s="478"/>
      <c r="GQA243" s="478"/>
      <c r="GQB243" s="478"/>
      <c r="GQC243" s="478"/>
      <c r="GQD243" s="478"/>
      <c r="GQE243" s="478"/>
      <c r="GQF243" s="478"/>
      <c r="GQG243" s="478"/>
      <c r="GQH243" s="478"/>
      <c r="GQI243" s="478"/>
      <c r="GQJ243" s="478"/>
      <c r="GQK243" s="478"/>
      <c r="GQL243" s="478"/>
      <c r="GQM243" s="478"/>
      <c r="GQN243" s="478"/>
      <c r="GQO243" s="478"/>
      <c r="GQP243" s="478"/>
      <c r="GQQ243" s="478"/>
      <c r="GQR243" s="478"/>
      <c r="GQS243" s="478"/>
      <c r="GQT243" s="478"/>
      <c r="GQU243" s="478"/>
      <c r="GQV243" s="478"/>
      <c r="GQW243" s="478"/>
      <c r="GQX243" s="478"/>
      <c r="GQY243" s="478"/>
      <c r="GQZ243" s="478"/>
      <c r="GRA243" s="478"/>
      <c r="GRB243" s="478"/>
      <c r="GRC243" s="478"/>
      <c r="GRD243" s="478"/>
      <c r="GRE243" s="478"/>
      <c r="GRF243" s="478"/>
      <c r="GRG243" s="478"/>
      <c r="GRH243" s="478"/>
      <c r="GRI243" s="478"/>
      <c r="GRJ243" s="478"/>
      <c r="GRK243" s="478"/>
      <c r="GRL243" s="478"/>
      <c r="GRM243" s="478"/>
      <c r="GRN243" s="478"/>
      <c r="GRO243" s="478"/>
      <c r="GRP243" s="478"/>
      <c r="GRQ243" s="478"/>
      <c r="GRR243" s="478"/>
      <c r="GRS243" s="478"/>
      <c r="GRT243" s="478"/>
      <c r="GRU243" s="478"/>
      <c r="GRV243" s="478"/>
      <c r="GRW243" s="478"/>
      <c r="GRX243" s="478"/>
      <c r="GRY243" s="478"/>
      <c r="GRZ243" s="478"/>
      <c r="GSA243" s="478"/>
      <c r="GSB243" s="478"/>
      <c r="GSC243" s="478"/>
      <c r="GSD243" s="478"/>
      <c r="GSE243" s="478"/>
      <c r="GSF243" s="478"/>
      <c r="GSG243" s="478"/>
      <c r="GSH243" s="478"/>
      <c r="GSI243" s="478"/>
      <c r="GSJ243" s="478"/>
      <c r="GSK243" s="478"/>
      <c r="GSL243" s="478"/>
      <c r="GSM243" s="478"/>
      <c r="GSN243" s="478"/>
      <c r="GSO243" s="478"/>
      <c r="GSP243" s="478"/>
      <c r="GSQ243" s="478"/>
      <c r="GSR243" s="478"/>
      <c r="GSS243" s="478"/>
      <c r="GST243" s="478"/>
      <c r="GSU243" s="478"/>
      <c r="GSV243" s="478"/>
      <c r="GSW243" s="478"/>
      <c r="GSX243" s="478"/>
      <c r="GSY243" s="478"/>
      <c r="GSZ243" s="478"/>
      <c r="GTA243" s="478"/>
      <c r="GTB243" s="478"/>
      <c r="GTC243" s="478"/>
      <c r="GTD243" s="478"/>
      <c r="GTE243" s="478"/>
      <c r="GTF243" s="478"/>
      <c r="GTG243" s="478"/>
      <c r="GTH243" s="478"/>
      <c r="GTI243" s="478"/>
      <c r="GTJ243" s="478"/>
      <c r="GTK243" s="478"/>
      <c r="GTL243" s="478"/>
      <c r="GTM243" s="478"/>
      <c r="GTN243" s="478"/>
      <c r="GTO243" s="478"/>
      <c r="GTP243" s="478"/>
      <c r="GTQ243" s="478"/>
      <c r="GTR243" s="478"/>
      <c r="GTS243" s="478"/>
      <c r="GTT243" s="478"/>
      <c r="GTU243" s="478"/>
      <c r="GTV243" s="478"/>
      <c r="GTW243" s="478"/>
      <c r="GTX243" s="478"/>
      <c r="GTY243" s="478"/>
      <c r="GTZ243" s="478"/>
      <c r="GUA243" s="478"/>
      <c r="GUB243" s="478"/>
      <c r="GUC243" s="478"/>
      <c r="GUD243" s="478"/>
      <c r="GUE243" s="478"/>
      <c r="GUF243" s="478"/>
      <c r="GUG243" s="478"/>
      <c r="GUH243" s="478"/>
      <c r="GUI243" s="478"/>
      <c r="GUJ243" s="478"/>
      <c r="GUK243" s="478"/>
      <c r="GUL243" s="478"/>
      <c r="GUM243" s="478"/>
      <c r="GUN243" s="478"/>
      <c r="GUO243" s="478"/>
      <c r="GUP243" s="478"/>
      <c r="GUQ243" s="478"/>
      <c r="GUR243" s="478"/>
      <c r="GUS243" s="478"/>
      <c r="GUT243" s="478"/>
      <c r="GUU243" s="478"/>
      <c r="GUV243" s="478"/>
      <c r="GUW243" s="478"/>
      <c r="GUX243" s="478"/>
      <c r="GUY243" s="478"/>
      <c r="GUZ243" s="478"/>
      <c r="GVA243" s="478"/>
      <c r="GVB243" s="478"/>
      <c r="GVC243" s="478"/>
      <c r="GVD243" s="478"/>
      <c r="GVE243" s="478"/>
      <c r="GVF243" s="478"/>
      <c r="GVG243" s="478"/>
      <c r="GVH243" s="478"/>
      <c r="GVI243" s="478"/>
      <c r="GVJ243" s="478"/>
      <c r="GVK243" s="478"/>
      <c r="GVL243" s="478"/>
      <c r="GVM243" s="478"/>
      <c r="GVN243" s="478"/>
      <c r="GVO243" s="478"/>
      <c r="GVP243" s="478"/>
      <c r="GVQ243" s="478"/>
      <c r="GVR243" s="478"/>
      <c r="GVS243" s="478"/>
      <c r="GVT243" s="478"/>
      <c r="GVU243" s="478"/>
      <c r="GVV243" s="478"/>
      <c r="GVW243" s="478"/>
      <c r="GVX243" s="478"/>
      <c r="GVY243" s="478"/>
      <c r="GVZ243" s="478"/>
      <c r="GWA243" s="478"/>
      <c r="GWB243" s="478"/>
      <c r="GWC243" s="478"/>
      <c r="GWD243" s="478"/>
      <c r="GWE243" s="478"/>
      <c r="GWF243" s="478"/>
      <c r="GWG243" s="478"/>
      <c r="GWH243" s="478"/>
      <c r="GWI243" s="478"/>
      <c r="GWJ243" s="478"/>
      <c r="GWK243" s="478"/>
      <c r="GWL243" s="478"/>
      <c r="GWM243" s="478"/>
      <c r="GWN243" s="478"/>
      <c r="GWO243" s="478"/>
      <c r="GWP243" s="478"/>
      <c r="GWQ243" s="478"/>
      <c r="GWR243" s="478"/>
      <c r="GWS243" s="478"/>
      <c r="GWT243" s="478"/>
      <c r="GWU243" s="478"/>
      <c r="GWV243" s="478"/>
      <c r="GWW243" s="478"/>
      <c r="GWX243" s="478"/>
      <c r="GWY243" s="478"/>
      <c r="GWZ243" s="478"/>
      <c r="GXA243" s="478"/>
      <c r="GXB243" s="478"/>
      <c r="GXC243" s="478"/>
      <c r="GXD243" s="478"/>
      <c r="GXE243" s="478"/>
      <c r="GXF243" s="478"/>
      <c r="GXG243" s="478"/>
      <c r="GXH243" s="478"/>
      <c r="GXI243" s="478"/>
      <c r="GXJ243" s="478"/>
      <c r="GXK243" s="478"/>
      <c r="GXL243" s="478"/>
      <c r="GXM243" s="478"/>
      <c r="GXN243" s="478"/>
      <c r="GXO243" s="478"/>
      <c r="GXP243" s="478"/>
      <c r="GXQ243" s="478"/>
      <c r="GXR243" s="478"/>
      <c r="GXS243" s="478"/>
      <c r="GXT243" s="478"/>
      <c r="GXU243" s="478"/>
      <c r="GXV243" s="478"/>
      <c r="GXW243" s="478"/>
      <c r="GXX243" s="478"/>
      <c r="GXY243" s="478"/>
      <c r="GXZ243" s="478"/>
      <c r="GYA243" s="478"/>
      <c r="GYB243" s="478"/>
      <c r="GYC243" s="478"/>
      <c r="GYD243" s="478"/>
      <c r="GYE243" s="478"/>
      <c r="GYF243" s="478"/>
      <c r="GYG243" s="478"/>
      <c r="GYH243" s="478"/>
      <c r="GYI243" s="478"/>
      <c r="GYJ243" s="478"/>
      <c r="GYK243" s="478"/>
      <c r="GYL243" s="478"/>
      <c r="GYM243" s="478"/>
      <c r="GYN243" s="478"/>
      <c r="GYO243" s="478"/>
      <c r="GYP243" s="478"/>
      <c r="GYQ243" s="478"/>
      <c r="GYR243" s="478"/>
      <c r="GYS243" s="478"/>
      <c r="GYT243" s="478"/>
      <c r="GYU243" s="478"/>
      <c r="GYV243" s="478"/>
      <c r="GYW243" s="478"/>
      <c r="GYX243" s="478"/>
      <c r="GYY243" s="478"/>
      <c r="GYZ243" s="478"/>
      <c r="GZA243" s="478"/>
      <c r="GZB243" s="478"/>
      <c r="GZC243" s="478"/>
      <c r="GZD243" s="478"/>
      <c r="GZE243" s="478"/>
      <c r="GZF243" s="478"/>
      <c r="GZG243" s="478"/>
      <c r="GZH243" s="478"/>
      <c r="GZI243" s="478"/>
      <c r="GZJ243" s="478"/>
      <c r="GZK243" s="478"/>
      <c r="GZL243" s="478"/>
      <c r="GZM243" s="478"/>
      <c r="GZN243" s="478"/>
      <c r="GZO243" s="478"/>
      <c r="GZP243" s="478"/>
      <c r="GZQ243" s="478"/>
      <c r="GZR243" s="478"/>
      <c r="GZS243" s="478"/>
      <c r="GZT243" s="478"/>
      <c r="GZU243" s="478"/>
      <c r="GZV243" s="478"/>
      <c r="GZW243" s="478"/>
      <c r="GZX243" s="478"/>
      <c r="GZY243" s="478"/>
      <c r="GZZ243" s="478"/>
      <c r="HAA243" s="478"/>
      <c r="HAB243" s="478"/>
      <c r="HAC243" s="478"/>
      <c r="HAD243" s="478"/>
      <c r="HAE243" s="478"/>
      <c r="HAF243" s="478"/>
      <c r="HAG243" s="478"/>
      <c r="HAH243" s="478"/>
      <c r="HAI243" s="478"/>
      <c r="HAJ243" s="478"/>
      <c r="HAK243" s="478"/>
      <c r="HAL243" s="478"/>
      <c r="HAM243" s="478"/>
      <c r="HAN243" s="478"/>
      <c r="HAO243" s="478"/>
      <c r="HAP243" s="478"/>
      <c r="HAQ243" s="478"/>
      <c r="HAR243" s="478"/>
      <c r="HAS243" s="478"/>
      <c r="HAT243" s="478"/>
      <c r="HAU243" s="478"/>
      <c r="HAV243" s="478"/>
      <c r="HAW243" s="478"/>
      <c r="HAX243" s="478"/>
      <c r="HAY243" s="478"/>
      <c r="HAZ243" s="478"/>
      <c r="HBA243" s="478"/>
      <c r="HBB243" s="478"/>
      <c r="HBC243" s="478"/>
      <c r="HBD243" s="478"/>
      <c r="HBE243" s="478"/>
      <c r="HBF243" s="478"/>
      <c r="HBG243" s="478"/>
      <c r="HBH243" s="478"/>
      <c r="HBI243" s="478"/>
      <c r="HBJ243" s="478"/>
      <c r="HBK243" s="478"/>
      <c r="HBL243" s="478"/>
      <c r="HBM243" s="478"/>
      <c r="HBN243" s="478"/>
      <c r="HBO243" s="478"/>
      <c r="HBP243" s="478"/>
      <c r="HBQ243" s="478"/>
      <c r="HBR243" s="478"/>
      <c r="HBS243" s="478"/>
      <c r="HBT243" s="478"/>
      <c r="HBU243" s="478"/>
      <c r="HBV243" s="478"/>
      <c r="HBW243" s="478"/>
      <c r="HBX243" s="478"/>
      <c r="HBY243" s="478"/>
      <c r="HBZ243" s="478"/>
      <c r="HCA243" s="478"/>
      <c r="HCB243" s="478"/>
      <c r="HCC243" s="478"/>
      <c r="HCD243" s="478"/>
      <c r="HCE243" s="478"/>
      <c r="HCF243" s="478"/>
      <c r="HCG243" s="478"/>
      <c r="HCH243" s="478"/>
      <c r="HCI243" s="478"/>
      <c r="HCJ243" s="478"/>
      <c r="HCK243" s="478"/>
      <c r="HCL243" s="478"/>
      <c r="HCM243" s="478"/>
      <c r="HCN243" s="478"/>
      <c r="HCO243" s="478"/>
      <c r="HCP243" s="478"/>
      <c r="HCQ243" s="478"/>
      <c r="HCR243" s="478"/>
      <c r="HCS243" s="478"/>
      <c r="HCT243" s="478"/>
      <c r="HCU243" s="478"/>
      <c r="HCV243" s="478"/>
      <c r="HCW243" s="478"/>
      <c r="HCX243" s="478"/>
      <c r="HCY243" s="478"/>
      <c r="HCZ243" s="478"/>
      <c r="HDA243" s="478"/>
      <c r="HDB243" s="478"/>
      <c r="HDC243" s="478"/>
      <c r="HDD243" s="478"/>
      <c r="HDE243" s="478"/>
      <c r="HDF243" s="478"/>
      <c r="HDG243" s="478"/>
      <c r="HDH243" s="478"/>
      <c r="HDI243" s="478"/>
      <c r="HDJ243" s="478"/>
      <c r="HDK243" s="478"/>
      <c r="HDL243" s="478"/>
      <c r="HDM243" s="478"/>
      <c r="HDN243" s="478"/>
      <c r="HDO243" s="478"/>
      <c r="HDP243" s="478"/>
      <c r="HDQ243" s="478"/>
      <c r="HDR243" s="478"/>
      <c r="HDS243" s="478"/>
      <c r="HDT243" s="478"/>
      <c r="HDU243" s="478"/>
      <c r="HDV243" s="478"/>
      <c r="HDW243" s="478"/>
      <c r="HDX243" s="478"/>
      <c r="HDY243" s="478"/>
      <c r="HDZ243" s="478"/>
      <c r="HEA243" s="478"/>
      <c r="HEB243" s="478"/>
      <c r="HEC243" s="478"/>
      <c r="HED243" s="478"/>
      <c r="HEE243" s="478"/>
      <c r="HEF243" s="478"/>
      <c r="HEG243" s="478"/>
      <c r="HEH243" s="478"/>
      <c r="HEI243" s="478"/>
      <c r="HEJ243" s="478"/>
      <c r="HEK243" s="478"/>
      <c r="HEL243" s="478"/>
      <c r="HEM243" s="478"/>
      <c r="HEN243" s="478"/>
      <c r="HEO243" s="478"/>
      <c r="HEP243" s="478"/>
      <c r="HEQ243" s="478"/>
      <c r="HER243" s="478"/>
      <c r="HES243" s="478"/>
      <c r="HET243" s="478"/>
      <c r="HEU243" s="478"/>
      <c r="HEV243" s="478"/>
      <c r="HEW243" s="478"/>
      <c r="HEX243" s="478"/>
      <c r="HEY243" s="478"/>
      <c r="HEZ243" s="478"/>
      <c r="HFA243" s="478"/>
      <c r="HFB243" s="478"/>
      <c r="HFC243" s="478"/>
      <c r="HFD243" s="478"/>
      <c r="HFE243" s="478"/>
      <c r="HFF243" s="478"/>
      <c r="HFG243" s="478"/>
      <c r="HFH243" s="478"/>
      <c r="HFI243" s="478"/>
      <c r="HFJ243" s="478"/>
      <c r="HFK243" s="478"/>
      <c r="HFL243" s="478"/>
      <c r="HFM243" s="478"/>
      <c r="HFN243" s="478"/>
      <c r="HFO243" s="478"/>
      <c r="HFP243" s="478"/>
      <c r="HFQ243" s="478"/>
      <c r="HFR243" s="478"/>
      <c r="HFS243" s="478"/>
      <c r="HFT243" s="478"/>
      <c r="HFU243" s="478"/>
      <c r="HFV243" s="478"/>
      <c r="HFW243" s="478"/>
      <c r="HFX243" s="478"/>
      <c r="HFY243" s="478"/>
      <c r="HFZ243" s="478"/>
      <c r="HGA243" s="478"/>
      <c r="HGB243" s="478"/>
      <c r="HGC243" s="478"/>
      <c r="HGD243" s="478"/>
      <c r="HGE243" s="478"/>
      <c r="HGF243" s="478"/>
      <c r="HGG243" s="478"/>
      <c r="HGH243" s="478"/>
      <c r="HGI243" s="478"/>
      <c r="HGJ243" s="478"/>
      <c r="HGK243" s="478"/>
      <c r="HGL243" s="478"/>
      <c r="HGM243" s="478"/>
      <c r="HGN243" s="478"/>
      <c r="HGO243" s="478"/>
      <c r="HGP243" s="478"/>
      <c r="HGQ243" s="478"/>
      <c r="HGR243" s="478"/>
      <c r="HGS243" s="478"/>
      <c r="HGT243" s="478"/>
      <c r="HGU243" s="478"/>
      <c r="HGV243" s="478"/>
      <c r="HGW243" s="478"/>
      <c r="HGX243" s="478"/>
      <c r="HGY243" s="478"/>
      <c r="HGZ243" s="478"/>
      <c r="HHA243" s="478"/>
      <c r="HHB243" s="478"/>
      <c r="HHC243" s="478"/>
      <c r="HHD243" s="478"/>
      <c r="HHE243" s="478"/>
      <c r="HHF243" s="478"/>
      <c r="HHG243" s="478"/>
      <c r="HHH243" s="478"/>
      <c r="HHI243" s="478"/>
      <c r="HHJ243" s="478"/>
      <c r="HHK243" s="478"/>
      <c r="HHL243" s="478"/>
      <c r="HHM243" s="478"/>
      <c r="HHN243" s="478"/>
      <c r="HHO243" s="478"/>
      <c r="HHP243" s="478"/>
      <c r="HHQ243" s="478"/>
      <c r="HHR243" s="478"/>
      <c r="HHS243" s="478"/>
      <c r="HHT243" s="478"/>
      <c r="HHU243" s="478"/>
      <c r="HHV243" s="478"/>
      <c r="HHW243" s="478"/>
      <c r="HHX243" s="478"/>
      <c r="HHY243" s="478"/>
      <c r="HHZ243" s="478"/>
      <c r="HIA243" s="478"/>
      <c r="HIB243" s="478"/>
      <c r="HIC243" s="478"/>
      <c r="HID243" s="478"/>
      <c r="HIE243" s="478"/>
      <c r="HIF243" s="478"/>
      <c r="HIG243" s="478"/>
      <c r="HIH243" s="478"/>
      <c r="HII243" s="478"/>
      <c r="HIJ243" s="478"/>
      <c r="HIK243" s="478"/>
      <c r="HIL243" s="478"/>
      <c r="HIM243" s="478"/>
      <c r="HIN243" s="478"/>
      <c r="HIO243" s="478"/>
      <c r="HIP243" s="478"/>
      <c r="HIQ243" s="478"/>
      <c r="HIR243" s="478"/>
      <c r="HIS243" s="478"/>
      <c r="HIT243" s="478"/>
      <c r="HIU243" s="478"/>
      <c r="HIV243" s="478"/>
      <c r="HIW243" s="478"/>
      <c r="HIX243" s="478"/>
      <c r="HIY243" s="478"/>
      <c r="HIZ243" s="478"/>
      <c r="HJA243" s="478"/>
      <c r="HJB243" s="478"/>
      <c r="HJC243" s="478"/>
      <c r="HJD243" s="478"/>
      <c r="HJE243" s="478"/>
      <c r="HJF243" s="478"/>
      <c r="HJG243" s="478"/>
      <c r="HJH243" s="478"/>
      <c r="HJI243" s="478"/>
      <c r="HJJ243" s="478"/>
      <c r="HJK243" s="478"/>
      <c r="HJL243" s="478"/>
      <c r="HJM243" s="478"/>
      <c r="HJN243" s="478"/>
      <c r="HJO243" s="478"/>
      <c r="HJP243" s="478"/>
      <c r="HJQ243" s="478"/>
      <c r="HJR243" s="478"/>
      <c r="HJS243" s="478"/>
      <c r="HJT243" s="478"/>
      <c r="HJU243" s="478"/>
      <c r="HJV243" s="478"/>
      <c r="HJW243" s="478"/>
      <c r="HJX243" s="478"/>
      <c r="HJY243" s="478"/>
      <c r="HJZ243" s="478"/>
      <c r="HKA243" s="478"/>
      <c r="HKB243" s="478"/>
      <c r="HKC243" s="478"/>
      <c r="HKD243" s="478"/>
      <c r="HKE243" s="478"/>
      <c r="HKF243" s="478"/>
      <c r="HKG243" s="478"/>
      <c r="HKH243" s="478"/>
      <c r="HKI243" s="478"/>
      <c r="HKJ243" s="478"/>
      <c r="HKK243" s="478"/>
      <c r="HKL243" s="478"/>
      <c r="HKM243" s="478"/>
      <c r="HKN243" s="478"/>
      <c r="HKO243" s="478"/>
      <c r="HKP243" s="478"/>
      <c r="HKQ243" s="478"/>
      <c r="HKR243" s="478"/>
      <c r="HKS243" s="478"/>
      <c r="HKT243" s="478"/>
      <c r="HKU243" s="478"/>
      <c r="HKV243" s="478"/>
      <c r="HKW243" s="478"/>
      <c r="HKX243" s="478"/>
      <c r="HKY243" s="478"/>
      <c r="HKZ243" s="478"/>
      <c r="HLA243" s="478"/>
      <c r="HLB243" s="478"/>
      <c r="HLC243" s="478"/>
      <c r="HLD243" s="478"/>
      <c r="HLE243" s="478"/>
      <c r="HLF243" s="478"/>
      <c r="HLG243" s="478"/>
      <c r="HLH243" s="478"/>
      <c r="HLI243" s="478"/>
      <c r="HLJ243" s="478"/>
      <c r="HLK243" s="478"/>
      <c r="HLL243" s="478"/>
      <c r="HLM243" s="478"/>
      <c r="HLN243" s="478"/>
      <c r="HLO243" s="478"/>
      <c r="HLP243" s="478"/>
      <c r="HLQ243" s="478"/>
      <c r="HLR243" s="478"/>
      <c r="HLS243" s="478"/>
      <c r="HLT243" s="478"/>
      <c r="HLU243" s="478"/>
      <c r="HLV243" s="478"/>
      <c r="HLW243" s="478"/>
      <c r="HLX243" s="478"/>
      <c r="HLY243" s="478"/>
      <c r="HLZ243" s="478"/>
      <c r="HMA243" s="478"/>
      <c r="HMB243" s="478"/>
      <c r="HMC243" s="478"/>
      <c r="HMD243" s="478"/>
      <c r="HME243" s="478"/>
      <c r="HMF243" s="478"/>
      <c r="HMG243" s="478"/>
      <c r="HMH243" s="478"/>
      <c r="HMI243" s="478"/>
      <c r="HMJ243" s="478"/>
      <c r="HMK243" s="478"/>
      <c r="HML243" s="478"/>
      <c r="HMM243" s="478"/>
      <c r="HMN243" s="478"/>
      <c r="HMO243" s="478"/>
      <c r="HMP243" s="478"/>
      <c r="HMQ243" s="478"/>
      <c r="HMR243" s="478"/>
      <c r="HMS243" s="478"/>
      <c r="HMT243" s="478"/>
      <c r="HMU243" s="478"/>
      <c r="HMV243" s="478"/>
      <c r="HMW243" s="478"/>
      <c r="HMX243" s="478"/>
      <c r="HMY243" s="478"/>
      <c r="HMZ243" s="478"/>
      <c r="HNA243" s="478"/>
      <c r="HNB243" s="478"/>
      <c r="HNC243" s="478"/>
      <c r="HND243" s="478"/>
      <c r="HNE243" s="478"/>
      <c r="HNF243" s="478"/>
      <c r="HNG243" s="478"/>
      <c r="HNH243" s="478"/>
      <c r="HNI243" s="478"/>
      <c r="HNJ243" s="478"/>
      <c r="HNK243" s="478"/>
      <c r="HNL243" s="478"/>
      <c r="HNM243" s="478"/>
      <c r="HNN243" s="478"/>
      <c r="HNO243" s="478"/>
      <c r="HNP243" s="478"/>
      <c r="HNQ243" s="478"/>
      <c r="HNR243" s="478"/>
      <c r="HNS243" s="478"/>
      <c r="HNT243" s="478"/>
      <c r="HNU243" s="478"/>
      <c r="HNV243" s="478"/>
      <c r="HNW243" s="478"/>
      <c r="HNX243" s="478"/>
      <c r="HNY243" s="478"/>
      <c r="HNZ243" s="478"/>
      <c r="HOA243" s="478"/>
      <c r="HOB243" s="478"/>
      <c r="HOC243" s="478"/>
      <c r="HOD243" s="478"/>
      <c r="HOE243" s="478"/>
      <c r="HOF243" s="478"/>
      <c r="HOG243" s="478"/>
      <c r="HOH243" s="478"/>
      <c r="HOI243" s="478"/>
      <c r="HOJ243" s="478"/>
      <c r="HOK243" s="478"/>
      <c r="HOL243" s="478"/>
      <c r="HOM243" s="478"/>
      <c r="HON243" s="478"/>
      <c r="HOO243" s="478"/>
      <c r="HOP243" s="478"/>
      <c r="HOQ243" s="478"/>
      <c r="HOR243" s="478"/>
      <c r="HOS243" s="478"/>
      <c r="HOT243" s="478"/>
      <c r="HOU243" s="478"/>
      <c r="HOV243" s="478"/>
      <c r="HOW243" s="478"/>
      <c r="HOX243" s="478"/>
      <c r="HOY243" s="478"/>
      <c r="HOZ243" s="478"/>
      <c r="HPA243" s="478"/>
      <c r="HPB243" s="478"/>
      <c r="HPC243" s="478"/>
      <c r="HPD243" s="478"/>
      <c r="HPE243" s="478"/>
      <c r="HPF243" s="478"/>
      <c r="HPG243" s="478"/>
      <c r="HPH243" s="478"/>
      <c r="HPI243" s="478"/>
      <c r="HPJ243" s="478"/>
      <c r="HPK243" s="478"/>
      <c r="HPL243" s="478"/>
      <c r="HPM243" s="478"/>
      <c r="HPN243" s="478"/>
      <c r="HPO243" s="478"/>
      <c r="HPP243" s="478"/>
      <c r="HPQ243" s="478"/>
      <c r="HPR243" s="478"/>
      <c r="HPS243" s="478"/>
      <c r="HPT243" s="478"/>
      <c r="HPU243" s="478"/>
      <c r="HPV243" s="478"/>
      <c r="HPW243" s="478"/>
      <c r="HPX243" s="478"/>
      <c r="HPY243" s="478"/>
      <c r="HPZ243" s="478"/>
      <c r="HQA243" s="478"/>
      <c r="HQB243" s="478"/>
      <c r="HQC243" s="478"/>
      <c r="HQD243" s="478"/>
      <c r="HQE243" s="478"/>
      <c r="HQF243" s="478"/>
      <c r="HQG243" s="478"/>
      <c r="HQH243" s="478"/>
      <c r="HQI243" s="478"/>
      <c r="HQJ243" s="478"/>
      <c r="HQK243" s="478"/>
      <c r="HQL243" s="478"/>
      <c r="HQM243" s="478"/>
      <c r="HQN243" s="478"/>
      <c r="HQO243" s="478"/>
      <c r="HQP243" s="478"/>
      <c r="HQQ243" s="478"/>
      <c r="HQR243" s="478"/>
      <c r="HQS243" s="478"/>
      <c r="HQT243" s="478"/>
      <c r="HQU243" s="478"/>
      <c r="HQV243" s="478"/>
      <c r="HQW243" s="478"/>
      <c r="HQX243" s="478"/>
      <c r="HQY243" s="478"/>
      <c r="HQZ243" s="478"/>
      <c r="HRA243" s="478"/>
      <c r="HRB243" s="478"/>
      <c r="HRC243" s="478"/>
      <c r="HRD243" s="478"/>
      <c r="HRE243" s="478"/>
      <c r="HRF243" s="478"/>
      <c r="HRG243" s="478"/>
      <c r="HRH243" s="478"/>
      <c r="HRI243" s="478"/>
      <c r="HRJ243" s="478"/>
      <c r="HRK243" s="478"/>
      <c r="HRL243" s="478"/>
      <c r="HRM243" s="478"/>
      <c r="HRN243" s="478"/>
      <c r="HRO243" s="478"/>
      <c r="HRP243" s="478"/>
      <c r="HRQ243" s="478"/>
      <c r="HRR243" s="478"/>
      <c r="HRS243" s="478"/>
      <c r="HRT243" s="478"/>
      <c r="HRU243" s="478"/>
      <c r="HRV243" s="478"/>
      <c r="HRW243" s="478"/>
      <c r="HRX243" s="478"/>
      <c r="HRY243" s="478"/>
      <c r="HRZ243" s="478"/>
      <c r="HSA243" s="478"/>
      <c r="HSB243" s="478"/>
      <c r="HSC243" s="478"/>
      <c r="HSD243" s="478"/>
      <c r="HSE243" s="478"/>
      <c r="HSF243" s="478"/>
      <c r="HSG243" s="478"/>
      <c r="HSH243" s="478"/>
      <c r="HSI243" s="478"/>
      <c r="HSJ243" s="478"/>
      <c r="HSK243" s="478"/>
      <c r="HSL243" s="478"/>
      <c r="HSM243" s="478"/>
      <c r="HSN243" s="478"/>
      <c r="HSO243" s="478"/>
      <c r="HSP243" s="478"/>
      <c r="HSQ243" s="478"/>
      <c r="HSR243" s="478"/>
      <c r="HSS243" s="478"/>
      <c r="HST243" s="478"/>
      <c r="HSU243" s="478"/>
      <c r="HSV243" s="478"/>
      <c r="HSW243" s="478"/>
      <c r="HSX243" s="478"/>
      <c r="HSY243" s="478"/>
      <c r="HSZ243" s="478"/>
      <c r="HTA243" s="478"/>
      <c r="HTB243" s="478"/>
      <c r="HTC243" s="478"/>
      <c r="HTD243" s="478"/>
      <c r="HTE243" s="478"/>
      <c r="HTF243" s="478"/>
      <c r="HTG243" s="478"/>
      <c r="HTH243" s="478"/>
      <c r="HTI243" s="478"/>
      <c r="HTJ243" s="478"/>
      <c r="HTK243" s="478"/>
      <c r="HTL243" s="478"/>
      <c r="HTM243" s="478"/>
      <c r="HTN243" s="478"/>
      <c r="HTO243" s="478"/>
      <c r="HTP243" s="478"/>
      <c r="HTQ243" s="478"/>
      <c r="HTR243" s="478"/>
      <c r="HTS243" s="478"/>
      <c r="HTT243" s="478"/>
      <c r="HTU243" s="478"/>
      <c r="HTV243" s="478"/>
      <c r="HTW243" s="478"/>
      <c r="HTX243" s="478"/>
      <c r="HTY243" s="478"/>
      <c r="HTZ243" s="478"/>
      <c r="HUA243" s="478"/>
      <c r="HUB243" s="478"/>
      <c r="HUC243" s="478"/>
      <c r="HUD243" s="478"/>
      <c r="HUE243" s="478"/>
      <c r="HUF243" s="478"/>
      <c r="HUG243" s="478"/>
      <c r="HUH243" s="478"/>
      <c r="HUI243" s="478"/>
      <c r="HUJ243" s="478"/>
      <c r="HUK243" s="478"/>
      <c r="HUL243" s="478"/>
      <c r="HUM243" s="478"/>
      <c r="HUN243" s="478"/>
      <c r="HUO243" s="478"/>
      <c r="HUP243" s="478"/>
      <c r="HUQ243" s="478"/>
      <c r="HUR243" s="478"/>
      <c r="HUS243" s="478"/>
      <c r="HUT243" s="478"/>
      <c r="HUU243" s="478"/>
      <c r="HUV243" s="478"/>
      <c r="HUW243" s="478"/>
      <c r="HUX243" s="478"/>
      <c r="HUY243" s="478"/>
      <c r="HUZ243" s="478"/>
      <c r="HVA243" s="478"/>
      <c r="HVB243" s="478"/>
      <c r="HVC243" s="478"/>
      <c r="HVD243" s="478"/>
      <c r="HVE243" s="478"/>
      <c r="HVF243" s="478"/>
      <c r="HVG243" s="478"/>
      <c r="HVH243" s="478"/>
      <c r="HVI243" s="478"/>
      <c r="HVJ243" s="478"/>
      <c r="HVK243" s="478"/>
      <c r="HVL243" s="478"/>
      <c r="HVM243" s="478"/>
      <c r="HVN243" s="478"/>
      <c r="HVO243" s="478"/>
      <c r="HVP243" s="478"/>
      <c r="HVQ243" s="478"/>
      <c r="HVR243" s="478"/>
      <c r="HVS243" s="478"/>
      <c r="HVT243" s="478"/>
      <c r="HVU243" s="478"/>
      <c r="HVV243" s="478"/>
      <c r="HVW243" s="478"/>
      <c r="HVX243" s="478"/>
      <c r="HVY243" s="478"/>
      <c r="HVZ243" s="478"/>
      <c r="HWA243" s="478"/>
      <c r="HWB243" s="478"/>
      <c r="HWC243" s="478"/>
      <c r="HWD243" s="478"/>
      <c r="HWE243" s="478"/>
      <c r="HWF243" s="478"/>
      <c r="HWG243" s="478"/>
      <c r="HWH243" s="478"/>
      <c r="HWI243" s="478"/>
      <c r="HWJ243" s="478"/>
      <c r="HWK243" s="478"/>
      <c r="HWL243" s="478"/>
      <c r="HWM243" s="478"/>
      <c r="HWN243" s="478"/>
      <c r="HWO243" s="478"/>
      <c r="HWP243" s="478"/>
      <c r="HWQ243" s="478"/>
      <c r="HWR243" s="478"/>
      <c r="HWS243" s="478"/>
      <c r="HWT243" s="478"/>
      <c r="HWU243" s="478"/>
      <c r="HWV243" s="478"/>
      <c r="HWW243" s="478"/>
      <c r="HWX243" s="478"/>
      <c r="HWY243" s="478"/>
      <c r="HWZ243" s="478"/>
      <c r="HXA243" s="478"/>
      <c r="HXB243" s="478"/>
      <c r="HXC243" s="478"/>
      <c r="HXD243" s="478"/>
      <c r="HXE243" s="478"/>
      <c r="HXF243" s="478"/>
      <c r="HXG243" s="478"/>
      <c r="HXH243" s="478"/>
      <c r="HXI243" s="478"/>
      <c r="HXJ243" s="478"/>
      <c r="HXK243" s="478"/>
      <c r="HXL243" s="478"/>
      <c r="HXM243" s="478"/>
      <c r="HXN243" s="478"/>
      <c r="HXO243" s="478"/>
      <c r="HXP243" s="478"/>
      <c r="HXQ243" s="478"/>
      <c r="HXR243" s="478"/>
      <c r="HXS243" s="478"/>
      <c r="HXT243" s="478"/>
      <c r="HXU243" s="478"/>
      <c r="HXV243" s="478"/>
      <c r="HXW243" s="478"/>
      <c r="HXX243" s="478"/>
      <c r="HXY243" s="478"/>
      <c r="HXZ243" s="478"/>
      <c r="HYA243" s="478"/>
      <c r="HYB243" s="478"/>
      <c r="HYC243" s="478"/>
      <c r="HYD243" s="478"/>
      <c r="HYE243" s="478"/>
      <c r="HYF243" s="478"/>
      <c r="HYG243" s="478"/>
      <c r="HYH243" s="478"/>
      <c r="HYI243" s="478"/>
      <c r="HYJ243" s="478"/>
      <c r="HYK243" s="478"/>
      <c r="HYL243" s="478"/>
      <c r="HYM243" s="478"/>
      <c r="HYN243" s="478"/>
      <c r="HYO243" s="478"/>
      <c r="HYP243" s="478"/>
      <c r="HYQ243" s="478"/>
      <c r="HYR243" s="478"/>
      <c r="HYS243" s="478"/>
      <c r="HYT243" s="478"/>
      <c r="HYU243" s="478"/>
      <c r="HYV243" s="478"/>
      <c r="HYW243" s="478"/>
      <c r="HYX243" s="478"/>
      <c r="HYY243" s="478"/>
      <c r="HYZ243" s="478"/>
      <c r="HZA243" s="478"/>
      <c r="HZB243" s="478"/>
      <c r="HZC243" s="478"/>
      <c r="HZD243" s="478"/>
      <c r="HZE243" s="478"/>
      <c r="HZF243" s="478"/>
      <c r="HZG243" s="478"/>
      <c r="HZH243" s="478"/>
      <c r="HZI243" s="478"/>
      <c r="HZJ243" s="478"/>
      <c r="HZK243" s="478"/>
      <c r="HZL243" s="478"/>
      <c r="HZM243" s="478"/>
      <c r="HZN243" s="478"/>
      <c r="HZO243" s="478"/>
      <c r="HZP243" s="478"/>
      <c r="HZQ243" s="478"/>
      <c r="HZR243" s="478"/>
      <c r="HZS243" s="478"/>
      <c r="HZT243" s="478"/>
      <c r="HZU243" s="478"/>
      <c r="HZV243" s="478"/>
      <c r="HZW243" s="478"/>
      <c r="HZX243" s="478"/>
      <c r="HZY243" s="478"/>
      <c r="HZZ243" s="478"/>
      <c r="IAA243" s="478"/>
      <c r="IAB243" s="478"/>
      <c r="IAC243" s="478"/>
      <c r="IAD243" s="478"/>
      <c r="IAE243" s="478"/>
      <c r="IAF243" s="478"/>
      <c r="IAG243" s="478"/>
      <c r="IAH243" s="478"/>
      <c r="IAI243" s="478"/>
      <c r="IAJ243" s="478"/>
      <c r="IAK243" s="478"/>
      <c r="IAL243" s="478"/>
      <c r="IAM243" s="478"/>
      <c r="IAN243" s="478"/>
      <c r="IAO243" s="478"/>
      <c r="IAP243" s="478"/>
      <c r="IAQ243" s="478"/>
      <c r="IAR243" s="478"/>
      <c r="IAS243" s="478"/>
      <c r="IAT243" s="478"/>
      <c r="IAU243" s="478"/>
      <c r="IAV243" s="478"/>
      <c r="IAW243" s="478"/>
      <c r="IAX243" s="478"/>
      <c r="IAY243" s="478"/>
      <c r="IAZ243" s="478"/>
      <c r="IBA243" s="478"/>
      <c r="IBB243" s="478"/>
      <c r="IBC243" s="478"/>
      <c r="IBD243" s="478"/>
      <c r="IBE243" s="478"/>
      <c r="IBF243" s="478"/>
      <c r="IBG243" s="478"/>
      <c r="IBH243" s="478"/>
      <c r="IBI243" s="478"/>
      <c r="IBJ243" s="478"/>
      <c r="IBK243" s="478"/>
      <c r="IBL243" s="478"/>
      <c r="IBM243" s="478"/>
      <c r="IBN243" s="478"/>
      <c r="IBO243" s="478"/>
      <c r="IBP243" s="478"/>
      <c r="IBQ243" s="478"/>
      <c r="IBR243" s="478"/>
      <c r="IBS243" s="478"/>
      <c r="IBT243" s="478"/>
      <c r="IBU243" s="478"/>
      <c r="IBV243" s="478"/>
      <c r="IBW243" s="478"/>
      <c r="IBX243" s="478"/>
      <c r="IBY243" s="478"/>
      <c r="IBZ243" s="478"/>
      <c r="ICA243" s="478"/>
      <c r="ICB243" s="478"/>
      <c r="ICC243" s="478"/>
      <c r="ICD243" s="478"/>
      <c r="ICE243" s="478"/>
      <c r="ICF243" s="478"/>
      <c r="ICG243" s="478"/>
      <c r="ICH243" s="478"/>
      <c r="ICI243" s="478"/>
      <c r="ICJ243" s="478"/>
      <c r="ICK243" s="478"/>
      <c r="ICL243" s="478"/>
      <c r="ICM243" s="478"/>
      <c r="ICN243" s="478"/>
      <c r="ICO243" s="478"/>
      <c r="ICP243" s="478"/>
      <c r="ICQ243" s="478"/>
      <c r="ICR243" s="478"/>
      <c r="ICS243" s="478"/>
      <c r="ICT243" s="478"/>
      <c r="ICU243" s="478"/>
      <c r="ICV243" s="478"/>
      <c r="ICW243" s="478"/>
      <c r="ICX243" s="478"/>
      <c r="ICY243" s="478"/>
      <c r="ICZ243" s="478"/>
      <c r="IDA243" s="478"/>
      <c r="IDB243" s="478"/>
      <c r="IDC243" s="478"/>
      <c r="IDD243" s="478"/>
      <c r="IDE243" s="478"/>
      <c r="IDF243" s="478"/>
      <c r="IDG243" s="478"/>
      <c r="IDH243" s="478"/>
      <c r="IDI243" s="478"/>
      <c r="IDJ243" s="478"/>
      <c r="IDK243" s="478"/>
      <c r="IDL243" s="478"/>
      <c r="IDM243" s="478"/>
      <c r="IDN243" s="478"/>
      <c r="IDO243" s="478"/>
      <c r="IDP243" s="478"/>
      <c r="IDQ243" s="478"/>
      <c r="IDR243" s="478"/>
      <c r="IDS243" s="478"/>
      <c r="IDT243" s="478"/>
      <c r="IDU243" s="478"/>
      <c r="IDV243" s="478"/>
      <c r="IDW243" s="478"/>
      <c r="IDX243" s="478"/>
      <c r="IDY243" s="478"/>
      <c r="IDZ243" s="478"/>
      <c r="IEA243" s="478"/>
      <c r="IEB243" s="478"/>
      <c r="IEC243" s="478"/>
      <c r="IED243" s="478"/>
      <c r="IEE243" s="478"/>
      <c r="IEF243" s="478"/>
      <c r="IEG243" s="478"/>
      <c r="IEH243" s="478"/>
      <c r="IEI243" s="478"/>
      <c r="IEJ243" s="478"/>
      <c r="IEK243" s="478"/>
      <c r="IEL243" s="478"/>
      <c r="IEM243" s="478"/>
      <c r="IEN243" s="478"/>
      <c r="IEO243" s="478"/>
      <c r="IEP243" s="478"/>
      <c r="IEQ243" s="478"/>
      <c r="IER243" s="478"/>
      <c r="IES243" s="478"/>
      <c r="IET243" s="478"/>
      <c r="IEU243" s="478"/>
      <c r="IEV243" s="478"/>
      <c r="IEW243" s="478"/>
      <c r="IEX243" s="478"/>
      <c r="IEY243" s="478"/>
      <c r="IEZ243" s="478"/>
      <c r="IFA243" s="478"/>
      <c r="IFB243" s="478"/>
      <c r="IFC243" s="478"/>
      <c r="IFD243" s="478"/>
      <c r="IFE243" s="478"/>
      <c r="IFF243" s="478"/>
      <c r="IFG243" s="478"/>
      <c r="IFH243" s="478"/>
      <c r="IFI243" s="478"/>
      <c r="IFJ243" s="478"/>
      <c r="IFK243" s="478"/>
      <c r="IFL243" s="478"/>
      <c r="IFM243" s="478"/>
      <c r="IFN243" s="478"/>
      <c r="IFO243" s="478"/>
      <c r="IFP243" s="478"/>
      <c r="IFQ243" s="478"/>
      <c r="IFR243" s="478"/>
      <c r="IFS243" s="478"/>
      <c r="IFT243" s="478"/>
      <c r="IFU243" s="478"/>
      <c r="IFV243" s="478"/>
      <c r="IFW243" s="478"/>
      <c r="IFX243" s="478"/>
      <c r="IFY243" s="478"/>
      <c r="IFZ243" s="478"/>
      <c r="IGA243" s="478"/>
      <c r="IGB243" s="478"/>
      <c r="IGC243" s="478"/>
      <c r="IGD243" s="478"/>
      <c r="IGE243" s="478"/>
      <c r="IGF243" s="478"/>
      <c r="IGG243" s="478"/>
      <c r="IGH243" s="478"/>
      <c r="IGI243" s="478"/>
      <c r="IGJ243" s="478"/>
      <c r="IGK243" s="478"/>
      <c r="IGL243" s="478"/>
      <c r="IGM243" s="478"/>
      <c r="IGN243" s="478"/>
      <c r="IGO243" s="478"/>
      <c r="IGP243" s="478"/>
      <c r="IGQ243" s="478"/>
      <c r="IGR243" s="478"/>
      <c r="IGS243" s="478"/>
      <c r="IGT243" s="478"/>
      <c r="IGU243" s="478"/>
      <c r="IGV243" s="478"/>
      <c r="IGW243" s="478"/>
      <c r="IGX243" s="478"/>
      <c r="IGY243" s="478"/>
      <c r="IGZ243" s="478"/>
      <c r="IHA243" s="478"/>
      <c r="IHB243" s="478"/>
      <c r="IHC243" s="478"/>
      <c r="IHD243" s="478"/>
      <c r="IHE243" s="478"/>
      <c r="IHF243" s="478"/>
      <c r="IHG243" s="478"/>
      <c r="IHH243" s="478"/>
      <c r="IHI243" s="478"/>
      <c r="IHJ243" s="478"/>
      <c r="IHK243" s="478"/>
      <c r="IHL243" s="478"/>
      <c r="IHM243" s="478"/>
      <c r="IHN243" s="478"/>
      <c r="IHO243" s="478"/>
      <c r="IHP243" s="478"/>
      <c r="IHQ243" s="478"/>
      <c r="IHR243" s="478"/>
      <c r="IHS243" s="478"/>
      <c r="IHT243" s="478"/>
      <c r="IHU243" s="478"/>
      <c r="IHV243" s="478"/>
      <c r="IHW243" s="478"/>
      <c r="IHX243" s="478"/>
      <c r="IHY243" s="478"/>
      <c r="IHZ243" s="478"/>
      <c r="IIA243" s="478"/>
      <c r="IIB243" s="478"/>
      <c r="IIC243" s="478"/>
      <c r="IID243" s="478"/>
      <c r="IIE243" s="478"/>
      <c r="IIF243" s="478"/>
      <c r="IIG243" s="478"/>
      <c r="IIH243" s="478"/>
      <c r="III243" s="478"/>
      <c r="IIJ243" s="478"/>
      <c r="IIK243" s="478"/>
      <c r="IIL243" s="478"/>
      <c r="IIM243" s="478"/>
      <c r="IIN243" s="478"/>
      <c r="IIO243" s="478"/>
      <c r="IIP243" s="478"/>
      <c r="IIQ243" s="478"/>
      <c r="IIR243" s="478"/>
      <c r="IIS243" s="478"/>
      <c r="IIT243" s="478"/>
      <c r="IIU243" s="478"/>
      <c r="IIV243" s="478"/>
      <c r="IIW243" s="478"/>
      <c r="IIX243" s="478"/>
      <c r="IIY243" s="478"/>
      <c r="IIZ243" s="478"/>
      <c r="IJA243" s="478"/>
      <c r="IJB243" s="478"/>
      <c r="IJC243" s="478"/>
      <c r="IJD243" s="478"/>
      <c r="IJE243" s="478"/>
      <c r="IJF243" s="478"/>
      <c r="IJG243" s="478"/>
      <c r="IJH243" s="478"/>
      <c r="IJI243" s="478"/>
      <c r="IJJ243" s="478"/>
      <c r="IJK243" s="478"/>
      <c r="IJL243" s="478"/>
      <c r="IJM243" s="478"/>
      <c r="IJN243" s="478"/>
      <c r="IJO243" s="478"/>
      <c r="IJP243" s="478"/>
      <c r="IJQ243" s="478"/>
      <c r="IJR243" s="478"/>
      <c r="IJS243" s="478"/>
      <c r="IJT243" s="478"/>
      <c r="IJU243" s="478"/>
      <c r="IJV243" s="478"/>
      <c r="IJW243" s="478"/>
      <c r="IJX243" s="478"/>
      <c r="IJY243" s="478"/>
      <c r="IJZ243" s="478"/>
      <c r="IKA243" s="478"/>
      <c r="IKB243" s="478"/>
      <c r="IKC243" s="478"/>
      <c r="IKD243" s="478"/>
      <c r="IKE243" s="478"/>
      <c r="IKF243" s="478"/>
      <c r="IKG243" s="478"/>
      <c r="IKH243" s="478"/>
      <c r="IKI243" s="478"/>
      <c r="IKJ243" s="478"/>
      <c r="IKK243" s="478"/>
      <c r="IKL243" s="478"/>
      <c r="IKM243" s="478"/>
      <c r="IKN243" s="478"/>
      <c r="IKO243" s="478"/>
      <c r="IKP243" s="478"/>
      <c r="IKQ243" s="478"/>
      <c r="IKR243" s="478"/>
      <c r="IKS243" s="478"/>
      <c r="IKT243" s="478"/>
      <c r="IKU243" s="478"/>
      <c r="IKV243" s="478"/>
      <c r="IKW243" s="478"/>
      <c r="IKX243" s="478"/>
      <c r="IKY243" s="478"/>
      <c r="IKZ243" s="478"/>
      <c r="ILA243" s="478"/>
      <c r="ILB243" s="478"/>
      <c r="ILC243" s="478"/>
      <c r="ILD243" s="478"/>
      <c r="ILE243" s="478"/>
      <c r="ILF243" s="478"/>
      <c r="ILG243" s="478"/>
      <c r="ILH243" s="478"/>
      <c r="ILI243" s="478"/>
      <c r="ILJ243" s="478"/>
      <c r="ILK243" s="478"/>
      <c r="ILL243" s="478"/>
      <c r="ILM243" s="478"/>
      <c r="ILN243" s="478"/>
      <c r="ILO243" s="478"/>
      <c r="ILP243" s="478"/>
      <c r="ILQ243" s="478"/>
      <c r="ILR243" s="478"/>
      <c r="ILS243" s="478"/>
      <c r="ILT243" s="478"/>
      <c r="ILU243" s="478"/>
      <c r="ILV243" s="478"/>
      <c r="ILW243" s="478"/>
      <c r="ILX243" s="478"/>
      <c r="ILY243" s="478"/>
      <c r="ILZ243" s="478"/>
      <c r="IMA243" s="478"/>
      <c r="IMB243" s="478"/>
      <c r="IMC243" s="478"/>
      <c r="IMD243" s="478"/>
      <c r="IME243" s="478"/>
      <c r="IMF243" s="478"/>
      <c r="IMG243" s="478"/>
      <c r="IMH243" s="478"/>
      <c r="IMI243" s="478"/>
      <c r="IMJ243" s="478"/>
      <c r="IMK243" s="478"/>
      <c r="IML243" s="478"/>
      <c r="IMM243" s="478"/>
      <c r="IMN243" s="478"/>
      <c r="IMO243" s="478"/>
      <c r="IMP243" s="478"/>
      <c r="IMQ243" s="478"/>
      <c r="IMR243" s="478"/>
      <c r="IMS243" s="478"/>
      <c r="IMT243" s="478"/>
      <c r="IMU243" s="478"/>
      <c r="IMV243" s="478"/>
      <c r="IMW243" s="478"/>
      <c r="IMX243" s="478"/>
      <c r="IMY243" s="478"/>
      <c r="IMZ243" s="478"/>
      <c r="INA243" s="478"/>
      <c r="INB243" s="478"/>
      <c r="INC243" s="478"/>
      <c r="IND243" s="478"/>
      <c r="INE243" s="478"/>
      <c r="INF243" s="478"/>
      <c r="ING243" s="478"/>
      <c r="INH243" s="478"/>
      <c r="INI243" s="478"/>
      <c r="INJ243" s="478"/>
      <c r="INK243" s="478"/>
      <c r="INL243" s="478"/>
      <c r="INM243" s="478"/>
      <c r="INN243" s="478"/>
      <c r="INO243" s="478"/>
      <c r="INP243" s="478"/>
      <c r="INQ243" s="478"/>
      <c r="INR243" s="478"/>
      <c r="INS243" s="478"/>
      <c r="INT243" s="478"/>
      <c r="INU243" s="478"/>
      <c r="INV243" s="478"/>
      <c r="INW243" s="478"/>
      <c r="INX243" s="478"/>
      <c r="INY243" s="478"/>
      <c r="INZ243" s="478"/>
      <c r="IOA243" s="478"/>
      <c r="IOB243" s="478"/>
      <c r="IOC243" s="478"/>
      <c r="IOD243" s="478"/>
      <c r="IOE243" s="478"/>
      <c r="IOF243" s="478"/>
      <c r="IOG243" s="478"/>
      <c r="IOH243" s="478"/>
      <c r="IOI243" s="478"/>
      <c r="IOJ243" s="478"/>
      <c r="IOK243" s="478"/>
      <c r="IOL243" s="478"/>
      <c r="IOM243" s="478"/>
      <c r="ION243" s="478"/>
      <c r="IOO243" s="478"/>
      <c r="IOP243" s="478"/>
      <c r="IOQ243" s="478"/>
      <c r="IOR243" s="478"/>
      <c r="IOS243" s="478"/>
      <c r="IOT243" s="478"/>
      <c r="IOU243" s="478"/>
      <c r="IOV243" s="478"/>
      <c r="IOW243" s="478"/>
      <c r="IOX243" s="478"/>
      <c r="IOY243" s="478"/>
      <c r="IOZ243" s="478"/>
      <c r="IPA243" s="478"/>
      <c r="IPB243" s="478"/>
      <c r="IPC243" s="478"/>
      <c r="IPD243" s="478"/>
      <c r="IPE243" s="478"/>
      <c r="IPF243" s="478"/>
      <c r="IPG243" s="478"/>
      <c r="IPH243" s="478"/>
      <c r="IPI243" s="478"/>
      <c r="IPJ243" s="478"/>
      <c r="IPK243" s="478"/>
      <c r="IPL243" s="478"/>
      <c r="IPM243" s="478"/>
      <c r="IPN243" s="478"/>
      <c r="IPO243" s="478"/>
      <c r="IPP243" s="478"/>
      <c r="IPQ243" s="478"/>
      <c r="IPR243" s="478"/>
      <c r="IPS243" s="478"/>
      <c r="IPT243" s="478"/>
      <c r="IPU243" s="478"/>
      <c r="IPV243" s="478"/>
      <c r="IPW243" s="478"/>
      <c r="IPX243" s="478"/>
      <c r="IPY243" s="478"/>
      <c r="IPZ243" s="478"/>
      <c r="IQA243" s="478"/>
      <c r="IQB243" s="478"/>
      <c r="IQC243" s="478"/>
      <c r="IQD243" s="478"/>
      <c r="IQE243" s="478"/>
      <c r="IQF243" s="478"/>
      <c r="IQG243" s="478"/>
      <c r="IQH243" s="478"/>
      <c r="IQI243" s="478"/>
      <c r="IQJ243" s="478"/>
      <c r="IQK243" s="478"/>
      <c r="IQL243" s="478"/>
      <c r="IQM243" s="478"/>
      <c r="IQN243" s="478"/>
      <c r="IQO243" s="478"/>
      <c r="IQP243" s="478"/>
      <c r="IQQ243" s="478"/>
      <c r="IQR243" s="478"/>
      <c r="IQS243" s="478"/>
      <c r="IQT243" s="478"/>
      <c r="IQU243" s="478"/>
      <c r="IQV243" s="478"/>
      <c r="IQW243" s="478"/>
      <c r="IQX243" s="478"/>
      <c r="IQY243" s="478"/>
      <c r="IQZ243" s="478"/>
      <c r="IRA243" s="478"/>
      <c r="IRB243" s="478"/>
      <c r="IRC243" s="478"/>
      <c r="IRD243" s="478"/>
      <c r="IRE243" s="478"/>
      <c r="IRF243" s="478"/>
      <c r="IRG243" s="478"/>
      <c r="IRH243" s="478"/>
      <c r="IRI243" s="478"/>
      <c r="IRJ243" s="478"/>
      <c r="IRK243" s="478"/>
      <c r="IRL243" s="478"/>
      <c r="IRM243" s="478"/>
      <c r="IRN243" s="478"/>
      <c r="IRO243" s="478"/>
      <c r="IRP243" s="478"/>
      <c r="IRQ243" s="478"/>
      <c r="IRR243" s="478"/>
      <c r="IRS243" s="478"/>
      <c r="IRT243" s="478"/>
      <c r="IRU243" s="478"/>
      <c r="IRV243" s="478"/>
      <c r="IRW243" s="478"/>
      <c r="IRX243" s="478"/>
      <c r="IRY243" s="478"/>
      <c r="IRZ243" s="478"/>
      <c r="ISA243" s="478"/>
      <c r="ISB243" s="478"/>
      <c r="ISC243" s="478"/>
      <c r="ISD243" s="478"/>
      <c r="ISE243" s="478"/>
      <c r="ISF243" s="478"/>
      <c r="ISG243" s="478"/>
      <c r="ISH243" s="478"/>
      <c r="ISI243" s="478"/>
      <c r="ISJ243" s="478"/>
      <c r="ISK243" s="478"/>
      <c r="ISL243" s="478"/>
      <c r="ISM243" s="478"/>
      <c r="ISN243" s="478"/>
      <c r="ISO243" s="478"/>
      <c r="ISP243" s="478"/>
      <c r="ISQ243" s="478"/>
      <c r="ISR243" s="478"/>
      <c r="ISS243" s="478"/>
      <c r="IST243" s="478"/>
      <c r="ISU243" s="478"/>
      <c r="ISV243" s="478"/>
      <c r="ISW243" s="478"/>
      <c r="ISX243" s="478"/>
      <c r="ISY243" s="478"/>
      <c r="ISZ243" s="478"/>
      <c r="ITA243" s="478"/>
      <c r="ITB243" s="478"/>
      <c r="ITC243" s="478"/>
      <c r="ITD243" s="478"/>
      <c r="ITE243" s="478"/>
      <c r="ITF243" s="478"/>
      <c r="ITG243" s="478"/>
      <c r="ITH243" s="478"/>
      <c r="ITI243" s="478"/>
      <c r="ITJ243" s="478"/>
      <c r="ITK243" s="478"/>
      <c r="ITL243" s="478"/>
      <c r="ITM243" s="478"/>
      <c r="ITN243" s="478"/>
      <c r="ITO243" s="478"/>
      <c r="ITP243" s="478"/>
      <c r="ITQ243" s="478"/>
      <c r="ITR243" s="478"/>
      <c r="ITS243" s="478"/>
      <c r="ITT243" s="478"/>
      <c r="ITU243" s="478"/>
      <c r="ITV243" s="478"/>
      <c r="ITW243" s="478"/>
      <c r="ITX243" s="478"/>
      <c r="ITY243" s="478"/>
      <c r="ITZ243" s="478"/>
      <c r="IUA243" s="478"/>
      <c r="IUB243" s="478"/>
      <c r="IUC243" s="478"/>
      <c r="IUD243" s="478"/>
      <c r="IUE243" s="478"/>
      <c r="IUF243" s="478"/>
      <c r="IUG243" s="478"/>
      <c r="IUH243" s="478"/>
      <c r="IUI243" s="478"/>
      <c r="IUJ243" s="478"/>
      <c r="IUK243" s="478"/>
      <c r="IUL243" s="478"/>
      <c r="IUM243" s="478"/>
      <c r="IUN243" s="478"/>
      <c r="IUO243" s="478"/>
      <c r="IUP243" s="478"/>
      <c r="IUQ243" s="478"/>
      <c r="IUR243" s="478"/>
      <c r="IUS243" s="478"/>
      <c r="IUT243" s="478"/>
      <c r="IUU243" s="478"/>
      <c r="IUV243" s="478"/>
      <c r="IUW243" s="478"/>
      <c r="IUX243" s="478"/>
      <c r="IUY243" s="478"/>
      <c r="IUZ243" s="478"/>
      <c r="IVA243" s="478"/>
      <c r="IVB243" s="478"/>
      <c r="IVC243" s="478"/>
      <c r="IVD243" s="478"/>
      <c r="IVE243" s="478"/>
      <c r="IVF243" s="478"/>
      <c r="IVG243" s="478"/>
      <c r="IVH243" s="478"/>
      <c r="IVI243" s="478"/>
      <c r="IVJ243" s="478"/>
      <c r="IVK243" s="478"/>
      <c r="IVL243" s="478"/>
      <c r="IVM243" s="478"/>
      <c r="IVN243" s="478"/>
      <c r="IVO243" s="478"/>
      <c r="IVP243" s="478"/>
      <c r="IVQ243" s="478"/>
      <c r="IVR243" s="478"/>
      <c r="IVS243" s="478"/>
      <c r="IVT243" s="478"/>
      <c r="IVU243" s="478"/>
      <c r="IVV243" s="478"/>
      <c r="IVW243" s="478"/>
      <c r="IVX243" s="478"/>
      <c r="IVY243" s="478"/>
      <c r="IVZ243" s="478"/>
      <c r="IWA243" s="478"/>
      <c r="IWB243" s="478"/>
      <c r="IWC243" s="478"/>
      <c r="IWD243" s="478"/>
      <c r="IWE243" s="478"/>
      <c r="IWF243" s="478"/>
      <c r="IWG243" s="478"/>
      <c r="IWH243" s="478"/>
      <c r="IWI243" s="478"/>
      <c r="IWJ243" s="478"/>
      <c r="IWK243" s="478"/>
      <c r="IWL243" s="478"/>
      <c r="IWM243" s="478"/>
      <c r="IWN243" s="478"/>
      <c r="IWO243" s="478"/>
      <c r="IWP243" s="478"/>
      <c r="IWQ243" s="478"/>
      <c r="IWR243" s="478"/>
      <c r="IWS243" s="478"/>
      <c r="IWT243" s="478"/>
      <c r="IWU243" s="478"/>
      <c r="IWV243" s="478"/>
      <c r="IWW243" s="478"/>
      <c r="IWX243" s="478"/>
      <c r="IWY243" s="478"/>
      <c r="IWZ243" s="478"/>
      <c r="IXA243" s="478"/>
      <c r="IXB243" s="478"/>
      <c r="IXC243" s="478"/>
      <c r="IXD243" s="478"/>
      <c r="IXE243" s="478"/>
      <c r="IXF243" s="478"/>
      <c r="IXG243" s="478"/>
      <c r="IXH243" s="478"/>
      <c r="IXI243" s="478"/>
      <c r="IXJ243" s="478"/>
      <c r="IXK243" s="478"/>
      <c r="IXL243" s="478"/>
      <c r="IXM243" s="478"/>
      <c r="IXN243" s="478"/>
      <c r="IXO243" s="478"/>
      <c r="IXP243" s="478"/>
      <c r="IXQ243" s="478"/>
      <c r="IXR243" s="478"/>
      <c r="IXS243" s="478"/>
      <c r="IXT243" s="478"/>
      <c r="IXU243" s="478"/>
      <c r="IXV243" s="478"/>
      <c r="IXW243" s="478"/>
      <c r="IXX243" s="478"/>
      <c r="IXY243" s="478"/>
      <c r="IXZ243" s="478"/>
      <c r="IYA243" s="478"/>
      <c r="IYB243" s="478"/>
      <c r="IYC243" s="478"/>
      <c r="IYD243" s="478"/>
      <c r="IYE243" s="478"/>
      <c r="IYF243" s="478"/>
      <c r="IYG243" s="478"/>
      <c r="IYH243" s="478"/>
      <c r="IYI243" s="478"/>
      <c r="IYJ243" s="478"/>
      <c r="IYK243" s="478"/>
      <c r="IYL243" s="478"/>
      <c r="IYM243" s="478"/>
      <c r="IYN243" s="478"/>
      <c r="IYO243" s="478"/>
      <c r="IYP243" s="478"/>
      <c r="IYQ243" s="478"/>
      <c r="IYR243" s="478"/>
      <c r="IYS243" s="478"/>
      <c r="IYT243" s="478"/>
      <c r="IYU243" s="478"/>
      <c r="IYV243" s="478"/>
      <c r="IYW243" s="478"/>
      <c r="IYX243" s="478"/>
      <c r="IYY243" s="478"/>
      <c r="IYZ243" s="478"/>
      <c r="IZA243" s="478"/>
      <c r="IZB243" s="478"/>
      <c r="IZC243" s="478"/>
      <c r="IZD243" s="478"/>
      <c r="IZE243" s="478"/>
      <c r="IZF243" s="478"/>
      <c r="IZG243" s="478"/>
      <c r="IZH243" s="478"/>
      <c r="IZI243" s="478"/>
      <c r="IZJ243" s="478"/>
      <c r="IZK243" s="478"/>
      <c r="IZL243" s="478"/>
      <c r="IZM243" s="478"/>
      <c r="IZN243" s="478"/>
      <c r="IZO243" s="478"/>
      <c r="IZP243" s="478"/>
      <c r="IZQ243" s="478"/>
      <c r="IZR243" s="478"/>
      <c r="IZS243" s="478"/>
      <c r="IZT243" s="478"/>
      <c r="IZU243" s="478"/>
      <c r="IZV243" s="478"/>
      <c r="IZW243" s="478"/>
      <c r="IZX243" s="478"/>
      <c r="IZY243" s="478"/>
      <c r="IZZ243" s="478"/>
      <c r="JAA243" s="478"/>
      <c r="JAB243" s="478"/>
      <c r="JAC243" s="478"/>
      <c r="JAD243" s="478"/>
      <c r="JAE243" s="478"/>
      <c r="JAF243" s="478"/>
      <c r="JAG243" s="478"/>
      <c r="JAH243" s="478"/>
      <c r="JAI243" s="478"/>
      <c r="JAJ243" s="478"/>
      <c r="JAK243" s="478"/>
      <c r="JAL243" s="478"/>
      <c r="JAM243" s="478"/>
      <c r="JAN243" s="478"/>
      <c r="JAO243" s="478"/>
      <c r="JAP243" s="478"/>
      <c r="JAQ243" s="478"/>
      <c r="JAR243" s="478"/>
      <c r="JAS243" s="478"/>
      <c r="JAT243" s="478"/>
      <c r="JAU243" s="478"/>
      <c r="JAV243" s="478"/>
      <c r="JAW243" s="478"/>
      <c r="JAX243" s="478"/>
      <c r="JAY243" s="478"/>
      <c r="JAZ243" s="478"/>
      <c r="JBA243" s="478"/>
      <c r="JBB243" s="478"/>
      <c r="JBC243" s="478"/>
      <c r="JBD243" s="478"/>
      <c r="JBE243" s="478"/>
      <c r="JBF243" s="478"/>
      <c r="JBG243" s="478"/>
      <c r="JBH243" s="478"/>
      <c r="JBI243" s="478"/>
      <c r="JBJ243" s="478"/>
      <c r="JBK243" s="478"/>
      <c r="JBL243" s="478"/>
      <c r="JBM243" s="478"/>
      <c r="JBN243" s="478"/>
      <c r="JBO243" s="478"/>
      <c r="JBP243" s="478"/>
      <c r="JBQ243" s="478"/>
      <c r="JBR243" s="478"/>
      <c r="JBS243" s="478"/>
      <c r="JBT243" s="478"/>
      <c r="JBU243" s="478"/>
      <c r="JBV243" s="478"/>
      <c r="JBW243" s="478"/>
      <c r="JBX243" s="478"/>
      <c r="JBY243" s="478"/>
      <c r="JBZ243" s="478"/>
      <c r="JCA243" s="478"/>
      <c r="JCB243" s="478"/>
      <c r="JCC243" s="478"/>
      <c r="JCD243" s="478"/>
      <c r="JCE243" s="478"/>
      <c r="JCF243" s="478"/>
      <c r="JCG243" s="478"/>
      <c r="JCH243" s="478"/>
      <c r="JCI243" s="478"/>
      <c r="JCJ243" s="478"/>
      <c r="JCK243" s="478"/>
      <c r="JCL243" s="478"/>
      <c r="JCM243" s="478"/>
      <c r="JCN243" s="478"/>
      <c r="JCO243" s="478"/>
      <c r="JCP243" s="478"/>
      <c r="JCQ243" s="478"/>
      <c r="JCR243" s="478"/>
      <c r="JCS243" s="478"/>
      <c r="JCT243" s="478"/>
      <c r="JCU243" s="478"/>
      <c r="JCV243" s="478"/>
      <c r="JCW243" s="478"/>
      <c r="JCX243" s="478"/>
      <c r="JCY243" s="478"/>
      <c r="JCZ243" s="478"/>
      <c r="JDA243" s="478"/>
      <c r="JDB243" s="478"/>
      <c r="JDC243" s="478"/>
      <c r="JDD243" s="478"/>
      <c r="JDE243" s="478"/>
      <c r="JDF243" s="478"/>
      <c r="JDG243" s="478"/>
      <c r="JDH243" s="478"/>
      <c r="JDI243" s="478"/>
      <c r="JDJ243" s="478"/>
      <c r="JDK243" s="478"/>
      <c r="JDL243" s="478"/>
      <c r="JDM243" s="478"/>
      <c r="JDN243" s="478"/>
      <c r="JDO243" s="478"/>
      <c r="JDP243" s="478"/>
      <c r="JDQ243" s="478"/>
      <c r="JDR243" s="478"/>
      <c r="JDS243" s="478"/>
      <c r="JDT243" s="478"/>
      <c r="JDU243" s="478"/>
      <c r="JDV243" s="478"/>
      <c r="JDW243" s="478"/>
      <c r="JDX243" s="478"/>
      <c r="JDY243" s="478"/>
      <c r="JDZ243" s="478"/>
      <c r="JEA243" s="478"/>
      <c r="JEB243" s="478"/>
      <c r="JEC243" s="478"/>
      <c r="JED243" s="478"/>
      <c r="JEE243" s="478"/>
      <c r="JEF243" s="478"/>
      <c r="JEG243" s="478"/>
      <c r="JEH243" s="478"/>
      <c r="JEI243" s="478"/>
      <c r="JEJ243" s="478"/>
      <c r="JEK243" s="478"/>
      <c r="JEL243" s="478"/>
      <c r="JEM243" s="478"/>
      <c r="JEN243" s="478"/>
      <c r="JEO243" s="478"/>
      <c r="JEP243" s="478"/>
      <c r="JEQ243" s="478"/>
      <c r="JER243" s="478"/>
      <c r="JES243" s="478"/>
      <c r="JET243" s="478"/>
      <c r="JEU243" s="478"/>
      <c r="JEV243" s="478"/>
      <c r="JEW243" s="478"/>
      <c r="JEX243" s="478"/>
      <c r="JEY243" s="478"/>
      <c r="JEZ243" s="478"/>
      <c r="JFA243" s="478"/>
      <c r="JFB243" s="478"/>
      <c r="JFC243" s="478"/>
      <c r="JFD243" s="478"/>
      <c r="JFE243" s="478"/>
      <c r="JFF243" s="478"/>
      <c r="JFG243" s="478"/>
      <c r="JFH243" s="478"/>
      <c r="JFI243" s="478"/>
      <c r="JFJ243" s="478"/>
      <c r="JFK243" s="478"/>
      <c r="JFL243" s="478"/>
      <c r="JFM243" s="478"/>
      <c r="JFN243" s="478"/>
      <c r="JFO243" s="478"/>
      <c r="JFP243" s="478"/>
      <c r="JFQ243" s="478"/>
      <c r="JFR243" s="478"/>
      <c r="JFS243" s="478"/>
      <c r="JFT243" s="478"/>
      <c r="JFU243" s="478"/>
      <c r="JFV243" s="478"/>
      <c r="JFW243" s="478"/>
      <c r="JFX243" s="478"/>
      <c r="JFY243" s="478"/>
      <c r="JFZ243" s="478"/>
      <c r="JGA243" s="478"/>
      <c r="JGB243" s="478"/>
      <c r="JGC243" s="478"/>
      <c r="JGD243" s="478"/>
      <c r="JGE243" s="478"/>
      <c r="JGF243" s="478"/>
      <c r="JGG243" s="478"/>
      <c r="JGH243" s="478"/>
      <c r="JGI243" s="478"/>
      <c r="JGJ243" s="478"/>
      <c r="JGK243" s="478"/>
      <c r="JGL243" s="478"/>
      <c r="JGM243" s="478"/>
      <c r="JGN243" s="478"/>
      <c r="JGO243" s="478"/>
      <c r="JGP243" s="478"/>
      <c r="JGQ243" s="478"/>
      <c r="JGR243" s="478"/>
      <c r="JGS243" s="478"/>
      <c r="JGT243" s="478"/>
      <c r="JGU243" s="478"/>
      <c r="JGV243" s="478"/>
      <c r="JGW243" s="478"/>
      <c r="JGX243" s="478"/>
      <c r="JGY243" s="478"/>
      <c r="JGZ243" s="478"/>
      <c r="JHA243" s="478"/>
      <c r="JHB243" s="478"/>
      <c r="JHC243" s="478"/>
      <c r="JHD243" s="478"/>
      <c r="JHE243" s="478"/>
      <c r="JHF243" s="478"/>
      <c r="JHG243" s="478"/>
      <c r="JHH243" s="478"/>
      <c r="JHI243" s="478"/>
      <c r="JHJ243" s="478"/>
      <c r="JHK243" s="478"/>
      <c r="JHL243" s="478"/>
      <c r="JHM243" s="478"/>
      <c r="JHN243" s="478"/>
      <c r="JHO243" s="478"/>
      <c r="JHP243" s="478"/>
      <c r="JHQ243" s="478"/>
      <c r="JHR243" s="478"/>
      <c r="JHS243" s="478"/>
      <c r="JHT243" s="478"/>
      <c r="JHU243" s="478"/>
      <c r="JHV243" s="478"/>
      <c r="JHW243" s="478"/>
      <c r="JHX243" s="478"/>
      <c r="JHY243" s="478"/>
      <c r="JHZ243" s="478"/>
      <c r="JIA243" s="478"/>
      <c r="JIB243" s="478"/>
      <c r="JIC243" s="478"/>
      <c r="JID243" s="478"/>
      <c r="JIE243" s="478"/>
      <c r="JIF243" s="478"/>
      <c r="JIG243" s="478"/>
      <c r="JIH243" s="478"/>
      <c r="JII243" s="478"/>
      <c r="JIJ243" s="478"/>
      <c r="JIK243" s="478"/>
      <c r="JIL243" s="478"/>
      <c r="JIM243" s="478"/>
      <c r="JIN243" s="478"/>
      <c r="JIO243" s="478"/>
      <c r="JIP243" s="478"/>
      <c r="JIQ243" s="478"/>
      <c r="JIR243" s="478"/>
      <c r="JIS243" s="478"/>
      <c r="JIT243" s="478"/>
      <c r="JIU243" s="478"/>
      <c r="JIV243" s="478"/>
      <c r="JIW243" s="478"/>
      <c r="JIX243" s="478"/>
      <c r="JIY243" s="478"/>
      <c r="JIZ243" s="478"/>
      <c r="JJA243" s="478"/>
      <c r="JJB243" s="478"/>
      <c r="JJC243" s="478"/>
      <c r="JJD243" s="478"/>
      <c r="JJE243" s="478"/>
      <c r="JJF243" s="478"/>
      <c r="JJG243" s="478"/>
      <c r="JJH243" s="478"/>
      <c r="JJI243" s="478"/>
      <c r="JJJ243" s="478"/>
      <c r="JJK243" s="478"/>
      <c r="JJL243" s="478"/>
      <c r="JJM243" s="478"/>
      <c r="JJN243" s="478"/>
      <c r="JJO243" s="478"/>
      <c r="JJP243" s="478"/>
      <c r="JJQ243" s="478"/>
      <c r="JJR243" s="478"/>
      <c r="JJS243" s="478"/>
      <c r="JJT243" s="478"/>
      <c r="JJU243" s="478"/>
      <c r="JJV243" s="478"/>
      <c r="JJW243" s="478"/>
      <c r="JJX243" s="478"/>
      <c r="JJY243" s="478"/>
      <c r="JJZ243" s="478"/>
      <c r="JKA243" s="478"/>
      <c r="JKB243" s="478"/>
      <c r="JKC243" s="478"/>
      <c r="JKD243" s="478"/>
      <c r="JKE243" s="478"/>
      <c r="JKF243" s="478"/>
      <c r="JKG243" s="478"/>
      <c r="JKH243" s="478"/>
      <c r="JKI243" s="478"/>
      <c r="JKJ243" s="478"/>
      <c r="JKK243" s="478"/>
      <c r="JKL243" s="478"/>
      <c r="JKM243" s="478"/>
      <c r="JKN243" s="478"/>
      <c r="JKO243" s="478"/>
      <c r="JKP243" s="478"/>
      <c r="JKQ243" s="478"/>
      <c r="JKR243" s="478"/>
      <c r="JKS243" s="478"/>
      <c r="JKT243" s="478"/>
      <c r="JKU243" s="478"/>
      <c r="JKV243" s="478"/>
      <c r="JKW243" s="478"/>
      <c r="JKX243" s="478"/>
      <c r="JKY243" s="478"/>
      <c r="JKZ243" s="478"/>
      <c r="JLA243" s="478"/>
      <c r="JLB243" s="478"/>
      <c r="JLC243" s="478"/>
      <c r="JLD243" s="478"/>
      <c r="JLE243" s="478"/>
      <c r="JLF243" s="478"/>
      <c r="JLG243" s="478"/>
      <c r="JLH243" s="478"/>
      <c r="JLI243" s="478"/>
      <c r="JLJ243" s="478"/>
      <c r="JLK243" s="478"/>
      <c r="JLL243" s="478"/>
      <c r="JLM243" s="478"/>
      <c r="JLN243" s="478"/>
      <c r="JLO243" s="478"/>
      <c r="JLP243" s="478"/>
      <c r="JLQ243" s="478"/>
      <c r="JLR243" s="478"/>
      <c r="JLS243" s="478"/>
      <c r="JLT243" s="478"/>
      <c r="JLU243" s="478"/>
      <c r="JLV243" s="478"/>
      <c r="JLW243" s="478"/>
      <c r="JLX243" s="478"/>
      <c r="JLY243" s="478"/>
      <c r="JLZ243" s="478"/>
      <c r="JMA243" s="478"/>
      <c r="JMB243" s="478"/>
      <c r="JMC243" s="478"/>
      <c r="JMD243" s="478"/>
      <c r="JME243" s="478"/>
      <c r="JMF243" s="478"/>
      <c r="JMG243" s="478"/>
      <c r="JMH243" s="478"/>
      <c r="JMI243" s="478"/>
      <c r="JMJ243" s="478"/>
      <c r="JMK243" s="478"/>
      <c r="JML243" s="478"/>
      <c r="JMM243" s="478"/>
      <c r="JMN243" s="478"/>
      <c r="JMO243" s="478"/>
      <c r="JMP243" s="478"/>
      <c r="JMQ243" s="478"/>
      <c r="JMR243" s="478"/>
      <c r="JMS243" s="478"/>
      <c r="JMT243" s="478"/>
      <c r="JMU243" s="478"/>
      <c r="JMV243" s="478"/>
      <c r="JMW243" s="478"/>
      <c r="JMX243" s="478"/>
      <c r="JMY243" s="478"/>
      <c r="JMZ243" s="478"/>
      <c r="JNA243" s="478"/>
      <c r="JNB243" s="478"/>
      <c r="JNC243" s="478"/>
      <c r="JND243" s="478"/>
      <c r="JNE243" s="478"/>
      <c r="JNF243" s="478"/>
      <c r="JNG243" s="478"/>
      <c r="JNH243" s="478"/>
      <c r="JNI243" s="478"/>
      <c r="JNJ243" s="478"/>
      <c r="JNK243" s="478"/>
      <c r="JNL243" s="478"/>
      <c r="JNM243" s="478"/>
      <c r="JNN243" s="478"/>
      <c r="JNO243" s="478"/>
      <c r="JNP243" s="478"/>
      <c r="JNQ243" s="478"/>
      <c r="JNR243" s="478"/>
      <c r="JNS243" s="478"/>
      <c r="JNT243" s="478"/>
      <c r="JNU243" s="478"/>
      <c r="JNV243" s="478"/>
      <c r="JNW243" s="478"/>
      <c r="JNX243" s="478"/>
      <c r="JNY243" s="478"/>
      <c r="JNZ243" s="478"/>
      <c r="JOA243" s="478"/>
      <c r="JOB243" s="478"/>
      <c r="JOC243" s="478"/>
      <c r="JOD243" s="478"/>
      <c r="JOE243" s="478"/>
      <c r="JOF243" s="478"/>
      <c r="JOG243" s="478"/>
      <c r="JOH243" s="478"/>
      <c r="JOI243" s="478"/>
      <c r="JOJ243" s="478"/>
      <c r="JOK243" s="478"/>
      <c r="JOL243" s="478"/>
      <c r="JOM243" s="478"/>
      <c r="JON243" s="478"/>
      <c r="JOO243" s="478"/>
      <c r="JOP243" s="478"/>
      <c r="JOQ243" s="478"/>
      <c r="JOR243" s="478"/>
      <c r="JOS243" s="478"/>
      <c r="JOT243" s="478"/>
      <c r="JOU243" s="478"/>
      <c r="JOV243" s="478"/>
      <c r="JOW243" s="478"/>
      <c r="JOX243" s="478"/>
      <c r="JOY243" s="478"/>
      <c r="JOZ243" s="478"/>
      <c r="JPA243" s="478"/>
      <c r="JPB243" s="478"/>
      <c r="JPC243" s="478"/>
      <c r="JPD243" s="478"/>
      <c r="JPE243" s="478"/>
      <c r="JPF243" s="478"/>
      <c r="JPG243" s="478"/>
      <c r="JPH243" s="478"/>
      <c r="JPI243" s="478"/>
      <c r="JPJ243" s="478"/>
      <c r="JPK243" s="478"/>
      <c r="JPL243" s="478"/>
      <c r="JPM243" s="478"/>
      <c r="JPN243" s="478"/>
      <c r="JPO243" s="478"/>
      <c r="JPP243" s="478"/>
      <c r="JPQ243" s="478"/>
      <c r="JPR243" s="478"/>
      <c r="JPS243" s="478"/>
      <c r="JPT243" s="478"/>
      <c r="JPU243" s="478"/>
      <c r="JPV243" s="478"/>
      <c r="JPW243" s="478"/>
      <c r="JPX243" s="478"/>
      <c r="JPY243" s="478"/>
      <c r="JPZ243" s="478"/>
      <c r="JQA243" s="478"/>
      <c r="JQB243" s="478"/>
      <c r="JQC243" s="478"/>
      <c r="JQD243" s="478"/>
      <c r="JQE243" s="478"/>
      <c r="JQF243" s="478"/>
      <c r="JQG243" s="478"/>
      <c r="JQH243" s="478"/>
      <c r="JQI243" s="478"/>
      <c r="JQJ243" s="478"/>
      <c r="JQK243" s="478"/>
      <c r="JQL243" s="478"/>
      <c r="JQM243" s="478"/>
      <c r="JQN243" s="478"/>
      <c r="JQO243" s="478"/>
      <c r="JQP243" s="478"/>
      <c r="JQQ243" s="478"/>
      <c r="JQR243" s="478"/>
      <c r="JQS243" s="478"/>
      <c r="JQT243" s="478"/>
      <c r="JQU243" s="478"/>
      <c r="JQV243" s="478"/>
      <c r="JQW243" s="478"/>
      <c r="JQX243" s="478"/>
      <c r="JQY243" s="478"/>
      <c r="JQZ243" s="478"/>
      <c r="JRA243" s="478"/>
      <c r="JRB243" s="478"/>
      <c r="JRC243" s="478"/>
      <c r="JRD243" s="478"/>
      <c r="JRE243" s="478"/>
      <c r="JRF243" s="478"/>
      <c r="JRG243" s="478"/>
      <c r="JRH243" s="478"/>
      <c r="JRI243" s="478"/>
      <c r="JRJ243" s="478"/>
      <c r="JRK243" s="478"/>
      <c r="JRL243" s="478"/>
      <c r="JRM243" s="478"/>
      <c r="JRN243" s="478"/>
      <c r="JRO243" s="478"/>
      <c r="JRP243" s="478"/>
      <c r="JRQ243" s="478"/>
      <c r="JRR243" s="478"/>
      <c r="JRS243" s="478"/>
      <c r="JRT243" s="478"/>
      <c r="JRU243" s="478"/>
      <c r="JRV243" s="478"/>
      <c r="JRW243" s="478"/>
      <c r="JRX243" s="478"/>
      <c r="JRY243" s="478"/>
      <c r="JRZ243" s="478"/>
      <c r="JSA243" s="478"/>
      <c r="JSB243" s="478"/>
      <c r="JSC243" s="478"/>
      <c r="JSD243" s="478"/>
      <c r="JSE243" s="478"/>
      <c r="JSF243" s="478"/>
      <c r="JSG243" s="478"/>
      <c r="JSH243" s="478"/>
      <c r="JSI243" s="478"/>
      <c r="JSJ243" s="478"/>
      <c r="JSK243" s="478"/>
      <c r="JSL243" s="478"/>
      <c r="JSM243" s="478"/>
      <c r="JSN243" s="478"/>
      <c r="JSO243" s="478"/>
      <c r="JSP243" s="478"/>
      <c r="JSQ243" s="478"/>
      <c r="JSR243" s="478"/>
      <c r="JSS243" s="478"/>
      <c r="JST243" s="478"/>
      <c r="JSU243" s="478"/>
      <c r="JSV243" s="478"/>
      <c r="JSW243" s="478"/>
      <c r="JSX243" s="478"/>
      <c r="JSY243" s="478"/>
      <c r="JSZ243" s="478"/>
      <c r="JTA243" s="478"/>
      <c r="JTB243" s="478"/>
      <c r="JTC243" s="478"/>
      <c r="JTD243" s="478"/>
      <c r="JTE243" s="478"/>
      <c r="JTF243" s="478"/>
      <c r="JTG243" s="478"/>
      <c r="JTH243" s="478"/>
      <c r="JTI243" s="478"/>
      <c r="JTJ243" s="478"/>
      <c r="JTK243" s="478"/>
      <c r="JTL243" s="478"/>
      <c r="JTM243" s="478"/>
      <c r="JTN243" s="478"/>
      <c r="JTO243" s="478"/>
      <c r="JTP243" s="478"/>
      <c r="JTQ243" s="478"/>
      <c r="JTR243" s="478"/>
      <c r="JTS243" s="478"/>
      <c r="JTT243" s="478"/>
      <c r="JTU243" s="478"/>
      <c r="JTV243" s="478"/>
      <c r="JTW243" s="478"/>
      <c r="JTX243" s="478"/>
      <c r="JTY243" s="478"/>
      <c r="JTZ243" s="478"/>
      <c r="JUA243" s="478"/>
      <c r="JUB243" s="478"/>
      <c r="JUC243" s="478"/>
      <c r="JUD243" s="478"/>
      <c r="JUE243" s="478"/>
      <c r="JUF243" s="478"/>
      <c r="JUG243" s="478"/>
      <c r="JUH243" s="478"/>
      <c r="JUI243" s="478"/>
      <c r="JUJ243" s="478"/>
      <c r="JUK243" s="478"/>
      <c r="JUL243" s="478"/>
      <c r="JUM243" s="478"/>
      <c r="JUN243" s="478"/>
      <c r="JUO243" s="478"/>
      <c r="JUP243" s="478"/>
      <c r="JUQ243" s="478"/>
      <c r="JUR243" s="478"/>
      <c r="JUS243" s="478"/>
      <c r="JUT243" s="478"/>
      <c r="JUU243" s="478"/>
      <c r="JUV243" s="478"/>
      <c r="JUW243" s="478"/>
      <c r="JUX243" s="478"/>
      <c r="JUY243" s="478"/>
      <c r="JUZ243" s="478"/>
      <c r="JVA243" s="478"/>
      <c r="JVB243" s="478"/>
      <c r="JVC243" s="478"/>
      <c r="JVD243" s="478"/>
      <c r="JVE243" s="478"/>
      <c r="JVF243" s="478"/>
      <c r="JVG243" s="478"/>
      <c r="JVH243" s="478"/>
      <c r="JVI243" s="478"/>
      <c r="JVJ243" s="478"/>
      <c r="JVK243" s="478"/>
      <c r="JVL243" s="478"/>
      <c r="JVM243" s="478"/>
      <c r="JVN243" s="478"/>
      <c r="JVO243" s="478"/>
      <c r="JVP243" s="478"/>
      <c r="JVQ243" s="478"/>
      <c r="JVR243" s="478"/>
      <c r="JVS243" s="478"/>
      <c r="JVT243" s="478"/>
      <c r="JVU243" s="478"/>
      <c r="JVV243" s="478"/>
      <c r="JVW243" s="478"/>
      <c r="JVX243" s="478"/>
      <c r="JVY243" s="478"/>
      <c r="JVZ243" s="478"/>
      <c r="JWA243" s="478"/>
      <c r="JWB243" s="478"/>
      <c r="JWC243" s="478"/>
      <c r="JWD243" s="478"/>
      <c r="JWE243" s="478"/>
      <c r="JWF243" s="478"/>
      <c r="JWG243" s="478"/>
      <c r="JWH243" s="478"/>
      <c r="JWI243" s="478"/>
      <c r="JWJ243" s="478"/>
      <c r="JWK243" s="478"/>
      <c r="JWL243" s="478"/>
      <c r="JWM243" s="478"/>
      <c r="JWN243" s="478"/>
      <c r="JWO243" s="478"/>
      <c r="JWP243" s="478"/>
      <c r="JWQ243" s="478"/>
      <c r="JWR243" s="478"/>
      <c r="JWS243" s="478"/>
      <c r="JWT243" s="478"/>
      <c r="JWU243" s="478"/>
      <c r="JWV243" s="478"/>
      <c r="JWW243" s="478"/>
      <c r="JWX243" s="478"/>
      <c r="JWY243" s="478"/>
      <c r="JWZ243" s="478"/>
      <c r="JXA243" s="478"/>
      <c r="JXB243" s="478"/>
      <c r="JXC243" s="478"/>
      <c r="JXD243" s="478"/>
      <c r="JXE243" s="478"/>
      <c r="JXF243" s="478"/>
      <c r="JXG243" s="478"/>
      <c r="JXH243" s="478"/>
      <c r="JXI243" s="478"/>
      <c r="JXJ243" s="478"/>
      <c r="JXK243" s="478"/>
      <c r="JXL243" s="478"/>
      <c r="JXM243" s="478"/>
      <c r="JXN243" s="478"/>
      <c r="JXO243" s="478"/>
      <c r="JXP243" s="478"/>
      <c r="JXQ243" s="478"/>
      <c r="JXR243" s="478"/>
      <c r="JXS243" s="478"/>
      <c r="JXT243" s="478"/>
      <c r="JXU243" s="478"/>
      <c r="JXV243" s="478"/>
      <c r="JXW243" s="478"/>
      <c r="JXX243" s="478"/>
      <c r="JXY243" s="478"/>
      <c r="JXZ243" s="478"/>
      <c r="JYA243" s="478"/>
      <c r="JYB243" s="478"/>
      <c r="JYC243" s="478"/>
      <c r="JYD243" s="478"/>
      <c r="JYE243" s="478"/>
      <c r="JYF243" s="478"/>
      <c r="JYG243" s="478"/>
      <c r="JYH243" s="478"/>
      <c r="JYI243" s="478"/>
      <c r="JYJ243" s="478"/>
      <c r="JYK243" s="478"/>
      <c r="JYL243" s="478"/>
      <c r="JYM243" s="478"/>
      <c r="JYN243" s="478"/>
      <c r="JYO243" s="478"/>
      <c r="JYP243" s="478"/>
      <c r="JYQ243" s="478"/>
      <c r="JYR243" s="478"/>
      <c r="JYS243" s="478"/>
      <c r="JYT243" s="478"/>
      <c r="JYU243" s="478"/>
      <c r="JYV243" s="478"/>
      <c r="JYW243" s="478"/>
      <c r="JYX243" s="478"/>
      <c r="JYY243" s="478"/>
      <c r="JYZ243" s="478"/>
      <c r="JZA243" s="478"/>
      <c r="JZB243" s="478"/>
      <c r="JZC243" s="478"/>
      <c r="JZD243" s="478"/>
      <c r="JZE243" s="478"/>
      <c r="JZF243" s="478"/>
      <c r="JZG243" s="478"/>
      <c r="JZH243" s="478"/>
      <c r="JZI243" s="478"/>
      <c r="JZJ243" s="478"/>
      <c r="JZK243" s="478"/>
      <c r="JZL243" s="478"/>
      <c r="JZM243" s="478"/>
      <c r="JZN243" s="478"/>
      <c r="JZO243" s="478"/>
      <c r="JZP243" s="478"/>
      <c r="JZQ243" s="478"/>
      <c r="JZR243" s="478"/>
      <c r="JZS243" s="478"/>
      <c r="JZT243" s="478"/>
      <c r="JZU243" s="478"/>
      <c r="JZV243" s="478"/>
      <c r="JZW243" s="478"/>
      <c r="JZX243" s="478"/>
      <c r="JZY243" s="478"/>
      <c r="JZZ243" s="478"/>
      <c r="KAA243" s="478"/>
      <c r="KAB243" s="478"/>
      <c r="KAC243" s="478"/>
      <c r="KAD243" s="478"/>
      <c r="KAE243" s="478"/>
      <c r="KAF243" s="478"/>
      <c r="KAG243" s="478"/>
      <c r="KAH243" s="478"/>
      <c r="KAI243" s="478"/>
      <c r="KAJ243" s="478"/>
      <c r="KAK243" s="478"/>
      <c r="KAL243" s="478"/>
      <c r="KAM243" s="478"/>
      <c r="KAN243" s="478"/>
      <c r="KAO243" s="478"/>
      <c r="KAP243" s="478"/>
      <c r="KAQ243" s="478"/>
      <c r="KAR243" s="478"/>
      <c r="KAS243" s="478"/>
      <c r="KAT243" s="478"/>
      <c r="KAU243" s="478"/>
      <c r="KAV243" s="478"/>
      <c r="KAW243" s="478"/>
      <c r="KAX243" s="478"/>
      <c r="KAY243" s="478"/>
      <c r="KAZ243" s="478"/>
      <c r="KBA243" s="478"/>
      <c r="KBB243" s="478"/>
      <c r="KBC243" s="478"/>
      <c r="KBD243" s="478"/>
      <c r="KBE243" s="478"/>
      <c r="KBF243" s="478"/>
      <c r="KBG243" s="478"/>
      <c r="KBH243" s="478"/>
      <c r="KBI243" s="478"/>
      <c r="KBJ243" s="478"/>
      <c r="KBK243" s="478"/>
      <c r="KBL243" s="478"/>
      <c r="KBM243" s="478"/>
      <c r="KBN243" s="478"/>
      <c r="KBO243" s="478"/>
      <c r="KBP243" s="478"/>
      <c r="KBQ243" s="478"/>
      <c r="KBR243" s="478"/>
      <c r="KBS243" s="478"/>
      <c r="KBT243" s="478"/>
      <c r="KBU243" s="478"/>
      <c r="KBV243" s="478"/>
      <c r="KBW243" s="478"/>
      <c r="KBX243" s="478"/>
      <c r="KBY243" s="478"/>
      <c r="KBZ243" s="478"/>
      <c r="KCA243" s="478"/>
      <c r="KCB243" s="478"/>
      <c r="KCC243" s="478"/>
      <c r="KCD243" s="478"/>
      <c r="KCE243" s="478"/>
      <c r="KCF243" s="478"/>
      <c r="KCG243" s="478"/>
      <c r="KCH243" s="478"/>
      <c r="KCI243" s="478"/>
      <c r="KCJ243" s="478"/>
      <c r="KCK243" s="478"/>
      <c r="KCL243" s="478"/>
      <c r="KCM243" s="478"/>
      <c r="KCN243" s="478"/>
      <c r="KCO243" s="478"/>
      <c r="KCP243" s="478"/>
      <c r="KCQ243" s="478"/>
      <c r="KCR243" s="478"/>
      <c r="KCS243" s="478"/>
      <c r="KCT243" s="478"/>
      <c r="KCU243" s="478"/>
      <c r="KCV243" s="478"/>
      <c r="KCW243" s="478"/>
      <c r="KCX243" s="478"/>
      <c r="KCY243" s="478"/>
      <c r="KCZ243" s="478"/>
      <c r="KDA243" s="478"/>
      <c r="KDB243" s="478"/>
      <c r="KDC243" s="478"/>
      <c r="KDD243" s="478"/>
      <c r="KDE243" s="478"/>
      <c r="KDF243" s="478"/>
      <c r="KDG243" s="478"/>
      <c r="KDH243" s="478"/>
      <c r="KDI243" s="478"/>
      <c r="KDJ243" s="478"/>
      <c r="KDK243" s="478"/>
      <c r="KDL243" s="478"/>
      <c r="KDM243" s="478"/>
      <c r="KDN243" s="478"/>
      <c r="KDO243" s="478"/>
      <c r="KDP243" s="478"/>
      <c r="KDQ243" s="478"/>
      <c r="KDR243" s="478"/>
      <c r="KDS243" s="478"/>
      <c r="KDT243" s="478"/>
      <c r="KDU243" s="478"/>
      <c r="KDV243" s="478"/>
      <c r="KDW243" s="478"/>
      <c r="KDX243" s="478"/>
      <c r="KDY243" s="478"/>
      <c r="KDZ243" s="478"/>
      <c r="KEA243" s="478"/>
      <c r="KEB243" s="478"/>
      <c r="KEC243" s="478"/>
      <c r="KED243" s="478"/>
      <c r="KEE243" s="478"/>
      <c r="KEF243" s="478"/>
      <c r="KEG243" s="478"/>
      <c r="KEH243" s="478"/>
      <c r="KEI243" s="478"/>
      <c r="KEJ243" s="478"/>
      <c r="KEK243" s="478"/>
      <c r="KEL243" s="478"/>
      <c r="KEM243" s="478"/>
      <c r="KEN243" s="478"/>
      <c r="KEO243" s="478"/>
      <c r="KEP243" s="478"/>
      <c r="KEQ243" s="478"/>
      <c r="KER243" s="478"/>
      <c r="KES243" s="478"/>
      <c r="KET243" s="478"/>
      <c r="KEU243" s="478"/>
      <c r="KEV243" s="478"/>
      <c r="KEW243" s="478"/>
      <c r="KEX243" s="478"/>
      <c r="KEY243" s="478"/>
      <c r="KEZ243" s="478"/>
      <c r="KFA243" s="478"/>
      <c r="KFB243" s="478"/>
      <c r="KFC243" s="478"/>
      <c r="KFD243" s="478"/>
      <c r="KFE243" s="478"/>
      <c r="KFF243" s="478"/>
      <c r="KFG243" s="478"/>
      <c r="KFH243" s="478"/>
      <c r="KFI243" s="478"/>
      <c r="KFJ243" s="478"/>
      <c r="KFK243" s="478"/>
      <c r="KFL243" s="478"/>
      <c r="KFM243" s="478"/>
      <c r="KFN243" s="478"/>
      <c r="KFO243" s="478"/>
      <c r="KFP243" s="478"/>
      <c r="KFQ243" s="478"/>
      <c r="KFR243" s="478"/>
      <c r="KFS243" s="478"/>
      <c r="KFT243" s="478"/>
      <c r="KFU243" s="478"/>
      <c r="KFV243" s="478"/>
      <c r="KFW243" s="478"/>
      <c r="KFX243" s="478"/>
      <c r="KFY243" s="478"/>
      <c r="KFZ243" s="478"/>
      <c r="KGA243" s="478"/>
      <c r="KGB243" s="478"/>
      <c r="KGC243" s="478"/>
      <c r="KGD243" s="478"/>
      <c r="KGE243" s="478"/>
      <c r="KGF243" s="478"/>
      <c r="KGG243" s="478"/>
      <c r="KGH243" s="478"/>
      <c r="KGI243" s="478"/>
      <c r="KGJ243" s="478"/>
      <c r="KGK243" s="478"/>
      <c r="KGL243" s="478"/>
      <c r="KGM243" s="478"/>
      <c r="KGN243" s="478"/>
      <c r="KGO243" s="478"/>
      <c r="KGP243" s="478"/>
      <c r="KGQ243" s="478"/>
      <c r="KGR243" s="478"/>
      <c r="KGS243" s="478"/>
      <c r="KGT243" s="478"/>
      <c r="KGU243" s="478"/>
      <c r="KGV243" s="478"/>
      <c r="KGW243" s="478"/>
      <c r="KGX243" s="478"/>
      <c r="KGY243" s="478"/>
      <c r="KGZ243" s="478"/>
      <c r="KHA243" s="478"/>
      <c r="KHB243" s="478"/>
      <c r="KHC243" s="478"/>
      <c r="KHD243" s="478"/>
      <c r="KHE243" s="478"/>
      <c r="KHF243" s="478"/>
      <c r="KHG243" s="478"/>
      <c r="KHH243" s="478"/>
      <c r="KHI243" s="478"/>
      <c r="KHJ243" s="478"/>
      <c r="KHK243" s="478"/>
      <c r="KHL243" s="478"/>
      <c r="KHM243" s="478"/>
      <c r="KHN243" s="478"/>
      <c r="KHO243" s="478"/>
      <c r="KHP243" s="478"/>
      <c r="KHQ243" s="478"/>
      <c r="KHR243" s="478"/>
      <c r="KHS243" s="478"/>
      <c r="KHT243" s="478"/>
      <c r="KHU243" s="478"/>
      <c r="KHV243" s="478"/>
      <c r="KHW243" s="478"/>
      <c r="KHX243" s="478"/>
      <c r="KHY243" s="478"/>
      <c r="KHZ243" s="478"/>
      <c r="KIA243" s="478"/>
      <c r="KIB243" s="478"/>
      <c r="KIC243" s="478"/>
      <c r="KID243" s="478"/>
      <c r="KIE243" s="478"/>
      <c r="KIF243" s="478"/>
      <c r="KIG243" s="478"/>
      <c r="KIH243" s="478"/>
      <c r="KII243" s="478"/>
      <c r="KIJ243" s="478"/>
      <c r="KIK243" s="478"/>
      <c r="KIL243" s="478"/>
      <c r="KIM243" s="478"/>
      <c r="KIN243" s="478"/>
      <c r="KIO243" s="478"/>
      <c r="KIP243" s="478"/>
      <c r="KIQ243" s="478"/>
      <c r="KIR243" s="478"/>
      <c r="KIS243" s="478"/>
      <c r="KIT243" s="478"/>
      <c r="KIU243" s="478"/>
      <c r="KIV243" s="478"/>
      <c r="KIW243" s="478"/>
      <c r="KIX243" s="478"/>
      <c r="KIY243" s="478"/>
      <c r="KIZ243" s="478"/>
      <c r="KJA243" s="478"/>
      <c r="KJB243" s="478"/>
      <c r="KJC243" s="478"/>
      <c r="KJD243" s="478"/>
      <c r="KJE243" s="478"/>
      <c r="KJF243" s="478"/>
      <c r="KJG243" s="478"/>
      <c r="KJH243" s="478"/>
      <c r="KJI243" s="478"/>
      <c r="KJJ243" s="478"/>
      <c r="KJK243" s="478"/>
      <c r="KJL243" s="478"/>
      <c r="KJM243" s="478"/>
      <c r="KJN243" s="478"/>
      <c r="KJO243" s="478"/>
      <c r="KJP243" s="478"/>
      <c r="KJQ243" s="478"/>
      <c r="KJR243" s="478"/>
      <c r="KJS243" s="478"/>
      <c r="KJT243" s="478"/>
      <c r="KJU243" s="478"/>
      <c r="KJV243" s="478"/>
      <c r="KJW243" s="478"/>
      <c r="KJX243" s="478"/>
      <c r="KJY243" s="478"/>
      <c r="KJZ243" s="478"/>
      <c r="KKA243" s="478"/>
      <c r="KKB243" s="478"/>
      <c r="KKC243" s="478"/>
      <c r="KKD243" s="478"/>
      <c r="KKE243" s="478"/>
      <c r="KKF243" s="478"/>
      <c r="KKG243" s="478"/>
      <c r="KKH243" s="478"/>
      <c r="KKI243" s="478"/>
      <c r="KKJ243" s="478"/>
      <c r="KKK243" s="478"/>
      <c r="KKL243" s="478"/>
      <c r="KKM243" s="478"/>
      <c r="KKN243" s="478"/>
      <c r="KKO243" s="478"/>
      <c r="KKP243" s="478"/>
      <c r="KKQ243" s="478"/>
      <c r="KKR243" s="478"/>
      <c r="KKS243" s="478"/>
      <c r="KKT243" s="478"/>
      <c r="KKU243" s="478"/>
      <c r="KKV243" s="478"/>
      <c r="KKW243" s="478"/>
      <c r="KKX243" s="478"/>
      <c r="KKY243" s="478"/>
      <c r="KKZ243" s="478"/>
      <c r="KLA243" s="478"/>
      <c r="KLB243" s="478"/>
      <c r="KLC243" s="478"/>
      <c r="KLD243" s="478"/>
      <c r="KLE243" s="478"/>
      <c r="KLF243" s="478"/>
      <c r="KLG243" s="478"/>
      <c r="KLH243" s="478"/>
      <c r="KLI243" s="478"/>
      <c r="KLJ243" s="478"/>
      <c r="KLK243" s="478"/>
      <c r="KLL243" s="478"/>
      <c r="KLM243" s="478"/>
      <c r="KLN243" s="478"/>
      <c r="KLO243" s="478"/>
      <c r="KLP243" s="478"/>
      <c r="KLQ243" s="478"/>
      <c r="KLR243" s="478"/>
      <c r="KLS243" s="478"/>
      <c r="KLT243" s="478"/>
      <c r="KLU243" s="478"/>
      <c r="KLV243" s="478"/>
      <c r="KLW243" s="478"/>
      <c r="KLX243" s="478"/>
      <c r="KLY243" s="478"/>
      <c r="KLZ243" s="478"/>
      <c r="KMA243" s="478"/>
      <c r="KMB243" s="478"/>
      <c r="KMC243" s="478"/>
      <c r="KMD243" s="478"/>
      <c r="KME243" s="478"/>
      <c r="KMF243" s="478"/>
      <c r="KMG243" s="478"/>
      <c r="KMH243" s="478"/>
      <c r="KMI243" s="478"/>
      <c r="KMJ243" s="478"/>
      <c r="KMK243" s="478"/>
      <c r="KML243" s="478"/>
      <c r="KMM243" s="478"/>
      <c r="KMN243" s="478"/>
      <c r="KMO243" s="478"/>
      <c r="KMP243" s="478"/>
      <c r="KMQ243" s="478"/>
      <c r="KMR243" s="478"/>
      <c r="KMS243" s="478"/>
      <c r="KMT243" s="478"/>
      <c r="KMU243" s="478"/>
      <c r="KMV243" s="478"/>
      <c r="KMW243" s="478"/>
      <c r="KMX243" s="478"/>
      <c r="KMY243" s="478"/>
      <c r="KMZ243" s="478"/>
      <c r="KNA243" s="478"/>
      <c r="KNB243" s="478"/>
      <c r="KNC243" s="478"/>
      <c r="KND243" s="478"/>
      <c r="KNE243" s="478"/>
      <c r="KNF243" s="478"/>
      <c r="KNG243" s="478"/>
      <c r="KNH243" s="478"/>
      <c r="KNI243" s="478"/>
      <c r="KNJ243" s="478"/>
      <c r="KNK243" s="478"/>
      <c r="KNL243" s="478"/>
      <c r="KNM243" s="478"/>
      <c r="KNN243" s="478"/>
      <c r="KNO243" s="478"/>
      <c r="KNP243" s="478"/>
      <c r="KNQ243" s="478"/>
      <c r="KNR243" s="478"/>
      <c r="KNS243" s="478"/>
      <c r="KNT243" s="478"/>
      <c r="KNU243" s="478"/>
      <c r="KNV243" s="478"/>
      <c r="KNW243" s="478"/>
      <c r="KNX243" s="478"/>
      <c r="KNY243" s="478"/>
      <c r="KNZ243" s="478"/>
      <c r="KOA243" s="478"/>
      <c r="KOB243" s="478"/>
      <c r="KOC243" s="478"/>
      <c r="KOD243" s="478"/>
      <c r="KOE243" s="478"/>
      <c r="KOF243" s="478"/>
      <c r="KOG243" s="478"/>
      <c r="KOH243" s="478"/>
      <c r="KOI243" s="478"/>
      <c r="KOJ243" s="478"/>
      <c r="KOK243" s="478"/>
      <c r="KOL243" s="478"/>
      <c r="KOM243" s="478"/>
      <c r="KON243" s="478"/>
      <c r="KOO243" s="478"/>
      <c r="KOP243" s="478"/>
      <c r="KOQ243" s="478"/>
      <c r="KOR243" s="478"/>
      <c r="KOS243" s="478"/>
      <c r="KOT243" s="478"/>
      <c r="KOU243" s="478"/>
      <c r="KOV243" s="478"/>
      <c r="KOW243" s="478"/>
      <c r="KOX243" s="478"/>
      <c r="KOY243" s="478"/>
      <c r="KOZ243" s="478"/>
      <c r="KPA243" s="478"/>
      <c r="KPB243" s="478"/>
      <c r="KPC243" s="478"/>
      <c r="KPD243" s="478"/>
      <c r="KPE243" s="478"/>
      <c r="KPF243" s="478"/>
      <c r="KPG243" s="478"/>
      <c r="KPH243" s="478"/>
      <c r="KPI243" s="478"/>
      <c r="KPJ243" s="478"/>
      <c r="KPK243" s="478"/>
      <c r="KPL243" s="478"/>
      <c r="KPM243" s="478"/>
      <c r="KPN243" s="478"/>
      <c r="KPO243" s="478"/>
      <c r="KPP243" s="478"/>
      <c r="KPQ243" s="478"/>
      <c r="KPR243" s="478"/>
      <c r="KPS243" s="478"/>
      <c r="KPT243" s="478"/>
      <c r="KPU243" s="478"/>
      <c r="KPV243" s="478"/>
      <c r="KPW243" s="478"/>
      <c r="KPX243" s="478"/>
      <c r="KPY243" s="478"/>
      <c r="KPZ243" s="478"/>
      <c r="KQA243" s="478"/>
      <c r="KQB243" s="478"/>
      <c r="KQC243" s="478"/>
      <c r="KQD243" s="478"/>
      <c r="KQE243" s="478"/>
      <c r="KQF243" s="478"/>
      <c r="KQG243" s="478"/>
      <c r="KQH243" s="478"/>
      <c r="KQI243" s="478"/>
      <c r="KQJ243" s="478"/>
      <c r="KQK243" s="478"/>
      <c r="KQL243" s="478"/>
      <c r="KQM243" s="478"/>
      <c r="KQN243" s="478"/>
      <c r="KQO243" s="478"/>
      <c r="KQP243" s="478"/>
      <c r="KQQ243" s="478"/>
      <c r="KQR243" s="478"/>
      <c r="KQS243" s="478"/>
      <c r="KQT243" s="478"/>
      <c r="KQU243" s="478"/>
      <c r="KQV243" s="478"/>
      <c r="KQW243" s="478"/>
      <c r="KQX243" s="478"/>
      <c r="KQY243" s="478"/>
      <c r="KQZ243" s="478"/>
      <c r="KRA243" s="478"/>
      <c r="KRB243" s="478"/>
      <c r="KRC243" s="478"/>
      <c r="KRD243" s="478"/>
      <c r="KRE243" s="478"/>
      <c r="KRF243" s="478"/>
      <c r="KRG243" s="478"/>
      <c r="KRH243" s="478"/>
      <c r="KRI243" s="478"/>
      <c r="KRJ243" s="478"/>
      <c r="KRK243" s="478"/>
      <c r="KRL243" s="478"/>
      <c r="KRM243" s="478"/>
      <c r="KRN243" s="478"/>
      <c r="KRO243" s="478"/>
      <c r="KRP243" s="478"/>
      <c r="KRQ243" s="478"/>
      <c r="KRR243" s="478"/>
      <c r="KRS243" s="478"/>
      <c r="KRT243" s="478"/>
      <c r="KRU243" s="478"/>
      <c r="KRV243" s="478"/>
      <c r="KRW243" s="478"/>
      <c r="KRX243" s="478"/>
      <c r="KRY243" s="478"/>
      <c r="KRZ243" s="478"/>
      <c r="KSA243" s="478"/>
      <c r="KSB243" s="478"/>
      <c r="KSC243" s="478"/>
      <c r="KSD243" s="478"/>
      <c r="KSE243" s="478"/>
      <c r="KSF243" s="478"/>
      <c r="KSG243" s="478"/>
      <c r="KSH243" s="478"/>
      <c r="KSI243" s="478"/>
      <c r="KSJ243" s="478"/>
      <c r="KSK243" s="478"/>
      <c r="KSL243" s="478"/>
      <c r="KSM243" s="478"/>
      <c r="KSN243" s="478"/>
      <c r="KSO243" s="478"/>
      <c r="KSP243" s="478"/>
      <c r="KSQ243" s="478"/>
      <c r="KSR243" s="478"/>
      <c r="KSS243" s="478"/>
      <c r="KST243" s="478"/>
      <c r="KSU243" s="478"/>
      <c r="KSV243" s="478"/>
      <c r="KSW243" s="478"/>
      <c r="KSX243" s="478"/>
      <c r="KSY243" s="478"/>
      <c r="KSZ243" s="478"/>
      <c r="KTA243" s="478"/>
      <c r="KTB243" s="478"/>
      <c r="KTC243" s="478"/>
      <c r="KTD243" s="478"/>
      <c r="KTE243" s="478"/>
      <c r="KTF243" s="478"/>
      <c r="KTG243" s="478"/>
      <c r="KTH243" s="478"/>
      <c r="KTI243" s="478"/>
      <c r="KTJ243" s="478"/>
      <c r="KTK243" s="478"/>
      <c r="KTL243" s="478"/>
      <c r="KTM243" s="478"/>
      <c r="KTN243" s="478"/>
      <c r="KTO243" s="478"/>
      <c r="KTP243" s="478"/>
      <c r="KTQ243" s="478"/>
      <c r="KTR243" s="478"/>
      <c r="KTS243" s="478"/>
      <c r="KTT243" s="478"/>
      <c r="KTU243" s="478"/>
      <c r="KTV243" s="478"/>
      <c r="KTW243" s="478"/>
      <c r="KTX243" s="478"/>
      <c r="KTY243" s="478"/>
      <c r="KTZ243" s="478"/>
      <c r="KUA243" s="478"/>
      <c r="KUB243" s="478"/>
      <c r="KUC243" s="478"/>
      <c r="KUD243" s="478"/>
      <c r="KUE243" s="478"/>
      <c r="KUF243" s="478"/>
      <c r="KUG243" s="478"/>
      <c r="KUH243" s="478"/>
      <c r="KUI243" s="478"/>
      <c r="KUJ243" s="478"/>
      <c r="KUK243" s="478"/>
      <c r="KUL243" s="478"/>
      <c r="KUM243" s="478"/>
      <c r="KUN243" s="478"/>
      <c r="KUO243" s="478"/>
      <c r="KUP243" s="478"/>
      <c r="KUQ243" s="478"/>
      <c r="KUR243" s="478"/>
      <c r="KUS243" s="478"/>
      <c r="KUT243" s="478"/>
      <c r="KUU243" s="478"/>
      <c r="KUV243" s="478"/>
      <c r="KUW243" s="478"/>
      <c r="KUX243" s="478"/>
      <c r="KUY243" s="478"/>
      <c r="KUZ243" s="478"/>
      <c r="KVA243" s="478"/>
      <c r="KVB243" s="478"/>
      <c r="KVC243" s="478"/>
      <c r="KVD243" s="478"/>
      <c r="KVE243" s="478"/>
      <c r="KVF243" s="478"/>
      <c r="KVG243" s="478"/>
      <c r="KVH243" s="478"/>
      <c r="KVI243" s="478"/>
      <c r="KVJ243" s="478"/>
      <c r="KVK243" s="478"/>
      <c r="KVL243" s="478"/>
      <c r="KVM243" s="478"/>
      <c r="KVN243" s="478"/>
      <c r="KVO243" s="478"/>
      <c r="KVP243" s="478"/>
      <c r="KVQ243" s="478"/>
      <c r="KVR243" s="478"/>
      <c r="KVS243" s="478"/>
      <c r="KVT243" s="478"/>
      <c r="KVU243" s="478"/>
      <c r="KVV243" s="478"/>
      <c r="KVW243" s="478"/>
      <c r="KVX243" s="478"/>
      <c r="KVY243" s="478"/>
      <c r="KVZ243" s="478"/>
      <c r="KWA243" s="478"/>
      <c r="KWB243" s="478"/>
      <c r="KWC243" s="478"/>
      <c r="KWD243" s="478"/>
      <c r="KWE243" s="478"/>
      <c r="KWF243" s="478"/>
      <c r="KWG243" s="478"/>
      <c r="KWH243" s="478"/>
      <c r="KWI243" s="478"/>
      <c r="KWJ243" s="478"/>
      <c r="KWK243" s="478"/>
      <c r="KWL243" s="478"/>
      <c r="KWM243" s="478"/>
      <c r="KWN243" s="478"/>
      <c r="KWO243" s="478"/>
      <c r="KWP243" s="478"/>
      <c r="KWQ243" s="478"/>
      <c r="KWR243" s="478"/>
      <c r="KWS243" s="478"/>
      <c r="KWT243" s="478"/>
      <c r="KWU243" s="478"/>
      <c r="KWV243" s="478"/>
      <c r="KWW243" s="478"/>
      <c r="KWX243" s="478"/>
      <c r="KWY243" s="478"/>
      <c r="KWZ243" s="478"/>
      <c r="KXA243" s="478"/>
      <c r="KXB243" s="478"/>
      <c r="KXC243" s="478"/>
      <c r="KXD243" s="478"/>
      <c r="KXE243" s="478"/>
      <c r="KXF243" s="478"/>
      <c r="KXG243" s="478"/>
      <c r="KXH243" s="478"/>
      <c r="KXI243" s="478"/>
      <c r="KXJ243" s="478"/>
      <c r="KXK243" s="478"/>
      <c r="KXL243" s="478"/>
      <c r="KXM243" s="478"/>
      <c r="KXN243" s="478"/>
      <c r="KXO243" s="478"/>
      <c r="KXP243" s="478"/>
      <c r="KXQ243" s="478"/>
      <c r="KXR243" s="478"/>
      <c r="KXS243" s="478"/>
      <c r="KXT243" s="478"/>
      <c r="KXU243" s="478"/>
      <c r="KXV243" s="478"/>
      <c r="KXW243" s="478"/>
      <c r="KXX243" s="478"/>
      <c r="KXY243" s="478"/>
      <c r="KXZ243" s="478"/>
      <c r="KYA243" s="478"/>
      <c r="KYB243" s="478"/>
      <c r="KYC243" s="478"/>
      <c r="KYD243" s="478"/>
      <c r="KYE243" s="478"/>
      <c r="KYF243" s="478"/>
      <c r="KYG243" s="478"/>
      <c r="KYH243" s="478"/>
      <c r="KYI243" s="478"/>
      <c r="KYJ243" s="478"/>
      <c r="KYK243" s="478"/>
      <c r="KYL243" s="478"/>
      <c r="KYM243" s="478"/>
      <c r="KYN243" s="478"/>
      <c r="KYO243" s="478"/>
      <c r="KYP243" s="478"/>
      <c r="KYQ243" s="478"/>
      <c r="KYR243" s="478"/>
      <c r="KYS243" s="478"/>
      <c r="KYT243" s="478"/>
      <c r="KYU243" s="478"/>
      <c r="KYV243" s="478"/>
      <c r="KYW243" s="478"/>
      <c r="KYX243" s="478"/>
      <c r="KYY243" s="478"/>
      <c r="KYZ243" s="478"/>
      <c r="KZA243" s="478"/>
      <c r="KZB243" s="478"/>
      <c r="KZC243" s="478"/>
      <c r="KZD243" s="478"/>
      <c r="KZE243" s="478"/>
      <c r="KZF243" s="478"/>
      <c r="KZG243" s="478"/>
      <c r="KZH243" s="478"/>
      <c r="KZI243" s="478"/>
      <c r="KZJ243" s="478"/>
      <c r="KZK243" s="478"/>
      <c r="KZL243" s="478"/>
      <c r="KZM243" s="478"/>
      <c r="KZN243" s="478"/>
      <c r="KZO243" s="478"/>
      <c r="KZP243" s="478"/>
      <c r="KZQ243" s="478"/>
      <c r="KZR243" s="478"/>
      <c r="KZS243" s="478"/>
      <c r="KZT243" s="478"/>
      <c r="KZU243" s="478"/>
      <c r="KZV243" s="478"/>
      <c r="KZW243" s="478"/>
      <c r="KZX243" s="478"/>
      <c r="KZY243" s="478"/>
      <c r="KZZ243" s="478"/>
      <c r="LAA243" s="478"/>
      <c r="LAB243" s="478"/>
      <c r="LAC243" s="478"/>
      <c r="LAD243" s="478"/>
      <c r="LAE243" s="478"/>
      <c r="LAF243" s="478"/>
      <c r="LAG243" s="478"/>
      <c r="LAH243" s="478"/>
      <c r="LAI243" s="478"/>
      <c r="LAJ243" s="478"/>
      <c r="LAK243" s="478"/>
      <c r="LAL243" s="478"/>
      <c r="LAM243" s="478"/>
      <c r="LAN243" s="478"/>
      <c r="LAO243" s="478"/>
      <c r="LAP243" s="478"/>
      <c r="LAQ243" s="478"/>
      <c r="LAR243" s="478"/>
      <c r="LAS243" s="478"/>
      <c r="LAT243" s="478"/>
      <c r="LAU243" s="478"/>
      <c r="LAV243" s="478"/>
      <c r="LAW243" s="478"/>
      <c r="LAX243" s="478"/>
      <c r="LAY243" s="478"/>
      <c r="LAZ243" s="478"/>
      <c r="LBA243" s="478"/>
      <c r="LBB243" s="478"/>
      <c r="LBC243" s="478"/>
      <c r="LBD243" s="478"/>
      <c r="LBE243" s="478"/>
      <c r="LBF243" s="478"/>
      <c r="LBG243" s="478"/>
      <c r="LBH243" s="478"/>
      <c r="LBI243" s="478"/>
      <c r="LBJ243" s="478"/>
      <c r="LBK243" s="478"/>
      <c r="LBL243" s="478"/>
      <c r="LBM243" s="478"/>
      <c r="LBN243" s="478"/>
      <c r="LBO243" s="478"/>
      <c r="LBP243" s="478"/>
      <c r="LBQ243" s="478"/>
      <c r="LBR243" s="478"/>
      <c r="LBS243" s="478"/>
      <c r="LBT243" s="478"/>
      <c r="LBU243" s="478"/>
      <c r="LBV243" s="478"/>
      <c r="LBW243" s="478"/>
      <c r="LBX243" s="478"/>
      <c r="LBY243" s="478"/>
      <c r="LBZ243" s="478"/>
      <c r="LCA243" s="478"/>
      <c r="LCB243" s="478"/>
      <c r="LCC243" s="478"/>
      <c r="LCD243" s="478"/>
      <c r="LCE243" s="478"/>
      <c r="LCF243" s="478"/>
      <c r="LCG243" s="478"/>
      <c r="LCH243" s="478"/>
      <c r="LCI243" s="478"/>
      <c r="LCJ243" s="478"/>
      <c r="LCK243" s="478"/>
      <c r="LCL243" s="478"/>
      <c r="LCM243" s="478"/>
      <c r="LCN243" s="478"/>
      <c r="LCO243" s="478"/>
      <c r="LCP243" s="478"/>
      <c r="LCQ243" s="478"/>
      <c r="LCR243" s="478"/>
      <c r="LCS243" s="478"/>
      <c r="LCT243" s="478"/>
      <c r="LCU243" s="478"/>
      <c r="LCV243" s="478"/>
      <c r="LCW243" s="478"/>
      <c r="LCX243" s="478"/>
      <c r="LCY243" s="478"/>
      <c r="LCZ243" s="478"/>
      <c r="LDA243" s="478"/>
      <c r="LDB243" s="478"/>
      <c r="LDC243" s="478"/>
      <c r="LDD243" s="478"/>
      <c r="LDE243" s="478"/>
      <c r="LDF243" s="478"/>
      <c r="LDG243" s="478"/>
      <c r="LDH243" s="478"/>
      <c r="LDI243" s="478"/>
      <c r="LDJ243" s="478"/>
      <c r="LDK243" s="478"/>
      <c r="LDL243" s="478"/>
      <c r="LDM243" s="478"/>
      <c r="LDN243" s="478"/>
      <c r="LDO243" s="478"/>
      <c r="LDP243" s="478"/>
      <c r="LDQ243" s="478"/>
      <c r="LDR243" s="478"/>
      <c r="LDS243" s="478"/>
      <c r="LDT243" s="478"/>
      <c r="LDU243" s="478"/>
      <c r="LDV243" s="478"/>
      <c r="LDW243" s="478"/>
      <c r="LDX243" s="478"/>
      <c r="LDY243" s="478"/>
      <c r="LDZ243" s="478"/>
      <c r="LEA243" s="478"/>
      <c r="LEB243" s="478"/>
      <c r="LEC243" s="478"/>
      <c r="LED243" s="478"/>
      <c r="LEE243" s="478"/>
      <c r="LEF243" s="478"/>
      <c r="LEG243" s="478"/>
      <c r="LEH243" s="478"/>
      <c r="LEI243" s="478"/>
      <c r="LEJ243" s="478"/>
      <c r="LEK243" s="478"/>
      <c r="LEL243" s="478"/>
      <c r="LEM243" s="478"/>
      <c r="LEN243" s="478"/>
      <c r="LEO243" s="478"/>
      <c r="LEP243" s="478"/>
      <c r="LEQ243" s="478"/>
      <c r="LER243" s="478"/>
      <c r="LES243" s="478"/>
      <c r="LET243" s="478"/>
      <c r="LEU243" s="478"/>
      <c r="LEV243" s="478"/>
      <c r="LEW243" s="478"/>
      <c r="LEX243" s="478"/>
      <c r="LEY243" s="478"/>
      <c r="LEZ243" s="478"/>
      <c r="LFA243" s="478"/>
      <c r="LFB243" s="478"/>
      <c r="LFC243" s="478"/>
      <c r="LFD243" s="478"/>
      <c r="LFE243" s="478"/>
      <c r="LFF243" s="478"/>
      <c r="LFG243" s="478"/>
      <c r="LFH243" s="478"/>
      <c r="LFI243" s="478"/>
      <c r="LFJ243" s="478"/>
      <c r="LFK243" s="478"/>
      <c r="LFL243" s="478"/>
      <c r="LFM243" s="478"/>
      <c r="LFN243" s="478"/>
      <c r="LFO243" s="478"/>
      <c r="LFP243" s="478"/>
      <c r="LFQ243" s="478"/>
      <c r="LFR243" s="478"/>
      <c r="LFS243" s="478"/>
      <c r="LFT243" s="478"/>
      <c r="LFU243" s="478"/>
      <c r="LFV243" s="478"/>
      <c r="LFW243" s="478"/>
      <c r="LFX243" s="478"/>
      <c r="LFY243" s="478"/>
      <c r="LFZ243" s="478"/>
      <c r="LGA243" s="478"/>
      <c r="LGB243" s="478"/>
      <c r="LGC243" s="478"/>
      <c r="LGD243" s="478"/>
      <c r="LGE243" s="478"/>
      <c r="LGF243" s="478"/>
      <c r="LGG243" s="478"/>
      <c r="LGH243" s="478"/>
      <c r="LGI243" s="478"/>
      <c r="LGJ243" s="478"/>
      <c r="LGK243" s="478"/>
      <c r="LGL243" s="478"/>
      <c r="LGM243" s="478"/>
      <c r="LGN243" s="478"/>
      <c r="LGO243" s="478"/>
      <c r="LGP243" s="478"/>
      <c r="LGQ243" s="478"/>
      <c r="LGR243" s="478"/>
      <c r="LGS243" s="478"/>
      <c r="LGT243" s="478"/>
      <c r="LGU243" s="478"/>
      <c r="LGV243" s="478"/>
      <c r="LGW243" s="478"/>
      <c r="LGX243" s="478"/>
      <c r="LGY243" s="478"/>
      <c r="LGZ243" s="478"/>
      <c r="LHA243" s="478"/>
      <c r="LHB243" s="478"/>
      <c r="LHC243" s="478"/>
      <c r="LHD243" s="478"/>
      <c r="LHE243" s="478"/>
      <c r="LHF243" s="478"/>
      <c r="LHG243" s="478"/>
      <c r="LHH243" s="478"/>
      <c r="LHI243" s="478"/>
      <c r="LHJ243" s="478"/>
      <c r="LHK243" s="478"/>
      <c r="LHL243" s="478"/>
      <c r="LHM243" s="478"/>
      <c r="LHN243" s="478"/>
      <c r="LHO243" s="478"/>
      <c r="LHP243" s="478"/>
      <c r="LHQ243" s="478"/>
      <c r="LHR243" s="478"/>
      <c r="LHS243" s="478"/>
      <c r="LHT243" s="478"/>
      <c r="LHU243" s="478"/>
      <c r="LHV243" s="478"/>
      <c r="LHW243" s="478"/>
      <c r="LHX243" s="478"/>
      <c r="LHY243" s="478"/>
      <c r="LHZ243" s="478"/>
      <c r="LIA243" s="478"/>
      <c r="LIB243" s="478"/>
      <c r="LIC243" s="478"/>
      <c r="LID243" s="478"/>
      <c r="LIE243" s="478"/>
      <c r="LIF243" s="478"/>
      <c r="LIG243" s="478"/>
      <c r="LIH243" s="478"/>
      <c r="LII243" s="478"/>
      <c r="LIJ243" s="478"/>
      <c r="LIK243" s="478"/>
      <c r="LIL243" s="478"/>
      <c r="LIM243" s="478"/>
      <c r="LIN243" s="478"/>
      <c r="LIO243" s="478"/>
      <c r="LIP243" s="478"/>
      <c r="LIQ243" s="478"/>
      <c r="LIR243" s="478"/>
      <c r="LIS243" s="478"/>
      <c r="LIT243" s="478"/>
      <c r="LIU243" s="478"/>
      <c r="LIV243" s="478"/>
      <c r="LIW243" s="478"/>
      <c r="LIX243" s="478"/>
      <c r="LIY243" s="478"/>
      <c r="LIZ243" s="478"/>
      <c r="LJA243" s="478"/>
      <c r="LJB243" s="478"/>
      <c r="LJC243" s="478"/>
      <c r="LJD243" s="478"/>
      <c r="LJE243" s="478"/>
      <c r="LJF243" s="478"/>
      <c r="LJG243" s="478"/>
      <c r="LJH243" s="478"/>
      <c r="LJI243" s="478"/>
      <c r="LJJ243" s="478"/>
      <c r="LJK243" s="478"/>
      <c r="LJL243" s="478"/>
      <c r="LJM243" s="478"/>
      <c r="LJN243" s="478"/>
      <c r="LJO243" s="478"/>
      <c r="LJP243" s="478"/>
      <c r="LJQ243" s="478"/>
      <c r="LJR243" s="478"/>
      <c r="LJS243" s="478"/>
      <c r="LJT243" s="478"/>
      <c r="LJU243" s="478"/>
      <c r="LJV243" s="478"/>
      <c r="LJW243" s="478"/>
      <c r="LJX243" s="478"/>
      <c r="LJY243" s="478"/>
      <c r="LJZ243" s="478"/>
      <c r="LKA243" s="478"/>
      <c r="LKB243" s="478"/>
      <c r="LKC243" s="478"/>
      <c r="LKD243" s="478"/>
      <c r="LKE243" s="478"/>
      <c r="LKF243" s="478"/>
      <c r="LKG243" s="478"/>
      <c r="LKH243" s="478"/>
      <c r="LKI243" s="478"/>
      <c r="LKJ243" s="478"/>
      <c r="LKK243" s="478"/>
      <c r="LKL243" s="478"/>
      <c r="LKM243" s="478"/>
      <c r="LKN243" s="478"/>
      <c r="LKO243" s="478"/>
      <c r="LKP243" s="478"/>
      <c r="LKQ243" s="478"/>
      <c r="LKR243" s="478"/>
      <c r="LKS243" s="478"/>
      <c r="LKT243" s="478"/>
      <c r="LKU243" s="478"/>
      <c r="LKV243" s="478"/>
      <c r="LKW243" s="478"/>
      <c r="LKX243" s="478"/>
      <c r="LKY243" s="478"/>
      <c r="LKZ243" s="478"/>
      <c r="LLA243" s="478"/>
      <c r="LLB243" s="478"/>
      <c r="LLC243" s="478"/>
      <c r="LLD243" s="478"/>
      <c r="LLE243" s="478"/>
      <c r="LLF243" s="478"/>
      <c r="LLG243" s="478"/>
      <c r="LLH243" s="478"/>
      <c r="LLI243" s="478"/>
      <c r="LLJ243" s="478"/>
      <c r="LLK243" s="478"/>
      <c r="LLL243" s="478"/>
      <c r="LLM243" s="478"/>
      <c r="LLN243" s="478"/>
      <c r="LLO243" s="478"/>
      <c r="LLP243" s="478"/>
      <c r="LLQ243" s="478"/>
      <c r="LLR243" s="478"/>
      <c r="LLS243" s="478"/>
      <c r="LLT243" s="478"/>
      <c r="LLU243" s="478"/>
      <c r="LLV243" s="478"/>
      <c r="LLW243" s="478"/>
      <c r="LLX243" s="478"/>
      <c r="LLY243" s="478"/>
      <c r="LLZ243" s="478"/>
      <c r="LMA243" s="478"/>
      <c r="LMB243" s="478"/>
      <c r="LMC243" s="478"/>
      <c r="LMD243" s="478"/>
      <c r="LME243" s="478"/>
      <c r="LMF243" s="478"/>
      <c r="LMG243" s="478"/>
      <c r="LMH243" s="478"/>
      <c r="LMI243" s="478"/>
      <c r="LMJ243" s="478"/>
      <c r="LMK243" s="478"/>
      <c r="LML243" s="478"/>
      <c r="LMM243" s="478"/>
      <c r="LMN243" s="478"/>
      <c r="LMO243" s="478"/>
      <c r="LMP243" s="478"/>
      <c r="LMQ243" s="478"/>
      <c r="LMR243" s="478"/>
      <c r="LMS243" s="478"/>
      <c r="LMT243" s="478"/>
      <c r="LMU243" s="478"/>
      <c r="LMV243" s="478"/>
      <c r="LMW243" s="478"/>
      <c r="LMX243" s="478"/>
      <c r="LMY243" s="478"/>
      <c r="LMZ243" s="478"/>
      <c r="LNA243" s="478"/>
      <c r="LNB243" s="478"/>
      <c r="LNC243" s="478"/>
      <c r="LND243" s="478"/>
      <c r="LNE243" s="478"/>
      <c r="LNF243" s="478"/>
      <c r="LNG243" s="478"/>
      <c r="LNH243" s="478"/>
      <c r="LNI243" s="478"/>
      <c r="LNJ243" s="478"/>
      <c r="LNK243" s="478"/>
      <c r="LNL243" s="478"/>
      <c r="LNM243" s="478"/>
      <c r="LNN243" s="478"/>
      <c r="LNO243" s="478"/>
      <c r="LNP243" s="478"/>
      <c r="LNQ243" s="478"/>
      <c r="LNR243" s="478"/>
      <c r="LNS243" s="478"/>
      <c r="LNT243" s="478"/>
      <c r="LNU243" s="478"/>
      <c r="LNV243" s="478"/>
      <c r="LNW243" s="478"/>
      <c r="LNX243" s="478"/>
      <c r="LNY243" s="478"/>
      <c r="LNZ243" s="478"/>
      <c r="LOA243" s="478"/>
      <c r="LOB243" s="478"/>
      <c r="LOC243" s="478"/>
      <c r="LOD243" s="478"/>
      <c r="LOE243" s="478"/>
      <c r="LOF243" s="478"/>
      <c r="LOG243" s="478"/>
      <c r="LOH243" s="478"/>
      <c r="LOI243" s="478"/>
      <c r="LOJ243" s="478"/>
      <c r="LOK243" s="478"/>
      <c r="LOL243" s="478"/>
      <c r="LOM243" s="478"/>
      <c r="LON243" s="478"/>
      <c r="LOO243" s="478"/>
      <c r="LOP243" s="478"/>
      <c r="LOQ243" s="478"/>
      <c r="LOR243" s="478"/>
      <c r="LOS243" s="478"/>
      <c r="LOT243" s="478"/>
      <c r="LOU243" s="478"/>
      <c r="LOV243" s="478"/>
      <c r="LOW243" s="478"/>
      <c r="LOX243" s="478"/>
      <c r="LOY243" s="478"/>
      <c r="LOZ243" s="478"/>
      <c r="LPA243" s="478"/>
      <c r="LPB243" s="478"/>
      <c r="LPC243" s="478"/>
      <c r="LPD243" s="478"/>
      <c r="LPE243" s="478"/>
      <c r="LPF243" s="478"/>
      <c r="LPG243" s="478"/>
      <c r="LPH243" s="478"/>
      <c r="LPI243" s="478"/>
      <c r="LPJ243" s="478"/>
      <c r="LPK243" s="478"/>
      <c r="LPL243" s="478"/>
      <c r="LPM243" s="478"/>
      <c r="LPN243" s="478"/>
      <c r="LPO243" s="478"/>
      <c r="LPP243" s="478"/>
      <c r="LPQ243" s="478"/>
      <c r="LPR243" s="478"/>
      <c r="LPS243" s="478"/>
      <c r="LPT243" s="478"/>
      <c r="LPU243" s="478"/>
      <c r="LPV243" s="478"/>
      <c r="LPW243" s="478"/>
      <c r="LPX243" s="478"/>
      <c r="LPY243" s="478"/>
      <c r="LPZ243" s="478"/>
      <c r="LQA243" s="478"/>
      <c r="LQB243" s="478"/>
      <c r="LQC243" s="478"/>
      <c r="LQD243" s="478"/>
      <c r="LQE243" s="478"/>
      <c r="LQF243" s="478"/>
      <c r="LQG243" s="478"/>
      <c r="LQH243" s="478"/>
      <c r="LQI243" s="478"/>
      <c r="LQJ243" s="478"/>
      <c r="LQK243" s="478"/>
      <c r="LQL243" s="478"/>
      <c r="LQM243" s="478"/>
      <c r="LQN243" s="478"/>
      <c r="LQO243" s="478"/>
      <c r="LQP243" s="478"/>
      <c r="LQQ243" s="478"/>
      <c r="LQR243" s="478"/>
      <c r="LQS243" s="478"/>
      <c r="LQT243" s="478"/>
      <c r="LQU243" s="478"/>
      <c r="LQV243" s="478"/>
      <c r="LQW243" s="478"/>
      <c r="LQX243" s="478"/>
      <c r="LQY243" s="478"/>
      <c r="LQZ243" s="478"/>
      <c r="LRA243" s="478"/>
      <c r="LRB243" s="478"/>
      <c r="LRC243" s="478"/>
      <c r="LRD243" s="478"/>
      <c r="LRE243" s="478"/>
      <c r="LRF243" s="478"/>
      <c r="LRG243" s="478"/>
      <c r="LRH243" s="478"/>
      <c r="LRI243" s="478"/>
      <c r="LRJ243" s="478"/>
      <c r="LRK243" s="478"/>
      <c r="LRL243" s="478"/>
      <c r="LRM243" s="478"/>
      <c r="LRN243" s="478"/>
      <c r="LRO243" s="478"/>
      <c r="LRP243" s="478"/>
      <c r="LRQ243" s="478"/>
      <c r="LRR243" s="478"/>
      <c r="LRS243" s="478"/>
      <c r="LRT243" s="478"/>
      <c r="LRU243" s="478"/>
      <c r="LRV243" s="478"/>
      <c r="LRW243" s="478"/>
      <c r="LRX243" s="478"/>
      <c r="LRY243" s="478"/>
      <c r="LRZ243" s="478"/>
      <c r="LSA243" s="478"/>
      <c r="LSB243" s="478"/>
      <c r="LSC243" s="478"/>
      <c r="LSD243" s="478"/>
      <c r="LSE243" s="478"/>
      <c r="LSF243" s="478"/>
      <c r="LSG243" s="478"/>
      <c r="LSH243" s="478"/>
      <c r="LSI243" s="478"/>
      <c r="LSJ243" s="478"/>
      <c r="LSK243" s="478"/>
      <c r="LSL243" s="478"/>
      <c r="LSM243" s="478"/>
      <c r="LSN243" s="478"/>
      <c r="LSO243" s="478"/>
      <c r="LSP243" s="478"/>
      <c r="LSQ243" s="478"/>
      <c r="LSR243" s="478"/>
      <c r="LSS243" s="478"/>
      <c r="LST243" s="478"/>
      <c r="LSU243" s="478"/>
      <c r="LSV243" s="478"/>
      <c r="LSW243" s="478"/>
      <c r="LSX243" s="478"/>
      <c r="LSY243" s="478"/>
      <c r="LSZ243" s="478"/>
      <c r="LTA243" s="478"/>
      <c r="LTB243" s="478"/>
      <c r="LTC243" s="478"/>
      <c r="LTD243" s="478"/>
      <c r="LTE243" s="478"/>
      <c r="LTF243" s="478"/>
      <c r="LTG243" s="478"/>
      <c r="LTH243" s="478"/>
      <c r="LTI243" s="478"/>
      <c r="LTJ243" s="478"/>
      <c r="LTK243" s="478"/>
      <c r="LTL243" s="478"/>
      <c r="LTM243" s="478"/>
      <c r="LTN243" s="478"/>
      <c r="LTO243" s="478"/>
      <c r="LTP243" s="478"/>
      <c r="LTQ243" s="478"/>
      <c r="LTR243" s="478"/>
      <c r="LTS243" s="478"/>
      <c r="LTT243" s="478"/>
      <c r="LTU243" s="478"/>
      <c r="LTV243" s="478"/>
      <c r="LTW243" s="478"/>
      <c r="LTX243" s="478"/>
      <c r="LTY243" s="478"/>
      <c r="LTZ243" s="478"/>
      <c r="LUA243" s="478"/>
      <c r="LUB243" s="478"/>
      <c r="LUC243" s="478"/>
      <c r="LUD243" s="478"/>
      <c r="LUE243" s="478"/>
      <c r="LUF243" s="478"/>
      <c r="LUG243" s="478"/>
      <c r="LUH243" s="478"/>
      <c r="LUI243" s="478"/>
      <c r="LUJ243" s="478"/>
      <c r="LUK243" s="478"/>
      <c r="LUL243" s="478"/>
      <c r="LUM243" s="478"/>
      <c r="LUN243" s="478"/>
      <c r="LUO243" s="478"/>
      <c r="LUP243" s="478"/>
      <c r="LUQ243" s="478"/>
      <c r="LUR243" s="478"/>
      <c r="LUS243" s="478"/>
      <c r="LUT243" s="478"/>
      <c r="LUU243" s="478"/>
      <c r="LUV243" s="478"/>
      <c r="LUW243" s="478"/>
      <c r="LUX243" s="478"/>
      <c r="LUY243" s="478"/>
      <c r="LUZ243" s="478"/>
      <c r="LVA243" s="478"/>
      <c r="LVB243" s="478"/>
      <c r="LVC243" s="478"/>
      <c r="LVD243" s="478"/>
      <c r="LVE243" s="478"/>
      <c r="LVF243" s="478"/>
      <c r="LVG243" s="478"/>
      <c r="LVH243" s="478"/>
      <c r="LVI243" s="478"/>
      <c r="LVJ243" s="478"/>
      <c r="LVK243" s="478"/>
      <c r="LVL243" s="478"/>
      <c r="LVM243" s="478"/>
      <c r="LVN243" s="478"/>
      <c r="LVO243" s="478"/>
      <c r="LVP243" s="478"/>
      <c r="LVQ243" s="478"/>
      <c r="LVR243" s="478"/>
      <c r="LVS243" s="478"/>
      <c r="LVT243" s="478"/>
      <c r="LVU243" s="478"/>
      <c r="LVV243" s="478"/>
      <c r="LVW243" s="478"/>
      <c r="LVX243" s="478"/>
      <c r="LVY243" s="478"/>
      <c r="LVZ243" s="478"/>
      <c r="LWA243" s="478"/>
      <c r="LWB243" s="478"/>
      <c r="LWC243" s="478"/>
      <c r="LWD243" s="478"/>
      <c r="LWE243" s="478"/>
      <c r="LWF243" s="478"/>
      <c r="LWG243" s="478"/>
      <c r="LWH243" s="478"/>
      <c r="LWI243" s="478"/>
      <c r="LWJ243" s="478"/>
      <c r="LWK243" s="478"/>
      <c r="LWL243" s="478"/>
      <c r="LWM243" s="478"/>
      <c r="LWN243" s="478"/>
      <c r="LWO243" s="478"/>
      <c r="LWP243" s="478"/>
      <c r="LWQ243" s="478"/>
      <c r="LWR243" s="478"/>
      <c r="LWS243" s="478"/>
      <c r="LWT243" s="478"/>
      <c r="LWU243" s="478"/>
      <c r="LWV243" s="478"/>
      <c r="LWW243" s="478"/>
      <c r="LWX243" s="478"/>
      <c r="LWY243" s="478"/>
      <c r="LWZ243" s="478"/>
      <c r="LXA243" s="478"/>
      <c r="LXB243" s="478"/>
      <c r="LXC243" s="478"/>
      <c r="LXD243" s="478"/>
      <c r="LXE243" s="478"/>
      <c r="LXF243" s="478"/>
      <c r="LXG243" s="478"/>
      <c r="LXH243" s="478"/>
      <c r="LXI243" s="478"/>
      <c r="LXJ243" s="478"/>
      <c r="LXK243" s="478"/>
      <c r="LXL243" s="478"/>
      <c r="LXM243" s="478"/>
      <c r="LXN243" s="478"/>
      <c r="LXO243" s="478"/>
      <c r="LXP243" s="478"/>
      <c r="LXQ243" s="478"/>
      <c r="LXR243" s="478"/>
      <c r="LXS243" s="478"/>
      <c r="LXT243" s="478"/>
      <c r="LXU243" s="478"/>
      <c r="LXV243" s="478"/>
      <c r="LXW243" s="478"/>
      <c r="LXX243" s="478"/>
      <c r="LXY243" s="478"/>
      <c r="LXZ243" s="478"/>
      <c r="LYA243" s="478"/>
      <c r="LYB243" s="478"/>
      <c r="LYC243" s="478"/>
      <c r="LYD243" s="478"/>
      <c r="LYE243" s="478"/>
      <c r="LYF243" s="478"/>
      <c r="LYG243" s="478"/>
      <c r="LYH243" s="478"/>
      <c r="LYI243" s="478"/>
      <c r="LYJ243" s="478"/>
      <c r="LYK243" s="478"/>
      <c r="LYL243" s="478"/>
      <c r="LYM243" s="478"/>
      <c r="LYN243" s="478"/>
      <c r="LYO243" s="478"/>
      <c r="LYP243" s="478"/>
      <c r="LYQ243" s="478"/>
      <c r="LYR243" s="478"/>
      <c r="LYS243" s="478"/>
      <c r="LYT243" s="478"/>
      <c r="LYU243" s="478"/>
      <c r="LYV243" s="478"/>
      <c r="LYW243" s="478"/>
      <c r="LYX243" s="478"/>
      <c r="LYY243" s="478"/>
      <c r="LYZ243" s="478"/>
      <c r="LZA243" s="478"/>
      <c r="LZB243" s="478"/>
      <c r="LZC243" s="478"/>
      <c r="LZD243" s="478"/>
      <c r="LZE243" s="478"/>
      <c r="LZF243" s="478"/>
      <c r="LZG243" s="478"/>
      <c r="LZH243" s="478"/>
      <c r="LZI243" s="478"/>
      <c r="LZJ243" s="478"/>
      <c r="LZK243" s="478"/>
      <c r="LZL243" s="478"/>
      <c r="LZM243" s="478"/>
      <c r="LZN243" s="478"/>
      <c r="LZO243" s="478"/>
      <c r="LZP243" s="478"/>
      <c r="LZQ243" s="478"/>
      <c r="LZR243" s="478"/>
      <c r="LZS243" s="478"/>
      <c r="LZT243" s="478"/>
      <c r="LZU243" s="478"/>
      <c r="LZV243" s="478"/>
      <c r="LZW243" s="478"/>
      <c r="LZX243" s="478"/>
      <c r="LZY243" s="478"/>
      <c r="LZZ243" s="478"/>
      <c r="MAA243" s="478"/>
      <c r="MAB243" s="478"/>
      <c r="MAC243" s="478"/>
      <c r="MAD243" s="478"/>
      <c r="MAE243" s="478"/>
      <c r="MAF243" s="478"/>
      <c r="MAG243" s="478"/>
      <c r="MAH243" s="478"/>
      <c r="MAI243" s="478"/>
      <c r="MAJ243" s="478"/>
      <c r="MAK243" s="478"/>
      <c r="MAL243" s="478"/>
      <c r="MAM243" s="478"/>
      <c r="MAN243" s="478"/>
      <c r="MAO243" s="478"/>
      <c r="MAP243" s="478"/>
      <c r="MAQ243" s="478"/>
      <c r="MAR243" s="478"/>
      <c r="MAS243" s="478"/>
      <c r="MAT243" s="478"/>
      <c r="MAU243" s="478"/>
      <c r="MAV243" s="478"/>
      <c r="MAW243" s="478"/>
      <c r="MAX243" s="478"/>
      <c r="MAY243" s="478"/>
      <c r="MAZ243" s="478"/>
      <c r="MBA243" s="478"/>
      <c r="MBB243" s="478"/>
      <c r="MBC243" s="478"/>
      <c r="MBD243" s="478"/>
      <c r="MBE243" s="478"/>
      <c r="MBF243" s="478"/>
      <c r="MBG243" s="478"/>
      <c r="MBH243" s="478"/>
      <c r="MBI243" s="478"/>
      <c r="MBJ243" s="478"/>
      <c r="MBK243" s="478"/>
      <c r="MBL243" s="478"/>
      <c r="MBM243" s="478"/>
      <c r="MBN243" s="478"/>
      <c r="MBO243" s="478"/>
      <c r="MBP243" s="478"/>
      <c r="MBQ243" s="478"/>
      <c r="MBR243" s="478"/>
      <c r="MBS243" s="478"/>
      <c r="MBT243" s="478"/>
      <c r="MBU243" s="478"/>
      <c r="MBV243" s="478"/>
      <c r="MBW243" s="478"/>
      <c r="MBX243" s="478"/>
      <c r="MBY243" s="478"/>
      <c r="MBZ243" s="478"/>
      <c r="MCA243" s="478"/>
      <c r="MCB243" s="478"/>
      <c r="MCC243" s="478"/>
      <c r="MCD243" s="478"/>
      <c r="MCE243" s="478"/>
      <c r="MCF243" s="478"/>
      <c r="MCG243" s="478"/>
      <c r="MCH243" s="478"/>
      <c r="MCI243" s="478"/>
      <c r="MCJ243" s="478"/>
      <c r="MCK243" s="478"/>
      <c r="MCL243" s="478"/>
      <c r="MCM243" s="478"/>
      <c r="MCN243" s="478"/>
      <c r="MCO243" s="478"/>
      <c r="MCP243" s="478"/>
      <c r="MCQ243" s="478"/>
      <c r="MCR243" s="478"/>
      <c r="MCS243" s="478"/>
      <c r="MCT243" s="478"/>
      <c r="MCU243" s="478"/>
      <c r="MCV243" s="478"/>
      <c r="MCW243" s="478"/>
      <c r="MCX243" s="478"/>
      <c r="MCY243" s="478"/>
      <c r="MCZ243" s="478"/>
      <c r="MDA243" s="478"/>
      <c r="MDB243" s="478"/>
      <c r="MDC243" s="478"/>
      <c r="MDD243" s="478"/>
      <c r="MDE243" s="478"/>
      <c r="MDF243" s="478"/>
      <c r="MDG243" s="478"/>
      <c r="MDH243" s="478"/>
      <c r="MDI243" s="478"/>
      <c r="MDJ243" s="478"/>
      <c r="MDK243" s="478"/>
      <c r="MDL243" s="478"/>
      <c r="MDM243" s="478"/>
      <c r="MDN243" s="478"/>
      <c r="MDO243" s="478"/>
      <c r="MDP243" s="478"/>
      <c r="MDQ243" s="478"/>
      <c r="MDR243" s="478"/>
      <c r="MDS243" s="478"/>
      <c r="MDT243" s="478"/>
      <c r="MDU243" s="478"/>
      <c r="MDV243" s="478"/>
      <c r="MDW243" s="478"/>
      <c r="MDX243" s="478"/>
      <c r="MDY243" s="478"/>
      <c r="MDZ243" s="478"/>
      <c r="MEA243" s="478"/>
      <c r="MEB243" s="478"/>
      <c r="MEC243" s="478"/>
      <c r="MED243" s="478"/>
      <c r="MEE243" s="478"/>
      <c r="MEF243" s="478"/>
      <c r="MEG243" s="478"/>
      <c r="MEH243" s="478"/>
      <c r="MEI243" s="478"/>
      <c r="MEJ243" s="478"/>
      <c r="MEK243" s="478"/>
      <c r="MEL243" s="478"/>
      <c r="MEM243" s="478"/>
      <c r="MEN243" s="478"/>
      <c r="MEO243" s="478"/>
      <c r="MEP243" s="478"/>
      <c r="MEQ243" s="478"/>
      <c r="MER243" s="478"/>
      <c r="MES243" s="478"/>
      <c r="MET243" s="478"/>
      <c r="MEU243" s="478"/>
      <c r="MEV243" s="478"/>
      <c r="MEW243" s="478"/>
      <c r="MEX243" s="478"/>
      <c r="MEY243" s="478"/>
      <c r="MEZ243" s="478"/>
      <c r="MFA243" s="478"/>
      <c r="MFB243" s="478"/>
      <c r="MFC243" s="478"/>
      <c r="MFD243" s="478"/>
      <c r="MFE243" s="478"/>
      <c r="MFF243" s="478"/>
      <c r="MFG243" s="478"/>
      <c r="MFH243" s="478"/>
      <c r="MFI243" s="478"/>
      <c r="MFJ243" s="478"/>
      <c r="MFK243" s="478"/>
      <c r="MFL243" s="478"/>
      <c r="MFM243" s="478"/>
      <c r="MFN243" s="478"/>
      <c r="MFO243" s="478"/>
      <c r="MFP243" s="478"/>
      <c r="MFQ243" s="478"/>
      <c r="MFR243" s="478"/>
      <c r="MFS243" s="478"/>
      <c r="MFT243" s="478"/>
      <c r="MFU243" s="478"/>
      <c r="MFV243" s="478"/>
      <c r="MFW243" s="478"/>
      <c r="MFX243" s="478"/>
      <c r="MFY243" s="478"/>
      <c r="MFZ243" s="478"/>
      <c r="MGA243" s="478"/>
      <c r="MGB243" s="478"/>
      <c r="MGC243" s="478"/>
      <c r="MGD243" s="478"/>
      <c r="MGE243" s="478"/>
      <c r="MGF243" s="478"/>
      <c r="MGG243" s="478"/>
      <c r="MGH243" s="478"/>
      <c r="MGI243" s="478"/>
      <c r="MGJ243" s="478"/>
      <c r="MGK243" s="478"/>
      <c r="MGL243" s="478"/>
      <c r="MGM243" s="478"/>
      <c r="MGN243" s="478"/>
      <c r="MGO243" s="478"/>
      <c r="MGP243" s="478"/>
      <c r="MGQ243" s="478"/>
      <c r="MGR243" s="478"/>
      <c r="MGS243" s="478"/>
      <c r="MGT243" s="478"/>
      <c r="MGU243" s="478"/>
      <c r="MGV243" s="478"/>
      <c r="MGW243" s="478"/>
      <c r="MGX243" s="478"/>
      <c r="MGY243" s="478"/>
      <c r="MGZ243" s="478"/>
      <c r="MHA243" s="478"/>
      <c r="MHB243" s="478"/>
      <c r="MHC243" s="478"/>
      <c r="MHD243" s="478"/>
      <c r="MHE243" s="478"/>
      <c r="MHF243" s="478"/>
      <c r="MHG243" s="478"/>
      <c r="MHH243" s="478"/>
      <c r="MHI243" s="478"/>
      <c r="MHJ243" s="478"/>
      <c r="MHK243" s="478"/>
      <c r="MHL243" s="478"/>
      <c r="MHM243" s="478"/>
      <c r="MHN243" s="478"/>
      <c r="MHO243" s="478"/>
      <c r="MHP243" s="478"/>
      <c r="MHQ243" s="478"/>
      <c r="MHR243" s="478"/>
      <c r="MHS243" s="478"/>
      <c r="MHT243" s="478"/>
      <c r="MHU243" s="478"/>
      <c r="MHV243" s="478"/>
      <c r="MHW243" s="478"/>
      <c r="MHX243" s="478"/>
      <c r="MHY243" s="478"/>
      <c r="MHZ243" s="478"/>
      <c r="MIA243" s="478"/>
      <c r="MIB243" s="478"/>
      <c r="MIC243" s="478"/>
      <c r="MID243" s="478"/>
      <c r="MIE243" s="478"/>
      <c r="MIF243" s="478"/>
      <c r="MIG243" s="478"/>
      <c r="MIH243" s="478"/>
      <c r="MII243" s="478"/>
      <c r="MIJ243" s="478"/>
      <c r="MIK243" s="478"/>
      <c r="MIL243" s="478"/>
      <c r="MIM243" s="478"/>
      <c r="MIN243" s="478"/>
      <c r="MIO243" s="478"/>
      <c r="MIP243" s="478"/>
      <c r="MIQ243" s="478"/>
      <c r="MIR243" s="478"/>
      <c r="MIS243" s="478"/>
      <c r="MIT243" s="478"/>
      <c r="MIU243" s="478"/>
      <c r="MIV243" s="478"/>
      <c r="MIW243" s="478"/>
      <c r="MIX243" s="478"/>
      <c r="MIY243" s="478"/>
      <c r="MIZ243" s="478"/>
      <c r="MJA243" s="478"/>
      <c r="MJB243" s="478"/>
      <c r="MJC243" s="478"/>
      <c r="MJD243" s="478"/>
      <c r="MJE243" s="478"/>
      <c r="MJF243" s="478"/>
      <c r="MJG243" s="478"/>
      <c r="MJH243" s="478"/>
      <c r="MJI243" s="478"/>
      <c r="MJJ243" s="478"/>
      <c r="MJK243" s="478"/>
      <c r="MJL243" s="478"/>
      <c r="MJM243" s="478"/>
      <c r="MJN243" s="478"/>
      <c r="MJO243" s="478"/>
      <c r="MJP243" s="478"/>
      <c r="MJQ243" s="478"/>
      <c r="MJR243" s="478"/>
      <c r="MJS243" s="478"/>
      <c r="MJT243" s="478"/>
      <c r="MJU243" s="478"/>
      <c r="MJV243" s="478"/>
      <c r="MJW243" s="478"/>
      <c r="MJX243" s="478"/>
      <c r="MJY243" s="478"/>
      <c r="MJZ243" s="478"/>
      <c r="MKA243" s="478"/>
      <c r="MKB243" s="478"/>
      <c r="MKC243" s="478"/>
      <c r="MKD243" s="478"/>
      <c r="MKE243" s="478"/>
      <c r="MKF243" s="478"/>
      <c r="MKG243" s="478"/>
      <c r="MKH243" s="478"/>
      <c r="MKI243" s="478"/>
      <c r="MKJ243" s="478"/>
      <c r="MKK243" s="478"/>
      <c r="MKL243" s="478"/>
      <c r="MKM243" s="478"/>
      <c r="MKN243" s="478"/>
      <c r="MKO243" s="478"/>
      <c r="MKP243" s="478"/>
      <c r="MKQ243" s="478"/>
      <c r="MKR243" s="478"/>
      <c r="MKS243" s="478"/>
      <c r="MKT243" s="478"/>
      <c r="MKU243" s="478"/>
      <c r="MKV243" s="478"/>
      <c r="MKW243" s="478"/>
      <c r="MKX243" s="478"/>
      <c r="MKY243" s="478"/>
      <c r="MKZ243" s="478"/>
      <c r="MLA243" s="478"/>
      <c r="MLB243" s="478"/>
      <c r="MLC243" s="478"/>
      <c r="MLD243" s="478"/>
      <c r="MLE243" s="478"/>
      <c r="MLF243" s="478"/>
      <c r="MLG243" s="478"/>
      <c r="MLH243" s="478"/>
      <c r="MLI243" s="478"/>
      <c r="MLJ243" s="478"/>
      <c r="MLK243" s="478"/>
      <c r="MLL243" s="478"/>
      <c r="MLM243" s="478"/>
      <c r="MLN243" s="478"/>
      <c r="MLO243" s="478"/>
      <c r="MLP243" s="478"/>
      <c r="MLQ243" s="478"/>
      <c r="MLR243" s="478"/>
      <c r="MLS243" s="478"/>
      <c r="MLT243" s="478"/>
      <c r="MLU243" s="478"/>
      <c r="MLV243" s="478"/>
      <c r="MLW243" s="478"/>
      <c r="MLX243" s="478"/>
      <c r="MLY243" s="478"/>
      <c r="MLZ243" s="478"/>
      <c r="MMA243" s="478"/>
      <c r="MMB243" s="478"/>
      <c r="MMC243" s="478"/>
      <c r="MMD243" s="478"/>
      <c r="MME243" s="478"/>
      <c r="MMF243" s="478"/>
      <c r="MMG243" s="478"/>
      <c r="MMH243" s="478"/>
      <c r="MMI243" s="478"/>
      <c r="MMJ243" s="478"/>
      <c r="MMK243" s="478"/>
      <c r="MML243" s="478"/>
      <c r="MMM243" s="478"/>
      <c r="MMN243" s="478"/>
      <c r="MMO243" s="478"/>
      <c r="MMP243" s="478"/>
      <c r="MMQ243" s="478"/>
      <c r="MMR243" s="478"/>
      <c r="MMS243" s="478"/>
      <c r="MMT243" s="478"/>
      <c r="MMU243" s="478"/>
      <c r="MMV243" s="478"/>
      <c r="MMW243" s="478"/>
      <c r="MMX243" s="478"/>
      <c r="MMY243" s="478"/>
      <c r="MMZ243" s="478"/>
      <c r="MNA243" s="478"/>
      <c r="MNB243" s="478"/>
      <c r="MNC243" s="478"/>
      <c r="MND243" s="478"/>
      <c r="MNE243" s="478"/>
      <c r="MNF243" s="478"/>
      <c r="MNG243" s="478"/>
      <c r="MNH243" s="478"/>
      <c r="MNI243" s="478"/>
      <c r="MNJ243" s="478"/>
      <c r="MNK243" s="478"/>
      <c r="MNL243" s="478"/>
      <c r="MNM243" s="478"/>
      <c r="MNN243" s="478"/>
      <c r="MNO243" s="478"/>
      <c r="MNP243" s="478"/>
      <c r="MNQ243" s="478"/>
      <c r="MNR243" s="478"/>
      <c r="MNS243" s="478"/>
      <c r="MNT243" s="478"/>
      <c r="MNU243" s="478"/>
      <c r="MNV243" s="478"/>
      <c r="MNW243" s="478"/>
      <c r="MNX243" s="478"/>
      <c r="MNY243" s="478"/>
      <c r="MNZ243" s="478"/>
      <c r="MOA243" s="478"/>
      <c r="MOB243" s="478"/>
      <c r="MOC243" s="478"/>
      <c r="MOD243" s="478"/>
      <c r="MOE243" s="478"/>
      <c r="MOF243" s="478"/>
      <c r="MOG243" s="478"/>
      <c r="MOH243" s="478"/>
      <c r="MOI243" s="478"/>
      <c r="MOJ243" s="478"/>
      <c r="MOK243" s="478"/>
      <c r="MOL243" s="478"/>
      <c r="MOM243" s="478"/>
      <c r="MON243" s="478"/>
      <c r="MOO243" s="478"/>
      <c r="MOP243" s="478"/>
      <c r="MOQ243" s="478"/>
      <c r="MOR243" s="478"/>
      <c r="MOS243" s="478"/>
      <c r="MOT243" s="478"/>
      <c r="MOU243" s="478"/>
      <c r="MOV243" s="478"/>
      <c r="MOW243" s="478"/>
      <c r="MOX243" s="478"/>
      <c r="MOY243" s="478"/>
      <c r="MOZ243" s="478"/>
      <c r="MPA243" s="478"/>
      <c r="MPB243" s="478"/>
      <c r="MPC243" s="478"/>
      <c r="MPD243" s="478"/>
      <c r="MPE243" s="478"/>
      <c r="MPF243" s="478"/>
      <c r="MPG243" s="478"/>
      <c r="MPH243" s="478"/>
      <c r="MPI243" s="478"/>
      <c r="MPJ243" s="478"/>
      <c r="MPK243" s="478"/>
      <c r="MPL243" s="478"/>
      <c r="MPM243" s="478"/>
      <c r="MPN243" s="478"/>
      <c r="MPO243" s="478"/>
      <c r="MPP243" s="478"/>
      <c r="MPQ243" s="478"/>
      <c r="MPR243" s="478"/>
      <c r="MPS243" s="478"/>
      <c r="MPT243" s="478"/>
      <c r="MPU243" s="478"/>
      <c r="MPV243" s="478"/>
      <c r="MPW243" s="478"/>
      <c r="MPX243" s="478"/>
      <c r="MPY243" s="478"/>
      <c r="MPZ243" s="478"/>
      <c r="MQA243" s="478"/>
      <c r="MQB243" s="478"/>
      <c r="MQC243" s="478"/>
      <c r="MQD243" s="478"/>
      <c r="MQE243" s="478"/>
      <c r="MQF243" s="478"/>
      <c r="MQG243" s="478"/>
      <c r="MQH243" s="478"/>
      <c r="MQI243" s="478"/>
      <c r="MQJ243" s="478"/>
      <c r="MQK243" s="478"/>
      <c r="MQL243" s="478"/>
      <c r="MQM243" s="478"/>
      <c r="MQN243" s="478"/>
      <c r="MQO243" s="478"/>
      <c r="MQP243" s="478"/>
      <c r="MQQ243" s="478"/>
      <c r="MQR243" s="478"/>
      <c r="MQS243" s="478"/>
      <c r="MQT243" s="478"/>
      <c r="MQU243" s="478"/>
      <c r="MQV243" s="478"/>
      <c r="MQW243" s="478"/>
      <c r="MQX243" s="478"/>
      <c r="MQY243" s="478"/>
      <c r="MQZ243" s="478"/>
      <c r="MRA243" s="478"/>
      <c r="MRB243" s="478"/>
      <c r="MRC243" s="478"/>
      <c r="MRD243" s="478"/>
      <c r="MRE243" s="478"/>
      <c r="MRF243" s="478"/>
      <c r="MRG243" s="478"/>
      <c r="MRH243" s="478"/>
      <c r="MRI243" s="478"/>
      <c r="MRJ243" s="478"/>
      <c r="MRK243" s="478"/>
      <c r="MRL243" s="478"/>
      <c r="MRM243" s="478"/>
      <c r="MRN243" s="478"/>
      <c r="MRO243" s="478"/>
      <c r="MRP243" s="478"/>
      <c r="MRQ243" s="478"/>
      <c r="MRR243" s="478"/>
      <c r="MRS243" s="478"/>
      <c r="MRT243" s="478"/>
      <c r="MRU243" s="478"/>
      <c r="MRV243" s="478"/>
      <c r="MRW243" s="478"/>
      <c r="MRX243" s="478"/>
      <c r="MRY243" s="478"/>
      <c r="MRZ243" s="478"/>
      <c r="MSA243" s="478"/>
      <c r="MSB243" s="478"/>
      <c r="MSC243" s="478"/>
      <c r="MSD243" s="478"/>
      <c r="MSE243" s="478"/>
      <c r="MSF243" s="478"/>
      <c r="MSG243" s="478"/>
      <c r="MSH243" s="478"/>
      <c r="MSI243" s="478"/>
      <c r="MSJ243" s="478"/>
      <c r="MSK243" s="478"/>
      <c r="MSL243" s="478"/>
      <c r="MSM243" s="478"/>
      <c r="MSN243" s="478"/>
      <c r="MSO243" s="478"/>
      <c r="MSP243" s="478"/>
      <c r="MSQ243" s="478"/>
      <c r="MSR243" s="478"/>
      <c r="MSS243" s="478"/>
      <c r="MST243" s="478"/>
      <c r="MSU243" s="478"/>
      <c r="MSV243" s="478"/>
      <c r="MSW243" s="478"/>
      <c r="MSX243" s="478"/>
      <c r="MSY243" s="478"/>
      <c r="MSZ243" s="478"/>
      <c r="MTA243" s="478"/>
      <c r="MTB243" s="478"/>
      <c r="MTC243" s="478"/>
      <c r="MTD243" s="478"/>
      <c r="MTE243" s="478"/>
      <c r="MTF243" s="478"/>
      <c r="MTG243" s="478"/>
      <c r="MTH243" s="478"/>
      <c r="MTI243" s="478"/>
      <c r="MTJ243" s="478"/>
      <c r="MTK243" s="478"/>
      <c r="MTL243" s="478"/>
      <c r="MTM243" s="478"/>
      <c r="MTN243" s="478"/>
      <c r="MTO243" s="478"/>
      <c r="MTP243" s="478"/>
      <c r="MTQ243" s="478"/>
      <c r="MTR243" s="478"/>
      <c r="MTS243" s="478"/>
      <c r="MTT243" s="478"/>
      <c r="MTU243" s="478"/>
      <c r="MTV243" s="478"/>
      <c r="MTW243" s="478"/>
      <c r="MTX243" s="478"/>
      <c r="MTY243" s="478"/>
      <c r="MTZ243" s="478"/>
      <c r="MUA243" s="478"/>
      <c r="MUB243" s="478"/>
      <c r="MUC243" s="478"/>
      <c r="MUD243" s="478"/>
      <c r="MUE243" s="478"/>
      <c r="MUF243" s="478"/>
      <c r="MUG243" s="478"/>
      <c r="MUH243" s="478"/>
      <c r="MUI243" s="478"/>
      <c r="MUJ243" s="478"/>
      <c r="MUK243" s="478"/>
      <c r="MUL243" s="478"/>
      <c r="MUM243" s="478"/>
      <c r="MUN243" s="478"/>
      <c r="MUO243" s="478"/>
      <c r="MUP243" s="478"/>
      <c r="MUQ243" s="478"/>
      <c r="MUR243" s="478"/>
      <c r="MUS243" s="478"/>
      <c r="MUT243" s="478"/>
      <c r="MUU243" s="478"/>
      <c r="MUV243" s="478"/>
      <c r="MUW243" s="478"/>
      <c r="MUX243" s="478"/>
      <c r="MUY243" s="478"/>
      <c r="MUZ243" s="478"/>
      <c r="MVA243" s="478"/>
      <c r="MVB243" s="478"/>
      <c r="MVC243" s="478"/>
      <c r="MVD243" s="478"/>
      <c r="MVE243" s="478"/>
      <c r="MVF243" s="478"/>
      <c r="MVG243" s="478"/>
      <c r="MVH243" s="478"/>
      <c r="MVI243" s="478"/>
      <c r="MVJ243" s="478"/>
      <c r="MVK243" s="478"/>
      <c r="MVL243" s="478"/>
      <c r="MVM243" s="478"/>
      <c r="MVN243" s="478"/>
      <c r="MVO243" s="478"/>
      <c r="MVP243" s="478"/>
      <c r="MVQ243" s="478"/>
      <c r="MVR243" s="478"/>
      <c r="MVS243" s="478"/>
      <c r="MVT243" s="478"/>
      <c r="MVU243" s="478"/>
      <c r="MVV243" s="478"/>
      <c r="MVW243" s="478"/>
      <c r="MVX243" s="478"/>
      <c r="MVY243" s="478"/>
      <c r="MVZ243" s="478"/>
      <c r="MWA243" s="478"/>
      <c r="MWB243" s="478"/>
      <c r="MWC243" s="478"/>
      <c r="MWD243" s="478"/>
      <c r="MWE243" s="478"/>
      <c r="MWF243" s="478"/>
      <c r="MWG243" s="478"/>
      <c r="MWH243" s="478"/>
      <c r="MWI243" s="478"/>
      <c r="MWJ243" s="478"/>
      <c r="MWK243" s="478"/>
      <c r="MWL243" s="478"/>
      <c r="MWM243" s="478"/>
      <c r="MWN243" s="478"/>
      <c r="MWO243" s="478"/>
      <c r="MWP243" s="478"/>
      <c r="MWQ243" s="478"/>
      <c r="MWR243" s="478"/>
      <c r="MWS243" s="478"/>
      <c r="MWT243" s="478"/>
      <c r="MWU243" s="478"/>
      <c r="MWV243" s="478"/>
      <c r="MWW243" s="478"/>
      <c r="MWX243" s="478"/>
      <c r="MWY243" s="478"/>
      <c r="MWZ243" s="478"/>
      <c r="MXA243" s="478"/>
      <c r="MXB243" s="478"/>
      <c r="MXC243" s="478"/>
      <c r="MXD243" s="478"/>
      <c r="MXE243" s="478"/>
      <c r="MXF243" s="478"/>
      <c r="MXG243" s="478"/>
      <c r="MXH243" s="478"/>
      <c r="MXI243" s="478"/>
      <c r="MXJ243" s="478"/>
      <c r="MXK243" s="478"/>
      <c r="MXL243" s="478"/>
      <c r="MXM243" s="478"/>
      <c r="MXN243" s="478"/>
      <c r="MXO243" s="478"/>
      <c r="MXP243" s="478"/>
      <c r="MXQ243" s="478"/>
      <c r="MXR243" s="478"/>
      <c r="MXS243" s="478"/>
      <c r="MXT243" s="478"/>
      <c r="MXU243" s="478"/>
      <c r="MXV243" s="478"/>
      <c r="MXW243" s="478"/>
      <c r="MXX243" s="478"/>
      <c r="MXY243" s="478"/>
      <c r="MXZ243" s="478"/>
      <c r="MYA243" s="478"/>
      <c r="MYB243" s="478"/>
      <c r="MYC243" s="478"/>
      <c r="MYD243" s="478"/>
      <c r="MYE243" s="478"/>
      <c r="MYF243" s="478"/>
      <c r="MYG243" s="478"/>
      <c r="MYH243" s="478"/>
      <c r="MYI243" s="478"/>
      <c r="MYJ243" s="478"/>
      <c r="MYK243" s="478"/>
      <c r="MYL243" s="478"/>
      <c r="MYM243" s="478"/>
      <c r="MYN243" s="478"/>
      <c r="MYO243" s="478"/>
      <c r="MYP243" s="478"/>
      <c r="MYQ243" s="478"/>
      <c r="MYR243" s="478"/>
      <c r="MYS243" s="478"/>
      <c r="MYT243" s="478"/>
      <c r="MYU243" s="478"/>
      <c r="MYV243" s="478"/>
      <c r="MYW243" s="478"/>
      <c r="MYX243" s="478"/>
      <c r="MYY243" s="478"/>
      <c r="MYZ243" s="478"/>
      <c r="MZA243" s="478"/>
      <c r="MZB243" s="478"/>
      <c r="MZC243" s="478"/>
      <c r="MZD243" s="478"/>
      <c r="MZE243" s="478"/>
      <c r="MZF243" s="478"/>
      <c r="MZG243" s="478"/>
      <c r="MZH243" s="478"/>
      <c r="MZI243" s="478"/>
      <c r="MZJ243" s="478"/>
      <c r="MZK243" s="478"/>
      <c r="MZL243" s="478"/>
      <c r="MZM243" s="478"/>
      <c r="MZN243" s="478"/>
      <c r="MZO243" s="478"/>
      <c r="MZP243" s="478"/>
      <c r="MZQ243" s="478"/>
      <c r="MZR243" s="478"/>
      <c r="MZS243" s="478"/>
      <c r="MZT243" s="478"/>
      <c r="MZU243" s="478"/>
      <c r="MZV243" s="478"/>
      <c r="MZW243" s="478"/>
      <c r="MZX243" s="478"/>
      <c r="MZY243" s="478"/>
      <c r="MZZ243" s="478"/>
      <c r="NAA243" s="478"/>
      <c r="NAB243" s="478"/>
      <c r="NAC243" s="478"/>
      <c r="NAD243" s="478"/>
      <c r="NAE243" s="478"/>
      <c r="NAF243" s="478"/>
      <c r="NAG243" s="478"/>
      <c r="NAH243" s="478"/>
      <c r="NAI243" s="478"/>
      <c r="NAJ243" s="478"/>
      <c r="NAK243" s="478"/>
      <c r="NAL243" s="478"/>
      <c r="NAM243" s="478"/>
      <c r="NAN243" s="478"/>
      <c r="NAO243" s="478"/>
      <c r="NAP243" s="478"/>
      <c r="NAQ243" s="478"/>
      <c r="NAR243" s="478"/>
      <c r="NAS243" s="478"/>
      <c r="NAT243" s="478"/>
      <c r="NAU243" s="478"/>
      <c r="NAV243" s="478"/>
      <c r="NAW243" s="478"/>
      <c r="NAX243" s="478"/>
      <c r="NAY243" s="478"/>
      <c r="NAZ243" s="478"/>
      <c r="NBA243" s="478"/>
      <c r="NBB243" s="478"/>
      <c r="NBC243" s="478"/>
      <c r="NBD243" s="478"/>
      <c r="NBE243" s="478"/>
      <c r="NBF243" s="478"/>
      <c r="NBG243" s="478"/>
      <c r="NBH243" s="478"/>
      <c r="NBI243" s="478"/>
      <c r="NBJ243" s="478"/>
      <c r="NBK243" s="478"/>
      <c r="NBL243" s="478"/>
      <c r="NBM243" s="478"/>
      <c r="NBN243" s="478"/>
      <c r="NBO243" s="478"/>
      <c r="NBP243" s="478"/>
      <c r="NBQ243" s="478"/>
      <c r="NBR243" s="478"/>
      <c r="NBS243" s="478"/>
      <c r="NBT243" s="478"/>
      <c r="NBU243" s="478"/>
      <c r="NBV243" s="478"/>
      <c r="NBW243" s="478"/>
      <c r="NBX243" s="478"/>
      <c r="NBY243" s="478"/>
      <c r="NBZ243" s="478"/>
      <c r="NCA243" s="478"/>
      <c r="NCB243" s="478"/>
      <c r="NCC243" s="478"/>
      <c r="NCD243" s="478"/>
      <c r="NCE243" s="478"/>
      <c r="NCF243" s="478"/>
      <c r="NCG243" s="478"/>
      <c r="NCH243" s="478"/>
      <c r="NCI243" s="478"/>
      <c r="NCJ243" s="478"/>
      <c r="NCK243" s="478"/>
      <c r="NCL243" s="478"/>
      <c r="NCM243" s="478"/>
      <c r="NCN243" s="478"/>
      <c r="NCO243" s="478"/>
      <c r="NCP243" s="478"/>
      <c r="NCQ243" s="478"/>
      <c r="NCR243" s="478"/>
      <c r="NCS243" s="478"/>
      <c r="NCT243" s="478"/>
      <c r="NCU243" s="478"/>
      <c r="NCV243" s="478"/>
      <c r="NCW243" s="478"/>
      <c r="NCX243" s="478"/>
      <c r="NCY243" s="478"/>
      <c r="NCZ243" s="478"/>
      <c r="NDA243" s="478"/>
      <c r="NDB243" s="478"/>
      <c r="NDC243" s="478"/>
      <c r="NDD243" s="478"/>
      <c r="NDE243" s="478"/>
      <c r="NDF243" s="478"/>
      <c r="NDG243" s="478"/>
      <c r="NDH243" s="478"/>
      <c r="NDI243" s="478"/>
      <c r="NDJ243" s="478"/>
      <c r="NDK243" s="478"/>
      <c r="NDL243" s="478"/>
      <c r="NDM243" s="478"/>
      <c r="NDN243" s="478"/>
      <c r="NDO243" s="478"/>
      <c r="NDP243" s="478"/>
      <c r="NDQ243" s="478"/>
      <c r="NDR243" s="478"/>
      <c r="NDS243" s="478"/>
      <c r="NDT243" s="478"/>
      <c r="NDU243" s="478"/>
      <c r="NDV243" s="478"/>
      <c r="NDW243" s="478"/>
      <c r="NDX243" s="478"/>
      <c r="NDY243" s="478"/>
      <c r="NDZ243" s="478"/>
      <c r="NEA243" s="478"/>
      <c r="NEB243" s="478"/>
      <c r="NEC243" s="478"/>
      <c r="NED243" s="478"/>
      <c r="NEE243" s="478"/>
      <c r="NEF243" s="478"/>
      <c r="NEG243" s="478"/>
      <c r="NEH243" s="478"/>
      <c r="NEI243" s="478"/>
      <c r="NEJ243" s="478"/>
      <c r="NEK243" s="478"/>
      <c r="NEL243" s="478"/>
      <c r="NEM243" s="478"/>
      <c r="NEN243" s="478"/>
      <c r="NEO243" s="478"/>
      <c r="NEP243" s="478"/>
      <c r="NEQ243" s="478"/>
      <c r="NER243" s="478"/>
      <c r="NES243" s="478"/>
      <c r="NET243" s="478"/>
      <c r="NEU243" s="478"/>
      <c r="NEV243" s="478"/>
      <c r="NEW243" s="478"/>
      <c r="NEX243" s="478"/>
      <c r="NEY243" s="478"/>
      <c r="NEZ243" s="478"/>
      <c r="NFA243" s="478"/>
      <c r="NFB243" s="478"/>
      <c r="NFC243" s="478"/>
      <c r="NFD243" s="478"/>
      <c r="NFE243" s="478"/>
      <c r="NFF243" s="478"/>
      <c r="NFG243" s="478"/>
      <c r="NFH243" s="478"/>
      <c r="NFI243" s="478"/>
      <c r="NFJ243" s="478"/>
      <c r="NFK243" s="478"/>
      <c r="NFL243" s="478"/>
      <c r="NFM243" s="478"/>
      <c r="NFN243" s="478"/>
      <c r="NFO243" s="478"/>
      <c r="NFP243" s="478"/>
      <c r="NFQ243" s="478"/>
      <c r="NFR243" s="478"/>
      <c r="NFS243" s="478"/>
      <c r="NFT243" s="478"/>
      <c r="NFU243" s="478"/>
      <c r="NFV243" s="478"/>
      <c r="NFW243" s="478"/>
      <c r="NFX243" s="478"/>
      <c r="NFY243" s="478"/>
      <c r="NFZ243" s="478"/>
      <c r="NGA243" s="478"/>
      <c r="NGB243" s="478"/>
      <c r="NGC243" s="478"/>
      <c r="NGD243" s="478"/>
      <c r="NGE243" s="478"/>
      <c r="NGF243" s="478"/>
      <c r="NGG243" s="478"/>
      <c r="NGH243" s="478"/>
      <c r="NGI243" s="478"/>
      <c r="NGJ243" s="478"/>
      <c r="NGK243" s="478"/>
      <c r="NGL243" s="478"/>
      <c r="NGM243" s="478"/>
      <c r="NGN243" s="478"/>
      <c r="NGO243" s="478"/>
      <c r="NGP243" s="478"/>
      <c r="NGQ243" s="478"/>
      <c r="NGR243" s="478"/>
      <c r="NGS243" s="478"/>
      <c r="NGT243" s="478"/>
      <c r="NGU243" s="478"/>
      <c r="NGV243" s="478"/>
      <c r="NGW243" s="478"/>
      <c r="NGX243" s="478"/>
      <c r="NGY243" s="478"/>
      <c r="NGZ243" s="478"/>
      <c r="NHA243" s="478"/>
      <c r="NHB243" s="478"/>
      <c r="NHC243" s="478"/>
      <c r="NHD243" s="478"/>
      <c r="NHE243" s="478"/>
      <c r="NHF243" s="478"/>
      <c r="NHG243" s="478"/>
      <c r="NHH243" s="478"/>
      <c r="NHI243" s="478"/>
      <c r="NHJ243" s="478"/>
      <c r="NHK243" s="478"/>
      <c r="NHL243" s="478"/>
      <c r="NHM243" s="478"/>
      <c r="NHN243" s="478"/>
      <c r="NHO243" s="478"/>
      <c r="NHP243" s="478"/>
      <c r="NHQ243" s="478"/>
      <c r="NHR243" s="478"/>
      <c r="NHS243" s="478"/>
      <c r="NHT243" s="478"/>
      <c r="NHU243" s="478"/>
      <c r="NHV243" s="478"/>
      <c r="NHW243" s="478"/>
      <c r="NHX243" s="478"/>
      <c r="NHY243" s="478"/>
      <c r="NHZ243" s="478"/>
      <c r="NIA243" s="478"/>
      <c r="NIB243" s="478"/>
      <c r="NIC243" s="478"/>
      <c r="NID243" s="478"/>
      <c r="NIE243" s="478"/>
      <c r="NIF243" s="478"/>
      <c r="NIG243" s="478"/>
      <c r="NIH243" s="478"/>
      <c r="NII243" s="478"/>
      <c r="NIJ243" s="478"/>
      <c r="NIK243" s="478"/>
      <c r="NIL243" s="478"/>
      <c r="NIM243" s="478"/>
      <c r="NIN243" s="478"/>
      <c r="NIO243" s="478"/>
      <c r="NIP243" s="478"/>
      <c r="NIQ243" s="478"/>
      <c r="NIR243" s="478"/>
      <c r="NIS243" s="478"/>
      <c r="NIT243" s="478"/>
      <c r="NIU243" s="478"/>
      <c r="NIV243" s="478"/>
      <c r="NIW243" s="478"/>
      <c r="NIX243" s="478"/>
      <c r="NIY243" s="478"/>
      <c r="NIZ243" s="478"/>
      <c r="NJA243" s="478"/>
      <c r="NJB243" s="478"/>
      <c r="NJC243" s="478"/>
      <c r="NJD243" s="478"/>
      <c r="NJE243" s="478"/>
      <c r="NJF243" s="478"/>
      <c r="NJG243" s="478"/>
      <c r="NJH243" s="478"/>
      <c r="NJI243" s="478"/>
      <c r="NJJ243" s="478"/>
      <c r="NJK243" s="478"/>
      <c r="NJL243" s="478"/>
      <c r="NJM243" s="478"/>
      <c r="NJN243" s="478"/>
      <c r="NJO243" s="478"/>
      <c r="NJP243" s="478"/>
      <c r="NJQ243" s="478"/>
      <c r="NJR243" s="478"/>
      <c r="NJS243" s="478"/>
      <c r="NJT243" s="478"/>
      <c r="NJU243" s="478"/>
      <c r="NJV243" s="478"/>
      <c r="NJW243" s="478"/>
      <c r="NJX243" s="478"/>
      <c r="NJY243" s="478"/>
      <c r="NJZ243" s="478"/>
      <c r="NKA243" s="478"/>
      <c r="NKB243" s="478"/>
      <c r="NKC243" s="478"/>
      <c r="NKD243" s="478"/>
      <c r="NKE243" s="478"/>
      <c r="NKF243" s="478"/>
      <c r="NKG243" s="478"/>
      <c r="NKH243" s="478"/>
      <c r="NKI243" s="478"/>
      <c r="NKJ243" s="478"/>
      <c r="NKK243" s="478"/>
      <c r="NKL243" s="478"/>
      <c r="NKM243" s="478"/>
      <c r="NKN243" s="478"/>
      <c r="NKO243" s="478"/>
      <c r="NKP243" s="478"/>
      <c r="NKQ243" s="478"/>
      <c r="NKR243" s="478"/>
      <c r="NKS243" s="478"/>
      <c r="NKT243" s="478"/>
      <c r="NKU243" s="478"/>
      <c r="NKV243" s="478"/>
      <c r="NKW243" s="478"/>
      <c r="NKX243" s="478"/>
      <c r="NKY243" s="478"/>
      <c r="NKZ243" s="478"/>
      <c r="NLA243" s="478"/>
      <c r="NLB243" s="478"/>
      <c r="NLC243" s="478"/>
      <c r="NLD243" s="478"/>
      <c r="NLE243" s="478"/>
      <c r="NLF243" s="478"/>
      <c r="NLG243" s="478"/>
      <c r="NLH243" s="478"/>
      <c r="NLI243" s="478"/>
      <c r="NLJ243" s="478"/>
      <c r="NLK243" s="478"/>
      <c r="NLL243" s="478"/>
      <c r="NLM243" s="478"/>
      <c r="NLN243" s="478"/>
      <c r="NLO243" s="478"/>
      <c r="NLP243" s="478"/>
      <c r="NLQ243" s="478"/>
      <c r="NLR243" s="478"/>
      <c r="NLS243" s="478"/>
      <c r="NLT243" s="478"/>
      <c r="NLU243" s="478"/>
      <c r="NLV243" s="478"/>
      <c r="NLW243" s="478"/>
      <c r="NLX243" s="478"/>
      <c r="NLY243" s="478"/>
      <c r="NLZ243" s="478"/>
      <c r="NMA243" s="478"/>
      <c r="NMB243" s="478"/>
      <c r="NMC243" s="478"/>
      <c r="NMD243" s="478"/>
      <c r="NME243" s="478"/>
      <c r="NMF243" s="478"/>
      <c r="NMG243" s="478"/>
      <c r="NMH243" s="478"/>
      <c r="NMI243" s="478"/>
      <c r="NMJ243" s="478"/>
      <c r="NMK243" s="478"/>
      <c r="NML243" s="478"/>
      <c r="NMM243" s="478"/>
      <c r="NMN243" s="478"/>
      <c r="NMO243" s="478"/>
      <c r="NMP243" s="478"/>
      <c r="NMQ243" s="478"/>
      <c r="NMR243" s="478"/>
      <c r="NMS243" s="478"/>
      <c r="NMT243" s="478"/>
      <c r="NMU243" s="478"/>
      <c r="NMV243" s="478"/>
      <c r="NMW243" s="478"/>
      <c r="NMX243" s="478"/>
      <c r="NMY243" s="478"/>
      <c r="NMZ243" s="478"/>
      <c r="NNA243" s="478"/>
      <c r="NNB243" s="478"/>
      <c r="NNC243" s="478"/>
      <c r="NND243" s="478"/>
      <c r="NNE243" s="478"/>
      <c r="NNF243" s="478"/>
      <c r="NNG243" s="478"/>
      <c r="NNH243" s="478"/>
      <c r="NNI243" s="478"/>
      <c r="NNJ243" s="478"/>
      <c r="NNK243" s="478"/>
      <c r="NNL243" s="478"/>
      <c r="NNM243" s="478"/>
      <c r="NNN243" s="478"/>
      <c r="NNO243" s="478"/>
      <c r="NNP243" s="478"/>
      <c r="NNQ243" s="478"/>
      <c r="NNR243" s="478"/>
      <c r="NNS243" s="478"/>
      <c r="NNT243" s="478"/>
      <c r="NNU243" s="478"/>
      <c r="NNV243" s="478"/>
      <c r="NNW243" s="478"/>
      <c r="NNX243" s="478"/>
      <c r="NNY243" s="478"/>
      <c r="NNZ243" s="478"/>
      <c r="NOA243" s="478"/>
      <c r="NOB243" s="478"/>
      <c r="NOC243" s="478"/>
      <c r="NOD243" s="478"/>
      <c r="NOE243" s="478"/>
      <c r="NOF243" s="478"/>
      <c r="NOG243" s="478"/>
      <c r="NOH243" s="478"/>
      <c r="NOI243" s="478"/>
      <c r="NOJ243" s="478"/>
      <c r="NOK243" s="478"/>
      <c r="NOL243" s="478"/>
      <c r="NOM243" s="478"/>
      <c r="NON243" s="478"/>
      <c r="NOO243" s="478"/>
      <c r="NOP243" s="478"/>
      <c r="NOQ243" s="478"/>
      <c r="NOR243" s="478"/>
      <c r="NOS243" s="478"/>
      <c r="NOT243" s="478"/>
      <c r="NOU243" s="478"/>
      <c r="NOV243" s="478"/>
      <c r="NOW243" s="478"/>
      <c r="NOX243" s="478"/>
      <c r="NOY243" s="478"/>
      <c r="NOZ243" s="478"/>
      <c r="NPA243" s="478"/>
      <c r="NPB243" s="478"/>
      <c r="NPC243" s="478"/>
      <c r="NPD243" s="478"/>
      <c r="NPE243" s="478"/>
      <c r="NPF243" s="478"/>
      <c r="NPG243" s="478"/>
      <c r="NPH243" s="478"/>
      <c r="NPI243" s="478"/>
      <c r="NPJ243" s="478"/>
      <c r="NPK243" s="478"/>
      <c r="NPL243" s="478"/>
      <c r="NPM243" s="478"/>
      <c r="NPN243" s="478"/>
      <c r="NPO243" s="478"/>
      <c r="NPP243" s="478"/>
      <c r="NPQ243" s="478"/>
      <c r="NPR243" s="478"/>
      <c r="NPS243" s="478"/>
      <c r="NPT243" s="478"/>
      <c r="NPU243" s="478"/>
      <c r="NPV243" s="478"/>
      <c r="NPW243" s="478"/>
      <c r="NPX243" s="478"/>
      <c r="NPY243" s="478"/>
      <c r="NPZ243" s="478"/>
      <c r="NQA243" s="478"/>
      <c r="NQB243" s="478"/>
      <c r="NQC243" s="478"/>
      <c r="NQD243" s="478"/>
      <c r="NQE243" s="478"/>
      <c r="NQF243" s="478"/>
      <c r="NQG243" s="478"/>
      <c r="NQH243" s="478"/>
      <c r="NQI243" s="478"/>
      <c r="NQJ243" s="478"/>
      <c r="NQK243" s="478"/>
      <c r="NQL243" s="478"/>
      <c r="NQM243" s="478"/>
      <c r="NQN243" s="478"/>
      <c r="NQO243" s="478"/>
      <c r="NQP243" s="478"/>
      <c r="NQQ243" s="478"/>
      <c r="NQR243" s="478"/>
      <c r="NQS243" s="478"/>
      <c r="NQT243" s="478"/>
      <c r="NQU243" s="478"/>
      <c r="NQV243" s="478"/>
      <c r="NQW243" s="478"/>
      <c r="NQX243" s="478"/>
      <c r="NQY243" s="478"/>
      <c r="NQZ243" s="478"/>
      <c r="NRA243" s="478"/>
      <c r="NRB243" s="478"/>
      <c r="NRC243" s="478"/>
      <c r="NRD243" s="478"/>
      <c r="NRE243" s="478"/>
      <c r="NRF243" s="478"/>
      <c r="NRG243" s="478"/>
      <c r="NRH243" s="478"/>
      <c r="NRI243" s="478"/>
      <c r="NRJ243" s="478"/>
      <c r="NRK243" s="478"/>
      <c r="NRL243" s="478"/>
      <c r="NRM243" s="478"/>
      <c r="NRN243" s="478"/>
      <c r="NRO243" s="478"/>
      <c r="NRP243" s="478"/>
      <c r="NRQ243" s="478"/>
      <c r="NRR243" s="478"/>
      <c r="NRS243" s="478"/>
      <c r="NRT243" s="478"/>
      <c r="NRU243" s="478"/>
      <c r="NRV243" s="478"/>
      <c r="NRW243" s="478"/>
      <c r="NRX243" s="478"/>
      <c r="NRY243" s="478"/>
      <c r="NRZ243" s="478"/>
      <c r="NSA243" s="478"/>
      <c r="NSB243" s="478"/>
      <c r="NSC243" s="478"/>
      <c r="NSD243" s="478"/>
      <c r="NSE243" s="478"/>
      <c r="NSF243" s="478"/>
      <c r="NSG243" s="478"/>
      <c r="NSH243" s="478"/>
      <c r="NSI243" s="478"/>
      <c r="NSJ243" s="478"/>
      <c r="NSK243" s="478"/>
      <c r="NSL243" s="478"/>
      <c r="NSM243" s="478"/>
      <c r="NSN243" s="478"/>
      <c r="NSO243" s="478"/>
      <c r="NSP243" s="478"/>
      <c r="NSQ243" s="478"/>
      <c r="NSR243" s="478"/>
      <c r="NSS243" s="478"/>
      <c r="NST243" s="478"/>
      <c r="NSU243" s="478"/>
      <c r="NSV243" s="478"/>
      <c r="NSW243" s="478"/>
      <c r="NSX243" s="478"/>
      <c r="NSY243" s="478"/>
      <c r="NSZ243" s="478"/>
      <c r="NTA243" s="478"/>
      <c r="NTB243" s="478"/>
      <c r="NTC243" s="478"/>
      <c r="NTD243" s="478"/>
      <c r="NTE243" s="478"/>
      <c r="NTF243" s="478"/>
      <c r="NTG243" s="478"/>
      <c r="NTH243" s="478"/>
      <c r="NTI243" s="478"/>
      <c r="NTJ243" s="478"/>
      <c r="NTK243" s="478"/>
      <c r="NTL243" s="478"/>
      <c r="NTM243" s="478"/>
      <c r="NTN243" s="478"/>
      <c r="NTO243" s="478"/>
      <c r="NTP243" s="478"/>
      <c r="NTQ243" s="478"/>
      <c r="NTR243" s="478"/>
      <c r="NTS243" s="478"/>
      <c r="NTT243" s="478"/>
      <c r="NTU243" s="478"/>
      <c r="NTV243" s="478"/>
      <c r="NTW243" s="478"/>
      <c r="NTX243" s="478"/>
      <c r="NTY243" s="478"/>
      <c r="NTZ243" s="478"/>
      <c r="NUA243" s="478"/>
      <c r="NUB243" s="478"/>
      <c r="NUC243" s="478"/>
      <c r="NUD243" s="478"/>
      <c r="NUE243" s="478"/>
      <c r="NUF243" s="478"/>
      <c r="NUG243" s="478"/>
      <c r="NUH243" s="478"/>
      <c r="NUI243" s="478"/>
      <c r="NUJ243" s="478"/>
      <c r="NUK243" s="478"/>
      <c r="NUL243" s="478"/>
      <c r="NUM243" s="478"/>
      <c r="NUN243" s="478"/>
      <c r="NUO243" s="478"/>
      <c r="NUP243" s="478"/>
      <c r="NUQ243" s="478"/>
      <c r="NUR243" s="478"/>
      <c r="NUS243" s="478"/>
      <c r="NUT243" s="478"/>
      <c r="NUU243" s="478"/>
      <c r="NUV243" s="478"/>
      <c r="NUW243" s="478"/>
      <c r="NUX243" s="478"/>
      <c r="NUY243" s="478"/>
      <c r="NUZ243" s="478"/>
      <c r="NVA243" s="478"/>
      <c r="NVB243" s="478"/>
      <c r="NVC243" s="478"/>
      <c r="NVD243" s="478"/>
      <c r="NVE243" s="478"/>
      <c r="NVF243" s="478"/>
      <c r="NVG243" s="478"/>
      <c r="NVH243" s="478"/>
      <c r="NVI243" s="478"/>
      <c r="NVJ243" s="478"/>
      <c r="NVK243" s="478"/>
      <c r="NVL243" s="478"/>
      <c r="NVM243" s="478"/>
      <c r="NVN243" s="478"/>
      <c r="NVO243" s="478"/>
      <c r="NVP243" s="478"/>
      <c r="NVQ243" s="478"/>
      <c r="NVR243" s="478"/>
      <c r="NVS243" s="478"/>
      <c r="NVT243" s="478"/>
      <c r="NVU243" s="478"/>
      <c r="NVV243" s="478"/>
      <c r="NVW243" s="478"/>
      <c r="NVX243" s="478"/>
      <c r="NVY243" s="478"/>
      <c r="NVZ243" s="478"/>
      <c r="NWA243" s="478"/>
      <c r="NWB243" s="478"/>
      <c r="NWC243" s="478"/>
      <c r="NWD243" s="478"/>
      <c r="NWE243" s="478"/>
      <c r="NWF243" s="478"/>
      <c r="NWG243" s="478"/>
      <c r="NWH243" s="478"/>
      <c r="NWI243" s="478"/>
      <c r="NWJ243" s="478"/>
      <c r="NWK243" s="478"/>
      <c r="NWL243" s="478"/>
      <c r="NWM243" s="478"/>
      <c r="NWN243" s="478"/>
      <c r="NWO243" s="478"/>
      <c r="NWP243" s="478"/>
      <c r="NWQ243" s="478"/>
      <c r="NWR243" s="478"/>
      <c r="NWS243" s="478"/>
      <c r="NWT243" s="478"/>
      <c r="NWU243" s="478"/>
      <c r="NWV243" s="478"/>
      <c r="NWW243" s="478"/>
      <c r="NWX243" s="478"/>
      <c r="NWY243" s="478"/>
      <c r="NWZ243" s="478"/>
      <c r="NXA243" s="478"/>
      <c r="NXB243" s="478"/>
      <c r="NXC243" s="478"/>
      <c r="NXD243" s="478"/>
      <c r="NXE243" s="478"/>
      <c r="NXF243" s="478"/>
      <c r="NXG243" s="478"/>
      <c r="NXH243" s="478"/>
      <c r="NXI243" s="478"/>
      <c r="NXJ243" s="478"/>
      <c r="NXK243" s="478"/>
      <c r="NXL243" s="478"/>
      <c r="NXM243" s="478"/>
      <c r="NXN243" s="478"/>
      <c r="NXO243" s="478"/>
      <c r="NXP243" s="478"/>
      <c r="NXQ243" s="478"/>
      <c r="NXR243" s="478"/>
      <c r="NXS243" s="478"/>
      <c r="NXT243" s="478"/>
      <c r="NXU243" s="478"/>
      <c r="NXV243" s="478"/>
      <c r="NXW243" s="478"/>
      <c r="NXX243" s="478"/>
      <c r="NXY243" s="478"/>
      <c r="NXZ243" s="478"/>
      <c r="NYA243" s="478"/>
      <c r="NYB243" s="478"/>
      <c r="NYC243" s="478"/>
      <c r="NYD243" s="478"/>
      <c r="NYE243" s="478"/>
      <c r="NYF243" s="478"/>
      <c r="NYG243" s="478"/>
      <c r="NYH243" s="478"/>
      <c r="NYI243" s="478"/>
      <c r="NYJ243" s="478"/>
      <c r="NYK243" s="478"/>
      <c r="NYL243" s="478"/>
      <c r="NYM243" s="478"/>
      <c r="NYN243" s="478"/>
      <c r="NYO243" s="478"/>
      <c r="NYP243" s="478"/>
      <c r="NYQ243" s="478"/>
      <c r="NYR243" s="478"/>
      <c r="NYS243" s="478"/>
      <c r="NYT243" s="478"/>
      <c r="NYU243" s="478"/>
      <c r="NYV243" s="478"/>
      <c r="NYW243" s="478"/>
      <c r="NYX243" s="478"/>
      <c r="NYY243" s="478"/>
      <c r="NYZ243" s="478"/>
      <c r="NZA243" s="478"/>
      <c r="NZB243" s="478"/>
      <c r="NZC243" s="478"/>
      <c r="NZD243" s="478"/>
      <c r="NZE243" s="478"/>
      <c r="NZF243" s="478"/>
      <c r="NZG243" s="478"/>
      <c r="NZH243" s="478"/>
      <c r="NZI243" s="478"/>
      <c r="NZJ243" s="478"/>
      <c r="NZK243" s="478"/>
      <c r="NZL243" s="478"/>
      <c r="NZM243" s="478"/>
      <c r="NZN243" s="478"/>
      <c r="NZO243" s="478"/>
      <c r="NZP243" s="478"/>
      <c r="NZQ243" s="478"/>
      <c r="NZR243" s="478"/>
      <c r="NZS243" s="478"/>
      <c r="NZT243" s="478"/>
      <c r="NZU243" s="478"/>
      <c r="NZV243" s="478"/>
      <c r="NZW243" s="478"/>
      <c r="NZX243" s="478"/>
      <c r="NZY243" s="478"/>
      <c r="NZZ243" s="478"/>
      <c r="OAA243" s="478"/>
      <c r="OAB243" s="478"/>
      <c r="OAC243" s="478"/>
      <c r="OAD243" s="478"/>
      <c r="OAE243" s="478"/>
      <c r="OAF243" s="478"/>
      <c r="OAG243" s="478"/>
      <c r="OAH243" s="478"/>
      <c r="OAI243" s="478"/>
      <c r="OAJ243" s="478"/>
      <c r="OAK243" s="478"/>
      <c r="OAL243" s="478"/>
      <c r="OAM243" s="478"/>
      <c r="OAN243" s="478"/>
      <c r="OAO243" s="478"/>
      <c r="OAP243" s="478"/>
      <c r="OAQ243" s="478"/>
      <c r="OAR243" s="478"/>
      <c r="OAS243" s="478"/>
      <c r="OAT243" s="478"/>
      <c r="OAU243" s="478"/>
      <c r="OAV243" s="478"/>
      <c r="OAW243" s="478"/>
      <c r="OAX243" s="478"/>
      <c r="OAY243" s="478"/>
      <c r="OAZ243" s="478"/>
      <c r="OBA243" s="478"/>
      <c r="OBB243" s="478"/>
      <c r="OBC243" s="478"/>
      <c r="OBD243" s="478"/>
      <c r="OBE243" s="478"/>
      <c r="OBF243" s="478"/>
      <c r="OBG243" s="478"/>
      <c r="OBH243" s="478"/>
      <c r="OBI243" s="478"/>
      <c r="OBJ243" s="478"/>
      <c r="OBK243" s="478"/>
      <c r="OBL243" s="478"/>
      <c r="OBM243" s="478"/>
      <c r="OBN243" s="478"/>
      <c r="OBO243" s="478"/>
      <c r="OBP243" s="478"/>
      <c r="OBQ243" s="478"/>
      <c r="OBR243" s="478"/>
      <c r="OBS243" s="478"/>
      <c r="OBT243" s="478"/>
      <c r="OBU243" s="478"/>
      <c r="OBV243" s="478"/>
      <c r="OBW243" s="478"/>
      <c r="OBX243" s="478"/>
      <c r="OBY243" s="478"/>
      <c r="OBZ243" s="478"/>
      <c r="OCA243" s="478"/>
      <c r="OCB243" s="478"/>
      <c r="OCC243" s="478"/>
      <c r="OCD243" s="478"/>
      <c r="OCE243" s="478"/>
      <c r="OCF243" s="478"/>
      <c r="OCG243" s="478"/>
      <c r="OCH243" s="478"/>
      <c r="OCI243" s="478"/>
      <c r="OCJ243" s="478"/>
      <c r="OCK243" s="478"/>
      <c r="OCL243" s="478"/>
      <c r="OCM243" s="478"/>
      <c r="OCN243" s="478"/>
      <c r="OCO243" s="478"/>
      <c r="OCP243" s="478"/>
      <c r="OCQ243" s="478"/>
      <c r="OCR243" s="478"/>
      <c r="OCS243" s="478"/>
      <c r="OCT243" s="478"/>
      <c r="OCU243" s="478"/>
      <c r="OCV243" s="478"/>
      <c r="OCW243" s="478"/>
      <c r="OCX243" s="478"/>
      <c r="OCY243" s="478"/>
      <c r="OCZ243" s="478"/>
      <c r="ODA243" s="478"/>
      <c r="ODB243" s="478"/>
      <c r="ODC243" s="478"/>
      <c r="ODD243" s="478"/>
      <c r="ODE243" s="478"/>
      <c r="ODF243" s="478"/>
      <c r="ODG243" s="478"/>
      <c r="ODH243" s="478"/>
      <c r="ODI243" s="478"/>
      <c r="ODJ243" s="478"/>
      <c r="ODK243" s="478"/>
      <c r="ODL243" s="478"/>
      <c r="ODM243" s="478"/>
      <c r="ODN243" s="478"/>
      <c r="ODO243" s="478"/>
      <c r="ODP243" s="478"/>
      <c r="ODQ243" s="478"/>
      <c r="ODR243" s="478"/>
      <c r="ODS243" s="478"/>
      <c r="ODT243" s="478"/>
      <c r="ODU243" s="478"/>
      <c r="ODV243" s="478"/>
      <c r="ODW243" s="478"/>
      <c r="ODX243" s="478"/>
      <c r="ODY243" s="478"/>
      <c r="ODZ243" s="478"/>
      <c r="OEA243" s="478"/>
      <c r="OEB243" s="478"/>
      <c r="OEC243" s="478"/>
      <c r="OED243" s="478"/>
      <c r="OEE243" s="478"/>
      <c r="OEF243" s="478"/>
      <c r="OEG243" s="478"/>
      <c r="OEH243" s="478"/>
      <c r="OEI243" s="478"/>
      <c r="OEJ243" s="478"/>
      <c r="OEK243" s="478"/>
      <c r="OEL243" s="478"/>
      <c r="OEM243" s="478"/>
      <c r="OEN243" s="478"/>
      <c r="OEO243" s="478"/>
      <c r="OEP243" s="478"/>
      <c r="OEQ243" s="478"/>
      <c r="OER243" s="478"/>
      <c r="OES243" s="478"/>
      <c r="OET243" s="478"/>
      <c r="OEU243" s="478"/>
      <c r="OEV243" s="478"/>
      <c r="OEW243" s="478"/>
      <c r="OEX243" s="478"/>
      <c r="OEY243" s="478"/>
      <c r="OEZ243" s="478"/>
      <c r="OFA243" s="478"/>
      <c r="OFB243" s="478"/>
      <c r="OFC243" s="478"/>
      <c r="OFD243" s="478"/>
      <c r="OFE243" s="478"/>
      <c r="OFF243" s="478"/>
      <c r="OFG243" s="478"/>
      <c r="OFH243" s="478"/>
      <c r="OFI243" s="478"/>
      <c r="OFJ243" s="478"/>
      <c r="OFK243" s="478"/>
      <c r="OFL243" s="478"/>
      <c r="OFM243" s="478"/>
      <c r="OFN243" s="478"/>
      <c r="OFO243" s="478"/>
      <c r="OFP243" s="478"/>
      <c r="OFQ243" s="478"/>
      <c r="OFR243" s="478"/>
      <c r="OFS243" s="478"/>
      <c r="OFT243" s="478"/>
      <c r="OFU243" s="478"/>
      <c r="OFV243" s="478"/>
      <c r="OFW243" s="478"/>
      <c r="OFX243" s="478"/>
      <c r="OFY243" s="478"/>
      <c r="OFZ243" s="478"/>
      <c r="OGA243" s="478"/>
      <c r="OGB243" s="478"/>
      <c r="OGC243" s="478"/>
      <c r="OGD243" s="478"/>
      <c r="OGE243" s="478"/>
      <c r="OGF243" s="478"/>
      <c r="OGG243" s="478"/>
      <c r="OGH243" s="478"/>
      <c r="OGI243" s="478"/>
      <c r="OGJ243" s="478"/>
      <c r="OGK243" s="478"/>
      <c r="OGL243" s="478"/>
      <c r="OGM243" s="478"/>
      <c r="OGN243" s="478"/>
      <c r="OGO243" s="478"/>
      <c r="OGP243" s="478"/>
      <c r="OGQ243" s="478"/>
      <c r="OGR243" s="478"/>
      <c r="OGS243" s="478"/>
      <c r="OGT243" s="478"/>
      <c r="OGU243" s="478"/>
      <c r="OGV243" s="478"/>
      <c r="OGW243" s="478"/>
      <c r="OGX243" s="478"/>
      <c r="OGY243" s="478"/>
      <c r="OGZ243" s="478"/>
      <c r="OHA243" s="478"/>
      <c r="OHB243" s="478"/>
      <c r="OHC243" s="478"/>
      <c r="OHD243" s="478"/>
      <c r="OHE243" s="478"/>
      <c r="OHF243" s="478"/>
      <c r="OHG243" s="478"/>
      <c r="OHH243" s="478"/>
      <c r="OHI243" s="478"/>
      <c r="OHJ243" s="478"/>
      <c r="OHK243" s="478"/>
      <c r="OHL243" s="478"/>
      <c r="OHM243" s="478"/>
      <c r="OHN243" s="478"/>
      <c r="OHO243" s="478"/>
      <c r="OHP243" s="478"/>
      <c r="OHQ243" s="478"/>
      <c r="OHR243" s="478"/>
      <c r="OHS243" s="478"/>
      <c r="OHT243" s="478"/>
      <c r="OHU243" s="478"/>
      <c r="OHV243" s="478"/>
      <c r="OHW243" s="478"/>
      <c r="OHX243" s="478"/>
      <c r="OHY243" s="478"/>
      <c r="OHZ243" s="478"/>
      <c r="OIA243" s="478"/>
      <c r="OIB243" s="478"/>
      <c r="OIC243" s="478"/>
      <c r="OID243" s="478"/>
      <c r="OIE243" s="478"/>
      <c r="OIF243" s="478"/>
      <c r="OIG243" s="478"/>
      <c r="OIH243" s="478"/>
      <c r="OII243" s="478"/>
      <c r="OIJ243" s="478"/>
      <c r="OIK243" s="478"/>
      <c r="OIL243" s="478"/>
      <c r="OIM243" s="478"/>
      <c r="OIN243" s="478"/>
      <c r="OIO243" s="478"/>
      <c r="OIP243" s="478"/>
      <c r="OIQ243" s="478"/>
      <c r="OIR243" s="478"/>
      <c r="OIS243" s="478"/>
      <c r="OIT243" s="478"/>
      <c r="OIU243" s="478"/>
      <c r="OIV243" s="478"/>
      <c r="OIW243" s="478"/>
      <c r="OIX243" s="478"/>
      <c r="OIY243" s="478"/>
      <c r="OIZ243" s="478"/>
      <c r="OJA243" s="478"/>
      <c r="OJB243" s="478"/>
      <c r="OJC243" s="478"/>
      <c r="OJD243" s="478"/>
      <c r="OJE243" s="478"/>
      <c r="OJF243" s="478"/>
      <c r="OJG243" s="478"/>
      <c r="OJH243" s="478"/>
      <c r="OJI243" s="478"/>
      <c r="OJJ243" s="478"/>
      <c r="OJK243" s="478"/>
      <c r="OJL243" s="478"/>
      <c r="OJM243" s="478"/>
      <c r="OJN243" s="478"/>
      <c r="OJO243" s="478"/>
      <c r="OJP243" s="478"/>
      <c r="OJQ243" s="478"/>
      <c r="OJR243" s="478"/>
      <c r="OJS243" s="478"/>
      <c r="OJT243" s="478"/>
      <c r="OJU243" s="478"/>
      <c r="OJV243" s="478"/>
      <c r="OJW243" s="478"/>
      <c r="OJX243" s="478"/>
      <c r="OJY243" s="478"/>
      <c r="OJZ243" s="478"/>
      <c r="OKA243" s="478"/>
      <c r="OKB243" s="478"/>
      <c r="OKC243" s="478"/>
      <c r="OKD243" s="478"/>
      <c r="OKE243" s="478"/>
      <c r="OKF243" s="478"/>
      <c r="OKG243" s="478"/>
      <c r="OKH243" s="478"/>
      <c r="OKI243" s="478"/>
      <c r="OKJ243" s="478"/>
      <c r="OKK243" s="478"/>
      <c r="OKL243" s="478"/>
      <c r="OKM243" s="478"/>
      <c r="OKN243" s="478"/>
      <c r="OKO243" s="478"/>
      <c r="OKP243" s="478"/>
      <c r="OKQ243" s="478"/>
      <c r="OKR243" s="478"/>
      <c r="OKS243" s="478"/>
      <c r="OKT243" s="478"/>
      <c r="OKU243" s="478"/>
      <c r="OKV243" s="478"/>
      <c r="OKW243" s="478"/>
      <c r="OKX243" s="478"/>
      <c r="OKY243" s="478"/>
      <c r="OKZ243" s="478"/>
      <c r="OLA243" s="478"/>
      <c r="OLB243" s="478"/>
      <c r="OLC243" s="478"/>
      <c r="OLD243" s="478"/>
      <c r="OLE243" s="478"/>
      <c r="OLF243" s="478"/>
      <c r="OLG243" s="478"/>
      <c r="OLH243" s="478"/>
      <c r="OLI243" s="478"/>
      <c r="OLJ243" s="478"/>
      <c r="OLK243" s="478"/>
      <c r="OLL243" s="478"/>
      <c r="OLM243" s="478"/>
      <c r="OLN243" s="478"/>
      <c r="OLO243" s="478"/>
      <c r="OLP243" s="478"/>
      <c r="OLQ243" s="478"/>
      <c r="OLR243" s="478"/>
      <c r="OLS243" s="478"/>
      <c r="OLT243" s="478"/>
      <c r="OLU243" s="478"/>
      <c r="OLV243" s="478"/>
      <c r="OLW243" s="478"/>
      <c r="OLX243" s="478"/>
      <c r="OLY243" s="478"/>
      <c r="OLZ243" s="478"/>
      <c r="OMA243" s="478"/>
      <c r="OMB243" s="478"/>
      <c r="OMC243" s="478"/>
      <c r="OMD243" s="478"/>
      <c r="OME243" s="478"/>
      <c r="OMF243" s="478"/>
      <c r="OMG243" s="478"/>
      <c r="OMH243" s="478"/>
      <c r="OMI243" s="478"/>
      <c r="OMJ243" s="478"/>
      <c r="OMK243" s="478"/>
      <c r="OML243" s="478"/>
      <c r="OMM243" s="478"/>
      <c r="OMN243" s="478"/>
      <c r="OMO243" s="478"/>
      <c r="OMP243" s="478"/>
      <c r="OMQ243" s="478"/>
      <c r="OMR243" s="478"/>
      <c r="OMS243" s="478"/>
      <c r="OMT243" s="478"/>
      <c r="OMU243" s="478"/>
      <c r="OMV243" s="478"/>
      <c r="OMW243" s="478"/>
      <c r="OMX243" s="478"/>
      <c r="OMY243" s="478"/>
      <c r="OMZ243" s="478"/>
      <c r="ONA243" s="478"/>
      <c r="ONB243" s="478"/>
      <c r="ONC243" s="478"/>
      <c r="OND243" s="478"/>
      <c r="ONE243" s="478"/>
      <c r="ONF243" s="478"/>
      <c r="ONG243" s="478"/>
      <c r="ONH243" s="478"/>
      <c r="ONI243" s="478"/>
      <c r="ONJ243" s="478"/>
      <c r="ONK243" s="478"/>
      <c r="ONL243" s="478"/>
      <c r="ONM243" s="478"/>
      <c r="ONN243" s="478"/>
      <c r="ONO243" s="478"/>
      <c r="ONP243" s="478"/>
      <c r="ONQ243" s="478"/>
      <c r="ONR243" s="478"/>
      <c r="ONS243" s="478"/>
      <c r="ONT243" s="478"/>
      <c r="ONU243" s="478"/>
      <c r="ONV243" s="478"/>
      <c r="ONW243" s="478"/>
      <c r="ONX243" s="478"/>
      <c r="ONY243" s="478"/>
      <c r="ONZ243" s="478"/>
      <c r="OOA243" s="478"/>
      <c r="OOB243" s="478"/>
      <c r="OOC243" s="478"/>
      <c r="OOD243" s="478"/>
      <c r="OOE243" s="478"/>
      <c r="OOF243" s="478"/>
      <c r="OOG243" s="478"/>
      <c r="OOH243" s="478"/>
      <c r="OOI243" s="478"/>
      <c r="OOJ243" s="478"/>
      <c r="OOK243" s="478"/>
      <c r="OOL243" s="478"/>
      <c r="OOM243" s="478"/>
      <c r="OON243" s="478"/>
      <c r="OOO243" s="478"/>
      <c r="OOP243" s="478"/>
      <c r="OOQ243" s="478"/>
      <c r="OOR243" s="478"/>
      <c r="OOS243" s="478"/>
      <c r="OOT243" s="478"/>
      <c r="OOU243" s="478"/>
      <c r="OOV243" s="478"/>
      <c r="OOW243" s="478"/>
      <c r="OOX243" s="478"/>
      <c r="OOY243" s="478"/>
      <c r="OOZ243" s="478"/>
      <c r="OPA243" s="478"/>
      <c r="OPB243" s="478"/>
      <c r="OPC243" s="478"/>
      <c r="OPD243" s="478"/>
      <c r="OPE243" s="478"/>
      <c r="OPF243" s="478"/>
      <c r="OPG243" s="478"/>
      <c r="OPH243" s="478"/>
      <c r="OPI243" s="478"/>
      <c r="OPJ243" s="478"/>
      <c r="OPK243" s="478"/>
      <c r="OPL243" s="478"/>
      <c r="OPM243" s="478"/>
      <c r="OPN243" s="478"/>
      <c r="OPO243" s="478"/>
      <c r="OPP243" s="478"/>
      <c r="OPQ243" s="478"/>
      <c r="OPR243" s="478"/>
      <c r="OPS243" s="478"/>
      <c r="OPT243" s="478"/>
      <c r="OPU243" s="478"/>
      <c r="OPV243" s="478"/>
      <c r="OPW243" s="478"/>
      <c r="OPX243" s="478"/>
      <c r="OPY243" s="478"/>
      <c r="OPZ243" s="478"/>
      <c r="OQA243" s="478"/>
      <c r="OQB243" s="478"/>
      <c r="OQC243" s="478"/>
      <c r="OQD243" s="478"/>
      <c r="OQE243" s="478"/>
      <c r="OQF243" s="478"/>
      <c r="OQG243" s="478"/>
      <c r="OQH243" s="478"/>
      <c r="OQI243" s="478"/>
      <c r="OQJ243" s="478"/>
      <c r="OQK243" s="478"/>
      <c r="OQL243" s="478"/>
      <c r="OQM243" s="478"/>
      <c r="OQN243" s="478"/>
      <c r="OQO243" s="478"/>
      <c r="OQP243" s="478"/>
      <c r="OQQ243" s="478"/>
      <c r="OQR243" s="478"/>
      <c r="OQS243" s="478"/>
      <c r="OQT243" s="478"/>
      <c r="OQU243" s="478"/>
      <c r="OQV243" s="478"/>
      <c r="OQW243" s="478"/>
      <c r="OQX243" s="478"/>
      <c r="OQY243" s="478"/>
      <c r="OQZ243" s="478"/>
      <c r="ORA243" s="478"/>
      <c r="ORB243" s="478"/>
      <c r="ORC243" s="478"/>
      <c r="ORD243" s="478"/>
      <c r="ORE243" s="478"/>
      <c r="ORF243" s="478"/>
      <c r="ORG243" s="478"/>
      <c r="ORH243" s="478"/>
      <c r="ORI243" s="478"/>
      <c r="ORJ243" s="478"/>
      <c r="ORK243" s="478"/>
      <c r="ORL243" s="478"/>
      <c r="ORM243" s="478"/>
      <c r="ORN243" s="478"/>
      <c r="ORO243" s="478"/>
      <c r="ORP243" s="478"/>
      <c r="ORQ243" s="478"/>
      <c r="ORR243" s="478"/>
      <c r="ORS243" s="478"/>
      <c r="ORT243" s="478"/>
      <c r="ORU243" s="478"/>
      <c r="ORV243" s="478"/>
      <c r="ORW243" s="478"/>
      <c r="ORX243" s="478"/>
      <c r="ORY243" s="478"/>
      <c r="ORZ243" s="478"/>
      <c r="OSA243" s="478"/>
      <c r="OSB243" s="478"/>
      <c r="OSC243" s="478"/>
      <c r="OSD243" s="478"/>
      <c r="OSE243" s="478"/>
      <c r="OSF243" s="478"/>
      <c r="OSG243" s="478"/>
      <c r="OSH243" s="478"/>
      <c r="OSI243" s="478"/>
      <c r="OSJ243" s="478"/>
      <c r="OSK243" s="478"/>
      <c r="OSL243" s="478"/>
      <c r="OSM243" s="478"/>
      <c r="OSN243" s="478"/>
      <c r="OSO243" s="478"/>
      <c r="OSP243" s="478"/>
      <c r="OSQ243" s="478"/>
      <c r="OSR243" s="478"/>
      <c r="OSS243" s="478"/>
      <c r="OST243" s="478"/>
      <c r="OSU243" s="478"/>
      <c r="OSV243" s="478"/>
      <c r="OSW243" s="478"/>
      <c r="OSX243" s="478"/>
      <c r="OSY243" s="478"/>
      <c r="OSZ243" s="478"/>
      <c r="OTA243" s="478"/>
      <c r="OTB243" s="478"/>
      <c r="OTC243" s="478"/>
      <c r="OTD243" s="478"/>
      <c r="OTE243" s="478"/>
      <c r="OTF243" s="478"/>
      <c r="OTG243" s="478"/>
      <c r="OTH243" s="478"/>
      <c r="OTI243" s="478"/>
      <c r="OTJ243" s="478"/>
      <c r="OTK243" s="478"/>
      <c r="OTL243" s="478"/>
      <c r="OTM243" s="478"/>
      <c r="OTN243" s="478"/>
      <c r="OTO243" s="478"/>
      <c r="OTP243" s="478"/>
      <c r="OTQ243" s="478"/>
      <c r="OTR243" s="478"/>
      <c r="OTS243" s="478"/>
      <c r="OTT243" s="478"/>
      <c r="OTU243" s="478"/>
      <c r="OTV243" s="478"/>
      <c r="OTW243" s="478"/>
      <c r="OTX243" s="478"/>
      <c r="OTY243" s="478"/>
      <c r="OTZ243" s="478"/>
      <c r="OUA243" s="478"/>
      <c r="OUB243" s="478"/>
      <c r="OUC243" s="478"/>
      <c r="OUD243" s="478"/>
      <c r="OUE243" s="478"/>
      <c r="OUF243" s="478"/>
      <c r="OUG243" s="478"/>
      <c r="OUH243" s="478"/>
      <c r="OUI243" s="478"/>
      <c r="OUJ243" s="478"/>
      <c r="OUK243" s="478"/>
      <c r="OUL243" s="478"/>
      <c r="OUM243" s="478"/>
      <c r="OUN243" s="478"/>
      <c r="OUO243" s="478"/>
      <c r="OUP243" s="478"/>
      <c r="OUQ243" s="478"/>
      <c r="OUR243" s="478"/>
      <c r="OUS243" s="478"/>
      <c r="OUT243" s="478"/>
      <c r="OUU243" s="478"/>
      <c r="OUV243" s="478"/>
      <c r="OUW243" s="478"/>
      <c r="OUX243" s="478"/>
      <c r="OUY243" s="478"/>
      <c r="OUZ243" s="478"/>
      <c r="OVA243" s="478"/>
      <c r="OVB243" s="478"/>
      <c r="OVC243" s="478"/>
      <c r="OVD243" s="478"/>
      <c r="OVE243" s="478"/>
      <c r="OVF243" s="478"/>
      <c r="OVG243" s="478"/>
      <c r="OVH243" s="478"/>
      <c r="OVI243" s="478"/>
      <c r="OVJ243" s="478"/>
      <c r="OVK243" s="478"/>
      <c r="OVL243" s="478"/>
      <c r="OVM243" s="478"/>
      <c r="OVN243" s="478"/>
      <c r="OVO243" s="478"/>
      <c r="OVP243" s="478"/>
      <c r="OVQ243" s="478"/>
      <c r="OVR243" s="478"/>
      <c r="OVS243" s="478"/>
      <c r="OVT243" s="478"/>
      <c r="OVU243" s="478"/>
      <c r="OVV243" s="478"/>
      <c r="OVW243" s="478"/>
      <c r="OVX243" s="478"/>
      <c r="OVY243" s="478"/>
      <c r="OVZ243" s="478"/>
      <c r="OWA243" s="478"/>
      <c r="OWB243" s="478"/>
      <c r="OWC243" s="478"/>
      <c r="OWD243" s="478"/>
      <c r="OWE243" s="478"/>
      <c r="OWF243" s="478"/>
      <c r="OWG243" s="478"/>
      <c r="OWH243" s="478"/>
      <c r="OWI243" s="478"/>
      <c r="OWJ243" s="478"/>
      <c r="OWK243" s="478"/>
      <c r="OWL243" s="478"/>
      <c r="OWM243" s="478"/>
      <c r="OWN243" s="478"/>
      <c r="OWO243" s="478"/>
      <c r="OWP243" s="478"/>
      <c r="OWQ243" s="478"/>
      <c r="OWR243" s="478"/>
      <c r="OWS243" s="478"/>
      <c r="OWT243" s="478"/>
      <c r="OWU243" s="478"/>
      <c r="OWV243" s="478"/>
      <c r="OWW243" s="478"/>
      <c r="OWX243" s="478"/>
      <c r="OWY243" s="478"/>
      <c r="OWZ243" s="478"/>
      <c r="OXA243" s="478"/>
      <c r="OXB243" s="478"/>
      <c r="OXC243" s="478"/>
      <c r="OXD243" s="478"/>
      <c r="OXE243" s="478"/>
      <c r="OXF243" s="478"/>
      <c r="OXG243" s="478"/>
      <c r="OXH243" s="478"/>
      <c r="OXI243" s="478"/>
      <c r="OXJ243" s="478"/>
      <c r="OXK243" s="478"/>
      <c r="OXL243" s="478"/>
      <c r="OXM243" s="478"/>
      <c r="OXN243" s="478"/>
      <c r="OXO243" s="478"/>
      <c r="OXP243" s="478"/>
      <c r="OXQ243" s="478"/>
      <c r="OXR243" s="478"/>
      <c r="OXS243" s="478"/>
      <c r="OXT243" s="478"/>
      <c r="OXU243" s="478"/>
      <c r="OXV243" s="478"/>
      <c r="OXW243" s="478"/>
      <c r="OXX243" s="478"/>
      <c r="OXY243" s="478"/>
      <c r="OXZ243" s="478"/>
      <c r="OYA243" s="478"/>
      <c r="OYB243" s="478"/>
      <c r="OYC243" s="478"/>
      <c r="OYD243" s="478"/>
      <c r="OYE243" s="478"/>
      <c r="OYF243" s="478"/>
      <c r="OYG243" s="478"/>
      <c r="OYH243" s="478"/>
      <c r="OYI243" s="478"/>
      <c r="OYJ243" s="478"/>
      <c r="OYK243" s="478"/>
      <c r="OYL243" s="478"/>
      <c r="OYM243" s="478"/>
      <c r="OYN243" s="478"/>
      <c r="OYO243" s="478"/>
      <c r="OYP243" s="478"/>
      <c r="OYQ243" s="478"/>
      <c r="OYR243" s="478"/>
      <c r="OYS243" s="478"/>
      <c r="OYT243" s="478"/>
      <c r="OYU243" s="478"/>
      <c r="OYV243" s="478"/>
      <c r="OYW243" s="478"/>
      <c r="OYX243" s="478"/>
      <c r="OYY243" s="478"/>
      <c r="OYZ243" s="478"/>
      <c r="OZA243" s="478"/>
      <c r="OZB243" s="478"/>
      <c r="OZC243" s="478"/>
      <c r="OZD243" s="478"/>
      <c r="OZE243" s="478"/>
      <c r="OZF243" s="478"/>
      <c r="OZG243" s="478"/>
      <c r="OZH243" s="478"/>
      <c r="OZI243" s="478"/>
      <c r="OZJ243" s="478"/>
      <c r="OZK243" s="478"/>
      <c r="OZL243" s="478"/>
      <c r="OZM243" s="478"/>
      <c r="OZN243" s="478"/>
      <c r="OZO243" s="478"/>
      <c r="OZP243" s="478"/>
      <c r="OZQ243" s="478"/>
      <c r="OZR243" s="478"/>
      <c r="OZS243" s="478"/>
      <c r="OZT243" s="478"/>
      <c r="OZU243" s="478"/>
      <c r="OZV243" s="478"/>
      <c r="OZW243" s="478"/>
      <c r="OZX243" s="478"/>
      <c r="OZY243" s="478"/>
      <c r="OZZ243" s="478"/>
      <c r="PAA243" s="478"/>
      <c r="PAB243" s="478"/>
      <c r="PAC243" s="478"/>
      <c r="PAD243" s="478"/>
      <c r="PAE243" s="478"/>
      <c r="PAF243" s="478"/>
      <c r="PAG243" s="478"/>
      <c r="PAH243" s="478"/>
      <c r="PAI243" s="478"/>
      <c r="PAJ243" s="478"/>
      <c r="PAK243" s="478"/>
      <c r="PAL243" s="478"/>
      <c r="PAM243" s="478"/>
      <c r="PAN243" s="478"/>
      <c r="PAO243" s="478"/>
      <c r="PAP243" s="478"/>
      <c r="PAQ243" s="478"/>
      <c r="PAR243" s="478"/>
      <c r="PAS243" s="478"/>
      <c r="PAT243" s="478"/>
      <c r="PAU243" s="478"/>
      <c r="PAV243" s="478"/>
      <c r="PAW243" s="478"/>
      <c r="PAX243" s="478"/>
      <c r="PAY243" s="478"/>
      <c r="PAZ243" s="478"/>
      <c r="PBA243" s="478"/>
      <c r="PBB243" s="478"/>
      <c r="PBC243" s="478"/>
      <c r="PBD243" s="478"/>
      <c r="PBE243" s="478"/>
      <c r="PBF243" s="478"/>
      <c r="PBG243" s="478"/>
      <c r="PBH243" s="478"/>
      <c r="PBI243" s="478"/>
      <c r="PBJ243" s="478"/>
      <c r="PBK243" s="478"/>
      <c r="PBL243" s="478"/>
      <c r="PBM243" s="478"/>
      <c r="PBN243" s="478"/>
      <c r="PBO243" s="478"/>
      <c r="PBP243" s="478"/>
      <c r="PBQ243" s="478"/>
      <c r="PBR243" s="478"/>
      <c r="PBS243" s="478"/>
      <c r="PBT243" s="478"/>
      <c r="PBU243" s="478"/>
      <c r="PBV243" s="478"/>
      <c r="PBW243" s="478"/>
      <c r="PBX243" s="478"/>
      <c r="PBY243" s="478"/>
      <c r="PBZ243" s="478"/>
      <c r="PCA243" s="478"/>
      <c r="PCB243" s="478"/>
      <c r="PCC243" s="478"/>
      <c r="PCD243" s="478"/>
      <c r="PCE243" s="478"/>
      <c r="PCF243" s="478"/>
      <c r="PCG243" s="478"/>
      <c r="PCH243" s="478"/>
      <c r="PCI243" s="478"/>
      <c r="PCJ243" s="478"/>
      <c r="PCK243" s="478"/>
      <c r="PCL243" s="478"/>
      <c r="PCM243" s="478"/>
      <c r="PCN243" s="478"/>
      <c r="PCO243" s="478"/>
      <c r="PCP243" s="478"/>
      <c r="PCQ243" s="478"/>
      <c r="PCR243" s="478"/>
      <c r="PCS243" s="478"/>
      <c r="PCT243" s="478"/>
      <c r="PCU243" s="478"/>
      <c r="PCV243" s="478"/>
      <c r="PCW243" s="478"/>
      <c r="PCX243" s="478"/>
      <c r="PCY243" s="478"/>
      <c r="PCZ243" s="478"/>
      <c r="PDA243" s="478"/>
      <c r="PDB243" s="478"/>
      <c r="PDC243" s="478"/>
      <c r="PDD243" s="478"/>
      <c r="PDE243" s="478"/>
      <c r="PDF243" s="478"/>
      <c r="PDG243" s="478"/>
      <c r="PDH243" s="478"/>
      <c r="PDI243" s="478"/>
      <c r="PDJ243" s="478"/>
      <c r="PDK243" s="478"/>
      <c r="PDL243" s="478"/>
      <c r="PDM243" s="478"/>
      <c r="PDN243" s="478"/>
      <c r="PDO243" s="478"/>
      <c r="PDP243" s="478"/>
      <c r="PDQ243" s="478"/>
      <c r="PDR243" s="478"/>
      <c r="PDS243" s="478"/>
      <c r="PDT243" s="478"/>
      <c r="PDU243" s="478"/>
      <c r="PDV243" s="478"/>
      <c r="PDW243" s="478"/>
      <c r="PDX243" s="478"/>
      <c r="PDY243" s="478"/>
      <c r="PDZ243" s="478"/>
      <c r="PEA243" s="478"/>
      <c r="PEB243" s="478"/>
      <c r="PEC243" s="478"/>
      <c r="PED243" s="478"/>
      <c r="PEE243" s="478"/>
      <c r="PEF243" s="478"/>
      <c r="PEG243" s="478"/>
      <c r="PEH243" s="478"/>
      <c r="PEI243" s="478"/>
      <c r="PEJ243" s="478"/>
      <c r="PEK243" s="478"/>
      <c r="PEL243" s="478"/>
      <c r="PEM243" s="478"/>
      <c r="PEN243" s="478"/>
      <c r="PEO243" s="478"/>
      <c r="PEP243" s="478"/>
      <c r="PEQ243" s="478"/>
      <c r="PER243" s="478"/>
      <c r="PES243" s="478"/>
      <c r="PET243" s="478"/>
      <c r="PEU243" s="478"/>
      <c r="PEV243" s="478"/>
      <c r="PEW243" s="478"/>
      <c r="PEX243" s="478"/>
      <c r="PEY243" s="478"/>
      <c r="PEZ243" s="478"/>
      <c r="PFA243" s="478"/>
      <c r="PFB243" s="478"/>
      <c r="PFC243" s="478"/>
      <c r="PFD243" s="478"/>
      <c r="PFE243" s="478"/>
      <c r="PFF243" s="478"/>
      <c r="PFG243" s="478"/>
      <c r="PFH243" s="478"/>
      <c r="PFI243" s="478"/>
      <c r="PFJ243" s="478"/>
      <c r="PFK243" s="478"/>
      <c r="PFL243" s="478"/>
      <c r="PFM243" s="478"/>
      <c r="PFN243" s="478"/>
      <c r="PFO243" s="478"/>
      <c r="PFP243" s="478"/>
      <c r="PFQ243" s="478"/>
      <c r="PFR243" s="478"/>
      <c r="PFS243" s="478"/>
      <c r="PFT243" s="478"/>
      <c r="PFU243" s="478"/>
      <c r="PFV243" s="478"/>
      <c r="PFW243" s="478"/>
      <c r="PFX243" s="478"/>
      <c r="PFY243" s="478"/>
      <c r="PFZ243" s="478"/>
      <c r="PGA243" s="478"/>
      <c r="PGB243" s="478"/>
      <c r="PGC243" s="478"/>
      <c r="PGD243" s="478"/>
      <c r="PGE243" s="478"/>
      <c r="PGF243" s="478"/>
      <c r="PGG243" s="478"/>
      <c r="PGH243" s="478"/>
      <c r="PGI243" s="478"/>
      <c r="PGJ243" s="478"/>
      <c r="PGK243" s="478"/>
      <c r="PGL243" s="478"/>
      <c r="PGM243" s="478"/>
      <c r="PGN243" s="478"/>
      <c r="PGO243" s="478"/>
      <c r="PGP243" s="478"/>
      <c r="PGQ243" s="478"/>
      <c r="PGR243" s="478"/>
      <c r="PGS243" s="478"/>
      <c r="PGT243" s="478"/>
      <c r="PGU243" s="478"/>
      <c r="PGV243" s="478"/>
      <c r="PGW243" s="478"/>
      <c r="PGX243" s="478"/>
      <c r="PGY243" s="478"/>
      <c r="PGZ243" s="478"/>
      <c r="PHA243" s="478"/>
      <c r="PHB243" s="478"/>
      <c r="PHC243" s="478"/>
      <c r="PHD243" s="478"/>
      <c r="PHE243" s="478"/>
      <c r="PHF243" s="478"/>
      <c r="PHG243" s="478"/>
      <c r="PHH243" s="478"/>
      <c r="PHI243" s="478"/>
      <c r="PHJ243" s="478"/>
      <c r="PHK243" s="478"/>
      <c r="PHL243" s="478"/>
      <c r="PHM243" s="478"/>
      <c r="PHN243" s="478"/>
      <c r="PHO243" s="478"/>
      <c r="PHP243" s="478"/>
      <c r="PHQ243" s="478"/>
      <c r="PHR243" s="478"/>
      <c r="PHS243" s="478"/>
      <c r="PHT243" s="478"/>
      <c r="PHU243" s="478"/>
      <c r="PHV243" s="478"/>
      <c r="PHW243" s="478"/>
      <c r="PHX243" s="478"/>
      <c r="PHY243" s="478"/>
      <c r="PHZ243" s="478"/>
      <c r="PIA243" s="478"/>
      <c r="PIB243" s="478"/>
      <c r="PIC243" s="478"/>
      <c r="PID243" s="478"/>
      <c r="PIE243" s="478"/>
      <c r="PIF243" s="478"/>
      <c r="PIG243" s="478"/>
      <c r="PIH243" s="478"/>
      <c r="PII243" s="478"/>
      <c r="PIJ243" s="478"/>
      <c r="PIK243" s="478"/>
      <c r="PIL243" s="478"/>
      <c r="PIM243" s="478"/>
      <c r="PIN243" s="478"/>
      <c r="PIO243" s="478"/>
      <c r="PIP243" s="478"/>
      <c r="PIQ243" s="478"/>
      <c r="PIR243" s="478"/>
      <c r="PIS243" s="478"/>
      <c r="PIT243" s="478"/>
      <c r="PIU243" s="478"/>
      <c r="PIV243" s="478"/>
      <c r="PIW243" s="478"/>
      <c r="PIX243" s="478"/>
      <c r="PIY243" s="478"/>
      <c r="PIZ243" s="478"/>
      <c r="PJA243" s="478"/>
      <c r="PJB243" s="478"/>
      <c r="PJC243" s="478"/>
      <c r="PJD243" s="478"/>
      <c r="PJE243" s="478"/>
      <c r="PJF243" s="478"/>
      <c r="PJG243" s="478"/>
      <c r="PJH243" s="478"/>
      <c r="PJI243" s="478"/>
      <c r="PJJ243" s="478"/>
      <c r="PJK243" s="478"/>
      <c r="PJL243" s="478"/>
      <c r="PJM243" s="478"/>
      <c r="PJN243" s="478"/>
      <c r="PJO243" s="478"/>
      <c r="PJP243" s="478"/>
      <c r="PJQ243" s="478"/>
      <c r="PJR243" s="478"/>
      <c r="PJS243" s="478"/>
      <c r="PJT243" s="478"/>
      <c r="PJU243" s="478"/>
      <c r="PJV243" s="478"/>
      <c r="PJW243" s="478"/>
      <c r="PJX243" s="478"/>
      <c r="PJY243" s="478"/>
      <c r="PJZ243" s="478"/>
      <c r="PKA243" s="478"/>
      <c r="PKB243" s="478"/>
      <c r="PKC243" s="478"/>
      <c r="PKD243" s="478"/>
      <c r="PKE243" s="478"/>
      <c r="PKF243" s="478"/>
      <c r="PKG243" s="478"/>
      <c r="PKH243" s="478"/>
      <c r="PKI243" s="478"/>
      <c r="PKJ243" s="478"/>
      <c r="PKK243" s="478"/>
      <c r="PKL243" s="478"/>
      <c r="PKM243" s="478"/>
      <c r="PKN243" s="478"/>
      <c r="PKO243" s="478"/>
      <c r="PKP243" s="478"/>
      <c r="PKQ243" s="478"/>
      <c r="PKR243" s="478"/>
      <c r="PKS243" s="478"/>
      <c r="PKT243" s="478"/>
      <c r="PKU243" s="478"/>
      <c r="PKV243" s="478"/>
      <c r="PKW243" s="478"/>
      <c r="PKX243" s="478"/>
      <c r="PKY243" s="478"/>
      <c r="PKZ243" s="478"/>
      <c r="PLA243" s="478"/>
      <c r="PLB243" s="478"/>
      <c r="PLC243" s="478"/>
      <c r="PLD243" s="478"/>
      <c r="PLE243" s="478"/>
      <c r="PLF243" s="478"/>
      <c r="PLG243" s="478"/>
      <c r="PLH243" s="478"/>
      <c r="PLI243" s="478"/>
      <c r="PLJ243" s="478"/>
      <c r="PLK243" s="478"/>
      <c r="PLL243" s="478"/>
      <c r="PLM243" s="478"/>
      <c r="PLN243" s="478"/>
      <c r="PLO243" s="478"/>
      <c r="PLP243" s="478"/>
      <c r="PLQ243" s="478"/>
      <c r="PLR243" s="478"/>
      <c r="PLS243" s="478"/>
      <c r="PLT243" s="478"/>
      <c r="PLU243" s="478"/>
      <c r="PLV243" s="478"/>
      <c r="PLW243" s="478"/>
      <c r="PLX243" s="478"/>
      <c r="PLY243" s="478"/>
      <c r="PLZ243" s="478"/>
      <c r="PMA243" s="478"/>
      <c r="PMB243" s="478"/>
      <c r="PMC243" s="478"/>
      <c r="PMD243" s="478"/>
      <c r="PME243" s="478"/>
      <c r="PMF243" s="478"/>
      <c r="PMG243" s="478"/>
      <c r="PMH243" s="478"/>
      <c r="PMI243" s="478"/>
      <c r="PMJ243" s="478"/>
      <c r="PMK243" s="478"/>
      <c r="PML243" s="478"/>
      <c r="PMM243" s="478"/>
      <c r="PMN243" s="478"/>
      <c r="PMO243" s="478"/>
      <c r="PMP243" s="478"/>
      <c r="PMQ243" s="478"/>
      <c r="PMR243" s="478"/>
      <c r="PMS243" s="478"/>
      <c r="PMT243" s="478"/>
      <c r="PMU243" s="478"/>
      <c r="PMV243" s="478"/>
      <c r="PMW243" s="478"/>
      <c r="PMX243" s="478"/>
      <c r="PMY243" s="478"/>
      <c r="PMZ243" s="478"/>
      <c r="PNA243" s="478"/>
      <c r="PNB243" s="478"/>
      <c r="PNC243" s="478"/>
      <c r="PND243" s="478"/>
      <c r="PNE243" s="478"/>
      <c r="PNF243" s="478"/>
      <c r="PNG243" s="478"/>
      <c r="PNH243" s="478"/>
      <c r="PNI243" s="478"/>
      <c r="PNJ243" s="478"/>
      <c r="PNK243" s="478"/>
      <c r="PNL243" s="478"/>
      <c r="PNM243" s="478"/>
      <c r="PNN243" s="478"/>
      <c r="PNO243" s="478"/>
      <c r="PNP243" s="478"/>
      <c r="PNQ243" s="478"/>
      <c r="PNR243" s="478"/>
      <c r="PNS243" s="478"/>
      <c r="PNT243" s="478"/>
      <c r="PNU243" s="478"/>
      <c r="PNV243" s="478"/>
      <c r="PNW243" s="478"/>
      <c r="PNX243" s="478"/>
      <c r="PNY243" s="478"/>
      <c r="PNZ243" s="478"/>
      <c r="POA243" s="478"/>
      <c r="POB243" s="478"/>
      <c r="POC243" s="478"/>
      <c r="POD243" s="478"/>
      <c r="POE243" s="478"/>
      <c r="POF243" s="478"/>
      <c r="POG243" s="478"/>
      <c r="POH243" s="478"/>
      <c r="POI243" s="478"/>
      <c r="POJ243" s="478"/>
      <c r="POK243" s="478"/>
      <c r="POL243" s="478"/>
      <c r="POM243" s="478"/>
      <c r="PON243" s="478"/>
      <c r="POO243" s="478"/>
      <c r="POP243" s="478"/>
      <c r="POQ243" s="478"/>
      <c r="POR243" s="478"/>
      <c r="POS243" s="478"/>
      <c r="POT243" s="478"/>
      <c r="POU243" s="478"/>
      <c r="POV243" s="478"/>
      <c r="POW243" s="478"/>
      <c r="POX243" s="478"/>
      <c r="POY243" s="478"/>
      <c r="POZ243" s="478"/>
      <c r="PPA243" s="478"/>
      <c r="PPB243" s="478"/>
      <c r="PPC243" s="478"/>
      <c r="PPD243" s="478"/>
      <c r="PPE243" s="478"/>
      <c r="PPF243" s="478"/>
      <c r="PPG243" s="478"/>
      <c r="PPH243" s="478"/>
      <c r="PPI243" s="478"/>
      <c r="PPJ243" s="478"/>
      <c r="PPK243" s="478"/>
      <c r="PPL243" s="478"/>
      <c r="PPM243" s="478"/>
      <c r="PPN243" s="478"/>
      <c r="PPO243" s="478"/>
      <c r="PPP243" s="478"/>
      <c r="PPQ243" s="478"/>
      <c r="PPR243" s="478"/>
      <c r="PPS243" s="478"/>
      <c r="PPT243" s="478"/>
      <c r="PPU243" s="478"/>
      <c r="PPV243" s="478"/>
      <c r="PPW243" s="478"/>
      <c r="PPX243" s="478"/>
      <c r="PPY243" s="478"/>
      <c r="PPZ243" s="478"/>
      <c r="PQA243" s="478"/>
      <c r="PQB243" s="478"/>
      <c r="PQC243" s="478"/>
      <c r="PQD243" s="478"/>
      <c r="PQE243" s="478"/>
      <c r="PQF243" s="478"/>
      <c r="PQG243" s="478"/>
      <c r="PQH243" s="478"/>
      <c r="PQI243" s="478"/>
      <c r="PQJ243" s="478"/>
      <c r="PQK243" s="478"/>
      <c r="PQL243" s="478"/>
      <c r="PQM243" s="478"/>
      <c r="PQN243" s="478"/>
      <c r="PQO243" s="478"/>
      <c r="PQP243" s="478"/>
      <c r="PQQ243" s="478"/>
      <c r="PQR243" s="478"/>
      <c r="PQS243" s="478"/>
      <c r="PQT243" s="478"/>
      <c r="PQU243" s="478"/>
      <c r="PQV243" s="478"/>
      <c r="PQW243" s="478"/>
      <c r="PQX243" s="478"/>
      <c r="PQY243" s="478"/>
      <c r="PQZ243" s="478"/>
      <c r="PRA243" s="478"/>
      <c r="PRB243" s="478"/>
      <c r="PRC243" s="478"/>
      <c r="PRD243" s="478"/>
      <c r="PRE243" s="478"/>
      <c r="PRF243" s="478"/>
      <c r="PRG243" s="478"/>
      <c r="PRH243" s="478"/>
      <c r="PRI243" s="478"/>
      <c r="PRJ243" s="478"/>
      <c r="PRK243" s="478"/>
      <c r="PRL243" s="478"/>
      <c r="PRM243" s="478"/>
      <c r="PRN243" s="478"/>
      <c r="PRO243" s="478"/>
      <c r="PRP243" s="478"/>
      <c r="PRQ243" s="478"/>
      <c r="PRR243" s="478"/>
      <c r="PRS243" s="478"/>
      <c r="PRT243" s="478"/>
      <c r="PRU243" s="478"/>
      <c r="PRV243" s="478"/>
      <c r="PRW243" s="478"/>
      <c r="PRX243" s="478"/>
      <c r="PRY243" s="478"/>
      <c r="PRZ243" s="478"/>
      <c r="PSA243" s="478"/>
      <c r="PSB243" s="478"/>
      <c r="PSC243" s="478"/>
      <c r="PSD243" s="478"/>
      <c r="PSE243" s="478"/>
      <c r="PSF243" s="478"/>
      <c r="PSG243" s="478"/>
      <c r="PSH243" s="478"/>
      <c r="PSI243" s="478"/>
      <c r="PSJ243" s="478"/>
      <c r="PSK243" s="478"/>
      <c r="PSL243" s="478"/>
      <c r="PSM243" s="478"/>
      <c r="PSN243" s="478"/>
      <c r="PSO243" s="478"/>
      <c r="PSP243" s="478"/>
      <c r="PSQ243" s="478"/>
      <c r="PSR243" s="478"/>
      <c r="PSS243" s="478"/>
      <c r="PST243" s="478"/>
      <c r="PSU243" s="478"/>
      <c r="PSV243" s="478"/>
      <c r="PSW243" s="478"/>
      <c r="PSX243" s="478"/>
      <c r="PSY243" s="478"/>
      <c r="PSZ243" s="478"/>
      <c r="PTA243" s="478"/>
      <c r="PTB243" s="478"/>
      <c r="PTC243" s="478"/>
      <c r="PTD243" s="478"/>
      <c r="PTE243" s="478"/>
      <c r="PTF243" s="478"/>
      <c r="PTG243" s="478"/>
      <c r="PTH243" s="478"/>
      <c r="PTI243" s="478"/>
      <c r="PTJ243" s="478"/>
      <c r="PTK243" s="478"/>
      <c r="PTL243" s="478"/>
      <c r="PTM243" s="478"/>
      <c r="PTN243" s="478"/>
      <c r="PTO243" s="478"/>
      <c r="PTP243" s="478"/>
      <c r="PTQ243" s="478"/>
      <c r="PTR243" s="478"/>
      <c r="PTS243" s="478"/>
      <c r="PTT243" s="478"/>
      <c r="PTU243" s="478"/>
      <c r="PTV243" s="478"/>
      <c r="PTW243" s="478"/>
      <c r="PTX243" s="478"/>
      <c r="PTY243" s="478"/>
      <c r="PTZ243" s="478"/>
      <c r="PUA243" s="478"/>
      <c r="PUB243" s="478"/>
      <c r="PUC243" s="478"/>
      <c r="PUD243" s="478"/>
      <c r="PUE243" s="478"/>
      <c r="PUF243" s="478"/>
      <c r="PUG243" s="478"/>
      <c r="PUH243" s="478"/>
      <c r="PUI243" s="478"/>
      <c r="PUJ243" s="478"/>
      <c r="PUK243" s="478"/>
      <c r="PUL243" s="478"/>
      <c r="PUM243" s="478"/>
      <c r="PUN243" s="478"/>
      <c r="PUO243" s="478"/>
      <c r="PUP243" s="478"/>
      <c r="PUQ243" s="478"/>
      <c r="PUR243" s="478"/>
      <c r="PUS243" s="478"/>
      <c r="PUT243" s="478"/>
      <c r="PUU243" s="478"/>
      <c r="PUV243" s="478"/>
      <c r="PUW243" s="478"/>
      <c r="PUX243" s="478"/>
      <c r="PUY243" s="478"/>
      <c r="PUZ243" s="478"/>
      <c r="PVA243" s="478"/>
      <c r="PVB243" s="478"/>
      <c r="PVC243" s="478"/>
      <c r="PVD243" s="478"/>
      <c r="PVE243" s="478"/>
      <c r="PVF243" s="478"/>
      <c r="PVG243" s="478"/>
      <c r="PVH243" s="478"/>
      <c r="PVI243" s="478"/>
      <c r="PVJ243" s="478"/>
      <c r="PVK243" s="478"/>
      <c r="PVL243" s="478"/>
      <c r="PVM243" s="478"/>
      <c r="PVN243" s="478"/>
      <c r="PVO243" s="478"/>
      <c r="PVP243" s="478"/>
      <c r="PVQ243" s="478"/>
      <c r="PVR243" s="478"/>
      <c r="PVS243" s="478"/>
      <c r="PVT243" s="478"/>
      <c r="PVU243" s="478"/>
      <c r="PVV243" s="478"/>
      <c r="PVW243" s="478"/>
      <c r="PVX243" s="478"/>
      <c r="PVY243" s="478"/>
      <c r="PVZ243" s="478"/>
      <c r="PWA243" s="478"/>
      <c r="PWB243" s="478"/>
      <c r="PWC243" s="478"/>
      <c r="PWD243" s="478"/>
      <c r="PWE243" s="478"/>
      <c r="PWF243" s="478"/>
      <c r="PWG243" s="478"/>
      <c r="PWH243" s="478"/>
      <c r="PWI243" s="478"/>
      <c r="PWJ243" s="478"/>
      <c r="PWK243" s="478"/>
      <c r="PWL243" s="478"/>
      <c r="PWM243" s="478"/>
      <c r="PWN243" s="478"/>
      <c r="PWO243" s="478"/>
      <c r="PWP243" s="478"/>
      <c r="PWQ243" s="478"/>
      <c r="PWR243" s="478"/>
      <c r="PWS243" s="478"/>
      <c r="PWT243" s="478"/>
      <c r="PWU243" s="478"/>
      <c r="PWV243" s="478"/>
      <c r="PWW243" s="478"/>
      <c r="PWX243" s="478"/>
      <c r="PWY243" s="478"/>
      <c r="PWZ243" s="478"/>
      <c r="PXA243" s="478"/>
      <c r="PXB243" s="478"/>
      <c r="PXC243" s="478"/>
      <c r="PXD243" s="478"/>
      <c r="PXE243" s="478"/>
      <c r="PXF243" s="478"/>
      <c r="PXG243" s="478"/>
      <c r="PXH243" s="478"/>
      <c r="PXI243" s="478"/>
      <c r="PXJ243" s="478"/>
      <c r="PXK243" s="478"/>
      <c r="PXL243" s="478"/>
      <c r="PXM243" s="478"/>
      <c r="PXN243" s="478"/>
      <c r="PXO243" s="478"/>
      <c r="PXP243" s="478"/>
      <c r="PXQ243" s="478"/>
      <c r="PXR243" s="478"/>
      <c r="PXS243" s="478"/>
      <c r="PXT243" s="478"/>
      <c r="PXU243" s="478"/>
      <c r="PXV243" s="478"/>
      <c r="PXW243" s="478"/>
      <c r="PXX243" s="478"/>
      <c r="PXY243" s="478"/>
      <c r="PXZ243" s="478"/>
      <c r="PYA243" s="478"/>
      <c r="PYB243" s="478"/>
      <c r="PYC243" s="478"/>
      <c r="PYD243" s="478"/>
      <c r="PYE243" s="478"/>
      <c r="PYF243" s="478"/>
      <c r="PYG243" s="478"/>
      <c r="PYH243" s="478"/>
      <c r="PYI243" s="478"/>
      <c r="PYJ243" s="478"/>
      <c r="PYK243" s="478"/>
      <c r="PYL243" s="478"/>
      <c r="PYM243" s="478"/>
      <c r="PYN243" s="478"/>
      <c r="PYO243" s="478"/>
      <c r="PYP243" s="478"/>
      <c r="PYQ243" s="478"/>
      <c r="PYR243" s="478"/>
      <c r="PYS243" s="478"/>
      <c r="PYT243" s="478"/>
      <c r="PYU243" s="478"/>
      <c r="PYV243" s="478"/>
      <c r="PYW243" s="478"/>
      <c r="PYX243" s="478"/>
      <c r="PYY243" s="478"/>
      <c r="PYZ243" s="478"/>
      <c r="PZA243" s="478"/>
      <c r="PZB243" s="478"/>
      <c r="PZC243" s="478"/>
      <c r="PZD243" s="478"/>
      <c r="PZE243" s="478"/>
      <c r="PZF243" s="478"/>
      <c r="PZG243" s="478"/>
      <c r="PZH243" s="478"/>
      <c r="PZI243" s="478"/>
      <c r="PZJ243" s="478"/>
      <c r="PZK243" s="478"/>
      <c r="PZL243" s="478"/>
      <c r="PZM243" s="478"/>
      <c r="PZN243" s="478"/>
      <c r="PZO243" s="478"/>
      <c r="PZP243" s="478"/>
      <c r="PZQ243" s="478"/>
      <c r="PZR243" s="478"/>
      <c r="PZS243" s="478"/>
      <c r="PZT243" s="478"/>
      <c r="PZU243" s="478"/>
      <c r="PZV243" s="478"/>
      <c r="PZW243" s="478"/>
      <c r="PZX243" s="478"/>
      <c r="PZY243" s="478"/>
      <c r="PZZ243" s="478"/>
      <c r="QAA243" s="478"/>
      <c r="QAB243" s="478"/>
      <c r="QAC243" s="478"/>
      <c r="QAD243" s="478"/>
      <c r="QAE243" s="478"/>
      <c r="QAF243" s="478"/>
      <c r="QAG243" s="478"/>
      <c r="QAH243" s="478"/>
      <c r="QAI243" s="478"/>
      <c r="QAJ243" s="478"/>
      <c r="QAK243" s="478"/>
      <c r="QAL243" s="478"/>
      <c r="QAM243" s="478"/>
      <c r="QAN243" s="478"/>
      <c r="QAO243" s="478"/>
      <c r="QAP243" s="478"/>
      <c r="QAQ243" s="478"/>
      <c r="QAR243" s="478"/>
      <c r="QAS243" s="478"/>
      <c r="QAT243" s="478"/>
      <c r="QAU243" s="478"/>
      <c r="QAV243" s="478"/>
      <c r="QAW243" s="478"/>
      <c r="QAX243" s="478"/>
      <c r="QAY243" s="478"/>
      <c r="QAZ243" s="478"/>
      <c r="QBA243" s="478"/>
      <c r="QBB243" s="478"/>
      <c r="QBC243" s="478"/>
      <c r="QBD243" s="478"/>
      <c r="QBE243" s="478"/>
      <c r="QBF243" s="478"/>
      <c r="QBG243" s="478"/>
      <c r="QBH243" s="478"/>
      <c r="QBI243" s="478"/>
      <c r="QBJ243" s="478"/>
      <c r="QBK243" s="478"/>
      <c r="QBL243" s="478"/>
      <c r="QBM243" s="478"/>
      <c r="QBN243" s="478"/>
      <c r="QBO243" s="478"/>
      <c r="QBP243" s="478"/>
      <c r="QBQ243" s="478"/>
      <c r="QBR243" s="478"/>
      <c r="QBS243" s="478"/>
      <c r="QBT243" s="478"/>
      <c r="QBU243" s="478"/>
      <c r="QBV243" s="478"/>
      <c r="QBW243" s="478"/>
      <c r="QBX243" s="478"/>
      <c r="QBY243" s="478"/>
      <c r="QBZ243" s="478"/>
      <c r="QCA243" s="478"/>
      <c r="QCB243" s="478"/>
      <c r="QCC243" s="478"/>
      <c r="QCD243" s="478"/>
      <c r="QCE243" s="478"/>
      <c r="QCF243" s="478"/>
      <c r="QCG243" s="478"/>
      <c r="QCH243" s="478"/>
      <c r="QCI243" s="478"/>
      <c r="QCJ243" s="478"/>
      <c r="QCK243" s="478"/>
      <c r="QCL243" s="478"/>
      <c r="QCM243" s="478"/>
      <c r="QCN243" s="478"/>
      <c r="QCO243" s="478"/>
      <c r="QCP243" s="478"/>
      <c r="QCQ243" s="478"/>
      <c r="QCR243" s="478"/>
      <c r="QCS243" s="478"/>
      <c r="QCT243" s="478"/>
      <c r="QCU243" s="478"/>
      <c r="QCV243" s="478"/>
      <c r="QCW243" s="478"/>
      <c r="QCX243" s="478"/>
      <c r="QCY243" s="478"/>
      <c r="QCZ243" s="478"/>
      <c r="QDA243" s="478"/>
      <c r="QDB243" s="478"/>
      <c r="QDC243" s="478"/>
      <c r="QDD243" s="478"/>
      <c r="QDE243" s="478"/>
      <c r="QDF243" s="478"/>
      <c r="QDG243" s="478"/>
      <c r="QDH243" s="478"/>
      <c r="QDI243" s="478"/>
      <c r="QDJ243" s="478"/>
      <c r="QDK243" s="478"/>
      <c r="QDL243" s="478"/>
      <c r="QDM243" s="478"/>
      <c r="QDN243" s="478"/>
      <c r="QDO243" s="478"/>
      <c r="QDP243" s="478"/>
      <c r="QDQ243" s="478"/>
      <c r="QDR243" s="478"/>
      <c r="QDS243" s="478"/>
      <c r="QDT243" s="478"/>
      <c r="QDU243" s="478"/>
      <c r="QDV243" s="478"/>
      <c r="QDW243" s="478"/>
      <c r="QDX243" s="478"/>
      <c r="QDY243" s="478"/>
      <c r="QDZ243" s="478"/>
      <c r="QEA243" s="478"/>
      <c r="QEB243" s="478"/>
      <c r="QEC243" s="478"/>
      <c r="QED243" s="478"/>
      <c r="QEE243" s="478"/>
      <c r="QEF243" s="478"/>
      <c r="QEG243" s="478"/>
      <c r="QEH243" s="478"/>
      <c r="QEI243" s="478"/>
      <c r="QEJ243" s="478"/>
      <c r="QEK243" s="478"/>
      <c r="QEL243" s="478"/>
      <c r="QEM243" s="478"/>
      <c r="QEN243" s="478"/>
      <c r="QEO243" s="478"/>
      <c r="QEP243" s="478"/>
      <c r="QEQ243" s="478"/>
      <c r="QER243" s="478"/>
      <c r="QES243" s="478"/>
      <c r="QET243" s="478"/>
      <c r="QEU243" s="478"/>
      <c r="QEV243" s="478"/>
      <c r="QEW243" s="478"/>
      <c r="QEX243" s="478"/>
      <c r="QEY243" s="478"/>
      <c r="QEZ243" s="478"/>
      <c r="QFA243" s="478"/>
      <c r="QFB243" s="478"/>
      <c r="QFC243" s="478"/>
      <c r="QFD243" s="478"/>
      <c r="QFE243" s="478"/>
      <c r="QFF243" s="478"/>
      <c r="QFG243" s="478"/>
      <c r="QFH243" s="478"/>
      <c r="QFI243" s="478"/>
      <c r="QFJ243" s="478"/>
      <c r="QFK243" s="478"/>
      <c r="QFL243" s="478"/>
      <c r="QFM243" s="478"/>
      <c r="QFN243" s="478"/>
      <c r="QFO243" s="478"/>
      <c r="QFP243" s="478"/>
      <c r="QFQ243" s="478"/>
      <c r="QFR243" s="478"/>
      <c r="QFS243" s="478"/>
      <c r="QFT243" s="478"/>
      <c r="QFU243" s="478"/>
      <c r="QFV243" s="478"/>
      <c r="QFW243" s="478"/>
      <c r="QFX243" s="478"/>
      <c r="QFY243" s="478"/>
      <c r="QFZ243" s="478"/>
      <c r="QGA243" s="478"/>
      <c r="QGB243" s="478"/>
      <c r="QGC243" s="478"/>
      <c r="QGD243" s="478"/>
      <c r="QGE243" s="478"/>
      <c r="QGF243" s="478"/>
      <c r="QGG243" s="478"/>
      <c r="QGH243" s="478"/>
      <c r="QGI243" s="478"/>
      <c r="QGJ243" s="478"/>
      <c r="QGK243" s="478"/>
      <c r="QGL243" s="478"/>
      <c r="QGM243" s="478"/>
      <c r="QGN243" s="478"/>
      <c r="QGO243" s="478"/>
      <c r="QGP243" s="478"/>
      <c r="QGQ243" s="478"/>
      <c r="QGR243" s="478"/>
      <c r="QGS243" s="478"/>
      <c r="QGT243" s="478"/>
      <c r="QGU243" s="478"/>
      <c r="QGV243" s="478"/>
      <c r="QGW243" s="478"/>
      <c r="QGX243" s="478"/>
      <c r="QGY243" s="478"/>
      <c r="QGZ243" s="478"/>
      <c r="QHA243" s="478"/>
      <c r="QHB243" s="478"/>
      <c r="QHC243" s="478"/>
      <c r="QHD243" s="478"/>
      <c r="QHE243" s="478"/>
      <c r="QHF243" s="478"/>
      <c r="QHG243" s="478"/>
      <c r="QHH243" s="478"/>
      <c r="QHI243" s="478"/>
      <c r="QHJ243" s="478"/>
      <c r="QHK243" s="478"/>
      <c r="QHL243" s="478"/>
      <c r="QHM243" s="478"/>
      <c r="QHN243" s="478"/>
      <c r="QHO243" s="478"/>
      <c r="QHP243" s="478"/>
      <c r="QHQ243" s="478"/>
      <c r="QHR243" s="478"/>
      <c r="QHS243" s="478"/>
      <c r="QHT243" s="478"/>
      <c r="QHU243" s="478"/>
      <c r="QHV243" s="478"/>
      <c r="QHW243" s="478"/>
      <c r="QHX243" s="478"/>
      <c r="QHY243" s="478"/>
      <c r="QHZ243" s="478"/>
      <c r="QIA243" s="478"/>
      <c r="QIB243" s="478"/>
      <c r="QIC243" s="478"/>
      <c r="QID243" s="478"/>
      <c r="QIE243" s="478"/>
      <c r="QIF243" s="478"/>
      <c r="QIG243" s="478"/>
      <c r="QIH243" s="478"/>
      <c r="QII243" s="478"/>
      <c r="QIJ243" s="478"/>
      <c r="QIK243" s="478"/>
      <c r="QIL243" s="478"/>
      <c r="QIM243" s="478"/>
      <c r="QIN243" s="478"/>
      <c r="QIO243" s="478"/>
      <c r="QIP243" s="478"/>
      <c r="QIQ243" s="478"/>
      <c r="QIR243" s="478"/>
      <c r="QIS243" s="478"/>
      <c r="QIT243" s="478"/>
      <c r="QIU243" s="478"/>
      <c r="QIV243" s="478"/>
      <c r="QIW243" s="478"/>
      <c r="QIX243" s="478"/>
      <c r="QIY243" s="478"/>
      <c r="QIZ243" s="478"/>
      <c r="QJA243" s="478"/>
      <c r="QJB243" s="478"/>
      <c r="QJC243" s="478"/>
      <c r="QJD243" s="478"/>
      <c r="QJE243" s="478"/>
      <c r="QJF243" s="478"/>
      <c r="QJG243" s="478"/>
      <c r="QJH243" s="478"/>
      <c r="QJI243" s="478"/>
      <c r="QJJ243" s="478"/>
      <c r="QJK243" s="478"/>
      <c r="QJL243" s="478"/>
      <c r="QJM243" s="478"/>
      <c r="QJN243" s="478"/>
      <c r="QJO243" s="478"/>
      <c r="QJP243" s="478"/>
      <c r="QJQ243" s="478"/>
      <c r="QJR243" s="478"/>
      <c r="QJS243" s="478"/>
      <c r="QJT243" s="478"/>
      <c r="QJU243" s="478"/>
      <c r="QJV243" s="478"/>
      <c r="QJW243" s="478"/>
      <c r="QJX243" s="478"/>
      <c r="QJY243" s="478"/>
      <c r="QJZ243" s="478"/>
      <c r="QKA243" s="478"/>
      <c r="QKB243" s="478"/>
      <c r="QKC243" s="478"/>
      <c r="QKD243" s="478"/>
      <c r="QKE243" s="478"/>
      <c r="QKF243" s="478"/>
      <c r="QKG243" s="478"/>
      <c r="QKH243" s="478"/>
      <c r="QKI243" s="478"/>
      <c r="QKJ243" s="478"/>
      <c r="QKK243" s="478"/>
      <c r="QKL243" s="478"/>
      <c r="QKM243" s="478"/>
      <c r="QKN243" s="478"/>
      <c r="QKO243" s="478"/>
      <c r="QKP243" s="478"/>
      <c r="QKQ243" s="478"/>
      <c r="QKR243" s="478"/>
      <c r="QKS243" s="478"/>
      <c r="QKT243" s="478"/>
      <c r="QKU243" s="478"/>
      <c r="QKV243" s="478"/>
      <c r="QKW243" s="478"/>
      <c r="QKX243" s="478"/>
      <c r="QKY243" s="478"/>
      <c r="QKZ243" s="478"/>
      <c r="QLA243" s="478"/>
      <c r="QLB243" s="478"/>
      <c r="QLC243" s="478"/>
      <c r="QLD243" s="478"/>
      <c r="QLE243" s="478"/>
      <c r="QLF243" s="478"/>
      <c r="QLG243" s="478"/>
      <c r="QLH243" s="478"/>
      <c r="QLI243" s="478"/>
      <c r="QLJ243" s="478"/>
      <c r="QLK243" s="478"/>
      <c r="QLL243" s="478"/>
      <c r="QLM243" s="478"/>
      <c r="QLN243" s="478"/>
      <c r="QLO243" s="478"/>
      <c r="QLP243" s="478"/>
      <c r="QLQ243" s="478"/>
      <c r="QLR243" s="478"/>
      <c r="QLS243" s="478"/>
      <c r="QLT243" s="478"/>
      <c r="QLU243" s="478"/>
      <c r="QLV243" s="478"/>
      <c r="QLW243" s="478"/>
      <c r="QLX243" s="478"/>
      <c r="QLY243" s="478"/>
      <c r="QLZ243" s="478"/>
      <c r="QMA243" s="478"/>
      <c r="QMB243" s="478"/>
      <c r="QMC243" s="478"/>
      <c r="QMD243" s="478"/>
      <c r="QME243" s="478"/>
      <c r="QMF243" s="478"/>
      <c r="QMG243" s="478"/>
      <c r="QMH243" s="478"/>
      <c r="QMI243" s="478"/>
      <c r="QMJ243" s="478"/>
      <c r="QMK243" s="478"/>
      <c r="QML243" s="478"/>
      <c r="QMM243" s="478"/>
      <c r="QMN243" s="478"/>
      <c r="QMO243" s="478"/>
      <c r="QMP243" s="478"/>
      <c r="QMQ243" s="478"/>
      <c r="QMR243" s="478"/>
      <c r="QMS243" s="478"/>
      <c r="QMT243" s="478"/>
      <c r="QMU243" s="478"/>
      <c r="QMV243" s="478"/>
      <c r="QMW243" s="478"/>
      <c r="QMX243" s="478"/>
      <c r="QMY243" s="478"/>
      <c r="QMZ243" s="478"/>
      <c r="QNA243" s="478"/>
      <c r="QNB243" s="478"/>
      <c r="QNC243" s="478"/>
      <c r="QND243" s="478"/>
      <c r="QNE243" s="478"/>
      <c r="QNF243" s="478"/>
      <c r="QNG243" s="478"/>
      <c r="QNH243" s="478"/>
      <c r="QNI243" s="478"/>
      <c r="QNJ243" s="478"/>
      <c r="QNK243" s="478"/>
      <c r="QNL243" s="478"/>
      <c r="QNM243" s="478"/>
      <c r="QNN243" s="478"/>
      <c r="QNO243" s="478"/>
      <c r="QNP243" s="478"/>
      <c r="QNQ243" s="478"/>
      <c r="QNR243" s="478"/>
      <c r="QNS243" s="478"/>
      <c r="QNT243" s="478"/>
      <c r="QNU243" s="478"/>
      <c r="QNV243" s="478"/>
      <c r="QNW243" s="478"/>
      <c r="QNX243" s="478"/>
      <c r="QNY243" s="478"/>
      <c r="QNZ243" s="478"/>
      <c r="QOA243" s="478"/>
      <c r="QOB243" s="478"/>
      <c r="QOC243" s="478"/>
      <c r="QOD243" s="478"/>
      <c r="QOE243" s="478"/>
      <c r="QOF243" s="478"/>
      <c r="QOG243" s="478"/>
      <c r="QOH243" s="478"/>
      <c r="QOI243" s="478"/>
      <c r="QOJ243" s="478"/>
      <c r="QOK243" s="478"/>
      <c r="QOL243" s="478"/>
      <c r="QOM243" s="478"/>
      <c r="QON243" s="478"/>
      <c r="QOO243" s="478"/>
      <c r="QOP243" s="478"/>
      <c r="QOQ243" s="478"/>
      <c r="QOR243" s="478"/>
      <c r="QOS243" s="478"/>
      <c r="QOT243" s="478"/>
      <c r="QOU243" s="478"/>
      <c r="QOV243" s="478"/>
      <c r="QOW243" s="478"/>
      <c r="QOX243" s="478"/>
      <c r="QOY243" s="478"/>
      <c r="QOZ243" s="478"/>
      <c r="QPA243" s="478"/>
      <c r="QPB243" s="478"/>
      <c r="QPC243" s="478"/>
      <c r="QPD243" s="478"/>
      <c r="QPE243" s="478"/>
      <c r="QPF243" s="478"/>
      <c r="QPG243" s="478"/>
      <c r="QPH243" s="478"/>
      <c r="QPI243" s="478"/>
      <c r="QPJ243" s="478"/>
      <c r="QPK243" s="478"/>
      <c r="QPL243" s="478"/>
      <c r="QPM243" s="478"/>
      <c r="QPN243" s="478"/>
      <c r="QPO243" s="478"/>
      <c r="QPP243" s="478"/>
      <c r="QPQ243" s="478"/>
      <c r="QPR243" s="478"/>
      <c r="QPS243" s="478"/>
      <c r="QPT243" s="478"/>
      <c r="QPU243" s="478"/>
      <c r="QPV243" s="478"/>
      <c r="QPW243" s="478"/>
      <c r="QPX243" s="478"/>
      <c r="QPY243" s="478"/>
      <c r="QPZ243" s="478"/>
      <c r="QQA243" s="478"/>
      <c r="QQB243" s="478"/>
      <c r="QQC243" s="478"/>
      <c r="QQD243" s="478"/>
      <c r="QQE243" s="478"/>
      <c r="QQF243" s="478"/>
      <c r="QQG243" s="478"/>
      <c r="QQH243" s="478"/>
      <c r="QQI243" s="478"/>
      <c r="QQJ243" s="478"/>
      <c r="QQK243" s="478"/>
      <c r="QQL243" s="478"/>
      <c r="QQM243" s="478"/>
      <c r="QQN243" s="478"/>
      <c r="QQO243" s="478"/>
      <c r="QQP243" s="478"/>
      <c r="QQQ243" s="478"/>
      <c r="QQR243" s="478"/>
      <c r="QQS243" s="478"/>
      <c r="QQT243" s="478"/>
      <c r="QQU243" s="478"/>
      <c r="QQV243" s="478"/>
      <c r="QQW243" s="478"/>
      <c r="QQX243" s="478"/>
      <c r="QQY243" s="478"/>
      <c r="QQZ243" s="478"/>
      <c r="QRA243" s="478"/>
      <c r="QRB243" s="478"/>
      <c r="QRC243" s="478"/>
      <c r="QRD243" s="478"/>
      <c r="QRE243" s="478"/>
      <c r="QRF243" s="478"/>
      <c r="QRG243" s="478"/>
      <c r="QRH243" s="478"/>
      <c r="QRI243" s="478"/>
      <c r="QRJ243" s="478"/>
      <c r="QRK243" s="478"/>
      <c r="QRL243" s="478"/>
      <c r="QRM243" s="478"/>
      <c r="QRN243" s="478"/>
      <c r="QRO243" s="478"/>
      <c r="QRP243" s="478"/>
      <c r="QRQ243" s="478"/>
      <c r="QRR243" s="478"/>
      <c r="QRS243" s="478"/>
      <c r="QRT243" s="478"/>
      <c r="QRU243" s="478"/>
      <c r="QRV243" s="478"/>
      <c r="QRW243" s="478"/>
      <c r="QRX243" s="478"/>
      <c r="QRY243" s="478"/>
      <c r="QRZ243" s="478"/>
      <c r="QSA243" s="478"/>
      <c r="QSB243" s="478"/>
      <c r="QSC243" s="478"/>
      <c r="QSD243" s="478"/>
      <c r="QSE243" s="478"/>
      <c r="QSF243" s="478"/>
      <c r="QSG243" s="478"/>
      <c r="QSH243" s="478"/>
      <c r="QSI243" s="478"/>
      <c r="QSJ243" s="478"/>
      <c r="QSK243" s="478"/>
      <c r="QSL243" s="478"/>
      <c r="QSM243" s="478"/>
      <c r="QSN243" s="478"/>
      <c r="QSO243" s="478"/>
      <c r="QSP243" s="478"/>
      <c r="QSQ243" s="478"/>
      <c r="QSR243" s="478"/>
      <c r="QSS243" s="478"/>
      <c r="QST243" s="478"/>
      <c r="QSU243" s="478"/>
      <c r="QSV243" s="478"/>
      <c r="QSW243" s="478"/>
      <c r="QSX243" s="478"/>
      <c r="QSY243" s="478"/>
      <c r="QSZ243" s="478"/>
      <c r="QTA243" s="478"/>
      <c r="QTB243" s="478"/>
      <c r="QTC243" s="478"/>
      <c r="QTD243" s="478"/>
      <c r="QTE243" s="478"/>
      <c r="QTF243" s="478"/>
      <c r="QTG243" s="478"/>
      <c r="QTH243" s="478"/>
      <c r="QTI243" s="478"/>
      <c r="QTJ243" s="478"/>
      <c r="QTK243" s="478"/>
      <c r="QTL243" s="478"/>
      <c r="QTM243" s="478"/>
      <c r="QTN243" s="478"/>
      <c r="QTO243" s="478"/>
      <c r="QTP243" s="478"/>
      <c r="QTQ243" s="478"/>
      <c r="QTR243" s="478"/>
      <c r="QTS243" s="478"/>
      <c r="QTT243" s="478"/>
      <c r="QTU243" s="478"/>
      <c r="QTV243" s="478"/>
      <c r="QTW243" s="478"/>
      <c r="QTX243" s="478"/>
      <c r="QTY243" s="478"/>
      <c r="QTZ243" s="478"/>
      <c r="QUA243" s="478"/>
      <c r="QUB243" s="478"/>
      <c r="QUC243" s="478"/>
      <c r="QUD243" s="478"/>
      <c r="QUE243" s="478"/>
      <c r="QUF243" s="478"/>
      <c r="QUG243" s="478"/>
      <c r="QUH243" s="478"/>
      <c r="QUI243" s="478"/>
      <c r="QUJ243" s="478"/>
      <c r="QUK243" s="478"/>
      <c r="QUL243" s="478"/>
      <c r="QUM243" s="478"/>
      <c r="QUN243" s="478"/>
      <c r="QUO243" s="478"/>
      <c r="QUP243" s="478"/>
      <c r="QUQ243" s="478"/>
      <c r="QUR243" s="478"/>
      <c r="QUS243" s="478"/>
      <c r="QUT243" s="478"/>
      <c r="QUU243" s="478"/>
      <c r="QUV243" s="478"/>
      <c r="QUW243" s="478"/>
      <c r="QUX243" s="478"/>
      <c r="QUY243" s="478"/>
      <c r="QUZ243" s="478"/>
      <c r="QVA243" s="478"/>
      <c r="QVB243" s="478"/>
      <c r="QVC243" s="478"/>
      <c r="QVD243" s="478"/>
      <c r="QVE243" s="478"/>
      <c r="QVF243" s="478"/>
      <c r="QVG243" s="478"/>
      <c r="QVH243" s="478"/>
      <c r="QVI243" s="478"/>
      <c r="QVJ243" s="478"/>
      <c r="QVK243" s="478"/>
      <c r="QVL243" s="478"/>
      <c r="QVM243" s="478"/>
      <c r="QVN243" s="478"/>
      <c r="QVO243" s="478"/>
      <c r="QVP243" s="478"/>
      <c r="QVQ243" s="478"/>
      <c r="QVR243" s="478"/>
      <c r="QVS243" s="478"/>
      <c r="QVT243" s="478"/>
      <c r="QVU243" s="478"/>
      <c r="QVV243" s="478"/>
      <c r="QVW243" s="478"/>
      <c r="QVX243" s="478"/>
      <c r="QVY243" s="478"/>
      <c r="QVZ243" s="478"/>
      <c r="QWA243" s="478"/>
      <c r="QWB243" s="478"/>
      <c r="QWC243" s="478"/>
      <c r="QWD243" s="478"/>
      <c r="QWE243" s="478"/>
      <c r="QWF243" s="478"/>
      <c r="QWG243" s="478"/>
      <c r="QWH243" s="478"/>
      <c r="QWI243" s="478"/>
      <c r="QWJ243" s="478"/>
      <c r="QWK243" s="478"/>
      <c r="QWL243" s="478"/>
      <c r="QWM243" s="478"/>
      <c r="QWN243" s="478"/>
      <c r="QWO243" s="478"/>
      <c r="QWP243" s="478"/>
      <c r="QWQ243" s="478"/>
      <c r="QWR243" s="478"/>
      <c r="QWS243" s="478"/>
      <c r="QWT243" s="478"/>
      <c r="QWU243" s="478"/>
      <c r="QWV243" s="478"/>
      <c r="QWW243" s="478"/>
      <c r="QWX243" s="478"/>
      <c r="QWY243" s="478"/>
      <c r="QWZ243" s="478"/>
      <c r="QXA243" s="478"/>
      <c r="QXB243" s="478"/>
      <c r="QXC243" s="478"/>
      <c r="QXD243" s="478"/>
      <c r="QXE243" s="478"/>
      <c r="QXF243" s="478"/>
      <c r="QXG243" s="478"/>
      <c r="QXH243" s="478"/>
      <c r="QXI243" s="478"/>
      <c r="QXJ243" s="478"/>
      <c r="QXK243" s="478"/>
      <c r="QXL243" s="478"/>
      <c r="QXM243" s="478"/>
      <c r="QXN243" s="478"/>
      <c r="QXO243" s="478"/>
      <c r="QXP243" s="478"/>
      <c r="QXQ243" s="478"/>
      <c r="QXR243" s="478"/>
      <c r="QXS243" s="478"/>
      <c r="QXT243" s="478"/>
      <c r="QXU243" s="478"/>
      <c r="QXV243" s="478"/>
      <c r="QXW243" s="478"/>
      <c r="QXX243" s="478"/>
      <c r="QXY243" s="478"/>
      <c r="QXZ243" s="478"/>
      <c r="QYA243" s="478"/>
      <c r="QYB243" s="478"/>
      <c r="QYC243" s="478"/>
      <c r="QYD243" s="478"/>
      <c r="QYE243" s="478"/>
      <c r="QYF243" s="478"/>
      <c r="QYG243" s="478"/>
      <c r="QYH243" s="478"/>
      <c r="QYI243" s="478"/>
      <c r="QYJ243" s="478"/>
      <c r="QYK243" s="478"/>
      <c r="QYL243" s="478"/>
      <c r="QYM243" s="478"/>
      <c r="QYN243" s="478"/>
      <c r="QYO243" s="478"/>
      <c r="QYP243" s="478"/>
      <c r="QYQ243" s="478"/>
      <c r="QYR243" s="478"/>
      <c r="QYS243" s="478"/>
      <c r="QYT243" s="478"/>
      <c r="QYU243" s="478"/>
      <c r="QYV243" s="478"/>
      <c r="QYW243" s="478"/>
      <c r="QYX243" s="478"/>
      <c r="QYY243" s="478"/>
      <c r="QYZ243" s="478"/>
      <c r="QZA243" s="478"/>
      <c r="QZB243" s="478"/>
      <c r="QZC243" s="478"/>
      <c r="QZD243" s="478"/>
      <c r="QZE243" s="478"/>
      <c r="QZF243" s="478"/>
      <c r="QZG243" s="478"/>
      <c r="QZH243" s="478"/>
      <c r="QZI243" s="478"/>
      <c r="QZJ243" s="478"/>
      <c r="QZK243" s="478"/>
      <c r="QZL243" s="478"/>
      <c r="QZM243" s="478"/>
      <c r="QZN243" s="478"/>
      <c r="QZO243" s="478"/>
      <c r="QZP243" s="478"/>
      <c r="QZQ243" s="478"/>
      <c r="QZR243" s="478"/>
      <c r="QZS243" s="478"/>
      <c r="QZT243" s="478"/>
      <c r="QZU243" s="478"/>
      <c r="QZV243" s="478"/>
      <c r="QZW243" s="478"/>
      <c r="QZX243" s="478"/>
      <c r="QZY243" s="478"/>
      <c r="QZZ243" s="478"/>
      <c r="RAA243" s="478"/>
      <c r="RAB243" s="478"/>
      <c r="RAC243" s="478"/>
      <c r="RAD243" s="478"/>
      <c r="RAE243" s="478"/>
      <c r="RAF243" s="478"/>
      <c r="RAG243" s="478"/>
      <c r="RAH243" s="478"/>
      <c r="RAI243" s="478"/>
      <c r="RAJ243" s="478"/>
      <c r="RAK243" s="478"/>
      <c r="RAL243" s="478"/>
      <c r="RAM243" s="478"/>
      <c r="RAN243" s="478"/>
      <c r="RAO243" s="478"/>
      <c r="RAP243" s="478"/>
      <c r="RAQ243" s="478"/>
      <c r="RAR243" s="478"/>
      <c r="RAS243" s="478"/>
      <c r="RAT243" s="478"/>
      <c r="RAU243" s="478"/>
      <c r="RAV243" s="478"/>
      <c r="RAW243" s="478"/>
      <c r="RAX243" s="478"/>
      <c r="RAY243" s="478"/>
      <c r="RAZ243" s="478"/>
      <c r="RBA243" s="478"/>
      <c r="RBB243" s="478"/>
      <c r="RBC243" s="478"/>
      <c r="RBD243" s="478"/>
      <c r="RBE243" s="478"/>
      <c r="RBF243" s="478"/>
      <c r="RBG243" s="478"/>
      <c r="RBH243" s="478"/>
      <c r="RBI243" s="478"/>
      <c r="RBJ243" s="478"/>
      <c r="RBK243" s="478"/>
      <c r="RBL243" s="478"/>
      <c r="RBM243" s="478"/>
      <c r="RBN243" s="478"/>
      <c r="RBO243" s="478"/>
      <c r="RBP243" s="478"/>
      <c r="RBQ243" s="478"/>
      <c r="RBR243" s="478"/>
      <c r="RBS243" s="478"/>
      <c r="RBT243" s="478"/>
      <c r="RBU243" s="478"/>
      <c r="RBV243" s="478"/>
      <c r="RBW243" s="478"/>
      <c r="RBX243" s="478"/>
      <c r="RBY243" s="478"/>
      <c r="RBZ243" s="478"/>
      <c r="RCA243" s="478"/>
      <c r="RCB243" s="478"/>
      <c r="RCC243" s="478"/>
      <c r="RCD243" s="478"/>
      <c r="RCE243" s="478"/>
      <c r="RCF243" s="478"/>
      <c r="RCG243" s="478"/>
      <c r="RCH243" s="478"/>
      <c r="RCI243" s="478"/>
      <c r="RCJ243" s="478"/>
      <c r="RCK243" s="478"/>
      <c r="RCL243" s="478"/>
      <c r="RCM243" s="478"/>
      <c r="RCN243" s="478"/>
      <c r="RCO243" s="478"/>
      <c r="RCP243" s="478"/>
      <c r="RCQ243" s="478"/>
      <c r="RCR243" s="478"/>
      <c r="RCS243" s="478"/>
      <c r="RCT243" s="478"/>
      <c r="RCU243" s="478"/>
      <c r="RCV243" s="478"/>
      <c r="RCW243" s="478"/>
      <c r="RCX243" s="478"/>
      <c r="RCY243" s="478"/>
      <c r="RCZ243" s="478"/>
      <c r="RDA243" s="478"/>
      <c r="RDB243" s="478"/>
      <c r="RDC243" s="478"/>
      <c r="RDD243" s="478"/>
      <c r="RDE243" s="478"/>
      <c r="RDF243" s="478"/>
      <c r="RDG243" s="478"/>
      <c r="RDH243" s="478"/>
      <c r="RDI243" s="478"/>
      <c r="RDJ243" s="478"/>
      <c r="RDK243" s="478"/>
      <c r="RDL243" s="478"/>
      <c r="RDM243" s="478"/>
      <c r="RDN243" s="478"/>
      <c r="RDO243" s="478"/>
      <c r="RDP243" s="478"/>
      <c r="RDQ243" s="478"/>
      <c r="RDR243" s="478"/>
      <c r="RDS243" s="478"/>
      <c r="RDT243" s="478"/>
      <c r="RDU243" s="478"/>
      <c r="RDV243" s="478"/>
      <c r="RDW243" s="478"/>
      <c r="RDX243" s="478"/>
      <c r="RDY243" s="478"/>
      <c r="RDZ243" s="478"/>
      <c r="REA243" s="478"/>
      <c r="REB243" s="478"/>
      <c r="REC243" s="478"/>
      <c r="RED243" s="478"/>
      <c r="REE243" s="478"/>
      <c r="REF243" s="478"/>
      <c r="REG243" s="478"/>
      <c r="REH243" s="478"/>
      <c r="REI243" s="478"/>
      <c r="REJ243" s="478"/>
      <c r="REK243" s="478"/>
      <c r="REL243" s="478"/>
      <c r="REM243" s="478"/>
      <c r="REN243" s="478"/>
      <c r="REO243" s="478"/>
      <c r="REP243" s="478"/>
      <c r="REQ243" s="478"/>
      <c r="RER243" s="478"/>
      <c r="RES243" s="478"/>
      <c r="RET243" s="478"/>
      <c r="REU243" s="478"/>
      <c r="REV243" s="478"/>
      <c r="REW243" s="478"/>
      <c r="REX243" s="478"/>
      <c r="REY243" s="478"/>
      <c r="REZ243" s="478"/>
      <c r="RFA243" s="478"/>
      <c r="RFB243" s="478"/>
      <c r="RFC243" s="478"/>
      <c r="RFD243" s="478"/>
      <c r="RFE243" s="478"/>
      <c r="RFF243" s="478"/>
      <c r="RFG243" s="478"/>
      <c r="RFH243" s="478"/>
      <c r="RFI243" s="478"/>
      <c r="RFJ243" s="478"/>
      <c r="RFK243" s="478"/>
      <c r="RFL243" s="478"/>
      <c r="RFM243" s="478"/>
      <c r="RFN243" s="478"/>
      <c r="RFO243" s="478"/>
      <c r="RFP243" s="478"/>
      <c r="RFQ243" s="478"/>
      <c r="RFR243" s="478"/>
      <c r="RFS243" s="478"/>
      <c r="RFT243" s="478"/>
      <c r="RFU243" s="478"/>
      <c r="RFV243" s="478"/>
      <c r="RFW243" s="478"/>
      <c r="RFX243" s="478"/>
      <c r="RFY243" s="478"/>
      <c r="RFZ243" s="478"/>
      <c r="RGA243" s="478"/>
      <c r="RGB243" s="478"/>
      <c r="RGC243" s="478"/>
      <c r="RGD243" s="478"/>
      <c r="RGE243" s="478"/>
      <c r="RGF243" s="478"/>
      <c r="RGG243" s="478"/>
      <c r="RGH243" s="478"/>
      <c r="RGI243" s="478"/>
      <c r="RGJ243" s="478"/>
      <c r="RGK243" s="478"/>
      <c r="RGL243" s="478"/>
      <c r="RGM243" s="478"/>
      <c r="RGN243" s="478"/>
      <c r="RGO243" s="478"/>
      <c r="RGP243" s="478"/>
      <c r="RGQ243" s="478"/>
      <c r="RGR243" s="478"/>
      <c r="RGS243" s="478"/>
      <c r="RGT243" s="478"/>
      <c r="RGU243" s="478"/>
      <c r="RGV243" s="478"/>
      <c r="RGW243" s="478"/>
      <c r="RGX243" s="478"/>
      <c r="RGY243" s="478"/>
      <c r="RGZ243" s="478"/>
      <c r="RHA243" s="478"/>
      <c r="RHB243" s="478"/>
      <c r="RHC243" s="478"/>
      <c r="RHD243" s="478"/>
      <c r="RHE243" s="478"/>
      <c r="RHF243" s="478"/>
      <c r="RHG243" s="478"/>
      <c r="RHH243" s="478"/>
      <c r="RHI243" s="478"/>
      <c r="RHJ243" s="478"/>
      <c r="RHK243" s="478"/>
      <c r="RHL243" s="478"/>
      <c r="RHM243" s="478"/>
      <c r="RHN243" s="478"/>
      <c r="RHO243" s="478"/>
      <c r="RHP243" s="478"/>
      <c r="RHQ243" s="478"/>
      <c r="RHR243" s="478"/>
      <c r="RHS243" s="478"/>
      <c r="RHT243" s="478"/>
      <c r="RHU243" s="478"/>
      <c r="RHV243" s="478"/>
      <c r="RHW243" s="478"/>
      <c r="RHX243" s="478"/>
      <c r="RHY243" s="478"/>
      <c r="RHZ243" s="478"/>
      <c r="RIA243" s="478"/>
      <c r="RIB243" s="478"/>
      <c r="RIC243" s="478"/>
      <c r="RID243" s="478"/>
      <c r="RIE243" s="478"/>
      <c r="RIF243" s="478"/>
      <c r="RIG243" s="478"/>
      <c r="RIH243" s="478"/>
      <c r="RII243" s="478"/>
      <c r="RIJ243" s="478"/>
      <c r="RIK243" s="478"/>
      <c r="RIL243" s="478"/>
      <c r="RIM243" s="478"/>
      <c r="RIN243" s="478"/>
      <c r="RIO243" s="478"/>
      <c r="RIP243" s="478"/>
      <c r="RIQ243" s="478"/>
      <c r="RIR243" s="478"/>
      <c r="RIS243" s="478"/>
      <c r="RIT243" s="478"/>
      <c r="RIU243" s="478"/>
      <c r="RIV243" s="478"/>
      <c r="RIW243" s="478"/>
      <c r="RIX243" s="478"/>
      <c r="RIY243" s="478"/>
      <c r="RIZ243" s="478"/>
      <c r="RJA243" s="478"/>
      <c r="RJB243" s="478"/>
      <c r="RJC243" s="478"/>
      <c r="RJD243" s="478"/>
      <c r="RJE243" s="478"/>
      <c r="RJF243" s="478"/>
      <c r="RJG243" s="478"/>
      <c r="RJH243" s="478"/>
      <c r="RJI243" s="478"/>
      <c r="RJJ243" s="478"/>
      <c r="RJK243" s="478"/>
      <c r="RJL243" s="478"/>
      <c r="RJM243" s="478"/>
      <c r="RJN243" s="478"/>
      <c r="RJO243" s="478"/>
      <c r="RJP243" s="478"/>
      <c r="RJQ243" s="478"/>
      <c r="RJR243" s="478"/>
      <c r="RJS243" s="478"/>
      <c r="RJT243" s="478"/>
      <c r="RJU243" s="478"/>
      <c r="RJV243" s="478"/>
      <c r="RJW243" s="478"/>
      <c r="RJX243" s="478"/>
      <c r="RJY243" s="478"/>
      <c r="RJZ243" s="478"/>
      <c r="RKA243" s="478"/>
      <c r="RKB243" s="478"/>
      <c r="RKC243" s="478"/>
      <c r="RKD243" s="478"/>
      <c r="RKE243" s="478"/>
      <c r="RKF243" s="478"/>
      <c r="RKG243" s="478"/>
      <c r="RKH243" s="478"/>
      <c r="RKI243" s="478"/>
      <c r="RKJ243" s="478"/>
      <c r="RKK243" s="478"/>
      <c r="RKL243" s="478"/>
      <c r="RKM243" s="478"/>
      <c r="RKN243" s="478"/>
      <c r="RKO243" s="478"/>
      <c r="RKP243" s="478"/>
      <c r="RKQ243" s="478"/>
      <c r="RKR243" s="478"/>
      <c r="RKS243" s="478"/>
      <c r="RKT243" s="478"/>
      <c r="RKU243" s="478"/>
      <c r="RKV243" s="478"/>
      <c r="RKW243" s="478"/>
      <c r="RKX243" s="478"/>
      <c r="RKY243" s="478"/>
      <c r="RKZ243" s="478"/>
      <c r="RLA243" s="478"/>
      <c r="RLB243" s="478"/>
      <c r="RLC243" s="478"/>
      <c r="RLD243" s="478"/>
      <c r="RLE243" s="478"/>
      <c r="RLF243" s="478"/>
      <c r="RLG243" s="478"/>
      <c r="RLH243" s="478"/>
      <c r="RLI243" s="478"/>
      <c r="RLJ243" s="478"/>
      <c r="RLK243" s="478"/>
      <c r="RLL243" s="478"/>
      <c r="RLM243" s="478"/>
      <c r="RLN243" s="478"/>
      <c r="RLO243" s="478"/>
      <c r="RLP243" s="478"/>
      <c r="RLQ243" s="478"/>
      <c r="RLR243" s="478"/>
      <c r="RLS243" s="478"/>
      <c r="RLT243" s="478"/>
      <c r="RLU243" s="478"/>
      <c r="RLV243" s="478"/>
      <c r="RLW243" s="478"/>
      <c r="RLX243" s="478"/>
      <c r="RLY243" s="478"/>
      <c r="RLZ243" s="478"/>
      <c r="RMA243" s="478"/>
      <c r="RMB243" s="478"/>
      <c r="RMC243" s="478"/>
      <c r="RMD243" s="478"/>
      <c r="RME243" s="478"/>
      <c r="RMF243" s="478"/>
      <c r="RMG243" s="478"/>
      <c r="RMH243" s="478"/>
      <c r="RMI243" s="478"/>
      <c r="RMJ243" s="478"/>
      <c r="RMK243" s="478"/>
      <c r="RML243" s="478"/>
      <c r="RMM243" s="478"/>
      <c r="RMN243" s="478"/>
      <c r="RMO243" s="478"/>
      <c r="RMP243" s="478"/>
      <c r="RMQ243" s="478"/>
      <c r="RMR243" s="478"/>
      <c r="RMS243" s="478"/>
      <c r="RMT243" s="478"/>
      <c r="RMU243" s="478"/>
      <c r="RMV243" s="478"/>
      <c r="RMW243" s="478"/>
      <c r="RMX243" s="478"/>
      <c r="RMY243" s="478"/>
      <c r="RMZ243" s="478"/>
      <c r="RNA243" s="478"/>
      <c r="RNB243" s="478"/>
      <c r="RNC243" s="478"/>
      <c r="RND243" s="478"/>
      <c r="RNE243" s="478"/>
      <c r="RNF243" s="478"/>
      <c r="RNG243" s="478"/>
      <c r="RNH243" s="478"/>
      <c r="RNI243" s="478"/>
      <c r="RNJ243" s="478"/>
      <c r="RNK243" s="478"/>
      <c r="RNL243" s="478"/>
      <c r="RNM243" s="478"/>
      <c r="RNN243" s="478"/>
      <c r="RNO243" s="478"/>
      <c r="RNP243" s="478"/>
      <c r="RNQ243" s="478"/>
      <c r="RNR243" s="478"/>
      <c r="RNS243" s="478"/>
      <c r="RNT243" s="478"/>
      <c r="RNU243" s="478"/>
      <c r="RNV243" s="478"/>
      <c r="RNW243" s="478"/>
      <c r="RNX243" s="478"/>
      <c r="RNY243" s="478"/>
      <c r="RNZ243" s="478"/>
      <c r="ROA243" s="478"/>
      <c r="ROB243" s="478"/>
      <c r="ROC243" s="478"/>
      <c r="ROD243" s="478"/>
      <c r="ROE243" s="478"/>
      <c r="ROF243" s="478"/>
      <c r="ROG243" s="478"/>
      <c r="ROH243" s="478"/>
      <c r="ROI243" s="478"/>
      <c r="ROJ243" s="478"/>
      <c r="ROK243" s="478"/>
      <c r="ROL243" s="478"/>
      <c r="ROM243" s="478"/>
      <c r="RON243" s="478"/>
      <c r="ROO243" s="478"/>
      <c r="ROP243" s="478"/>
      <c r="ROQ243" s="478"/>
      <c r="ROR243" s="478"/>
      <c r="ROS243" s="478"/>
      <c r="ROT243" s="478"/>
      <c r="ROU243" s="478"/>
      <c r="ROV243" s="478"/>
      <c r="ROW243" s="478"/>
      <c r="ROX243" s="478"/>
      <c r="ROY243" s="478"/>
      <c r="ROZ243" s="478"/>
      <c r="RPA243" s="478"/>
      <c r="RPB243" s="478"/>
      <c r="RPC243" s="478"/>
      <c r="RPD243" s="478"/>
      <c r="RPE243" s="478"/>
      <c r="RPF243" s="478"/>
      <c r="RPG243" s="478"/>
      <c r="RPH243" s="478"/>
      <c r="RPI243" s="478"/>
      <c r="RPJ243" s="478"/>
      <c r="RPK243" s="478"/>
      <c r="RPL243" s="478"/>
      <c r="RPM243" s="478"/>
      <c r="RPN243" s="478"/>
      <c r="RPO243" s="478"/>
      <c r="RPP243" s="478"/>
      <c r="RPQ243" s="478"/>
      <c r="RPR243" s="478"/>
      <c r="RPS243" s="478"/>
      <c r="RPT243" s="478"/>
      <c r="RPU243" s="478"/>
      <c r="RPV243" s="478"/>
      <c r="RPW243" s="478"/>
      <c r="RPX243" s="478"/>
      <c r="RPY243" s="478"/>
      <c r="RPZ243" s="478"/>
      <c r="RQA243" s="478"/>
      <c r="RQB243" s="478"/>
      <c r="RQC243" s="478"/>
      <c r="RQD243" s="478"/>
      <c r="RQE243" s="478"/>
      <c r="RQF243" s="478"/>
      <c r="RQG243" s="478"/>
      <c r="RQH243" s="478"/>
      <c r="RQI243" s="478"/>
      <c r="RQJ243" s="478"/>
      <c r="RQK243" s="478"/>
      <c r="RQL243" s="478"/>
      <c r="RQM243" s="478"/>
      <c r="RQN243" s="478"/>
      <c r="RQO243" s="478"/>
      <c r="RQP243" s="478"/>
      <c r="RQQ243" s="478"/>
      <c r="RQR243" s="478"/>
      <c r="RQS243" s="478"/>
      <c r="RQT243" s="478"/>
      <c r="RQU243" s="478"/>
      <c r="RQV243" s="478"/>
      <c r="RQW243" s="478"/>
      <c r="RQX243" s="478"/>
      <c r="RQY243" s="478"/>
      <c r="RQZ243" s="478"/>
      <c r="RRA243" s="478"/>
      <c r="RRB243" s="478"/>
      <c r="RRC243" s="478"/>
      <c r="RRD243" s="478"/>
      <c r="RRE243" s="478"/>
      <c r="RRF243" s="478"/>
      <c r="RRG243" s="478"/>
      <c r="RRH243" s="478"/>
      <c r="RRI243" s="478"/>
      <c r="RRJ243" s="478"/>
      <c r="RRK243" s="478"/>
      <c r="RRL243" s="478"/>
      <c r="RRM243" s="478"/>
      <c r="RRN243" s="478"/>
      <c r="RRO243" s="478"/>
      <c r="RRP243" s="478"/>
      <c r="RRQ243" s="478"/>
      <c r="RRR243" s="478"/>
      <c r="RRS243" s="478"/>
      <c r="RRT243" s="478"/>
      <c r="RRU243" s="478"/>
      <c r="RRV243" s="478"/>
      <c r="RRW243" s="478"/>
      <c r="RRX243" s="478"/>
      <c r="RRY243" s="478"/>
      <c r="RRZ243" s="478"/>
      <c r="RSA243" s="478"/>
      <c r="RSB243" s="478"/>
      <c r="RSC243" s="478"/>
      <c r="RSD243" s="478"/>
      <c r="RSE243" s="478"/>
      <c r="RSF243" s="478"/>
      <c r="RSG243" s="478"/>
      <c r="RSH243" s="478"/>
      <c r="RSI243" s="478"/>
      <c r="RSJ243" s="478"/>
      <c r="RSK243" s="478"/>
      <c r="RSL243" s="478"/>
      <c r="RSM243" s="478"/>
      <c r="RSN243" s="478"/>
      <c r="RSO243" s="478"/>
      <c r="RSP243" s="478"/>
      <c r="RSQ243" s="478"/>
      <c r="RSR243" s="478"/>
      <c r="RSS243" s="478"/>
      <c r="RST243" s="478"/>
      <c r="RSU243" s="478"/>
      <c r="RSV243" s="478"/>
      <c r="RSW243" s="478"/>
      <c r="RSX243" s="478"/>
      <c r="RSY243" s="478"/>
      <c r="RSZ243" s="478"/>
      <c r="RTA243" s="478"/>
      <c r="RTB243" s="478"/>
      <c r="RTC243" s="478"/>
      <c r="RTD243" s="478"/>
      <c r="RTE243" s="478"/>
      <c r="RTF243" s="478"/>
      <c r="RTG243" s="478"/>
      <c r="RTH243" s="478"/>
      <c r="RTI243" s="478"/>
      <c r="RTJ243" s="478"/>
      <c r="RTK243" s="478"/>
      <c r="RTL243" s="478"/>
      <c r="RTM243" s="478"/>
      <c r="RTN243" s="478"/>
      <c r="RTO243" s="478"/>
      <c r="RTP243" s="478"/>
      <c r="RTQ243" s="478"/>
      <c r="RTR243" s="478"/>
      <c r="RTS243" s="478"/>
      <c r="RTT243" s="478"/>
      <c r="RTU243" s="478"/>
      <c r="RTV243" s="478"/>
      <c r="RTW243" s="478"/>
      <c r="RTX243" s="478"/>
      <c r="RTY243" s="478"/>
      <c r="RTZ243" s="478"/>
      <c r="RUA243" s="478"/>
      <c r="RUB243" s="478"/>
      <c r="RUC243" s="478"/>
      <c r="RUD243" s="478"/>
      <c r="RUE243" s="478"/>
      <c r="RUF243" s="478"/>
      <c r="RUG243" s="478"/>
      <c r="RUH243" s="478"/>
      <c r="RUI243" s="478"/>
      <c r="RUJ243" s="478"/>
      <c r="RUK243" s="478"/>
      <c r="RUL243" s="478"/>
      <c r="RUM243" s="478"/>
      <c r="RUN243" s="478"/>
      <c r="RUO243" s="478"/>
      <c r="RUP243" s="478"/>
      <c r="RUQ243" s="478"/>
      <c r="RUR243" s="478"/>
      <c r="RUS243" s="478"/>
      <c r="RUT243" s="478"/>
      <c r="RUU243" s="478"/>
      <c r="RUV243" s="478"/>
      <c r="RUW243" s="478"/>
      <c r="RUX243" s="478"/>
      <c r="RUY243" s="478"/>
      <c r="RUZ243" s="478"/>
      <c r="RVA243" s="478"/>
      <c r="RVB243" s="478"/>
      <c r="RVC243" s="478"/>
      <c r="RVD243" s="478"/>
      <c r="RVE243" s="478"/>
      <c r="RVF243" s="478"/>
      <c r="RVG243" s="478"/>
      <c r="RVH243" s="478"/>
      <c r="RVI243" s="478"/>
      <c r="RVJ243" s="478"/>
      <c r="RVK243" s="478"/>
      <c r="RVL243" s="478"/>
      <c r="RVM243" s="478"/>
      <c r="RVN243" s="478"/>
      <c r="RVO243" s="478"/>
      <c r="RVP243" s="478"/>
      <c r="RVQ243" s="478"/>
      <c r="RVR243" s="478"/>
      <c r="RVS243" s="478"/>
      <c r="RVT243" s="478"/>
      <c r="RVU243" s="478"/>
      <c r="RVV243" s="478"/>
      <c r="RVW243" s="478"/>
      <c r="RVX243" s="478"/>
      <c r="RVY243" s="478"/>
      <c r="RVZ243" s="478"/>
      <c r="RWA243" s="478"/>
      <c r="RWB243" s="478"/>
      <c r="RWC243" s="478"/>
      <c r="RWD243" s="478"/>
      <c r="RWE243" s="478"/>
      <c r="RWF243" s="478"/>
      <c r="RWG243" s="478"/>
      <c r="RWH243" s="478"/>
      <c r="RWI243" s="478"/>
      <c r="RWJ243" s="478"/>
      <c r="RWK243" s="478"/>
      <c r="RWL243" s="478"/>
      <c r="RWM243" s="478"/>
      <c r="RWN243" s="478"/>
      <c r="RWO243" s="478"/>
      <c r="RWP243" s="478"/>
      <c r="RWQ243" s="478"/>
      <c r="RWR243" s="478"/>
      <c r="RWS243" s="478"/>
      <c r="RWT243" s="478"/>
      <c r="RWU243" s="478"/>
      <c r="RWV243" s="478"/>
      <c r="RWW243" s="478"/>
      <c r="RWX243" s="478"/>
      <c r="RWY243" s="478"/>
      <c r="RWZ243" s="478"/>
      <c r="RXA243" s="478"/>
      <c r="RXB243" s="478"/>
      <c r="RXC243" s="478"/>
      <c r="RXD243" s="478"/>
      <c r="RXE243" s="478"/>
      <c r="RXF243" s="478"/>
      <c r="RXG243" s="478"/>
      <c r="RXH243" s="478"/>
      <c r="RXI243" s="478"/>
      <c r="RXJ243" s="478"/>
      <c r="RXK243" s="478"/>
      <c r="RXL243" s="478"/>
      <c r="RXM243" s="478"/>
      <c r="RXN243" s="478"/>
      <c r="RXO243" s="478"/>
      <c r="RXP243" s="478"/>
      <c r="RXQ243" s="478"/>
      <c r="RXR243" s="478"/>
      <c r="RXS243" s="478"/>
      <c r="RXT243" s="478"/>
      <c r="RXU243" s="478"/>
      <c r="RXV243" s="478"/>
      <c r="RXW243" s="478"/>
      <c r="RXX243" s="478"/>
      <c r="RXY243" s="478"/>
      <c r="RXZ243" s="478"/>
      <c r="RYA243" s="478"/>
      <c r="RYB243" s="478"/>
      <c r="RYC243" s="478"/>
      <c r="RYD243" s="478"/>
      <c r="RYE243" s="478"/>
      <c r="RYF243" s="478"/>
      <c r="RYG243" s="478"/>
      <c r="RYH243" s="478"/>
      <c r="RYI243" s="478"/>
      <c r="RYJ243" s="478"/>
      <c r="RYK243" s="478"/>
      <c r="RYL243" s="478"/>
      <c r="RYM243" s="478"/>
      <c r="RYN243" s="478"/>
      <c r="RYO243" s="478"/>
      <c r="RYP243" s="478"/>
      <c r="RYQ243" s="478"/>
      <c r="RYR243" s="478"/>
      <c r="RYS243" s="478"/>
      <c r="RYT243" s="478"/>
      <c r="RYU243" s="478"/>
      <c r="RYV243" s="478"/>
      <c r="RYW243" s="478"/>
      <c r="RYX243" s="478"/>
      <c r="RYY243" s="478"/>
      <c r="RYZ243" s="478"/>
      <c r="RZA243" s="478"/>
      <c r="RZB243" s="478"/>
      <c r="RZC243" s="478"/>
      <c r="RZD243" s="478"/>
      <c r="RZE243" s="478"/>
      <c r="RZF243" s="478"/>
      <c r="RZG243" s="478"/>
      <c r="RZH243" s="478"/>
      <c r="RZI243" s="478"/>
      <c r="RZJ243" s="478"/>
      <c r="RZK243" s="478"/>
      <c r="RZL243" s="478"/>
      <c r="RZM243" s="478"/>
      <c r="RZN243" s="478"/>
      <c r="RZO243" s="478"/>
      <c r="RZP243" s="478"/>
      <c r="RZQ243" s="478"/>
      <c r="RZR243" s="478"/>
      <c r="RZS243" s="478"/>
      <c r="RZT243" s="478"/>
      <c r="RZU243" s="478"/>
      <c r="RZV243" s="478"/>
      <c r="RZW243" s="478"/>
      <c r="RZX243" s="478"/>
      <c r="RZY243" s="478"/>
      <c r="RZZ243" s="478"/>
      <c r="SAA243" s="478"/>
      <c r="SAB243" s="478"/>
      <c r="SAC243" s="478"/>
      <c r="SAD243" s="478"/>
      <c r="SAE243" s="478"/>
      <c r="SAF243" s="478"/>
      <c r="SAG243" s="478"/>
      <c r="SAH243" s="478"/>
      <c r="SAI243" s="478"/>
      <c r="SAJ243" s="478"/>
      <c r="SAK243" s="478"/>
      <c r="SAL243" s="478"/>
      <c r="SAM243" s="478"/>
      <c r="SAN243" s="478"/>
      <c r="SAO243" s="478"/>
      <c r="SAP243" s="478"/>
      <c r="SAQ243" s="478"/>
      <c r="SAR243" s="478"/>
      <c r="SAS243" s="478"/>
      <c r="SAT243" s="478"/>
      <c r="SAU243" s="478"/>
      <c r="SAV243" s="478"/>
      <c r="SAW243" s="478"/>
      <c r="SAX243" s="478"/>
      <c r="SAY243" s="478"/>
      <c r="SAZ243" s="478"/>
      <c r="SBA243" s="478"/>
      <c r="SBB243" s="478"/>
      <c r="SBC243" s="478"/>
      <c r="SBD243" s="478"/>
      <c r="SBE243" s="478"/>
      <c r="SBF243" s="478"/>
      <c r="SBG243" s="478"/>
      <c r="SBH243" s="478"/>
      <c r="SBI243" s="478"/>
      <c r="SBJ243" s="478"/>
      <c r="SBK243" s="478"/>
      <c r="SBL243" s="478"/>
      <c r="SBM243" s="478"/>
      <c r="SBN243" s="478"/>
      <c r="SBO243" s="478"/>
      <c r="SBP243" s="478"/>
      <c r="SBQ243" s="478"/>
      <c r="SBR243" s="478"/>
      <c r="SBS243" s="478"/>
      <c r="SBT243" s="478"/>
      <c r="SBU243" s="478"/>
      <c r="SBV243" s="478"/>
      <c r="SBW243" s="478"/>
      <c r="SBX243" s="478"/>
      <c r="SBY243" s="478"/>
      <c r="SBZ243" s="478"/>
      <c r="SCA243" s="478"/>
      <c r="SCB243" s="478"/>
      <c r="SCC243" s="478"/>
      <c r="SCD243" s="478"/>
      <c r="SCE243" s="478"/>
      <c r="SCF243" s="478"/>
      <c r="SCG243" s="478"/>
      <c r="SCH243" s="478"/>
      <c r="SCI243" s="478"/>
      <c r="SCJ243" s="478"/>
      <c r="SCK243" s="478"/>
      <c r="SCL243" s="478"/>
      <c r="SCM243" s="478"/>
      <c r="SCN243" s="478"/>
      <c r="SCO243" s="478"/>
      <c r="SCP243" s="478"/>
      <c r="SCQ243" s="478"/>
      <c r="SCR243" s="478"/>
      <c r="SCS243" s="478"/>
      <c r="SCT243" s="478"/>
      <c r="SCU243" s="478"/>
      <c r="SCV243" s="478"/>
      <c r="SCW243" s="478"/>
      <c r="SCX243" s="478"/>
      <c r="SCY243" s="478"/>
      <c r="SCZ243" s="478"/>
      <c r="SDA243" s="478"/>
      <c r="SDB243" s="478"/>
      <c r="SDC243" s="478"/>
      <c r="SDD243" s="478"/>
      <c r="SDE243" s="478"/>
      <c r="SDF243" s="478"/>
      <c r="SDG243" s="478"/>
      <c r="SDH243" s="478"/>
      <c r="SDI243" s="478"/>
      <c r="SDJ243" s="478"/>
      <c r="SDK243" s="478"/>
      <c r="SDL243" s="478"/>
      <c r="SDM243" s="478"/>
      <c r="SDN243" s="478"/>
      <c r="SDO243" s="478"/>
      <c r="SDP243" s="478"/>
      <c r="SDQ243" s="478"/>
      <c r="SDR243" s="478"/>
      <c r="SDS243" s="478"/>
      <c r="SDT243" s="478"/>
      <c r="SDU243" s="478"/>
      <c r="SDV243" s="478"/>
      <c r="SDW243" s="478"/>
      <c r="SDX243" s="478"/>
      <c r="SDY243" s="478"/>
      <c r="SDZ243" s="478"/>
      <c r="SEA243" s="478"/>
      <c r="SEB243" s="478"/>
      <c r="SEC243" s="478"/>
      <c r="SED243" s="478"/>
      <c r="SEE243" s="478"/>
      <c r="SEF243" s="478"/>
      <c r="SEG243" s="478"/>
      <c r="SEH243" s="478"/>
      <c r="SEI243" s="478"/>
      <c r="SEJ243" s="478"/>
      <c r="SEK243" s="478"/>
      <c r="SEL243" s="478"/>
      <c r="SEM243" s="478"/>
      <c r="SEN243" s="478"/>
      <c r="SEO243" s="478"/>
      <c r="SEP243" s="478"/>
      <c r="SEQ243" s="478"/>
      <c r="SER243" s="478"/>
      <c r="SES243" s="478"/>
      <c r="SET243" s="478"/>
      <c r="SEU243" s="478"/>
      <c r="SEV243" s="478"/>
      <c r="SEW243" s="478"/>
      <c r="SEX243" s="478"/>
      <c r="SEY243" s="478"/>
      <c r="SEZ243" s="478"/>
      <c r="SFA243" s="478"/>
      <c r="SFB243" s="478"/>
      <c r="SFC243" s="478"/>
      <c r="SFD243" s="478"/>
      <c r="SFE243" s="478"/>
      <c r="SFF243" s="478"/>
      <c r="SFG243" s="478"/>
      <c r="SFH243" s="478"/>
      <c r="SFI243" s="478"/>
      <c r="SFJ243" s="478"/>
      <c r="SFK243" s="478"/>
      <c r="SFL243" s="478"/>
      <c r="SFM243" s="478"/>
      <c r="SFN243" s="478"/>
      <c r="SFO243" s="478"/>
      <c r="SFP243" s="478"/>
      <c r="SFQ243" s="478"/>
      <c r="SFR243" s="478"/>
      <c r="SFS243" s="478"/>
      <c r="SFT243" s="478"/>
      <c r="SFU243" s="478"/>
      <c r="SFV243" s="478"/>
      <c r="SFW243" s="478"/>
      <c r="SFX243" s="478"/>
      <c r="SFY243" s="478"/>
      <c r="SFZ243" s="478"/>
      <c r="SGA243" s="478"/>
      <c r="SGB243" s="478"/>
      <c r="SGC243" s="478"/>
      <c r="SGD243" s="478"/>
      <c r="SGE243" s="478"/>
      <c r="SGF243" s="478"/>
      <c r="SGG243" s="478"/>
      <c r="SGH243" s="478"/>
      <c r="SGI243" s="478"/>
      <c r="SGJ243" s="478"/>
      <c r="SGK243" s="478"/>
      <c r="SGL243" s="478"/>
      <c r="SGM243" s="478"/>
      <c r="SGN243" s="478"/>
      <c r="SGO243" s="478"/>
      <c r="SGP243" s="478"/>
      <c r="SGQ243" s="478"/>
      <c r="SGR243" s="478"/>
      <c r="SGS243" s="478"/>
      <c r="SGT243" s="478"/>
      <c r="SGU243" s="478"/>
      <c r="SGV243" s="478"/>
      <c r="SGW243" s="478"/>
      <c r="SGX243" s="478"/>
      <c r="SGY243" s="478"/>
      <c r="SGZ243" s="478"/>
      <c r="SHA243" s="478"/>
      <c r="SHB243" s="478"/>
      <c r="SHC243" s="478"/>
      <c r="SHD243" s="478"/>
      <c r="SHE243" s="478"/>
      <c r="SHF243" s="478"/>
      <c r="SHG243" s="478"/>
      <c r="SHH243" s="478"/>
      <c r="SHI243" s="478"/>
      <c r="SHJ243" s="478"/>
      <c r="SHK243" s="478"/>
      <c r="SHL243" s="478"/>
      <c r="SHM243" s="478"/>
      <c r="SHN243" s="478"/>
      <c r="SHO243" s="478"/>
      <c r="SHP243" s="478"/>
      <c r="SHQ243" s="478"/>
      <c r="SHR243" s="478"/>
      <c r="SHS243" s="478"/>
      <c r="SHT243" s="478"/>
      <c r="SHU243" s="478"/>
      <c r="SHV243" s="478"/>
      <c r="SHW243" s="478"/>
      <c r="SHX243" s="478"/>
      <c r="SHY243" s="478"/>
      <c r="SHZ243" s="478"/>
      <c r="SIA243" s="478"/>
      <c r="SIB243" s="478"/>
      <c r="SIC243" s="478"/>
      <c r="SID243" s="478"/>
      <c r="SIE243" s="478"/>
      <c r="SIF243" s="478"/>
      <c r="SIG243" s="478"/>
      <c r="SIH243" s="478"/>
      <c r="SII243" s="478"/>
      <c r="SIJ243" s="478"/>
      <c r="SIK243" s="478"/>
      <c r="SIL243" s="478"/>
      <c r="SIM243" s="478"/>
      <c r="SIN243" s="478"/>
      <c r="SIO243" s="478"/>
      <c r="SIP243" s="478"/>
      <c r="SIQ243" s="478"/>
      <c r="SIR243" s="478"/>
      <c r="SIS243" s="478"/>
      <c r="SIT243" s="478"/>
      <c r="SIU243" s="478"/>
      <c r="SIV243" s="478"/>
      <c r="SIW243" s="478"/>
      <c r="SIX243" s="478"/>
      <c r="SIY243" s="478"/>
      <c r="SIZ243" s="478"/>
      <c r="SJA243" s="478"/>
      <c r="SJB243" s="478"/>
      <c r="SJC243" s="478"/>
      <c r="SJD243" s="478"/>
      <c r="SJE243" s="478"/>
      <c r="SJF243" s="478"/>
      <c r="SJG243" s="478"/>
      <c r="SJH243" s="478"/>
      <c r="SJI243" s="478"/>
      <c r="SJJ243" s="478"/>
      <c r="SJK243" s="478"/>
      <c r="SJL243" s="478"/>
      <c r="SJM243" s="478"/>
      <c r="SJN243" s="478"/>
      <c r="SJO243" s="478"/>
      <c r="SJP243" s="478"/>
      <c r="SJQ243" s="478"/>
      <c r="SJR243" s="478"/>
      <c r="SJS243" s="478"/>
      <c r="SJT243" s="478"/>
      <c r="SJU243" s="478"/>
      <c r="SJV243" s="478"/>
      <c r="SJW243" s="478"/>
      <c r="SJX243" s="478"/>
      <c r="SJY243" s="478"/>
      <c r="SJZ243" s="478"/>
      <c r="SKA243" s="478"/>
      <c r="SKB243" s="478"/>
      <c r="SKC243" s="478"/>
      <c r="SKD243" s="478"/>
      <c r="SKE243" s="478"/>
      <c r="SKF243" s="478"/>
      <c r="SKG243" s="478"/>
      <c r="SKH243" s="478"/>
      <c r="SKI243" s="478"/>
      <c r="SKJ243" s="478"/>
      <c r="SKK243" s="478"/>
      <c r="SKL243" s="478"/>
      <c r="SKM243" s="478"/>
      <c r="SKN243" s="478"/>
      <c r="SKO243" s="478"/>
      <c r="SKP243" s="478"/>
      <c r="SKQ243" s="478"/>
      <c r="SKR243" s="478"/>
      <c r="SKS243" s="478"/>
      <c r="SKT243" s="478"/>
      <c r="SKU243" s="478"/>
      <c r="SKV243" s="478"/>
      <c r="SKW243" s="478"/>
      <c r="SKX243" s="478"/>
      <c r="SKY243" s="478"/>
      <c r="SKZ243" s="478"/>
      <c r="SLA243" s="478"/>
      <c r="SLB243" s="478"/>
      <c r="SLC243" s="478"/>
      <c r="SLD243" s="478"/>
      <c r="SLE243" s="478"/>
      <c r="SLF243" s="478"/>
      <c r="SLG243" s="478"/>
      <c r="SLH243" s="478"/>
      <c r="SLI243" s="478"/>
      <c r="SLJ243" s="478"/>
      <c r="SLK243" s="478"/>
      <c r="SLL243" s="478"/>
      <c r="SLM243" s="478"/>
      <c r="SLN243" s="478"/>
      <c r="SLO243" s="478"/>
      <c r="SLP243" s="478"/>
      <c r="SLQ243" s="478"/>
      <c r="SLR243" s="478"/>
      <c r="SLS243" s="478"/>
      <c r="SLT243" s="478"/>
      <c r="SLU243" s="478"/>
      <c r="SLV243" s="478"/>
      <c r="SLW243" s="478"/>
      <c r="SLX243" s="478"/>
      <c r="SLY243" s="478"/>
      <c r="SLZ243" s="478"/>
      <c r="SMA243" s="478"/>
      <c r="SMB243" s="478"/>
      <c r="SMC243" s="478"/>
      <c r="SMD243" s="478"/>
      <c r="SME243" s="478"/>
      <c r="SMF243" s="478"/>
      <c r="SMG243" s="478"/>
      <c r="SMH243" s="478"/>
      <c r="SMI243" s="478"/>
      <c r="SMJ243" s="478"/>
      <c r="SMK243" s="478"/>
      <c r="SML243" s="478"/>
      <c r="SMM243" s="478"/>
      <c r="SMN243" s="478"/>
      <c r="SMO243" s="478"/>
      <c r="SMP243" s="478"/>
      <c r="SMQ243" s="478"/>
      <c r="SMR243" s="478"/>
      <c r="SMS243" s="478"/>
      <c r="SMT243" s="478"/>
      <c r="SMU243" s="478"/>
      <c r="SMV243" s="478"/>
      <c r="SMW243" s="478"/>
      <c r="SMX243" s="478"/>
      <c r="SMY243" s="478"/>
      <c r="SMZ243" s="478"/>
      <c r="SNA243" s="478"/>
      <c r="SNB243" s="478"/>
      <c r="SNC243" s="478"/>
      <c r="SND243" s="478"/>
      <c r="SNE243" s="478"/>
      <c r="SNF243" s="478"/>
      <c r="SNG243" s="478"/>
      <c r="SNH243" s="478"/>
      <c r="SNI243" s="478"/>
      <c r="SNJ243" s="478"/>
      <c r="SNK243" s="478"/>
      <c r="SNL243" s="478"/>
      <c r="SNM243" s="478"/>
      <c r="SNN243" s="478"/>
      <c r="SNO243" s="478"/>
      <c r="SNP243" s="478"/>
      <c r="SNQ243" s="478"/>
      <c r="SNR243" s="478"/>
      <c r="SNS243" s="478"/>
      <c r="SNT243" s="478"/>
      <c r="SNU243" s="478"/>
      <c r="SNV243" s="478"/>
      <c r="SNW243" s="478"/>
      <c r="SNX243" s="478"/>
      <c r="SNY243" s="478"/>
      <c r="SNZ243" s="478"/>
      <c r="SOA243" s="478"/>
      <c r="SOB243" s="478"/>
      <c r="SOC243" s="478"/>
      <c r="SOD243" s="478"/>
      <c r="SOE243" s="478"/>
      <c r="SOF243" s="478"/>
      <c r="SOG243" s="478"/>
      <c r="SOH243" s="478"/>
      <c r="SOI243" s="478"/>
      <c r="SOJ243" s="478"/>
      <c r="SOK243" s="478"/>
      <c r="SOL243" s="478"/>
      <c r="SOM243" s="478"/>
      <c r="SON243" s="478"/>
      <c r="SOO243" s="478"/>
      <c r="SOP243" s="478"/>
      <c r="SOQ243" s="478"/>
      <c r="SOR243" s="478"/>
      <c r="SOS243" s="478"/>
      <c r="SOT243" s="478"/>
      <c r="SOU243" s="478"/>
      <c r="SOV243" s="478"/>
      <c r="SOW243" s="478"/>
      <c r="SOX243" s="478"/>
      <c r="SOY243" s="478"/>
      <c r="SOZ243" s="478"/>
      <c r="SPA243" s="478"/>
      <c r="SPB243" s="478"/>
      <c r="SPC243" s="478"/>
      <c r="SPD243" s="478"/>
      <c r="SPE243" s="478"/>
      <c r="SPF243" s="478"/>
      <c r="SPG243" s="478"/>
      <c r="SPH243" s="478"/>
      <c r="SPI243" s="478"/>
      <c r="SPJ243" s="478"/>
      <c r="SPK243" s="478"/>
      <c r="SPL243" s="478"/>
      <c r="SPM243" s="478"/>
      <c r="SPN243" s="478"/>
      <c r="SPO243" s="478"/>
      <c r="SPP243" s="478"/>
      <c r="SPQ243" s="478"/>
      <c r="SPR243" s="478"/>
      <c r="SPS243" s="478"/>
      <c r="SPT243" s="478"/>
      <c r="SPU243" s="478"/>
      <c r="SPV243" s="478"/>
      <c r="SPW243" s="478"/>
      <c r="SPX243" s="478"/>
      <c r="SPY243" s="478"/>
      <c r="SPZ243" s="478"/>
      <c r="SQA243" s="478"/>
      <c r="SQB243" s="478"/>
      <c r="SQC243" s="478"/>
      <c r="SQD243" s="478"/>
      <c r="SQE243" s="478"/>
      <c r="SQF243" s="478"/>
      <c r="SQG243" s="478"/>
      <c r="SQH243" s="478"/>
      <c r="SQI243" s="478"/>
      <c r="SQJ243" s="478"/>
      <c r="SQK243" s="478"/>
      <c r="SQL243" s="478"/>
      <c r="SQM243" s="478"/>
      <c r="SQN243" s="478"/>
      <c r="SQO243" s="478"/>
      <c r="SQP243" s="478"/>
      <c r="SQQ243" s="478"/>
      <c r="SQR243" s="478"/>
      <c r="SQS243" s="478"/>
      <c r="SQT243" s="478"/>
      <c r="SQU243" s="478"/>
      <c r="SQV243" s="478"/>
      <c r="SQW243" s="478"/>
      <c r="SQX243" s="478"/>
      <c r="SQY243" s="478"/>
      <c r="SQZ243" s="478"/>
      <c r="SRA243" s="478"/>
      <c r="SRB243" s="478"/>
      <c r="SRC243" s="478"/>
      <c r="SRD243" s="478"/>
      <c r="SRE243" s="478"/>
      <c r="SRF243" s="478"/>
      <c r="SRG243" s="478"/>
      <c r="SRH243" s="478"/>
      <c r="SRI243" s="478"/>
      <c r="SRJ243" s="478"/>
      <c r="SRK243" s="478"/>
      <c r="SRL243" s="478"/>
      <c r="SRM243" s="478"/>
      <c r="SRN243" s="478"/>
      <c r="SRO243" s="478"/>
      <c r="SRP243" s="478"/>
      <c r="SRQ243" s="478"/>
      <c r="SRR243" s="478"/>
      <c r="SRS243" s="478"/>
      <c r="SRT243" s="478"/>
      <c r="SRU243" s="478"/>
      <c r="SRV243" s="478"/>
      <c r="SRW243" s="478"/>
      <c r="SRX243" s="478"/>
      <c r="SRY243" s="478"/>
      <c r="SRZ243" s="478"/>
      <c r="SSA243" s="478"/>
      <c r="SSB243" s="478"/>
      <c r="SSC243" s="478"/>
      <c r="SSD243" s="478"/>
      <c r="SSE243" s="478"/>
      <c r="SSF243" s="478"/>
      <c r="SSG243" s="478"/>
      <c r="SSH243" s="478"/>
      <c r="SSI243" s="478"/>
      <c r="SSJ243" s="478"/>
      <c r="SSK243" s="478"/>
      <c r="SSL243" s="478"/>
      <c r="SSM243" s="478"/>
      <c r="SSN243" s="478"/>
      <c r="SSO243" s="478"/>
      <c r="SSP243" s="478"/>
      <c r="SSQ243" s="478"/>
      <c r="SSR243" s="478"/>
      <c r="SSS243" s="478"/>
      <c r="SST243" s="478"/>
      <c r="SSU243" s="478"/>
      <c r="SSV243" s="478"/>
      <c r="SSW243" s="478"/>
      <c r="SSX243" s="478"/>
      <c r="SSY243" s="478"/>
      <c r="SSZ243" s="478"/>
      <c r="STA243" s="478"/>
      <c r="STB243" s="478"/>
      <c r="STC243" s="478"/>
      <c r="STD243" s="478"/>
      <c r="STE243" s="478"/>
      <c r="STF243" s="478"/>
      <c r="STG243" s="478"/>
      <c r="STH243" s="478"/>
      <c r="STI243" s="478"/>
      <c r="STJ243" s="478"/>
      <c r="STK243" s="478"/>
      <c r="STL243" s="478"/>
      <c r="STM243" s="478"/>
      <c r="STN243" s="478"/>
      <c r="STO243" s="478"/>
      <c r="STP243" s="478"/>
      <c r="STQ243" s="478"/>
      <c r="STR243" s="478"/>
      <c r="STS243" s="478"/>
      <c r="STT243" s="478"/>
      <c r="STU243" s="478"/>
      <c r="STV243" s="478"/>
      <c r="STW243" s="478"/>
      <c r="STX243" s="478"/>
      <c r="STY243" s="478"/>
      <c r="STZ243" s="478"/>
      <c r="SUA243" s="478"/>
      <c r="SUB243" s="478"/>
      <c r="SUC243" s="478"/>
      <c r="SUD243" s="478"/>
      <c r="SUE243" s="478"/>
      <c r="SUF243" s="478"/>
      <c r="SUG243" s="478"/>
      <c r="SUH243" s="478"/>
      <c r="SUI243" s="478"/>
      <c r="SUJ243" s="478"/>
      <c r="SUK243" s="478"/>
      <c r="SUL243" s="478"/>
      <c r="SUM243" s="478"/>
      <c r="SUN243" s="478"/>
      <c r="SUO243" s="478"/>
      <c r="SUP243" s="478"/>
      <c r="SUQ243" s="478"/>
      <c r="SUR243" s="478"/>
      <c r="SUS243" s="478"/>
      <c r="SUT243" s="478"/>
      <c r="SUU243" s="478"/>
      <c r="SUV243" s="478"/>
      <c r="SUW243" s="478"/>
      <c r="SUX243" s="478"/>
      <c r="SUY243" s="478"/>
      <c r="SUZ243" s="478"/>
      <c r="SVA243" s="478"/>
      <c r="SVB243" s="478"/>
      <c r="SVC243" s="478"/>
      <c r="SVD243" s="478"/>
      <c r="SVE243" s="478"/>
      <c r="SVF243" s="478"/>
      <c r="SVG243" s="478"/>
      <c r="SVH243" s="478"/>
      <c r="SVI243" s="478"/>
      <c r="SVJ243" s="478"/>
      <c r="SVK243" s="478"/>
      <c r="SVL243" s="478"/>
      <c r="SVM243" s="478"/>
      <c r="SVN243" s="478"/>
      <c r="SVO243" s="478"/>
      <c r="SVP243" s="478"/>
      <c r="SVQ243" s="478"/>
      <c r="SVR243" s="478"/>
      <c r="SVS243" s="478"/>
      <c r="SVT243" s="478"/>
      <c r="SVU243" s="478"/>
      <c r="SVV243" s="478"/>
      <c r="SVW243" s="478"/>
      <c r="SVX243" s="478"/>
      <c r="SVY243" s="478"/>
      <c r="SVZ243" s="478"/>
      <c r="SWA243" s="478"/>
      <c r="SWB243" s="478"/>
      <c r="SWC243" s="478"/>
      <c r="SWD243" s="478"/>
      <c r="SWE243" s="478"/>
      <c r="SWF243" s="478"/>
      <c r="SWG243" s="478"/>
      <c r="SWH243" s="478"/>
      <c r="SWI243" s="478"/>
      <c r="SWJ243" s="478"/>
      <c r="SWK243" s="478"/>
      <c r="SWL243" s="478"/>
      <c r="SWM243" s="478"/>
      <c r="SWN243" s="478"/>
      <c r="SWO243" s="478"/>
      <c r="SWP243" s="478"/>
      <c r="SWQ243" s="478"/>
      <c r="SWR243" s="478"/>
      <c r="SWS243" s="478"/>
      <c r="SWT243" s="478"/>
      <c r="SWU243" s="478"/>
      <c r="SWV243" s="478"/>
      <c r="SWW243" s="478"/>
      <c r="SWX243" s="478"/>
      <c r="SWY243" s="478"/>
      <c r="SWZ243" s="478"/>
      <c r="SXA243" s="478"/>
      <c r="SXB243" s="478"/>
      <c r="SXC243" s="478"/>
      <c r="SXD243" s="478"/>
      <c r="SXE243" s="478"/>
      <c r="SXF243" s="478"/>
      <c r="SXG243" s="478"/>
      <c r="SXH243" s="478"/>
      <c r="SXI243" s="478"/>
      <c r="SXJ243" s="478"/>
      <c r="SXK243" s="478"/>
      <c r="SXL243" s="478"/>
      <c r="SXM243" s="478"/>
      <c r="SXN243" s="478"/>
      <c r="SXO243" s="478"/>
      <c r="SXP243" s="478"/>
      <c r="SXQ243" s="478"/>
      <c r="SXR243" s="478"/>
      <c r="SXS243" s="478"/>
      <c r="SXT243" s="478"/>
      <c r="SXU243" s="478"/>
      <c r="SXV243" s="478"/>
      <c r="SXW243" s="478"/>
      <c r="SXX243" s="478"/>
      <c r="SXY243" s="478"/>
      <c r="SXZ243" s="478"/>
      <c r="SYA243" s="478"/>
      <c r="SYB243" s="478"/>
      <c r="SYC243" s="478"/>
      <c r="SYD243" s="478"/>
      <c r="SYE243" s="478"/>
      <c r="SYF243" s="478"/>
      <c r="SYG243" s="478"/>
      <c r="SYH243" s="478"/>
      <c r="SYI243" s="478"/>
      <c r="SYJ243" s="478"/>
      <c r="SYK243" s="478"/>
      <c r="SYL243" s="478"/>
      <c r="SYM243" s="478"/>
      <c r="SYN243" s="478"/>
      <c r="SYO243" s="478"/>
      <c r="SYP243" s="478"/>
      <c r="SYQ243" s="478"/>
      <c r="SYR243" s="478"/>
      <c r="SYS243" s="478"/>
      <c r="SYT243" s="478"/>
      <c r="SYU243" s="478"/>
      <c r="SYV243" s="478"/>
      <c r="SYW243" s="478"/>
      <c r="SYX243" s="478"/>
      <c r="SYY243" s="478"/>
      <c r="SYZ243" s="478"/>
      <c r="SZA243" s="478"/>
      <c r="SZB243" s="478"/>
      <c r="SZC243" s="478"/>
      <c r="SZD243" s="478"/>
      <c r="SZE243" s="478"/>
      <c r="SZF243" s="478"/>
      <c r="SZG243" s="478"/>
      <c r="SZH243" s="478"/>
      <c r="SZI243" s="478"/>
      <c r="SZJ243" s="478"/>
      <c r="SZK243" s="478"/>
      <c r="SZL243" s="478"/>
      <c r="SZM243" s="478"/>
      <c r="SZN243" s="478"/>
      <c r="SZO243" s="478"/>
      <c r="SZP243" s="478"/>
      <c r="SZQ243" s="478"/>
      <c r="SZR243" s="478"/>
      <c r="SZS243" s="478"/>
      <c r="SZT243" s="478"/>
      <c r="SZU243" s="478"/>
      <c r="SZV243" s="478"/>
      <c r="SZW243" s="478"/>
      <c r="SZX243" s="478"/>
      <c r="SZY243" s="478"/>
      <c r="SZZ243" s="478"/>
      <c r="TAA243" s="478"/>
      <c r="TAB243" s="478"/>
      <c r="TAC243" s="478"/>
      <c r="TAD243" s="478"/>
      <c r="TAE243" s="478"/>
      <c r="TAF243" s="478"/>
      <c r="TAG243" s="478"/>
      <c r="TAH243" s="478"/>
      <c r="TAI243" s="478"/>
      <c r="TAJ243" s="478"/>
      <c r="TAK243" s="478"/>
      <c r="TAL243" s="478"/>
      <c r="TAM243" s="478"/>
      <c r="TAN243" s="478"/>
      <c r="TAO243" s="478"/>
      <c r="TAP243" s="478"/>
      <c r="TAQ243" s="478"/>
      <c r="TAR243" s="478"/>
      <c r="TAS243" s="478"/>
      <c r="TAT243" s="478"/>
      <c r="TAU243" s="478"/>
      <c r="TAV243" s="478"/>
      <c r="TAW243" s="478"/>
      <c r="TAX243" s="478"/>
      <c r="TAY243" s="478"/>
      <c r="TAZ243" s="478"/>
      <c r="TBA243" s="478"/>
      <c r="TBB243" s="478"/>
      <c r="TBC243" s="478"/>
      <c r="TBD243" s="478"/>
      <c r="TBE243" s="478"/>
      <c r="TBF243" s="478"/>
      <c r="TBG243" s="478"/>
      <c r="TBH243" s="478"/>
      <c r="TBI243" s="478"/>
      <c r="TBJ243" s="478"/>
      <c r="TBK243" s="478"/>
      <c r="TBL243" s="478"/>
      <c r="TBM243" s="478"/>
      <c r="TBN243" s="478"/>
      <c r="TBO243" s="478"/>
      <c r="TBP243" s="478"/>
      <c r="TBQ243" s="478"/>
      <c r="TBR243" s="478"/>
      <c r="TBS243" s="478"/>
      <c r="TBT243" s="478"/>
      <c r="TBU243" s="478"/>
      <c r="TBV243" s="478"/>
      <c r="TBW243" s="478"/>
      <c r="TBX243" s="478"/>
      <c r="TBY243" s="478"/>
      <c r="TBZ243" s="478"/>
      <c r="TCA243" s="478"/>
      <c r="TCB243" s="478"/>
      <c r="TCC243" s="478"/>
      <c r="TCD243" s="478"/>
      <c r="TCE243" s="478"/>
      <c r="TCF243" s="478"/>
      <c r="TCG243" s="478"/>
      <c r="TCH243" s="478"/>
      <c r="TCI243" s="478"/>
      <c r="TCJ243" s="478"/>
      <c r="TCK243" s="478"/>
      <c r="TCL243" s="478"/>
      <c r="TCM243" s="478"/>
      <c r="TCN243" s="478"/>
      <c r="TCO243" s="478"/>
      <c r="TCP243" s="478"/>
      <c r="TCQ243" s="478"/>
      <c r="TCR243" s="478"/>
      <c r="TCS243" s="478"/>
      <c r="TCT243" s="478"/>
      <c r="TCU243" s="478"/>
      <c r="TCV243" s="478"/>
      <c r="TCW243" s="478"/>
      <c r="TCX243" s="478"/>
      <c r="TCY243" s="478"/>
      <c r="TCZ243" s="478"/>
      <c r="TDA243" s="478"/>
      <c r="TDB243" s="478"/>
      <c r="TDC243" s="478"/>
      <c r="TDD243" s="478"/>
      <c r="TDE243" s="478"/>
      <c r="TDF243" s="478"/>
      <c r="TDG243" s="478"/>
      <c r="TDH243" s="478"/>
      <c r="TDI243" s="478"/>
      <c r="TDJ243" s="478"/>
      <c r="TDK243" s="478"/>
      <c r="TDL243" s="478"/>
      <c r="TDM243" s="478"/>
      <c r="TDN243" s="478"/>
      <c r="TDO243" s="478"/>
      <c r="TDP243" s="478"/>
      <c r="TDQ243" s="478"/>
      <c r="TDR243" s="478"/>
      <c r="TDS243" s="478"/>
      <c r="TDT243" s="478"/>
      <c r="TDU243" s="478"/>
      <c r="TDV243" s="478"/>
      <c r="TDW243" s="478"/>
      <c r="TDX243" s="478"/>
      <c r="TDY243" s="478"/>
      <c r="TDZ243" s="478"/>
      <c r="TEA243" s="478"/>
      <c r="TEB243" s="478"/>
      <c r="TEC243" s="478"/>
      <c r="TED243" s="478"/>
      <c r="TEE243" s="478"/>
      <c r="TEF243" s="478"/>
      <c r="TEG243" s="478"/>
      <c r="TEH243" s="478"/>
      <c r="TEI243" s="478"/>
      <c r="TEJ243" s="478"/>
      <c r="TEK243" s="478"/>
      <c r="TEL243" s="478"/>
      <c r="TEM243" s="478"/>
      <c r="TEN243" s="478"/>
      <c r="TEO243" s="478"/>
      <c r="TEP243" s="478"/>
      <c r="TEQ243" s="478"/>
      <c r="TER243" s="478"/>
      <c r="TES243" s="478"/>
      <c r="TET243" s="478"/>
      <c r="TEU243" s="478"/>
      <c r="TEV243" s="478"/>
      <c r="TEW243" s="478"/>
      <c r="TEX243" s="478"/>
      <c r="TEY243" s="478"/>
      <c r="TEZ243" s="478"/>
      <c r="TFA243" s="478"/>
      <c r="TFB243" s="478"/>
      <c r="TFC243" s="478"/>
      <c r="TFD243" s="478"/>
      <c r="TFE243" s="478"/>
      <c r="TFF243" s="478"/>
      <c r="TFG243" s="478"/>
      <c r="TFH243" s="478"/>
      <c r="TFI243" s="478"/>
      <c r="TFJ243" s="478"/>
      <c r="TFK243" s="478"/>
      <c r="TFL243" s="478"/>
      <c r="TFM243" s="478"/>
      <c r="TFN243" s="478"/>
      <c r="TFO243" s="478"/>
      <c r="TFP243" s="478"/>
      <c r="TFQ243" s="478"/>
      <c r="TFR243" s="478"/>
      <c r="TFS243" s="478"/>
      <c r="TFT243" s="478"/>
      <c r="TFU243" s="478"/>
      <c r="TFV243" s="478"/>
      <c r="TFW243" s="478"/>
      <c r="TFX243" s="478"/>
      <c r="TFY243" s="478"/>
      <c r="TFZ243" s="478"/>
      <c r="TGA243" s="478"/>
      <c r="TGB243" s="478"/>
      <c r="TGC243" s="478"/>
      <c r="TGD243" s="478"/>
      <c r="TGE243" s="478"/>
      <c r="TGF243" s="478"/>
      <c r="TGG243" s="478"/>
      <c r="TGH243" s="478"/>
      <c r="TGI243" s="478"/>
      <c r="TGJ243" s="478"/>
      <c r="TGK243" s="478"/>
      <c r="TGL243" s="478"/>
      <c r="TGM243" s="478"/>
      <c r="TGN243" s="478"/>
      <c r="TGO243" s="478"/>
      <c r="TGP243" s="478"/>
      <c r="TGQ243" s="478"/>
      <c r="TGR243" s="478"/>
      <c r="TGS243" s="478"/>
      <c r="TGT243" s="478"/>
      <c r="TGU243" s="478"/>
      <c r="TGV243" s="478"/>
      <c r="TGW243" s="478"/>
      <c r="TGX243" s="478"/>
      <c r="TGY243" s="478"/>
      <c r="TGZ243" s="478"/>
      <c r="THA243" s="478"/>
      <c r="THB243" s="478"/>
      <c r="THC243" s="478"/>
      <c r="THD243" s="478"/>
      <c r="THE243" s="478"/>
      <c r="THF243" s="478"/>
      <c r="THG243" s="478"/>
      <c r="THH243" s="478"/>
      <c r="THI243" s="478"/>
      <c r="THJ243" s="478"/>
      <c r="THK243" s="478"/>
      <c r="THL243" s="478"/>
      <c r="THM243" s="478"/>
      <c r="THN243" s="478"/>
      <c r="THO243" s="478"/>
      <c r="THP243" s="478"/>
      <c r="THQ243" s="478"/>
      <c r="THR243" s="478"/>
      <c r="THS243" s="478"/>
      <c r="THT243" s="478"/>
      <c r="THU243" s="478"/>
      <c r="THV243" s="478"/>
      <c r="THW243" s="478"/>
      <c r="THX243" s="478"/>
      <c r="THY243" s="478"/>
      <c r="THZ243" s="478"/>
      <c r="TIA243" s="478"/>
      <c r="TIB243" s="478"/>
      <c r="TIC243" s="478"/>
      <c r="TID243" s="478"/>
      <c r="TIE243" s="478"/>
      <c r="TIF243" s="478"/>
      <c r="TIG243" s="478"/>
      <c r="TIH243" s="478"/>
      <c r="TII243" s="478"/>
      <c r="TIJ243" s="478"/>
      <c r="TIK243" s="478"/>
      <c r="TIL243" s="478"/>
      <c r="TIM243" s="478"/>
      <c r="TIN243" s="478"/>
      <c r="TIO243" s="478"/>
      <c r="TIP243" s="478"/>
      <c r="TIQ243" s="478"/>
      <c r="TIR243" s="478"/>
      <c r="TIS243" s="478"/>
      <c r="TIT243" s="478"/>
      <c r="TIU243" s="478"/>
      <c r="TIV243" s="478"/>
      <c r="TIW243" s="478"/>
      <c r="TIX243" s="478"/>
      <c r="TIY243" s="478"/>
      <c r="TIZ243" s="478"/>
      <c r="TJA243" s="478"/>
      <c r="TJB243" s="478"/>
      <c r="TJC243" s="478"/>
      <c r="TJD243" s="478"/>
      <c r="TJE243" s="478"/>
      <c r="TJF243" s="478"/>
      <c r="TJG243" s="478"/>
      <c r="TJH243" s="478"/>
      <c r="TJI243" s="478"/>
      <c r="TJJ243" s="478"/>
      <c r="TJK243" s="478"/>
      <c r="TJL243" s="478"/>
      <c r="TJM243" s="478"/>
      <c r="TJN243" s="478"/>
      <c r="TJO243" s="478"/>
      <c r="TJP243" s="478"/>
      <c r="TJQ243" s="478"/>
      <c r="TJR243" s="478"/>
      <c r="TJS243" s="478"/>
      <c r="TJT243" s="478"/>
      <c r="TJU243" s="478"/>
      <c r="TJV243" s="478"/>
      <c r="TJW243" s="478"/>
      <c r="TJX243" s="478"/>
      <c r="TJY243" s="478"/>
      <c r="TJZ243" s="478"/>
      <c r="TKA243" s="478"/>
      <c r="TKB243" s="478"/>
      <c r="TKC243" s="478"/>
      <c r="TKD243" s="478"/>
      <c r="TKE243" s="478"/>
      <c r="TKF243" s="478"/>
      <c r="TKG243" s="478"/>
      <c r="TKH243" s="478"/>
      <c r="TKI243" s="478"/>
      <c r="TKJ243" s="478"/>
      <c r="TKK243" s="478"/>
      <c r="TKL243" s="478"/>
      <c r="TKM243" s="478"/>
      <c r="TKN243" s="478"/>
      <c r="TKO243" s="478"/>
      <c r="TKP243" s="478"/>
      <c r="TKQ243" s="478"/>
      <c r="TKR243" s="478"/>
      <c r="TKS243" s="478"/>
      <c r="TKT243" s="478"/>
      <c r="TKU243" s="478"/>
      <c r="TKV243" s="478"/>
      <c r="TKW243" s="478"/>
      <c r="TKX243" s="478"/>
      <c r="TKY243" s="478"/>
      <c r="TKZ243" s="478"/>
      <c r="TLA243" s="478"/>
      <c r="TLB243" s="478"/>
      <c r="TLC243" s="478"/>
      <c r="TLD243" s="478"/>
      <c r="TLE243" s="478"/>
      <c r="TLF243" s="478"/>
      <c r="TLG243" s="478"/>
      <c r="TLH243" s="478"/>
      <c r="TLI243" s="478"/>
      <c r="TLJ243" s="478"/>
      <c r="TLK243" s="478"/>
      <c r="TLL243" s="478"/>
      <c r="TLM243" s="478"/>
      <c r="TLN243" s="478"/>
      <c r="TLO243" s="478"/>
      <c r="TLP243" s="478"/>
      <c r="TLQ243" s="478"/>
      <c r="TLR243" s="478"/>
      <c r="TLS243" s="478"/>
      <c r="TLT243" s="478"/>
      <c r="TLU243" s="478"/>
      <c r="TLV243" s="478"/>
      <c r="TLW243" s="478"/>
      <c r="TLX243" s="478"/>
      <c r="TLY243" s="478"/>
      <c r="TLZ243" s="478"/>
      <c r="TMA243" s="478"/>
      <c r="TMB243" s="478"/>
      <c r="TMC243" s="478"/>
      <c r="TMD243" s="478"/>
      <c r="TME243" s="478"/>
      <c r="TMF243" s="478"/>
      <c r="TMG243" s="478"/>
      <c r="TMH243" s="478"/>
      <c r="TMI243" s="478"/>
      <c r="TMJ243" s="478"/>
      <c r="TMK243" s="478"/>
      <c r="TML243" s="478"/>
      <c r="TMM243" s="478"/>
      <c r="TMN243" s="478"/>
      <c r="TMO243" s="478"/>
      <c r="TMP243" s="478"/>
      <c r="TMQ243" s="478"/>
      <c r="TMR243" s="478"/>
      <c r="TMS243" s="478"/>
      <c r="TMT243" s="478"/>
      <c r="TMU243" s="478"/>
      <c r="TMV243" s="478"/>
      <c r="TMW243" s="478"/>
      <c r="TMX243" s="478"/>
      <c r="TMY243" s="478"/>
      <c r="TMZ243" s="478"/>
      <c r="TNA243" s="478"/>
      <c r="TNB243" s="478"/>
      <c r="TNC243" s="478"/>
      <c r="TND243" s="478"/>
      <c r="TNE243" s="478"/>
      <c r="TNF243" s="478"/>
      <c r="TNG243" s="478"/>
      <c r="TNH243" s="478"/>
      <c r="TNI243" s="478"/>
      <c r="TNJ243" s="478"/>
      <c r="TNK243" s="478"/>
      <c r="TNL243" s="478"/>
      <c r="TNM243" s="478"/>
      <c r="TNN243" s="478"/>
      <c r="TNO243" s="478"/>
      <c r="TNP243" s="478"/>
      <c r="TNQ243" s="478"/>
      <c r="TNR243" s="478"/>
      <c r="TNS243" s="478"/>
      <c r="TNT243" s="478"/>
      <c r="TNU243" s="478"/>
      <c r="TNV243" s="478"/>
      <c r="TNW243" s="478"/>
      <c r="TNX243" s="478"/>
      <c r="TNY243" s="478"/>
      <c r="TNZ243" s="478"/>
      <c r="TOA243" s="478"/>
      <c r="TOB243" s="478"/>
      <c r="TOC243" s="478"/>
      <c r="TOD243" s="478"/>
      <c r="TOE243" s="478"/>
      <c r="TOF243" s="478"/>
      <c r="TOG243" s="478"/>
      <c r="TOH243" s="478"/>
      <c r="TOI243" s="478"/>
      <c r="TOJ243" s="478"/>
      <c r="TOK243" s="478"/>
      <c r="TOL243" s="478"/>
      <c r="TOM243" s="478"/>
      <c r="TON243" s="478"/>
      <c r="TOO243" s="478"/>
      <c r="TOP243" s="478"/>
      <c r="TOQ243" s="478"/>
      <c r="TOR243" s="478"/>
      <c r="TOS243" s="478"/>
      <c r="TOT243" s="478"/>
      <c r="TOU243" s="478"/>
      <c r="TOV243" s="478"/>
      <c r="TOW243" s="478"/>
      <c r="TOX243" s="478"/>
      <c r="TOY243" s="478"/>
      <c r="TOZ243" s="478"/>
      <c r="TPA243" s="478"/>
      <c r="TPB243" s="478"/>
      <c r="TPC243" s="478"/>
      <c r="TPD243" s="478"/>
      <c r="TPE243" s="478"/>
      <c r="TPF243" s="478"/>
      <c r="TPG243" s="478"/>
      <c r="TPH243" s="478"/>
      <c r="TPI243" s="478"/>
      <c r="TPJ243" s="478"/>
      <c r="TPK243" s="478"/>
      <c r="TPL243" s="478"/>
      <c r="TPM243" s="478"/>
      <c r="TPN243" s="478"/>
      <c r="TPO243" s="478"/>
      <c r="TPP243" s="478"/>
      <c r="TPQ243" s="478"/>
      <c r="TPR243" s="478"/>
      <c r="TPS243" s="478"/>
      <c r="TPT243" s="478"/>
      <c r="TPU243" s="478"/>
      <c r="TPV243" s="478"/>
      <c r="TPW243" s="478"/>
      <c r="TPX243" s="478"/>
      <c r="TPY243" s="478"/>
      <c r="TPZ243" s="478"/>
      <c r="TQA243" s="478"/>
      <c r="TQB243" s="478"/>
      <c r="TQC243" s="478"/>
      <c r="TQD243" s="478"/>
      <c r="TQE243" s="478"/>
      <c r="TQF243" s="478"/>
      <c r="TQG243" s="478"/>
      <c r="TQH243" s="478"/>
      <c r="TQI243" s="478"/>
      <c r="TQJ243" s="478"/>
      <c r="TQK243" s="478"/>
      <c r="TQL243" s="478"/>
      <c r="TQM243" s="478"/>
      <c r="TQN243" s="478"/>
      <c r="TQO243" s="478"/>
      <c r="TQP243" s="478"/>
      <c r="TQQ243" s="478"/>
      <c r="TQR243" s="478"/>
      <c r="TQS243" s="478"/>
      <c r="TQT243" s="478"/>
      <c r="TQU243" s="478"/>
      <c r="TQV243" s="478"/>
      <c r="TQW243" s="478"/>
      <c r="TQX243" s="478"/>
      <c r="TQY243" s="478"/>
      <c r="TQZ243" s="478"/>
      <c r="TRA243" s="478"/>
      <c r="TRB243" s="478"/>
      <c r="TRC243" s="478"/>
      <c r="TRD243" s="478"/>
      <c r="TRE243" s="478"/>
      <c r="TRF243" s="478"/>
      <c r="TRG243" s="478"/>
      <c r="TRH243" s="478"/>
      <c r="TRI243" s="478"/>
      <c r="TRJ243" s="478"/>
      <c r="TRK243" s="478"/>
      <c r="TRL243" s="478"/>
      <c r="TRM243" s="478"/>
      <c r="TRN243" s="478"/>
      <c r="TRO243" s="478"/>
      <c r="TRP243" s="478"/>
      <c r="TRQ243" s="478"/>
      <c r="TRR243" s="478"/>
      <c r="TRS243" s="478"/>
      <c r="TRT243" s="478"/>
      <c r="TRU243" s="478"/>
      <c r="TRV243" s="478"/>
      <c r="TRW243" s="478"/>
      <c r="TRX243" s="478"/>
      <c r="TRY243" s="478"/>
      <c r="TRZ243" s="478"/>
      <c r="TSA243" s="478"/>
      <c r="TSB243" s="478"/>
      <c r="TSC243" s="478"/>
      <c r="TSD243" s="478"/>
      <c r="TSE243" s="478"/>
      <c r="TSF243" s="478"/>
      <c r="TSG243" s="478"/>
      <c r="TSH243" s="478"/>
      <c r="TSI243" s="478"/>
      <c r="TSJ243" s="478"/>
      <c r="TSK243" s="478"/>
      <c r="TSL243" s="478"/>
      <c r="TSM243" s="478"/>
      <c r="TSN243" s="478"/>
      <c r="TSO243" s="478"/>
      <c r="TSP243" s="478"/>
      <c r="TSQ243" s="478"/>
      <c r="TSR243" s="478"/>
      <c r="TSS243" s="478"/>
      <c r="TST243" s="478"/>
      <c r="TSU243" s="478"/>
      <c r="TSV243" s="478"/>
      <c r="TSW243" s="478"/>
      <c r="TSX243" s="478"/>
      <c r="TSY243" s="478"/>
      <c r="TSZ243" s="478"/>
      <c r="TTA243" s="478"/>
      <c r="TTB243" s="478"/>
      <c r="TTC243" s="478"/>
      <c r="TTD243" s="478"/>
      <c r="TTE243" s="478"/>
      <c r="TTF243" s="478"/>
      <c r="TTG243" s="478"/>
      <c r="TTH243" s="478"/>
      <c r="TTI243" s="478"/>
      <c r="TTJ243" s="478"/>
      <c r="TTK243" s="478"/>
      <c r="TTL243" s="478"/>
      <c r="TTM243" s="478"/>
      <c r="TTN243" s="478"/>
      <c r="TTO243" s="478"/>
      <c r="TTP243" s="478"/>
      <c r="TTQ243" s="478"/>
      <c r="TTR243" s="478"/>
      <c r="TTS243" s="478"/>
      <c r="TTT243" s="478"/>
      <c r="TTU243" s="478"/>
      <c r="TTV243" s="478"/>
      <c r="TTW243" s="478"/>
      <c r="TTX243" s="478"/>
      <c r="TTY243" s="478"/>
      <c r="TTZ243" s="478"/>
      <c r="TUA243" s="478"/>
      <c r="TUB243" s="478"/>
      <c r="TUC243" s="478"/>
      <c r="TUD243" s="478"/>
      <c r="TUE243" s="478"/>
      <c r="TUF243" s="478"/>
      <c r="TUG243" s="478"/>
      <c r="TUH243" s="478"/>
      <c r="TUI243" s="478"/>
      <c r="TUJ243" s="478"/>
      <c r="TUK243" s="478"/>
      <c r="TUL243" s="478"/>
      <c r="TUM243" s="478"/>
      <c r="TUN243" s="478"/>
      <c r="TUO243" s="478"/>
      <c r="TUP243" s="478"/>
      <c r="TUQ243" s="478"/>
      <c r="TUR243" s="478"/>
      <c r="TUS243" s="478"/>
      <c r="TUT243" s="478"/>
      <c r="TUU243" s="478"/>
      <c r="TUV243" s="478"/>
      <c r="TUW243" s="478"/>
      <c r="TUX243" s="478"/>
      <c r="TUY243" s="478"/>
      <c r="TUZ243" s="478"/>
      <c r="TVA243" s="478"/>
      <c r="TVB243" s="478"/>
      <c r="TVC243" s="478"/>
      <c r="TVD243" s="478"/>
      <c r="TVE243" s="478"/>
      <c r="TVF243" s="478"/>
      <c r="TVG243" s="478"/>
      <c r="TVH243" s="478"/>
      <c r="TVI243" s="478"/>
      <c r="TVJ243" s="478"/>
      <c r="TVK243" s="478"/>
      <c r="TVL243" s="478"/>
      <c r="TVM243" s="478"/>
      <c r="TVN243" s="478"/>
      <c r="TVO243" s="478"/>
      <c r="TVP243" s="478"/>
      <c r="TVQ243" s="478"/>
      <c r="TVR243" s="478"/>
      <c r="TVS243" s="478"/>
      <c r="TVT243" s="478"/>
      <c r="TVU243" s="478"/>
      <c r="TVV243" s="478"/>
      <c r="TVW243" s="478"/>
      <c r="TVX243" s="478"/>
      <c r="TVY243" s="478"/>
      <c r="TVZ243" s="478"/>
      <c r="TWA243" s="478"/>
      <c r="TWB243" s="478"/>
      <c r="TWC243" s="478"/>
      <c r="TWD243" s="478"/>
      <c r="TWE243" s="478"/>
      <c r="TWF243" s="478"/>
      <c r="TWG243" s="478"/>
      <c r="TWH243" s="478"/>
      <c r="TWI243" s="478"/>
      <c r="TWJ243" s="478"/>
      <c r="TWK243" s="478"/>
      <c r="TWL243" s="478"/>
      <c r="TWM243" s="478"/>
      <c r="TWN243" s="478"/>
      <c r="TWO243" s="478"/>
      <c r="TWP243" s="478"/>
      <c r="TWQ243" s="478"/>
      <c r="TWR243" s="478"/>
      <c r="TWS243" s="478"/>
      <c r="TWT243" s="478"/>
      <c r="TWU243" s="478"/>
      <c r="TWV243" s="478"/>
      <c r="TWW243" s="478"/>
      <c r="TWX243" s="478"/>
      <c r="TWY243" s="478"/>
      <c r="TWZ243" s="478"/>
      <c r="TXA243" s="478"/>
      <c r="TXB243" s="478"/>
      <c r="TXC243" s="478"/>
      <c r="TXD243" s="478"/>
      <c r="TXE243" s="478"/>
      <c r="TXF243" s="478"/>
      <c r="TXG243" s="478"/>
      <c r="TXH243" s="478"/>
      <c r="TXI243" s="478"/>
      <c r="TXJ243" s="478"/>
      <c r="TXK243" s="478"/>
      <c r="TXL243" s="478"/>
      <c r="TXM243" s="478"/>
      <c r="TXN243" s="478"/>
      <c r="TXO243" s="478"/>
      <c r="TXP243" s="478"/>
      <c r="TXQ243" s="478"/>
      <c r="TXR243" s="478"/>
      <c r="TXS243" s="478"/>
      <c r="TXT243" s="478"/>
      <c r="TXU243" s="478"/>
      <c r="TXV243" s="478"/>
      <c r="TXW243" s="478"/>
      <c r="TXX243" s="478"/>
      <c r="TXY243" s="478"/>
      <c r="TXZ243" s="478"/>
      <c r="TYA243" s="478"/>
      <c r="TYB243" s="478"/>
      <c r="TYC243" s="478"/>
      <c r="TYD243" s="478"/>
      <c r="TYE243" s="478"/>
      <c r="TYF243" s="478"/>
      <c r="TYG243" s="478"/>
      <c r="TYH243" s="478"/>
      <c r="TYI243" s="478"/>
      <c r="TYJ243" s="478"/>
      <c r="TYK243" s="478"/>
      <c r="TYL243" s="478"/>
      <c r="TYM243" s="478"/>
      <c r="TYN243" s="478"/>
      <c r="TYO243" s="478"/>
      <c r="TYP243" s="478"/>
      <c r="TYQ243" s="478"/>
      <c r="TYR243" s="478"/>
      <c r="TYS243" s="478"/>
      <c r="TYT243" s="478"/>
      <c r="TYU243" s="478"/>
      <c r="TYV243" s="478"/>
      <c r="TYW243" s="478"/>
      <c r="TYX243" s="478"/>
      <c r="TYY243" s="478"/>
      <c r="TYZ243" s="478"/>
      <c r="TZA243" s="478"/>
      <c r="TZB243" s="478"/>
      <c r="TZC243" s="478"/>
      <c r="TZD243" s="478"/>
      <c r="TZE243" s="478"/>
      <c r="TZF243" s="478"/>
      <c r="TZG243" s="478"/>
      <c r="TZH243" s="478"/>
      <c r="TZI243" s="478"/>
      <c r="TZJ243" s="478"/>
      <c r="TZK243" s="478"/>
      <c r="TZL243" s="478"/>
      <c r="TZM243" s="478"/>
      <c r="TZN243" s="478"/>
      <c r="TZO243" s="478"/>
      <c r="TZP243" s="478"/>
      <c r="TZQ243" s="478"/>
      <c r="TZR243" s="478"/>
      <c r="TZS243" s="478"/>
      <c r="TZT243" s="478"/>
      <c r="TZU243" s="478"/>
      <c r="TZV243" s="478"/>
      <c r="TZW243" s="478"/>
      <c r="TZX243" s="478"/>
      <c r="TZY243" s="478"/>
      <c r="TZZ243" s="478"/>
      <c r="UAA243" s="478"/>
      <c r="UAB243" s="478"/>
      <c r="UAC243" s="478"/>
      <c r="UAD243" s="478"/>
      <c r="UAE243" s="478"/>
      <c r="UAF243" s="478"/>
      <c r="UAG243" s="478"/>
      <c r="UAH243" s="478"/>
      <c r="UAI243" s="478"/>
      <c r="UAJ243" s="478"/>
      <c r="UAK243" s="478"/>
      <c r="UAL243" s="478"/>
      <c r="UAM243" s="478"/>
      <c r="UAN243" s="478"/>
      <c r="UAO243" s="478"/>
      <c r="UAP243" s="478"/>
      <c r="UAQ243" s="478"/>
      <c r="UAR243" s="478"/>
      <c r="UAS243" s="478"/>
      <c r="UAT243" s="478"/>
      <c r="UAU243" s="478"/>
      <c r="UAV243" s="478"/>
      <c r="UAW243" s="478"/>
      <c r="UAX243" s="478"/>
      <c r="UAY243" s="478"/>
      <c r="UAZ243" s="478"/>
      <c r="UBA243" s="478"/>
      <c r="UBB243" s="478"/>
      <c r="UBC243" s="478"/>
      <c r="UBD243" s="478"/>
      <c r="UBE243" s="478"/>
      <c r="UBF243" s="478"/>
      <c r="UBG243" s="478"/>
      <c r="UBH243" s="478"/>
      <c r="UBI243" s="478"/>
      <c r="UBJ243" s="478"/>
      <c r="UBK243" s="478"/>
      <c r="UBL243" s="478"/>
      <c r="UBM243" s="478"/>
      <c r="UBN243" s="478"/>
      <c r="UBO243" s="478"/>
      <c r="UBP243" s="478"/>
      <c r="UBQ243" s="478"/>
      <c r="UBR243" s="478"/>
      <c r="UBS243" s="478"/>
      <c r="UBT243" s="478"/>
      <c r="UBU243" s="478"/>
      <c r="UBV243" s="478"/>
      <c r="UBW243" s="478"/>
      <c r="UBX243" s="478"/>
      <c r="UBY243" s="478"/>
      <c r="UBZ243" s="478"/>
      <c r="UCA243" s="478"/>
      <c r="UCB243" s="478"/>
      <c r="UCC243" s="478"/>
      <c r="UCD243" s="478"/>
      <c r="UCE243" s="478"/>
      <c r="UCF243" s="478"/>
      <c r="UCG243" s="478"/>
      <c r="UCH243" s="478"/>
      <c r="UCI243" s="478"/>
      <c r="UCJ243" s="478"/>
      <c r="UCK243" s="478"/>
      <c r="UCL243" s="478"/>
      <c r="UCM243" s="478"/>
      <c r="UCN243" s="478"/>
      <c r="UCO243" s="478"/>
      <c r="UCP243" s="478"/>
      <c r="UCQ243" s="478"/>
      <c r="UCR243" s="478"/>
      <c r="UCS243" s="478"/>
      <c r="UCT243" s="478"/>
      <c r="UCU243" s="478"/>
      <c r="UCV243" s="478"/>
      <c r="UCW243" s="478"/>
      <c r="UCX243" s="478"/>
      <c r="UCY243" s="478"/>
      <c r="UCZ243" s="478"/>
      <c r="UDA243" s="478"/>
      <c r="UDB243" s="478"/>
      <c r="UDC243" s="478"/>
      <c r="UDD243" s="478"/>
      <c r="UDE243" s="478"/>
      <c r="UDF243" s="478"/>
      <c r="UDG243" s="478"/>
      <c r="UDH243" s="478"/>
      <c r="UDI243" s="478"/>
      <c r="UDJ243" s="478"/>
      <c r="UDK243" s="478"/>
      <c r="UDL243" s="478"/>
      <c r="UDM243" s="478"/>
      <c r="UDN243" s="478"/>
      <c r="UDO243" s="478"/>
      <c r="UDP243" s="478"/>
      <c r="UDQ243" s="478"/>
      <c r="UDR243" s="478"/>
      <c r="UDS243" s="478"/>
      <c r="UDT243" s="478"/>
      <c r="UDU243" s="478"/>
      <c r="UDV243" s="478"/>
      <c r="UDW243" s="478"/>
      <c r="UDX243" s="478"/>
      <c r="UDY243" s="478"/>
      <c r="UDZ243" s="478"/>
      <c r="UEA243" s="478"/>
      <c r="UEB243" s="478"/>
      <c r="UEC243" s="478"/>
      <c r="UED243" s="478"/>
      <c r="UEE243" s="478"/>
      <c r="UEF243" s="478"/>
      <c r="UEG243" s="478"/>
      <c r="UEH243" s="478"/>
      <c r="UEI243" s="478"/>
      <c r="UEJ243" s="478"/>
      <c r="UEK243" s="478"/>
      <c r="UEL243" s="478"/>
      <c r="UEM243" s="478"/>
      <c r="UEN243" s="478"/>
      <c r="UEO243" s="478"/>
      <c r="UEP243" s="478"/>
      <c r="UEQ243" s="478"/>
      <c r="UER243" s="478"/>
      <c r="UES243" s="478"/>
      <c r="UET243" s="478"/>
      <c r="UEU243" s="478"/>
      <c r="UEV243" s="478"/>
      <c r="UEW243" s="478"/>
      <c r="UEX243" s="478"/>
      <c r="UEY243" s="478"/>
      <c r="UEZ243" s="478"/>
      <c r="UFA243" s="478"/>
      <c r="UFB243" s="478"/>
      <c r="UFC243" s="478"/>
      <c r="UFD243" s="478"/>
      <c r="UFE243" s="478"/>
      <c r="UFF243" s="478"/>
      <c r="UFG243" s="478"/>
      <c r="UFH243" s="478"/>
      <c r="UFI243" s="478"/>
      <c r="UFJ243" s="478"/>
      <c r="UFK243" s="478"/>
      <c r="UFL243" s="478"/>
      <c r="UFM243" s="478"/>
      <c r="UFN243" s="478"/>
      <c r="UFO243" s="478"/>
      <c r="UFP243" s="478"/>
      <c r="UFQ243" s="478"/>
      <c r="UFR243" s="478"/>
      <c r="UFS243" s="478"/>
      <c r="UFT243" s="478"/>
      <c r="UFU243" s="478"/>
      <c r="UFV243" s="478"/>
      <c r="UFW243" s="478"/>
      <c r="UFX243" s="478"/>
      <c r="UFY243" s="478"/>
      <c r="UFZ243" s="478"/>
      <c r="UGA243" s="478"/>
      <c r="UGB243" s="478"/>
      <c r="UGC243" s="478"/>
      <c r="UGD243" s="478"/>
      <c r="UGE243" s="478"/>
      <c r="UGF243" s="478"/>
      <c r="UGG243" s="478"/>
      <c r="UGH243" s="478"/>
      <c r="UGI243" s="478"/>
      <c r="UGJ243" s="478"/>
      <c r="UGK243" s="478"/>
      <c r="UGL243" s="478"/>
      <c r="UGM243" s="478"/>
      <c r="UGN243" s="478"/>
      <c r="UGO243" s="478"/>
      <c r="UGP243" s="478"/>
      <c r="UGQ243" s="478"/>
      <c r="UGR243" s="478"/>
      <c r="UGS243" s="478"/>
      <c r="UGT243" s="478"/>
      <c r="UGU243" s="478"/>
      <c r="UGV243" s="478"/>
      <c r="UGW243" s="478"/>
      <c r="UGX243" s="478"/>
      <c r="UGY243" s="478"/>
      <c r="UGZ243" s="478"/>
      <c r="UHA243" s="478"/>
      <c r="UHB243" s="478"/>
      <c r="UHC243" s="478"/>
      <c r="UHD243" s="478"/>
      <c r="UHE243" s="478"/>
      <c r="UHF243" s="478"/>
      <c r="UHG243" s="478"/>
      <c r="UHH243" s="478"/>
      <c r="UHI243" s="478"/>
      <c r="UHJ243" s="478"/>
      <c r="UHK243" s="478"/>
      <c r="UHL243" s="478"/>
      <c r="UHM243" s="478"/>
      <c r="UHN243" s="478"/>
      <c r="UHO243" s="478"/>
      <c r="UHP243" s="478"/>
      <c r="UHQ243" s="478"/>
      <c r="UHR243" s="478"/>
      <c r="UHS243" s="478"/>
      <c r="UHT243" s="478"/>
      <c r="UHU243" s="478"/>
      <c r="UHV243" s="478"/>
      <c r="UHW243" s="478"/>
      <c r="UHX243" s="478"/>
      <c r="UHY243" s="478"/>
      <c r="UHZ243" s="478"/>
      <c r="UIA243" s="478"/>
      <c r="UIB243" s="478"/>
      <c r="UIC243" s="478"/>
      <c r="UID243" s="478"/>
      <c r="UIE243" s="478"/>
      <c r="UIF243" s="478"/>
      <c r="UIG243" s="478"/>
      <c r="UIH243" s="478"/>
      <c r="UII243" s="478"/>
      <c r="UIJ243" s="478"/>
      <c r="UIK243" s="478"/>
      <c r="UIL243" s="478"/>
      <c r="UIM243" s="478"/>
      <c r="UIN243" s="478"/>
      <c r="UIO243" s="478"/>
      <c r="UIP243" s="478"/>
      <c r="UIQ243" s="478"/>
      <c r="UIR243" s="478"/>
      <c r="UIS243" s="478"/>
      <c r="UIT243" s="478"/>
      <c r="UIU243" s="478"/>
      <c r="UIV243" s="478"/>
      <c r="UIW243" s="478"/>
      <c r="UIX243" s="478"/>
      <c r="UIY243" s="478"/>
      <c r="UIZ243" s="478"/>
      <c r="UJA243" s="478"/>
      <c r="UJB243" s="478"/>
      <c r="UJC243" s="478"/>
      <c r="UJD243" s="478"/>
      <c r="UJE243" s="478"/>
      <c r="UJF243" s="478"/>
      <c r="UJG243" s="478"/>
      <c r="UJH243" s="478"/>
      <c r="UJI243" s="478"/>
      <c r="UJJ243" s="478"/>
      <c r="UJK243" s="478"/>
      <c r="UJL243" s="478"/>
      <c r="UJM243" s="478"/>
      <c r="UJN243" s="478"/>
      <c r="UJO243" s="478"/>
      <c r="UJP243" s="478"/>
      <c r="UJQ243" s="478"/>
      <c r="UJR243" s="478"/>
      <c r="UJS243" s="478"/>
      <c r="UJT243" s="478"/>
      <c r="UJU243" s="478"/>
      <c r="UJV243" s="478"/>
      <c r="UJW243" s="478"/>
      <c r="UJX243" s="478"/>
      <c r="UJY243" s="478"/>
      <c r="UJZ243" s="478"/>
      <c r="UKA243" s="478"/>
      <c r="UKB243" s="478"/>
      <c r="UKC243" s="478"/>
      <c r="UKD243" s="478"/>
      <c r="UKE243" s="478"/>
      <c r="UKF243" s="478"/>
      <c r="UKG243" s="478"/>
      <c r="UKH243" s="478"/>
      <c r="UKI243" s="478"/>
      <c r="UKJ243" s="478"/>
      <c r="UKK243" s="478"/>
      <c r="UKL243" s="478"/>
      <c r="UKM243" s="478"/>
      <c r="UKN243" s="478"/>
      <c r="UKO243" s="478"/>
      <c r="UKP243" s="478"/>
      <c r="UKQ243" s="478"/>
      <c r="UKR243" s="478"/>
      <c r="UKS243" s="478"/>
      <c r="UKT243" s="478"/>
      <c r="UKU243" s="478"/>
      <c r="UKV243" s="478"/>
      <c r="UKW243" s="478"/>
      <c r="UKX243" s="478"/>
      <c r="UKY243" s="478"/>
      <c r="UKZ243" s="478"/>
      <c r="ULA243" s="478"/>
      <c r="ULB243" s="478"/>
      <c r="ULC243" s="478"/>
      <c r="ULD243" s="478"/>
      <c r="ULE243" s="478"/>
      <c r="ULF243" s="478"/>
      <c r="ULG243" s="478"/>
      <c r="ULH243" s="478"/>
      <c r="ULI243" s="478"/>
      <c r="ULJ243" s="478"/>
      <c r="ULK243" s="478"/>
      <c r="ULL243" s="478"/>
      <c r="ULM243" s="478"/>
      <c r="ULN243" s="478"/>
      <c r="ULO243" s="478"/>
      <c r="ULP243" s="478"/>
      <c r="ULQ243" s="478"/>
      <c r="ULR243" s="478"/>
      <c r="ULS243" s="478"/>
      <c r="ULT243" s="478"/>
      <c r="ULU243" s="478"/>
      <c r="ULV243" s="478"/>
      <c r="ULW243" s="478"/>
      <c r="ULX243" s="478"/>
      <c r="ULY243" s="478"/>
      <c r="ULZ243" s="478"/>
      <c r="UMA243" s="478"/>
      <c r="UMB243" s="478"/>
      <c r="UMC243" s="478"/>
      <c r="UMD243" s="478"/>
      <c r="UME243" s="478"/>
      <c r="UMF243" s="478"/>
      <c r="UMG243" s="478"/>
      <c r="UMH243" s="478"/>
      <c r="UMI243" s="478"/>
      <c r="UMJ243" s="478"/>
      <c r="UMK243" s="478"/>
      <c r="UML243" s="478"/>
      <c r="UMM243" s="478"/>
      <c r="UMN243" s="478"/>
      <c r="UMO243" s="478"/>
      <c r="UMP243" s="478"/>
      <c r="UMQ243" s="478"/>
      <c r="UMR243" s="478"/>
      <c r="UMS243" s="478"/>
      <c r="UMT243" s="478"/>
      <c r="UMU243" s="478"/>
      <c r="UMV243" s="478"/>
      <c r="UMW243" s="478"/>
      <c r="UMX243" s="478"/>
      <c r="UMY243" s="478"/>
      <c r="UMZ243" s="478"/>
      <c r="UNA243" s="478"/>
      <c r="UNB243" s="478"/>
      <c r="UNC243" s="478"/>
      <c r="UND243" s="478"/>
      <c r="UNE243" s="478"/>
      <c r="UNF243" s="478"/>
      <c r="UNG243" s="478"/>
      <c r="UNH243" s="478"/>
      <c r="UNI243" s="478"/>
      <c r="UNJ243" s="478"/>
      <c r="UNK243" s="478"/>
      <c r="UNL243" s="478"/>
      <c r="UNM243" s="478"/>
      <c r="UNN243" s="478"/>
      <c r="UNO243" s="478"/>
      <c r="UNP243" s="478"/>
      <c r="UNQ243" s="478"/>
      <c r="UNR243" s="478"/>
      <c r="UNS243" s="478"/>
      <c r="UNT243" s="478"/>
      <c r="UNU243" s="478"/>
      <c r="UNV243" s="478"/>
      <c r="UNW243" s="478"/>
      <c r="UNX243" s="478"/>
      <c r="UNY243" s="478"/>
      <c r="UNZ243" s="478"/>
      <c r="UOA243" s="478"/>
      <c r="UOB243" s="478"/>
      <c r="UOC243" s="478"/>
      <c r="UOD243" s="478"/>
      <c r="UOE243" s="478"/>
      <c r="UOF243" s="478"/>
      <c r="UOG243" s="478"/>
      <c r="UOH243" s="478"/>
      <c r="UOI243" s="478"/>
      <c r="UOJ243" s="478"/>
      <c r="UOK243" s="478"/>
      <c r="UOL243" s="478"/>
      <c r="UOM243" s="478"/>
      <c r="UON243" s="478"/>
      <c r="UOO243" s="478"/>
      <c r="UOP243" s="478"/>
      <c r="UOQ243" s="478"/>
      <c r="UOR243" s="478"/>
      <c r="UOS243" s="478"/>
      <c r="UOT243" s="478"/>
      <c r="UOU243" s="478"/>
      <c r="UOV243" s="478"/>
      <c r="UOW243" s="478"/>
      <c r="UOX243" s="478"/>
      <c r="UOY243" s="478"/>
      <c r="UOZ243" s="478"/>
      <c r="UPA243" s="478"/>
      <c r="UPB243" s="478"/>
      <c r="UPC243" s="478"/>
      <c r="UPD243" s="478"/>
      <c r="UPE243" s="478"/>
      <c r="UPF243" s="478"/>
      <c r="UPG243" s="478"/>
      <c r="UPH243" s="478"/>
      <c r="UPI243" s="478"/>
      <c r="UPJ243" s="478"/>
      <c r="UPK243" s="478"/>
      <c r="UPL243" s="478"/>
      <c r="UPM243" s="478"/>
      <c r="UPN243" s="478"/>
      <c r="UPO243" s="478"/>
      <c r="UPP243" s="478"/>
      <c r="UPQ243" s="478"/>
      <c r="UPR243" s="478"/>
      <c r="UPS243" s="478"/>
      <c r="UPT243" s="478"/>
      <c r="UPU243" s="478"/>
      <c r="UPV243" s="478"/>
      <c r="UPW243" s="478"/>
      <c r="UPX243" s="478"/>
      <c r="UPY243" s="478"/>
      <c r="UPZ243" s="478"/>
      <c r="UQA243" s="478"/>
      <c r="UQB243" s="478"/>
      <c r="UQC243" s="478"/>
      <c r="UQD243" s="478"/>
      <c r="UQE243" s="478"/>
      <c r="UQF243" s="478"/>
      <c r="UQG243" s="478"/>
      <c r="UQH243" s="478"/>
      <c r="UQI243" s="478"/>
      <c r="UQJ243" s="478"/>
      <c r="UQK243" s="478"/>
      <c r="UQL243" s="478"/>
      <c r="UQM243" s="478"/>
      <c r="UQN243" s="478"/>
      <c r="UQO243" s="478"/>
      <c r="UQP243" s="478"/>
      <c r="UQQ243" s="478"/>
      <c r="UQR243" s="478"/>
      <c r="UQS243" s="478"/>
      <c r="UQT243" s="478"/>
      <c r="UQU243" s="478"/>
      <c r="UQV243" s="478"/>
      <c r="UQW243" s="478"/>
      <c r="UQX243" s="478"/>
      <c r="UQY243" s="478"/>
      <c r="UQZ243" s="478"/>
      <c r="URA243" s="478"/>
      <c r="URB243" s="478"/>
      <c r="URC243" s="478"/>
      <c r="URD243" s="478"/>
      <c r="URE243" s="478"/>
      <c r="URF243" s="478"/>
      <c r="URG243" s="478"/>
      <c r="URH243" s="478"/>
      <c r="URI243" s="478"/>
      <c r="URJ243" s="478"/>
      <c r="URK243" s="478"/>
      <c r="URL243" s="478"/>
      <c r="URM243" s="478"/>
      <c r="URN243" s="478"/>
      <c r="URO243" s="478"/>
      <c r="URP243" s="478"/>
      <c r="URQ243" s="478"/>
      <c r="URR243" s="478"/>
      <c r="URS243" s="478"/>
      <c r="URT243" s="478"/>
      <c r="URU243" s="478"/>
      <c r="URV243" s="478"/>
      <c r="URW243" s="478"/>
      <c r="URX243" s="478"/>
      <c r="URY243" s="478"/>
      <c r="URZ243" s="478"/>
      <c r="USA243" s="478"/>
      <c r="USB243" s="478"/>
      <c r="USC243" s="478"/>
      <c r="USD243" s="478"/>
      <c r="USE243" s="478"/>
      <c r="USF243" s="478"/>
      <c r="USG243" s="478"/>
      <c r="USH243" s="478"/>
      <c r="USI243" s="478"/>
      <c r="USJ243" s="478"/>
      <c r="USK243" s="478"/>
      <c r="USL243" s="478"/>
      <c r="USM243" s="478"/>
      <c r="USN243" s="478"/>
      <c r="USO243" s="478"/>
      <c r="USP243" s="478"/>
      <c r="USQ243" s="478"/>
      <c r="USR243" s="478"/>
      <c r="USS243" s="478"/>
      <c r="UST243" s="478"/>
      <c r="USU243" s="478"/>
      <c r="USV243" s="478"/>
      <c r="USW243" s="478"/>
      <c r="USX243" s="478"/>
      <c r="USY243" s="478"/>
      <c r="USZ243" s="478"/>
      <c r="UTA243" s="478"/>
      <c r="UTB243" s="478"/>
      <c r="UTC243" s="478"/>
      <c r="UTD243" s="478"/>
      <c r="UTE243" s="478"/>
      <c r="UTF243" s="478"/>
      <c r="UTG243" s="478"/>
      <c r="UTH243" s="478"/>
      <c r="UTI243" s="478"/>
      <c r="UTJ243" s="478"/>
      <c r="UTK243" s="478"/>
      <c r="UTL243" s="478"/>
      <c r="UTM243" s="478"/>
      <c r="UTN243" s="478"/>
      <c r="UTO243" s="478"/>
      <c r="UTP243" s="478"/>
      <c r="UTQ243" s="478"/>
      <c r="UTR243" s="478"/>
      <c r="UTS243" s="478"/>
      <c r="UTT243" s="478"/>
      <c r="UTU243" s="478"/>
      <c r="UTV243" s="478"/>
      <c r="UTW243" s="478"/>
      <c r="UTX243" s="478"/>
      <c r="UTY243" s="478"/>
      <c r="UTZ243" s="478"/>
      <c r="UUA243" s="478"/>
      <c r="UUB243" s="478"/>
      <c r="UUC243" s="478"/>
      <c r="UUD243" s="478"/>
      <c r="UUE243" s="478"/>
      <c r="UUF243" s="478"/>
      <c r="UUG243" s="478"/>
      <c r="UUH243" s="478"/>
      <c r="UUI243" s="478"/>
      <c r="UUJ243" s="478"/>
      <c r="UUK243" s="478"/>
      <c r="UUL243" s="478"/>
      <c r="UUM243" s="478"/>
      <c r="UUN243" s="478"/>
      <c r="UUO243" s="478"/>
      <c r="UUP243" s="478"/>
      <c r="UUQ243" s="478"/>
      <c r="UUR243" s="478"/>
      <c r="UUS243" s="478"/>
      <c r="UUT243" s="478"/>
      <c r="UUU243" s="478"/>
      <c r="UUV243" s="478"/>
      <c r="UUW243" s="478"/>
      <c r="UUX243" s="478"/>
      <c r="UUY243" s="478"/>
      <c r="UUZ243" s="478"/>
      <c r="UVA243" s="478"/>
      <c r="UVB243" s="478"/>
      <c r="UVC243" s="478"/>
      <c r="UVD243" s="478"/>
      <c r="UVE243" s="478"/>
      <c r="UVF243" s="478"/>
      <c r="UVG243" s="478"/>
      <c r="UVH243" s="478"/>
      <c r="UVI243" s="478"/>
      <c r="UVJ243" s="478"/>
      <c r="UVK243" s="478"/>
      <c r="UVL243" s="478"/>
      <c r="UVM243" s="478"/>
      <c r="UVN243" s="478"/>
      <c r="UVO243" s="478"/>
      <c r="UVP243" s="478"/>
      <c r="UVQ243" s="478"/>
      <c r="UVR243" s="478"/>
      <c r="UVS243" s="478"/>
      <c r="UVT243" s="478"/>
      <c r="UVU243" s="478"/>
      <c r="UVV243" s="478"/>
      <c r="UVW243" s="478"/>
      <c r="UVX243" s="478"/>
      <c r="UVY243" s="478"/>
      <c r="UVZ243" s="478"/>
      <c r="UWA243" s="478"/>
      <c r="UWB243" s="478"/>
      <c r="UWC243" s="478"/>
      <c r="UWD243" s="478"/>
      <c r="UWE243" s="478"/>
      <c r="UWF243" s="478"/>
      <c r="UWG243" s="478"/>
      <c r="UWH243" s="478"/>
      <c r="UWI243" s="478"/>
      <c r="UWJ243" s="478"/>
      <c r="UWK243" s="478"/>
      <c r="UWL243" s="478"/>
      <c r="UWM243" s="478"/>
      <c r="UWN243" s="478"/>
      <c r="UWO243" s="478"/>
      <c r="UWP243" s="478"/>
      <c r="UWQ243" s="478"/>
      <c r="UWR243" s="478"/>
      <c r="UWS243" s="478"/>
      <c r="UWT243" s="478"/>
      <c r="UWU243" s="478"/>
      <c r="UWV243" s="478"/>
      <c r="UWW243" s="478"/>
      <c r="UWX243" s="478"/>
      <c r="UWY243" s="478"/>
      <c r="UWZ243" s="478"/>
      <c r="UXA243" s="478"/>
      <c r="UXB243" s="478"/>
      <c r="UXC243" s="478"/>
      <c r="UXD243" s="478"/>
      <c r="UXE243" s="478"/>
      <c r="UXF243" s="478"/>
      <c r="UXG243" s="478"/>
      <c r="UXH243" s="478"/>
      <c r="UXI243" s="478"/>
      <c r="UXJ243" s="478"/>
      <c r="UXK243" s="478"/>
      <c r="UXL243" s="478"/>
      <c r="UXM243" s="478"/>
      <c r="UXN243" s="478"/>
      <c r="UXO243" s="478"/>
      <c r="UXP243" s="478"/>
      <c r="UXQ243" s="478"/>
      <c r="UXR243" s="478"/>
      <c r="UXS243" s="478"/>
      <c r="UXT243" s="478"/>
      <c r="UXU243" s="478"/>
      <c r="UXV243" s="478"/>
      <c r="UXW243" s="478"/>
      <c r="UXX243" s="478"/>
      <c r="UXY243" s="478"/>
      <c r="UXZ243" s="478"/>
      <c r="UYA243" s="478"/>
      <c r="UYB243" s="478"/>
      <c r="UYC243" s="478"/>
      <c r="UYD243" s="478"/>
      <c r="UYE243" s="478"/>
      <c r="UYF243" s="478"/>
      <c r="UYG243" s="478"/>
      <c r="UYH243" s="478"/>
      <c r="UYI243" s="478"/>
      <c r="UYJ243" s="478"/>
      <c r="UYK243" s="478"/>
      <c r="UYL243" s="478"/>
      <c r="UYM243" s="478"/>
      <c r="UYN243" s="478"/>
      <c r="UYO243" s="478"/>
      <c r="UYP243" s="478"/>
      <c r="UYQ243" s="478"/>
      <c r="UYR243" s="478"/>
      <c r="UYS243" s="478"/>
      <c r="UYT243" s="478"/>
      <c r="UYU243" s="478"/>
      <c r="UYV243" s="478"/>
      <c r="UYW243" s="478"/>
      <c r="UYX243" s="478"/>
      <c r="UYY243" s="478"/>
      <c r="UYZ243" s="478"/>
      <c r="UZA243" s="478"/>
      <c r="UZB243" s="478"/>
      <c r="UZC243" s="478"/>
      <c r="UZD243" s="478"/>
      <c r="UZE243" s="478"/>
      <c r="UZF243" s="478"/>
      <c r="UZG243" s="478"/>
      <c r="UZH243" s="478"/>
      <c r="UZI243" s="478"/>
      <c r="UZJ243" s="478"/>
      <c r="UZK243" s="478"/>
      <c r="UZL243" s="478"/>
      <c r="UZM243" s="478"/>
      <c r="UZN243" s="478"/>
      <c r="UZO243" s="478"/>
      <c r="UZP243" s="478"/>
      <c r="UZQ243" s="478"/>
      <c r="UZR243" s="478"/>
      <c r="UZS243" s="478"/>
      <c r="UZT243" s="478"/>
      <c r="UZU243" s="478"/>
      <c r="UZV243" s="478"/>
      <c r="UZW243" s="478"/>
      <c r="UZX243" s="478"/>
      <c r="UZY243" s="478"/>
      <c r="UZZ243" s="478"/>
      <c r="VAA243" s="478"/>
      <c r="VAB243" s="478"/>
      <c r="VAC243" s="478"/>
      <c r="VAD243" s="478"/>
      <c r="VAE243" s="478"/>
      <c r="VAF243" s="478"/>
      <c r="VAG243" s="478"/>
      <c r="VAH243" s="478"/>
      <c r="VAI243" s="478"/>
      <c r="VAJ243" s="478"/>
      <c r="VAK243" s="478"/>
      <c r="VAL243" s="478"/>
      <c r="VAM243" s="478"/>
      <c r="VAN243" s="478"/>
      <c r="VAO243" s="478"/>
      <c r="VAP243" s="478"/>
      <c r="VAQ243" s="478"/>
      <c r="VAR243" s="478"/>
      <c r="VAS243" s="478"/>
      <c r="VAT243" s="478"/>
      <c r="VAU243" s="478"/>
      <c r="VAV243" s="478"/>
      <c r="VAW243" s="478"/>
      <c r="VAX243" s="478"/>
      <c r="VAY243" s="478"/>
      <c r="VAZ243" s="478"/>
      <c r="VBA243" s="478"/>
      <c r="VBB243" s="478"/>
      <c r="VBC243" s="478"/>
      <c r="VBD243" s="478"/>
      <c r="VBE243" s="478"/>
      <c r="VBF243" s="478"/>
      <c r="VBG243" s="478"/>
      <c r="VBH243" s="478"/>
      <c r="VBI243" s="478"/>
      <c r="VBJ243" s="478"/>
      <c r="VBK243" s="478"/>
      <c r="VBL243" s="478"/>
      <c r="VBM243" s="478"/>
      <c r="VBN243" s="478"/>
      <c r="VBO243" s="478"/>
      <c r="VBP243" s="478"/>
      <c r="VBQ243" s="478"/>
      <c r="VBR243" s="478"/>
      <c r="VBS243" s="478"/>
      <c r="VBT243" s="478"/>
      <c r="VBU243" s="478"/>
      <c r="VBV243" s="478"/>
      <c r="VBW243" s="478"/>
      <c r="VBX243" s="478"/>
      <c r="VBY243" s="478"/>
      <c r="VBZ243" s="478"/>
      <c r="VCA243" s="478"/>
      <c r="VCB243" s="478"/>
      <c r="VCC243" s="478"/>
      <c r="VCD243" s="478"/>
      <c r="VCE243" s="478"/>
      <c r="VCF243" s="478"/>
      <c r="VCG243" s="478"/>
      <c r="VCH243" s="478"/>
      <c r="VCI243" s="478"/>
      <c r="VCJ243" s="478"/>
      <c r="VCK243" s="478"/>
      <c r="VCL243" s="478"/>
      <c r="VCM243" s="478"/>
      <c r="VCN243" s="478"/>
      <c r="VCO243" s="478"/>
      <c r="VCP243" s="478"/>
      <c r="VCQ243" s="478"/>
      <c r="VCR243" s="478"/>
      <c r="VCS243" s="478"/>
      <c r="VCT243" s="478"/>
      <c r="VCU243" s="478"/>
      <c r="VCV243" s="478"/>
      <c r="VCW243" s="478"/>
      <c r="VCX243" s="478"/>
      <c r="VCY243" s="478"/>
      <c r="VCZ243" s="478"/>
      <c r="VDA243" s="478"/>
      <c r="VDB243" s="478"/>
      <c r="VDC243" s="478"/>
      <c r="VDD243" s="478"/>
      <c r="VDE243" s="478"/>
      <c r="VDF243" s="478"/>
      <c r="VDG243" s="478"/>
      <c r="VDH243" s="478"/>
      <c r="VDI243" s="478"/>
      <c r="VDJ243" s="478"/>
      <c r="VDK243" s="478"/>
      <c r="VDL243" s="478"/>
      <c r="VDM243" s="478"/>
      <c r="VDN243" s="478"/>
      <c r="VDO243" s="478"/>
      <c r="VDP243" s="478"/>
      <c r="VDQ243" s="478"/>
      <c r="VDR243" s="478"/>
      <c r="VDS243" s="478"/>
      <c r="VDT243" s="478"/>
      <c r="VDU243" s="478"/>
      <c r="VDV243" s="478"/>
      <c r="VDW243" s="478"/>
      <c r="VDX243" s="478"/>
      <c r="VDY243" s="478"/>
      <c r="VDZ243" s="478"/>
      <c r="VEA243" s="478"/>
      <c r="VEB243" s="478"/>
      <c r="VEC243" s="478"/>
      <c r="VED243" s="478"/>
      <c r="VEE243" s="478"/>
      <c r="VEF243" s="478"/>
      <c r="VEG243" s="478"/>
      <c r="VEH243" s="478"/>
      <c r="VEI243" s="478"/>
      <c r="VEJ243" s="478"/>
      <c r="VEK243" s="478"/>
      <c r="VEL243" s="478"/>
      <c r="VEM243" s="478"/>
      <c r="VEN243" s="478"/>
      <c r="VEO243" s="478"/>
      <c r="VEP243" s="478"/>
      <c r="VEQ243" s="478"/>
      <c r="VER243" s="478"/>
      <c r="VES243" s="478"/>
      <c r="VET243" s="478"/>
      <c r="VEU243" s="478"/>
      <c r="VEV243" s="478"/>
      <c r="VEW243" s="478"/>
      <c r="VEX243" s="478"/>
      <c r="VEY243" s="478"/>
      <c r="VEZ243" s="478"/>
      <c r="VFA243" s="478"/>
      <c r="VFB243" s="478"/>
      <c r="VFC243" s="478"/>
      <c r="VFD243" s="478"/>
      <c r="VFE243" s="478"/>
      <c r="VFF243" s="478"/>
      <c r="VFG243" s="478"/>
      <c r="VFH243" s="478"/>
      <c r="VFI243" s="478"/>
      <c r="VFJ243" s="478"/>
      <c r="VFK243" s="478"/>
      <c r="VFL243" s="478"/>
      <c r="VFM243" s="478"/>
      <c r="VFN243" s="478"/>
      <c r="VFO243" s="478"/>
      <c r="VFP243" s="478"/>
      <c r="VFQ243" s="478"/>
      <c r="VFR243" s="478"/>
      <c r="VFS243" s="478"/>
      <c r="VFT243" s="478"/>
      <c r="VFU243" s="478"/>
      <c r="VFV243" s="478"/>
      <c r="VFW243" s="478"/>
      <c r="VFX243" s="478"/>
      <c r="VFY243" s="478"/>
      <c r="VFZ243" s="478"/>
      <c r="VGA243" s="478"/>
      <c r="VGB243" s="478"/>
      <c r="VGC243" s="478"/>
      <c r="VGD243" s="478"/>
      <c r="VGE243" s="478"/>
      <c r="VGF243" s="478"/>
      <c r="VGG243" s="478"/>
      <c r="VGH243" s="478"/>
      <c r="VGI243" s="478"/>
      <c r="VGJ243" s="478"/>
      <c r="VGK243" s="478"/>
      <c r="VGL243" s="478"/>
      <c r="VGM243" s="478"/>
      <c r="VGN243" s="478"/>
      <c r="VGO243" s="478"/>
      <c r="VGP243" s="478"/>
      <c r="VGQ243" s="478"/>
      <c r="VGR243" s="478"/>
      <c r="VGS243" s="478"/>
      <c r="VGT243" s="478"/>
      <c r="VGU243" s="478"/>
      <c r="VGV243" s="478"/>
      <c r="VGW243" s="478"/>
      <c r="VGX243" s="478"/>
      <c r="VGY243" s="478"/>
      <c r="VGZ243" s="478"/>
      <c r="VHA243" s="478"/>
      <c r="VHB243" s="478"/>
      <c r="VHC243" s="478"/>
      <c r="VHD243" s="478"/>
      <c r="VHE243" s="478"/>
      <c r="VHF243" s="478"/>
      <c r="VHG243" s="478"/>
      <c r="VHH243" s="478"/>
      <c r="VHI243" s="478"/>
      <c r="VHJ243" s="478"/>
      <c r="VHK243" s="478"/>
      <c r="VHL243" s="478"/>
      <c r="VHM243" s="478"/>
      <c r="VHN243" s="478"/>
      <c r="VHO243" s="478"/>
      <c r="VHP243" s="478"/>
      <c r="VHQ243" s="478"/>
      <c r="VHR243" s="478"/>
      <c r="VHS243" s="478"/>
      <c r="VHT243" s="478"/>
      <c r="VHU243" s="478"/>
      <c r="VHV243" s="478"/>
      <c r="VHW243" s="478"/>
      <c r="VHX243" s="478"/>
      <c r="VHY243" s="478"/>
      <c r="VHZ243" s="478"/>
      <c r="VIA243" s="478"/>
      <c r="VIB243" s="478"/>
      <c r="VIC243" s="478"/>
      <c r="VID243" s="478"/>
      <c r="VIE243" s="478"/>
      <c r="VIF243" s="478"/>
      <c r="VIG243" s="478"/>
      <c r="VIH243" s="478"/>
      <c r="VII243" s="478"/>
      <c r="VIJ243" s="478"/>
      <c r="VIK243" s="478"/>
      <c r="VIL243" s="478"/>
      <c r="VIM243" s="478"/>
      <c r="VIN243" s="478"/>
      <c r="VIO243" s="478"/>
      <c r="VIP243" s="478"/>
      <c r="VIQ243" s="478"/>
      <c r="VIR243" s="478"/>
      <c r="VIS243" s="478"/>
      <c r="VIT243" s="478"/>
      <c r="VIU243" s="478"/>
      <c r="VIV243" s="478"/>
      <c r="VIW243" s="478"/>
      <c r="VIX243" s="478"/>
      <c r="VIY243" s="478"/>
      <c r="VIZ243" s="478"/>
      <c r="VJA243" s="478"/>
      <c r="VJB243" s="478"/>
      <c r="VJC243" s="478"/>
      <c r="VJD243" s="478"/>
      <c r="VJE243" s="478"/>
      <c r="VJF243" s="478"/>
      <c r="VJG243" s="478"/>
      <c r="VJH243" s="478"/>
      <c r="VJI243" s="478"/>
      <c r="VJJ243" s="478"/>
      <c r="VJK243" s="478"/>
      <c r="VJL243" s="478"/>
      <c r="VJM243" s="478"/>
      <c r="VJN243" s="478"/>
      <c r="VJO243" s="478"/>
      <c r="VJP243" s="478"/>
      <c r="VJQ243" s="478"/>
      <c r="VJR243" s="478"/>
      <c r="VJS243" s="478"/>
      <c r="VJT243" s="478"/>
      <c r="VJU243" s="478"/>
      <c r="VJV243" s="478"/>
      <c r="VJW243" s="478"/>
      <c r="VJX243" s="478"/>
      <c r="VJY243" s="478"/>
      <c r="VJZ243" s="478"/>
      <c r="VKA243" s="478"/>
      <c r="VKB243" s="478"/>
      <c r="VKC243" s="478"/>
      <c r="VKD243" s="478"/>
      <c r="VKE243" s="478"/>
      <c r="VKF243" s="478"/>
      <c r="VKG243" s="478"/>
      <c r="VKH243" s="478"/>
      <c r="VKI243" s="478"/>
      <c r="VKJ243" s="478"/>
      <c r="VKK243" s="478"/>
      <c r="VKL243" s="478"/>
      <c r="VKM243" s="478"/>
      <c r="VKN243" s="478"/>
      <c r="VKO243" s="478"/>
      <c r="VKP243" s="478"/>
      <c r="VKQ243" s="478"/>
      <c r="VKR243" s="478"/>
      <c r="VKS243" s="478"/>
      <c r="VKT243" s="478"/>
      <c r="VKU243" s="478"/>
      <c r="VKV243" s="478"/>
      <c r="VKW243" s="478"/>
      <c r="VKX243" s="478"/>
      <c r="VKY243" s="478"/>
      <c r="VKZ243" s="478"/>
      <c r="VLA243" s="478"/>
      <c r="VLB243" s="478"/>
      <c r="VLC243" s="478"/>
      <c r="VLD243" s="478"/>
      <c r="VLE243" s="478"/>
      <c r="VLF243" s="478"/>
      <c r="VLG243" s="478"/>
      <c r="VLH243" s="478"/>
      <c r="VLI243" s="478"/>
      <c r="VLJ243" s="478"/>
      <c r="VLK243" s="478"/>
      <c r="VLL243" s="478"/>
      <c r="VLM243" s="478"/>
      <c r="VLN243" s="478"/>
      <c r="VLO243" s="478"/>
      <c r="VLP243" s="478"/>
      <c r="VLQ243" s="478"/>
      <c r="VLR243" s="478"/>
      <c r="VLS243" s="478"/>
      <c r="VLT243" s="478"/>
      <c r="VLU243" s="478"/>
      <c r="VLV243" s="478"/>
      <c r="VLW243" s="478"/>
      <c r="VLX243" s="478"/>
      <c r="VLY243" s="478"/>
      <c r="VLZ243" s="478"/>
      <c r="VMA243" s="478"/>
      <c r="VMB243" s="478"/>
      <c r="VMC243" s="478"/>
      <c r="VMD243" s="478"/>
      <c r="VME243" s="478"/>
      <c r="VMF243" s="478"/>
      <c r="VMG243" s="478"/>
      <c r="VMH243" s="478"/>
      <c r="VMI243" s="478"/>
      <c r="VMJ243" s="478"/>
      <c r="VMK243" s="478"/>
      <c r="VML243" s="478"/>
      <c r="VMM243" s="478"/>
      <c r="VMN243" s="478"/>
      <c r="VMO243" s="478"/>
      <c r="VMP243" s="478"/>
      <c r="VMQ243" s="478"/>
      <c r="VMR243" s="478"/>
      <c r="VMS243" s="478"/>
      <c r="VMT243" s="478"/>
      <c r="VMU243" s="478"/>
      <c r="VMV243" s="478"/>
      <c r="VMW243" s="478"/>
      <c r="VMX243" s="478"/>
      <c r="VMY243" s="478"/>
      <c r="VMZ243" s="478"/>
      <c r="VNA243" s="478"/>
      <c r="VNB243" s="478"/>
      <c r="VNC243" s="478"/>
      <c r="VND243" s="478"/>
      <c r="VNE243" s="478"/>
      <c r="VNF243" s="478"/>
      <c r="VNG243" s="478"/>
      <c r="VNH243" s="478"/>
      <c r="VNI243" s="478"/>
      <c r="VNJ243" s="478"/>
      <c r="VNK243" s="478"/>
      <c r="VNL243" s="478"/>
      <c r="VNM243" s="478"/>
      <c r="VNN243" s="478"/>
      <c r="VNO243" s="478"/>
      <c r="VNP243" s="478"/>
      <c r="VNQ243" s="478"/>
      <c r="VNR243" s="478"/>
      <c r="VNS243" s="478"/>
      <c r="VNT243" s="478"/>
      <c r="VNU243" s="478"/>
      <c r="VNV243" s="478"/>
      <c r="VNW243" s="478"/>
      <c r="VNX243" s="478"/>
      <c r="VNY243" s="478"/>
      <c r="VNZ243" s="478"/>
      <c r="VOA243" s="478"/>
      <c r="VOB243" s="478"/>
      <c r="VOC243" s="478"/>
      <c r="VOD243" s="478"/>
      <c r="VOE243" s="478"/>
      <c r="VOF243" s="478"/>
      <c r="VOG243" s="478"/>
      <c r="VOH243" s="478"/>
      <c r="VOI243" s="478"/>
      <c r="VOJ243" s="478"/>
      <c r="VOK243" s="478"/>
      <c r="VOL243" s="478"/>
      <c r="VOM243" s="478"/>
      <c r="VON243" s="478"/>
      <c r="VOO243" s="478"/>
      <c r="VOP243" s="478"/>
      <c r="VOQ243" s="478"/>
      <c r="VOR243" s="478"/>
      <c r="VOS243" s="478"/>
      <c r="VOT243" s="478"/>
      <c r="VOU243" s="478"/>
      <c r="VOV243" s="478"/>
      <c r="VOW243" s="478"/>
      <c r="VOX243" s="478"/>
      <c r="VOY243" s="478"/>
      <c r="VOZ243" s="478"/>
      <c r="VPA243" s="478"/>
      <c r="VPB243" s="478"/>
      <c r="VPC243" s="478"/>
      <c r="VPD243" s="478"/>
      <c r="VPE243" s="478"/>
      <c r="VPF243" s="478"/>
      <c r="VPG243" s="478"/>
      <c r="VPH243" s="478"/>
      <c r="VPI243" s="478"/>
      <c r="VPJ243" s="478"/>
      <c r="VPK243" s="478"/>
      <c r="VPL243" s="478"/>
      <c r="VPM243" s="478"/>
      <c r="VPN243" s="478"/>
      <c r="VPO243" s="478"/>
      <c r="VPP243" s="478"/>
      <c r="VPQ243" s="478"/>
      <c r="VPR243" s="478"/>
      <c r="VPS243" s="478"/>
      <c r="VPT243" s="478"/>
      <c r="VPU243" s="478"/>
      <c r="VPV243" s="478"/>
      <c r="VPW243" s="478"/>
      <c r="VPX243" s="478"/>
      <c r="VPY243" s="478"/>
      <c r="VPZ243" s="478"/>
      <c r="VQA243" s="478"/>
      <c r="VQB243" s="478"/>
      <c r="VQC243" s="478"/>
      <c r="VQD243" s="478"/>
      <c r="VQE243" s="478"/>
      <c r="VQF243" s="478"/>
      <c r="VQG243" s="478"/>
      <c r="VQH243" s="478"/>
      <c r="VQI243" s="478"/>
      <c r="VQJ243" s="478"/>
      <c r="VQK243" s="478"/>
      <c r="VQL243" s="478"/>
      <c r="VQM243" s="478"/>
      <c r="VQN243" s="478"/>
      <c r="VQO243" s="478"/>
      <c r="VQP243" s="478"/>
      <c r="VQQ243" s="478"/>
      <c r="VQR243" s="478"/>
      <c r="VQS243" s="478"/>
      <c r="VQT243" s="478"/>
      <c r="VQU243" s="478"/>
      <c r="VQV243" s="478"/>
      <c r="VQW243" s="478"/>
      <c r="VQX243" s="478"/>
      <c r="VQY243" s="478"/>
      <c r="VQZ243" s="478"/>
      <c r="VRA243" s="478"/>
      <c r="VRB243" s="478"/>
      <c r="VRC243" s="478"/>
      <c r="VRD243" s="478"/>
      <c r="VRE243" s="478"/>
      <c r="VRF243" s="478"/>
      <c r="VRG243" s="478"/>
      <c r="VRH243" s="478"/>
      <c r="VRI243" s="478"/>
      <c r="VRJ243" s="478"/>
      <c r="VRK243" s="478"/>
      <c r="VRL243" s="478"/>
      <c r="VRM243" s="478"/>
      <c r="VRN243" s="478"/>
      <c r="VRO243" s="478"/>
      <c r="VRP243" s="478"/>
      <c r="VRQ243" s="478"/>
      <c r="VRR243" s="478"/>
      <c r="VRS243" s="478"/>
      <c r="VRT243" s="478"/>
      <c r="VRU243" s="478"/>
      <c r="VRV243" s="478"/>
      <c r="VRW243" s="478"/>
      <c r="VRX243" s="478"/>
      <c r="VRY243" s="478"/>
      <c r="VRZ243" s="478"/>
      <c r="VSA243" s="478"/>
      <c r="VSB243" s="478"/>
      <c r="VSC243" s="478"/>
      <c r="VSD243" s="478"/>
      <c r="VSE243" s="478"/>
      <c r="VSF243" s="478"/>
      <c r="VSG243" s="478"/>
      <c r="VSH243" s="478"/>
      <c r="VSI243" s="478"/>
      <c r="VSJ243" s="478"/>
      <c r="VSK243" s="478"/>
      <c r="VSL243" s="478"/>
      <c r="VSM243" s="478"/>
      <c r="VSN243" s="478"/>
      <c r="VSO243" s="478"/>
      <c r="VSP243" s="478"/>
      <c r="VSQ243" s="478"/>
      <c r="VSR243" s="478"/>
      <c r="VSS243" s="478"/>
      <c r="VST243" s="478"/>
      <c r="VSU243" s="478"/>
      <c r="VSV243" s="478"/>
      <c r="VSW243" s="478"/>
      <c r="VSX243" s="478"/>
      <c r="VSY243" s="478"/>
      <c r="VSZ243" s="478"/>
      <c r="VTA243" s="478"/>
      <c r="VTB243" s="478"/>
      <c r="VTC243" s="478"/>
      <c r="VTD243" s="478"/>
      <c r="VTE243" s="478"/>
      <c r="VTF243" s="478"/>
      <c r="VTG243" s="478"/>
      <c r="VTH243" s="478"/>
      <c r="VTI243" s="478"/>
      <c r="VTJ243" s="478"/>
      <c r="VTK243" s="478"/>
      <c r="VTL243" s="478"/>
      <c r="VTM243" s="478"/>
      <c r="VTN243" s="478"/>
      <c r="VTO243" s="478"/>
      <c r="VTP243" s="478"/>
      <c r="VTQ243" s="478"/>
      <c r="VTR243" s="478"/>
      <c r="VTS243" s="478"/>
      <c r="VTT243" s="478"/>
      <c r="VTU243" s="478"/>
      <c r="VTV243" s="478"/>
      <c r="VTW243" s="478"/>
      <c r="VTX243" s="478"/>
      <c r="VTY243" s="478"/>
      <c r="VTZ243" s="478"/>
      <c r="VUA243" s="478"/>
      <c r="VUB243" s="478"/>
      <c r="VUC243" s="478"/>
      <c r="VUD243" s="478"/>
      <c r="VUE243" s="478"/>
      <c r="VUF243" s="478"/>
      <c r="VUG243" s="478"/>
      <c r="VUH243" s="478"/>
      <c r="VUI243" s="478"/>
      <c r="VUJ243" s="478"/>
      <c r="VUK243" s="478"/>
      <c r="VUL243" s="478"/>
      <c r="VUM243" s="478"/>
      <c r="VUN243" s="478"/>
      <c r="VUO243" s="478"/>
      <c r="VUP243" s="478"/>
      <c r="VUQ243" s="478"/>
      <c r="VUR243" s="478"/>
      <c r="VUS243" s="478"/>
      <c r="VUT243" s="478"/>
      <c r="VUU243" s="478"/>
      <c r="VUV243" s="478"/>
      <c r="VUW243" s="478"/>
      <c r="VUX243" s="478"/>
      <c r="VUY243" s="478"/>
      <c r="VUZ243" s="478"/>
      <c r="VVA243" s="478"/>
      <c r="VVB243" s="478"/>
      <c r="VVC243" s="478"/>
      <c r="VVD243" s="478"/>
      <c r="VVE243" s="478"/>
      <c r="VVF243" s="478"/>
      <c r="VVG243" s="478"/>
      <c r="VVH243" s="478"/>
      <c r="VVI243" s="478"/>
      <c r="VVJ243" s="478"/>
      <c r="VVK243" s="478"/>
      <c r="VVL243" s="478"/>
      <c r="VVM243" s="478"/>
      <c r="VVN243" s="478"/>
      <c r="VVO243" s="478"/>
      <c r="VVP243" s="478"/>
      <c r="VVQ243" s="478"/>
      <c r="VVR243" s="478"/>
      <c r="VVS243" s="478"/>
      <c r="VVT243" s="478"/>
      <c r="VVU243" s="478"/>
      <c r="VVV243" s="478"/>
      <c r="VVW243" s="478"/>
      <c r="VVX243" s="478"/>
      <c r="VVY243" s="478"/>
      <c r="VVZ243" s="478"/>
      <c r="VWA243" s="478"/>
      <c r="VWB243" s="478"/>
      <c r="VWC243" s="478"/>
      <c r="VWD243" s="478"/>
      <c r="VWE243" s="478"/>
      <c r="VWF243" s="478"/>
      <c r="VWG243" s="478"/>
      <c r="VWH243" s="478"/>
      <c r="VWI243" s="478"/>
      <c r="VWJ243" s="478"/>
      <c r="VWK243" s="478"/>
      <c r="VWL243" s="478"/>
      <c r="VWM243" s="478"/>
      <c r="VWN243" s="478"/>
      <c r="VWO243" s="478"/>
      <c r="VWP243" s="478"/>
      <c r="VWQ243" s="478"/>
      <c r="VWR243" s="478"/>
      <c r="VWS243" s="478"/>
      <c r="VWT243" s="478"/>
      <c r="VWU243" s="478"/>
      <c r="VWV243" s="478"/>
      <c r="VWW243" s="478"/>
      <c r="VWX243" s="478"/>
      <c r="VWY243" s="478"/>
      <c r="VWZ243" s="478"/>
      <c r="VXA243" s="478"/>
      <c r="VXB243" s="478"/>
      <c r="VXC243" s="478"/>
      <c r="VXD243" s="478"/>
      <c r="VXE243" s="478"/>
      <c r="VXF243" s="478"/>
      <c r="VXG243" s="478"/>
      <c r="VXH243" s="478"/>
      <c r="VXI243" s="478"/>
      <c r="VXJ243" s="478"/>
      <c r="VXK243" s="478"/>
      <c r="VXL243" s="478"/>
      <c r="VXM243" s="478"/>
      <c r="VXN243" s="478"/>
      <c r="VXO243" s="478"/>
      <c r="VXP243" s="478"/>
      <c r="VXQ243" s="478"/>
      <c r="VXR243" s="478"/>
      <c r="VXS243" s="478"/>
      <c r="VXT243" s="478"/>
      <c r="VXU243" s="478"/>
      <c r="VXV243" s="478"/>
      <c r="VXW243" s="478"/>
      <c r="VXX243" s="478"/>
      <c r="VXY243" s="478"/>
      <c r="VXZ243" s="478"/>
      <c r="VYA243" s="478"/>
      <c r="VYB243" s="478"/>
      <c r="VYC243" s="478"/>
      <c r="VYD243" s="478"/>
      <c r="VYE243" s="478"/>
      <c r="VYF243" s="478"/>
      <c r="VYG243" s="478"/>
      <c r="VYH243" s="478"/>
      <c r="VYI243" s="478"/>
      <c r="VYJ243" s="478"/>
      <c r="VYK243" s="478"/>
      <c r="VYL243" s="478"/>
      <c r="VYM243" s="478"/>
      <c r="VYN243" s="478"/>
      <c r="VYO243" s="478"/>
      <c r="VYP243" s="478"/>
      <c r="VYQ243" s="478"/>
      <c r="VYR243" s="478"/>
      <c r="VYS243" s="478"/>
      <c r="VYT243" s="478"/>
      <c r="VYU243" s="478"/>
      <c r="VYV243" s="478"/>
      <c r="VYW243" s="478"/>
      <c r="VYX243" s="478"/>
      <c r="VYY243" s="478"/>
      <c r="VYZ243" s="478"/>
      <c r="VZA243" s="478"/>
      <c r="VZB243" s="478"/>
      <c r="VZC243" s="478"/>
      <c r="VZD243" s="478"/>
      <c r="VZE243" s="478"/>
      <c r="VZF243" s="478"/>
      <c r="VZG243" s="478"/>
      <c r="VZH243" s="478"/>
      <c r="VZI243" s="478"/>
      <c r="VZJ243" s="478"/>
      <c r="VZK243" s="478"/>
      <c r="VZL243" s="478"/>
      <c r="VZM243" s="478"/>
      <c r="VZN243" s="478"/>
      <c r="VZO243" s="478"/>
      <c r="VZP243" s="478"/>
      <c r="VZQ243" s="478"/>
      <c r="VZR243" s="478"/>
      <c r="VZS243" s="478"/>
      <c r="VZT243" s="478"/>
      <c r="VZU243" s="478"/>
      <c r="VZV243" s="478"/>
      <c r="VZW243" s="478"/>
      <c r="VZX243" s="478"/>
      <c r="VZY243" s="478"/>
      <c r="VZZ243" s="478"/>
      <c r="WAA243" s="478"/>
      <c r="WAB243" s="478"/>
      <c r="WAC243" s="478"/>
      <c r="WAD243" s="478"/>
      <c r="WAE243" s="478"/>
      <c r="WAF243" s="478"/>
      <c r="WAG243" s="478"/>
      <c r="WAH243" s="478"/>
      <c r="WAI243" s="478"/>
      <c r="WAJ243" s="478"/>
      <c r="WAK243" s="478"/>
      <c r="WAL243" s="478"/>
      <c r="WAM243" s="478"/>
      <c r="WAN243" s="478"/>
      <c r="WAO243" s="478"/>
      <c r="WAP243" s="478"/>
      <c r="WAQ243" s="478"/>
      <c r="WAR243" s="478"/>
      <c r="WAS243" s="478"/>
      <c r="WAT243" s="478"/>
      <c r="WAU243" s="478"/>
      <c r="WAV243" s="478"/>
      <c r="WAW243" s="478"/>
      <c r="WAX243" s="478"/>
      <c r="WAY243" s="478"/>
      <c r="WAZ243" s="478"/>
      <c r="WBA243" s="478"/>
      <c r="WBB243" s="478"/>
      <c r="WBC243" s="478"/>
      <c r="WBD243" s="478"/>
      <c r="WBE243" s="478"/>
      <c r="WBF243" s="478"/>
      <c r="WBG243" s="478"/>
      <c r="WBH243" s="478"/>
      <c r="WBI243" s="478"/>
      <c r="WBJ243" s="478"/>
      <c r="WBK243" s="478"/>
      <c r="WBL243" s="478"/>
      <c r="WBM243" s="478"/>
      <c r="WBN243" s="478"/>
      <c r="WBO243" s="478"/>
      <c r="WBP243" s="478"/>
      <c r="WBQ243" s="478"/>
      <c r="WBR243" s="478"/>
      <c r="WBS243" s="478"/>
      <c r="WBT243" s="478"/>
      <c r="WBU243" s="478"/>
      <c r="WBV243" s="478"/>
      <c r="WBW243" s="478"/>
      <c r="WBX243" s="478"/>
      <c r="WBY243" s="478"/>
      <c r="WBZ243" s="478"/>
      <c r="WCA243" s="478"/>
      <c r="WCB243" s="478"/>
      <c r="WCC243" s="478"/>
      <c r="WCD243" s="478"/>
      <c r="WCE243" s="478"/>
      <c r="WCF243" s="478"/>
      <c r="WCG243" s="478"/>
      <c r="WCH243" s="478"/>
      <c r="WCI243" s="478"/>
      <c r="WCJ243" s="478"/>
      <c r="WCK243" s="478"/>
      <c r="WCL243" s="478"/>
      <c r="WCM243" s="478"/>
      <c r="WCN243" s="478"/>
      <c r="WCO243" s="478"/>
      <c r="WCP243" s="478"/>
      <c r="WCQ243" s="478"/>
      <c r="WCR243" s="478"/>
      <c r="WCS243" s="478"/>
      <c r="WCT243" s="478"/>
      <c r="WCU243" s="478"/>
      <c r="WCV243" s="478"/>
      <c r="WCW243" s="478"/>
      <c r="WCX243" s="478"/>
      <c r="WCY243" s="478"/>
      <c r="WCZ243" s="478"/>
      <c r="WDA243" s="478"/>
      <c r="WDB243" s="478"/>
      <c r="WDC243" s="478"/>
      <c r="WDD243" s="478"/>
      <c r="WDE243" s="478"/>
      <c r="WDF243" s="478"/>
      <c r="WDG243" s="478"/>
      <c r="WDH243" s="478"/>
      <c r="WDI243" s="478"/>
      <c r="WDJ243" s="478"/>
      <c r="WDK243" s="478"/>
      <c r="WDL243" s="478"/>
      <c r="WDM243" s="478"/>
      <c r="WDN243" s="478"/>
      <c r="WDO243" s="478"/>
      <c r="WDP243" s="478"/>
      <c r="WDQ243" s="478"/>
      <c r="WDR243" s="478"/>
      <c r="WDS243" s="478"/>
      <c r="WDT243" s="478"/>
      <c r="WDU243" s="478"/>
      <c r="WDV243" s="478"/>
      <c r="WDW243" s="478"/>
      <c r="WDX243" s="478"/>
      <c r="WDY243" s="478"/>
      <c r="WDZ243" s="478"/>
      <c r="WEA243" s="478"/>
      <c r="WEB243" s="478"/>
      <c r="WEC243" s="478"/>
      <c r="WED243" s="478"/>
      <c r="WEE243" s="478"/>
      <c r="WEF243" s="478"/>
      <c r="WEG243" s="478"/>
      <c r="WEH243" s="478"/>
      <c r="WEI243" s="478"/>
      <c r="WEJ243" s="478"/>
      <c r="WEK243" s="478"/>
      <c r="WEL243" s="478"/>
      <c r="WEM243" s="478"/>
      <c r="WEN243" s="478"/>
      <c r="WEO243" s="478"/>
      <c r="WEP243" s="478"/>
      <c r="WEQ243" s="478"/>
      <c r="WER243" s="478"/>
      <c r="WES243" s="478"/>
      <c r="WET243" s="478"/>
      <c r="WEU243" s="478"/>
      <c r="WEV243" s="478"/>
      <c r="WEW243" s="478"/>
      <c r="WEX243" s="478"/>
      <c r="WEY243" s="478"/>
      <c r="WEZ243" s="478"/>
      <c r="WFA243" s="478"/>
      <c r="WFB243" s="478"/>
      <c r="WFC243" s="478"/>
      <c r="WFD243" s="478"/>
      <c r="WFE243" s="478"/>
      <c r="WFF243" s="478"/>
      <c r="WFG243" s="478"/>
      <c r="WFH243" s="478"/>
      <c r="WFI243" s="478"/>
      <c r="WFJ243" s="478"/>
      <c r="WFK243" s="478"/>
      <c r="WFL243" s="478"/>
      <c r="WFM243" s="478"/>
      <c r="WFN243" s="478"/>
      <c r="WFO243" s="478"/>
      <c r="WFP243" s="478"/>
      <c r="WFQ243" s="478"/>
      <c r="WFR243" s="478"/>
      <c r="WFS243" s="478"/>
      <c r="WFT243" s="478"/>
      <c r="WFU243" s="478"/>
      <c r="WFV243" s="478"/>
      <c r="WFW243" s="478"/>
      <c r="WFX243" s="478"/>
      <c r="WFY243" s="478"/>
      <c r="WFZ243" s="478"/>
      <c r="WGA243" s="478"/>
      <c r="WGB243" s="478"/>
      <c r="WGC243" s="478"/>
      <c r="WGD243" s="478"/>
      <c r="WGE243" s="478"/>
      <c r="WGF243" s="478"/>
      <c r="WGG243" s="478"/>
      <c r="WGH243" s="478"/>
      <c r="WGI243" s="478"/>
      <c r="WGJ243" s="478"/>
      <c r="WGK243" s="478"/>
      <c r="WGL243" s="478"/>
      <c r="WGM243" s="478"/>
      <c r="WGN243" s="478"/>
      <c r="WGO243" s="478"/>
      <c r="WGP243" s="478"/>
      <c r="WGQ243" s="478"/>
      <c r="WGR243" s="478"/>
      <c r="WGS243" s="478"/>
      <c r="WGT243" s="478"/>
      <c r="WGU243" s="478"/>
      <c r="WGV243" s="478"/>
      <c r="WGW243" s="478"/>
      <c r="WGX243" s="478"/>
      <c r="WGY243" s="478"/>
      <c r="WGZ243" s="478"/>
      <c r="WHA243" s="478"/>
      <c r="WHB243" s="478"/>
      <c r="WHC243" s="478"/>
      <c r="WHD243" s="478"/>
      <c r="WHE243" s="478"/>
      <c r="WHF243" s="478"/>
      <c r="WHG243" s="478"/>
      <c r="WHH243" s="478"/>
      <c r="WHI243" s="478"/>
      <c r="WHJ243" s="478"/>
      <c r="WHK243" s="478"/>
      <c r="WHL243" s="478"/>
      <c r="WHM243" s="478"/>
      <c r="WHN243" s="478"/>
      <c r="WHO243" s="478"/>
      <c r="WHP243" s="478"/>
      <c r="WHQ243" s="478"/>
      <c r="WHR243" s="478"/>
      <c r="WHS243" s="478"/>
      <c r="WHT243" s="478"/>
      <c r="WHU243" s="478"/>
      <c r="WHV243" s="478"/>
      <c r="WHW243" s="478"/>
      <c r="WHX243" s="478"/>
      <c r="WHY243" s="478"/>
      <c r="WHZ243" s="478"/>
      <c r="WIA243" s="478"/>
      <c r="WIB243" s="478"/>
      <c r="WIC243" s="478"/>
      <c r="WID243" s="478"/>
      <c r="WIE243" s="478"/>
      <c r="WIF243" s="478"/>
      <c r="WIG243" s="478"/>
      <c r="WIH243" s="478"/>
      <c r="WII243" s="478"/>
      <c r="WIJ243" s="478"/>
      <c r="WIK243" s="478"/>
      <c r="WIL243" s="478"/>
      <c r="WIM243" s="478"/>
      <c r="WIN243" s="478"/>
      <c r="WIO243" s="478"/>
      <c r="WIP243" s="478"/>
      <c r="WIQ243" s="478"/>
      <c r="WIR243" s="478"/>
      <c r="WIS243" s="478"/>
      <c r="WIT243" s="478"/>
      <c r="WIU243" s="478"/>
      <c r="WIV243" s="478"/>
      <c r="WIW243" s="478"/>
      <c r="WIX243" s="478"/>
      <c r="WIY243" s="478"/>
      <c r="WIZ243" s="478"/>
      <c r="WJA243" s="478"/>
      <c r="WJB243" s="478"/>
      <c r="WJC243" s="478"/>
      <c r="WJD243" s="478"/>
      <c r="WJE243" s="478"/>
      <c r="WJF243" s="478"/>
      <c r="WJG243" s="478"/>
      <c r="WJH243" s="478"/>
      <c r="WJI243" s="478"/>
      <c r="WJJ243" s="478"/>
      <c r="WJK243" s="478"/>
      <c r="WJL243" s="478"/>
      <c r="WJM243" s="478"/>
      <c r="WJN243" s="478"/>
      <c r="WJO243" s="478"/>
      <c r="WJP243" s="478"/>
      <c r="WJQ243" s="478"/>
      <c r="WJR243" s="478"/>
      <c r="WJS243" s="478"/>
      <c r="WJT243" s="478"/>
      <c r="WJU243" s="478"/>
      <c r="WJV243" s="478"/>
      <c r="WJW243" s="478"/>
      <c r="WJX243" s="478"/>
      <c r="WJY243" s="478"/>
      <c r="WJZ243" s="478"/>
      <c r="WKA243" s="478"/>
      <c r="WKB243" s="478"/>
      <c r="WKC243" s="478"/>
      <c r="WKD243" s="478"/>
      <c r="WKE243" s="478"/>
      <c r="WKF243" s="478"/>
      <c r="WKG243" s="478"/>
      <c r="WKH243" s="478"/>
      <c r="WKI243" s="478"/>
      <c r="WKJ243" s="478"/>
      <c r="WKK243" s="478"/>
      <c r="WKL243" s="478"/>
      <c r="WKM243" s="478"/>
      <c r="WKN243" s="478"/>
      <c r="WKO243" s="478"/>
      <c r="WKP243" s="478"/>
      <c r="WKQ243" s="478"/>
      <c r="WKR243" s="478"/>
      <c r="WKS243" s="478"/>
      <c r="WKT243" s="478"/>
      <c r="WKU243" s="478"/>
      <c r="WKV243" s="478"/>
      <c r="WKW243" s="478"/>
      <c r="WKX243" s="478"/>
      <c r="WKY243" s="478"/>
      <c r="WKZ243" s="478"/>
      <c r="WLA243" s="478"/>
      <c r="WLB243" s="478"/>
      <c r="WLC243" s="478"/>
      <c r="WLD243" s="478"/>
      <c r="WLE243" s="478"/>
      <c r="WLF243" s="478"/>
      <c r="WLG243" s="478"/>
      <c r="WLH243" s="478"/>
      <c r="WLI243" s="478"/>
      <c r="WLJ243" s="478"/>
      <c r="WLK243" s="478"/>
      <c r="WLL243" s="478"/>
      <c r="WLM243" s="478"/>
      <c r="WLN243" s="478"/>
      <c r="WLO243" s="478"/>
      <c r="WLP243" s="478"/>
      <c r="WLQ243" s="478"/>
      <c r="WLR243" s="478"/>
      <c r="WLS243" s="478"/>
      <c r="WLT243" s="478"/>
      <c r="WLU243" s="478"/>
      <c r="WLV243" s="478"/>
      <c r="WLW243" s="478"/>
      <c r="WLX243" s="478"/>
      <c r="WLY243" s="478"/>
      <c r="WLZ243" s="478"/>
      <c r="WMA243" s="478"/>
      <c r="WMB243" s="478"/>
      <c r="WMC243" s="478"/>
      <c r="WMD243" s="478"/>
      <c r="WME243" s="478"/>
      <c r="WMF243" s="478"/>
      <c r="WMG243" s="478"/>
      <c r="WMH243" s="478"/>
      <c r="WMI243" s="478"/>
      <c r="WMJ243" s="478"/>
      <c r="WMK243" s="478"/>
      <c r="WML243" s="478"/>
      <c r="WMM243" s="478"/>
      <c r="WMN243" s="478"/>
      <c r="WMO243" s="478"/>
      <c r="WMP243" s="478"/>
      <c r="WMQ243" s="478"/>
      <c r="WMR243" s="478"/>
      <c r="WMS243" s="478"/>
      <c r="WMT243" s="478"/>
      <c r="WMU243" s="478"/>
      <c r="WMV243" s="478"/>
      <c r="WMW243" s="478"/>
      <c r="WMX243" s="478"/>
      <c r="WMY243" s="478"/>
      <c r="WMZ243" s="478"/>
      <c r="WNA243" s="478"/>
      <c r="WNB243" s="478"/>
      <c r="WNC243" s="478"/>
      <c r="WND243" s="478"/>
      <c r="WNE243" s="478"/>
      <c r="WNF243" s="478"/>
      <c r="WNG243" s="478"/>
      <c r="WNH243" s="478"/>
      <c r="WNI243" s="478"/>
      <c r="WNJ243" s="478"/>
      <c r="WNK243" s="478"/>
      <c r="WNL243" s="478"/>
      <c r="WNM243" s="478"/>
      <c r="WNN243" s="478"/>
      <c r="WNO243" s="478"/>
      <c r="WNP243" s="478"/>
      <c r="WNQ243" s="478"/>
      <c r="WNR243" s="478"/>
      <c r="WNS243" s="478"/>
      <c r="WNT243" s="478"/>
      <c r="WNU243" s="478"/>
      <c r="WNV243" s="478"/>
      <c r="WNW243" s="478"/>
      <c r="WNX243" s="478"/>
      <c r="WNY243" s="478"/>
      <c r="WNZ243" s="478"/>
      <c r="WOA243" s="478"/>
      <c r="WOB243" s="478"/>
      <c r="WOC243" s="478"/>
      <c r="WOD243" s="478"/>
      <c r="WOE243" s="478"/>
      <c r="WOF243" s="478"/>
      <c r="WOG243" s="478"/>
      <c r="WOH243" s="478"/>
      <c r="WOI243" s="478"/>
      <c r="WOJ243" s="478"/>
      <c r="WOK243" s="478"/>
      <c r="WOL243" s="478"/>
      <c r="WOM243" s="478"/>
      <c r="WON243" s="478"/>
      <c r="WOO243" s="478"/>
      <c r="WOP243" s="478"/>
      <c r="WOQ243" s="478"/>
      <c r="WOR243" s="478"/>
      <c r="WOS243" s="478"/>
      <c r="WOT243" s="478"/>
      <c r="WOU243" s="478"/>
      <c r="WOV243" s="478"/>
      <c r="WOW243" s="478"/>
      <c r="WOX243" s="478"/>
      <c r="WOY243" s="478"/>
      <c r="WOZ243" s="478"/>
      <c r="WPA243" s="478"/>
      <c r="WPB243" s="478"/>
      <c r="WPC243" s="478"/>
      <c r="WPD243" s="478"/>
      <c r="WPE243" s="478"/>
      <c r="WPF243" s="478"/>
      <c r="WPG243" s="478"/>
      <c r="WPH243" s="478"/>
      <c r="WPI243" s="478"/>
      <c r="WPJ243" s="478"/>
      <c r="WPK243" s="478"/>
      <c r="WPL243" s="478"/>
      <c r="WPM243" s="478"/>
      <c r="WPN243" s="478"/>
      <c r="WPO243" s="478"/>
      <c r="WPP243" s="478"/>
      <c r="WPQ243" s="478"/>
      <c r="WPR243" s="478"/>
      <c r="WPS243" s="478"/>
      <c r="WPT243" s="478"/>
      <c r="WPU243" s="478"/>
      <c r="WPV243" s="478"/>
      <c r="WPW243" s="478"/>
      <c r="WPX243" s="478"/>
      <c r="WPY243" s="478"/>
      <c r="WPZ243" s="478"/>
      <c r="WQA243" s="478"/>
      <c r="WQB243" s="478"/>
      <c r="WQC243" s="478"/>
      <c r="WQD243" s="478"/>
      <c r="WQE243" s="478"/>
      <c r="WQF243" s="478"/>
      <c r="WQG243" s="478"/>
      <c r="WQH243" s="478"/>
      <c r="WQI243" s="478"/>
      <c r="WQJ243" s="478"/>
      <c r="WQK243" s="478"/>
      <c r="WQL243" s="478"/>
      <c r="WQM243" s="478"/>
      <c r="WQN243" s="478"/>
      <c r="WQO243" s="478"/>
      <c r="WQP243" s="478"/>
      <c r="WQQ243" s="478"/>
      <c r="WQR243" s="478"/>
      <c r="WQS243" s="478"/>
      <c r="WQT243" s="478"/>
      <c r="WQU243" s="478"/>
      <c r="WQV243" s="478"/>
      <c r="WQW243" s="478"/>
      <c r="WQX243" s="478"/>
      <c r="WQY243" s="478"/>
      <c r="WQZ243" s="478"/>
      <c r="WRA243" s="478"/>
      <c r="WRB243" s="478"/>
      <c r="WRC243" s="478"/>
      <c r="WRD243" s="478"/>
      <c r="WRE243" s="478"/>
      <c r="WRF243" s="478"/>
      <c r="WRG243" s="478"/>
      <c r="WRH243" s="478"/>
      <c r="WRI243" s="478"/>
      <c r="WRJ243" s="478"/>
      <c r="WRK243" s="478"/>
      <c r="WRL243" s="478"/>
      <c r="WRM243" s="478"/>
      <c r="WRN243" s="478"/>
      <c r="WRO243" s="478"/>
      <c r="WRP243" s="478"/>
      <c r="WRQ243" s="478"/>
      <c r="WRR243" s="478"/>
      <c r="WRS243" s="478"/>
      <c r="WRT243" s="478"/>
      <c r="WRU243" s="478"/>
      <c r="WRV243" s="478"/>
      <c r="WRW243" s="478"/>
      <c r="WRX243" s="478"/>
      <c r="WRY243" s="478"/>
      <c r="WRZ243" s="478"/>
      <c r="WSA243" s="478"/>
      <c r="WSB243" s="478"/>
      <c r="WSC243" s="478"/>
      <c r="WSD243" s="478"/>
      <c r="WSE243" s="478"/>
      <c r="WSF243" s="478"/>
      <c r="WSG243" s="478"/>
      <c r="WSH243" s="478"/>
      <c r="WSI243" s="478"/>
      <c r="WSJ243" s="478"/>
      <c r="WSK243" s="478"/>
      <c r="WSL243" s="478"/>
      <c r="WSM243" s="478"/>
      <c r="WSN243" s="478"/>
      <c r="WSO243" s="478"/>
      <c r="WSP243" s="478"/>
      <c r="WSQ243" s="478"/>
      <c r="WSR243" s="478"/>
      <c r="WSS243" s="478"/>
      <c r="WST243" s="478"/>
      <c r="WSU243" s="478"/>
      <c r="WSV243" s="478"/>
      <c r="WSW243" s="478"/>
      <c r="WSX243" s="478"/>
      <c r="WSY243" s="478"/>
      <c r="WSZ243" s="478"/>
      <c r="WTA243" s="478"/>
      <c r="WTB243" s="478"/>
      <c r="WTC243" s="478"/>
      <c r="WTD243" s="478"/>
      <c r="WTE243" s="478"/>
      <c r="WTF243" s="478"/>
      <c r="WTG243" s="478"/>
      <c r="WTH243" s="478"/>
      <c r="WTI243" s="478"/>
      <c r="WTJ243" s="478"/>
      <c r="WTK243" s="478"/>
      <c r="WTL243" s="478"/>
      <c r="WTM243" s="478"/>
      <c r="WTN243" s="478"/>
      <c r="WTO243" s="478"/>
      <c r="WTP243" s="478"/>
      <c r="WTQ243" s="478"/>
      <c r="WTR243" s="478"/>
      <c r="WTS243" s="478"/>
      <c r="WTT243" s="478"/>
      <c r="WTU243" s="478"/>
      <c r="WTV243" s="478"/>
      <c r="WTW243" s="478"/>
      <c r="WTX243" s="478"/>
      <c r="WTY243" s="478"/>
      <c r="WTZ243" s="478"/>
      <c r="WUA243" s="478"/>
      <c r="WUB243" s="478"/>
      <c r="WUC243" s="478"/>
      <c r="WUD243" s="478"/>
      <c r="WUE243" s="478"/>
      <c r="WUF243" s="478"/>
      <c r="WUG243" s="478"/>
      <c r="WUH243" s="478"/>
      <c r="WUI243" s="478"/>
      <c r="WUJ243" s="478"/>
      <c r="WUK243" s="478"/>
      <c r="WUL243" s="478"/>
      <c r="WUM243" s="478"/>
      <c r="WUN243" s="478"/>
      <c r="WUO243" s="478"/>
      <c r="WUP243" s="478"/>
      <c r="WUQ243" s="478"/>
      <c r="WUR243" s="478"/>
      <c r="WUS243" s="478"/>
      <c r="WUT243" s="478"/>
      <c r="WUU243" s="478"/>
      <c r="WUV243" s="478"/>
      <c r="WUW243" s="478"/>
      <c r="WUX243" s="478"/>
      <c r="WUY243" s="478"/>
      <c r="WUZ243" s="478"/>
      <c r="WVA243" s="478"/>
      <c r="WVB243" s="478"/>
      <c r="WVC243" s="478"/>
      <c r="WVD243" s="478"/>
      <c r="WVE243" s="478"/>
      <c r="WVF243" s="478"/>
      <c r="WVG243" s="478"/>
      <c r="WVH243" s="478"/>
      <c r="WVI243" s="478"/>
      <c r="WVJ243" s="478"/>
      <c r="WVK243" s="478"/>
      <c r="WVL243" s="478"/>
      <c r="WVM243" s="478"/>
      <c r="WVN243" s="478"/>
      <c r="WVO243" s="478"/>
      <c r="WVP243" s="478"/>
      <c r="WVQ243" s="478"/>
      <c r="WVR243" s="478"/>
      <c r="WVS243" s="478"/>
      <c r="WVT243" s="478"/>
      <c r="WVU243" s="478"/>
      <c r="WVV243" s="478"/>
      <c r="WVW243" s="478"/>
      <c r="WVX243" s="478"/>
      <c r="WVY243" s="478"/>
      <c r="WVZ243" s="478"/>
      <c r="WWA243" s="478"/>
      <c r="WWB243" s="478"/>
      <c r="WWC243" s="478"/>
      <c r="WWD243" s="478"/>
      <c r="WWE243" s="478"/>
      <c r="WWF243" s="478"/>
      <c r="WWG243" s="478"/>
      <c r="WWH243" s="478"/>
      <c r="WWI243" s="478"/>
      <c r="WWJ243" s="478"/>
      <c r="WWK243" s="478"/>
      <c r="WWL243" s="478"/>
      <c r="WWM243" s="478"/>
      <c r="WWN243" s="478"/>
      <c r="WWO243" s="478"/>
      <c r="WWP243" s="478"/>
      <c r="WWQ243" s="478"/>
      <c r="WWR243" s="478"/>
      <c r="WWS243" s="478"/>
      <c r="WWT243" s="478"/>
      <c r="WWU243" s="478"/>
      <c r="WWV243" s="478"/>
      <c r="WWW243" s="478"/>
      <c r="WWX243" s="478"/>
      <c r="WWY243" s="478"/>
      <c r="WWZ243" s="478"/>
      <c r="WXA243" s="478"/>
      <c r="WXB243" s="478"/>
      <c r="WXC243" s="478"/>
      <c r="WXD243" s="478"/>
      <c r="WXE243" s="478"/>
      <c r="WXF243" s="478"/>
      <c r="WXG243" s="478"/>
      <c r="WXH243" s="478"/>
      <c r="WXI243" s="478"/>
      <c r="WXJ243" s="478"/>
      <c r="WXK243" s="478"/>
      <c r="WXL243" s="478"/>
      <c r="WXM243" s="478"/>
      <c r="WXN243" s="478"/>
      <c r="WXO243" s="478"/>
      <c r="WXP243" s="478"/>
      <c r="WXQ243" s="478"/>
      <c r="WXR243" s="478"/>
      <c r="WXS243" s="478"/>
      <c r="WXT243" s="478"/>
      <c r="WXU243" s="478"/>
      <c r="WXV243" s="478"/>
      <c r="WXW243" s="478"/>
      <c r="WXX243" s="478"/>
      <c r="WXY243" s="478"/>
      <c r="WXZ243" s="478"/>
      <c r="WYA243" s="478"/>
      <c r="WYB243" s="478"/>
      <c r="WYC243" s="478"/>
      <c r="WYD243" s="478"/>
      <c r="WYE243" s="478"/>
      <c r="WYF243" s="478"/>
      <c r="WYG243" s="478"/>
      <c r="WYH243" s="478"/>
      <c r="WYI243" s="478"/>
      <c r="WYJ243" s="478"/>
      <c r="WYK243" s="478"/>
      <c r="WYL243" s="478"/>
      <c r="WYM243" s="478"/>
      <c r="WYN243" s="478"/>
      <c r="WYO243" s="478"/>
      <c r="WYP243" s="478"/>
      <c r="WYQ243" s="478"/>
      <c r="WYR243" s="478"/>
      <c r="WYS243" s="478"/>
      <c r="WYT243" s="478"/>
      <c r="WYU243" s="478"/>
      <c r="WYV243" s="478"/>
      <c r="WYW243" s="478"/>
      <c r="WYX243" s="478"/>
      <c r="WYY243" s="478"/>
      <c r="WYZ243" s="478"/>
      <c r="WZA243" s="478"/>
      <c r="WZB243" s="478"/>
      <c r="WZC243" s="478"/>
      <c r="WZD243" s="478"/>
      <c r="WZE243" s="478"/>
      <c r="WZF243" s="478"/>
      <c r="WZG243" s="478"/>
      <c r="WZH243" s="478"/>
      <c r="WZI243" s="478"/>
      <c r="WZJ243" s="478"/>
      <c r="WZK243" s="478"/>
      <c r="WZL243" s="478"/>
      <c r="WZM243" s="478"/>
      <c r="WZN243" s="478"/>
      <c r="WZO243" s="478"/>
      <c r="WZP243" s="478"/>
      <c r="WZQ243" s="478"/>
      <c r="WZR243" s="478"/>
      <c r="WZS243" s="478"/>
      <c r="WZT243" s="478"/>
      <c r="WZU243" s="478"/>
      <c r="WZV243" s="478"/>
      <c r="WZW243" s="478"/>
      <c r="WZX243" s="478"/>
      <c r="WZY243" s="478"/>
      <c r="WZZ243" s="478"/>
      <c r="XAA243" s="478"/>
      <c r="XAB243" s="478"/>
      <c r="XAC243" s="478"/>
      <c r="XAD243" s="478"/>
      <c r="XAE243" s="478"/>
      <c r="XAF243" s="478"/>
      <c r="XAG243" s="478"/>
      <c r="XAH243" s="478"/>
      <c r="XAI243" s="478"/>
      <c r="XAJ243" s="478"/>
      <c r="XAK243" s="478"/>
      <c r="XAL243" s="478"/>
      <c r="XAM243" s="478"/>
      <c r="XAN243" s="478"/>
      <c r="XAO243" s="478"/>
      <c r="XAP243" s="478"/>
      <c r="XAQ243" s="478"/>
      <c r="XAR243" s="478"/>
      <c r="XAS243" s="478"/>
      <c r="XAT243" s="478"/>
      <c r="XAU243" s="478"/>
      <c r="XAV243" s="478"/>
      <c r="XAW243" s="478"/>
      <c r="XAX243" s="478"/>
      <c r="XAY243" s="478"/>
      <c r="XAZ243" s="478"/>
      <c r="XBA243" s="478"/>
      <c r="XBB243" s="478"/>
      <c r="XBC243" s="478"/>
      <c r="XBD243" s="478"/>
      <c r="XBE243" s="478"/>
      <c r="XBF243" s="478"/>
      <c r="XBG243" s="478"/>
      <c r="XBH243" s="478"/>
      <c r="XBI243" s="478"/>
      <c r="XBJ243" s="478"/>
      <c r="XBK243" s="478"/>
      <c r="XBL243" s="478"/>
      <c r="XBM243" s="478"/>
      <c r="XBN243" s="478"/>
      <c r="XBO243" s="478"/>
      <c r="XBP243" s="478"/>
      <c r="XBQ243" s="478"/>
      <c r="XBR243" s="478"/>
      <c r="XBS243" s="478"/>
      <c r="XBT243" s="478"/>
      <c r="XBU243" s="478"/>
      <c r="XBV243" s="478"/>
      <c r="XBW243" s="478"/>
      <c r="XBX243" s="478"/>
      <c r="XBY243" s="478"/>
      <c r="XBZ243" s="478"/>
      <c r="XCA243" s="478"/>
      <c r="XCB243" s="478"/>
      <c r="XCC243" s="478"/>
      <c r="XCD243" s="478"/>
      <c r="XCE243" s="478"/>
      <c r="XCF243" s="478"/>
      <c r="XCG243" s="478"/>
      <c r="XCH243" s="478"/>
      <c r="XCI243" s="478"/>
      <c r="XCJ243" s="478"/>
      <c r="XCK243" s="478"/>
      <c r="XCL243" s="478"/>
      <c r="XCM243" s="478"/>
      <c r="XCN243" s="478"/>
      <c r="XCO243" s="478"/>
      <c r="XCP243" s="478"/>
      <c r="XCQ243" s="478"/>
      <c r="XCR243" s="478"/>
      <c r="XCS243" s="478"/>
      <c r="XCT243" s="478"/>
      <c r="XCU243" s="478"/>
      <c r="XCV243" s="478"/>
      <c r="XCW243" s="478"/>
      <c r="XCX243" s="478"/>
      <c r="XCY243" s="478"/>
      <c r="XCZ243" s="478"/>
      <c r="XDA243" s="478"/>
      <c r="XDB243" s="478"/>
      <c r="XDC243" s="478"/>
      <c r="XDD243" s="478"/>
      <c r="XDE243" s="478"/>
      <c r="XDF243" s="478"/>
      <c r="XDG243" s="478"/>
      <c r="XDH243" s="478"/>
      <c r="XDI243" s="478"/>
      <c r="XDJ243" s="478"/>
      <c r="XDK243" s="478"/>
      <c r="XDL243" s="478"/>
      <c r="XDM243" s="478"/>
      <c r="XDN243" s="478"/>
      <c r="XDO243" s="478"/>
      <c r="XDP243" s="478"/>
      <c r="XDQ243" s="478"/>
      <c r="XDR243" s="478"/>
      <c r="XDS243" s="478"/>
      <c r="XDT243" s="478"/>
      <c r="XDU243" s="478"/>
      <c r="XDV243" s="478"/>
      <c r="XDW243" s="478"/>
      <c r="XDX243" s="478"/>
      <c r="XDY243" s="478"/>
      <c r="XDZ243" s="478"/>
      <c r="XEA243" s="478"/>
      <c r="XEB243" s="478"/>
      <c r="XEC243" s="478"/>
      <c r="XED243" s="478"/>
      <c r="XEE243" s="478"/>
      <c r="XEF243" s="478"/>
      <c r="XEG243" s="478"/>
      <c r="XEH243" s="478"/>
      <c r="XEI243" s="478"/>
      <c r="XEJ243" s="478"/>
      <c r="XEK243" s="478"/>
      <c r="XEL243" s="478"/>
      <c r="XEM243" s="478"/>
      <c r="XEN243" s="478"/>
      <c r="XEO243" s="478"/>
      <c r="XEP243" s="478"/>
      <c r="XEQ243" s="478"/>
    </row>
    <row r="244" spans="1:16371">
      <c r="A244" s="1487"/>
      <c r="B244" s="1488"/>
      <c r="C244" s="1437"/>
      <c r="D244" s="1499" t="s">
        <v>193</v>
      </c>
      <c r="E244" s="1489"/>
      <c r="F244" s="1489"/>
      <c r="G244" s="1489"/>
      <c r="H244" s="1489"/>
      <c r="I244" s="1490"/>
      <c r="J244" s="1489"/>
      <c r="K244" s="1489"/>
      <c r="L244" s="1489"/>
      <c r="M244" s="1489"/>
      <c r="N244" s="1489"/>
      <c r="O244" s="1457"/>
      <c r="P244" s="1489"/>
      <c r="Q244" s="1489"/>
      <c r="R244" s="1489"/>
      <c r="S244" s="1489"/>
      <c r="T244" s="1508">
        <f>T229+T231-T242</f>
        <v>7527.9484615385009</v>
      </c>
      <c r="U244" s="1511">
        <f>T244/T242</f>
        <v>3.166789465379978E-2</v>
      </c>
      <c r="V244" s="506"/>
      <c r="W244" s="881"/>
    </row>
    <row r="245" spans="1:16371">
      <c r="A245" s="1487"/>
      <c r="B245" s="1488"/>
      <c r="C245" s="1499"/>
      <c r="D245" s="1489"/>
      <c r="E245" s="1489"/>
      <c r="F245" s="1489"/>
      <c r="G245" s="1489"/>
      <c r="H245" s="1489"/>
      <c r="I245" s="1490"/>
      <c r="J245" s="1489"/>
      <c r="K245" s="1489"/>
      <c r="L245" s="1489"/>
      <c r="M245" s="1489"/>
      <c r="N245" s="1489"/>
      <c r="O245" s="1457"/>
      <c r="P245" s="1489"/>
      <c r="Q245" s="1489"/>
      <c r="R245" s="1489"/>
      <c r="S245" s="1489"/>
      <c r="T245" s="1543"/>
      <c r="U245" s="1491"/>
      <c r="V245" s="506"/>
      <c r="W245" s="881"/>
    </row>
    <row r="246" spans="1:16371">
      <c r="A246" s="1513"/>
      <c r="B246" s="1514"/>
      <c r="C246" s="1497" t="s">
        <v>1105</v>
      </c>
      <c r="D246" s="1515"/>
      <c r="E246" s="1515"/>
      <c r="F246" s="1515"/>
      <c r="G246" s="1515"/>
      <c r="H246" s="1515"/>
      <c r="I246" s="1516"/>
      <c r="J246" s="1515"/>
      <c r="K246" s="1515"/>
      <c r="L246" s="1515"/>
      <c r="M246" s="1515"/>
      <c r="N246" s="1515"/>
      <c r="O246" s="1517"/>
      <c r="P246" s="1515"/>
      <c r="Q246" s="1515"/>
      <c r="R246" s="1515"/>
      <c r="S246" s="1515"/>
      <c r="T246" s="1498">
        <f>+M162</f>
        <v>629915.6424060039</v>
      </c>
      <c r="U246" s="1491"/>
      <c r="V246" s="506"/>
      <c r="W246" s="881"/>
    </row>
    <row r="247" spans="1:16371">
      <c r="A247" s="1487"/>
      <c r="B247" s="1488"/>
      <c r="C247" s="1519"/>
      <c r="D247" s="1489"/>
      <c r="E247" s="1489"/>
      <c r="F247" s="1489"/>
      <c r="G247" s="1489"/>
      <c r="H247" s="1489"/>
      <c r="I247" s="1490"/>
      <c r="J247" s="1489"/>
      <c r="K247" s="1489"/>
      <c r="L247" s="1489"/>
      <c r="M247" s="1489"/>
      <c r="N247" s="1489"/>
      <c r="O247" s="1457"/>
      <c r="P247" s="1489"/>
      <c r="Q247" s="1489"/>
      <c r="R247" s="1489"/>
      <c r="S247" s="1489"/>
      <c r="T247" s="1489"/>
      <c r="U247" s="1491"/>
      <c r="V247" s="506"/>
      <c r="W247" s="881"/>
    </row>
    <row r="248" spans="1:16371">
      <c r="A248" s="1487"/>
      <c r="B248" s="1488"/>
      <c r="C248" s="1437"/>
      <c r="D248" s="1499" t="s">
        <v>1106</v>
      </c>
      <c r="E248" s="1489"/>
      <c r="F248" s="1489"/>
      <c r="G248" s="1489"/>
      <c r="H248" s="1489"/>
      <c r="I248" s="1490"/>
      <c r="J248" s="1489"/>
      <c r="K248" s="1489"/>
      <c r="L248" s="1489"/>
      <c r="M248" s="1489"/>
      <c r="N248" s="1489"/>
      <c r="O248" s="1457"/>
      <c r="P248" s="1489"/>
      <c r="Q248" s="1489"/>
      <c r="R248" s="1489"/>
      <c r="S248" s="1489"/>
      <c r="T248" s="1500">
        <f>+'[68]G&amp;A JE Query'!D1205</f>
        <v>209099.13999999996</v>
      </c>
      <c r="U248" s="1491"/>
      <c r="V248" s="506"/>
      <c r="W248" s="881"/>
    </row>
    <row r="249" spans="1:16371">
      <c r="A249" s="1487"/>
      <c r="B249" s="1488"/>
      <c r="C249" s="1437"/>
      <c r="D249" s="1520" t="s">
        <v>1107</v>
      </c>
      <c r="E249" s="1489"/>
      <c r="F249" s="1489"/>
      <c r="G249" s="1489"/>
      <c r="H249" s="1489"/>
      <c r="I249" s="1490"/>
      <c r="J249" s="1489"/>
      <c r="K249" s="1489"/>
      <c r="L249" s="1489"/>
      <c r="M249" s="1489"/>
      <c r="N249" s="1489"/>
      <c r="O249" s="1457"/>
      <c r="P249" s="1489"/>
      <c r="Q249" s="1489"/>
      <c r="R249" s="1489"/>
      <c r="S249" s="1489"/>
      <c r="T249" s="1489"/>
      <c r="U249" s="1491"/>
      <c r="V249" s="506"/>
      <c r="W249" s="881"/>
    </row>
    <row r="250" spans="1:16371">
      <c r="A250" s="1487"/>
      <c r="B250" s="1488"/>
      <c r="C250" s="1499"/>
      <c r="D250" s="1499"/>
      <c r="E250" s="1489"/>
      <c r="F250" s="1489"/>
      <c r="G250" s="1489"/>
      <c r="H250" s="1489"/>
      <c r="I250" s="1490"/>
      <c r="J250" s="1489"/>
      <c r="K250" s="1489"/>
      <c r="L250" s="1489"/>
      <c r="M250" s="1489"/>
      <c r="N250" s="1489"/>
      <c r="O250" s="1457"/>
      <c r="P250" s="1489"/>
      <c r="Q250" s="1489"/>
      <c r="R250" s="1489"/>
      <c r="S250" s="1489"/>
      <c r="T250" s="1500"/>
      <c r="U250" s="1491"/>
      <c r="V250" s="506"/>
      <c r="W250" s="881"/>
    </row>
    <row r="251" spans="1:16371" s="477" customFormat="1">
      <c r="A251" s="1521"/>
      <c r="B251" s="1456"/>
      <c r="C251" s="1457"/>
      <c r="D251" s="1489"/>
      <c r="E251" s="1489"/>
      <c r="F251" s="1489"/>
      <c r="G251" s="1489"/>
      <c r="H251" s="1489"/>
      <c r="I251" s="1490"/>
      <c r="J251" s="1489"/>
      <c r="K251" s="1489"/>
      <c r="L251" s="1489"/>
      <c r="M251" s="1489"/>
      <c r="N251" s="1489"/>
      <c r="O251" s="1457"/>
      <c r="P251" s="1489"/>
      <c r="Q251" s="1489"/>
      <c r="R251" s="1489"/>
      <c r="S251" s="1489"/>
      <c r="T251" s="1501" t="s">
        <v>933</v>
      </c>
      <c r="U251" s="1522"/>
      <c r="V251" s="882"/>
      <c r="W251" s="883"/>
    </row>
    <row r="252" spans="1:16371">
      <c r="A252" s="1487"/>
      <c r="B252" s="1488"/>
      <c r="C252" s="1502">
        <v>70010</v>
      </c>
      <c r="D252" s="1499" t="s">
        <v>62</v>
      </c>
      <c r="E252" s="1489"/>
      <c r="F252" s="1489"/>
      <c r="G252" s="1489"/>
      <c r="H252" s="1489"/>
      <c r="I252" s="1490"/>
      <c r="J252" s="1489"/>
      <c r="K252" s="1489"/>
      <c r="L252" s="1489"/>
      <c r="M252" s="1489"/>
      <c r="N252" s="1489"/>
      <c r="O252" s="1457"/>
      <c r="P252" s="1489"/>
      <c r="Q252" s="1489"/>
      <c r="R252" s="1489"/>
      <c r="S252" s="1489"/>
      <c r="T252" s="1442">
        <f>+IFERROR(VLOOKUP($C252,'[68]2195 IS210'!$D:$AH,31,FALSE),0)</f>
        <v>489455.93999999994</v>
      </c>
      <c r="U252" s="1518">
        <f>+T252/T259</f>
        <v>0.57965057862625158</v>
      </c>
      <c r="V252" s="506"/>
      <c r="W252" s="881"/>
    </row>
    <row r="253" spans="1:16371">
      <c r="A253" s="1487"/>
      <c r="B253" s="1488"/>
      <c r="C253" s="1502">
        <v>70020</v>
      </c>
      <c r="D253" s="1502" t="s">
        <v>63</v>
      </c>
      <c r="E253" s="1489"/>
      <c r="F253" s="1489"/>
      <c r="G253" s="1489"/>
      <c r="H253" s="1489"/>
      <c r="I253" s="1490"/>
      <c r="J253" s="1489"/>
      <c r="K253" s="1489"/>
      <c r="L253" s="1489"/>
      <c r="M253" s="1489"/>
      <c r="N253" s="1489"/>
      <c r="O253" s="1457"/>
      <c r="P253" s="1489"/>
      <c r="Q253" s="1489"/>
      <c r="R253" s="1489"/>
      <c r="S253" s="1489"/>
      <c r="T253" s="1442">
        <f>+IFERROR(VLOOKUP($C253,'[68]2195 IS210'!$D:$AH,31,FALSE),0)</f>
        <v>306611.86</v>
      </c>
      <c r="U253" s="1491"/>
      <c r="V253" s="506"/>
      <c r="W253" s="881"/>
    </row>
    <row r="254" spans="1:16371">
      <c r="A254" s="1487"/>
      <c r="B254" s="1488"/>
      <c r="C254" s="1502">
        <v>70025</v>
      </c>
      <c r="D254" s="1502" t="s">
        <v>64</v>
      </c>
      <c r="E254" s="1489"/>
      <c r="F254" s="1489"/>
      <c r="G254" s="1489"/>
      <c r="H254" s="1489"/>
      <c r="I254" s="1490"/>
      <c r="J254" s="1489"/>
      <c r="K254" s="1489"/>
      <c r="L254" s="1489"/>
      <c r="M254" s="1489"/>
      <c r="N254" s="1489"/>
      <c r="O254" s="1457"/>
      <c r="P254" s="1489"/>
      <c r="Q254" s="1489"/>
      <c r="R254" s="1489"/>
      <c r="S254" s="1489"/>
      <c r="T254" s="1442">
        <f>+IFERROR(VLOOKUP($C254,'[68]2195 IS210'!$D:$AH,31,FALSE),0)</f>
        <v>6392</v>
      </c>
      <c r="U254" s="1491"/>
      <c r="V254" s="506"/>
      <c r="W254" s="881"/>
    </row>
    <row r="255" spans="1:16371">
      <c r="A255" s="1487"/>
      <c r="B255" s="1488"/>
      <c r="C255" s="1502">
        <v>70035</v>
      </c>
      <c r="D255" s="1502" t="s">
        <v>65</v>
      </c>
      <c r="E255" s="1489"/>
      <c r="F255" s="1489"/>
      <c r="G255" s="1489"/>
      <c r="H255" s="1489"/>
      <c r="I255" s="1490"/>
      <c r="J255" s="1489"/>
      <c r="K255" s="1489"/>
      <c r="L255" s="1489"/>
      <c r="M255" s="1489"/>
      <c r="N255" s="1489"/>
      <c r="O255" s="1457"/>
      <c r="P255" s="1489"/>
      <c r="Q255" s="1489"/>
      <c r="R255" s="1489"/>
      <c r="S255" s="1489"/>
      <c r="T255" s="1442">
        <f>+IFERROR(VLOOKUP($C255,'[68]2195 IS210'!$D:$AH,31,FALSE),0)</f>
        <v>0</v>
      </c>
      <c r="U255" s="1491"/>
      <c r="V255" s="506"/>
      <c r="W255" s="881"/>
    </row>
    <row r="256" spans="1:16371">
      <c r="A256" s="1487"/>
      <c r="B256" s="1488"/>
      <c r="C256" s="1502">
        <v>70036</v>
      </c>
      <c r="D256" s="1506" t="s">
        <v>1108</v>
      </c>
      <c r="E256" s="1489"/>
      <c r="F256" s="1489"/>
      <c r="G256" s="1489"/>
      <c r="H256" s="1489"/>
      <c r="I256" s="1490"/>
      <c r="J256" s="1489"/>
      <c r="K256" s="1489"/>
      <c r="L256" s="1489"/>
      <c r="M256" s="1489"/>
      <c r="N256" s="1489"/>
      <c r="O256" s="1457"/>
      <c r="P256" s="1489"/>
      <c r="Q256" s="1489"/>
      <c r="R256" s="1489"/>
      <c r="S256" s="1489"/>
      <c r="T256" s="1442">
        <f>+IFERROR(VLOOKUP($C256,'[68]2195 IS210'!$D:$AH,31,FALSE),0)</f>
        <v>22738.73</v>
      </c>
      <c r="U256" s="1491"/>
      <c r="V256" s="506"/>
      <c r="W256" s="881"/>
    </row>
    <row r="257" spans="1:23">
      <c r="A257" s="1487"/>
      <c r="B257" s="1488"/>
      <c r="C257" s="1502">
        <v>70065</v>
      </c>
      <c r="D257" s="1502" t="s">
        <v>70</v>
      </c>
      <c r="E257" s="1489"/>
      <c r="F257" s="1489"/>
      <c r="G257" s="1489"/>
      <c r="H257" s="1489"/>
      <c r="I257" s="1490"/>
      <c r="J257" s="1489"/>
      <c r="K257" s="1489"/>
      <c r="L257" s="1489"/>
      <c r="M257" s="1489"/>
      <c r="N257" s="1489"/>
      <c r="O257" s="1457"/>
      <c r="P257" s="1489"/>
      <c r="Q257" s="1489"/>
      <c r="R257" s="1489"/>
      <c r="S257" s="1489"/>
      <c r="T257" s="1442">
        <f>+IFERROR(VLOOKUP($C257,'[68]2195 IS210'!$D:$AH,31,FALSE),0)</f>
        <v>13216.27</v>
      </c>
      <c r="U257" s="1491"/>
      <c r="V257" s="506"/>
      <c r="W257" s="881"/>
    </row>
    <row r="258" spans="1:23">
      <c r="A258" s="1487"/>
      <c r="B258" s="1488"/>
      <c r="C258" s="1502">
        <v>70070</v>
      </c>
      <c r="D258" s="1502" t="s">
        <v>71</v>
      </c>
      <c r="E258" s="1489"/>
      <c r="F258" s="1489"/>
      <c r="G258" s="1489"/>
      <c r="H258" s="1489"/>
      <c r="I258" s="1490"/>
      <c r="J258" s="1489"/>
      <c r="K258" s="1489"/>
      <c r="L258" s="1489"/>
      <c r="M258" s="1489"/>
      <c r="N258" s="1489"/>
      <c r="O258" s="1457"/>
      <c r="P258" s="1489"/>
      <c r="Q258" s="1489"/>
      <c r="R258" s="1489"/>
      <c r="S258" s="1489"/>
      <c r="T258" s="1507">
        <f>+IFERROR(VLOOKUP($C258,'[68]2195 IS210'!$D:$AH,31,FALSE),0)</f>
        <v>5983.4600000000009</v>
      </c>
      <c r="U258" s="1491"/>
      <c r="V258" s="506"/>
      <c r="W258" s="881"/>
    </row>
    <row r="259" spans="1:23">
      <c r="A259" s="1487"/>
      <c r="B259" s="1488"/>
      <c r="C259" s="1437"/>
      <c r="D259" s="1437"/>
      <c r="E259" s="1489"/>
      <c r="F259" s="1489"/>
      <c r="G259" s="1489"/>
      <c r="H259" s="1489"/>
      <c r="I259" s="1490"/>
      <c r="J259" s="1489"/>
      <c r="K259" s="1489"/>
      <c r="L259" s="1489"/>
      <c r="M259" s="1489"/>
      <c r="N259" s="1489"/>
      <c r="O259" s="1457"/>
      <c r="P259" s="1489"/>
      <c r="Q259" s="1489"/>
      <c r="R259" s="1489"/>
      <c r="S259" s="1489"/>
      <c r="T259" s="1442">
        <f>SUM(T252:T258)</f>
        <v>844398.25999999989</v>
      </c>
      <c r="U259" s="1491"/>
      <c r="V259" s="506"/>
      <c r="W259" s="881"/>
    </row>
    <row r="260" spans="1:23">
      <c r="A260" s="1487"/>
      <c r="B260" s="1488"/>
      <c r="C260" s="1499"/>
      <c r="D260" s="1499"/>
      <c r="E260" s="1489"/>
      <c r="F260" s="1489"/>
      <c r="G260" s="1489"/>
      <c r="H260" s="1489"/>
      <c r="I260" s="1490"/>
      <c r="J260" s="1489"/>
      <c r="K260" s="1489"/>
      <c r="L260" s="1489"/>
      <c r="M260" s="1489"/>
      <c r="N260" s="1489"/>
      <c r="O260" s="1457"/>
      <c r="P260" s="1489"/>
      <c r="Q260" s="1489"/>
      <c r="R260" s="1489"/>
      <c r="S260" s="1489"/>
      <c r="T260" s="1489"/>
      <c r="U260" s="1491"/>
      <c r="V260" s="506"/>
      <c r="W260" s="881"/>
    </row>
    <row r="261" spans="1:23">
      <c r="A261" s="1487"/>
      <c r="B261" s="1488"/>
      <c r="C261" s="1437"/>
      <c r="D261" s="1499"/>
      <c r="E261" s="1489"/>
      <c r="F261" s="1489"/>
      <c r="G261" s="1489"/>
      <c r="H261" s="1489"/>
      <c r="I261" s="1490"/>
      <c r="J261" s="1489"/>
      <c r="K261" s="1489"/>
      <c r="L261" s="1489"/>
      <c r="M261" s="1489"/>
      <c r="N261" s="1489"/>
      <c r="O261" s="1457"/>
      <c r="P261" s="1489"/>
      <c r="Q261" s="1489"/>
      <c r="R261" s="1489"/>
      <c r="S261" s="1489"/>
      <c r="T261" s="1489"/>
      <c r="U261" s="1491"/>
      <c r="V261" s="506"/>
      <c r="W261" s="881"/>
    </row>
    <row r="262" spans="1:23">
      <c r="A262" s="1487"/>
      <c r="B262" s="1488"/>
      <c r="C262" s="1437"/>
      <c r="D262" s="1499" t="s">
        <v>193</v>
      </c>
      <c r="E262" s="1489"/>
      <c r="F262" s="1489"/>
      <c r="G262" s="1489"/>
      <c r="H262" s="1489"/>
      <c r="I262" s="1490"/>
      <c r="J262" s="1489"/>
      <c r="K262" s="1489"/>
      <c r="L262" s="1489"/>
      <c r="M262" s="1489"/>
      <c r="N262" s="1489"/>
      <c r="O262" s="1457"/>
      <c r="P262" s="1489"/>
      <c r="Q262" s="1489"/>
      <c r="R262" s="1489"/>
      <c r="S262" s="1489"/>
      <c r="T262" s="1500">
        <f>T246+T248-T259</f>
        <v>-5383.47759399598</v>
      </c>
      <c r="U262" s="1511">
        <f>T262/T259</f>
        <v>-6.3755195255802404E-3</v>
      </c>
      <c r="V262" s="506"/>
      <c r="W262" s="881"/>
    </row>
    <row r="263" spans="1:23">
      <c r="A263" s="1487"/>
      <c r="B263" s="1488"/>
      <c r="C263" s="1437"/>
      <c r="D263" s="1489"/>
      <c r="E263" s="1489"/>
      <c r="F263" s="1489"/>
      <c r="G263" s="1489"/>
      <c r="H263" s="1489"/>
      <c r="I263" s="1490"/>
      <c r="J263" s="1489"/>
      <c r="K263" s="1489"/>
      <c r="L263" s="1489"/>
      <c r="M263" s="1489"/>
      <c r="N263" s="1489"/>
      <c r="O263" s="1457"/>
      <c r="P263" s="1489"/>
      <c r="Q263" s="1489"/>
      <c r="R263" s="1489"/>
      <c r="S263" s="1489"/>
      <c r="T263" s="1543"/>
      <c r="U263" s="1491"/>
      <c r="V263" s="506"/>
      <c r="W263" s="881"/>
    </row>
    <row r="264" spans="1:23">
      <c r="A264" s="1487"/>
      <c r="B264" s="1488"/>
      <c r="C264" s="1437"/>
      <c r="D264" s="1437"/>
      <c r="E264" s="1437"/>
      <c r="F264" s="1437"/>
      <c r="G264" s="1437"/>
      <c r="H264" s="1437"/>
      <c r="I264" s="1438"/>
      <c r="J264" s="1437"/>
      <c r="K264" s="1437"/>
      <c r="L264" s="1437"/>
      <c r="M264" s="1437"/>
      <c r="N264" s="1437"/>
      <c r="O264" s="1457"/>
      <c r="P264" s="1437"/>
      <c r="Q264" s="1437"/>
      <c r="R264" s="1437"/>
      <c r="S264" s="1437"/>
      <c r="T264" s="1437"/>
      <c r="U264" s="1491"/>
      <c r="V264" s="506"/>
      <c r="W264" s="881"/>
    </row>
    <row r="265" spans="1:23">
      <c r="A265" s="1513"/>
      <c r="B265" s="1514"/>
      <c r="C265" s="1497" t="s">
        <v>1109</v>
      </c>
      <c r="D265" s="1515"/>
      <c r="E265" s="1515"/>
      <c r="F265" s="1515"/>
      <c r="G265" s="1515"/>
      <c r="H265" s="1515"/>
      <c r="I265" s="1516"/>
      <c r="J265" s="1515"/>
      <c r="K265" s="1515"/>
      <c r="L265" s="1515"/>
      <c r="M265" s="1515"/>
      <c r="N265" s="1515"/>
      <c r="O265" s="1517"/>
      <c r="P265" s="1515"/>
      <c r="Q265" s="1515"/>
      <c r="R265" s="1515"/>
      <c r="S265" s="1515"/>
      <c r="T265" s="1498">
        <f>+M143</f>
        <v>107806.31303402501</v>
      </c>
      <c r="U265" s="1491"/>
      <c r="V265" s="506"/>
      <c r="W265" s="881"/>
    </row>
    <row r="266" spans="1:23">
      <c r="A266" s="1487"/>
      <c r="B266" s="1488"/>
      <c r="C266" s="1437"/>
      <c r="D266" s="1437"/>
      <c r="E266" s="1437"/>
      <c r="F266" s="1437"/>
      <c r="G266" s="1437"/>
      <c r="H266" s="1437"/>
      <c r="I266" s="1438"/>
      <c r="J266" s="1437"/>
      <c r="K266" s="1437"/>
      <c r="L266" s="1437"/>
      <c r="M266" s="1437"/>
      <c r="N266" s="1437"/>
      <c r="O266" s="1457"/>
      <c r="P266" s="1437"/>
      <c r="Q266" s="1437"/>
      <c r="R266" s="1437"/>
      <c r="S266" s="1437"/>
      <c r="T266" s="1489"/>
      <c r="U266" s="1491"/>
      <c r="V266" s="506"/>
      <c r="W266" s="881"/>
    </row>
    <row r="267" spans="1:23">
      <c r="A267" s="1487"/>
      <c r="B267" s="1488"/>
      <c r="C267" s="1437"/>
      <c r="D267" s="1499" t="s">
        <v>1097</v>
      </c>
      <c r="E267" s="1437"/>
      <c r="F267" s="1437"/>
      <c r="G267" s="1437"/>
      <c r="H267" s="1437"/>
      <c r="I267" s="1438"/>
      <c r="J267" s="1437"/>
      <c r="K267" s="1437"/>
      <c r="L267" s="1437"/>
      <c r="M267" s="1437"/>
      <c r="N267" s="1437"/>
      <c r="O267" s="1457"/>
      <c r="P267" s="1437"/>
      <c r="Q267" s="1437"/>
      <c r="R267" s="1437"/>
      <c r="S267" s="1437"/>
      <c r="T267" s="1500">
        <f>+'[68]Cont JE Query'!D251</f>
        <v>1556.42</v>
      </c>
      <c r="U267" s="1491"/>
      <c r="V267" s="506"/>
      <c r="W267" s="881"/>
    </row>
    <row r="268" spans="1:23">
      <c r="A268" s="1487"/>
      <c r="B268" s="1488"/>
      <c r="C268" s="1437"/>
      <c r="D268" s="1499" t="s">
        <v>1100</v>
      </c>
      <c r="E268" s="1437"/>
      <c r="F268" s="1437"/>
      <c r="G268" s="1437"/>
      <c r="H268" s="1437"/>
      <c r="I268" s="1438"/>
      <c r="J268" s="1437"/>
      <c r="K268" s="1437"/>
      <c r="L268" s="1437"/>
      <c r="M268" s="1437"/>
      <c r="N268" s="1437"/>
      <c r="O268" s="1457"/>
      <c r="P268" s="1437"/>
      <c r="Q268" s="1437"/>
      <c r="R268" s="1437"/>
      <c r="S268" s="1437"/>
      <c r="T268" s="1489"/>
      <c r="U268" s="1491"/>
      <c r="V268" s="506"/>
      <c r="W268" s="881"/>
    </row>
    <row r="269" spans="1:23">
      <c r="A269" s="1487"/>
      <c r="B269" s="1488"/>
      <c r="C269" s="1437"/>
      <c r="D269" s="1499"/>
      <c r="E269" s="1437"/>
      <c r="F269" s="1437"/>
      <c r="G269" s="1437"/>
      <c r="H269" s="1437"/>
      <c r="I269" s="1438"/>
      <c r="J269" s="1437"/>
      <c r="K269" s="1437"/>
      <c r="L269" s="1437"/>
      <c r="M269" s="1437"/>
      <c r="N269" s="1437"/>
      <c r="O269" s="1457"/>
      <c r="P269" s="1437"/>
      <c r="Q269" s="1437"/>
      <c r="R269" s="1437"/>
      <c r="S269" s="1437"/>
      <c r="T269" s="1500"/>
      <c r="U269" s="1491"/>
      <c r="V269" s="506"/>
      <c r="W269" s="881"/>
    </row>
    <row r="270" spans="1:23">
      <c r="A270" s="1487"/>
      <c r="B270" s="1488"/>
      <c r="C270" s="1437"/>
      <c r="D270" s="1437"/>
      <c r="E270" s="1437"/>
      <c r="F270" s="1437"/>
      <c r="G270" s="1437"/>
      <c r="H270" s="1437"/>
      <c r="I270" s="1438"/>
      <c r="J270" s="1437"/>
      <c r="K270" s="1437"/>
      <c r="L270" s="1437"/>
      <c r="M270" s="1437"/>
      <c r="N270" s="1437"/>
      <c r="O270" s="1457"/>
      <c r="P270" s="1437"/>
      <c r="Q270" s="1437"/>
      <c r="R270" s="1437"/>
      <c r="S270" s="1437"/>
      <c r="T270" s="1500"/>
      <c r="U270" s="1491"/>
      <c r="V270" s="506"/>
      <c r="W270" s="881"/>
    </row>
    <row r="271" spans="1:23">
      <c r="A271" s="1487"/>
      <c r="B271" s="1488"/>
      <c r="C271" s="1502"/>
      <c r="D271" s="1502"/>
      <c r="E271" s="1437"/>
      <c r="F271" s="1437"/>
      <c r="G271" s="1437"/>
      <c r="H271" s="1437"/>
      <c r="I271" s="1438"/>
      <c r="J271" s="1437"/>
      <c r="K271" s="1437"/>
      <c r="L271" s="1437"/>
      <c r="M271" s="1437"/>
      <c r="N271" s="1437"/>
      <c r="O271" s="1457"/>
      <c r="P271" s="1437"/>
      <c r="Q271" s="1437"/>
      <c r="R271" s="1437"/>
      <c r="S271" s="1437"/>
      <c r="T271" s="1501" t="s">
        <v>933</v>
      </c>
      <c r="U271" s="1491"/>
      <c r="V271" s="506"/>
      <c r="W271" s="881"/>
    </row>
    <row r="272" spans="1:23">
      <c r="A272" s="1487"/>
      <c r="B272" s="1488"/>
      <c r="C272" s="1502">
        <v>55020</v>
      </c>
      <c r="D272" s="1502" t="s">
        <v>63</v>
      </c>
      <c r="E272" s="1437"/>
      <c r="F272" s="1437"/>
      <c r="G272" s="1437"/>
      <c r="H272" s="1437"/>
      <c r="I272" s="1438"/>
      <c r="J272" s="1437"/>
      <c r="K272" s="1437"/>
      <c r="L272" s="1437"/>
      <c r="M272" s="1437"/>
      <c r="N272" s="1437"/>
      <c r="O272" s="1457"/>
      <c r="P272" s="1437"/>
      <c r="Q272" s="1437"/>
      <c r="R272" s="1437"/>
      <c r="S272" s="1437"/>
      <c r="T272" s="1442">
        <f>+IFERROR(VLOOKUP($C272,'[68]2195 IS210'!$D:$AH,31,FALSE),0)</f>
        <v>88472.909999999989</v>
      </c>
      <c r="U272" s="1491"/>
      <c r="V272" s="506"/>
      <c r="W272" s="881"/>
    </row>
    <row r="273" spans="1:23">
      <c r="A273" s="1487"/>
      <c r="B273" s="1488"/>
      <c r="C273" s="1502">
        <v>55025</v>
      </c>
      <c r="D273" s="1502" t="s">
        <v>64</v>
      </c>
      <c r="E273" s="1437"/>
      <c r="F273" s="1437"/>
      <c r="G273" s="1437"/>
      <c r="H273" s="1437"/>
      <c r="I273" s="1438"/>
      <c r="J273" s="1437"/>
      <c r="K273" s="1437"/>
      <c r="L273" s="1437"/>
      <c r="M273" s="1437"/>
      <c r="N273" s="1437"/>
      <c r="O273" s="1457"/>
      <c r="P273" s="1437"/>
      <c r="Q273" s="1437"/>
      <c r="R273" s="1437"/>
      <c r="S273" s="1437"/>
      <c r="T273" s="1442">
        <f>+IFERROR(VLOOKUP($C273,'[68]2195 IS210'!$D:$AH,31,FALSE),0)</f>
        <v>3754.0999999999995</v>
      </c>
      <c r="U273" s="1491"/>
      <c r="V273" s="506"/>
      <c r="W273" s="881"/>
    </row>
    <row r="274" spans="1:23">
      <c r="A274" s="1487"/>
      <c r="B274" s="1488"/>
      <c r="C274" s="1502">
        <v>55035</v>
      </c>
      <c r="D274" s="1506" t="s">
        <v>65</v>
      </c>
      <c r="E274" s="1437"/>
      <c r="F274" s="1437"/>
      <c r="G274" s="1437"/>
      <c r="H274" s="1437"/>
      <c r="I274" s="1438"/>
      <c r="J274" s="1437"/>
      <c r="K274" s="1437"/>
      <c r="L274" s="1437"/>
      <c r="M274" s="1437"/>
      <c r="N274" s="1437"/>
      <c r="O274" s="1457"/>
      <c r="P274" s="1437"/>
      <c r="Q274" s="1437"/>
      <c r="R274" s="1437"/>
      <c r="S274" s="1437"/>
      <c r="T274" s="1442">
        <f>+IFERROR(VLOOKUP($C274,'[68]2195 IS210'!$D:$AH,31,FALSE),0)</f>
        <v>2468.96</v>
      </c>
      <c r="U274" s="1491"/>
      <c r="V274" s="506"/>
      <c r="W274" s="881"/>
    </row>
    <row r="275" spans="1:23">
      <c r="A275" s="1487"/>
      <c r="B275" s="1488"/>
      <c r="C275" s="1502">
        <v>55036</v>
      </c>
      <c r="D275" s="1506" t="s">
        <v>1098</v>
      </c>
      <c r="E275" s="1437"/>
      <c r="F275" s="1437"/>
      <c r="G275" s="1437"/>
      <c r="H275" s="1437"/>
      <c r="I275" s="1438"/>
      <c r="J275" s="1437"/>
      <c r="K275" s="1437"/>
      <c r="L275" s="1437"/>
      <c r="M275" s="1437"/>
      <c r="N275" s="1437"/>
      <c r="O275" s="1457"/>
      <c r="P275" s="1437"/>
      <c r="Q275" s="1437"/>
      <c r="R275" s="1437"/>
      <c r="S275" s="1437"/>
      <c r="T275" s="1442">
        <f>+IFERROR(VLOOKUP($C275,'[68]2195 IS210'!$D:$AH,31,FALSE),0)</f>
        <v>534.37</v>
      </c>
      <c r="U275" s="1491"/>
      <c r="V275" s="506"/>
      <c r="W275" s="881"/>
    </row>
    <row r="276" spans="1:23">
      <c r="A276" s="1487"/>
      <c r="B276" s="1488"/>
      <c r="C276" s="1502">
        <v>55065</v>
      </c>
      <c r="D276" s="1502" t="s">
        <v>70</v>
      </c>
      <c r="E276" s="1489"/>
      <c r="F276" s="1489"/>
      <c r="G276" s="1489"/>
      <c r="H276" s="1489"/>
      <c r="I276" s="1490"/>
      <c r="J276" s="1489"/>
      <c r="K276" s="1489"/>
      <c r="L276" s="1489"/>
      <c r="M276" s="1489"/>
      <c r="N276" s="1489"/>
      <c r="O276" s="1457"/>
      <c r="P276" s="1489"/>
      <c r="Q276" s="1489"/>
      <c r="R276" s="1489"/>
      <c r="S276" s="1489"/>
      <c r="T276" s="1442">
        <f>+IFERROR(VLOOKUP($C276,'[68]2195 IS210'!$D:$AH,31,FALSE),0)</f>
        <v>5023.1100000000006</v>
      </c>
      <c r="U276" s="1491"/>
      <c r="V276" s="506"/>
      <c r="W276" s="881"/>
    </row>
    <row r="277" spans="1:23">
      <c r="A277" s="1487"/>
      <c r="B277" s="1488"/>
      <c r="C277" s="1502">
        <v>55070</v>
      </c>
      <c r="D277" s="1502" t="s">
        <v>71</v>
      </c>
      <c r="E277" s="1489"/>
      <c r="F277" s="1489"/>
      <c r="G277" s="1489"/>
      <c r="H277" s="1489"/>
      <c r="I277" s="1490"/>
      <c r="J277" s="1489"/>
      <c r="K277" s="1489"/>
      <c r="L277" s="1489"/>
      <c r="M277" s="1489"/>
      <c r="N277" s="1489"/>
      <c r="O277" s="1457"/>
      <c r="P277" s="1489"/>
      <c r="Q277" s="1489"/>
      <c r="R277" s="1489"/>
      <c r="S277" s="1489"/>
      <c r="T277" s="1507">
        <f>+IFERROR(VLOOKUP($C277,'[68]2195 IS210'!$D:$AH,31,FALSE),0)</f>
        <v>2262.46</v>
      </c>
      <c r="U277" s="1491"/>
      <c r="V277" s="506"/>
      <c r="W277" s="881"/>
    </row>
    <row r="278" spans="1:23">
      <c r="A278" s="1487"/>
      <c r="B278" s="1488"/>
      <c r="C278" s="1503"/>
      <c r="D278" s="1503"/>
      <c r="E278" s="1489"/>
      <c r="F278" s="1489"/>
      <c r="G278" s="1489"/>
      <c r="H278" s="1489"/>
      <c r="I278" s="1490"/>
      <c r="J278" s="1489"/>
      <c r="K278" s="1489"/>
      <c r="L278" s="1489"/>
      <c r="M278" s="1489"/>
      <c r="N278" s="1489"/>
      <c r="O278" s="1457"/>
      <c r="P278" s="1489"/>
      <c r="Q278" s="1489"/>
      <c r="R278" s="1489"/>
      <c r="S278" s="1489"/>
      <c r="T278" s="1442">
        <f>SUM(T272:T277)</f>
        <v>102515.91</v>
      </c>
      <c r="U278" s="1491"/>
      <c r="V278" s="506"/>
      <c r="W278" s="881"/>
    </row>
    <row r="279" spans="1:23">
      <c r="A279" s="1487"/>
      <c r="B279" s="1488"/>
      <c r="C279" s="1503"/>
      <c r="D279" s="1503"/>
      <c r="E279" s="1489"/>
      <c r="F279" s="1489"/>
      <c r="G279" s="1489"/>
      <c r="H279" s="1489"/>
      <c r="I279" s="1490"/>
      <c r="J279" s="1489"/>
      <c r="K279" s="1489"/>
      <c r="L279" s="1489"/>
      <c r="M279" s="1489"/>
      <c r="N279" s="1489"/>
      <c r="O279" s="1457"/>
      <c r="P279" s="1489"/>
      <c r="Q279" s="1489"/>
      <c r="R279" s="1489"/>
      <c r="S279" s="1489"/>
      <c r="T279" s="1489"/>
      <c r="U279" s="1491"/>
      <c r="V279" s="506"/>
      <c r="W279" s="881"/>
    </row>
    <row r="280" spans="1:23">
      <c r="A280" s="1487"/>
      <c r="B280" s="1488"/>
      <c r="C280" s="1503"/>
      <c r="D280" s="1509" t="s">
        <v>193</v>
      </c>
      <c r="E280" s="1489"/>
      <c r="F280" s="1489"/>
      <c r="G280" s="1489"/>
      <c r="H280" s="1489"/>
      <c r="I280" s="1490"/>
      <c r="J280" s="1489"/>
      <c r="K280" s="1489"/>
      <c r="L280" s="1489"/>
      <c r="M280" s="1489"/>
      <c r="N280" s="1489"/>
      <c r="O280" s="1457"/>
      <c r="P280" s="1489"/>
      <c r="Q280" s="1489"/>
      <c r="R280" s="1489"/>
      <c r="S280" s="1489"/>
      <c r="T280" s="1489"/>
      <c r="U280" s="1491"/>
      <c r="V280" s="506"/>
      <c r="W280" s="881"/>
    </row>
    <row r="281" spans="1:23">
      <c r="A281" s="1487"/>
      <c r="B281" s="1488"/>
      <c r="C281" s="1437"/>
      <c r="D281" s="1437"/>
      <c r="E281" s="1437"/>
      <c r="F281" s="1437"/>
      <c r="G281" s="1437"/>
      <c r="H281" s="1437"/>
      <c r="I281" s="1438"/>
      <c r="J281" s="1437"/>
      <c r="K281" s="1437"/>
      <c r="L281" s="1437"/>
      <c r="M281" s="1437"/>
      <c r="N281" s="1437"/>
      <c r="O281" s="1457"/>
      <c r="P281" s="1437"/>
      <c r="Q281" s="1437"/>
      <c r="R281" s="1437"/>
      <c r="S281" s="1437"/>
      <c r="T281" s="1500">
        <f>T265+T267-T278</f>
        <v>6846.8230340250011</v>
      </c>
      <c r="U281" s="1511">
        <f>T281/T278</f>
        <v>6.6787906716381878E-2</v>
      </c>
      <c r="V281" s="506"/>
      <c r="W281" s="881"/>
    </row>
    <row r="282" spans="1:23">
      <c r="A282" s="1487"/>
      <c r="B282" s="1488"/>
      <c r="C282" s="1437"/>
      <c r="D282" s="1437"/>
      <c r="E282" s="1437"/>
      <c r="F282" s="1437"/>
      <c r="G282" s="1437"/>
      <c r="H282" s="1437"/>
      <c r="I282" s="1438"/>
      <c r="J282" s="1437"/>
      <c r="K282" s="1437"/>
      <c r="L282" s="1437"/>
      <c r="M282" s="1437"/>
      <c r="N282" s="1437"/>
      <c r="O282" s="1457"/>
      <c r="P282" s="1437"/>
      <c r="Q282" s="1437"/>
      <c r="R282" s="1437"/>
      <c r="S282" s="1437"/>
      <c r="T282" s="1437"/>
      <c r="U282" s="1491"/>
      <c r="V282" s="506"/>
      <c r="W282" s="881"/>
    </row>
    <row r="283" spans="1:23">
      <c r="A283" s="1487"/>
      <c r="B283" s="1488"/>
      <c r="C283" s="1437"/>
      <c r="D283" s="1437"/>
      <c r="E283" s="1437"/>
      <c r="F283" s="1437"/>
      <c r="G283" s="1437"/>
      <c r="H283" s="1437"/>
      <c r="I283" s="1438"/>
      <c r="J283" s="1437"/>
      <c r="K283" s="1437"/>
      <c r="L283" s="1437"/>
      <c r="M283" s="1437"/>
      <c r="N283" s="1437"/>
      <c r="O283" s="1457"/>
      <c r="P283" s="1437"/>
      <c r="Q283" s="1437"/>
      <c r="R283" s="1437"/>
      <c r="S283" s="1437"/>
      <c r="T283" s="1437"/>
      <c r="U283" s="1491"/>
      <c r="V283" s="506"/>
      <c r="W283" s="881"/>
    </row>
    <row r="284" spans="1:23">
      <c r="A284" s="1487"/>
      <c r="B284" s="1488"/>
      <c r="C284" s="1437"/>
      <c r="D284" s="1437"/>
      <c r="E284" s="1437"/>
      <c r="F284" s="1437"/>
      <c r="G284" s="1437"/>
      <c r="H284" s="1437"/>
      <c r="I284" s="1438"/>
      <c r="J284" s="1437"/>
      <c r="K284" s="1437"/>
      <c r="L284" s="1437"/>
      <c r="M284" s="1437"/>
      <c r="N284" s="1437"/>
      <c r="O284" s="1457"/>
      <c r="P284" s="1437"/>
      <c r="Q284" s="1437"/>
      <c r="R284" s="1437"/>
      <c r="S284" s="1437"/>
      <c r="T284" s="1437"/>
      <c r="U284" s="1491"/>
      <c r="V284" s="506"/>
      <c r="W284" s="881"/>
    </row>
    <row r="285" spans="1:23">
      <c r="A285" s="1487"/>
      <c r="B285" s="1488"/>
      <c r="C285" s="1437"/>
      <c r="D285" s="1437"/>
      <c r="E285" s="1437"/>
      <c r="F285" s="1437"/>
      <c r="G285" s="1437"/>
      <c r="H285" s="1437"/>
      <c r="I285" s="1438"/>
      <c r="J285" s="1437"/>
      <c r="K285" s="1437"/>
      <c r="L285" s="1437"/>
      <c r="M285" s="1437"/>
      <c r="N285" s="1437"/>
      <c r="O285" s="1457"/>
      <c r="P285" s="1437"/>
      <c r="Q285" s="1437"/>
      <c r="R285" s="1437"/>
      <c r="S285" s="1437"/>
      <c r="T285" s="1437"/>
      <c r="U285" s="1491"/>
      <c r="V285" s="506"/>
      <c r="W285" s="881"/>
    </row>
    <row r="286" spans="1:23">
      <c r="A286" s="1487"/>
      <c r="B286" s="1488"/>
      <c r="C286" s="1437"/>
      <c r="D286" s="1437"/>
      <c r="E286" s="1437"/>
      <c r="F286" s="1437"/>
      <c r="G286" s="1437"/>
      <c r="H286" s="1437"/>
      <c r="I286" s="1438"/>
      <c r="J286" s="1437"/>
      <c r="K286" s="1437"/>
      <c r="L286" s="1437"/>
      <c r="M286" s="1437"/>
      <c r="N286" s="1437"/>
      <c r="O286" s="1457"/>
      <c r="P286" s="1437"/>
      <c r="Q286" s="1437"/>
      <c r="R286" s="1437"/>
      <c r="S286" s="1437"/>
      <c r="T286" s="1523">
        <f>+T281+T262+T244+T212+T194+T227</f>
        <v>303265.27561341348</v>
      </c>
      <c r="U286" s="1491"/>
      <c r="V286" s="506"/>
      <c r="W286" s="881"/>
    </row>
    <row r="287" spans="1:23">
      <c r="A287" s="1487"/>
      <c r="B287" s="1488"/>
      <c r="C287" s="1437"/>
      <c r="D287" s="1437"/>
      <c r="E287" s="1437"/>
      <c r="F287" s="1437"/>
      <c r="G287" s="1437"/>
      <c r="H287" s="1437"/>
      <c r="I287" s="1438"/>
      <c r="J287" s="1437"/>
      <c r="K287" s="1437"/>
      <c r="L287" s="1437"/>
      <c r="M287" s="1437"/>
      <c r="N287" s="1437"/>
      <c r="O287" s="1457"/>
      <c r="P287" s="1437"/>
      <c r="Q287" s="1437"/>
      <c r="R287" s="1437"/>
      <c r="S287" s="1437"/>
      <c r="T287" s="1524">
        <f>+T286/M173</f>
        <v>5.5004836455378812E-2</v>
      </c>
      <c r="U287" s="1544"/>
      <c r="V287" s="506"/>
      <c r="W287" s="881"/>
    </row>
    <row r="288" spans="1:23">
      <c r="A288" s="1487"/>
      <c r="B288" s="1488"/>
      <c r="C288" s="1437"/>
      <c r="D288" s="1437"/>
      <c r="E288" s="1437"/>
      <c r="F288" s="1437"/>
      <c r="G288" s="1437"/>
      <c r="H288" s="1437"/>
      <c r="I288" s="1438"/>
      <c r="J288" s="1437"/>
      <c r="K288" s="1437"/>
      <c r="L288" s="1437"/>
      <c r="M288" s="1437"/>
      <c r="N288" s="1437"/>
      <c r="O288" s="1457"/>
      <c r="P288" s="1437"/>
      <c r="Q288" s="1437"/>
      <c r="R288" s="1437"/>
      <c r="S288" s="1437"/>
      <c r="T288" s="1545" t="s">
        <v>2960</v>
      </c>
      <c r="U288" s="1491"/>
      <c r="V288" s="506"/>
      <c r="W288" s="881"/>
    </row>
    <row r="289" spans="1:23">
      <c r="A289" s="1487"/>
      <c r="B289" s="1488"/>
      <c r="C289" s="1437"/>
      <c r="D289" s="1437"/>
      <c r="E289" s="1437"/>
      <c r="F289" s="1437"/>
      <c r="G289" s="1437"/>
      <c r="H289" s="1437"/>
      <c r="I289" s="1438"/>
      <c r="J289" s="1437"/>
      <c r="K289" s="1437"/>
      <c r="L289" s="1437"/>
      <c r="M289" s="1437"/>
      <c r="N289" s="1437"/>
      <c r="O289" s="1457"/>
      <c r="P289" s="1437"/>
      <c r="Q289" s="1437"/>
      <c r="R289" s="1437"/>
      <c r="S289" s="1437"/>
      <c r="T289" s="1437"/>
      <c r="U289" s="1491"/>
      <c r="V289" s="506"/>
      <c r="W289" s="881"/>
    </row>
    <row r="290" spans="1:23">
      <c r="A290" s="1487"/>
      <c r="B290" s="1488"/>
      <c r="C290" s="1437"/>
      <c r="D290" s="1437"/>
      <c r="E290" s="1437"/>
      <c r="F290" s="1437"/>
      <c r="G290" s="1437"/>
      <c r="H290" s="1437"/>
      <c r="I290" s="1438"/>
      <c r="J290" s="1437"/>
      <c r="K290" s="1437"/>
      <c r="L290" s="1437"/>
      <c r="M290" s="1437"/>
      <c r="N290" s="1437"/>
      <c r="O290" s="1457"/>
      <c r="P290" s="1437"/>
      <c r="Q290" s="1437"/>
      <c r="R290" s="1437"/>
      <c r="S290" s="1437"/>
      <c r="T290" s="1437"/>
      <c r="U290" s="1491"/>
      <c r="V290" s="546"/>
      <c r="W290" s="880"/>
    </row>
    <row r="291" spans="1:23">
      <c r="A291" s="1487"/>
      <c r="B291" s="1488"/>
      <c r="C291" s="1437"/>
      <c r="D291" s="1437"/>
      <c r="E291" s="1437"/>
      <c r="F291" s="1437"/>
      <c r="G291" s="1437"/>
      <c r="H291" s="1437"/>
      <c r="I291" s="1438"/>
      <c r="J291" s="1437"/>
      <c r="K291" s="1437"/>
      <c r="L291" s="1437"/>
      <c r="M291" s="1437"/>
      <c r="N291" s="1437"/>
      <c r="O291" s="1457"/>
      <c r="P291" s="1437"/>
      <c r="Q291" s="1437"/>
      <c r="R291" s="1437"/>
      <c r="S291" s="1437"/>
      <c r="T291" s="1437"/>
      <c r="U291" s="1491"/>
      <c r="V291" s="546"/>
      <c r="W291" s="880"/>
    </row>
    <row r="292" spans="1:23">
      <c r="A292" s="1487"/>
      <c r="B292" s="1488"/>
      <c r="C292" s="1437"/>
      <c r="D292" s="1437"/>
      <c r="E292" s="1437"/>
      <c r="F292" s="1437"/>
      <c r="G292" s="1437"/>
      <c r="H292" s="1437"/>
      <c r="I292" s="1438"/>
      <c r="J292" s="1437"/>
      <c r="K292" s="1437"/>
      <c r="L292" s="1437"/>
      <c r="M292" s="1437"/>
      <c r="N292" s="1437"/>
      <c r="O292" s="1457"/>
      <c r="P292" s="1437"/>
      <c r="Q292" s="1437"/>
      <c r="R292" s="1437"/>
      <c r="S292" s="1437"/>
      <c r="T292" s="1437"/>
      <c r="U292" s="1491"/>
      <c r="V292" s="546"/>
      <c r="W292" s="880"/>
    </row>
    <row r="293" spans="1:23">
      <c r="A293" s="1487"/>
      <c r="B293" s="1488"/>
      <c r="C293" s="1437"/>
      <c r="D293" s="1437"/>
      <c r="E293" s="1437"/>
      <c r="F293" s="1437"/>
      <c r="G293" s="1437"/>
      <c r="H293" s="1437"/>
      <c r="I293" s="1438"/>
      <c r="J293" s="1437"/>
      <c r="K293" s="1437"/>
      <c r="L293" s="1437"/>
      <c r="M293" s="1437"/>
      <c r="N293" s="1437"/>
      <c r="O293" s="1457"/>
      <c r="P293" s="1437"/>
      <c r="Q293" s="1437"/>
      <c r="R293" s="1437"/>
      <c r="S293" s="1437"/>
      <c r="T293" s="1437"/>
      <c r="U293" s="1491"/>
      <c r="V293" s="546"/>
      <c r="W293" s="880"/>
    </row>
    <row r="294" spans="1:23">
      <c r="A294" s="1487"/>
      <c r="B294" s="1546" t="s">
        <v>2960</v>
      </c>
      <c r="C294" s="1525" t="s">
        <v>2959</v>
      </c>
      <c r="D294" s="1525"/>
      <c r="E294" s="1525"/>
      <c r="F294" s="1489"/>
      <c r="G294" s="1489"/>
      <c r="H294" s="1489"/>
      <c r="I294" s="1490"/>
      <c r="J294" s="1489"/>
      <c r="K294" s="1489"/>
      <c r="L294" s="1489"/>
      <c r="M294" s="1489"/>
      <c r="N294" s="1489"/>
      <c r="O294" s="1457"/>
      <c r="P294" s="1489"/>
      <c r="Q294" s="1489"/>
      <c r="R294" s="1489"/>
      <c r="S294" s="1489"/>
      <c r="T294" s="1489"/>
      <c r="U294" s="1491"/>
      <c r="V294" s="546"/>
      <c r="W294" s="880"/>
    </row>
    <row r="295" spans="1:23">
      <c r="A295" s="1487"/>
      <c r="B295" s="1488"/>
      <c r="C295" s="1525"/>
      <c r="D295" s="1525"/>
      <c r="E295" s="1525"/>
      <c r="F295" s="1489"/>
      <c r="G295" s="1489"/>
      <c r="H295" s="1489"/>
      <c r="I295" s="1490"/>
      <c r="J295" s="1489"/>
      <c r="K295" s="1489"/>
      <c r="L295" s="1489"/>
      <c r="M295" s="1489"/>
      <c r="N295" s="1489"/>
      <c r="O295" s="1457"/>
      <c r="P295" s="1489"/>
      <c r="Q295" s="1489"/>
      <c r="R295" s="1489"/>
      <c r="S295" s="1489"/>
      <c r="T295" s="1489"/>
      <c r="U295" s="1491"/>
      <c r="V295" s="546"/>
      <c r="W295" s="880"/>
    </row>
    <row r="296" spans="1:23" ht="12" thickBot="1">
      <c r="A296" s="1526"/>
      <c r="B296" s="1527"/>
      <c r="C296" s="1528"/>
      <c r="D296" s="1528"/>
      <c r="E296" s="1528"/>
      <c r="F296" s="1529"/>
      <c r="G296" s="1529"/>
      <c r="H296" s="1529"/>
      <c r="I296" s="1530"/>
      <c r="J296" s="1529"/>
      <c r="K296" s="1529"/>
      <c r="L296" s="1529"/>
      <c r="M296" s="1529"/>
      <c r="N296" s="1529"/>
      <c r="O296" s="1531"/>
      <c r="P296" s="1529"/>
      <c r="Q296" s="1529"/>
      <c r="R296" s="1529"/>
      <c r="S296" s="1529"/>
      <c r="T296" s="1529"/>
      <c r="U296" s="1532"/>
      <c r="V296" s="546"/>
      <c r="W296" s="880"/>
    </row>
    <row r="297" spans="1:23" ht="12" thickTop="1"/>
  </sheetData>
  <autoFilter ref="A13:T169" xr:uid="{00000000-0009-0000-0000-000008000000}"/>
  <mergeCells count="2">
    <mergeCell ref="A177:D177"/>
    <mergeCell ref="C294:E296"/>
  </mergeCells>
  <conditionalFormatting sqref="B80">
    <cfRule type="duplicateValues" dxfId="213" priority="96"/>
  </conditionalFormatting>
  <conditionalFormatting sqref="B96">
    <cfRule type="duplicateValues" dxfId="212" priority="95"/>
  </conditionalFormatting>
  <conditionalFormatting sqref="B90">
    <cfRule type="duplicateValues" dxfId="211" priority="94"/>
  </conditionalFormatting>
  <conditionalFormatting sqref="B7">
    <cfRule type="duplicateValues" dxfId="210" priority="93"/>
  </conditionalFormatting>
  <conditionalFormatting sqref="B7">
    <cfRule type="duplicateValues" dxfId="209" priority="92"/>
  </conditionalFormatting>
  <conditionalFormatting sqref="B161">
    <cfRule type="duplicateValues" dxfId="208" priority="91"/>
  </conditionalFormatting>
  <conditionalFormatting sqref="B161">
    <cfRule type="duplicateValues" dxfId="207" priority="90"/>
  </conditionalFormatting>
  <conditionalFormatting sqref="B52">
    <cfRule type="duplicateValues" dxfId="206" priority="88"/>
  </conditionalFormatting>
  <conditionalFormatting sqref="B52">
    <cfRule type="duplicateValues" dxfId="205" priority="89"/>
  </conditionalFormatting>
  <conditionalFormatting sqref="B95">
    <cfRule type="duplicateValues" dxfId="204" priority="86"/>
  </conditionalFormatting>
  <conditionalFormatting sqref="B95">
    <cfRule type="duplicateValues" dxfId="203" priority="87"/>
  </conditionalFormatting>
  <conditionalFormatting sqref="B130">
    <cfRule type="duplicateValues" dxfId="202" priority="84"/>
  </conditionalFormatting>
  <conditionalFormatting sqref="B130">
    <cfRule type="duplicateValues" dxfId="201" priority="83"/>
  </conditionalFormatting>
  <conditionalFormatting sqref="B130">
    <cfRule type="duplicateValues" dxfId="200" priority="85"/>
  </conditionalFormatting>
  <conditionalFormatting sqref="B197">
    <cfRule type="duplicateValues" dxfId="199" priority="82"/>
  </conditionalFormatting>
  <conditionalFormatting sqref="B265">
    <cfRule type="duplicateValues" dxfId="198" priority="81"/>
  </conditionalFormatting>
  <conditionalFormatting sqref="B27 B31:B35">
    <cfRule type="duplicateValues" dxfId="197" priority="79"/>
  </conditionalFormatting>
  <conditionalFormatting sqref="B27">
    <cfRule type="duplicateValues" dxfId="196" priority="80"/>
  </conditionalFormatting>
  <conditionalFormatting sqref="B23:B26">
    <cfRule type="duplicateValues" dxfId="195" priority="77"/>
  </conditionalFormatting>
  <conditionalFormatting sqref="B23:B26">
    <cfRule type="duplicateValues" dxfId="194" priority="78"/>
  </conditionalFormatting>
  <conditionalFormatting sqref="B89 B18:B22">
    <cfRule type="duplicateValues" dxfId="193" priority="76"/>
  </conditionalFormatting>
  <conditionalFormatting sqref="B28:B30">
    <cfRule type="duplicateValues" dxfId="192" priority="74"/>
  </conditionalFormatting>
  <conditionalFormatting sqref="B28:B30">
    <cfRule type="duplicateValues" dxfId="191" priority="75"/>
  </conditionalFormatting>
  <conditionalFormatting sqref="B59:B63">
    <cfRule type="duplicateValues" dxfId="190" priority="72"/>
  </conditionalFormatting>
  <conditionalFormatting sqref="B59:B63">
    <cfRule type="duplicateValues" dxfId="189" priority="73"/>
  </conditionalFormatting>
  <conditionalFormatting sqref="B98">
    <cfRule type="duplicateValues" dxfId="188" priority="70"/>
  </conditionalFormatting>
  <conditionalFormatting sqref="B98">
    <cfRule type="duplicateValues" dxfId="187" priority="71"/>
  </conditionalFormatting>
  <conditionalFormatting sqref="B106">
    <cfRule type="duplicateValues" dxfId="186" priority="68"/>
  </conditionalFormatting>
  <conditionalFormatting sqref="B106">
    <cfRule type="duplicateValues" dxfId="185" priority="69"/>
  </conditionalFormatting>
  <conditionalFormatting sqref="B170:B289 B130:B138 B142:B145 B161:B165 B1:B48 B115:B118 B112:B113 B100:B110 B87:B98 B52 B74:B82 B54:B71 B293:B1048576">
    <cfRule type="duplicateValues" dxfId="184" priority="67"/>
  </conditionalFormatting>
  <conditionalFormatting sqref="C112">
    <cfRule type="duplicateValues" dxfId="183" priority="66"/>
  </conditionalFormatting>
  <conditionalFormatting sqref="C106">
    <cfRule type="duplicateValues" dxfId="182" priority="65"/>
  </conditionalFormatting>
  <conditionalFormatting sqref="C107">
    <cfRule type="duplicateValues" dxfId="181" priority="64"/>
  </conditionalFormatting>
  <conditionalFormatting sqref="B139:B140">
    <cfRule type="duplicateValues" dxfId="180" priority="63"/>
  </conditionalFormatting>
  <conditionalFormatting sqref="B146:B147 B152:B156">
    <cfRule type="duplicateValues" dxfId="179" priority="61"/>
  </conditionalFormatting>
  <conditionalFormatting sqref="B146:B147">
    <cfRule type="duplicateValues" dxfId="178" priority="62"/>
  </conditionalFormatting>
  <conditionalFormatting sqref="B146:B147">
    <cfRule type="duplicateValues" dxfId="177" priority="60"/>
  </conditionalFormatting>
  <conditionalFormatting sqref="B166:B167 B169">
    <cfRule type="duplicateValues" dxfId="176" priority="58"/>
  </conditionalFormatting>
  <conditionalFormatting sqref="B166:B167">
    <cfRule type="duplicateValues" dxfId="175" priority="59"/>
  </conditionalFormatting>
  <conditionalFormatting sqref="B166:B167">
    <cfRule type="duplicateValues" dxfId="174" priority="57"/>
  </conditionalFormatting>
  <conditionalFormatting sqref="B148:B151">
    <cfRule type="duplicateValues" dxfId="173" priority="55"/>
  </conditionalFormatting>
  <conditionalFormatting sqref="B148:B151">
    <cfRule type="duplicateValues" dxfId="172" priority="56"/>
  </conditionalFormatting>
  <conditionalFormatting sqref="B148:B151">
    <cfRule type="duplicateValues" dxfId="171" priority="54"/>
  </conditionalFormatting>
  <conditionalFormatting sqref="B157">
    <cfRule type="duplicateValues" dxfId="170" priority="53"/>
  </conditionalFormatting>
  <conditionalFormatting sqref="B162 B96:B97 B17 B131:B138 B64:B71 B90:B94 B100:B105 B142:B145 B54:B58 B36:B40 B107:B110 B115:B118 B112:B113 B87:B88 B74:B82">
    <cfRule type="duplicateValues" dxfId="169" priority="97"/>
  </conditionalFormatting>
  <conditionalFormatting sqref="B215:B264 B162:B165 B91:B94 B131:B138 B81:B82 B1:B17 B97 B142:B145 B198:B213 B266:B289 B36:B40 B64:B71 B100:B105 B170:B196 B54:B58 B107:B110 B115:B118 B112:B113 B87:B88 B74:B79 B293:B1048576">
    <cfRule type="duplicateValues" dxfId="168" priority="98"/>
  </conditionalFormatting>
  <conditionalFormatting sqref="B114">
    <cfRule type="duplicateValues" dxfId="167" priority="49"/>
  </conditionalFormatting>
  <conditionalFormatting sqref="C114">
    <cfRule type="duplicateValues" dxfId="166" priority="50"/>
  </conditionalFormatting>
  <conditionalFormatting sqref="B114">
    <cfRule type="duplicateValues" dxfId="165" priority="51"/>
  </conditionalFormatting>
  <conditionalFormatting sqref="B114">
    <cfRule type="duplicateValues" dxfId="164" priority="52"/>
  </conditionalFormatting>
  <conditionalFormatting sqref="B111">
    <cfRule type="duplicateValues" dxfId="163" priority="45"/>
  </conditionalFormatting>
  <conditionalFormatting sqref="C111">
    <cfRule type="duplicateValues" dxfId="162" priority="46"/>
  </conditionalFormatting>
  <conditionalFormatting sqref="B111">
    <cfRule type="duplicateValues" dxfId="161" priority="47"/>
  </conditionalFormatting>
  <conditionalFormatting sqref="B111">
    <cfRule type="duplicateValues" dxfId="160" priority="48"/>
  </conditionalFormatting>
  <conditionalFormatting sqref="B41:B48">
    <cfRule type="duplicateValues" dxfId="159" priority="99"/>
  </conditionalFormatting>
  <conditionalFormatting sqref="B161:B167 B100:B126 B1:B48 B87:B98 B52 B74:B82 B169:B289 B128:B157 B54:B71 B293:B1048576">
    <cfRule type="duplicateValues" dxfId="158" priority="44"/>
  </conditionalFormatting>
  <conditionalFormatting sqref="C74">
    <cfRule type="duplicateValues" dxfId="157" priority="43"/>
  </conditionalFormatting>
  <conditionalFormatting sqref="C42:C48">
    <cfRule type="duplicateValues" dxfId="156" priority="42"/>
  </conditionalFormatting>
  <conditionalFormatting sqref="B99 B53">
    <cfRule type="duplicateValues" dxfId="155" priority="39"/>
  </conditionalFormatting>
  <conditionalFormatting sqref="C99 C53">
    <cfRule type="duplicateValues" dxfId="154" priority="41"/>
  </conditionalFormatting>
  <conditionalFormatting sqref="B85">
    <cfRule type="duplicateValues" dxfId="153" priority="33"/>
  </conditionalFormatting>
  <conditionalFormatting sqref="B84:B86">
    <cfRule type="duplicateValues" dxfId="152" priority="32"/>
  </conditionalFormatting>
  <conditionalFormatting sqref="C84:C86">
    <cfRule type="duplicateValues" dxfId="151" priority="34"/>
  </conditionalFormatting>
  <conditionalFormatting sqref="B84:B86">
    <cfRule type="duplicateValues" dxfId="150" priority="35"/>
  </conditionalFormatting>
  <conditionalFormatting sqref="B86 B84">
    <cfRule type="duplicateValues" dxfId="149" priority="36"/>
  </conditionalFormatting>
  <conditionalFormatting sqref="B84:B86">
    <cfRule type="duplicateValues" dxfId="148" priority="31"/>
  </conditionalFormatting>
  <conditionalFormatting sqref="B83">
    <cfRule type="duplicateValues" dxfId="147" priority="27"/>
  </conditionalFormatting>
  <conditionalFormatting sqref="C83">
    <cfRule type="duplicateValues" dxfId="146" priority="28"/>
  </conditionalFormatting>
  <conditionalFormatting sqref="B83">
    <cfRule type="duplicateValues" dxfId="145" priority="29"/>
  </conditionalFormatting>
  <conditionalFormatting sqref="B83">
    <cfRule type="duplicateValues" dxfId="144" priority="30"/>
  </conditionalFormatting>
  <conditionalFormatting sqref="B83">
    <cfRule type="duplicateValues" dxfId="143" priority="26"/>
  </conditionalFormatting>
  <conditionalFormatting sqref="B72">
    <cfRule type="duplicateValues" dxfId="142" priority="22"/>
  </conditionalFormatting>
  <conditionalFormatting sqref="C72">
    <cfRule type="duplicateValues" dxfId="141" priority="23"/>
  </conditionalFormatting>
  <conditionalFormatting sqref="B72">
    <cfRule type="duplicateValues" dxfId="140" priority="24"/>
  </conditionalFormatting>
  <conditionalFormatting sqref="B72">
    <cfRule type="duplicateValues" dxfId="139" priority="25"/>
  </conditionalFormatting>
  <conditionalFormatting sqref="B72">
    <cfRule type="duplicateValues" dxfId="138" priority="21"/>
  </conditionalFormatting>
  <conditionalFormatting sqref="B73">
    <cfRule type="duplicateValues" dxfId="137" priority="17"/>
  </conditionalFormatting>
  <conditionalFormatting sqref="C73">
    <cfRule type="duplicateValues" dxfId="136" priority="18"/>
  </conditionalFormatting>
  <conditionalFormatting sqref="B73">
    <cfRule type="duplicateValues" dxfId="135" priority="19"/>
  </conditionalFormatting>
  <conditionalFormatting sqref="B73">
    <cfRule type="duplicateValues" dxfId="134" priority="20"/>
  </conditionalFormatting>
  <conditionalFormatting sqref="B73">
    <cfRule type="duplicateValues" dxfId="133" priority="16"/>
  </conditionalFormatting>
  <conditionalFormatting sqref="B168">
    <cfRule type="duplicateValues" dxfId="132" priority="14"/>
  </conditionalFormatting>
  <conditionalFormatting sqref="B168">
    <cfRule type="duplicateValues" dxfId="131" priority="15"/>
  </conditionalFormatting>
  <conditionalFormatting sqref="B168">
    <cfRule type="duplicateValues" dxfId="130" priority="13"/>
  </conditionalFormatting>
  <conditionalFormatting sqref="B168">
    <cfRule type="duplicateValues" dxfId="129" priority="12"/>
  </conditionalFormatting>
  <conditionalFormatting sqref="C113 C108:C110 C115 C17:C41 C75:C82 C54:C71 C100:C105 C87:C98 C52">
    <cfRule type="duplicateValues" dxfId="128" priority="100"/>
  </conditionalFormatting>
  <conditionalFormatting sqref="B119:B126 B128:B129">
    <cfRule type="duplicateValues" dxfId="127" priority="101"/>
  </conditionalFormatting>
  <conditionalFormatting sqref="B158 B160">
    <cfRule type="duplicateValues" dxfId="126" priority="102"/>
  </conditionalFormatting>
  <conditionalFormatting sqref="B159">
    <cfRule type="duplicateValues" dxfId="125" priority="11"/>
  </conditionalFormatting>
  <conditionalFormatting sqref="B127">
    <cfRule type="duplicateValues" dxfId="124" priority="9"/>
  </conditionalFormatting>
  <conditionalFormatting sqref="B127">
    <cfRule type="duplicateValues" dxfId="123" priority="8"/>
  </conditionalFormatting>
  <conditionalFormatting sqref="B127">
    <cfRule type="duplicateValues" dxfId="122" priority="10"/>
  </conditionalFormatting>
  <conditionalFormatting sqref="B141 B119:B126 B128:B129">
    <cfRule type="duplicateValues" dxfId="121" priority="103"/>
  </conditionalFormatting>
  <conditionalFormatting sqref="B49:B51">
    <cfRule type="duplicateValues" dxfId="120" priority="6"/>
  </conditionalFormatting>
  <conditionalFormatting sqref="C49:C51">
    <cfRule type="duplicateValues" dxfId="119" priority="4"/>
  </conditionalFormatting>
  <conditionalFormatting sqref="C294">
    <cfRule type="duplicateValues" dxfId="118" priority="3"/>
  </conditionalFormatting>
  <conditionalFormatting sqref="C294">
    <cfRule type="duplicateValues" dxfId="117" priority="2"/>
  </conditionalFormatting>
  <conditionalFormatting sqref="B1:B1048576">
    <cfRule type="duplicateValues" dxfId="116" priority="1"/>
  </conditionalFormatting>
  <pageMargins left="0.25" right="0.25" top="1" bottom="1" header="0.5" footer="0.5"/>
  <pageSetup scale="60" pageOrder="overThenDown" orientation="landscape" r:id="rId1"/>
  <headerFooter alignWithMargins="0">
    <oddHeader>&amp;C&amp;"-,Bold"&amp;12&amp;KFF0000TEXT IN RED BOX CONFIDENTIAL PER WAC 480-07-160</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5B2FB8E4ADA3844BCB4BC75AD74F592" ma:contentTypeVersion="28" ma:contentTypeDescription="" ma:contentTypeScope="" ma:versionID="97b5401885d0cfa803df539244293fc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2022-06-16T07:00:00+00:00</OpenedDate>
    <SignificantOrder xmlns="dc463f71-b30c-4ab2-9473-d307f9d35888">false</SignificantOrder>
    <Date1 xmlns="dc463f71-b30c-4ab2-9473-d307f9d35888">2022-06-16T07:00:00+00:00</Date1>
    <IsDocumentOrder xmlns="dc463f71-b30c-4ab2-9473-d307f9d35888">false</IsDocumentOrder>
    <IsHighlyConfidential xmlns="dc463f71-b30c-4ab2-9473-d307f9d35888">false</IsHighlyConfidential>
    <CaseCompanyNames xmlns="dc463f71-b30c-4ab2-9473-d307f9d35888">Yakima Waste Systems, Inc.   </CaseCompanyNames>
    <Nickname xmlns="http://schemas.microsoft.com/sharepoint/v3" xsi:nil="true"/>
    <DocketNumber xmlns="dc463f71-b30c-4ab2-9473-d307f9d35888">220446</DocketNumber>
    <DelegatedOrder xmlns="dc463f71-b30c-4ab2-9473-d307f9d35888">false</DelegatedOrder>
  </documentManagement>
</p:properties>
</file>

<file path=customXml/itemProps1.xml><?xml version="1.0" encoding="utf-8"?>
<ds:datastoreItem xmlns:ds="http://schemas.openxmlformats.org/officeDocument/2006/customXml" ds:itemID="{CB6DAC5F-89D5-415F-B54D-AF5FAE3CAA04}"/>
</file>

<file path=customXml/itemProps2.xml><?xml version="1.0" encoding="utf-8"?>
<ds:datastoreItem xmlns:ds="http://schemas.openxmlformats.org/officeDocument/2006/customXml" ds:itemID="{97AE9BB8-A9A2-4772-A26F-29ECCBAE929F}"/>
</file>

<file path=customXml/itemProps3.xml><?xml version="1.0" encoding="utf-8"?>
<ds:datastoreItem xmlns:ds="http://schemas.openxmlformats.org/officeDocument/2006/customXml" ds:itemID="{3C36D4B1-39CD-4C5E-BD42-B8812BD46ACB}"/>
</file>

<file path=customXml/itemProps4.xml><?xml version="1.0" encoding="utf-8"?>
<ds:datastoreItem xmlns:ds="http://schemas.openxmlformats.org/officeDocument/2006/customXml" ds:itemID="{1778C39C-A5E0-4A1F-8EB9-391FE6D929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197</vt:i4>
      </vt:variant>
    </vt:vector>
  </HeadingPairs>
  <TitlesOfParts>
    <vt:vector size="228" baseType="lpstr">
      <vt:lpstr>2195 IS (C)</vt:lpstr>
      <vt:lpstr>Master IS (C)</vt:lpstr>
      <vt:lpstr>Yakima LOB (C)</vt:lpstr>
      <vt:lpstr>Restating Adj (C)</vt:lpstr>
      <vt:lpstr>Pro forma Adj (C)</vt:lpstr>
      <vt:lpstr>Allocators (C)</vt:lpstr>
      <vt:lpstr>Automation Data</vt:lpstr>
      <vt:lpstr>Proposed Rates</vt:lpstr>
      <vt:lpstr>Payroll Summary (C)</vt:lpstr>
      <vt:lpstr>Yakima Regulated Price Out</vt:lpstr>
      <vt:lpstr>Depr Summary (C)</vt:lpstr>
      <vt:lpstr>Disposal 4.21-3-22</vt:lpstr>
      <vt:lpstr>Interject_LastPulledValues</vt:lpstr>
      <vt:lpstr>Recycle Breakout</vt:lpstr>
      <vt:lpstr>2195_BS 03-2021 (C)</vt:lpstr>
      <vt:lpstr>2195_BS 03-2022 (C)</vt:lpstr>
      <vt:lpstr>LG BRG - Total</vt:lpstr>
      <vt:lpstr>LG BRG - MSW</vt:lpstr>
      <vt:lpstr>LG BRG - Recycle</vt:lpstr>
      <vt:lpstr>LG BRG - Yard Waste</vt:lpstr>
      <vt:lpstr>5 Year Insurance (C)</vt:lpstr>
      <vt:lpstr>41201 JE Query</vt:lpstr>
      <vt:lpstr>43001 JE Query</vt:lpstr>
      <vt:lpstr>70195 JE Query (C)</vt:lpstr>
      <vt:lpstr>70255 JE Query (C)</vt:lpstr>
      <vt:lpstr>70235 JE Query (C)</vt:lpstr>
      <vt:lpstr>91010 JE Query</vt:lpstr>
      <vt:lpstr>DVP-DivCon Allocs  (C)</vt:lpstr>
      <vt:lpstr>Region OH (C)</vt:lpstr>
      <vt:lpstr>Corp-OH (C)</vt:lpstr>
      <vt:lpstr>Corp BS &amp; IS</vt:lpstr>
      <vt:lpstr>'41201 JE Query'!Accounts</vt:lpstr>
      <vt:lpstr>'5 Year Insurance (C)'!Accounts</vt:lpstr>
      <vt:lpstr>'70195 JE Query (C)'!Accounts</vt:lpstr>
      <vt:lpstr>'70235 JE Query (C)'!Accounts</vt:lpstr>
      <vt:lpstr>'70255 JE Query (C)'!Accounts</vt:lpstr>
      <vt:lpstr>'91010 JE Query'!Accounts</vt:lpstr>
      <vt:lpstr>'41201 JE Query'!AmountFrom</vt:lpstr>
      <vt:lpstr>'5 Year Insurance (C)'!AmountFrom</vt:lpstr>
      <vt:lpstr>'70195 JE Query (C)'!AmountFrom</vt:lpstr>
      <vt:lpstr>'70235 JE Query (C)'!AmountFrom</vt:lpstr>
      <vt:lpstr>'70255 JE Query (C)'!AmountFrom</vt:lpstr>
      <vt:lpstr>'91010 JE Query'!AmountFrom</vt:lpstr>
      <vt:lpstr>'41201 JE Query'!AmountTo</vt:lpstr>
      <vt:lpstr>'5 Year Insurance (C)'!AmountTo</vt:lpstr>
      <vt:lpstr>'70195 JE Query (C)'!AmountTo</vt:lpstr>
      <vt:lpstr>'70235 JE Query (C)'!AmountTo</vt:lpstr>
      <vt:lpstr>'70255 JE Query (C)'!AmountTo</vt:lpstr>
      <vt:lpstr>'91010 JE Query'!AmountTo</vt:lpstr>
      <vt:lpstr>'41201 JE Query'!DateFrom</vt:lpstr>
      <vt:lpstr>'5 Year Insurance (C)'!DateFrom</vt:lpstr>
      <vt:lpstr>'70195 JE Query (C)'!DateFrom</vt:lpstr>
      <vt:lpstr>'70235 JE Query (C)'!DateFrom</vt:lpstr>
      <vt:lpstr>'70255 JE Query (C)'!DateFrom</vt:lpstr>
      <vt:lpstr>'91010 JE Query'!DateFrom</vt:lpstr>
      <vt:lpstr>'41201 JE Query'!DateTo</vt:lpstr>
      <vt:lpstr>'5 Year Insurance (C)'!DateTo</vt:lpstr>
      <vt:lpstr>'70195 JE Query (C)'!DateTo</vt:lpstr>
      <vt:lpstr>'70235 JE Query (C)'!DateTo</vt:lpstr>
      <vt:lpstr>'70255 JE Query (C)'!DateTo</vt:lpstr>
      <vt:lpstr>'91010 JE Query'!DateTo</vt:lpstr>
      <vt:lpstr>'LG BRG - MSW'!Debt_Rate</vt:lpstr>
      <vt:lpstr>'LG BRG - Recycle'!Debt_Rate</vt:lpstr>
      <vt:lpstr>'LG BRG - Total'!Debt_Rate</vt:lpstr>
      <vt:lpstr>'LG BRG - Yard Waste'!Debt_Rate</vt:lpstr>
      <vt:lpstr>'LG BRG - MSW'!debtP</vt:lpstr>
      <vt:lpstr>'LG BRG - Recycle'!debtP</vt:lpstr>
      <vt:lpstr>'LG BRG - Total'!debtP</vt:lpstr>
      <vt:lpstr>'LG BRG - Yard Waste'!debtP</vt:lpstr>
      <vt:lpstr>'2195 IS (C)'!District</vt:lpstr>
      <vt:lpstr>'2195_BS 03-2021 (C)'!District</vt:lpstr>
      <vt:lpstr>'2195_BS 03-2022 (C)'!District</vt:lpstr>
      <vt:lpstr>'Region OH (C)'!District</vt:lpstr>
      <vt:lpstr>'2195 IS (C)'!DistrictName</vt:lpstr>
      <vt:lpstr>'Region OH (C)'!DistrictName</vt:lpstr>
      <vt:lpstr>'41201 JE Query'!Districts</vt:lpstr>
      <vt:lpstr>'5 Year Insurance (C)'!Districts</vt:lpstr>
      <vt:lpstr>'70195 JE Query (C)'!Districts</vt:lpstr>
      <vt:lpstr>'70235 JE Query (C)'!Districts</vt:lpstr>
      <vt:lpstr>'70255 JE Query (C)'!Districts</vt:lpstr>
      <vt:lpstr>'91010 JE Query'!Districts</vt:lpstr>
      <vt:lpstr>'41201 JE Query'!EntrieShownLimit</vt:lpstr>
      <vt:lpstr>'5 Year Insurance (C)'!EntrieShownLimit</vt:lpstr>
      <vt:lpstr>'70195 JE Query (C)'!EntrieShownLimit</vt:lpstr>
      <vt:lpstr>'70235 JE Query (C)'!EntrieShownLimit</vt:lpstr>
      <vt:lpstr>'70255 JE Query (C)'!EntrieShownLimit</vt:lpstr>
      <vt:lpstr>'91010 JE Query'!EntrieShownLimit</vt:lpstr>
      <vt:lpstr>'LG BRG - MSW'!Equity_percent</vt:lpstr>
      <vt:lpstr>'LG BRG - Recycle'!Equity_percent</vt:lpstr>
      <vt:lpstr>'LG BRG - Total'!Equity_percent</vt:lpstr>
      <vt:lpstr>'LG BRG - Yard Waste'!Equity_percent</vt:lpstr>
      <vt:lpstr>'LG BRG - MSW'!equityP</vt:lpstr>
      <vt:lpstr>'LG BRG - Recycle'!equityP</vt:lpstr>
      <vt:lpstr>'LG BRG - Total'!equityP</vt:lpstr>
      <vt:lpstr>'LG BRG - Yard Waste'!equityP</vt:lpstr>
      <vt:lpstr>'2195 IS (C)'!ExcludeIC</vt:lpstr>
      <vt:lpstr>'2195_BS 03-2021 (C)'!ExcludeIC</vt:lpstr>
      <vt:lpstr>'2195_BS 03-2022 (C)'!ExcludeIC</vt:lpstr>
      <vt:lpstr>'Region OH (C)'!ExcludeIC</vt:lpstr>
      <vt:lpstr>'LG BRG - MSW'!expenses</vt:lpstr>
      <vt:lpstr>'LG BRG - Recycle'!expenses</vt:lpstr>
      <vt:lpstr>'LG BRG - Total'!expenses</vt:lpstr>
      <vt:lpstr>'LG BRG - Yard Waste'!expenses</vt:lpstr>
      <vt:lpstr>'2195 IS (C)'!Interject_LastPulledValues_BalanceRange</vt:lpstr>
      <vt:lpstr>Interject_LastPulledValues_BalanceRange</vt:lpstr>
      <vt:lpstr>'2195 IS (C)'!Interject_LastPulledValues_DescriptionRange</vt:lpstr>
      <vt:lpstr>Interject_LastPulledValues_DescriptionRange</vt:lpstr>
      <vt:lpstr>Interject_LastPulledValues_LastChangeGUID</vt:lpstr>
      <vt:lpstr>Interject_LastPulledValues_PreviousLastChangeGUID</vt:lpstr>
      <vt:lpstr>'LG BRG - MSW'!Investment</vt:lpstr>
      <vt:lpstr>'LG BRG - Recycle'!Investment</vt:lpstr>
      <vt:lpstr>'LG BRG - Total'!Investment</vt:lpstr>
      <vt:lpstr>'LG BRG - Yard Waste'!Investment</vt:lpstr>
      <vt:lpstr>'LG BRG - MSW'!Pfd_weighted</vt:lpstr>
      <vt:lpstr>'LG BRG - Recycle'!Pfd_weighted</vt:lpstr>
      <vt:lpstr>'LG BRG - Total'!Pfd_weighted</vt:lpstr>
      <vt:lpstr>'LG BRG - Yard Waste'!Pfd_weighted</vt:lpstr>
      <vt:lpstr>'41201 JE Query'!Posting</vt:lpstr>
      <vt:lpstr>'5 Year Insurance (C)'!Posting</vt:lpstr>
      <vt:lpstr>'70195 JE Query (C)'!Posting</vt:lpstr>
      <vt:lpstr>'70235 JE Query (C)'!Posting</vt:lpstr>
      <vt:lpstr>'70255 JE Query (C)'!Posting</vt:lpstr>
      <vt:lpstr>'91010 JE Query'!Posting</vt:lpstr>
      <vt:lpstr>'2195 IS (C)'!Print_Area</vt:lpstr>
      <vt:lpstr>'2195_BS 03-2021 (C)'!Print_Area</vt:lpstr>
      <vt:lpstr>'2195_BS 03-2022 (C)'!Print_Area</vt:lpstr>
      <vt:lpstr>'41201 JE Query'!Print_Area</vt:lpstr>
      <vt:lpstr>'43001 JE Query'!Print_Area</vt:lpstr>
      <vt:lpstr>'5 Year Insurance (C)'!Print_Area</vt:lpstr>
      <vt:lpstr>'70195 JE Query (C)'!Print_Area</vt:lpstr>
      <vt:lpstr>'70235 JE Query (C)'!Print_Area</vt:lpstr>
      <vt:lpstr>'70255 JE Query (C)'!Print_Area</vt:lpstr>
      <vt:lpstr>'91010 JE Query'!Print_Area</vt:lpstr>
      <vt:lpstr>'Allocators (C)'!Print_Area</vt:lpstr>
      <vt:lpstr>'Corp BS &amp; IS'!Print_Area</vt:lpstr>
      <vt:lpstr>'Corp-OH (C)'!Print_Area</vt:lpstr>
      <vt:lpstr>'Depr Summary (C)'!Print_Area</vt:lpstr>
      <vt:lpstr>'Disposal 4.21-3-22'!Print_Area</vt:lpstr>
      <vt:lpstr>'DVP-DivCon Allocs  (C)'!Print_Area</vt:lpstr>
      <vt:lpstr>'LG BRG - MSW'!Print_Area</vt:lpstr>
      <vt:lpstr>'LG BRG - Recycle'!Print_Area</vt:lpstr>
      <vt:lpstr>'LG BRG - Total'!Print_Area</vt:lpstr>
      <vt:lpstr>'LG BRG - Yard Waste'!Print_Area</vt:lpstr>
      <vt:lpstr>'Master IS (C)'!Print_Area</vt:lpstr>
      <vt:lpstr>'Payroll Summary (C)'!Print_Area</vt:lpstr>
      <vt:lpstr>'Pro forma Adj (C)'!Print_Area</vt:lpstr>
      <vt:lpstr>'Proposed Rates'!Print_Area</vt:lpstr>
      <vt:lpstr>'Region OH (C)'!Print_Area</vt:lpstr>
      <vt:lpstr>'Restating Adj (C)'!Print_Area</vt:lpstr>
      <vt:lpstr>'Yakima LOB (C)'!Print_Area</vt:lpstr>
      <vt:lpstr>'Yakima Regulated Price Out'!Print_Area</vt:lpstr>
      <vt:lpstr>'2195 IS (C)'!Print_Titles</vt:lpstr>
      <vt:lpstr>'2195_BS 03-2021 (C)'!Print_Titles</vt:lpstr>
      <vt:lpstr>'2195_BS 03-2022 (C)'!Print_Titles</vt:lpstr>
      <vt:lpstr>'41201 JE Query'!Print_Titles</vt:lpstr>
      <vt:lpstr>'43001 JE Query'!Print_Titles</vt:lpstr>
      <vt:lpstr>'5 Year Insurance (C)'!Print_Titles</vt:lpstr>
      <vt:lpstr>'70195 JE Query (C)'!Print_Titles</vt:lpstr>
      <vt:lpstr>'70235 JE Query (C)'!Print_Titles</vt:lpstr>
      <vt:lpstr>'70255 JE Query (C)'!Print_Titles</vt:lpstr>
      <vt:lpstr>'91010 JE Query'!Print_Titles</vt:lpstr>
      <vt:lpstr>'Corp-OH (C)'!Print_Titles</vt:lpstr>
      <vt:lpstr>'Master IS (C)'!Print_Titles</vt:lpstr>
      <vt:lpstr>'Payroll Summary (C)'!Print_Titles</vt:lpstr>
      <vt:lpstr>'Proposed Rates'!Print_Titles</vt:lpstr>
      <vt:lpstr>'Region OH (C)'!Print_Titles</vt:lpstr>
      <vt:lpstr>'Yakima Regulated Price Out'!Print_Titles</vt:lpstr>
      <vt:lpstr>'LG BRG - MSW'!regDebt_weighted</vt:lpstr>
      <vt:lpstr>'LG BRG - Recycle'!regDebt_weighted</vt:lpstr>
      <vt:lpstr>'LG BRG - Total'!regDebt_weighted</vt:lpstr>
      <vt:lpstr>'LG BRG - Yard Waste'!regDebt_weighted</vt:lpstr>
      <vt:lpstr>'LG BRG - MSW'!Revenue</vt:lpstr>
      <vt:lpstr>'LG BRG - Recycle'!Revenue</vt:lpstr>
      <vt:lpstr>'LG BRG - Total'!Revenue</vt:lpstr>
      <vt:lpstr>'LG BRG - Yard Waste'!Revenue</vt:lpstr>
      <vt:lpstr>'LG BRG - MSW'!slope</vt:lpstr>
      <vt:lpstr>'LG BRG - Recycle'!slope</vt:lpstr>
      <vt:lpstr>'LG BRG - Total'!slope</vt:lpstr>
      <vt:lpstr>'LG BRG - Yard Waste'!slope</vt:lpstr>
      <vt:lpstr>'2195_BS 03-2021 (C)'!SubSystem</vt:lpstr>
      <vt:lpstr>'2195_BS 03-2022 (C)'!SubSystem</vt:lpstr>
      <vt:lpstr>'41201 JE Query'!SubSystems</vt:lpstr>
      <vt:lpstr>'5 Year Insurance (C)'!SubSystems</vt:lpstr>
      <vt:lpstr>'70195 JE Query (C)'!SubSystems</vt:lpstr>
      <vt:lpstr>'70235 JE Query (C)'!SubSystems</vt:lpstr>
      <vt:lpstr>'70255 JE Query (C)'!SubSystems</vt:lpstr>
      <vt:lpstr>'91010 JE Query'!SubSystems</vt:lpstr>
      <vt:lpstr>'2195 IS (C)'!System</vt:lpstr>
      <vt:lpstr>'2195_BS 03-2021 (C)'!System</vt:lpstr>
      <vt:lpstr>'2195_BS 03-2022 (C)'!System</vt:lpstr>
      <vt:lpstr>'Region OH (C)'!System</vt:lpstr>
      <vt:lpstr>'41201 JE Query'!Systems</vt:lpstr>
      <vt:lpstr>'5 Year Insurance (C)'!Systems</vt:lpstr>
      <vt:lpstr>'70195 JE Query (C)'!Systems</vt:lpstr>
      <vt:lpstr>'70235 JE Query (C)'!Systems</vt:lpstr>
      <vt:lpstr>'70255 JE Query (C)'!Systems</vt:lpstr>
      <vt:lpstr>'91010 JE Query'!Systems</vt:lpstr>
      <vt:lpstr>'LG BRG - MSW'!taxrate</vt:lpstr>
      <vt:lpstr>'LG BRG - Recycle'!taxrate</vt:lpstr>
      <vt:lpstr>'LG BRG - Total'!taxrate</vt:lpstr>
      <vt:lpstr>'LG BRG - Yard Waste'!taxrate</vt:lpstr>
      <vt:lpstr>TOTTABLE</vt:lpstr>
      <vt:lpstr>'41201 JE Query'!VendorCode</vt:lpstr>
      <vt:lpstr>'5 Year Insurance (C)'!VendorCode</vt:lpstr>
      <vt:lpstr>'70195 JE Query (C)'!VendorCode</vt:lpstr>
      <vt:lpstr>'70235 JE Query (C)'!VendorCode</vt:lpstr>
      <vt:lpstr>'70255 JE Query (C)'!VendorCode</vt:lpstr>
      <vt:lpstr>'91010 JE Query'!VendorCode</vt:lpstr>
      <vt:lpstr>'LG BRG - MSW'!y_inter1</vt:lpstr>
      <vt:lpstr>'LG BRG - Recycle'!y_inter1</vt:lpstr>
      <vt:lpstr>'LG BRG - Total'!y_inter1</vt:lpstr>
      <vt:lpstr>'LG BRG - Yard Waste'!y_inter1</vt:lpstr>
      <vt:lpstr>'LG BRG - MSW'!y_inter2</vt:lpstr>
      <vt:lpstr>'LG BRG - Recycle'!y_inter2</vt:lpstr>
      <vt:lpstr>'LG BRG - Total'!y_inter2</vt:lpstr>
      <vt:lpstr>'LG BRG - Yard Waste'!y_inter2</vt:lpstr>
      <vt:lpstr>'LG BRG - MSW'!y_inter3</vt:lpstr>
      <vt:lpstr>'LG BRG - Recycle'!y_inter3</vt:lpstr>
      <vt:lpstr>'LG BRG - Total'!y_inter3</vt:lpstr>
      <vt:lpstr>'LG BRG - Yard Waste'!y_inter3</vt:lpstr>
      <vt:lpstr>'LG BRG - MSW'!y_inter4</vt:lpstr>
      <vt:lpstr>'LG BRG - Recycle'!y_inter4</vt:lpstr>
      <vt:lpstr>'LG BRG - Total'!y_inter4</vt:lpstr>
      <vt:lpstr>'LG BRG - Yard Waste'!y_inter4</vt:lpstr>
      <vt:lpstr>'2195 IS (C)'!YearMonth</vt:lpstr>
      <vt:lpstr>'2195_BS 03-2021 (C)'!YearMonth</vt:lpstr>
      <vt:lpstr>'2195_BS 03-2022 (C)'!YearMonth</vt:lpstr>
      <vt:lpstr>'Region OH (C)'!YearMonth</vt:lpstr>
    </vt:vector>
  </TitlesOfParts>
  <Company>R360 Environmental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Brittanyj</dc:creator>
  <cp:lastModifiedBy>Akasha Leffler</cp:lastModifiedBy>
  <cp:lastPrinted>2022-06-16T18:23:40Z</cp:lastPrinted>
  <dcterms:created xsi:type="dcterms:W3CDTF">2017-04-28T20:31:14Z</dcterms:created>
  <dcterms:modified xsi:type="dcterms:W3CDTF">2022-06-16T18:31:13Z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0x0101006E56B4D1795A2E4DB2F0B01679ED314A0015B2FB8E4ADA3844BCB4BC75AD74F592</vt:lpwstr>
  </property>
  <property fmtid="{D5CDD505-2E9C-101B-9397-08002B2CF9AE}" pid="3" name="_docset_NoMedatataSyncRequired">
    <vt:lpwstr>False</vt:lpwstr>
  </property>
  <property fmtid="{D5CDD505-2E9C-101B-9397-08002B2CF9AE}" pid="4" name="IsEFSEC">
    <vt:bool>false</vt:bool>
  </property>
</Properties>
</file>